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C:\Users\Hym\Documents\投稿\2021\2021\"/>
    </mc:Choice>
  </mc:AlternateContent>
  <xr:revisionPtr revIDLastSave="0" documentId="13_ncr:1_{9CD9196A-83FA-471B-9B81-BCD920C697D5}" xr6:coauthVersionLast="47" xr6:coauthVersionMax="47" xr10:uidLastSave="{00000000-0000-0000-0000-000000000000}"/>
  <bookViews>
    <workbookView xWindow="-120" yWindow="-120" windowWidth="29040" windowHeight="15840" tabRatio="599" xr2:uid="{01B121E0-1F8D-4E9A-AF63-63BFDB6B4DD5}"/>
  </bookViews>
  <sheets>
    <sheet name="summary" sheetId="5" r:id="rId1"/>
    <sheet name="2012-2021" sheetId="6" r:id="rId2"/>
    <sheet name="original data" sheetId="2" r:id="rId3"/>
    <sheet name="2019" sheetId="3" r:id="rId4"/>
    <sheet name="review" sheetId="1" r:id="rId5"/>
  </sheets>
  <externalReferences>
    <externalReference r:id="rId6"/>
  </externalReferences>
  <definedNames>
    <definedName name="_xlnm._FilterDatabase" localSheetId="1" hidden="1">'2012-2021'!$A$1:$U$2738</definedName>
    <definedName name="_xlnm._FilterDatabase" localSheetId="2" hidden="1">'original data'!$A$1:$A$3412</definedName>
    <definedName name="ExternalData_1" localSheetId="2" hidden="1">'original data'!$D$1:$W$3412</definedName>
  </definedNames>
  <calcPr calcId="181029" calcOnSave="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2737" i="6" l="1"/>
  <c r="M3195" i="2"/>
  <c r="R2738" i="6"/>
  <c r="R2737" i="6"/>
  <c r="R2736" i="6"/>
  <c r="B2738" i="6"/>
  <c r="B2737" i="6"/>
  <c r="B2736" i="6"/>
  <c r="B2735" i="6"/>
  <c r="B2734" i="6"/>
  <c r="B2733" i="6"/>
  <c r="B2732" i="6"/>
  <c r="B2731" i="6"/>
  <c r="B2730" i="6"/>
  <c r="B2729" i="6"/>
  <c r="B2728" i="6"/>
  <c r="B2727" i="6"/>
  <c r="B2726" i="6"/>
  <c r="B2725" i="6"/>
  <c r="B2723" i="6"/>
  <c r="B2722" i="6"/>
  <c r="B2721" i="6"/>
  <c r="B2720" i="6"/>
  <c r="B2719" i="6"/>
  <c r="B2718" i="6"/>
  <c r="B2717" i="6"/>
  <c r="B2716" i="6"/>
  <c r="B2715" i="6"/>
  <c r="B2714" i="6"/>
  <c r="B2713" i="6"/>
  <c r="B2712" i="6"/>
  <c r="B2711" i="6"/>
  <c r="B2710" i="6"/>
  <c r="B2708" i="6"/>
  <c r="B2707" i="6"/>
  <c r="B2706" i="6"/>
  <c r="B2705" i="6"/>
  <c r="B2704" i="6"/>
  <c r="B2703" i="6"/>
  <c r="B2702" i="6"/>
  <c r="B2701" i="6"/>
  <c r="B2700" i="6"/>
  <c r="B2699" i="6"/>
  <c r="B2698" i="6"/>
  <c r="B2697" i="6"/>
  <c r="B2696" i="6"/>
  <c r="B2695" i="6"/>
  <c r="B2694" i="6"/>
  <c r="B2693" i="6"/>
  <c r="B2692" i="6"/>
  <c r="B2691" i="6"/>
  <c r="B2690" i="6"/>
  <c r="B2689" i="6"/>
  <c r="B2688" i="6"/>
  <c r="B2687" i="6"/>
  <c r="B2686" i="6"/>
  <c r="B2684" i="6"/>
  <c r="B2682" i="6"/>
  <c r="B2681" i="6"/>
  <c r="B2680" i="6"/>
  <c r="B2679" i="6"/>
  <c r="B2678" i="6"/>
  <c r="B2677" i="6"/>
  <c r="B2676" i="6"/>
  <c r="B2675" i="6"/>
  <c r="B2674" i="6"/>
  <c r="B2673" i="6"/>
  <c r="B2672" i="6"/>
  <c r="B2671" i="6"/>
  <c r="B2670" i="6"/>
  <c r="B2669" i="6"/>
  <c r="B2668" i="6"/>
  <c r="B2667" i="6"/>
  <c r="B2666" i="6"/>
  <c r="B2665" i="6"/>
  <c r="B2664" i="6"/>
  <c r="B2663" i="6"/>
  <c r="B2662" i="6"/>
  <c r="B2661" i="6"/>
  <c r="B2660" i="6"/>
  <c r="B2659" i="6"/>
  <c r="B2658" i="6"/>
  <c r="B2657" i="6"/>
  <c r="B2656" i="6"/>
  <c r="B2655" i="6"/>
  <c r="B2654" i="6"/>
  <c r="B2653" i="6"/>
  <c r="B2652" i="6"/>
  <c r="B2651" i="6"/>
  <c r="B2650" i="6"/>
  <c r="B2649" i="6"/>
  <c r="B2648" i="6"/>
  <c r="B2647" i="6"/>
  <c r="B2646" i="6"/>
  <c r="B2645" i="6"/>
  <c r="B2644" i="6"/>
  <c r="B2643" i="6"/>
  <c r="B2642" i="6"/>
  <c r="B2641" i="6"/>
  <c r="B2640" i="6"/>
  <c r="B2639" i="6"/>
  <c r="B2638" i="6"/>
  <c r="B2637" i="6"/>
  <c r="B2636" i="6"/>
  <c r="B2635" i="6"/>
  <c r="B2634" i="6"/>
  <c r="B2633" i="6"/>
  <c r="B2632" i="6"/>
  <c r="B2631" i="6"/>
  <c r="B2630" i="6"/>
  <c r="B2629" i="6"/>
  <c r="B2628" i="6"/>
  <c r="B2627" i="6"/>
  <c r="B2626" i="6"/>
  <c r="B2625" i="6"/>
  <c r="B2624" i="6"/>
  <c r="B2623" i="6"/>
  <c r="B2622" i="6"/>
  <c r="B2621" i="6"/>
  <c r="B2620" i="6"/>
  <c r="B2619" i="6"/>
  <c r="B2618" i="6"/>
  <c r="B2617" i="6"/>
  <c r="B2616" i="6"/>
  <c r="B2615" i="6"/>
  <c r="B2614" i="6"/>
  <c r="B2613" i="6"/>
  <c r="B2612" i="6"/>
  <c r="B2611" i="6"/>
  <c r="B2610" i="6"/>
  <c r="B2609" i="6"/>
  <c r="B2608" i="6"/>
  <c r="B2607" i="6"/>
  <c r="B2606" i="6"/>
  <c r="B2605" i="6"/>
  <c r="B2604" i="6"/>
  <c r="B2603" i="6"/>
  <c r="B2602" i="6"/>
  <c r="B2601" i="6"/>
  <c r="B2600" i="6"/>
  <c r="B2599" i="6"/>
  <c r="B2598" i="6"/>
  <c r="B2597" i="6"/>
  <c r="B2596" i="6"/>
  <c r="B2595" i="6"/>
  <c r="B2594" i="6"/>
  <c r="B2593" i="6"/>
  <c r="B2592" i="6"/>
  <c r="B2591" i="6"/>
  <c r="B2590" i="6"/>
  <c r="B2589" i="6"/>
  <c r="B2588" i="6"/>
  <c r="B2587" i="6"/>
  <c r="B2586" i="6"/>
  <c r="B2585" i="6"/>
  <c r="B2584" i="6"/>
  <c r="B2583" i="6"/>
  <c r="B2582" i="6"/>
  <c r="B2581" i="6"/>
  <c r="B2580" i="6"/>
  <c r="B2579" i="6"/>
  <c r="B2578" i="6"/>
  <c r="B2577" i="6"/>
  <c r="B2576" i="6"/>
  <c r="B2575" i="6"/>
  <c r="B2574" i="6"/>
  <c r="B2573" i="6"/>
  <c r="B2572" i="6"/>
  <c r="B2571" i="6"/>
  <c r="B2570" i="6"/>
  <c r="B2569" i="6"/>
  <c r="B2568" i="6"/>
  <c r="B2567" i="6"/>
  <c r="B2566" i="6"/>
  <c r="B2565" i="6"/>
  <c r="B2564" i="6"/>
  <c r="B2563" i="6"/>
  <c r="B2562" i="6"/>
  <c r="B2561" i="6"/>
  <c r="B2560" i="6"/>
  <c r="B2559" i="6"/>
  <c r="B2558" i="6"/>
  <c r="B2557" i="6"/>
  <c r="B2556" i="6"/>
  <c r="B2555" i="6"/>
  <c r="B2554" i="6"/>
  <c r="B2553" i="6"/>
  <c r="B2552" i="6"/>
  <c r="B2551" i="6"/>
  <c r="B2550" i="6"/>
  <c r="B2549" i="6"/>
  <c r="B2548" i="6"/>
  <c r="B2547" i="6"/>
  <c r="B2546" i="6"/>
  <c r="B2545" i="6"/>
  <c r="B2543" i="6"/>
  <c r="B2542" i="6"/>
  <c r="B2541" i="6"/>
  <c r="B2540" i="6"/>
  <c r="B2539" i="6"/>
  <c r="B2538" i="6"/>
  <c r="B2537" i="6"/>
  <c r="B2536" i="6"/>
  <c r="B2535" i="6"/>
  <c r="B2534" i="6"/>
  <c r="B2533" i="6"/>
  <c r="B2532" i="6"/>
  <c r="B2531" i="6"/>
  <c r="B2530" i="6"/>
  <c r="B2529" i="6"/>
  <c r="B2528" i="6"/>
  <c r="B2527" i="6"/>
  <c r="B2526" i="6"/>
  <c r="B2525" i="6"/>
  <c r="B2524" i="6"/>
  <c r="B2523" i="6"/>
  <c r="B2522" i="6"/>
  <c r="B2521" i="6"/>
  <c r="B2520" i="6"/>
  <c r="B2519" i="6"/>
  <c r="B2518" i="6"/>
  <c r="B2517" i="6"/>
  <c r="B2516" i="6"/>
  <c r="B2515" i="6"/>
  <c r="B2514" i="6"/>
  <c r="B2512" i="6"/>
  <c r="B2511" i="6"/>
  <c r="B2510" i="6"/>
  <c r="B2509" i="6"/>
  <c r="B2508" i="6"/>
  <c r="B2507" i="6"/>
  <c r="B2506" i="6"/>
  <c r="B2505" i="6"/>
  <c r="B2504" i="6"/>
  <c r="B2503" i="6"/>
  <c r="B2502" i="6"/>
  <c r="B2501" i="6"/>
  <c r="B2500" i="6"/>
  <c r="B2499" i="6"/>
  <c r="B2498" i="6"/>
  <c r="B2497" i="6"/>
  <c r="B2496" i="6"/>
  <c r="B2495" i="6"/>
  <c r="B2494" i="6"/>
  <c r="B2493" i="6"/>
  <c r="B2492" i="6"/>
  <c r="B2491" i="6"/>
  <c r="B2490" i="6"/>
  <c r="B2489" i="6"/>
  <c r="B2488" i="6"/>
  <c r="B2487" i="6"/>
  <c r="B2486" i="6"/>
  <c r="B2485" i="6"/>
  <c r="B2484" i="6"/>
  <c r="B2483" i="6"/>
  <c r="B2482" i="6"/>
  <c r="B2481" i="6"/>
  <c r="B2480" i="6"/>
  <c r="B2479" i="6"/>
  <c r="B2478" i="6"/>
  <c r="B2477" i="6"/>
  <c r="B2476" i="6"/>
  <c r="B2475" i="6"/>
  <c r="B2474" i="6"/>
  <c r="B2473" i="6"/>
  <c r="B2472" i="6"/>
  <c r="B2471" i="6"/>
  <c r="B2470" i="6"/>
  <c r="B2469" i="6"/>
  <c r="B2468" i="6"/>
  <c r="B2467" i="6"/>
  <c r="B2466" i="6"/>
  <c r="B2465" i="6"/>
  <c r="B2464" i="6"/>
  <c r="B2462" i="6"/>
  <c r="B2461" i="6"/>
  <c r="B2460" i="6"/>
  <c r="B2459" i="6"/>
  <c r="B2458" i="6"/>
  <c r="B2457" i="6"/>
  <c r="B2456" i="6"/>
  <c r="B2455" i="6"/>
  <c r="B2454" i="6"/>
  <c r="B2453" i="6"/>
  <c r="B2452" i="6"/>
  <c r="B2451" i="6"/>
  <c r="B2450" i="6"/>
  <c r="B2449" i="6"/>
  <c r="B2448" i="6"/>
  <c r="B2447" i="6"/>
  <c r="B2446" i="6"/>
  <c r="B2445" i="6"/>
  <c r="B2444" i="6"/>
  <c r="B2443" i="6"/>
  <c r="B2442" i="6"/>
  <c r="B2441" i="6"/>
  <c r="B2440" i="6"/>
  <c r="B2439" i="6"/>
  <c r="B2438" i="6"/>
  <c r="B2437" i="6"/>
  <c r="B2436" i="6"/>
  <c r="B2435" i="6"/>
  <c r="B2434" i="6"/>
  <c r="B2433" i="6"/>
  <c r="B2432" i="6"/>
  <c r="B2431" i="6"/>
  <c r="B2430" i="6"/>
  <c r="B2429" i="6"/>
  <c r="B2428" i="6"/>
  <c r="B2427" i="6"/>
  <c r="B2426" i="6"/>
  <c r="B2425" i="6"/>
  <c r="B2424" i="6"/>
  <c r="B2423" i="6"/>
  <c r="B2422" i="6"/>
  <c r="B2421" i="6"/>
  <c r="B2420" i="6"/>
  <c r="B2419" i="6"/>
  <c r="B2418" i="6"/>
  <c r="B2417" i="6"/>
  <c r="B2416" i="6"/>
  <c r="B2415" i="6"/>
  <c r="B2414" i="6"/>
  <c r="B2413" i="6"/>
  <c r="B2412" i="6"/>
  <c r="B2411" i="6"/>
  <c r="B2410" i="6"/>
  <c r="B2409" i="6"/>
  <c r="B2408" i="6"/>
  <c r="B2407" i="6"/>
  <c r="B2406" i="6"/>
  <c r="B2405" i="6"/>
  <c r="B2404" i="6"/>
  <c r="B2403" i="6"/>
  <c r="B2402" i="6"/>
  <c r="B2401" i="6"/>
  <c r="B2400" i="6"/>
  <c r="B2399" i="6"/>
  <c r="B2398" i="6"/>
  <c r="B2397" i="6"/>
  <c r="B2396" i="6"/>
  <c r="B2395" i="6"/>
  <c r="B2394" i="6"/>
  <c r="B2393" i="6"/>
  <c r="B2392" i="6"/>
  <c r="B2391" i="6"/>
  <c r="B2390" i="6"/>
  <c r="B2389" i="6"/>
  <c r="B2388" i="6"/>
  <c r="B2387" i="6"/>
  <c r="B2386" i="6"/>
  <c r="B2385" i="6"/>
  <c r="B2384" i="6"/>
  <c r="B2383" i="6"/>
  <c r="B2382" i="6"/>
  <c r="B2381" i="6"/>
  <c r="B2380" i="6"/>
  <c r="B2379" i="6"/>
  <c r="B2378" i="6"/>
  <c r="B2377" i="6"/>
  <c r="B2376" i="6"/>
  <c r="B2375" i="6"/>
  <c r="B2374" i="6"/>
  <c r="B2373" i="6"/>
  <c r="B2372" i="6"/>
  <c r="B2371" i="6"/>
  <c r="B2370" i="6"/>
  <c r="B2369" i="6"/>
  <c r="B2368" i="6"/>
  <c r="B2367" i="6"/>
  <c r="B2366" i="6"/>
  <c r="B2365" i="6"/>
  <c r="B2364" i="6"/>
  <c r="B2363" i="6"/>
  <c r="B2362" i="6"/>
  <c r="B2361" i="6"/>
  <c r="B2360" i="6"/>
  <c r="B2359" i="6"/>
  <c r="B2358" i="6"/>
  <c r="B2357" i="6"/>
  <c r="B2356" i="6"/>
  <c r="B2355" i="6"/>
  <c r="B2354" i="6"/>
  <c r="B2353" i="6"/>
  <c r="B2352" i="6"/>
  <c r="B2351" i="6"/>
  <c r="B2350" i="6"/>
  <c r="B2349" i="6"/>
  <c r="B2348" i="6"/>
  <c r="B2347" i="6"/>
  <c r="B2346" i="6"/>
  <c r="B2345" i="6"/>
  <c r="B2344" i="6"/>
  <c r="B2343" i="6"/>
  <c r="B2342" i="6"/>
  <c r="B2341" i="6"/>
  <c r="B2340" i="6"/>
  <c r="B2339" i="6"/>
  <c r="B2338" i="6"/>
  <c r="B2337" i="6"/>
  <c r="B2336" i="6"/>
  <c r="B2335" i="6"/>
  <c r="B2334" i="6"/>
  <c r="B2333" i="6"/>
  <c r="B2332" i="6"/>
  <c r="B2331" i="6"/>
  <c r="B2330" i="6"/>
  <c r="B2329" i="6"/>
  <c r="B2328" i="6"/>
  <c r="B2327" i="6"/>
  <c r="B2326" i="6"/>
  <c r="B2325" i="6"/>
  <c r="B2324" i="6"/>
  <c r="B2323" i="6"/>
  <c r="B2322" i="6"/>
  <c r="B2321" i="6"/>
  <c r="B2320" i="6"/>
  <c r="B2319" i="6"/>
  <c r="B2318" i="6"/>
  <c r="B2317" i="6"/>
  <c r="B2316" i="6"/>
  <c r="B2315" i="6"/>
  <c r="B2314" i="6"/>
  <c r="B2313" i="6"/>
  <c r="B2312" i="6"/>
  <c r="B2311" i="6"/>
  <c r="B2310" i="6"/>
  <c r="B2309" i="6"/>
  <c r="B2308" i="6"/>
  <c r="B2307" i="6"/>
  <c r="B2306" i="6"/>
  <c r="B2305" i="6"/>
  <c r="B2304" i="6"/>
  <c r="B2303" i="6"/>
  <c r="B2302" i="6"/>
  <c r="B2301" i="6"/>
  <c r="B2300" i="6"/>
  <c r="B2299" i="6"/>
  <c r="B2298" i="6"/>
  <c r="B2297" i="6"/>
  <c r="B2296" i="6"/>
  <c r="B2295" i="6"/>
  <c r="B2294" i="6"/>
  <c r="B2293" i="6"/>
  <c r="B2292" i="6"/>
  <c r="B2291" i="6"/>
  <c r="B2290" i="6"/>
  <c r="B2289" i="6"/>
  <c r="B2288" i="6"/>
  <c r="B2287" i="6"/>
  <c r="B2286" i="6"/>
  <c r="B2285" i="6"/>
  <c r="B2284" i="6"/>
  <c r="B2283" i="6"/>
  <c r="B2282" i="6"/>
  <c r="B2281" i="6"/>
  <c r="B2280" i="6"/>
  <c r="B2279" i="6"/>
  <c r="B2278" i="6"/>
  <c r="B2277" i="6"/>
  <c r="B2276" i="6"/>
  <c r="B2275" i="6"/>
  <c r="B2274" i="6"/>
  <c r="B2273" i="6"/>
  <c r="B2272" i="6"/>
  <c r="B2271" i="6"/>
  <c r="B2270" i="6"/>
  <c r="B2269" i="6"/>
  <c r="B2268" i="6"/>
  <c r="B2267" i="6"/>
  <c r="B2266" i="6"/>
  <c r="B2265" i="6"/>
  <c r="B2264" i="6"/>
  <c r="B2263" i="6"/>
  <c r="B2262" i="6"/>
  <c r="B2261" i="6"/>
  <c r="B2260" i="6"/>
  <c r="B2259" i="6"/>
  <c r="B2258" i="6"/>
  <c r="B2257" i="6"/>
  <c r="B2256" i="6"/>
  <c r="B2255" i="6"/>
  <c r="B2254" i="6"/>
  <c r="B2253" i="6"/>
  <c r="B2252" i="6"/>
  <c r="B2251" i="6"/>
  <c r="B2250" i="6"/>
  <c r="B2249" i="6"/>
  <c r="B2248" i="6"/>
  <c r="B2247" i="6"/>
  <c r="B2246" i="6"/>
  <c r="B2245" i="6"/>
  <c r="B2244" i="6"/>
  <c r="B2243" i="6"/>
  <c r="B2242" i="6"/>
  <c r="B2241" i="6"/>
  <c r="B2240" i="6"/>
  <c r="B2239" i="6"/>
  <c r="B2238" i="6"/>
  <c r="B2237" i="6"/>
  <c r="B2236" i="6"/>
  <c r="B2235" i="6"/>
  <c r="B2234" i="6"/>
  <c r="B2233" i="6"/>
  <c r="B2232" i="6"/>
  <c r="B2231" i="6"/>
  <c r="B2230" i="6"/>
  <c r="B2229" i="6"/>
  <c r="B2228" i="6"/>
  <c r="B2227" i="6"/>
  <c r="B2226" i="6"/>
  <c r="B2225" i="6"/>
  <c r="B2224" i="6"/>
  <c r="B2223" i="6"/>
  <c r="B2222" i="6"/>
  <c r="B2221" i="6"/>
  <c r="B2220" i="6"/>
  <c r="B2219" i="6"/>
  <c r="B2218" i="6"/>
  <c r="B2217" i="6"/>
  <c r="B2216" i="6"/>
  <c r="B2214" i="6"/>
  <c r="B2213" i="6"/>
  <c r="B2212" i="6"/>
  <c r="B2211" i="6"/>
  <c r="B2210" i="6"/>
  <c r="B2209" i="6"/>
  <c r="B2208" i="6"/>
  <c r="B2207" i="6"/>
  <c r="B2206" i="6"/>
  <c r="B2204" i="6"/>
  <c r="B2203" i="6"/>
  <c r="B2202" i="6"/>
  <c r="B2201" i="6"/>
  <c r="B2200" i="6"/>
  <c r="B2199" i="6"/>
  <c r="B2198" i="6"/>
  <c r="B2197" i="6"/>
  <c r="B2196" i="6"/>
  <c r="B2195" i="6"/>
  <c r="B2194" i="6"/>
  <c r="B2193" i="6"/>
  <c r="B2192" i="6"/>
  <c r="B2191" i="6"/>
  <c r="B2190" i="6"/>
  <c r="B2189" i="6"/>
  <c r="B2188" i="6"/>
  <c r="B2187" i="6"/>
  <c r="B2186" i="6"/>
  <c r="B2185" i="6"/>
  <c r="B2184" i="6"/>
  <c r="B2183" i="6"/>
  <c r="B2182" i="6"/>
  <c r="B2181" i="6"/>
  <c r="B2180" i="6"/>
  <c r="B2179" i="6"/>
  <c r="B2178" i="6"/>
  <c r="B2177" i="6"/>
  <c r="B2176" i="6"/>
  <c r="B2175" i="6"/>
  <c r="B2174" i="6"/>
  <c r="B2173" i="6"/>
  <c r="B2171" i="6"/>
  <c r="B2170" i="6"/>
  <c r="B2169" i="6"/>
  <c r="B2168" i="6"/>
  <c r="B2167" i="6"/>
  <c r="B2166" i="6"/>
  <c r="B2165" i="6"/>
  <c r="B2164" i="6"/>
  <c r="B2163" i="6"/>
  <c r="B2162" i="6"/>
  <c r="B2161" i="6"/>
  <c r="B2160" i="6"/>
  <c r="B2159" i="6"/>
  <c r="B2158" i="6"/>
  <c r="B2157" i="6"/>
  <c r="B2156" i="6"/>
  <c r="B2155" i="6"/>
  <c r="B2154" i="6"/>
  <c r="B2153" i="6"/>
  <c r="B2152" i="6"/>
  <c r="B2151" i="6"/>
  <c r="B2150" i="6"/>
  <c r="B2149" i="6"/>
  <c r="B2148" i="6"/>
  <c r="B2147" i="6"/>
  <c r="B2146" i="6"/>
  <c r="B2145" i="6"/>
  <c r="B2144" i="6"/>
  <c r="B2143" i="6"/>
  <c r="B2142" i="6"/>
  <c r="B2141" i="6"/>
  <c r="B2140" i="6"/>
  <c r="B2139" i="6"/>
  <c r="B2138" i="6"/>
  <c r="B2137" i="6"/>
  <c r="B2136" i="6"/>
  <c r="B2135" i="6"/>
  <c r="B2134" i="6"/>
  <c r="B2133" i="6"/>
  <c r="B2132" i="6"/>
  <c r="B2131" i="6"/>
  <c r="B2130" i="6"/>
  <c r="B2128" i="6"/>
  <c r="B2127" i="6"/>
  <c r="B2126" i="6"/>
  <c r="B2125" i="6"/>
  <c r="B2124" i="6"/>
  <c r="B2123" i="6"/>
  <c r="B2122" i="6"/>
  <c r="B2121" i="6"/>
  <c r="B2120" i="6"/>
  <c r="B2119" i="6"/>
  <c r="B2117" i="6"/>
  <c r="B2116" i="6"/>
  <c r="B2115" i="6"/>
  <c r="B2114" i="6"/>
  <c r="B2113" i="6"/>
  <c r="B2112" i="6"/>
  <c r="B2111" i="6"/>
  <c r="B2110" i="6"/>
  <c r="B2109" i="6"/>
  <c r="B2108" i="6"/>
  <c r="B2107" i="6"/>
  <c r="B2106" i="6"/>
  <c r="B2105" i="6"/>
  <c r="B2104" i="6"/>
  <c r="B2103" i="6"/>
  <c r="B2102" i="6"/>
  <c r="B2101" i="6"/>
  <c r="B2100" i="6"/>
  <c r="B2099" i="6"/>
  <c r="B2098" i="6"/>
  <c r="B2097" i="6"/>
  <c r="B2096" i="6"/>
  <c r="B2095" i="6"/>
  <c r="B2094" i="6"/>
  <c r="B2093" i="6"/>
  <c r="B2092" i="6"/>
  <c r="B2091" i="6"/>
  <c r="B2090" i="6"/>
  <c r="B2089" i="6"/>
  <c r="B2088" i="6"/>
  <c r="B2087" i="6"/>
  <c r="B2086" i="6"/>
  <c r="B2085" i="6"/>
  <c r="B2084" i="6"/>
  <c r="B2083" i="6"/>
  <c r="B2082" i="6"/>
  <c r="B2081" i="6"/>
  <c r="B2080" i="6"/>
  <c r="B2079" i="6"/>
  <c r="B2078" i="6"/>
  <c r="B2077" i="6"/>
  <c r="B2076" i="6"/>
  <c r="B2075" i="6"/>
  <c r="B2074" i="6"/>
  <c r="B2073" i="6"/>
  <c r="B2071" i="6"/>
  <c r="B2070" i="6"/>
  <c r="B2069" i="6"/>
  <c r="B2068" i="6"/>
  <c r="B2067" i="6"/>
  <c r="B2066" i="6"/>
  <c r="B2065" i="6"/>
  <c r="B2064" i="6"/>
  <c r="B2063" i="6"/>
  <c r="B2062" i="6"/>
  <c r="B2061" i="6"/>
  <c r="B2060" i="6"/>
  <c r="B2059" i="6"/>
  <c r="B2058" i="6"/>
  <c r="B2057" i="6"/>
  <c r="B2056" i="6"/>
  <c r="B2055" i="6"/>
  <c r="B2054" i="6"/>
  <c r="B2053" i="6"/>
  <c r="B2051" i="6"/>
  <c r="B2050" i="6"/>
  <c r="B2049" i="6"/>
  <c r="B2048" i="6"/>
  <c r="B2047" i="6"/>
  <c r="B2046" i="6"/>
  <c r="B2045" i="6"/>
  <c r="B2044" i="6"/>
  <c r="B2043" i="6"/>
  <c r="B2042" i="6"/>
  <c r="B2041" i="6"/>
  <c r="B2040" i="6"/>
  <c r="B2039" i="6"/>
  <c r="B2038" i="6"/>
  <c r="B2037" i="6"/>
  <c r="B2036" i="6"/>
  <c r="B2035" i="6"/>
  <c r="B2034" i="6"/>
  <c r="B2033" i="6"/>
  <c r="B2032" i="6"/>
  <c r="B2031" i="6"/>
  <c r="B2030" i="6"/>
  <c r="B2029" i="6"/>
  <c r="B2028" i="6"/>
  <c r="B2027" i="6"/>
  <c r="B2026" i="6"/>
  <c r="B2025" i="6"/>
  <c r="B2024" i="6"/>
  <c r="B2023" i="6"/>
  <c r="B2022" i="6"/>
  <c r="B2021" i="6"/>
  <c r="B2020" i="6"/>
  <c r="B2019" i="6"/>
  <c r="B2018" i="6"/>
  <c r="B2017" i="6"/>
  <c r="B2016" i="6"/>
  <c r="B2015" i="6"/>
  <c r="B2014" i="6"/>
  <c r="B2013" i="6"/>
  <c r="B2012" i="6"/>
  <c r="B2011" i="6"/>
  <c r="B2010" i="6"/>
  <c r="B2009" i="6"/>
  <c r="B2008" i="6"/>
  <c r="B2007" i="6"/>
  <c r="B2006" i="6"/>
  <c r="B2005" i="6"/>
  <c r="B2004" i="6"/>
  <c r="B2003" i="6"/>
  <c r="B2001" i="6"/>
  <c r="B2000" i="6"/>
  <c r="B1999" i="6"/>
  <c r="B1998" i="6"/>
  <c r="B1997" i="6"/>
  <c r="B1996" i="6"/>
  <c r="B1995" i="6"/>
  <c r="B1994" i="6"/>
  <c r="B1993" i="6"/>
  <c r="B1992" i="6"/>
  <c r="B1991" i="6"/>
  <c r="B1990" i="6"/>
  <c r="B1989" i="6"/>
  <c r="B1988" i="6"/>
  <c r="B1987" i="6"/>
  <c r="B1986" i="6"/>
  <c r="B1984" i="6"/>
  <c r="B1983" i="6"/>
  <c r="B1982" i="6"/>
  <c r="B1981" i="6"/>
  <c r="B1980" i="6"/>
  <c r="B1979" i="6"/>
  <c r="B1978" i="6"/>
  <c r="B1977" i="6"/>
  <c r="B1976" i="6"/>
  <c r="B1975" i="6"/>
  <c r="B1974" i="6"/>
  <c r="B1973" i="6"/>
  <c r="B1972" i="6"/>
  <c r="B1971" i="6"/>
  <c r="B1970" i="6"/>
  <c r="B1969" i="6"/>
  <c r="B1968" i="6"/>
  <c r="B1967" i="6"/>
  <c r="B1966" i="6"/>
  <c r="B1965" i="6"/>
  <c r="B1964" i="6"/>
  <c r="B1963" i="6"/>
  <c r="B1962" i="6"/>
  <c r="B1961" i="6"/>
  <c r="B1960" i="6"/>
  <c r="B1959" i="6"/>
  <c r="B1958" i="6"/>
  <c r="B1957" i="6"/>
  <c r="B1956" i="6"/>
  <c r="B1955" i="6"/>
  <c r="B1954" i="6"/>
  <c r="B1953" i="6"/>
  <c r="B1952" i="6"/>
  <c r="B1951" i="6"/>
  <c r="B1950" i="6"/>
  <c r="B1949" i="6"/>
  <c r="B1948" i="6"/>
  <c r="B1947" i="6"/>
  <c r="B1946" i="6"/>
  <c r="B1945" i="6"/>
  <c r="B1944" i="6"/>
  <c r="B1943" i="6"/>
  <c r="B1942" i="6"/>
  <c r="B1941" i="6"/>
  <c r="B1940" i="6"/>
  <c r="B1939" i="6"/>
  <c r="B1938" i="6"/>
  <c r="B1937" i="6"/>
  <c r="B1936" i="6"/>
  <c r="B1935" i="6"/>
  <c r="B1934" i="6"/>
  <c r="B1933" i="6"/>
  <c r="B1932" i="6"/>
  <c r="B1931" i="6"/>
  <c r="B1930" i="6"/>
  <c r="B1929" i="6"/>
  <c r="B1928" i="6"/>
  <c r="B1927" i="6"/>
  <c r="B1926" i="6"/>
  <c r="B1925" i="6"/>
  <c r="B1924" i="6"/>
  <c r="B1922" i="6"/>
  <c r="B1921" i="6"/>
  <c r="B1920" i="6"/>
  <c r="B1919" i="6"/>
  <c r="B1918" i="6"/>
  <c r="B1917" i="6"/>
  <c r="B1916" i="6"/>
  <c r="B1915" i="6"/>
  <c r="B1914" i="6"/>
  <c r="B1913" i="6"/>
  <c r="B1912" i="6"/>
  <c r="B1911" i="6"/>
  <c r="B1910" i="6"/>
  <c r="B1909" i="6"/>
  <c r="B1908" i="6"/>
  <c r="B1907" i="6"/>
  <c r="B1906" i="6"/>
  <c r="B1905" i="6"/>
  <c r="B1904" i="6"/>
  <c r="B1903" i="6"/>
  <c r="B1902" i="6"/>
  <c r="B1901" i="6"/>
  <c r="B1900" i="6"/>
  <c r="B1899" i="6"/>
  <c r="B1898" i="6"/>
  <c r="B1897" i="6"/>
  <c r="B1896" i="6"/>
  <c r="B1895" i="6"/>
  <c r="B1894" i="6"/>
  <c r="B1893" i="6"/>
  <c r="B1892" i="6"/>
  <c r="B1891" i="6"/>
  <c r="B1890" i="6"/>
  <c r="B1889" i="6"/>
  <c r="B1888" i="6"/>
  <c r="B1887" i="6"/>
  <c r="B1886" i="6"/>
  <c r="B1885" i="6"/>
  <c r="B1884" i="6"/>
  <c r="B1883" i="6"/>
  <c r="B1882" i="6"/>
  <c r="B1881" i="6"/>
  <c r="B1880" i="6"/>
  <c r="B1879" i="6"/>
  <c r="B1878" i="6"/>
  <c r="B1877" i="6"/>
  <c r="B1876" i="6"/>
  <c r="B1875" i="6"/>
  <c r="B1874" i="6"/>
  <c r="B1873" i="6"/>
  <c r="B1872" i="6"/>
  <c r="B1871" i="6"/>
  <c r="B1870" i="6"/>
  <c r="B1869" i="6"/>
  <c r="B1868" i="6"/>
  <c r="B1867" i="6"/>
  <c r="B1866" i="6"/>
  <c r="B1865" i="6"/>
  <c r="B1864" i="6"/>
  <c r="B1863" i="6"/>
  <c r="B1862" i="6"/>
  <c r="B1861" i="6"/>
  <c r="B1860" i="6"/>
  <c r="B1859" i="6"/>
  <c r="B1858" i="6"/>
  <c r="B1857" i="6"/>
  <c r="B1856" i="6"/>
  <c r="B1855" i="6"/>
  <c r="B1854" i="6"/>
  <c r="B1853" i="6"/>
  <c r="B1852" i="6"/>
  <c r="B1851" i="6"/>
  <c r="B1850" i="6"/>
  <c r="B1849" i="6"/>
  <c r="B1848" i="6"/>
  <c r="B1847" i="6"/>
  <c r="B1846" i="6"/>
  <c r="B1845" i="6"/>
  <c r="B1844" i="6"/>
  <c r="B1843" i="6"/>
  <c r="B1842" i="6"/>
  <c r="B1841" i="6"/>
  <c r="B1840" i="6"/>
  <c r="B1839" i="6"/>
  <c r="B1838" i="6"/>
  <c r="B1837" i="6"/>
  <c r="B1836" i="6"/>
  <c r="B1835" i="6"/>
  <c r="B1834" i="6"/>
  <c r="B1833" i="6"/>
  <c r="B1832" i="6"/>
  <c r="B1831" i="6"/>
  <c r="B1830" i="6"/>
  <c r="B1829" i="6"/>
  <c r="B1828" i="6"/>
  <c r="B1827" i="6"/>
  <c r="B1826" i="6"/>
  <c r="B1825" i="6"/>
  <c r="B1824" i="6"/>
  <c r="B1823" i="6"/>
  <c r="B1822" i="6"/>
  <c r="B1821" i="6"/>
  <c r="B1820" i="6"/>
  <c r="B1819" i="6"/>
  <c r="B1818" i="6"/>
  <c r="B1817" i="6"/>
  <c r="B1816" i="6"/>
  <c r="B1815" i="6"/>
  <c r="B1814" i="6"/>
  <c r="B1813" i="6"/>
  <c r="B1812" i="6"/>
  <c r="B1811" i="6"/>
  <c r="B1810" i="6"/>
  <c r="B1809" i="6"/>
  <c r="B1808" i="6"/>
  <c r="B1807" i="6"/>
  <c r="B1806" i="6"/>
  <c r="B1805" i="6"/>
  <c r="B1804" i="6"/>
  <c r="B1803" i="6"/>
  <c r="B1802" i="6"/>
  <c r="B1801" i="6"/>
  <c r="B1800" i="6"/>
  <c r="B1799" i="6"/>
  <c r="B1798" i="6"/>
  <c r="B1797" i="6"/>
  <c r="B1796" i="6"/>
  <c r="B1795" i="6"/>
  <c r="B1794" i="6"/>
  <c r="B1793" i="6"/>
  <c r="B1792" i="6"/>
  <c r="B1791" i="6"/>
  <c r="B1790" i="6"/>
  <c r="B1789" i="6"/>
  <c r="B1788" i="6"/>
  <c r="B1787" i="6"/>
  <c r="B1786" i="6"/>
  <c r="B1785" i="6"/>
  <c r="B1784" i="6"/>
  <c r="B1783" i="6"/>
  <c r="B1782" i="6"/>
  <c r="B1781" i="6"/>
  <c r="B1779" i="6"/>
  <c r="B1778" i="6"/>
  <c r="B1777" i="6"/>
  <c r="B1776" i="6"/>
  <c r="B1775" i="6"/>
  <c r="B1774" i="6"/>
  <c r="B1773" i="6"/>
  <c r="B1772" i="6"/>
  <c r="B1771" i="6"/>
  <c r="B1770" i="6"/>
  <c r="B1769" i="6"/>
  <c r="B1768" i="6"/>
  <c r="B1767" i="6"/>
  <c r="B1766" i="6"/>
  <c r="B1765" i="6"/>
  <c r="B1764" i="6"/>
  <c r="B1763" i="6"/>
  <c r="B1762" i="6"/>
  <c r="B1761" i="6"/>
  <c r="B1760" i="6"/>
  <c r="B1759" i="6"/>
  <c r="B1758" i="6"/>
  <c r="B1757" i="6"/>
  <c r="B1756" i="6"/>
  <c r="B1755" i="6"/>
  <c r="B1754" i="6"/>
  <c r="B1753" i="6"/>
  <c r="B1752" i="6"/>
  <c r="B1751" i="6"/>
  <c r="B1750" i="6"/>
  <c r="B1749" i="6"/>
  <c r="B1748" i="6"/>
  <c r="B1747" i="6"/>
  <c r="B1746" i="6"/>
  <c r="B1745" i="6"/>
  <c r="B1744" i="6"/>
  <c r="B1743" i="6"/>
  <c r="B1742" i="6"/>
  <c r="B1741" i="6"/>
  <c r="B1740" i="6"/>
  <c r="B1739" i="6"/>
  <c r="B1738" i="6"/>
  <c r="B1737" i="6"/>
  <c r="B1736" i="6"/>
  <c r="B1735" i="6"/>
  <c r="B1734" i="6"/>
  <c r="B1733" i="6"/>
  <c r="B1732" i="6"/>
  <c r="B1731" i="6"/>
  <c r="B1730" i="6"/>
  <c r="B1729" i="6"/>
  <c r="B1728" i="6"/>
  <c r="B1727" i="6"/>
  <c r="B1726" i="6"/>
  <c r="B1725" i="6"/>
  <c r="B1724" i="6"/>
  <c r="B1723" i="6"/>
  <c r="B1722" i="6"/>
  <c r="B1721" i="6"/>
  <c r="B1720" i="6"/>
  <c r="B1719" i="6"/>
  <c r="B1718" i="6"/>
  <c r="B1717" i="6"/>
  <c r="B1716" i="6"/>
  <c r="B1715" i="6"/>
  <c r="B1714" i="6"/>
  <c r="B1713" i="6"/>
  <c r="B1712" i="6"/>
  <c r="B1711" i="6"/>
  <c r="B1710" i="6"/>
  <c r="B1709" i="6"/>
  <c r="B1708" i="6"/>
  <c r="B1707" i="6"/>
  <c r="B1706" i="6"/>
  <c r="B1705" i="6"/>
  <c r="B1704" i="6"/>
  <c r="B1703" i="6"/>
  <c r="B1702" i="6"/>
  <c r="B1701" i="6"/>
  <c r="B1699" i="6"/>
  <c r="B1698" i="6"/>
  <c r="B1697" i="6"/>
  <c r="B1696" i="6"/>
  <c r="B1695" i="6"/>
  <c r="B1694" i="6"/>
  <c r="B1693" i="6"/>
  <c r="B1692" i="6"/>
  <c r="B1691" i="6"/>
  <c r="B1690" i="6"/>
  <c r="B1689" i="6"/>
  <c r="B1688" i="6"/>
  <c r="B1687" i="6"/>
  <c r="B1686" i="6"/>
  <c r="B1685" i="6"/>
  <c r="B1684" i="6"/>
  <c r="B1683" i="6"/>
  <c r="B1682" i="6"/>
  <c r="B1681" i="6"/>
  <c r="B1680" i="6"/>
  <c r="B1679" i="6"/>
  <c r="B1678" i="6"/>
  <c r="B1677" i="6"/>
  <c r="B1676" i="6"/>
  <c r="B1675" i="6"/>
  <c r="B1674" i="6"/>
  <c r="B1673" i="6"/>
  <c r="B1672" i="6"/>
  <c r="B1671" i="6"/>
  <c r="B1670" i="6"/>
  <c r="B1669" i="6"/>
  <c r="B1668" i="6"/>
  <c r="B1667" i="6"/>
  <c r="B1666" i="6"/>
  <c r="B1665" i="6"/>
  <c r="B1664" i="6"/>
  <c r="B1663" i="6"/>
  <c r="B1662" i="6"/>
  <c r="B1661" i="6"/>
  <c r="B1660" i="6"/>
  <c r="B1659" i="6"/>
  <c r="B1658" i="6"/>
  <c r="B1657" i="6"/>
  <c r="B1656" i="6"/>
  <c r="B1655" i="6"/>
  <c r="B1654" i="6"/>
  <c r="B1653" i="6"/>
  <c r="B1652" i="6"/>
  <c r="B1651" i="6"/>
  <c r="B1650" i="6"/>
  <c r="B1649" i="6"/>
  <c r="B1648" i="6"/>
  <c r="B1647" i="6"/>
  <c r="B1646" i="6"/>
  <c r="B1645" i="6"/>
  <c r="B1644" i="6"/>
  <c r="B1643" i="6"/>
  <c r="B1642" i="6"/>
  <c r="B1641" i="6"/>
  <c r="B1640" i="6"/>
  <c r="B1639" i="6"/>
  <c r="B1638" i="6"/>
  <c r="B1637" i="6"/>
  <c r="B1636" i="6"/>
  <c r="B1635" i="6"/>
  <c r="B1634" i="6"/>
  <c r="B1633" i="6"/>
  <c r="B1632" i="6"/>
  <c r="B1631" i="6"/>
  <c r="B1630" i="6"/>
  <c r="B1629" i="6"/>
  <c r="B1628" i="6"/>
  <c r="B1627" i="6"/>
  <c r="B1626" i="6"/>
  <c r="B1625" i="6"/>
  <c r="B1624" i="6"/>
  <c r="B1623" i="6"/>
  <c r="B1622" i="6"/>
  <c r="B1621" i="6"/>
  <c r="B1620" i="6"/>
  <c r="B1619" i="6"/>
  <c r="B1618" i="6"/>
  <c r="B1617" i="6"/>
  <c r="B1616" i="6"/>
  <c r="B1615" i="6"/>
  <c r="B1614" i="6"/>
  <c r="B1613" i="6"/>
  <c r="B1612" i="6"/>
  <c r="B1611" i="6"/>
  <c r="B1610" i="6"/>
  <c r="B1609" i="6"/>
  <c r="B1608" i="6"/>
  <c r="B1607" i="6"/>
  <c r="B1606" i="6"/>
  <c r="B1605" i="6"/>
  <c r="B1604" i="6"/>
  <c r="B1603" i="6"/>
  <c r="B1602" i="6"/>
  <c r="B1601" i="6"/>
  <c r="B1600" i="6"/>
  <c r="B1599" i="6"/>
  <c r="B1598" i="6"/>
  <c r="B1597" i="6"/>
  <c r="B1596" i="6"/>
  <c r="B1595" i="6"/>
  <c r="B1594" i="6"/>
  <c r="B1593" i="6"/>
  <c r="B1592" i="6"/>
  <c r="B1591" i="6"/>
  <c r="B1590" i="6"/>
  <c r="B1589" i="6"/>
  <c r="B1588" i="6"/>
  <c r="B1587" i="6"/>
  <c r="B1586" i="6"/>
  <c r="B1585" i="6"/>
  <c r="B1584" i="6"/>
  <c r="B1583" i="6"/>
  <c r="B1582" i="6"/>
  <c r="B1581" i="6"/>
  <c r="B1580" i="6"/>
  <c r="B1579" i="6"/>
  <c r="B1578" i="6"/>
  <c r="B1577" i="6"/>
  <c r="B1576" i="6"/>
  <c r="B1575" i="6"/>
  <c r="B1574" i="6"/>
  <c r="B1572" i="6"/>
  <c r="B1571" i="6"/>
  <c r="B1570" i="6"/>
  <c r="B1569" i="6"/>
  <c r="B1568" i="6"/>
  <c r="B1567" i="6"/>
  <c r="B1566" i="6"/>
  <c r="B1565" i="6"/>
  <c r="B1564" i="6"/>
  <c r="B1563" i="6"/>
  <c r="B1562" i="6"/>
  <c r="B1561" i="6"/>
  <c r="B1560" i="6"/>
  <c r="B1559" i="6"/>
  <c r="B1558" i="6"/>
  <c r="B1557" i="6"/>
  <c r="B1556" i="6"/>
  <c r="B1555" i="6"/>
  <c r="B1554" i="6"/>
  <c r="B1553" i="6"/>
  <c r="B1552" i="6"/>
  <c r="B1551" i="6"/>
  <c r="B1550" i="6"/>
  <c r="B1549" i="6"/>
  <c r="B1548" i="6"/>
  <c r="B1547" i="6"/>
  <c r="B1546" i="6"/>
  <c r="B1545" i="6"/>
  <c r="B1544" i="6"/>
  <c r="B1543" i="6"/>
  <c r="B1542" i="6"/>
  <c r="B1541" i="6"/>
  <c r="B1540" i="6"/>
  <c r="B1539" i="6"/>
  <c r="B1538" i="6"/>
  <c r="B1537" i="6"/>
  <c r="B1536" i="6"/>
  <c r="B1535" i="6"/>
  <c r="B1534" i="6"/>
  <c r="B1533" i="6"/>
  <c r="B1532" i="6"/>
  <c r="B1531" i="6"/>
  <c r="B1530" i="6"/>
  <c r="B1529" i="6"/>
  <c r="B1528" i="6"/>
  <c r="B1527" i="6"/>
  <c r="B1526" i="6"/>
  <c r="B1525" i="6"/>
  <c r="B1524" i="6"/>
  <c r="B1523" i="6"/>
  <c r="B1522" i="6"/>
  <c r="B1521" i="6"/>
  <c r="B1520" i="6"/>
  <c r="B1519" i="6"/>
  <c r="B1518" i="6"/>
  <c r="B1517" i="6"/>
  <c r="B1516" i="6"/>
  <c r="B1515" i="6"/>
  <c r="B1514" i="6"/>
  <c r="B1513" i="6"/>
  <c r="B1512" i="6"/>
  <c r="B1511" i="6"/>
  <c r="B1510" i="6"/>
  <c r="B1509" i="6"/>
  <c r="B1508" i="6"/>
  <c r="B1507" i="6"/>
  <c r="B1506" i="6"/>
  <c r="B1505" i="6"/>
  <c r="B1504" i="6"/>
  <c r="B1503" i="6"/>
  <c r="B1501" i="6"/>
  <c r="B1500" i="6"/>
  <c r="B1499" i="6"/>
  <c r="B1498" i="6"/>
  <c r="B1497" i="6"/>
  <c r="B1496" i="6"/>
  <c r="B1495" i="6"/>
  <c r="B1494" i="6"/>
  <c r="B1493" i="6"/>
  <c r="B1492" i="6"/>
  <c r="B1491" i="6"/>
  <c r="B1490" i="6"/>
  <c r="B1489" i="6"/>
  <c r="B1488" i="6"/>
  <c r="B1487" i="6"/>
  <c r="B1486" i="6"/>
  <c r="B1485" i="6"/>
  <c r="B1484" i="6"/>
  <c r="B1483" i="6"/>
  <c r="B1482" i="6"/>
  <c r="B1481" i="6"/>
  <c r="B1480" i="6"/>
  <c r="B1479" i="6"/>
  <c r="B1478" i="6"/>
  <c r="B1477" i="6"/>
  <c r="B1476" i="6"/>
  <c r="B1475" i="6"/>
  <c r="B1474" i="6"/>
  <c r="B1473" i="6"/>
  <c r="B1472" i="6"/>
  <c r="B1471" i="6"/>
  <c r="B1470" i="6"/>
  <c r="B1469" i="6"/>
  <c r="B1468" i="6"/>
  <c r="B1467" i="6"/>
  <c r="B1466" i="6"/>
  <c r="B1465" i="6"/>
  <c r="B1464" i="6"/>
  <c r="B1463" i="6"/>
  <c r="B1462" i="6"/>
  <c r="B1461" i="6"/>
  <c r="B1460" i="6"/>
  <c r="B1459" i="6"/>
  <c r="B1458" i="6"/>
  <c r="B1457" i="6"/>
  <c r="B1456" i="6"/>
  <c r="B1455" i="6"/>
  <c r="B1454" i="6"/>
  <c r="B1453" i="6"/>
  <c r="B1452" i="6"/>
  <c r="B1451" i="6"/>
  <c r="B1450" i="6"/>
  <c r="B1449" i="6"/>
  <c r="B1448" i="6"/>
  <c r="B1447" i="6"/>
  <c r="B1446" i="6"/>
  <c r="B1445" i="6"/>
  <c r="B1444" i="6"/>
  <c r="B1443" i="6"/>
  <c r="B1442" i="6"/>
  <c r="B1441" i="6"/>
  <c r="B1440" i="6"/>
  <c r="B1439" i="6"/>
  <c r="B1438" i="6"/>
  <c r="B1437" i="6"/>
  <c r="B1436" i="6"/>
  <c r="B1435" i="6"/>
  <c r="B1434" i="6"/>
  <c r="B1433" i="6"/>
  <c r="B1432" i="6"/>
  <c r="B1431" i="6"/>
  <c r="B1430" i="6"/>
  <c r="B1429" i="6"/>
  <c r="B1428" i="6"/>
  <c r="B1427" i="6"/>
  <c r="B1426" i="6"/>
  <c r="B1425" i="6"/>
  <c r="B1424" i="6"/>
  <c r="B1423" i="6"/>
  <c r="B1422" i="6"/>
  <c r="B1421" i="6"/>
  <c r="B1420" i="6"/>
  <c r="B1419" i="6"/>
  <c r="B1418" i="6"/>
  <c r="B1417" i="6"/>
  <c r="B1416" i="6"/>
  <c r="B1415" i="6"/>
  <c r="B1414" i="6"/>
  <c r="B1413" i="6"/>
  <c r="B1412" i="6"/>
  <c r="B1411" i="6"/>
  <c r="B1410" i="6"/>
  <c r="B1409" i="6"/>
  <c r="B1408" i="6"/>
  <c r="B1407" i="6"/>
  <c r="B1406" i="6"/>
  <c r="B1405" i="6"/>
  <c r="B1404" i="6"/>
  <c r="B1403" i="6"/>
  <c r="B1402" i="6"/>
  <c r="B1401" i="6"/>
  <c r="B1400" i="6"/>
  <c r="B1399" i="6"/>
  <c r="B1398" i="6"/>
  <c r="B1397" i="6"/>
  <c r="B1396" i="6"/>
  <c r="B1395" i="6"/>
  <c r="B1394" i="6"/>
  <c r="B1393" i="6"/>
  <c r="B1392" i="6"/>
  <c r="B1391" i="6"/>
  <c r="B1390" i="6"/>
  <c r="B1389" i="6"/>
  <c r="B1388" i="6"/>
  <c r="B1387" i="6"/>
  <c r="B1386" i="6"/>
  <c r="B1385" i="6"/>
  <c r="B1384" i="6"/>
  <c r="B1383" i="6"/>
  <c r="B1382" i="6"/>
  <c r="B1381" i="6"/>
  <c r="B1380" i="6"/>
  <c r="B1379" i="6"/>
  <c r="B1378" i="6"/>
  <c r="B1377" i="6"/>
  <c r="B1376" i="6"/>
  <c r="B1375" i="6"/>
  <c r="B1374" i="6"/>
  <c r="B1373" i="6"/>
  <c r="B1372" i="6"/>
  <c r="B1371" i="6"/>
  <c r="B1370" i="6"/>
  <c r="B1369" i="6"/>
  <c r="B1368" i="6"/>
  <c r="B1367" i="6"/>
  <c r="B1366" i="6"/>
  <c r="B1365" i="6"/>
  <c r="B1364" i="6"/>
  <c r="B1363" i="6"/>
  <c r="B1362" i="6"/>
  <c r="B1361" i="6"/>
  <c r="B1360" i="6"/>
  <c r="B1359" i="6"/>
  <c r="B1357" i="6"/>
  <c r="B1356" i="6"/>
  <c r="B1355" i="6"/>
  <c r="B1354" i="6"/>
  <c r="B1353" i="6"/>
  <c r="B1352" i="6"/>
  <c r="B1351" i="6"/>
  <c r="B1350" i="6"/>
  <c r="B1349" i="6"/>
  <c r="B1348" i="6"/>
  <c r="B1347" i="6"/>
  <c r="B1346" i="6"/>
  <c r="B1345" i="6"/>
  <c r="B1344" i="6"/>
  <c r="B1343" i="6"/>
  <c r="B1342" i="6"/>
  <c r="B1341" i="6"/>
  <c r="B1340" i="6"/>
  <c r="B1339" i="6"/>
  <c r="B1338" i="6"/>
  <c r="B1337" i="6"/>
  <c r="B1336" i="6"/>
  <c r="B1335" i="6"/>
  <c r="B1334" i="6"/>
  <c r="B1333" i="6"/>
  <c r="B1332" i="6"/>
  <c r="B1331" i="6"/>
  <c r="B1330" i="6"/>
  <c r="B1329" i="6"/>
  <c r="B1328" i="6"/>
  <c r="B1327" i="6"/>
  <c r="B1326" i="6"/>
  <c r="B1325" i="6"/>
  <c r="B1324" i="6"/>
  <c r="B1323" i="6"/>
  <c r="B1322" i="6"/>
  <c r="B1321" i="6"/>
  <c r="B1320" i="6"/>
  <c r="B1319" i="6"/>
  <c r="B1318" i="6"/>
  <c r="B1317" i="6"/>
  <c r="B1316" i="6"/>
  <c r="B1315" i="6"/>
  <c r="B1314" i="6"/>
  <c r="B1313" i="6"/>
  <c r="B1312" i="6"/>
  <c r="B1311" i="6"/>
  <c r="B1310" i="6"/>
  <c r="B1309" i="6"/>
  <c r="B1308" i="6"/>
  <c r="B1307" i="6"/>
  <c r="B1306" i="6"/>
  <c r="B1305" i="6"/>
  <c r="B1304" i="6"/>
  <c r="B1303" i="6"/>
  <c r="B1302" i="6"/>
  <c r="B1300" i="6"/>
  <c r="B1299" i="6"/>
  <c r="B1298" i="6"/>
  <c r="B1297" i="6"/>
  <c r="B1296" i="6"/>
  <c r="B1295" i="6"/>
  <c r="B1294" i="6"/>
  <c r="B1293" i="6"/>
  <c r="B1292" i="6"/>
  <c r="B1291" i="6"/>
  <c r="B1290" i="6"/>
  <c r="B1289" i="6"/>
  <c r="B1288" i="6"/>
  <c r="B1287" i="6"/>
  <c r="B1286" i="6"/>
  <c r="B1285" i="6"/>
  <c r="B1284" i="6"/>
  <c r="B1283" i="6"/>
  <c r="B1282" i="6"/>
  <c r="B1281" i="6"/>
  <c r="B1280" i="6"/>
  <c r="B1279" i="6"/>
  <c r="B1278" i="6"/>
  <c r="B1277" i="6"/>
  <c r="B1276" i="6"/>
  <c r="B1275" i="6"/>
  <c r="B1274" i="6"/>
  <c r="B1273" i="6"/>
  <c r="B1272" i="6"/>
  <c r="B1271" i="6"/>
  <c r="B1270" i="6"/>
  <c r="B1269" i="6"/>
  <c r="B1268" i="6"/>
  <c r="B1267" i="6"/>
  <c r="B1266" i="6"/>
  <c r="B1265" i="6"/>
  <c r="B1264" i="6"/>
  <c r="B1263" i="6"/>
  <c r="B1262" i="6"/>
  <c r="B1261" i="6"/>
  <c r="B1260" i="6"/>
  <c r="B1259" i="6"/>
  <c r="B1258" i="6"/>
  <c r="B1257" i="6"/>
  <c r="B1256" i="6"/>
  <c r="B1255" i="6"/>
  <c r="B1254" i="6"/>
  <c r="B1253" i="6"/>
  <c r="B1252" i="6"/>
  <c r="B1251" i="6"/>
  <c r="B1250" i="6"/>
  <c r="B1249" i="6"/>
  <c r="B1248" i="6"/>
  <c r="B1247" i="6"/>
  <c r="B1246" i="6"/>
  <c r="B1245" i="6"/>
  <c r="B1244" i="6"/>
  <c r="B1243" i="6"/>
  <c r="B1242" i="6"/>
  <c r="B1241" i="6"/>
  <c r="B1240" i="6"/>
  <c r="B1239" i="6"/>
  <c r="B1238" i="6"/>
  <c r="B1237" i="6"/>
  <c r="B1236" i="6"/>
  <c r="B1234" i="6"/>
  <c r="B1233" i="6"/>
  <c r="B1232" i="6"/>
  <c r="B1231" i="6"/>
  <c r="B1230" i="6"/>
  <c r="B1229" i="6"/>
  <c r="B1228" i="6"/>
  <c r="B1227" i="6"/>
  <c r="B1225" i="6"/>
  <c r="B1224" i="6"/>
  <c r="B1223" i="6"/>
  <c r="B1222" i="6"/>
  <c r="B1221" i="6"/>
  <c r="B1220" i="6"/>
  <c r="B1219" i="6"/>
  <c r="B1218" i="6"/>
  <c r="B1217" i="6"/>
  <c r="B1216" i="6"/>
  <c r="B1215" i="6"/>
  <c r="B1214" i="6"/>
  <c r="B1213" i="6"/>
  <c r="B1212" i="6"/>
  <c r="B1211" i="6"/>
  <c r="B1210" i="6"/>
  <c r="B1209" i="6"/>
  <c r="B1208" i="6"/>
  <c r="B1207" i="6"/>
  <c r="B1206" i="6"/>
  <c r="B1205" i="6"/>
  <c r="B1204" i="6"/>
  <c r="B1203" i="6"/>
  <c r="B1202" i="6"/>
  <c r="B1201" i="6"/>
  <c r="B1200" i="6"/>
  <c r="B1199" i="6"/>
  <c r="B1198" i="6"/>
  <c r="B1197" i="6"/>
  <c r="B1196" i="6"/>
  <c r="B1195" i="6"/>
  <c r="B1194" i="6"/>
  <c r="B1193" i="6"/>
  <c r="B1192" i="6"/>
  <c r="B1191" i="6"/>
  <c r="B1189" i="6"/>
  <c r="B1188" i="6"/>
  <c r="B1187" i="6"/>
  <c r="B1186" i="6"/>
  <c r="B1185" i="6"/>
  <c r="B1184" i="6"/>
  <c r="B1183" i="6"/>
  <c r="B1182" i="6"/>
  <c r="B1181" i="6"/>
  <c r="B1180" i="6"/>
  <c r="B1179" i="6"/>
  <c r="B1178" i="6"/>
  <c r="B1177" i="6"/>
  <c r="B1176" i="6"/>
  <c r="B1175" i="6"/>
  <c r="B1174" i="6"/>
  <c r="B1173" i="6"/>
  <c r="B1172" i="6"/>
  <c r="B1171" i="6"/>
  <c r="B1170" i="6"/>
  <c r="B1169" i="6"/>
  <c r="B1168" i="6"/>
  <c r="B1167" i="6"/>
  <c r="B1166" i="6"/>
  <c r="B1165" i="6"/>
  <c r="B1164" i="6"/>
  <c r="B1163" i="6"/>
  <c r="B1162" i="6"/>
  <c r="B1161" i="6"/>
  <c r="B1160" i="6"/>
  <c r="B1159" i="6"/>
  <c r="B1158" i="6"/>
  <c r="B1157" i="6"/>
  <c r="B1156" i="6"/>
  <c r="B1155" i="6"/>
  <c r="B1154" i="6"/>
  <c r="B1153" i="6"/>
  <c r="B1152" i="6"/>
  <c r="B1151" i="6"/>
  <c r="B1150" i="6"/>
  <c r="B1149" i="6"/>
  <c r="B1148" i="6"/>
  <c r="B1147" i="6"/>
  <c r="B1145" i="6"/>
  <c r="B1144" i="6"/>
  <c r="B1143" i="6"/>
  <c r="B1142" i="6"/>
  <c r="B1141" i="6"/>
  <c r="B1140" i="6"/>
  <c r="B1139" i="6"/>
  <c r="B1138" i="6"/>
  <c r="B1137" i="6"/>
  <c r="B1136" i="6"/>
  <c r="B1135" i="6"/>
  <c r="B1134" i="6"/>
  <c r="B1133" i="6"/>
  <c r="B1132" i="6"/>
  <c r="B1131" i="6"/>
  <c r="B1130" i="6"/>
  <c r="B1129" i="6"/>
  <c r="B1128" i="6"/>
  <c r="B1127" i="6"/>
  <c r="B1126" i="6"/>
  <c r="B1125" i="6"/>
  <c r="B1124" i="6"/>
  <c r="B1123" i="6"/>
  <c r="B1122" i="6"/>
  <c r="B1120" i="6"/>
  <c r="B1119" i="6"/>
  <c r="B1118" i="6"/>
  <c r="B1117" i="6"/>
  <c r="B1116" i="6"/>
  <c r="B1115" i="6"/>
  <c r="B1114" i="6"/>
  <c r="B1113" i="6"/>
  <c r="B1112" i="6"/>
  <c r="B1111" i="6"/>
  <c r="B1110" i="6"/>
  <c r="B1109" i="6"/>
  <c r="B1108" i="6"/>
  <c r="B1107" i="6"/>
  <c r="B1106" i="6"/>
  <c r="B1105" i="6"/>
  <c r="B1104" i="6"/>
  <c r="B1103" i="6"/>
  <c r="B1102" i="6"/>
  <c r="B1101" i="6"/>
  <c r="B1100" i="6"/>
  <c r="B1099" i="6"/>
  <c r="B1098" i="6"/>
  <c r="B1097" i="6"/>
  <c r="B1096" i="6"/>
  <c r="B1095" i="6"/>
  <c r="B1094" i="6"/>
  <c r="B1093" i="6"/>
  <c r="B1092" i="6"/>
  <c r="B1091" i="6"/>
  <c r="B1090" i="6"/>
  <c r="B1089" i="6"/>
  <c r="B1088" i="6"/>
  <c r="B1087" i="6"/>
  <c r="B1086" i="6"/>
  <c r="B1085" i="6"/>
  <c r="B1084" i="6"/>
  <c r="B1083" i="6"/>
  <c r="B1082" i="6"/>
  <c r="B1081" i="6"/>
  <c r="B1080" i="6"/>
  <c r="B1079" i="6"/>
  <c r="B1078" i="6"/>
  <c r="B1077" i="6"/>
  <c r="B1076" i="6"/>
  <c r="B1075" i="6"/>
  <c r="B1074" i="6"/>
  <c r="B1073" i="6"/>
  <c r="B1072" i="6"/>
  <c r="B1071" i="6"/>
  <c r="B1070" i="6"/>
  <c r="B1069" i="6"/>
  <c r="B1068" i="6"/>
  <c r="B1067" i="6"/>
  <c r="B1066" i="6"/>
  <c r="B1065" i="6"/>
  <c r="B1064" i="6"/>
  <c r="B1063" i="6"/>
  <c r="B1062" i="6"/>
  <c r="B1061" i="6"/>
  <c r="B1060" i="6"/>
  <c r="B1059" i="6"/>
  <c r="B1058" i="6"/>
  <c r="B1057" i="6"/>
  <c r="B1056" i="6"/>
  <c r="B1055" i="6"/>
  <c r="B1054" i="6"/>
  <c r="B1053" i="6"/>
  <c r="B1052" i="6"/>
  <c r="B1051" i="6"/>
  <c r="B1050" i="6"/>
  <c r="B1049" i="6"/>
  <c r="B1048" i="6"/>
  <c r="B1047" i="6"/>
  <c r="B1046" i="6"/>
  <c r="B1045" i="6"/>
  <c r="B1044" i="6"/>
  <c r="B1043" i="6"/>
  <c r="B1042" i="6"/>
  <c r="B1041" i="6"/>
  <c r="B1040" i="6"/>
  <c r="B1039" i="6"/>
  <c r="B1038" i="6"/>
  <c r="B1037" i="6"/>
  <c r="B1036" i="6"/>
  <c r="B1035" i="6"/>
  <c r="B1034" i="6"/>
  <c r="B1033" i="6"/>
  <c r="B1032" i="6"/>
  <c r="B1031" i="6"/>
  <c r="B1030" i="6"/>
  <c r="B1029" i="6"/>
  <c r="B1028" i="6"/>
  <c r="B1027" i="6"/>
  <c r="B1026" i="6"/>
  <c r="B1025" i="6"/>
  <c r="B1024" i="6"/>
  <c r="B1023" i="6"/>
  <c r="B1022" i="6"/>
  <c r="B1021" i="6"/>
  <c r="B1020" i="6"/>
  <c r="B1019" i="6"/>
  <c r="B1018" i="6"/>
  <c r="B1016" i="6"/>
  <c r="B1015" i="6"/>
  <c r="B1014" i="6"/>
  <c r="B1013" i="6"/>
  <c r="B1012" i="6"/>
  <c r="B1011" i="6"/>
  <c r="B1009" i="6"/>
  <c r="B1008" i="6"/>
  <c r="B1007" i="6"/>
  <c r="B1006" i="6"/>
  <c r="B1005" i="6"/>
  <c r="B1004" i="6"/>
  <c r="B1003" i="6"/>
  <c r="B1002" i="6"/>
  <c r="B1001" i="6"/>
  <c r="B1000" i="6"/>
  <c r="B999" i="6"/>
  <c r="B998" i="6"/>
  <c r="B997" i="6"/>
  <c r="B996" i="6"/>
  <c r="B995" i="6"/>
  <c r="B994" i="6"/>
  <c r="B991" i="6"/>
  <c r="B990" i="6"/>
  <c r="B989" i="6"/>
  <c r="B988" i="6"/>
  <c r="B987" i="6"/>
  <c r="B986" i="6"/>
  <c r="B985" i="6"/>
  <c r="B984" i="6"/>
  <c r="B983" i="6"/>
  <c r="B982" i="6"/>
  <c r="B981" i="6"/>
  <c r="B980" i="6"/>
  <c r="B978" i="6"/>
  <c r="B977" i="6"/>
  <c r="B976" i="6"/>
  <c r="B975" i="6"/>
  <c r="B974" i="6"/>
  <c r="B973" i="6"/>
  <c r="B972" i="6"/>
  <c r="B971" i="6"/>
  <c r="B970" i="6"/>
  <c r="B969" i="6"/>
  <c r="B968" i="6"/>
  <c r="B967" i="6"/>
  <c r="B966" i="6"/>
  <c r="B965" i="6"/>
  <c r="B964" i="6"/>
  <c r="B963" i="6"/>
  <c r="B962" i="6"/>
  <c r="B961" i="6"/>
  <c r="B960" i="6"/>
  <c r="B959" i="6"/>
  <c r="B958" i="6"/>
  <c r="B957" i="6"/>
  <c r="B956" i="6"/>
  <c r="B955" i="6"/>
  <c r="B954" i="6"/>
  <c r="B953" i="6"/>
  <c r="B952" i="6"/>
  <c r="B951" i="6"/>
  <c r="B950" i="6"/>
  <c r="B949" i="6"/>
  <c r="B948" i="6"/>
  <c r="B947" i="6"/>
  <c r="B946" i="6"/>
  <c r="B945" i="6"/>
  <c r="B944" i="6"/>
  <c r="B943" i="6"/>
  <c r="B942" i="6"/>
  <c r="B941" i="6"/>
  <c r="B940" i="6"/>
  <c r="B939" i="6"/>
  <c r="B938" i="6"/>
  <c r="B937" i="6"/>
  <c r="B936" i="6"/>
  <c r="B935" i="6"/>
  <c r="B934" i="6"/>
  <c r="B933" i="6"/>
  <c r="B932" i="6"/>
  <c r="B931" i="6"/>
  <c r="B930" i="6"/>
  <c r="B929" i="6"/>
  <c r="B928" i="6"/>
  <c r="B927" i="6"/>
  <c r="B926" i="6"/>
  <c r="B925" i="6"/>
  <c r="B924" i="6"/>
  <c r="B923" i="6"/>
  <c r="B922" i="6"/>
  <c r="B921" i="6"/>
  <c r="B920" i="6"/>
  <c r="B919" i="6"/>
  <c r="B918" i="6"/>
  <c r="B917" i="6"/>
  <c r="B916" i="6"/>
  <c r="B915" i="6"/>
  <c r="B914" i="6"/>
  <c r="B913" i="6"/>
  <c r="B912" i="6"/>
  <c r="B911" i="6"/>
  <c r="B910" i="6"/>
  <c r="B908" i="6"/>
  <c r="B907" i="6"/>
  <c r="B906" i="6"/>
  <c r="B905" i="6"/>
  <c r="B904" i="6"/>
  <c r="B903" i="6"/>
  <c r="B902" i="6"/>
  <c r="B901" i="6"/>
  <c r="B900" i="6"/>
  <c r="B899" i="6"/>
  <c r="B898" i="6"/>
  <c r="B897" i="6"/>
  <c r="B896" i="6"/>
  <c r="B895" i="6"/>
  <c r="B894" i="6"/>
  <c r="B893" i="6"/>
  <c r="B892" i="6"/>
  <c r="B891" i="6"/>
  <c r="B890" i="6"/>
  <c r="B889" i="6"/>
  <c r="B888" i="6"/>
  <c r="B887" i="6"/>
  <c r="B886" i="6"/>
  <c r="B885" i="6"/>
  <c r="B884" i="6"/>
  <c r="B883" i="6"/>
  <c r="B882" i="6"/>
  <c r="B881" i="6"/>
  <c r="B880" i="6"/>
  <c r="B879" i="6"/>
  <c r="B878" i="6"/>
  <c r="B877" i="6"/>
  <c r="B876" i="6"/>
  <c r="B875" i="6"/>
  <c r="B874" i="6"/>
  <c r="B873" i="6"/>
  <c r="B872" i="6"/>
  <c r="B871" i="6"/>
  <c r="B870" i="6"/>
  <c r="B869" i="6"/>
  <c r="B868" i="6"/>
  <c r="B867" i="6"/>
  <c r="B866" i="6"/>
  <c r="B865" i="6"/>
  <c r="B864" i="6"/>
  <c r="B863" i="6"/>
  <c r="B862" i="6"/>
  <c r="B861" i="6"/>
  <c r="B860" i="6"/>
  <c r="B859" i="6"/>
  <c r="B858" i="6"/>
  <c r="B857" i="6"/>
  <c r="B856" i="6"/>
  <c r="B855" i="6"/>
  <c r="B854" i="6"/>
  <c r="B853" i="6"/>
  <c r="B852" i="6"/>
  <c r="B851" i="6"/>
  <c r="B850" i="6"/>
  <c r="B849" i="6"/>
  <c r="B848" i="6"/>
  <c r="B847" i="6"/>
  <c r="B846" i="6"/>
  <c r="B845" i="6"/>
  <c r="B844" i="6"/>
  <c r="B843" i="6"/>
  <c r="B842" i="6"/>
  <c r="B841" i="6"/>
  <c r="B840" i="6"/>
  <c r="B839" i="6"/>
  <c r="B838" i="6"/>
  <c r="B837" i="6"/>
  <c r="B836" i="6"/>
  <c r="B835" i="6"/>
  <c r="B834" i="6"/>
  <c r="B833" i="6"/>
  <c r="B832" i="6"/>
  <c r="B831" i="6"/>
  <c r="B830" i="6"/>
  <c r="B829" i="6"/>
  <c r="B828" i="6"/>
  <c r="B827" i="6"/>
  <c r="B826" i="6"/>
  <c r="B825" i="6"/>
  <c r="B824" i="6"/>
  <c r="B823" i="6"/>
  <c r="B822" i="6"/>
  <c r="B821" i="6"/>
  <c r="B820" i="6"/>
  <c r="B819" i="6"/>
  <c r="B818" i="6"/>
  <c r="B817" i="6"/>
  <c r="B816" i="6"/>
  <c r="B815" i="6"/>
  <c r="B814" i="6"/>
  <c r="B813" i="6"/>
  <c r="B812" i="6"/>
  <c r="B811" i="6"/>
  <c r="B810" i="6"/>
  <c r="B809" i="6"/>
  <c r="B808" i="6"/>
  <c r="B807" i="6"/>
  <c r="B806" i="6"/>
  <c r="B805" i="6"/>
  <c r="B804" i="6"/>
  <c r="B803" i="6"/>
  <c r="B802" i="6"/>
  <c r="B801" i="6"/>
  <c r="B800" i="6"/>
  <c r="B799" i="6"/>
  <c r="B798" i="6"/>
  <c r="B797" i="6"/>
  <c r="B796" i="6"/>
  <c r="B795" i="6"/>
  <c r="B794" i="6"/>
  <c r="B792" i="6"/>
  <c r="B791" i="6"/>
  <c r="B790" i="6"/>
  <c r="B789" i="6"/>
  <c r="B788" i="6"/>
  <c r="B787" i="6"/>
  <c r="B786" i="6"/>
  <c r="B785" i="6"/>
  <c r="B784" i="6"/>
  <c r="B783" i="6"/>
  <c r="B782" i="6"/>
  <c r="B781" i="6"/>
  <c r="B780" i="6"/>
  <c r="B779" i="6"/>
  <c r="B778" i="6"/>
  <c r="B777" i="6"/>
  <c r="B776" i="6"/>
  <c r="B775" i="6"/>
  <c r="B774" i="6"/>
  <c r="B773" i="6"/>
  <c r="B772" i="6"/>
  <c r="B771" i="6"/>
  <c r="B770" i="6"/>
  <c r="B769" i="6"/>
  <c r="B768" i="6"/>
  <c r="B767" i="6"/>
  <c r="B766" i="6"/>
  <c r="B765" i="6"/>
  <c r="B764" i="6"/>
  <c r="B763" i="6"/>
  <c r="B762" i="6"/>
  <c r="B761" i="6"/>
  <c r="B760" i="6"/>
  <c r="B759" i="6"/>
  <c r="B758" i="6"/>
  <c r="B757" i="6"/>
  <c r="B756" i="6"/>
  <c r="B755" i="6"/>
  <c r="B754" i="6"/>
  <c r="B753" i="6"/>
  <c r="B752" i="6"/>
  <c r="B751" i="6"/>
  <c r="B750" i="6"/>
  <c r="B749" i="6"/>
  <c r="B748" i="6"/>
  <c r="B746" i="6"/>
  <c r="B745" i="6"/>
  <c r="B744" i="6"/>
  <c r="B743" i="6"/>
  <c r="B742" i="6"/>
  <c r="B741" i="6"/>
  <c r="B740" i="6"/>
  <c r="B739" i="6"/>
  <c r="B738" i="6"/>
  <c r="B737" i="6"/>
  <c r="B736" i="6"/>
  <c r="B735" i="6"/>
  <c r="B734" i="6"/>
  <c r="B733" i="6"/>
  <c r="B732" i="6"/>
  <c r="B731" i="6"/>
  <c r="B730" i="6"/>
  <c r="B729" i="6"/>
  <c r="B728" i="6"/>
  <c r="B727" i="6"/>
  <c r="B726" i="6"/>
  <c r="B725" i="6"/>
  <c r="B724" i="6"/>
  <c r="B723" i="6"/>
  <c r="B722" i="6"/>
  <c r="B721" i="6"/>
  <c r="B720" i="6"/>
  <c r="B719" i="6"/>
  <c r="B718" i="6"/>
  <c r="B717" i="6"/>
  <c r="B716" i="6"/>
  <c r="B715" i="6"/>
  <c r="B714" i="6"/>
  <c r="B713" i="6"/>
  <c r="B712" i="6"/>
  <c r="B711" i="6"/>
  <c r="B710" i="6"/>
  <c r="B709" i="6"/>
  <c r="B708" i="6"/>
  <c r="B707" i="6"/>
  <c r="B706" i="6"/>
  <c r="B705" i="6"/>
  <c r="B704" i="6"/>
  <c r="B703" i="6"/>
  <c r="B702" i="6"/>
  <c r="B701" i="6"/>
  <c r="B700" i="6"/>
  <c r="B699" i="6"/>
  <c r="B698" i="6"/>
  <c r="B697" i="6"/>
  <c r="B696" i="6"/>
  <c r="B695" i="6"/>
  <c r="B694" i="6"/>
  <c r="B693" i="6"/>
  <c r="B692" i="6"/>
  <c r="B691" i="6"/>
  <c r="B690" i="6"/>
  <c r="B689" i="6"/>
  <c r="B688" i="6"/>
  <c r="B687" i="6"/>
  <c r="B686" i="6"/>
  <c r="B685" i="6"/>
  <c r="B684" i="6"/>
  <c r="B683" i="6"/>
  <c r="B682" i="6"/>
  <c r="B681" i="6"/>
  <c r="B680" i="6"/>
  <c r="B679" i="6"/>
  <c r="B678" i="6"/>
  <c r="B677" i="6"/>
  <c r="B676" i="6"/>
  <c r="B674" i="6"/>
  <c r="B673" i="6"/>
  <c r="B672" i="6"/>
  <c r="B671" i="6"/>
  <c r="B670" i="6"/>
  <c r="B669" i="6"/>
  <c r="B668" i="6"/>
  <c r="B667" i="6"/>
  <c r="B666" i="6"/>
  <c r="B665" i="6"/>
  <c r="B664" i="6"/>
  <c r="B663" i="6"/>
  <c r="B662" i="6"/>
  <c r="B661" i="6"/>
  <c r="B660" i="6"/>
  <c r="B659" i="6"/>
  <c r="B658" i="6"/>
  <c r="B657" i="6"/>
  <c r="B656" i="6"/>
  <c r="B655" i="6"/>
  <c r="B654" i="6"/>
  <c r="B653" i="6"/>
  <c r="B652" i="6"/>
  <c r="B651" i="6"/>
  <c r="B650" i="6"/>
  <c r="B649" i="6"/>
  <c r="B648" i="6"/>
  <c r="B647" i="6"/>
  <c r="B646" i="6"/>
  <c r="B645" i="6"/>
  <c r="B644" i="6"/>
  <c r="B643" i="6"/>
  <c r="B642" i="6"/>
  <c r="B641" i="6"/>
  <c r="B639" i="6"/>
  <c r="B638" i="6"/>
  <c r="B637" i="6"/>
  <c r="B636" i="6"/>
  <c r="B635" i="6"/>
  <c r="B634" i="6"/>
  <c r="B633" i="6"/>
  <c r="B632" i="6"/>
  <c r="B630" i="6"/>
  <c r="B629" i="6"/>
  <c r="B628" i="6"/>
  <c r="B627" i="6"/>
  <c r="B626" i="6"/>
  <c r="B625" i="6"/>
  <c r="B624" i="6"/>
  <c r="B623" i="6"/>
  <c r="B622" i="6"/>
  <c r="B621" i="6"/>
  <c r="B620" i="6"/>
  <c r="B619" i="6"/>
  <c r="B618" i="6"/>
  <c r="B617" i="6"/>
  <c r="B616" i="6"/>
  <c r="B615" i="6"/>
  <c r="B614" i="6"/>
  <c r="B612" i="6"/>
  <c r="B611" i="6"/>
  <c r="B610" i="6"/>
  <c r="B609" i="6"/>
  <c r="B608" i="6"/>
  <c r="B607" i="6"/>
  <c r="B606" i="6"/>
  <c r="B605" i="6"/>
  <c r="B604" i="6"/>
  <c r="B603" i="6"/>
  <c r="B602" i="6"/>
  <c r="B601" i="6"/>
  <c r="B600" i="6"/>
  <c r="B599" i="6"/>
  <c r="B598" i="6"/>
  <c r="B597" i="6"/>
  <c r="B596" i="6"/>
  <c r="B595" i="6"/>
  <c r="B594" i="6"/>
  <c r="B593" i="6"/>
  <c r="B592" i="6"/>
  <c r="B591" i="6"/>
  <c r="B590" i="6"/>
  <c r="B589" i="6"/>
  <c r="B588" i="6"/>
  <c r="B587" i="6"/>
  <c r="B585" i="6"/>
  <c r="B584" i="6"/>
  <c r="B583" i="6"/>
  <c r="B582" i="6"/>
  <c r="B581" i="6"/>
  <c r="B580" i="6"/>
  <c r="B579" i="6"/>
  <c r="B578" i="6"/>
  <c r="B577" i="6"/>
  <c r="B576" i="6"/>
  <c r="B575" i="6"/>
  <c r="B574" i="6"/>
  <c r="B573" i="6"/>
  <c r="B572" i="6"/>
  <c r="B571" i="6"/>
  <c r="B570" i="6"/>
  <c r="B569" i="6"/>
  <c r="B568" i="6"/>
  <c r="B567" i="6"/>
  <c r="B566" i="6"/>
  <c r="B565" i="6"/>
  <c r="B564" i="6"/>
  <c r="B563" i="6"/>
  <c r="B562" i="6"/>
  <c r="B561" i="6"/>
  <c r="B560" i="6"/>
  <c r="B559" i="6"/>
  <c r="B558" i="6"/>
  <c r="B557" i="6"/>
  <c r="B556" i="6"/>
  <c r="B555" i="6"/>
  <c r="B554" i="6"/>
  <c r="B553" i="6"/>
  <c r="B552" i="6"/>
  <c r="B551" i="6"/>
  <c r="B550" i="6"/>
  <c r="B549" i="6"/>
  <c r="B548" i="6"/>
  <c r="B547" i="6"/>
  <c r="B546" i="6"/>
  <c r="B545" i="6"/>
  <c r="B544" i="6"/>
  <c r="B543" i="6"/>
  <c r="B542" i="6"/>
  <c r="B541" i="6"/>
  <c r="B540" i="6"/>
  <c r="B539" i="6"/>
  <c r="B538" i="6"/>
  <c r="B537" i="6"/>
  <c r="B536" i="6"/>
  <c r="B535" i="6"/>
  <c r="B534" i="6"/>
  <c r="B532" i="6"/>
  <c r="B531" i="6"/>
  <c r="B530" i="6"/>
  <c r="B529" i="6"/>
  <c r="B528" i="6"/>
  <c r="B527" i="6"/>
  <c r="B526" i="6"/>
  <c r="B525" i="6"/>
  <c r="B524" i="6"/>
  <c r="B523" i="6"/>
  <c r="B522" i="6"/>
  <c r="B521" i="6"/>
  <c r="B520" i="6"/>
  <c r="B519" i="6"/>
  <c r="B518" i="6"/>
  <c r="B517" i="6"/>
  <c r="B516" i="6"/>
  <c r="B515" i="6"/>
  <c r="B514" i="6"/>
  <c r="B513" i="6"/>
  <c r="B512" i="6"/>
  <c r="B511" i="6"/>
  <c r="B510" i="6"/>
  <c r="B509" i="6"/>
  <c r="B508" i="6"/>
  <c r="B507" i="6"/>
  <c r="B506" i="6"/>
  <c r="B505" i="6"/>
  <c r="B504" i="6"/>
  <c r="B503" i="6"/>
  <c r="B502" i="6"/>
  <c r="B501" i="6"/>
  <c r="B500" i="6"/>
  <c r="B499" i="6"/>
  <c r="B498" i="6"/>
  <c r="B497" i="6"/>
  <c r="B496" i="6"/>
  <c r="B495" i="6"/>
  <c r="B494" i="6"/>
  <c r="B493" i="6"/>
  <c r="B492" i="6"/>
  <c r="B491" i="6"/>
  <c r="B490" i="6"/>
  <c r="B489" i="6"/>
  <c r="B488" i="6"/>
  <c r="B487" i="6"/>
  <c r="B486" i="6"/>
  <c r="B485" i="6"/>
  <c r="B484" i="6"/>
  <c r="B483" i="6"/>
  <c r="B480" i="6"/>
  <c r="B479" i="6"/>
  <c r="B478" i="6"/>
  <c r="B477" i="6"/>
  <c r="B476" i="6"/>
  <c r="B475" i="6"/>
  <c r="B474" i="6"/>
  <c r="B473" i="6"/>
  <c r="B472" i="6"/>
  <c r="B471" i="6"/>
  <c r="B470" i="6"/>
  <c r="B469" i="6"/>
  <c r="B468" i="6"/>
  <c r="B467" i="6"/>
  <c r="B466" i="6"/>
  <c r="B465" i="6"/>
  <c r="B464" i="6"/>
  <c r="B463" i="6"/>
  <c r="B462" i="6"/>
  <c r="B461" i="6"/>
  <c r="B460" i="6"/>
  <c r="B459" i="6"/>
  <c r="B458" i="6"/>
  <c r="B457" i="6"/>
  <c r="B456" i="6"/>
  <c r="B455" i="6"/>
  <c r="B454" i="6"/>
  <c r="B452" i="6"/>
  <c r="B451" i="6"/>
  <c r="B450" i="6"/>
  <c r="B449" i="6"/>
  <c r="B448" i="6"/>
  <c r="B447" i="6"/>
  <c r="B446" i="6"/>
  <c r="B445" i="6"/>
  <c r="B444" i="6"/>
  <c r="B443" i="6"/>
  <c r="B442" i="6"/>
  <c r="B441" i="6"/>
  <c r="B440" i="6"/>
  <c r="B439" i="6"/>
  <c r="B437" i="6"/>
  <c r="B436" i="6"/>
  <c r="B435" i="6"/>
  <c r="B434" i="6"/>
  <c r="B433" i="6"/>
  <c r="B432" i="6"/>
  <c r="B431" i="6"/>
  <c r="B430" i="6"/>
  <c r="B429" i="6"/>
  <c r="B428" i="6"/>
  <c r="B427" i="6"/>
  <c r="B426" i="6"/>
  <c r="B425" i="6"/>
  <c r="B424" i="6"/>
  <c r="B423" i="6"/>
  <c r="B422" i="6"/>
  <c r="B421" i="6"/>
  <c r="B420" i="6"/>
  <c r="B419" i="6"/>
  <c r="B418" i="6"/>
  <c r="B417" i="6"/>
  <c r="B416" i="6"/>
  <c r="B415" i="6"/>
  <c r="B414" i="6"/>
  <c r="B413" i="6"/>
  <c r="B412" i="6"/>
  <c r="B411" i="6"/>
  <c r="B410" i="6"/>
  <c r="B409" i="6"/>
  <c r="B408" i="6"/>
  <c r="B407" i="6"/>
  <c r="B406" i="6"/>
  <c r="B405" i="6"/>
  <c r="B404" i="6"/>
  <c r="B403" i="6"/>
  <c r="B402" i="6"/>
  <c r="B401" i="6"/>
  <c r="B400" i="6"/>
  <c r="B399" i="6"/>
  <c r="B398" i="6"/>
  <c r="B397" i="6"/>
  <c r="B396" i="6"/>
  <c r="B395" i="6"/>
  <c r="B394" i="6"/>
  <c r="B393" i="6"/>
  <c r="B392" i="6"/>
  <c r="B391" i="6"/>
  <c r="B390" i="6"/>
  <c r="B389" i="6"/>
  <c r="B388" i="6"/>
  <c r="B387" i="6"/>
  <c r="B386" i="6"/>
  <c r="B385" i="6"/>
  <c r="B384" i="6"/>
  <c r="B383" i="6"/>
  <c r="B382" i="6"/>
  <c r="B381" i="6"/>
  <c r="B380" i="6"/>
  <c r="B379" i="6"/>
  <c r="B378" i="6"/>
  <c r="B377" i="6"/>
  <c r="B376" i="6"/>
  <c r="B375" i="6"/>
  <c r="B374" i="6"/>
  <c r="B373" i="6"/>
  <c r="B372" i="6"/>
  <c r="B371" i="6"/>
  <c r="B370" i="6"/>
  <c r="B369" i="6"/>
  <c r="B368" i="6"/>
  <c r="B367" i="6"/>
  <c r="B366" i="6"/>
  <c r="B365" i="6"/>
  <c r="B364" i="6"/>
  <c r="B363" i="6"/>
  <c r="B362" i="6"/>
  <c r="B361" i="6"/>
  <c r="B360" i="6"/>
  <c r="B359" i="6"/>
  <c r="B358" i="6"/>
  <c r="B357" i="6"/>
  <c r="B356" i="6"/>
  <c r="B355" i="6"/>
  <c r="B354" i="6"/>
  <c r="B353" i="6"/>
  <c r="B352" i="6"/>
  <c r="B351" i="6"/>
  <c r="B350" i="6"/>
  <c r="B349" i="6"/>
  <c r="B348" i="6"/>
  <c r="B346" i="6"/>
  <c r="B345" i="6"/>
  <c r="B344" i="6"/>
  <c r="B343" i="6"/>
  <c r="B342" i="6"/>
  <c r="B341" i="6"/>
  <c r="B340" i="6"/>
  <c r="B339" i="6"/>
  <c r="B338" i="6"/>
  <c r="B337" i="6"/>
  <c r="B336" i="6"/>
  <c r="B335" i="6"/>
  <c r="B334" i="6"/>
  <c r="B333" i="6"/>
  <c r="B332" i="6"/>
  <c r="B331" i="6"/>
  <c r="B330" i="6"/>
  <c r="B329" i="6"/>
  <c r="B328" i="6"/>
  <c r="B327" i="6"/>
  <c r="B326" i="6"/>
  <c r="B325" i="6"/>
  <c r="B324" i="6"/>
  <c r="B323" i="6"/>
  <c r="B322" i="6"/>
  <c r="B321" i="6"/>
  <c r="B320" i="6"/>
  <c r="B319" i="6"/>
  <c r="B318" i="6"/>
  <c r="B317" i="6"/>
  <c r="B316" i="6"/>
  <c r="B315" i="6"/>
  <c r="B314" i="6"/>
  <c r="B312" i="6"/>
  <c r="B311" i="6"/>
  <c r="B310" i="6"/>
  <c r="B309" i="6"/>
  <c r="B308" i="6"/>
  <c r="B307" i="6"/>
  <c r="B306" i="6"/>
  <c r="B305" i="6"/>
  <c r="B304" i="6"/>
  <c r="B303" i="6"/>
  <c r="B302" i="6"/>
  <c r="B301" i="6"/>
  <c r="B300" i="6"/>
  <c r="B298" i="6"/>
  <c r="B297" i="6"/>
  <c r="B296" i="6"/>
  <c r="B295" i="6"/>
  <c r="B294" i="6"/>
  <c r="B293" i="6"/>
  <c r="B292" i="6"/>
  <c r="B291" i="6"/>
  <c r="B290" i="6"/>
  <c r="B289" i="6"/>
  <c r="B288" i="6"/>
  <c r="B287" i="6"/>
  <c r="B286" i="6"/>
  <c r="B285" i="6"/>
  <c r="B284" i="6"/>
  <c r="B283" i="6"/>
  <c r="B282" i="6"/>
  <c r="B281" i="6"/>
  <c r="B280" i="6"/>
  <c r="B279" i="6"/>
  <c r="B278" i="6"/>
  <c r="B277" i="6"/>
  <c r="B276" i="6"/>
  <c r="B275" i="6"/>
  <c r="B274" i="6"/>
  <c r="B273" i="6"/>
  <c r="B272" i="6"/>
  <c r="B271" i="6"/>
  <c r="B270" i="6"/>
  <c r="B269" i="6"/>
  <c r="B268" i="6"/>
  <c r="B267" i="6"/>
  <c r="B266" i="6"/>
  <c r="B265" i="6"/>
  <c r="B264" i="6"/>
  <c r="B263" i="6"/>
  <c r="B262" i="6"/>
  <c r="B261" i="6"/>
  <c r="B260" i="6"/>
  <c r="B259" i="6"/>
  <c r="B258" i="6"/>
  <c r="B257" i="6"/>
  <c r="B256" i="6"/>
  <c r="B255" i="6"/>
  <c r="B254" i="6"/>
  <c r="B253" i="6"/>
  <c r="B252" i="6"/>
  <c r="B251" i="6"/>
  <c r="B250" i="6"/>
  <c r="B249" i="6"/>
  <c r="B248" i="6"/>
  <c r="B247" i="6"/>
  <c r="B246" i="6"/>
  <c r="B245" i="6"/>
  <c r="B244" i="6"/>
  <c r="B243" i="6"/>
  <c r="B242" i="6"/>
  <c r="B241" i="6"/>
  <c r="B240" i="6"/>
  <c r="B239" i="6"/>
  <c r="B238" i="6"/>
  <c r="B237" i="6"/>
  <c r="B236" i="6"/>
  <c r="B235" i="6"/>
  <c r="B234" i="6"/>
  <c r="B233" i="6"/>
  <c r="B232" i="6"/>
  <c r="B231" i="6"/>
  <c r="B230" i="6"/>
  <c r="B229" i="6"/>
  <c r="B228" i="6"/>
  <c r="B227" i="6"/>
  <c r="B226" i="6"/>
  <c r="B225" i="6"/>
  <c r="B224" i="6"/>
  <c r="B223" i="6"/>
  <c r="B222" i="6"/>
  <c r="B221" i="6"/>
  <c r="B220" i="6"/>
  <c r="B219" i="6"/>
  <c r="B218" i="6"/>
  <c r="B217" i="6"/>
  <c r="B216" i="6"/>
  <c r="B215" i="6"/>
  <c r="B214" i="6"/>
  <c r="B213" i="6"/>
  <c r="B212" i="6"/>
  <c r="B211" i="6"/>
  <c r="B210" i="6"/>
  <c r="B209" i="6"/>
  <c r="B208" i="6"/>
  <c r="B206" i="6"/>
  <c r="B205" i="6"/>
  <c r="B203" i="6"/>
  <c r="B202" i="6"/>
  <c r="B201" i="6"/>
  <c r="B200" i="6"/>
  <c r="B199" i="6"/>
  <c r="B198" i="6"/>
  <c r="B197" i="6"/>
  <c r="B196" i="6"/>
  <c r="B195" i="6"/>
  <c r="B194" i="6"/>
  <c r="B193" i="6"/>
  <c r="B192" i="6"/>
  <c r="B190" i="6"/>
  <c r="B189" i="6"/>
  <c r="B188" i="6"/>
  <c r="B187" i="6"/>
  <c r="B186" i="6"/>
  <c r="B185" i="6"/>
  <c r="B184" i="6"/>
  <c r="B183" i="6"/>
  <c r="B182" i="6"/>
  <c r="B181" i="6"/>
  <c r="B180" i="6"/>
  <c r="B179" i="6"/>
  <c r="B178" i="6"/>
  <c r="B177" i="6"/>
  <c r="B176" i="6"/>
  <c r="B175" i="6"/>
  <c r="B174" i="6"/>
  <c r="B173" i="6"/>
  <c r="B172" i="6"/>
  <c r="B171" i="6"/>
  <c r="B170" i="6"/>
  <c r="B169" i="6"/>
  <c r="B168" i="6"/>
  <c r="B167" i="6"/>
  <c r="B166" i="6"/>
  <c r="B165" i="6"/>
  <c r="B164" i="6"/>
  <c r="B163" i="6"/>
  <c r="B162" i="6"/>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B93" i="6"/>
  <c r="B92" i="6"/>
  <c r="B91" i="6"/>
  <c r="B90" i="6"/>
  <c r="B89" i="6"/>
  <c r="B88" i="6"/>
  <c r="B87" i="6"/>
  <c r="B86" i="6"/>
  <c r="B85" i="6"/>
  <c r="B84" i="6"/>
  <c r="B83" i="6"/>
  <c r="B82" i="6"/>
  <c r="B81" i="6"/>
  <c r="B80" i="6"/>
  <c r="B79" i="6"/>
  <c r="B78" i="6"/>
  <c r="B77"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B2" i="6"/>
  <c r="M34" i="6"/>
  <c r="M566" i="6"/>
  <c r="M783" i="6"/>
  <c r="M1500" i="6"/>
  <c r="M1729" i="6"/>
  <c r="M1908" i="6"/>
  <c r="M2563" i="6"/>
  <c r="R6" i="2"/>
  <c r="S6" i="2" s="1"/>
  <c r="M3294" i="2"/>
  <c r="M3293" i="2"/>
  <c r="M3280" i="2"/>
  <c r="M3276" i="2"/>
  <c r="M3272" i="2"/>
  <c r="M3266" i="2"/>
  <c r="M3262" i="2"/>
  <c r="M3250" i="2"/>
  <c r="M3242" i="2"/>
  <c r="M3241" i="2"/>
  <c r="M3237" i="2"/>
  <c r="M3236" i="2"/>
  <c r="M3100" i="2"/>
  <c r="M3232" i="2"/>
  <c r="M3225" i="2"/>
  <c r="M3223" i="2"/>
  <c r="M3217" i="2"/>
  <c r="M3216" i="2"/>
  <c r="M3209" i="2"/>
  <c r="M3205" i="2"/>
  <c r="M3201" i="2"/>
  <c r="M3196" i="2"/>
  <c r="M3193" i="2"/>
  <c r="M3184" i="2"/>
  <c r="M3177" i="2"/>
  <c r="M3165" i="2"/>
  <c r="M3161" i="2"/>
  <c r="M3160" i="2"/>
  <c r="M3158" i="2"/>
  <c r="M3152" i="2"/>
  <c r="M3151" i="2"/>
  <c r="M3142" i="2"/>
  <c r="M3139" i="2"/>
  <c r="M3112" i="2"/>
  <c r="M3111" i="2"/>
  <c r="M3101" i="2"/>
  <c r="M40" i="2"/>
  <c r="M554" i="2"/>
  <c r="M779" i="2"/>
  <c r="M1874" i="2"/>
  <c r="M2148" i="2"/>
  <c r="M3092" i="2"/>
  <c r="M1712" i="2"/>
  <c r="M2357" i="2"/>
  <c r="M2834" i="2"/>
  <c r="M3311" i="2"/>
  <c r="M3091" i="2"/>
  <c r="M3089" i="2"/>
  <c r="M3088" i="2"/>
  <c r="M3081" i="2"/>
  <c r="M3080" i="2"/>
  <c r="M3075" i="2"/>
  <c r="M3053" i="2"/>
  <c r="M3048" i="2"/>
  <c r="M3030" i="2"/>
  <c r="M3025" i="2"/>
  <c r="M3019" i="2"/>
  <c r="M3018" i="2"/>
  <c r="M3016" i="2"/>
  <c r="M3009" i="2"/>
  <c r="M3008" i="2"/>
  <c r="M2993" i="2"/>
  <c r="M2988" i="2"/>
  <c r="M2984" i="2"/>
  <c r="M2980" i="2"/>
  <c r="M2958" i="2"/>
  <c r="M2962" i="2"/>
  <c r="M2957" i="2"/>
  <c r="M2935" i="2"/>
  <c r="M2971" i="2"/>
  <c r="M2932" i="2"/>
  <c r="M2914" i="2"/>
  <c r="M2907" i="2"/>
  <c r="M2906" i="2"/>
  <c r="M2901" i="2"/>
  <c r="M2890" i="2"/>
  <c r="M2887" i="2"/>
  <c r="M2884" i="2"/>
  <c r="M2877" i="2"/>
  <c r="M2854" i="2"/>
  <c r="M2852" i="2"/>
  <c r="M2849" i="2"/>
  <c r="M2848" i="2"/>
  <c r="M2837" i="2"/>
  <c r="M2840" i="2"/>
  <c r="M2833" i="2"/>
  <c r="M2819" i="2"/>
  <c r="M2802" i="2"/>
  <c r="M3408" i="2"/>
  <c r="M3397" i="2"/>
  <c r="M3396" i="2"/>
  <c r="M3393" i="2"/>
  <c r="M3386" i="2"/>
  <c r="M3383" i="2"/>
  <c r="M3381" i="2"/>
  <c r="M3376" i="2"/>
  <c r="M3372" i="2"/>
  <c r="M3358" i="2"/>
  <c r="M3337" i="2"/>
  <c r="M3336" i="2"/>
  <c r="M3335" i="2"/>
  <c r="M3334" i="2"/>
  <c r="M3332" i="2"/>
  <c r="M3324" i="2"/>
  <c r="M3317" i="2"/>
  <c r="M3310" i="2"/>
  <c r="M2784" i="2"/>
  <c r="M2785" i="2"/>
  <c r="M2776" i="2"/>
  <c r="M2775" i="2"/>
  <c r="M2770" i="2"/>
  <c r="M2767" i="2"/>
  <c r="M2763" i="2"/>
  <c r="M2759" i="2"/>
  <c r="M2755" i="2"/>
  <c r="M2752" i="2"/>
  <c r="M2743" i="2"/>
  <c r="M2715" i="2"/>
  <c r="M2714" i="2"/>
  <c r="M2685" i="2"/>
  <c r="M2673" i="2"/>
  <c r="M2667" i="2"/>
  <c r="M2643" i="2"/>
  <c r="M2634" i="2"/>
  <c r="M2625" i="2"/>
  <c r="M2622" i="2"/>
  <c r="M2609" i="2"/>
  <c r="M2584" i="2"/>
  <c r="M2580" i="2"/>
  <c r="M2566" i="2"/>
  <c r="M2487" i="2"/>
  <c r="M2486" i="2"/>
  <c r="M2472" i="2"/>
  <c r="M2463" i="2"/>
  <c r="M2460" i="2"/>
  <c r="M2449" i="2"/>
  <c r="M2452" i="2"/>
  <c r="M2431" i="2"/>
  <c r="M2430" i="2"/>
  <c r="M2429" i="2"/>
  <c r="M2428" i="2"/>
  <c r="M2425" i="2"/>
  <c r="M2390" i="2"/>
  <c r="M2394" i="2"/>
  <c r="M2402" i="2"/>
  <c r="M2378" i="2"/>
  <c r="M2373" i="2"/>
  <c r="M2369" i="2"/>
  <c r="M2365" i="2"/>
  <c r="M2364" i="2"/>
  <c r="M2340" i="2"/>
  <c r="M2329" i="2"/>
  <c r="M2337" i="2"/>
  <c r="M2324" i="2"/>
  <c r="M2302" i="2"/>
  <c r="M2286" i="2"/>
  <c r="M2275" i="2"/>
  <c r="M2274" i="2"/>
  <c r="M2265" i="2"/>
  <c r="M2255" i="2"/>
  <c r="M26" i="2"/>
  <c r="M65" i="2"/>
  <c r="M80" i="2"/>
  <c r="M94" i="2"/>
  <c r="M105" i="2"/>
  <c r="M115" i="2"/>
  <c r="M123" i="2"/>
  <c r="M125" i="2"/>
  <c r="M130" i="2"/>
  <c r="M154" i="2"/>
  <c r="M160" i="2"/>
  <c r="M184" i="2"/>
  <c r="M186" i="2"/>
  <c r="M188" i="2"/>
  <c r="M196" i="2"/>
  <c r="M202" i="2"/>
  <c r="M204" i="2"/>
  <c r="M231" i="2"/>
  <c r="M241" i="2"/>
  <c r="M257" i="2"/>
  <c r="M259" i="2"/>
  <c r="M299" i="2"/>
  <c r="M302" i="2"/>
  <c r="M303" i="2"/>
  <c r="M304" i="2"/>
  <c r="M306" i="2"/>
  <c r="M309" i="2"/>
  <c r="M320" i="2"/>
  <c r="M321" i="2"/>
  <c r="M338" i="2"/>
  <c r="M361" i="2"/>
  <c r="M367" i="2"/>
  <c r="M377" i="2"/>
  <c r="M397" i="2"/>
  <c r="M429" i="2"/>
  <c r="M437" i="2"/>
  <c r="M441" i="2"/>
  <c r="M445" i="2"/>
  <c r="M463" i="2"/>
  <c r="M465" i="2"/>
  <c r="M486" i="2"/>
  <c r="M518" i="2"/>
  <c r="M533" i="2"/>
  <c r="M561" i="2"/>
  <c r="M571" i="2"/>
  <c r="M578" i="2"/>
  <c r="M582" i="2"/>
  <c r="M643" i="2"/>
  <c r="M650" i="2"/>
  <c r="M660" i="2"/>
  <c r="M696" i="2"/>
  <c r="M712" i="2"/>
  <c r="M716" i="2"/>
  <c r="M731" i="2"/>
  <c r="M742" i="2"/>
  <c r="M783" i="2"/>
  <c r="M802" i="2"/>
  <c r="M808" i="2"/>
  <c r="M816" i="2"/>
  <c r="M820" i="2"/>
  <c r="M822" i="2"/>
  <c r="M834" i="2"/>
  <c r="M844" i="2"/>
  <c r="M847" i="2"/>
  <c r="M894" i="2"/>
  <c r="M918" i="2"/>
  <c r="M927" i="2"/>
  <c r="M930" i="2"/>
  <c r="M931" i="2"/>
  <c r="M943" i="2"/>
  <c r="M952" i="2"/>
  <c r="M958" i="2"/>
  <c r="M963" i="2"/>
  <c r="M1016" i="2"/>
  <c r="M1052" i="2"/>
  <c r="M1065" i="2"/>
  <c r="M1072" i="2"/>
  <c r="M1077" i="2"/>
  <c r="M1080" i="2"/>
  <c r="M1091" i="2"/>
  <c r="M1095" i="2"/>
  <c r="M1107" i="2"/>
  <c r="M1116" i="2"/>
  <c r="M1134" i="2"/>
  <c r="M1140" i="2"/>
  <c r="M1147" i="2"/>
  <c r="M1148" i="2"/>
  <c r="M1150" i="2"/>
  <c r="M1168" i="2"/>
  <c r="M1169" i="2"/>
  <c r="M1184" i="2"/>
  <c r="M1191" i="2"/>
  <c r="M1198" i="2"/>
  <c r="M1199" i="2"/>
  <c r="M1206" i="2"/>
  <c r="M1239" i="2"/>
  <c r="M1265" i="2"/>
  <c r="M1267" i="2"/>
  <c r="M1271" i="2"/>
  <c r="M1272" i="2"/>
  <c r="M1281" i="2"/>
  <c r="M1285" i="2"/>
  <c r="M1299" i="2"/>
  <c r="M1300" i="2"/>
  <c r="M1309" i="2"/>
  <c r="M1314" i="2"/>
  <c r="M1318" i="2"/>
  <c r="M1320" i="2"/>
  <c r="M1330" i="2"/>
  <c r="M1334" i="2"/>
  <c r="M1356" i="2"/>
  <c r="M1358" i="2"/>
  <c r="M1368" i="2"/>
  <c r="M1374" i="2"/>
  <c r="M1376" i="2"/>
  <c r="M1377" i="2"/>
  <c r="M1381" i="2"/>
  <c r="M1386" i="2"/>
  <c r="M1392" i="2"/>
  <c r="M1406" i="2"/>
  <c r="M1428" i="2"/>
  <c r="M1444" i="2"/>
  <c r="M1451" i="2"/>
  <c r="M1454" i="2"/>
  <c r="M1467" i="2"/>
  <c r="M1492" i="2"/>
  <c r="M1501" i="2"/>
  <c r="M1524" i="2"/>
  <c r="M1532" i="2"/>
  <c r="M1533" i="2"/>
  <c r="M1534" i="2"/>
  <c r="M1540" i="2"/>
  <c r="M1544" i="2"/>
  <c r="M1556" i="2"/>
  <c r="M1566" i="2"/>
  <c r="M1575" i="2"/>
  <c r="M1576" i="2"/>
  <c r="M1577" i="2"/>
  <c r="M1591" i="2"/>
  <c r="M1596" i="2"/>
  <c r="M1615" i="2"/>
  <c r="M1623" i="2"/>
  <c r="M1626" i="2"/>
  <c r="M1630" i="2"/>
  <c r="M1642" i="2"/>
  <c r="M1653" i="2"/>
  <c r="M1668" i="2"/>
  <c r="M1686" i="2"/>
  <c r="M1694" i="2"/>
  <c r="M1710" i="2"/>
  <c r="M1711" i="2"/>
  <c r="M1731" i="2"/>
  <c r="M1732" i="2"/>
  <c r="M1736" i="2"/>
  <c r="M1753" i="2"/>
  <c r="M1765" i="2"/>
  <c r="M1773" i="2"/>
  <c r="M1785" i="2"/>
  <c r="M1817" i="2"/>
  <c r="M1819" i="2"/>
  <c r="M1840" i="2"/>
  <c r="M1846" i="2"/>
  <c r="M1851" i="2"/>
  <c r="M1855" i="2"/>
  <c r="M1856" i="2"/>
  <c r="M1859" i="2"/>
  <c r="M1880" i="2"/>
  <c r="M1896" i="2"/>
  <c r="M1897" i="2"/>
  <c r="M1902" i="2"/>
  <c r="M1914" i="2"/>
  <c r="M1916" i="2"/>
  <c r="M1923" i="2"/>
  <c r="M1927" i="2"/>
  <c r="M1937" i="2"/>
  <c r="M1940" i="2"/>
  <c r="M1943" i="2"/>
  <c r="M1944" i="2"/>
  <c r="M1979" i="2"/>
  <c r="M1983" i="2"/>
  <c r="M2004" i="2"/>
  <c r="M2006" i="2"/>
  <c r="M2012" i="2"/>
  <c r="M2015" i="2"/>
  <c r="M2019" i="2"/>
  <c r="M2021" i="2"/>
  <c r="M2025" i="2"/>
  <c r="M2043" i="2"/>
  <c r="M2047" i="2"/>
  <c r="M2055" i="2"/>
  <c r="M2065" i="2"/>
  <c r="M2067" i="2"/>
  <c r="M2075" i="2"/>
  <c r="M2087" i="2"/>
  <c r="M2088" i="2"/>
  <c r="M2089" i="2"/>
  <c r="M2093" i="2"/>
  <c r="M2095" i="2"/>
  <c r="M2108" i="2"/>
  <c r="M2117" i="2"/>
  <c r="M2120" i="2"/>
  <c r="M2121" i="2"/>
  <c r="M2129" i="2"/>
  <c r="M2136" i="2"/>
  <c r="M2149" i="2"/>
  <c r="M2159" i="2"/>
  <c r="M2161" i="2"/>
  <c r="M2171" i="2"/>
  <c r="M2186" i="2"/>
  <c r="M2187" i="2"/>
  <c r="M2189" i="2"/>
  <c r="M2190" i="2"/>
  <c r="M2196" i="2"/>
  <c r="M2209" i="2"/>
  <c r="M2217" i="2"/>
  <c r="M2240" i="2"/>
  <c r="M2251" i="2"/>
  <c r="M2252" i="2"/>
  <c r="R3411" i="2" l="1"/>
  <c r="S3411" i="2" s="1"/>
  <c r="R3410" i="2"/>
  <c r="S3410" i="2" s="1"/>
  <c r="R3409" i="2"/>
  <c r="S3409" i="2" s="1"/>
  <c r="R3408" i="2"/>
  <c r="S3408" i="2" s="1"/>
  <c r="R3407" i="2"/>
  <c r="S3407" i="2" s="1"/>
  <c r="R3406" i="2"/>
  <c r="S3406" i="2" s="1"/>
  <c r="R3404" i="2"/>
  <c r="S3404" i="2" s="1"/>
  <c r="R3403" i="2"/>
  <c r="S3403" i="2" s="1"/>
  <c r="R3402" i="2"/>
  <c r="S3402" i="2" s="1"/>
  <c r="R3401" i="2"/>
  <c r="S3401" i="2" s="1"/>
  <c r="R3400" i="2"/>
  <c r="S3400" i="2" s="1"/>
  <c r="R3399" i="2"/>
  <c r="S3399" i="2" s="1"/>
  <c r="R3398" i="2"/>
  <c r="S3398" i="2" s="1"/>
  <c r="R3397" i="2"/>
  <c r="S3397" i="2" s="1"/>
  <c r="R3396" i="2"/>
  <c r="S3396" i="2" s="1"/>
  <c r="R3395" i="2"/>
  <c r="S3395" i="2" s="1"/>
  <c r="R3394" i="2"/>
  <c r="S3394" i="2" s="1"/>
  <c r="R3393" i="2"/>
  <c r="S3393" i="2" s="1"/>
  <c r="R3389" i="2"/>
  <c r="S3389" i="2" s="1"/>
  <c r="R3387" i="2"/>
  <c r="S3387" i="2" s="1"/>
  <c r="R3386" i="2"/>
  <c r="S3386" i="2" s="1"/>
  <c r="R3385" i="2"/>
  <c r="S3385" i="2" s="1"/>
  <c r="R3384" i="2"/>
  <c r="S3384" i="2" s="1"/>
  <c r="R3383" i="2"/>
  <c r="S3383" i="2" s="1"/>
  <c r="R3381" i="2"/>
  <c r="S3381" i="2" s="1"/>
  <c r="R3380" i="2"/>
  <c r="S3380" i="2" s="1"/>
  <c r="R3379" i="2"/>
  <c r="S3379" i="2" s="1"/>
  <c r="R3378" i="2"/>
  <c r="S3378" i="2" s="1"/>
  <c r="R3376" i="2"/>
  <c r="S3376" i="2" s="1"/>
  <c r="R3375" i="2"/>
  <c r="S3375" i="2" s="1"/>
  <c r="R3374" i="2"/>
  <c r="S3374" i="2" s="1"/>
  <c r="R3373" i="2"/>
  <c r="S3373" i="2" s="1"/>
  <c r="R3372" i="2"/>
  <c r="S3372" i="2" s="1"/>
  <c r="R3369" i="2"/>
  <c r="S3369" i="2" s="1"/>
  <c r="R3367" i="2"/>
  <c r="S3367" i="2" s="1"/>
  <c r="R3366" i="2"/>
  <c r="S3366" i="2" s="1"/>
  <c r="R3363" i="2"/>
  <c r="S3363" i="2" s="1"/>
  <c r="R3362" i="2"/>
  <c r="S3362" i="2" s="1"/>
  <c r="R3360" i="2"/>
  <c r="S3360" i="2" s="1"/>
  <c r="R3359" i="2"/>
  <c r="S3359" i="2" s="1"/>
  <c r="R3358" i="2"/>
  <c r="S3358" i="2" s="1"/>
  <c r="R3357" i="2"/>
  <c r="S3357" i="2" s="1"/>
  <c r="R3356" i="2"/>
  <c r="S3356" i="2" s="1"/>
  <c r="R3355" i="2"/>
  <c r="S3355" i="2" s="1"/>
  <c r="R3354" i="2"/>
  <c r="S3354" i="2" s="1"/>
  <c r="R3353" i="2"/>
  <c r="S3353" i="2" s="1"/>
  <c r="R3350" i="2"/>
  <c r="S3350" i="2" s="1"/>
  <c r="R3349" i="2"/>
  <c r="S3349" i="2" s="1"/>
  <c r="R3347" i="2"/>
  <c r="S3347" i="2" s="1"/>
  <c r="R3346" i="2"/>
  <c r="S3346" i="2" s="1"/>
  <c r="R3345" i="2"/>
  <c r="S3345" i="2" s="1"/>
  <c r="R3344" i="2"/>
  <c r="S3344" i="2" s="1"/>
  <c r="R3343" i="2"/>
  <c r="S3343" i="2" s="1"/>
  <c r="R3341" i="2"/>
  <c r="S3341" i="2" s="1"/>
  <c r="R3339" i="2"/>
  <c r="S3339" i="2" s="1"/>
  <c r="R3338" i="2"/>
  <c r="S3338" i="2" s="1"/>
  <c r="R3337" i="2"/>
  <c r="S3337" i="2" s="1"/>
  <c r="R3336" i="2"/>
  <c r="S3336" i="2" s="1"/>
  <c r="R3335" i="2"/>
  <c r="S3335" i="2" s="1"/>
  <c r="R3334" i="2"/>
  <c r="S3334" i="2" s="1"/>
  <c r="R3332" i="2"/>
  <c r="S3332" i="2" s="1"/>
  <c r="R3331" i="2"/>
  <c r="S3331" i="2" s="1"/>
  <c r="R3329" i="2"/>
  <c r="S3329" i="2" s="1"/>
  <c r="R3325" i="2"/>
  <c r="S3325" i="2" s="1"/>
  <c r="R3324" i="2"/>
  <c r="S3324" i="2" s="1"/>
  <c r="R3320" i="2"/>
  <c r="S3320" i="2" s="1"/>
  <c r="R3318" i="2"/>
  <c r="S3318" i="2" s="1"/>
  <c r="R3317" i="2"/>
  <c r="S3317" i="2" s="1"/>
  <c r="R3316" i="2"/>
  <c r="S3316" i="2" s="1"/>
  <c r="R3315" i="2"/>
  <c r="S3315" i="2" s="1"/>
  <c r="R3314" i="2"/>
  <c r="S3314" i="2" s="1"/>
  <c r="R3313" i="2"/>
  <c r="S3313" i="2" s="1"/>
  <c r="R3312" i="2"/>
  <c r="S3312" i="2" s="1"/>
  <c r="R3311" i="2"/>
  <c r="S3311" i="2" s="1"/>
  <c r="R3310" i="2"/>
  <c r="S3310" i="2" s="1"/>
  <c r="R3309" i="2"/>
  <c r="S3309" i="2" s="1"/>
  <c r="R3308" i="2"/>
  <c r="S3308" i="2" s="1"/>
  <c r="R3306" i="2"/>
  <c r="S3306" i="2" s="1"/>
  <c r="R3304" i="2"/>
  <c r="S3304" i="2" s="1"/>
  <c r="R3303" i="2"/>
  <c r="S3303" i="2" s="1"/>
  <c r="R3302" i="2"/>
  <c r="S3302" i="2" s="1"/>
  <c r="R3300" i="2"/>
  <c r="S3300" i="2" s="1"/>
  <c r="R3297" i="2"/>
  <c r="S3297" i="2" s="1"/>
  <c r="R3296" i="2"/>
  <c r="S3296" i="2" s="1"/>
  <c r="R3295" i="2"/>
  <c r="S3295" i="2" s="1"/>
  <c r="R3294" i="2"/>
  <c r="S3294" i="2" s="1"/>
  <c r="R3293" i="2"/>
  <c r="S3293" i="2" s="1"/>
  <c r="R3291" i="2"/>
  <c r="S3291" i="2" s="1"/>
  <c r="R3290" i="2"/>
  <c r="S3290" i="2" s="1"/>
  <c r="R3289" i="2"/>
  <c r="S3289" i="2" s="1"/>
  <c r="R3288" i="2"/>
  <c r="S3288" i="2" s="1"/>
  <c r="R3287" i="2"/>
  <c r="S3287" i="2" s="1"/>
  <c r="R3285" i="2"/>
  <c r="S3285" i="2" s="1"/>
  <c r="R3284" i="2"/>
  <c r="S3284" i="2" s="1"/>
  <c r="R3282" i="2"/>
  <c r="S3282" i="2" s="1"/>
  <c r="R3280" i="2"/>
  <c r="S3280" i="2" s="1"/>
  <c r="R3278" i="2"/>
  <c r="S3278" i="2" s="1"/>
  <c r="R3276" i="2"/>
  <c r="S3276" i="2" s="1"/>
  <c r="R3275" i="2"/>
  <c r="S3275" i="2" s="1"/>
  <c r="R3274" i="2"/>
  <c r="S3274" i="2" s="1"/>
  <c r="R3272" i="2"/>
  <c r="S3272" i="2" s="1"/>
  <c r="R3271" i="2"/>
  <c r="S3271" i="2" s="1"/>
  <c r="R3270" i="2"/>
  <c r="S3270" i="2" s="1"/>
  <c r="R3269" i="2"/>
  <c r="S3269" i="2" s="1"/>
  <c r="R3268" i="2"/>
  <c r="S3268" i="2" s="1"/>
  <c r="R3267" i="2"/>
  <c r="S3267" i="2" s="1"/>
  <c r="R3266" i="2"/>
  <c r="S3266" i="2" s="1"/>
  <c r="R3265" i="2"/>
  <c r="S3265" i="2" s="1"/>
  <c r="R3264" i="2"/>
  <c r="S3264" i="2" s="1"/>
  <c r="R3263" i="2"/>
  <c r="S3263" i="2" s="1"/>
  <c r="R3262" i="2"/>
  <c r="S3262" i="2" s="1"/>
  <c r="R3261" i="2"/>
  <c r="S3261" i="2" s="1"/>
  <c r="R3258" i="2"/>
  <c r="S3258" i="2" s="1"/>
  <c r="R3255" i="2"/>
  <c r="S3255" i="2" s="1"/>
  <c r="R3254" i="2"/>
  <c r="S3254" i="2" s="1"/>
  <c r="R3251" i="2"/>
  <c r="S3251" i="2" s="1"/>
  <c r="R3250" i="2"/>
  <c r="S3250" i="2" s="1"/>
  <c r="R3246" i="2"/>
  <c r="S3246" i="2" s="1"/>
  <c r="R3245" i="2"/>
  <c r="S3245" i="2" s="1"/>
  <c r="R3244" i="2"/>
  <c r="S3244" i="2" s="1"/>
  <c r="R3243" i="2"/>
  <c r="S3243" i="2" s="1"/>
  <c r="R3242" i="2"/>
  <c r="S3242" i="2" s="1"/>
  <c r="R3241" i="2"/>
  <c r="S3241" i="2" s="1"/>
  <c r="R3240" i="2"/>
  <c r="S3240" i="2" s="1"/>
  <c r="R3239" i="2"/>
  <c r="S3239" i="2" s="1"/>
  <c r="R3238" i="2"/>
  <c r="S3238" i="2" s="1"/>
  <c r="R3237" i="2"/>
  <c r="S3237" i="2" s="1"/>
  <c r="R3236" i="2"/>
  <c r="S3236" i="2" s="1"/>
  <c r="R3235" i="2"/>
  <c r="S3235" i="2" s="1"/>
  <c r="R3233" i="2"/>
  <c r="S3233" i="2" s="1"/>
  <c r="R3232" i="2"/>
  <c r="S3232" i="2" s="1"/>
  <c r="R3229" i="2"/>
  <c r="S3229" i="2" s="1"/>
  <c r="R3225" i="2"/>
  <c r="S3225" i="2" s="1"/>
  <c r="R3223" i="2"/>
  <c r="S3223" i="2" s="1"/>
  <c r="R3220" i="2"/>
  <c r="S3220" i="2" s="1"/>
  <c r="R3218" i="2"/>
  <c r="S3218" i="2" s="1"/>
  <c r="R3217" i="2"/>
  <c r="S3217" i="2" s="1"/>
  <c r="R3216" i="2"/>
  <c r="S3216" i="2" s="1"/>
  <c r="R3215" i="2"/>
  <c r="S3215" i="2" s="1"/>
  <c r="R3211" i="2"/>
  <c r="S3211" i="2" s="1"/>
  <c r="R3210" i="2"/>
  <c r="S3210" i="2" s="1"/>
  <c r="R3209" i="2"/>
  <c r="S3209" i="2" s="1"/>
  <c r="R3207" i="2"/>
  <c r="S3207" i="2" s="1"/>
  <c r="R3206" i="2"/>
  <c r="S3206" i="2" s="1"/>
  <c r="R3205" i="2"/>
  <c r="S3205" i="2" s="1"/>
  <c r="R3204" i="2"/>
  <c r="S3204" i="2" s="1"/>
  <c r="R3203" i="2"/>
  <c r="S3203" i="2" s="1"/>
  <c r="R3201" i="2"/>
  <c r="S3201" i="2" s="1"/>
  <c r="R3199" i="2"/>
  <c r="S3199" i="2" s="1"/>
  <c r="R3196" i="2"/>
  <c r="S3196" i="2" s="1"/>
  <c r="R3195" i="2"/>
  <c r="S3195" i="2" s="1"/>
  <c r="R3194" i="2"/>
  <c r="S3194" i="2" s="1"/>
  <c r="R3193" i="2"/>
  <c r="S3193" i="2" s="1"/>
  <c r="R3192" i="2"/>
  <c r="S3192" i="2" s="1"/>
  <c r="R3191" i="2"/>
  <c r="S3191" i="2" s="1"/>
  <c r="R3190" i="2"/>
  <c r="S3190" i="2" s="1"/>
  <c r="R3189" i="2"/>
  <c r="S3189" i="2" s="1"/>
  <c r="R3188" i="2"/>
  <c r="S3188" i="2" s="1"/>
  <c r="R3185" i="2"/>
  <c r="S3185" i="2" s="1"/>
  <c r="R3184" i="2"/>
  <c r="S3184" i="2" s="1"/>
  <c r="R3183" i="2"/>
  <c r="S3183" i="2" s="1"/>
  <c r="R3182" i="2"/>
  <c r="S3182" i="2" s="1"/>
  <c r="R3181" i="2"/>
  <c r="S3181" i="2" s="1"/>
  <c r="R3179" i="2"/>
  <c r="S3179" i="2" s="1"/>
  <c r="R3177" i="2"/>
  <c r="S3177" i="2" s="1"/>
  <c r="R3176" i="2"/>
  <c r="S3176" i="2" s="1"/>
  <c r="R3175" i="2"/>
  <c r="S3175" i="2" s="1"/>
  <c r="R3174" i="2"/>
  <c r="S3174" i="2" s="1"/>
  <c r="R3173" i="2"/>
  <c r="S3173" i="2" s="1"/>
  <c r="R3171" i="2"/>
  <c r="S3171" i="2" s="1"/>
  <c r="R3169" i="2"/>
  <c r="S3169" i="2" s="1"/>
  <c r="R3167" i="2"/>
  <c r="S3167" i="2" s="1"/>
  <c r="R3166" i="2"/>
  <c r="S3166" i="2" s="1"/>
  <c r="R3165" i="2"/>
  <c r="S3165" i="2" s="1"/>
  <c r="R3164" i="2"/>
  <c r="S3164" i="2" s="1"/>
  <c r="R3161" i="2"/>
  <c r="S3161" i="2" s="1"/>
  <c r="R3160" i="2"/>
  <c r="S3160" i="2" s="1"/>
  <c r="R3159" i="2"/>
  <c r="S3159" i="2" s="1"/>
  <c r="R3158" i="2"/>
  <c r="S3158" i="2" s="1"/>
  <c r="R3157" i="2"/>
  <c r="S3157" i="2" s="1"/>
  <c r="R3156" i="2"/>
  <c r="S3156" i="2" s="1"/>
  <c r="R3155" i="2"/>
  <c r="S3155" i="2" s="1"/>
  <c r="R3154" i="2"/>
  <c r="S3154" i="2" s="1"/>
  <c r="R3153" i="2"/>
  <c r="S3153" i="2" s="1"/>
  <c r="R3152" i="2"/>
  <c r="S3152" i="2" s="1"/>
  <c r="R3151" i="2"/>
  <c r="S3151" i="2" s="1"/>
  <c r="R3148" i="2"/>
  <c r="S3148" i="2" s="1"/>
  <c r="R3147" i="2"/>
  <c r="S3147" i="2" s="1"/>
  <c r="R3146" i="2"/>
  <c r="S3146" i="2" s="1"/>
  <c r="R3145" i="2"/>
  <c r="S3145" i="2" s="1"/>
  <c r="R3144" i="2"/>
  <c r="S3144" i="2" s="1"/>
  <c r="R3142" i="2"/>
  <c r="S3142" i="2" s="1"/>
  <c r="R3141" i="2"/>
  <c r="S3141" i="2" s="1"/>
  <c r="R3140" i="2"/>
  <c r="S3140" i="2" s="1"/>
  <c r="R3139" i="2"/>
  <c r="S3139" i="2" s="1"/>
  <c r="R3138" i="2"/>
  <c r="S3138" i="2" s="1"/>
  <c r="R3134" i="2"/>
  <c r="S3134" i="2" s="1"/>
  <c r="R3130" i="2"/>
  <c r="S3130" i="2" s="1"/>
  <c r="R3129" i="2"/>
  <c r="S3129" i="2" s="1"/>
  <c r="R3128" i="2"/>
  <c r="S3128" i="2" s="1"/>
  <c r="R3127" i="2"/>
  <c r="S3127" i="2" s="1"/>
  <c r="R3126" i="2"/>
  <c r="S3126" i="2" s="1"/>
  <c r="R3125" i="2"/>
  <c r="S3125" i="2" s="1"/>
  <c r="R3124" i="2"/>
  <c r="S3124" i="2" s="1"/>
  <c r="R3122" i="2"/>
  <c r="S3122" i="2" s="1"/>
  <c r="R3121" i="2"/>
  <c r="S3121" i="2" s="1"/>
  <c r="R3120" i="2"/>
  <c r="S3120" i="2" s="1"/>
  <c r="R3117" i="2"/>
  <c r="S3117" i="2" s="1"/>
  <c r="R3115" i="2"/>
  <c r="S3115" i="2" s="1"/>
  <c r="R3112" i="2"/>
  <c r="S3112" i="2" s="1"/>
  <c r="R3111" i="2"/>
  <c r="S3111" i="2" s="1"/>
  <c r="R3108" i="2"/>
  <c r="S3108" i="2" s="1"/>
  <c r="R3105" i="2"/>
  <c r="S3105" i="2" s="1"/>
  <c r="R3102" i="2"/>
  <c r="S3102" i="2" s="1"/>
  <c r="R3101" i="2"/>
  <c r="S3101" i="2" s="1"/>
  <c r="R3100" i="2"/>
  <c r="S3100" i="2" s="1"/>
  <c r="R3098" i="2"/>
  <c r="S3098" i="2" s="1"/>
  <c r="R3097" i="2"/>
  <c r="S3097" i="2" s="1"/>
  <c r="R3096" i="2"/>
  <c r="S3096" i="2" s="1"/>
  <c r="R3095" i="2"/>
  <c r="S3095" i="2" s="1"/>
  <c r="R3094" i="2"/>
  <c r="S3094" i="2" s="1"/>
  <c r="R3092" i="2"/>
  <c r="S3092" i="2" s="1"/>
  <c r="R3091" i="2"/>
  <c r="S3091" i="2" s="1"/>
  <c r="R3090" i="2"/>
  <c r="S3090" i="2" s="1"/>
  <c r="R3089" i="2"/>
  <c r="S3089" i="2" s="1"/>
  <c r="R3088" i="2"/>
  <c r="S3088" i="2" s="1"/>
  <c r="R3087" i="2"/>
  <c r="S3087" i="2" s="1"/>
  <c r="R3086" i="2"/>
  <c r="S3086" i="2" s="1"/>
  <c r="R3084" i="2"/>
  <c r="S3084" i="2" s="1"/>
  <c r="R3081" i="2"/>
  <c r="S3081" i="2" s="1"/>
  <c r="R3080" i="2"/>
  <c r="S3080" i="2" s="1"/>
  <c r="R3079" i="2"/>
  <c r="S3079" i="2" s="1"/>
  <c r="R3078" i="2"/>
  <c r="S3078" i="2" s="1"/>
  <c r="R3076" i="2"/>
  <c r="S3076" i="2" s="1"/>
  <c r="R3075" i="2"/>
  <c r="S3075" i="2" s="1"/>
  <c r="R3074" i="2"/>
  <c r="S3074" i="2" s="1"/>
  <c r="R3073" i="2"/>
  <c r="S3073" i="2" s="1"/>
  <c r="R3070" i="2"/>
  <c r="S3070" i="2" s="1"/>
  <c r="R3069" i="2"/>
  <c r="S3069" i="2" s="1"/>
  <c r="R3068" i="2"/>
  <c r="S3068" i="2" s="1"/>
  <c r="R3067" i="2"/>
  <c r="S3067" i="2" s="1"/>
  <c r="R3064" i="2"/>
  <c r="S3064" i="2" s="1"/>
  <c r="R3062" i="2"/>
  <c r="S3062" i="2" s="1"/>
  <c r="R3060" i="2"/>
  <c r="S3060" i="2" s="1"/>
  <c r="R3059" i="2"/>
  <c r="S3059" i="2" s="1"/>
  <c r="R3058" i="2"/>
  <c r="S3058" i="2" s="1"/>
  <c r="R3056" i="2"/>
  <c r="S3056" i="2" s="1"/>
  <c r="R3055" i="2"/>
  <c r="S3055" i="2" s="1"/>
  <c r="R3053" i="2"/>
  <c r="S3053" i="2" s="1"/>
  <c r="R3051" i="2"/>
  <c r="S3051" i="2" s="1"/>
  <c r="R3050" i="2"/>
  <c r="S3050" i="2" s="1"/>
  <c r="R3049" i="2"/>
  <c r="S3049" i="2" s="1"/>
  <c r="R3048" i="2"/>
  <c r="S3048" i="2" s="1"/>
  <c r="R3046" i="2"/>
  <c r="S3046" i="2" s="1"/>
  <c r="R3045" i="2"/>
  <c r="S3045" i="2" s="1"/>
  <c r="R3044" i="2"/>
  <c r="S3044" i="2" s="1"/>
  <c r="R3043" i="2"/>
  <c r="S3043" i="2" s="1"/>
  <c r="R3041" i="2"/>
  <c r="S3041" i="2" s="1"/>
  <c r="R3040" i="2"/>
  <c r="S3040" i="2" s="1"/>
  <c r="R3039" i="2"/>
  <c r="S3039" i="2" s="1"/>
  <c r="R3038" i="2"/>
  <c r="S3038" i="2" s="1"/>
  <c r="R3035" i="2"/>
  <c r="S3035" i="2" s="1"/>
  <c r="R3032" i="2"/>
  <c r="S3032" i="2" s="1"/>
  <c r="R3030" i="2"/>
  <c r="S3030" i="2" s="1"/>
  <c r="R3029" i="2"/>
  <c r="S3029" i="2" s="1"/>
  <c r="R3028" i="2"/>
  <c r="S3028" i="2" s="1"/>
  <c r="R3025" i="2"/>
  <c r="S3025" i="2" s="1"/>
  <c r="R3024" i="2"/>
  <c r="S3024" i="2" s="1"/>
  <c r="R3022" i="2"/>
  <c r="S3022" i="2" s="1"/>
  <c r="R3021" i="2"/>
  <c r="S3021" i="2" s="1"/>
  <c r="R3020" i="2"/>
  <c r="S3020" i="2" s="1"/>
  <c r="R3019" i="2"/>
  <c r="S3019" i="2" s="1"/>
  <c r="R3018" i="2"/>
  <c r="S3018" i="2" s="1"/>
  <c r="R3017" i="2"/>
  <c r="S3017" i="2" s="1"/>
  <c r="R3016" i="2"/>
  <c r="S3016" i="2" s="1"/>
  <c r="R3015" i="2"/>
  <c r="S3015" i="2" s="1"/>
  <c r="R3014" i="2"/>
  <c r="S3014" i="2" s="1"/>
  <c r="R3013" i="2"/>
  <c r="S3013" i="2" s="1"/>
  <c r="R3012" i="2"/>
  <c r="S3012" i="2" s="1"/>
  <c r="R3011" i="2"/>
  <c r="S3011" i="2" s="1"/>
  <c r="R3010" i="2"/>
  <c r="S3010" i="2" s="1"/>
  <c r="R3009" i="2"/>
  <c r="S3009" i="2" s="1"/>
  <c r="R3008" i="2"/>
  <c r="S3008" i="2" s="1"/>
  <c r="R3005" i="2"/>
  <c r="S3005" i="2" s="1"/>
  <c r="R3003" i="2"/>
  <c r="S3003" i="2" s="1"/>
  <c r="R3002" i="2"/>
  <c r="S3002" i="2" s="1"/>
  <c r="R3001" i="2"/>
  <c r="S3001" i="2" s="1"/>
  <c r="R2999" i="2"/>
  <c r="S2999" i="2" s="1"/>
  <c r="R2997" i="2"/>
  <c r="S2997" i="2" s="1"/>
  <c r="R2996" i="2"/>
  <c r="S2996" i="2" s="1"/>
  <c r="R2993" i="2"/>
  <c r="S2993" i="2" s="1"/>
  <c r="R2991" i="2"/>
  <c r="S2991" i="2" s="1"/>
  <c r="R2990" i="2"/>
  <c r="S2990" i="2" s="1"/>
  <c r="R2988" i="2"/>
  <c r="S2988" i="2" s="1"/>
  <c r="R2987" i="2"/>
  <c r="S2987" i="2" s="1"/>
  <c r="R2985" i="2"/>
  <c r="S2985" i="2" s="1"/>
  <c r="R2984" i="2"/>
  <c r="S2984" i="2" s="1"/>
  <c r="R2981" i="2"/>
  <c r="S2981" i="2" s="1"/>
  <c r="R2980" i="2"/>
  <c r="S2980" i="2" s="1"/>
  <c r="R2977" i="2"/>
  <c r="S2977" i="2" s="1"/>
  <c r="R2976" i="2"/>
  <c r="S2976" i="2" s="1"/>
  <c r="R2975" i="2"/>
  <c r="S2975" i="2" s="1"/>
  <c r="R2974" i="2"/>
  <c r="S2974" i="2" s="1"/>
  <c r="R2973" i="2"/>
  <c r="S2973" i="2" s="1"/>
  <c r="R2972" i="2"/>
  <c r="S2972" i="2" s="1"/>
  <c r="R2971" i="2"/>
  <c r="S2971" i="2" s="1"/>
  <c r="R2970" i="2"/>
  <c r="S2970" i="2" s="1"/>
  <c r="R2969" i="2"/>
  <c r="S2969" i="2" s="1"/>
  <c r="R2968" i="2"/>
  <c r="S2968" i="2" s="1"/>
  <c r="R2967" i="2"/>
  <c r="S2967" i="2" s="1"/>
  <c r="R2966" i="2"/>
  <c r="S2966" i="2" s="1"/>
  <c r="R2965" i="2"/>
  <c r="S2965" i="2" s="1"/>
  <c r="R2964" i="2"/>
  <c r="S2964" i="2" s="1"/>
  <c r="R2962" i="2"/>
  <c r="S2962" i="2" s="1"/>
  <c r="R2960" i="2"/>
  <c r="S2960" i="2" s="1"/>
  <c r="R2959" i="2"/>
  <c r="S2959" i="2" s="1"/>
  <c r="R2958" i="2"/>
  <c r="S2958" i="2" s="1"/>
  <c r="R2957" i="2"/>
  <c r="S2957" i="2" s="1"/>
  <c r="R2955" i="2"/>
  <c r="S2955" i="2" s="1"/>
  <c r="R2954" i="2"/>
  <c r="S2954" i="2" s="1"/>
  <c r="R2953" i="2"/>
  <c r="S2953" i="2" s="1"/>
  <c r="R2952" i="2"/>
  <c r="S2952" i="2" s="1"/>
  <c r="R2950" i="2"/>
  <c r="S2950" i="2" s="1"/>
  <c r="R2944" i="2"/>
  <c r="S2944" i="2" s="1"/>
  <c r="R2941" i="2"/>
  <c r="S2941" i="2" s="1"/>
  <c r="R2939" i="2"/>
  <c r="S2939" i="2" s="1"/>
  <c r="R2938" i="2"/>
  <c r="S2938" i="2" s="1"/>
  <c r="R2935" i="2"/>
  <c r="S2935" i="2" s="1"/>
  <c r="R2933" i="2"/>
  <c r="S2933" i="2" s="1"/>
  <c r="R2932" i="2"/>
  <c r="S2932" i="2" s="1"/>
  <c r="R2931" i="2"/>
  <c r="S2931" i="2" s="1"/>
  <c r="R2930" i="2"/>
  <c r="S2930" i="2" s="1"/>
  <c r="R2928" i="2"/>
  <c r="S2928" i="2" s="1"/>
  <c r="R2926" i="2"/>
  <c r="S2926" i="2" s="1"/>
  <c r="R2925" i="2"/>
  <c r="S2925" i="2" s="1"/>
  <c r="R2924" i="2"/>
  <c r="S2924" i="2" s="1"/>
  <c r="R2923" i="2"/>
  <c r="S2923" i="2" s="1"/>
  <c r="R2922" i="2"/>
  <c r="S2922" i="2" s="1"/>
  <c r="R2920" i="2"/>
  <c r="S2920" i="2" s="1"/>
  <c r="R2919" i="2"/>
  <c r="S2919" i="2" s="1"/>
  <c r="R2918" i="2"/>
  <c r="S2918" i="2" s="1"/>
  <c r="R2916" i="2"/>
  <c r="S2916" i="2" s="1"/>
  <c r="R2915" i="2"/>
  <c r="S2915" i="2" s="1"/>
  <c r="R2914" i="2"/>
  <c r="S2914" i="2" s="1"/>
  <c r="R2913" i="2"/>
  <c r="S2913" i="2" s="1"/>
  <c r="R2912" i="2"/>
  <c r="S2912" i="2" s="1"/>
  <c r="R2911" i="2"/>
  <c r="S2911" i="2" s="1"/>
  <c r="R2909" i="2"/>
  <c r="S2909" i="2" s="1"/>
  <c r="R2908" i="2"/>
  <c r="S2908" i="2" s="1"/>
  <c r="R2907" i="2"/>
  <c r="S2907" i="2" s="1"/>
  <c r="R2906" i="2"/>
  <c r="S2906" i="2" s="1"/>
  <c r="R2905" i="2"/>
  <c r="S2905" i="2" s="1"/>
  <c r="R2901" i="2"/>
  <c r="S2901" i="2" s="1"/>
  <c r="R2899" i="2"/>
  <c r="S2899" i="2" s="1"/>
  <c r="R2898" i="2"/>
  <c r="S2898" i="2" s="1"/>
  <c r="R2897" i="2"/>
  <c r="S2897" i="2" s="1"/>
  <c r="R2896" i="2"/>
  <c r="S2896" i="2" s="1"/>
  <c r="R2893" i="2"/>
  <c r="S2893" i="2" s="1"/>
  <c r="R2892" i="2"/>
  <c r="S2892" i="2" s="1"/>
  <c r="R2890" i="2"/>
  <c r="S2890" i="2" s="1"/>
  <c r="R2888" i="2"/>
  <c r="S2888" i="2" s="1"/>
  <c r="R2887" i="2"/>
  <c r="S2887" i="2" s="1"/>
  <c r="R2885" i="2"/>
  <c r="S2885" i="2" s="1"/>
  <c r="R2884" i="2"/>
  <c r="S2884" i="2" s="1"/>
  <c r="R2881" i="2"/>
  <c r="S2881" i="2" s="1"/>
  <c r="R2878" i="2"/>
  <c r="S2878" i="2" s="1"/>
  <c r="R2877" i="2"/>
  <c r="S2877" i="2" s="1"/>
  <c r="R2874" i="2"/>
  <c r="S2874" i="2" s="1"/>
  <c r="R2873" i="2"/>
  <c r="S2873" i="2" s="1"/>
  <c r="R2872" i="2"/>
  <c r="S2872" i="2" s="1"/>
  <c r="R2869" i="2"/>
  <c r="S2869" i="2" s="1"/>
  <c r="R2867" i="2"/>
  <c r="S2867" i="2" s="1"/>
  <c r="R2863" i="2"/>
  <c r="S2863" i="2" s="1"/>
  <c r="R2861" i="2"/>
  <c r="S2861" i="2" s="1"/>
  <c r="R2859" i="2"/>
  <c r="S2859" i="2" s="1"/>
  <c r="R2858" i="2"/>
  <c r="S2858" i="2" s="1"/>
  <c r="R2857" i="2"/>
  <c r="S2857" i="2" s="1"/>
  <c r="R2855" i="2"/>
  <c r="S2855" i="2" s="1"/>
  <c r="R2854" i="2"/>
  <c r="S2854" i="2" s="1"/>
  <c r="R2853" i="2"/>
  <c r="S2853" i="2" s="1"/>
  <c r="R2852" i="2"/>
  <c r="S2852" i="2" s="1"/>
  <c r="R2850" i="2"/>
  <c r="S2850" i="2" s="1"/>
  <c r="R2849" i="2"/>
  <c r="S2849" i="2" s="1"/>
  <c r="R2848" i="2"/>
  <c r="S2848" i="2" s="1"/>
  <c r="R2847" i="2"/>
  <c r="S2847" i="2" s="1"/>
  <c r="R2845" i="2"/>
  <c r="S2845" i="2" s="1"/>
  <c r="R2844" i="2"/>
  <c r="S2844" i="2" s="1"/>
  <c r="R2843" i="2"/>
  <c r="S2843" i="2" s="1"/>
  <c r="R2842" i="2"/>
  <c r="S2842" i="2" s="1"/>
  <c r="R2840" i="2"/>
  <c r="S2840" i="2" s="1"/>
  <c r="R2837" i="2"/>
  <c r="S2837" i="2" s="1"/>
  <c r="R2836" i="2"/>
  <c r="S2836" i="2" s="1"/>
  <c r="R2834" i="2"/>
  <c r="S2834" i="2" s="1"/>
  <c r="R2833" i="2"/>
  <c r="S2833" i="2" s="1"/>
  <c r="R2832" i="2"/>
  <c r="S2832" i="2" s="1"/>
  <c r="R2830" i="2"/>
  <c r="S2830" i="2" s="1"/>
  <c r="R2829" i="2"/>
  <c r="S2829" i="2" s="1"/>
  <c r="R2828" i="2"/>
  <c r="S2828" i="2" s="1"/>
  <c r="R2827" i="2"/>
  <c r="S2827" i="2" s="1"/>
  <c r="R2826" i="2"/>
  <c r="S2826" i="2" s="1"/>
  <c r="R2825" i="2"/>
  <c r="S2825" i="2" s="1"/>
  <c r="R2824" i="2"/>
  <c r="S2824" i="2" s="1"/>
  <c r="R2823" i="2"/>
  <c r="S2823" i="2" s="1"/>
  <c r="R2822" i="2"/>
  <c r="S2822" i="2" s="1"/>
  <c r="R2821" i="2"/>
  <c r="S2821" i="2" s="1"/>
  <c r="R2819" i="2"/>
  <c r="S2819" i="2" s="1"/>
  <c r="R2818" i="2"/>
  <c r="S2818" i="2" s="1"/>
  <c r="R2817" i="2"/>
  <c r="S2817" i="2" s="1"/>
  <c r="R2816" i="2"/>
  <c r="S2816" i="2" s="1"/>
  <c r="R2811" i="2"/>
  <c r="S2811" i="2" s="1"/>
  <c r="R2808" i="2"/>
  <c r="S2808" i="2" s="1"/>
  <c r="R2807" i="2"/>
  <c r="S2807" i="2" s="1"/>
  <c r="R2805" i="2"/>
  <c r="S2805" i="2" s="1"/>
  <c r="R2803" i="2"/>
  <c r="S2803" i="2" s="1"/>
  <c r="R2802" i="2"/>
  <c r="S2802" i="2" s="1"/>
  <c r="R2800" i="2"/>
  <c r="S2800" i="2" s="1"/>
  <c r="R2798" i="2"/>
  <c r="S2798" i="2" s="1"/>
  <c r="R2796" i="2"/>
  <c r="S2796" i="2" s="1"/>
  <c r="R2795" i="2"/>
  <c r="S2795" i="2" s="1"/>
  <c r="R2794" i="2"/>
  <c r="S2794" i="2" s="1"/>
  <c r="R2793" i="2"/>
  <c r="S2793" i="2" s="1"/>
  <c r="R2792" i="2"/>
  <c r="S2792" i="2" s="1"/>
  <c r="R2791" i="2"/>
  <c r="S2791" i="2" s="1"/>
  <c r="R2789" i="2"/>
  <c r="S2789" i="2" s="1"/>
  <c r="R2788" i="2"/>
  <c r="S2788" i="2" s="1"/>
  <c r="R2786" i="2"/>
  <c r="S2786" i="2" s="1"/>
  <c r="R2785" i="2"/>
  <c r="S2785" i="2" s="1"/>
  <c r="R2784" i="2"/>
  <c r="S2784" i="2" s="1"/>
  <c r="R2782" i="2"/>
  <c r="S2782" i="2" s="1"/>
  <c r="R2781" i="2"/>
  <c r="S2781" i="2" s="1"/>
  <c r="R2780" i="2"/>
  <c r="S2780" i="2" s="1"/>
  <c r="R2777" i="2"/>
  <c r="S2777" i="2" s="1"/>
  <c r="R2776" i="2"/>
  <c r="S2776" i="2" s="1"/>
  <c r="R2775" i="2"/>
  <c r="S2775" i="2" s="1"/>
  <c r="R2774" i="2"/>
  <c r="S2774" i="2" s="1"/>
  <c r="R2772" i="2"/>
  <c r="S2772" i="2" s="1"/>
  <c r="R2771" i="2"/>
  <c r="S2771" i="2" s="1"/>
  <c r="R2770" i="2"/>
  <c r="S2770" i="2" s="1"/>
  <c r="R2769" i="2"/>
  <c r="S2769" i="2" s="1"/>
  <c r="R2767" i="2"/>
  <c r="S2767" i="2" s="1"/>
  <c r="R2766" i="2"/>
  <c r="S2766" i="2" s="1"/>
  <c r="R2765" i="2"/>
  <c r="S2765" i="2" s="1"/>
  <c r="R2764" i="2"/>
  <c r="S2764" i="2" s="1"/>
  <c r="R2763" i="2"/>
  <c r="S2763" i="2" s="1"/>
  <c r="R2762" i="2"/>
  <c r="S2762" i="2" s="1"/>
  <c r="R2761" i="2"/>
  <c r="S2761" i="2" s="1"/>
  <c r="R2760" i="2"/>
  <c r="S2760" i="2" s="1"/>
  <c r="R2759" i="2"/>
  <c r="S2759" i="2" s="1"/>
  <c r="R2758" i="2"/>
  <c r="S2758" i="2" s="1"/>
  <c r="R2757" i="2"/>
  <c r="S2757" i="2" s="1"/>
  <c r="R2755" i="2"/>
  <c r="S2755" i="2" s="1"/>
  <c r="R2754" i="2"/>
  <c r="S2754" i="2" s="1"/>
  <c r="R2752" i="2"/>
  <c r="S2752" i="2" s="1"/>
  <c r="R2751" i="2"/>
  <c r="S2751" i="2" s="1"/>
  <c r="R2745" i="2"/>
  <c r="S2745" i="2" s="1"/>
  <c r="R2743" i="2"/>
  <c r="S2743" i="2" s="1"/>
  <c r="R2742" i="2"/>
  <c r="S2742" i="2" s="1"/>
  <c r="R2741" i="2"/>
  <c r="S2741" i="2" s="1"/>
  <c r="R2740" i="2"/>
  <c r="S2740" i="2" s="1"/>
  <c r="R2739" i="2"/>
  <c r="S2739" i="2" s="1"/>
  <c r="R2737" i="2"/>
  <c r="S2737" i="2" s="1"/>
  <c r="R2735" i="2"/>
  <c r="S2735" i="2" s="1"/>
  <c r="R2734" i="2"/>
  <c r="S2734" i="2" s="1"/>
  <c r="R2733" i="2"/>
  <c r="S2733" i="2" s="1"/>
  <c r="R2732" i="2"/>
  <c r="S2732" i="2" s="1"/>
  <c r="R2731" i="2"/>
  <c r="S2731" i="2" s="1"/>
  <c r="R2730" i="2"/>
  <c r="S2730" i="2" s="1"/>
  <c r="R2728" i="2"/>
  <c r="S2728" i="2" s="1"/>
  <c r="R2726" i="2"/>
  <c r="S2726" i="2" s="1"/>
  <c r="R2725" i="2"/>
  <c r="S2725" i="2" s="1"/>
  <c r="R2724" i="2"/>
  <c r="S2724" i="2" s="1"/>
  <c r="R2723" i="2"/>
  <c r="S2723" i="2" s="1"/>
  <c r="R2722" i="2"/>
  <c r="S2722" i="2" s="1"/>
  <c r="R2721" i="2"/>
  <c r="S2721" i="2" s="1"/>
  <c r="R2720" i="2"/>
  <c r="S2720" i="2" s="1"/>
  <c r="R2719" i="2"/>
  <c r="S2719" i="2" s="1"/>
  <c r="R2718" i="2"/>
  <c r="S2718" i="2" s="1"/>
  <c r="R2717" i="2"/>
  <c r="S2717" i="2" s="1"/>
  <c r="R2715" i="2"/>
  <c r="S2715" i="2" s="1"/>
  <c r="R2714" i="2"/>
  <c r="S2714" i="2" s="1"/>
  <c r="R2711" i="2"/>
  <c r="S2711" i="2" s="1"/>
  <c r="R2710" i="2"/>
  <c r="S2710" i="2" s="1"/>
  <c r="R2709" i="2"/>
  <c r="S2709" i="2" s="1"/>
  <c r="R2708" i="2"/>
  <c r="S2708" i="2" s="1"/>
  <c r="R2707" i="2"/>
  <c r="S2707" i="2" s="1"/>
  <c r="R2706" i="2"/>
  <c r="S2706" i="2" s="1"/>
  <c r="R2705" i="2"/>
  <c r="S2705" i="2" s="1"/>
  <c r="R2704" i="2"/>
  <c r="S2704" i="2" s="1"/>
  <c r="R2703" i="2"/>
  <c r="S2703" i="2" s="1"/>
  <c r="R2701" i="2"/>
  <c r="S2701" i="2" s="1"/>
  <c r="R2700" i="2"/>
  <c r="S2700" i="2" s="1"/>
  <c r="R2699" i="2"/>
  <c r="S2699" i="2" s="1"/>
  <c r="R2698" i="2"/>
  <c r="S2698" i="2" s="1"/>
  <c r="R2696" i="2"/>
  <c r="S2696" i="2" s="1"/>
  <c r="R2695" i="2"/>
  <c r="S2695" i="2" s="1"/>
  <c r="R2694" i="2"/>
  <c r="S2694" i="2" s="1"/>
  <c r="R2693" i="2"/>
  <c r="S2693" i="2" s="1"/>
  <c r="R2692" i="2"/>
  <c r="S2692" i="2" s="1"/>
  <c r="R2691" i="2"/>
  <c r="S2691" i="2" s="1"/>
  <c r="R2688" i="2"/>
  <c r="S2688" i="2" s="1"/>
  <c r="R2686" i="2"/>
  <c r="S2686" i="2" s="1"/>
  <c r="R2685" i="2"/>
  <c r="S2685" i="2" s="1"/>
  <c r="R2684" i="2"/>
  <c r="S2684" i="2" s="1"/>
  <c r="R2682" i="2"/>
  <c r="S2682" i="2" s="1"/>
  <c r="R2681" i="2"/>
  <c r="S2681" i="2" s="1"/>
  <c r="R2679" i="2"/>
  <c r="S2679" i="2" s="1"/>
  <c r="R2677" i="2"/>
  <c r="S2677" i="2" s="1"/>
  <c r="R2676" i="2"/>
  <c r="S2676" i="2" s="1"/>
  <c r="R2675" i="2"/>
  <c r="S2675" i="2" s="1"/>
  <c r="R2674" i="2"/>
  <c r="S2674" i="2" s="1"/>
  <c r="R2673" i="2"/>
  <c r="S2673" i="2" s="1"/>
  <c r="R2672" i="2"/>
  <c r="S2672" i="2" s="1"/>
  <c r="R2671" i="2"/>
  <c r="S2671" i="2" s="1"/>
  <c r="R2670" i="2"/>
  <c r="S2670" i="2" s="1"/>
  <c r="R2669" i="2"/>
  <c r="S2669" i="2" s="1"/>
  <c r="R2668" i="2"/>
  <c r="S2668" i="2" s="1"/>
  <c r="R2667" i="2"/>
  <c r="S2667" i="2" s="1"/>
  <c r="R2666" i="2"/>
  <c r="S2666" i="2" s="1"/>
  <c r="R2665" i="2"/>
  <c r="S2665" i="2" s="1"/>
  <c r="R2664" i="2"/>
  <c r="S2664" i="2" s="1"/>
  <c r="R2661" i="2"/>
  <c r="S2661" i="2" s="1"/>
  <c r="R2660" i="2"/>
  <c r="S2660" i="2" s="1"/>
  <c r="R2658" i="2"/>
  <c r="S2658" i="2" s="1"/>
  <c r="R2657" i="2"/>
  <c r="S2657" i="2" s="1"/>
  <c r="R2656" i="2"/>
  <c r="S2656" i="2" s="1"/>
  <c r="R2652" i="2"/>
  <c r="S2652" i="2" s="1"/>
  <c r="R2651" i="2"/>
  <c r="S2651" i="2" s="1"/>
  <c r="R2648" i="2"/>
  <c r="S2648" i="2" s="1"/>
  <c r="R2646" i="2"/>
  <c r="S2646" i="2" s="1"/>
  <c r="R2645" i="2"/>
  <c r="S2645" i="2" s="1"/>
  <c r="R2643" i="2"/>
  <c r="S2643" i="2" s="1"/>
  <c r="R2642" i="2"/>
  <c r="S2642" i="2" s="1"/>
  <c r="R2640" i="2"/>
  <c r="S2640" i="2" s="1"/>
  <c r="R2639" i="2"/>
  <c r="S2639" i="2" s="1"/>
  <c r="R2638" i="2"/>
  <c r="S2638" i="2" s="1"/>
  <c r="R2637" i="2"/>
  <c r="S2637" i="2" s="1"/>
  <c r="R2635" i="2"/>
  <c r="S2635" i="2" s="1"/>
  <c r="R2634" i="2"/>
  <c r="S2634" i="2" s="1"/>
  <c r="R2633" i="2"/>
  <c r="S2633" i="2" s="1"/>
  <c r="R2632" i="2"/>
  <c r="S2632" i="2" s="1"/>
  <c r="R2630" i="2"/>
  <c r="S2630" i="2" s="1"/>
  <c r="R2626" i="2"/>
  <c r="S2626" i="2" s="1"/>
  <c r="R2625" i="2"/>
  <c r="S2625" i="2" s="1"/>
  <c r="R2623" i="2"/>
  <c r="S2623" i="2" s="1"/>
  <c r="R2622" i="2"/>
  <c r="S2622" i="2" s="1"/>
  <c r="R2620" i="2"/>
  <c r="S2620" i="2" s="1"/>
  <c r="R2618" i="2"/>
  <c r="S2618" i="2" s="1"/>
  <c r="R2617" i="2"/>
  <c r="S2617" i="2" s="1"/>
  <c r="R2616" i="2"/>
  <c r="S2616" i="2" s="1"/>
  <c r="R2614" i="2"/>
  <c r="S2614" i="2" s="1"/>
  <c r="R2609" i="2"/>
  <c r="S2609" i="2" s="1"/>
  <c r="R2608" i="2"/>
  <c r="S2608" i="2" s="1"/>
  <c r="R2607" i="2"/>
  <c r="S2607" i="2" s="1"/>
  <c r="R2606" i="2"/>
  <c r="S2606" i="2" s="1"/>
  <c r="R2605" i="2"/>
  <c r="S2605" i="2" s="1"/>
  <c r="R2604" i="2"/>
  <c r="S2604" i="2" s="1"/>
  <c r="R2603" i="2"/>
  <c r="S2603" i="2" s="1"/>
  <c r="R2601" i="2"/>
  <c r="S2601" i="2" s="1"/>
  <c r="R2600" i="2"/>
  <c r="S2600" i="2" s="1"/>
  <c r="R2599" i="2"/>
  <c r="S2599" i="2" s="1"/>
  <c r="R2598" i="2"/>
  <c r="S2598" i="2" s="1"/>
  <c r="R2597" i="2"/>
  <c r="S2597" i="2" s="1"/>
  <c r="R2596" i="2"/>
  <c r="S2596" i="2" s="1"/>
  <c r="R2594" i="2"/>
  <c r="S2594" i="2" s="1"/>
  <c r="R2593" i="2"/>
  <c r="S2593" i="2" s="1"/>
  <c r="R2591" i="2"/>
  <c r="S2591" i="2" s="1"/>
  <c r="R2590" i="2"/>
  <c r="S2590" i="2" s="1"/>
  <c r="R2589" i="2"/>
  <c r="S2589" i="2" s="1"/>
  <c r="R2588" i="2"/>
  <c r="S2588" i="2" s="1"/>
  <c r="R2587" i="2"/>
  <c r="S2587" i="2" s="1"/>
  <c r="R2586" i="2"/>
  <c r="S2586" i="2" s="1"/>
  <c r="R2585" i="2"/>
  <c r="S2585" i="2" s="1"/>
  <c r="R2584" i="2"/>
  <c r="S2584" i="2" s="1"/>
  <c r="R2583" i="2"/>
  <c r="S2583" i="2" s="1"/>
  <c r="R2580" i="2"/>
  <c r="S2580" i="2" s="1"/>
  <c r="R2579" i="2"/>
  <c r="S2579" i="2" s="1"/>
  <c r="R2578" i="2"/>
  <c r="S2578" i="2" s="1"/>
  <c r="R2577" i="2"/>
  <c r="S2577" i="2" s="1"/>
  <c r="R2574" i="2"/>
  <c r="S2574" i="2" s="1"/>
  <c r="R2573" i="2"/>
  <c r="S2573" i="2" s="1"/>
  <c r="R2569" i="2"/>
  <c r="S2569" i="2" s="1"/>
  <c r="R2567" i="2"/>
  <c r="S2567" i="2" s="1"/>
  <c r="R2566" i="2"/>
  <c r="S2566" i="2" s="1"/>
  <c r="R2565" i="2"/>
  <c r="S2565" i="2" s="1"/>
  <c r="R2563" i="2"/>
  <c r="S2563" i="2" s="1"/>
  <c r="R2562" i="2"/>
  <c r="S2562" i="2" s="1"/>
  <c r="R2560" i="2"/>
  <c r="S2560" i="2" s="1"/>
  <c r="R2559" i="2"/>
  <c r="S2559" i="2" s="1"/>
  <c r="R2558" i="2"/>
  <c r="S2558" i="2" s="1"/>
  <c r="R2557" i="2"/>
  <c r="S2557" i="2" s="1"/>
  <c r="R2556" i="2"/>
  <c r="S2556" i="2" s="1"/>
  <c r="R2555" i="2"/>
  <c r="S2555" i="2" s="1"/>
  <c r="R2554" i="2"/>
  <c r="S2554" i="2" s="1"/>
  <c r="R2553" i="2"/>
  <c r="S2553" i="2" s="1"/>
  <c r="R2550" i="2"/>
  <c r="S2550" i="2" s="1"/>
  <c r="R2549" i="2"/>
  <c r="S2549" i="2" s="1"/>
  <c r="R2548" i="2"/>
  <c r="S2548" i="2" s="1"/>
  <c r="R2547" i="2"/>
  <c r="S2547" i="2" s="1"/>
  <c r="R2546" i="2"/>
  <c r="S2546" i="2" s="1"/>
  <c r="R2545" i="2"/>
  <c r="S2545" i="2" s="1"/>
  <c r="R2542" i="2"/>
  <c r="S2542" i="2" s="1"/>
  <c r="R2541" i="2"/>
  <c r="S2541" i="2" s="1"/>
  <c r="R2540" i="2"/>
  <c r="S2540" i="2" s="1"/>
  <c r="R2539" i="2"/>
  <c r="S2539" i="2" s="1"/>
  <c r="R2537" i="2"/>
  <c r="S2537" i="2" s="1"/>
  <c r="R2536" i="2"/>
  <c r="S2536" i="2" s="1"/>
  <c r="R2535" i="2"/>
  <c r="S2535" i="2" s="1"/>
  <c r="R2533" i="2"/>
  <c r="S2533" i="2" s="1"/>
  <c r="R2532" i="2"/>
  <c r="S2532" i="2" s="1"/>
  <c r="R2530" i="2"/>
  <c r="S2530" i="2" s="1"/>
  <c r="R2529" i="2"/>
  <c r="S2529" i="2" s="1"/>
  <c r="R2528" i="2"/>
  <c r="S2528" i="2" s="1"/>
  <c r="R2526" i="2"/>
  <c r="S2526" i="2" s="1"/>
  <c r="R2525" i="2"/>
  <c r="S2525" i="2" s="1"/>
  <c r="R2524" i="2"/>
  <c r="S2524" i="2" s="1"/>
  <c r="R2523" i="2"/>
  <c r="S2523" i="2" s="1"/>
  <c r="R2520" i="2"/>
  <c r="S2520" i="2" s="1"/>
  <c r="R2519" i="2"/>
  <c r="S2519" i="2" s="1"/>
  <c r="R2518" i="2"/>
  <c r="S2518" i="2" s="1"/>
  <c r="R2517" i="2"/>
  <c r="S2517" i="2" s="1"/>
  <c r="R2516" i="2"/>
  <c r="S2516" i="2" s="1"/>
  <c r="R2515" i="2"/>
  <c r="S2515" i="2" s="1"/>
  <c r="R2513" i="2"/>
  <c r="S2513" i="2" s="1"/>
  <c r="R2512" i="2"/>
  <c r="S2512" i="2" s="1"/>
  <c r="R2510" i="2"/>
  <c r="S2510" i="2" s="1"/>
  <c r="R2509" i="2"/>
  <c r="S2509" i="2" s="1"/>
  <c r="R2507" i="2"/>
  <c r="S2507" i="2" s="1"/>
  <c r="R2502" i="2"/>
  <c r="S2502" i="2" s="1"/>
  <c r="R2501" i="2"/>
  <c r="S2501" i="2" s="1"/>
  <c r="R2500" i="2"/>
  <c r="S2500" i="2" s="1"/>
  <c r="R2498" i="2"/>
  <c r="S2498" i="2" s="1"/>
  <c r="R2497" i="2"/>
  <c r="S2497" i="2" s="1"/>
  <c r="R2496" i="2"/>
  <c r="S2496" i="2" s="1"/>
  <c r="R2495" i="2"/>
  <c r="S2495" i="2" s="1"/>
  <c r="R2494" i="2"/>
  <c r="S2494" i="2" s="1"/>
  <c r="R2493" i="2"/>
  <c r="S2493" i="2" s="1"/>
  <c r="R2492" i="2"/>
  <c r="S2492" i="2" s="1"/>
  <c r="R2491" i="2"/>
  <c r="S2491" i="2" s="1"/>
  <c r="R2487" i="2"/>
  <c r="S2487" i="2" s="1"/>
  <c r="R2486" i="2"/>
  <c r="S2486" i="2" s="1"/>
  <c r="R2485" i="2"/>
  <c r="S2485" i="2" s="1"/>
  <c r="R2483" i="2"/>
  <c r="S2483" i="2" s="1"/>
  <c r="R2481" i="2"/>
  <c r="S2481" i="2" s="1"/>
  <c r="R2480" i="2"/>
  <c r="S2480" i="2" s="1"/>
  <c r="R2479" i="2"/>
  <c r="S2479" i="2" s="1"/>
  <c r="R2476" i="2"/>
  <c r="S2476" i="2" s="1"/>
  <c r="R2475" i="2"/>
  <c r="S2475" i="2" s="1"/>
  <c r="R2473" i="2"/>
  <c r="S2473" i="2" s="1"/>
  <c r="R2472" i="2"/>
  <c r="S2472" i="2" s="1"/>
  <c r="R2470" i="2"/>
  <c r="S2470" i="2" s="1"/>
  <c r="R2468" i="2"/>
  <c r="S2468" i="2" s="1"/>
  <c r="R2467" i="2"/>
  <c r="S2467" i="2" s="1"/>
  <c r="R2466" i="2"/>
  <c r="S2466" i="2" s="1"/>
  <c r="R2464" i="2"/>
  <c r="S2464" i="2" s="1"/>
  <c r="R2463" i="2"/>
  <c r="S2463" i="2" s="1"/>
  <c r="R2462" i="2"/>
  <c r="S2462" i="2" s="1"/>
  <c r="R2460" i="2"/>
  <c r="S2460" i="2" s="1"/>
  <c r="R2459" i="2"/>
  <c r="S2459" i="2" s="1"/>
  <c r="R2457" i="2"/>
  <c r="S2457" i="2" s="1"/>
  <c r="R2456" i="2"/>
  <c r="S2456" i="2" s="1"/>
  <c r="R2455" i="2"/>
  <c r="S2455" i="2" s="1"/>
  <c r="R2453" i="2"/>
  <c r="S2453" i="2" s="1"/>
  <c r="R2452" i="2"/>
  <c r="S2452" i="2" s="1"/>
  <c r="R2451" i="2"/>
  <c r="S2451" i="2" s="1"/>
  <c r="R2449" i="2"/>
  <c r="S2449" i="2" s="1"/>
  <c r="R2447" i="2"/>
  <c r="S2447" i="2" s="1"/>
  <c r="R2446" i="2"/>
  <c r="S2446" i="2" s="1"/>
  <c r="R2443" i="2"/>
  <c r="S2443" i="2" s="1"/>
  <c r="R2442" i="2"/>
  <c r="S2442" i="2" s="1"/>
  <c r="R2441" i="2"/>
  <c r="S2441" i="2" s="1"/>
  <c r="R2440" i="2"/>
  <c r="S2440" i="2" s="1"/>
  <c r="R2438" i="2"/>
  <c r="S2438" i="2" s="1"/>
  <c r="R2437" i="2"/>
  <c r="S2437" i="2" s="1"/>
  <c r="R2435" i="2"/>
  <c r="S2435" i="2" s="1"/>
  <c r="R2431" i="2"/>
  <c r="S2431" i="2" s="1"/>
  <c r="R2430" i="2"/>
  <c r="S2430" i="2" s="1"/>
  <c r="R2429" i="2"/>
  <c r="S2429" i="2" s="1"/>
  <c r="R2428" i="2"/>
  <c r="S2428" i="2" s="1"/>
  <c r="R2427" i="2"/>
  <c r="S2427" i="2" s="1"/>
  <c r="R2426" i="2"/>
  <c r="S2426" i="2" s="1"/>
  <c r="R2425" i="2"/>
  <c r="S2425" i="2" s="1"/>
  <c r="R2424" i="2"/>
  <c r="S2424" i="2" s="1"/>
  <c r="R2421" i="2"/>
  <c r="S2421" i="2" s="1"/>
  <c r="R2420" i="2"/>
  <c r="S2420" i="2" s="1"/>
  <c r="R2419" i="2"/>
  <c r="S2419" i="2" s="1"/>
  <c r="R2417" i="2"/>
  <c r="S2417" i="2" s="1"/>
  <c r="R2416" i="2"/>
  <c r="S2416" i="2" s="1"/>
  <c r="R2415" i="2"/>
  <c r="S2415" i="2" s="1"/>
  <c r="R2414" i="2"/>
  <c r="S2414" i="2" s="1"/>
  <c r="R2411" i="2"/>
  <c r="S2411" i="2" s="1"/>
  <c r="R2410" i="2"/>
  <c r="S2410" i="2" s="1"/>
  <c r="R2409" i="2"/>
  <c r="S2409" i="2" s="1"/>
  <c r="R2408" i="2"/>
  <c r="S2408" i="2" s="1"/>
  <c r="R2406" i="2"/>
  <c r="S2406" i="2" s="1"/>
  <c r="R2404" i="2"/>
  <c r="S2404" i="2" s="1"/>
  <c r="R2403" i="2"/>
  <c r="S2403" i="2" s="1"/>
  <c r="R2402" i="2"/>
  <c r="S2402" i="2" s="1"/>
  <c r="R2401" i="2"/>
  <c r="S2401" i="2" s="1"/>
  <c r="R2400" i="2"/>
  <c r="S2400" i="2" s="1"/>
  <c r="R2398" i="2"/>
  <c r="S2398" i="2" s="1"/>
  <c r="R2397" i="2"/>
  <c r="S2397" i="2" s="1"/>
  <c r="R2395" i="2"/>
  <c r="S2395" i="2" s="1"/>
  <c r="R2394" i="2"/>
  <c r="S2394" i="2" s="1"/>
  <c r="R2393" i="2"/>
  <c r="S2393" i="2" s="1"/>
  <c r="R2391" i="2"/>
  <c r="S2391" i="2" s="1"/>
  <c r="R2390" i="2"/>
  <c r="S2390" i="2" s="1"/>
  <c r="R2389" i="2"/>
  <c r="S2389" i="2" s="1"/>
  <c r="R2387" i="2"/>
  <c r="S2387" i="2" s="1"/>
  <c r="R2385" i="2"/>
  <c r="S2385" i="2" s="1"/>
  <c r="R2383" i="2"/>
  <c r="S2383" i="2" s="1"/>
  <c r="R2382" i="2"/>
  <c r="S2382" i="2" s="1"/>
  <c r="R2380" i="2"/>
  <c r="S2380" i="2" s="1"/>
  <c r="R2379" i="2"/>
  <c r="S2379" i="2" s="1"/>
  <c r="R2378" i="2"/>
  <c r="S2378" i="2" s="1"/>
  <c r="R2377" i="2"/>
  <c r="S2377" i="2" s="1"/>
  <c r="R2376" i="2"/>
  <c r="S2376" i="2" s="1"/>
  <c r="R2375" i="2"/>
  <c r="S2375" i="2" s="1"/>
  <c r="R2373" i="2"/>
  <c r="S2373" i="2" s="1"/>
  <c r="R2372" i="2"/>
  <c r="S2372" i="2" s="1"/>
  <c r="R2369" i="2"/>
  <c r="S2369" i="2" s="1"/>
  <c r="R2367" i="2"/>
  <c r="S2367" i="2" s="1"/>
  <c r="R2365" i="2"/>
  <c r="S2365" i="2" s="1"/>
  <c r="R2364" i="2"/>
  <c r="S2364" i="2" s="1"/>
  <c r="R2363" i="2"/>
  <c r="S2363" i="2" s="1"/>
  <c r="R2362" i="2"/>
  <c r="S2362" i="2" s="1"/>
  <c r="R2361" i="2"/>
  <c r="S2361" i="2" s="1"/>
  <c r="R2357" i="2"/>
  <c r="S2357" i="2" s="1"/>
  <c r="R2355" i="2"/>
  <c r="S2355" i="2" s="1"/>
  <c r="R2354" i="2"/>
  <c r="S2354" i="2" s="1"/>
  <c r="R2353" i="2"/>
  <c r="S2353" i="2" s="1"/>
  <c r="R2352" i="2"/>
  <c r="S2352" i="2" s="1"/>
  <c r="R2350" i="2"/>
  <c r="S2350" i="2" s="1"/>
  <c r="R2349" i="2"/>
  <c r="S2349" i="2" s="1"/>
  <c r="R2348" i="2"/>
  <c r="S2348" i="2" s="1"/>
  <c r="R2345" i="2"/>
  <c r="S2345" i="2" s="1"/>
  <c r="R2344" i="2"/>
  <c r="S2344" i="2" s="1"/>
  <c r="R2342" i="2"/>
  <c r="S2342" i="2" s="1"/>
  <c r="R2341" i="2"/>
  <c r="S2341" i="2" s="1"/>
  <c r="R2340" i="2"/>
  <c r="S2340" i="2" s="1"/>
  <c r="R2339" i="2"/>
  <c r="S2339" i="2" s="1"/>
  <c r="R2338" i="2"/>
  <c r="S2338" i="2" s="1"/>
  <c r="R2337" i="2"/>
  <c r="S2337" i="2" s="1"/>
  <c r="R2336" i="2"/>
  <c r="S2336" i="2" s="1"/>
  <c r="R2335" i="2"/>
  <c r="S2335" i="2" s="1"/>
  <c r="R2332" i="2"/>
  <c r="S2332" i="2" s="1"/>
  <c r="R2330" i="2"/>
  <c r="S2330" i="2" s="1"/>
  <c r="R2329" i="2"/>
  <c r="S2329" i="2" s="1"/>
  <c r="R2328" i="2"/>
  <c r="S2328" i="2" s="1"/>
  <c r="R2327" i="2"/>
  <c r="S2327" i="2" s="1"/>
  <c r="R2326" i="2"/>
  <c r="S2326" i="2" s="1"/>
  <c r="R2325" i="2"/>
  <c r="S2325" i="2" s="1"/>
  <c r="R2324" i="2"/>
  <c r="S2324" i="2" s="1"/>
  <c r="R2323" i="2"/>
  <c r="S2323" i="2" s="1"/>
  <c r="R2320" i="2"/>
  <c r="S2320" i="2" s="1"/>
  <c r="R2318" i="2"/>
  <c r="S2318" i="2" s="1"/>
  <c r="R2315" i="2"/>
  <c r="S2315" i="2" s="1"/>
  <c r="R2310" i="2"/>
  <c r="S2310" i="2" s="1"/>
  <c r="R2309" i="2"/>
  <c r="S2309" i="2" s="1"/>
  <c r="R2307" i="2"/>
  <c r="S2307" i="2" s="1"/>
  <c r="R2306" i="2"/>
  <c r="S2306" i="2" s="1"/>
  <c r="R2303" i="2"/>
  <c r="S2303" i="2" s="1"/>
  <c r="R2302" i="2"/>
  <c r="S2302" i="2" s="1"/>
  <c r="R2301" i="2"/>
  <c r="S2301" i="2" s="1"/>
  <c r="R2300" i="2"/>
  <c r="S2300" i="2" s="1"/>
  <c r="R2299" i="2"/>
  <c r="S2299" i="2" s="1"/>
  <c r="R2298" i="2"/>
  <c r="S2298" i="2" s="1"/>
  <c r="R2297" i="2"/>
  <c r="S2297" i="2" s="1"/>
  <c r="R2296" i="2"/>
  <c r="S2296" i="2" s="1"/>
  <c r="R2295" i="2"/>
  <c r="S2295" i="2" s="1"/>
  <c r="R2294" i="2"/>
  <c r="S2294" i="2" s="1"/>
  <c r="R2293" i="2"/>
  <c r="S2293" i="2" s="1"/>
  <c r="R2292" i="2"/>
  <c r="S2292" i="2" s="1"/>
  <c r="R2289" i="2"/>
  <c r="S2289" i="2" s="1"/>
  <c r="R2288" i="2"/>
  <c r="S2288" i="2" s="1"/>
  <c r="R2287" i="2"/>
  <c r="S2287" i="2" s="1"/>
  <c r="R2286" i="2"/>
  <c r="S2286" i="2" s="1"/>
  <c r="R2285" i="2"/>
  <c r="S2285" i="2" s="1"/>
  <c r="R2283" i="2"/>
  <c r="S2283" i="2" s="1"/>
  <c r="R2281" i="2"/>
  <c r="S2281" i="2" s="1"/>
  <c r="R2280" i="2"/>
  <c r="S2280" i="2" s="1"/>
  <c r="R2277" i="2"/>
  <c r="S2277" i="2" s="1"/>
  <c r="R2276" i="2"/>
  <c r="S2276" i="2" s="1"/>
  <c r="R2275" i="2"/>
  <c r="S2275" i="2" s="1"/>
  <c r="R2274" i="2"/>
  <c r="S2274" i="2" s="1"/>
  <c r="R2273" i="2"/>
  <c r="S2273" i="2" s="1"/>
  <c r="R2272" i="2"/>
  <c r="S2272" i="2" s="1"/>
  <c r="R2271" i="2"/>
  <c r="S2271" i="2" s="1"/>
  <c r="R2270" i="2"/>
  <c r="S2270" i="2" s="1"/>
  <c r="R2269" i="2"/>
  <c r="S2269" i="2" s="1"/>
  <c r="R2268" i="2"/>
  <c r="S2268" i="2" s="1"/>
  <c r="R2267" i="2"/>
  <c r="S2267" i="2" s="1"/>
  <c r="R2265" i="2"/>
  <c r="S2265" i="2" s="1"/>
  <c r="R2264" i="2"/>
  <c r="S2264" i="2" s="1"/>
  <c r="R2261" i="2"/>
  <c r="S2261" i="2" s="1"/>
  <c r="R2260" i="2"/>
  <c r="S2260" i="2" s="1"/>
  <c r="R2259" i="2"/>
  <c r="S2259" i="2" s="1"/>
  <c r="R2255" i="2"/>
  <c r="S2255" i="2" s="1"/>
  <c r="R2253" i="2"/>
  <c r="S2253" i="2" s="1"/>
  <c r="R2252" i="2"/>
  <c r="S2252" i="2" s="1"/>
  <c r="R2251" i="2"/>
  <c r="S2251" i="2" s="1"/>
  <c r="R2249" i="2"/>
  <c r="S2249" i="2" s="1"/>
  <c r="R2248" i="2"/>
  <c r="S2248" i="2" s="1"/>
  <c r="R2246" i="2"/>
  <c r="S2246" i="2" s="1"/>
  <c r="R2245" i="2"/>
  <c r="S2245" i="2" s="1"/>
  <c r="R2244" i="2"/>
  <c r="S2244" i="2" s="1"/>
  <c r="R2243" i="2"/>
  <c r="S2243" i="2" s="1"/>
  <c r="R2242" i="2"/>
  <c r="S2242" i="2" s="1"/>
  <c r="R2241" i="2"/>
  <c r="S2241" i="2" s="1"/>
  <c r="R2240" i="2"/>
  <c r="S2240" i="2" s="1"/>
  <c r="R2239" i="2"/>
  <c r="S2239" i="2" s="1"/>
  <c r="R2238" i="2"/>
  <c r="S2238" i="2" s="1"/>
  <c r="R2237" i="2"/>
  <c r="S2237" i="2" s="1"/>
  <c r="R2236" i="2"/>
  <c r="S2236" i="2" s="1"/>
  <c r="R2227" i="2"/>
  <c r="S2227" i="2" s="1"/>
  <c r="R2225" i="2"/>
  <c r="S2225" i="2" s="1"/>
  <c r="R2224" i="2"/>
  <c r="S2224" i="2" s="1"/>
  <c r="R2222" i="2"/>
  <c r="S2222" i="2" s="1"/>
  <c r="R2221" i="2"/>
  <c r="S2221" i="2" s="1"/>
  <c r="R2220" i="2"/>
  <c r="S2220" i="2" s="1"/>
  <c r="R2217" i="2"/>
  <c r="S2217" i="2" s="1"/>
  <c r="R2215" i="2"/>
  <c r="S2215" i="2" s="1"/>
  <c r="R2214" i="2"/>
  <c r="S2214" i="2" s="1"/>
  <c r="R2213" i="2"/>
  <c r="S2213" i="2" s="1"/>
  <c r="R2210" i="2"/>
  <c r="S2210" i="2" s="1"/>
  <c r="R2209" i="2"/>
  <c r="S2209" i="2" s="1"/>
  <c r="R2208" i="2"/>
  <c r="S2208" i="2" s="1"/>
  <c r="R2206" i="2"/>
  <c r="S2206" i="2" s="1"/>
  <c r="R2204" i="2"/>
  <c r="S2204" i="2" s="1"/>
  <c r="R2197" i="2"/>
  <c r="S2197" i="2" s="1"/>
  <c r="R2196" i="2"/>
  <c r="S2196" i="2" s="1"/>
  <c r="R2195" i="2"/>
  <c r="S2195" i="2" s="1"/>
  <c r="R2192" i="2"/>
  <c r="S2192" i="2" s="1"/>
  <c r="R2191" i="2"/>
  <c r="S2191" i="2" s="1"/>
  <c r="R2190" i="2"/>
  <c r="S2190" i="2" s="1"/>
  <c r="R2189" i="2"/>
  <c r="S2189" i="2" s="1"/>
  <c r="R2188" i="2"/>
  <c r="S2188" i="2" s="1"/>
  <c r="R2187" i="2"/>
  <c r="S2187" i="2" s="1"/>
  <c r="R2186" i="2"/>
  <c r="S2186" i="2" s="1"/>
  <c r="R2185" i="2"/>
  <c r="S2185" i="2" s="1"/>
  <c r="R2184" i="2"/>
  <c r="S2184" i="2" s="1"/>
  <c r="R2183" i="2"/>
  <c r="S2183" i="2" s="1"/>
  <c r="R2182" i="2"/>
  <c r="S2182" i="2" s="1"/>
  <c r="R2180" i="2"/>
  <c r="S2180" i="2" s="1"/>
  <c r="R2179" i="2"/>
  <c r="S2179" i="2" s="1"/>
  <c r="R2178" i="2"/>
  <c r="S2178" i="2" s="1"/>
  <c r="R2177" i="2"/>
  <c r="S2177" i="2" s="1"/>
  <c r="R2176" i="2"/>
  <c r="S2176" i="2" s="1"/>
  <c r="R2175" i="2"/>
  <c r="S2175" i="2" s="1"/>
  <c r="R2174" i="2"/>
  <c r="S2174" i="2" s="1"/>
  <c r="R2173" i="2"/>
  <c r="S2173" i="2" s="1"/>
  <c r="R2172" i="2"/>
  <c r="S2172" i="2" s="1"/>
  <c r="R2171" i="2"/>
  <c r="S2171" i="2" s="1"/>
  <c r="R2170" i="2"/>
  <c r="S2170" i="2" s="1"/>
  <c r="R2168" i="2"/>
  <c r="S2168" i="2" s="1"/>
  <c r="R2167" i="2"/>
  <c r="S2167" i="2" s="1"/>
  <c r="R2166" i="2"/>
  <c r="S2166" i="2" s="1"/>
  <c r="R2165" i="2"/>
  <c r="S2165" i="2" s="1"/>
  <c r="R2163" i="2"/>
  <c r="S2163" i="2" s="1"/>
  <c r="R2162" i="2"/>
  <c r="S2162" i="2" s="1"/>
  <c r="R2161" i="2"/>
  <c r="S2161" i="2" s="1"/>
  <c r="R2159" i="2"/>
  <c r="S2159" i="2" s="1"/>
  <c r="R2157" i="2"/>
  <c r="S2157" i="2" s="1"/>
  <c r="R2155" i="2"/>
  <c r="S2155" i="2" s="1"/>
  <c r="R2153" i="2"/>
  <c r="S2153" i="2" s="1"/>
  <c r="R2152" i="2"/>
  <c r="S2152" i="2" s="1"/>
  <c r="R2151" i="2"/>
  <c r="S2151" i="2" s="1"/>
  <c r="R2150" i="2"/>
  <c r="S2150" i="2" s="1"/>
  <c r="R2149" i="2"/>
  <c r="S2149" i="2" s="1"/>
  <c r="R2148" i="2"/>
  <c r="S2148" i="2" s="1"/>
  <c r="R2145" i="2"/>
  <c r="S2145" i="2" s="1"/>
  <c r="R2143" i="2"/>
  <c r="S2143" i="2" s="1"/>
  <c r="R2140" i="2"/>
  <c r="S2140" i="2" s="1"/>
  <c r="R2139" i="2"/>
  <c r="S2139" i="2" s="1"/>
  <c r="R2138" i="2"/>
  <c r="S2138" i="2" s="1"/>
  <c r="R2137" i="2"/>
  <c r="S2137" i="2" s="1"/>
  <c r="R2136" i="2"/>
  <c r="S2136" i="2" s="1"/>
  <c r="R2135" i="2"/>
  <c r="S2135" i="2" s="1"/>
  <c r="R2134" i="2"/>
  <c r="S2134" i="2" s="1"/>
  <c r="R2133" i="2"/>
  <c r="S2133" i="2" s="1"/>
  <c r="R2132" i="2"/>
  <c r="S2132" i="2" s="1"/>
  <c r="R2131" i="2"/>
  <c r="S2131" i="2" s="1"/>
  <c r="R2130" i="2"/>
  <c r="S2130" i="2" s="1"/>
  <c r="R2129" i="2"/>
  <c r="S2129" i="2" s="1"/>
  <c r="R2128" i="2"/>
  <c r="S2128" i="2" s="1"/>
  <c r="R2127" i="2"/>
  <c r="S2127" i="2" s="1"/>
  <c r="R2126" i="2"/>
  <c r="S2126" i="2" s="1"/>
  <c r="R2124" i="2"/>
  <c r="S2124" i="2" s="1"/>
  <c r="R2122" i="2"/>
  <c r="S2122" i="2" s="1"/>
  <c r="R2121" i="2"/>
  <c r="S2121" i="2" s="1"/>
  <c r="R2120" i="2"/>
  <c r="S2120" i="2" s="1"/>
  <c r="R2118" i="2"/>
  <c r="S2118" i="2" s="1"/>
  <c r="R2117" i="2"/>
  <c r="S2117" i="2" s="1"/>
  <c r="R2114" i="2"/>
  <c r="S2114" i="2" s="1"/>
  <c r="R2112" i="2"/>
  <c r="S2112" i="2" s="1"/>
  <c r="R2110" i="2"/>
  <c r="S2110" i="2" s="1"/>
  <c r="R2108" i="2"/>
  <c r="S2108" i="2" s="1"/>
  <c r="R2107" i="2"/>
  <c r="S2107" i="2" s="1"/>
  <c r="R2105" i="2"/>
  <c r="S2105" i="2" s="1"/>
  <c r="R2104" i="2"/>
  <c r="S2104" i="2" s="1"/>
  <c r="R2103" i="2"/>
  <c r="S2103" i="2" s="1"/>
  <c r="R2101" i="2"/>
  <c r="S2101" i="2" s="1"/>
  <c r="R2100" i="2"/>
  <c r="S2100" i="2" s="1"/>
  <c r="R2098" i="2"/>
  <c r="S2098" i="2" s="1"/>
  <c r="R2097" i="2"/>
  <c r="S2097" i="2" s="1"/>
  <c r="R2095" i="2"/>
  <c r="S2095" i="2" s="1"/>
  <c r="R2094" i="2"/>
  <c r="S2094" i="2" s="1"/>
  <c r="R2093" i="2"/>
  <c r="S2093" i="2" s="1"/>
  <c r="R2091" i="2"/>
  <c r="S2091" i="2" s="1"/>
  <c r="R2090" i="2"/>
  <c r="S2090" i="2" s="1"/>
  <c r="R2089" i="2"/>
  <c r="S2089" i="2" s="1"/>
  <c r="R2088" i="2"/>
  <c r="S2088" i="2" s="1"/>
  <c r="R2087" i="2"/>
  <c r="S2087" i="2" s="1"/>
  <c r="R2086" i="2"/>
  <c r="S2086" i="2" s="1"/>
  <c r="R2085" i="2"/>
  <c r="S2085" i="2" s="1"/>
  <c r="R2084" i="2"/>
  <c r="S2084" i="2" s="1"/>
  <c r="R2082" i="2"/>
  <c r="S2082" i="2" s="1"/>
  <c r="R2081" i="2"/>
  <c r="S2081" i="2" s="1"/>
  <c r="R2079" i="2"/>
  <c r="S2079" i="2" s="1"/>
  <c r="R2078" i="2"/>
  <c r="S2078" i="2" s="1"/>
  <c r="R2077" i="2"/>
  <c r="S2077" i="2" s="1"/>
  <c r="R2075" i="2"/>
  <c r="S2075" i="2" s="1"/>
  <c r="R2074" i="2"/>
  <c r="S2074" i="2" s="1"/>
  <c r="R2069" i="2"/>
  <c r="S2069" i="2" s="1"/>
  <c r="R2068" i="2"/>
  <c r="S2068" i="2" s="1"/>
  <c r="R2067" i="2"/>
  <c r="S2067" i="2" s="1"/>
  <c r="R2066" i="2"/>
  <c r="S2066" i="2" s="1"/>
  <c r="R2065" i="2"/>
  <c r="S2065" i="2" s="1"/>
  <c r="R2063" i="2"/>
  <c r="S2063" i="2" s="1"/>
  <c r="R2062" i="2"/>
  <c r="S2062" i="2" s="1"/>
  <c r="R2061" i="2"/>
  <c r="S2061" i="2" s="1"/>
  <c r="R2060" i="2"/>
  <c r="S2060" i="2" s="1"/>
  <c r="R2057" i="2"/>
  <c r="S2057" i="2" s="1"/>
  <c r="R2055" i="2"/>
  <c r="S2055" i="2" s="1"/>
  <c r="R2053" i="2"/>
  <c r="S2053" i="2" s="1"/>
  <c r="R2052" i="2"/>
  <c r="S2052" i="2" s="1"/>
  <c r="R2047" i="2"/>
  <c r="S2047" i="2" s="1"/>
  <c r="R2043" i="2"/>
  <c r="S2043" i="2" s="1"/>
  <c r="R2042" i="2"/>
  <c r="S2042" i="2" s="1"/>
  <c r="R2040" i="2"/>
  <c r="S2040" i="2" s="1"/>
  <c r="R2038" i="2"/>
  <c r="S2038" i="2" s="1"/>
  <c r="R2037" i="2"/>
  <c r="S2037" i="2" s="1"/>
  <c r="R2035" i="2"/>
  <c r="S2035" i="2" s="1"/>
  <c r="R2033" i="2"/>
  <c r="S2033" i="2" s="1"/>
  <c r="R2032" i="2"/>
  <c r="S2032" i="2" s="1"/>
  <c r="R2031" i="2"/>
  <c r="S2031" i="2" s="1"/>
  <c r="R2030" i="2"/>
  <c r="S2030" i="2" s="1"/>
  <c r="R2028" i="2"/>
  <c r="S2028" i="2" s="1"/>
  <c r="R2027" i="2"/>
  <c r="S2027" i="2" s="1"/>
  <c r="R2026" i="2"/>
  <c r="S2026" i="2" s="1"/>
  <c r="R2025" i="2"/>
  <c r="S2025" i="2" s="1"/>
  <c r="R2023" i="2"/>
  <c r="S2023" i="2" s="1"/>
  <c r="R2021" i="2"/>
  <c r="S2021" i="2" s="1"/>
  <c r="R2019" i="2"/>
  <c r="S2019" i="2" s="1"/>
  <c r="R2016" i="2"/>
  <c r="S2016" i="2" s="1"/>
  <c r="R2015" i="2"/>
  <c r="S2015" i="2" s="1"/>
  <c r="R2014" i="2"/>
  <c r="S2014" i="2" s="1"/>
  <c r="R2013" i="2"/>
  <c r="S2013" i="2" s="1"/>
  <c r="R2012" i="2"/>
  <c r="S2012" i="2" s="1"/>
  <c r="R2010" i="2"/>
  <c r="S2010" i="2" s="1"/>
  <c r="R2009" i="2"/>
  <c r="S2009" i="2" s="1"/>
  <c r="R2008" i="2"/>
  <c r="S2008" i="2" s="1"/>
  <c r="R2007" i="2"/>
  <c r="S2007" i="2" s="1"/>
  <c r="R2006" i="2"/>
  <c r="S2006" i="2" s="1"/>
  <c r="R2004" i="2"/>
  <c r="S2004" i="2" s="1"/>
  <c r="R2003" i="2"/>
  <c r="S2003" i="2" s="1"/>
  <c r="R2002" i="2"/>
  <c r="S2002" i="2" s="1"/>
  <c r="R2001" i="2"/>
  <c r="S2001" i="2" s="1"/>
  <c r="R2000" i="2"/>
  <c r="S2000" i="2" s="1"/>
  <c r="R1997" i="2"/>
  <c r="S1997" i="2" s="1"/>
  <c r="R1996" i="2"/>
  <c r="S1996" i="2" s="1"/>
  <c r="R1995" i="2"/>
  <c r="S1995" i="2" s="1"/>
  <c r="R1994" i="2"/>
  <c r="S1994" i="2" s="1"/>
  <c r="R1993" i="2"/>
  <c r="S1993" i="2" s="1"/>
  <c r="R1991" i="2"/>
  <c r="S1991" i="2" s="1"/>
  <c r="R1987" i="2"/>
  <c r="S1987" i="2" s="1"/>
  <c r="R1986" i="2"/>
  <c r="S1986" i="2" s="1"/>
  <c r="R1985" i="2"/>
  <c r="S1985" i="2" s="1"/>
  <c r="R1984" i="2"/>
  <c r="S1984" i="2" s="1"/>
  <c r="R1983" i="2"/>
  <c r="S1983" i="2" s="1"/>
  <c r="R1982" i="2"/>
  <c r="S1982" i="2" s="1"/>
  <c r="R1981" i="2"/>
  <c r="S1981" i="2" s="1"/>
  <c r="R1979" i="2"/>
  <c r="S1979" i="2" s="1"/>
  <c r="R1977" i="2"/>
  <c r="S1977" i="2" s="1"/>
  <c r="R1976" i="2"/>
  <c r="S1976" i="2" s="1"/>
  <c r="R1975" i="2"/>
  <c r="S1975" i="2" s="1"/>
  <c r="R1974" i="2"/>
  <c r="S1974" i="2" s="1"/>
  <c r="R1972" i="2"/>
  <c r="S1972" i="2" s="1"/>
  <c r="R1971" i="2"/>
  <c r="S1971" i="2" s="1"/>
  <c r="R1969" i="2"/>
  <c r="S1969" i="2" s="1"/>
  <c r="R1968" i="2"/>
  <c r="S1968" i="2" s="1"/>
  <c r="R1967" i="2"/>
  <c r="S1967" i="2" s="1"/>
  <c r="R1966" i="2"/>
  <c r="S1966" i="2" s="1"/>
  <c r="R1965" i="2"/>
  <c r="S1965" i="2" s="1"/>
  <c r="R1963" i="2"/>
  <c r="S1963" i="2" s="1"/>
  <c r="R1962" i="2"/>
  <c r="S1962" i="2" s="1"/>
  <c r="R1960" i="2"/>
  <c r="S1960" i="2" s="1"/>
  <c r="R1959" i="2"/>
  <c r="S1959" i="2" s="1"/>
  <c r="R1958" i="2"/>
  <c r="S1958" i="2" s="1"/>
  <c r="R1957" i="2"/>
  <c r="S1957" i="2" s="1"/>
  <c r="R1956" i="2"/>
  <c r="S1956" i="2" s="1"/>
  <c r="R1955" i="2"/>
  <c r="S1955" i="2" s="1"/>
  <c r="R1954" i="2"/>
  <c r="S1954" i="2" s="1"/>
  <c r="R1950" i="2"/>
  <c r="S1950" i="2" s="1"/>
  <c r="R1948" i="2"/>
  <c r="S1948" i="2" s="1"/>
  <c r="R1947" i="2"/>
  <c r="S1947" i="2" s="1"/>
  <c r="R1944" i="2"/>
  <c r="S1944" i="2" s="1"/>
  <c r="R1943" i="2"/>
  <c r="S1943" i="2" s="1"/>
  <c r="R1942" i="2"/>
  <c r="S1942" i="2" s="1"/>
  <c r="R1940" i="2"/>
  <c r="S1940" i="2" s="1"/>
  <c r="R1939" i="2"/>
  <c r="S1939" i="2" s="1"/>
  <c r="R1938" i="2"/>
  <c r="S1938" i="2" s="1"/>
  <c r="R1937" i="2"/>
  <c r="S1937" i="2" s="1"/>
  <c r="R1935" i="2"/>
  <c r="S1935" i="2" s="1"/>
  <c r="R1934" i="2"/>
  <c r="S1934" i="2" s="1"/>
  <c r="R1933" i="2"/>
  <c r="S1933" i="2" s="1"/>
  <c r="R1932" i="2"/>
  <c r="S1932" i="2" s="1"/>
  <c r="R1930" i="2"/>
  <c r="S1930" i="2" s="1"/>
  <c r="R1929" i="2"/>
  <c r="S1929" i="2" s="1"/>
  <c r="R1927" i="2"/>
  <c r="S1927" i="2" s="1"/>
  <c r="R1924" i="2"/>
  <c r="S1924" i="2" s="1"/>
  <c r="R1923" i="2"/>
  <c r="S1923" i="2" s="1"/>
  <c r="R1922" i="2"/>
  <c r="S1922" i="2" s="1"/>
  <c r="R1921" i="2"/>
  <c r="S1921" i="2" s="1"/>
  <c r="R1919" i="2"/>
  <c r="S1919" i="2" s="1"/>
  <c r="R1918" i="2"/>
  <c r="S1918" i="2" s="1"/>
  <c r="R1916" i="2"/>
  <c r="S1916" i="2" s="1"/>
  <c r="R1915" i="2"/>
  <c r="S1915" i="2" s="1"/>
  <c r="R1914" i="2"/>
  <c r="S1914" i="2" s="1"/>
  <c r="R1913" i="2"/>
  <c r="S1913" i="2" s="1"/>
  <c r="R1912" i="2"/>
  <c r="S1912" i="2" s="1"/>
  <c r="R1911" i="2"/>
  <c r="S1911" i="2" s="1"/>
  <c r="R1910" i="2"/>
  <c r="S1910" i="2" s="1"/>
  <c r="R1909" i="2"/>
  <c r="S1909" i="2" s="1"/>
  <c r="R1907" i="2"/>
  <c r="S1907" i="2" s="1"/>
  <c r="R1902" i="2"/>
  <c r="S1902" i="2" s="1"/>
  <c r="R1899" i="2"/>
  <c r="S1899" i="2" s="1"/>
  <c r="R1897" i="2"/>
  <c r="S1897" i="2" s="1"/>
  <c r="R1896" i="2"/>
  <c r="S1896" i="2" s="1"/>
  <c r="R1895" i="2"/>
  <c r="S1895" i="2" s="1"/>
  <c r="R1894" i="2"/>
  <c r="S1894" i="2" s="1"/>
  <c r="R1893" i="2"/>
  <c r="S1893" i="2" s="1"/>
  <c r="R1892" i="2"/>
  <c r="S1892" i="2" s="1"/>
  <c r="R1891" i="2"/>
  <c r="S1891" i="2" s="1"/>
  <c r="R1890" i="2"/>
  <c r="S1890" i="2" s="1"/>
  <c r="R1889" i="2"/>
  <c r="S1889" i="2" s="1"/>
  <c r="R1888" i="2"/>
  <c r="S1888" i="2" s="1"/>
  <c r="R1887" i="2"/>
  <c r="S1887" i="2" s="1"/>
  <c r="R1886" i="2"/>
  <c r="S1886" i="2" s="1"/>
  <c r="R1885" i="2"/>
  <c r="S1885" i="2" s="1"/>
  <c r="R1884" i="2"/>
  <c r="S1884" i="2" s="1"/>
  <c r="R1883" i="2"/>
  <c r="S1883" i="2" s="1"/>
  <c r="R1881" i="2"/>
  <c r="S1881" i="2" s="1"/>
  <c r="R1880" i="2"/>
  <c r="S1880" i="2" s="1"/>
  <c r="R1879" i="2"/>
  <c r="S1879" i="2" s="1"/>
  <c r="R1877" i="2"/>
  <c r="S1877" i="2" s="1"/>
  <c r="R1875" i="2"/>
  <c r="S1875" i="2" s="1"/>
  <c r="R1874" i="2"/>
  <c r="S1874" i="2" s="1"/>
  <c r="R1872" i="2"/>
  <c r="S1872" i="2" s="1"/>
  <c r="R1871" i="2"/>
  <c r="S1871" i="2" s="1"/>
  <c r="R1870" i="2"/>
  <c r="S1870" i="2" s="1"/>
  <c r="R1869" i="2"/>
  <c r="S1869" i="2" s="1"/>
  <c r="R1868" i="2"/>
  <c r="S1868" i="2" s="1"/>
  <c r="R1867" i="2"/>
  <c r="S1867" i="2" s="1"/>
  <c r="R1866" i="2"/>
  <c r="S1866" i="2" s="1"/>
  <c r="R1864" i="2"/>
  <c r="S1864" i="2" s="1"/>
  <c r="R1862" i="2"/>
  <c r="S1862" i="2" s="1"/>
  <c r="R1861" i="2"/>
  <c r="S1861" i="2" s="1"/>
  <c r="R1860" i="2"/>
  <c r="S1860" i="2" s="1"/>
  <c r="R1859" i="2"/>
  <c r="S1859" i="2" s="1"/>
  <c r="R1858" i="2"/>
  <c r="S1858" i="2" s="1"/>
  <c r="R1856" i="2"/>
  <c r="S1856" i="2" s="1"/>
  <c r="R1855" i="2"/>
  <c r="S1855" i="2" s="1"/>
  <c r="R1851" i="2"/>
  <c r="S1851" i="2" s="1"/>
  <c r="R1849" i="2"/>
  <c r="S1849" i="2" s="1"/>
  <c r="R1847" i="2"/>
  <c r="S1847" i="2" s="1"/>
  <c r="R1846" i="2"/>
  <c r="S1846" i="2" s="1"/>
  <c r="R1845" i="2"/>
  <c r="S1845" i="2" s="1"/>
  <c r="R1844" i="2"/>
  <c r="S1844" i="2" s="1"/>
  <c r="R1842" i="2"/>
  <c r="S1842" i="2" s="1"/>
  <c r="R1841" i="2"/>
  <c r="S1841" i="2" s="1"/>
  <c r="R1840" i="2"/>
  <c r="S1840" i="2" s="1"/>
  <c r="R1839" i="2"/>
  <c r="S1839" i="2" s="1"/>
  <c r="R1835" i="2"/>
  <c r="S1835" i="2" s="1"/>
  <c r="R1834" i="2"/>
  <c r="S1834" i="2" s="1"/>
  <c r="R1832" i="2"/>
  <c r="S1832" i="2" s="1"/>
  <c r="R1831" i="2"/>
  <c r="S1831" i="2" s="1"/>
  <c r="R1827" i="2"/>
  <c r="S1827" i="2" s="1"/>
  <c r="R1826" i="2"/>
  <c r="S1826" i="2" s="1"/>
  <c r="R1825" i="2"/>
  <c r="S1825" i="2" s="1"/>
  <c r="R1823" i="2"/>
  <c r="S1823" i="2" s="1"/>
  <c r="R1821" i="2"/>
  <c r="S1821" i="2" s="1"/>
  <c r="R1820" i="2"/>
  <c r="S1820" i="2" s="1"/>
  <c r="R1819" i="2"/>
  <c r="S1819" i="2" s="1"/>
  <c r="R1818" i="2"/>
  <c r="S1818" i="2" s="1"/>
  <c r="R1817" i="2"/>
  <c r="S1817" i="2" s="1"/>
  <c r="R1816" i="2"/>
  <c r="S1816" i="2" s="1"/>
  <c r="R1815" i="2"/>
  <c r="S1815" i="2" s="1"/>
  <c r="R1811" i="2"/>
  <c r="S1811" i="2" s="1"/>
  <c r="R1810" i="2"/>
  <c r="S1810" i="2" s="1"/>
  <c r="R1809" i="2"/>
  <c r="S1809" i="2" s="1"/>
  <c r="R1807" i="2"/>
  <c r="S1807" i="2" s="1"/>
  <c r="R1806" i="2"/>
  <c r="S1806" i="2" s="1"/>
  <c r="R1803" i="2"/>
  <c r="S1803" i="2" s="1"/>
  <c r="R1802" i="2"/>
  <c r="S1802" i="2" s="1"/>
  <c r="R1801" i="2"/>
  <c r="S1801" i="2" s="1"/>
  <c r="R1800" i="2"/>
  <c r="S1800" i="2" s="1"/>
  <c r="R1799" i="2"/>
  <c r="S1799" i="2" s="1"/>
  <c r="R1794" i="2"/>
  <c r="S1794" i="2" s="1"/>
  <c r="R1792" i="2"/>
  <c r="S1792" i="2" s="1"/>
  <c r="R1791" i="2"/>
  <c r="S1791" i="2" s="1"/>
  <c r="R1790" i="2"/>
  <c r="S1790" i="2" s="1"/>
  <c r="R1788" i="2"/>
  <c r="S1788" i="2" s="1"/>
  <c r="R1787" i="2"/>
  <c r="S1787" i="2" s="1"/>
  <c r="R1785" i="2"/>
  <c r="S1785" i="2" s="1"/>
  <c r="R1783" i="2"/>
  <c r="S1783" i="2" s="1"/>
  <c r="R1779" i="2"/>
  <c r="S1779" i="2" s="1"/>
  <c r="R1775" i="2"/>
  <c r="S1775" i="2" s="1"/>
  <c r="R1774" i="2"/>
  <c r="S1774" i="2" s="1"/>
  <c r="R1773" i="2"/>
  <c r="S1773" i="2" s="1"/>
  <c r="R1772" i="2"/>
  <c r="S1772" i="2" s="1"/>
  <c r="R1768" i="2"/>
  <c r="S1768" i="2" s="1"/>
  <c r="R1767" i="2"/>
  <c r="S1767" i="2" s="1"/>
  <c r="R1765" i="2"/>
  <c r="S1765" i="2" s="1"/>
  <c r="R1764" i="2"/>
  <c r="S1764" i="2" s="1"/>
  <c r="R1763" i="2"/>
  <c r="S1763" i="2" s="1"/>
  <c r="R1762" i="2"/>
  <c r="S1762" i="2" s="1"/>
  <c r="R1761" i="2"/>
  <c r="S1761" i="2" s="1"/>
  <c r="R1760" i="2"/>
  <c r="S1760" i="2" s="1"/>
  <c r="R1759" i="2"/>
  <c r="S1759" i="2" s="1"/>
  <c r="R1757" i="2"/>
  <c r="S1757" i="2" s="1"/>
  <c r="R1756" i="2"/>
  <c r="S1756" i="2" s="1"/>
  <c r="R1755" i="2"/>
  <c r="S1755" i="2" s="1"/>
  <c r="R1753" i="2"/>
  <c r="S1753" i="2" s="1"/>
  <c r="R1752" i="2"/>
  <c r="S1752" i="2" s="1"/>
  <c r="R1751" i="2"/>
  <c r="S1751" i="2" s="1"/>
  <c r="R1750" i="2"/>
  <c r="S1750" i="2" s="1"/>
  <c r="R1748" i="2"/>
  <c r="S1748" i="2" s="1"/>
  <c r="R1747" i="2"/>
  <c r="S1747" i="2" s="1"/>
  <c r="R1745" i="2"/>
  <c r="S1745" i="2" s="1"/>
  <c r="R1744" i="2"/>
  <c r="S1744" i="2" s="1"/>
  <c r="R1743" i="2"/>
  <c r="S1743" i="2" s="1"/>
  <c r="R1742" i="2"/>
  <c r="S1742" i="2" s="1"/>
  <c r="R1741" i="2"/>
  <c r="S1741" i="2" s="1"/>
  <c r="R1740" i="2"/>
  <c r="S1740" i="2" s="1"/>
  <c r="R1739" i="2"/>
  <c r="S1739" i="2" s="1"/>
  <c r="R1737" i="2"/>
  <c r="S1737" i="2" s="1"/>
  <c r="R1736" i="2"/>
  <c r="S1736" i="2" s="1"/>
  <c r="R1734" i="2"/>
  <c r="S1734" i="2" s="1"/>
  <c r="R1733" i="2"/>
  <c r="S1733" i="2" s="1"/>
  <c r="R1732" i="2"/>
  <c r="S1732" i="2" s="1"/>
  <c r="R1731" i="2"/>
  <c r="S1731" i="2" s="1"/>
  <c r="R1730" i="2"/>
  <c r="S1730" i="2" s="1"/>
  <c r="R1728" i="2"/>
  <c r="S1728" i="2" s="1"/>
  <c r="R1725" i="2"/>
  <c r="S1725" i="2" s="1"/>
  <c r="R1724" i="2"/>
  <c r="S1724" i="2" s="1"/>
  <c r="R1723" i="2"/>
  <c r="S1723" i="2" s="1"/>
  <c r="R1722" i="2"/>
  <c r="S1722" i="2" s="1"/>
  <c r="R1721" i="2"/>
  <c r="S1721" i="2" s="1"/>
  <c r="R1720" i="2"/>
  <c r="S1720" i="2" s="1"/>
  <c r="R1719" i="2"/>
  <c r="S1719" i="2" s="1"/>
  <c r="R1717" i="2"/>
  <c r="S1717" i="2" s="1"/>
  <c r="R1715" i="2"/>
  <c r="S1715" i="2" s="1"/>
  <c r="R1714" i="2"/>
  <c r="S1714" i="2" s="1"/>
  <c r="R1713" i="2"/>
  <c r="S1713" i="2" s="1"/>
  <c r="R1712" i="2"/>
  <c r="S1712" i="2" s="1"/>
  <c r="R1711" i="2"/>
  <c r="S1711" i="2" s="1"/>
  <c r="R1710" i="2"/>
  <c r="S1710" i="2" s="1"/>
  <c r="R1705" i="2"/>
  <c r="S1705" i="2" s="1"/>
  <c r="R1704" i="2"/>
  <c r="S1704" i="2" s="1"/>
  <c r="R1702" i="2"/>
  <c r="S1702" i="2" s="1"/>
  <c r="R1700" i="2"/>
  <c r="S1700" i="2" s="1"/>
  <c r="R1699" i="2"/>
  <c r="S1699" i="2" s="1"/>
  <c r="R1698" i="2"/>
  <c r="S1698" i="2" s="1"/>
  <c r="R1697" i="2"/>
  <c r="S1697" i="2" s="1"/>
  <c r="R1696" i="2"/>
  <c r="S1696" i="2" s="1"/>
  <c r="R1695" i="2"/>
  <c r="S1695" i="2" s="1"/>
  <c r="R1694" i="2"/>
  <c r="S1694" i="2" s="1"/>
  <c r="R1693" i="2"/>
  <c r="S1693" i="2" s="1"/>
  <c r="R1692" i="2"/>
  <c r="S1692" i="2" s="1"/>
  <c r="R1691" i="2"/>
  <c r="S1691" i="2" s="1"/>
  <c r="R1689" i="2"/>
  <c r="S1689" i="2" s="1"/>
  <c r="R1688" i="2"/>
  <c r="S1688" i="2" s="1"/>
  <c r="R1686" i="2"/>
  <c r="S1686" i="2" s="1"/>
  <c r="R1683" i="2"/>
  <c r="S1683" i="2" s="1"/>
  <c r="R1682" i="2"/>
  <c r="S1682" i="2" s="1"/>
  <c r="R1681" i="2"/>
  <c r="S1681" i="2" s="1"/>
  <c r="R1680" i="2"/>
  <c r="S1680" i="2" s="1"/>
  <c r="R1679" i="2"/>
  <c r="S1679" i="2" s="1"/>
  <c r="R1678" i="2"/>
  <c r="S1678" i="2" s="1"/>
  <c r="R1677" i="2"/>
  <c r="S1677" i="2" s="1"/>
  <c r="R1675" i="2"/>
  <c r="S1675" i="2" s="1"/>
  <c r="R1673" i="2"/>
  <c r="S1673" i="2" s="1"/>
  <c r="R1672" i="2"/>
  <c r="S1672" i="2" s="1"/>
  <c r="R1671" i="2"/>
  <c r="S1671" i="2" s="1"/>
  <c r="R1670" i="2"/>
  <c r="S1670" i="2" s="1"/>
  <c r="R1669" i="2"/>
  <c r="S1669" i="2" s="1"/>
  <c r="R1668" i="2"/>
  <c r="S1668" i="2" s="1"/>
  <c r="R1666" i="2"/>
  <c r="S1666" i="2" s="1"/>
  <c r="R1665" i="2"/>
  <c r="S1665" i="2" s="1"/>
  <c r="R1664" i="2"/>
  <c r="S1664" i="2" s="1"/>
  <c r="R1662" i="2"/>
  <c r="S1662" i="2" s="1"/>
  <c r="R1657" i="2"/>
  <c r="S1657" i="2" s="1"/>
  <c r="R1653" i="2"/>
  <c r="S1653" i="2" s="1"/>
  <c r="R1652" i="2"/>
  <c r="S1652" i="2" s="1"/>
  <c r="R1649" i="2"/>
  <c r="S1649" i="2" s="1"/>
  <c r="R1647" i="2"/>
  <c r="S1647" i="2" s="1"/>
  <c r="R1645" i="2"/>
  <c r="S1645" i="2" s="1"/>
  <c r="R1643" i="2"/>
  <c r="S1643" i="2" s="1"/>
  <c r="R1642" i="2"/>
  <c r="S1642" i="2" s="1"/>
  <c r="R1640" i="2"/>
  <c r="S1640" i="2" s="1"/>
  <c r="R1639" i="2"/>
  <c r="S1639" i="2" s="1"/>
  <c r="R1638" i="2"/>
  <c r="S1638" i="2" s="1"/>
  <c r="R1635" i="2"/>
  <c r="S1635" i="2" s="1"/>
  <c r="R1633" i="2"/>
  <c r="S1633" i="2" s="1"/>
  <c r="R1632" i="2"/>
  <c r="S1632" i="2" s="1"/>
  <c r="R1631" i="2"/>
  <c r="S1631" i="2" s="1"/>
  <c r="R1630" i="2"/>
  <c r="S1630" i="2" s="1"/>
  <c r="R1629" i="2"/>
  <c r="S1629" i="2" s="1"/>
  <c r="R1626" i="2"/>
  <c r="S1626" i="2" s="1"/>
  <c r="R1625" i="2"/>
  <c r="S1625" i="2" s="1"/>
  <c r="R1624" i="2"/>
  <c r="S1624" i="2" s="1"/>
  <c r="R1623" i="2"/>
  <c r="S1623" i="2" s="1"/>
  <c r="R1622" i="2"/>
  <c r="S1622" i="2" s="1"/>
  <c r="R1621" i="2"/>
  <c r="S1621" i="2" s="1"/>
  <c r="R1617" i="2"/>
  <c r="S1617" i="2" s="1"/>
  <c r="R1616" i="2"/>
  <c r="S1616" i="2" s="1"/>
  <c r="R1615" i="2"/>
  <c r="S1615" i="2" s="1"/>
  <c r="R1614" i="2"/>
  <c r="S1614" i="2" s="1"/>
  <c r="R1613" i="2"/>
  <c r="S1613" i="2" s="1"/>
  <c r="R1612" i="2"/>
  <c r="S1612" i="2" s="1"/>
  <c r="R1611" i="2"/>
  <c r="S1611" i="2" s="1"/>
  <c r="R1610" i="2"/>
  <c r="S1610" i="2" s="1"/>
  <c r="R1608" i="2"/>
  <c r="S1608" i="2" s="1"/>
  <c r="R1605" i="2"/>
  <c r="S1605" i="2" s="1"/>
  <c r="R1604" i="2"/>
  <c r="S1604" i="2" s="1"/>
  <c r="R1603" i="2"/>
  <c r="S1603" i="2" s="1"/>
  <c r="R1601" i="2"/>
  <c r="S1601" i="2" s="1"/>
  <c r="R1600" i="2"/>
  <c r="S1600" i="2" s="1"/>
  <c r="R1599" i="2"/>
  <c r="S1599" i="2" s="1"/>
  <c r="R1597" i="2"/>
  <c r="S1597" i="2" s="1"/>
  <c r="R1596" i="2"/>
  <c r="S1596" i="2" s="1"/>
  <c r="R1595" i="2"/>
  <c r="S1595" i="2" s="1"/>
  <c r="R1594" i="2"/>
  <c r="S1594" i="2" s="1"/>
  <c r="R1592" i="2"/>
  <c r="S1592" i="2" s="1"/>
  <c r="R1591" i="2"/>
  <c r="S1591" i="2" s="1"/>
  <c r="R1590" i="2"/>
  <c r="S1590" i="2" s="1"/>
  <c r="R1589" i="2"/>
  <c r="S1589" i="2" s="1"/>
  <c r="R1588" i="2"/>
  <c r="S1588" i="2" s="1"/>
  <c r="R1586" i="2"/>
  <c r="S1586" i="2" s="1"/>
  <c r="R1583" i="2"/>
  <c r="S1583" i="2" s="1"/>
  <c r="R1582" i="2"/>
  <c r="S1582" i="2" s="1"/>
  <c r="R1581" i="2"/>
  <c r="S1581" i="2" s="1"/>
  <c r="R1577" i="2"/>
  <c r="S1577" i="2" s="1"/>
  <c r="R1576" i="2"/>
  <c r="S1576" i="2" s="1"/>
  <c r="R1575" i="2"/>
  <c r="S1575" i="2" s="1"/>
  <c r="R1573" i="2"/>
  <c r="S1573" i="2" s="1"/>
  <c r="R1572" i="2"/>
  <c r="S1572" i="2" s="1"/>
  <c r="R1571" i="2"/>
  <c r="S1571" i="2" s="1"/>
  <c r="R1568" i="2"/>
  <c r="S1568" i="2" s="1"/>
  <c r="R1567" i="2"/>
  <c r="S1567" i="2" s="1"/>
  <c r="R1566" i="2"/>
  <c r="S1566" i="2" s="1"/>
  <c r="R1564" i="2"/>
  <c r="S1564" i="2" s="1"/>
  <c r="R1563" i="2"/>
  <c r="S1563" i="2" s="1"/>
  <c r="R1561" i="2"/>
  <c r="S1561" i="2" s="1"/>
  <c r="R1558" i="2"/>
  <c r="S1558" i="2" s="1"/>
  <c r="R1556" i="2"/>
  <c r="S1556" i="2" s="1"/>
  <c r="R1555" i="2"/>
  <c r="S1555" i="2" s="1"/>
  <c r="R1554" i="2"/>
  <c r="S1554" i="2" s="1"/>
  <c r="R1550" i="2"/>
  <c r="S1550" i="2" s="1"/>
  <c r="R1549" i="2"/>
  <c r="S1549" i="2" s="1"/>
  <c r="R1548" i="2"/>
  <c r="S1548" i="2" s="1"/>
  <c r="R1547" i="2"/>
  <c r="S1547" i="2" s="1"/>
  <c r="R1545" i="2"/>
  <c r="S1545" i="2" s="1"/>
  <c r="R1544" i="2"/>
  <c r="S1544" i="2" s="1"/>
  <c r="R1543" i="2"/>
  <c r="S1543" i="2" s="1"/>
  <c r="R1541" i="2"/>
  <c r="S1541" i="2" s="1"/>
  <c r="R1540" i="2"/>
  <c r="S1540" i="2" s="1"/>
  <c r="R1539" i="2"/>
  <c r="S1539" i="2" s="1"/>
  <c r="R1538" i="2"/>
  <c r="S1538" i="2" s="1"/>
  <c r="R1537" i="2"/>
  <c r="S1537" i="2" s="1"/>
  <c r="R1536" i="2"/>
  <c r="S1536" i="2" s="1"/>
  <c r="R1535" i="2"/>
  <c r="S1535" i="2" s="1"/>
  <c r="R1534" i="2"/>
  <c r="S1534" i="2" s="1"/>
  <c r="R1533" i="2"/>
  <c r="S1533" i="2" s="1"/>
  <c r="R1532" i="2"/>
  <c r="S1532" i="2" s="1"/>
  <c r="R1531" i="2"/>
  <c r="S1531" i="2" s="1"/>
  <c r="R1530" i="2"/>
  <c r="S1530" i="2" s="1"/>
  <c r="R1528" i="2"/>
  <c r="S1528" i="2" s="1"/>
  <c r="R1526" i="2"/>
  <c r="S1526" i="2" s="1"/>
  <c r="R1525" i="2"/>
  <c r="S1525" i="2" s="1"/>
  <c r="R1524" i="2"/>
  <c r="S1524" i="2" s="1"/>
  <c r="R1523" i="2"/>
  <c r="S1523" i="2" s="1"/>
  <c r="R1522" i="2"/>
  <c r="S1522" i="2" s="1"/>
  <c r="R1521" i="2"/>
  <c r="S1521" i="2" s="1"/>
  <c r="R1520" i="2"/>
  <c r="S1520" i="2" s="1"/>
  <c r="R1519" i="2"/>
  <c r="S1519" i="2" s="1"/>
  <c r="R1518" i="2"/>
  <c r="S1518" i="2" s="1"/>
  <c r="R1515" i="2"/>
  <c r="S1515" i="2" s="1"/>
  <c r="R1513" i="2"/>
  <c r="S1513" i="2" s="1"/>
  <c r="R1511" i="2"/>
  <c r="S1511" i="2" s="1"/>
  <c r="R1510" i="2"/>
  <c r="S1510" i="2" s="1"/>
  <c r="R1509" i="2"/>
  <c r="S1509" i="2" s="1"/>
  <c r="R1502" i="2"/>
  <c r="S1502" i="2" s="1"/>
  <c r="R1501" i="2"/>
  <c r="S1501" i="2" s="1"/>
  <c r="R1500" i="2"/>
  <c r="S1500" i="2" s="1"/>
  <c r="R1499" i="2"/>
  <c r="S1499" i="2" s="1"/>
  <c r="R1498" i="2"/>
  <c r="S1498" i="2" s="1"/>
  <c r="R1495" i="2"/>
  <c r="S1495" i="2" s="1"/>
  <c r="R1494" i="2"/>
  <c r="S1494" i="2" s="1"/>
  <c r="R1492" i="2"/>
  <c r="S1492" i="2" s="1"/>
  <c r="R1491" i="2"/>
  <c r="S1491" i="2" s="1"/>
  <c r="R1490" i="2"/>
  <c r="S1490" i="2" s="1"/>
  <c r="R1489" i="2"/>
  <c r="S1489" i="2" s="1"/>
  <c r="R1486" i="2"/>
  <c r="S1486" i="2" s="1"/>
  <c r="R1485" i="2"/>
  <c r="S1485" i="2" s="1"/>
  <c r="R1484" i="2"/>
  <c r="S1484" i="2" s="1"/>
  <c r="R1483" i="2"/>
  <c r="S1483" i="2" s="1"/>
  <c r="R1482" i="2"/>
  <c r="S1482" i="2" s="1"/>
  <c r="R1481" i="2"/>
  <c r="S1481" i="2" s="1"/>
  <c r="R1480" i="2"/>
  <c r="S1480" i="2" s="1"/>
  <c r="R1479" i="2"/>
  <c r="S1479" i="2" s="1"/>
  <c r="R1476" i="2"/>
  <c r="S1476" i="2" s="1"/>
  <c r="R1475" i="2"/>
  <c r="S1475" i="2" s="1"/>
  <c r="R1473" i="2"/>
  <c r="S1473" i="2" s="1"/>
  <c r="R1472" i="2"/>
  <c r="S1472" i="2" s="1"/>
  <c r="R1471" i="2"/>
  <c r="S1471" i="2" s="1"/>
  <c r="R1469" i="2"/>
  <c r="S1469" i="2" s="1"/>
  <c r="R1467" i="2"/>
  <c r="S1467" i="2" s="1"/>
  <c r="R1466" i="2"/>
  <c r="S1466" i="2" s="1"/>
  <c r="R1465" i="2"/>
  <c r="S1465" i="2" s="1"/>
  <c r="R1464" i="2"/>
  <c r="S1464" i="2" s="1"/>
  <c r="R1463" i="2"/>
  <c r="S1463" i="2" s="1"/>
  <c r="R1462" i="2"/>
  <c r="S1462" i="2" s="1"/>
  <c r="R1461" i="2"/>
  <c r="S1461" i="2" s="1"/>
  <c r="R1460" i="2"/>
  <c r="S1460" i="2" s="1"/>
  <c r="R1458" i="2"/>
  <c r="S1458" i="2" s="1"/>
  <c r="R1457" i="2"/>
  <c r="S1457" i="2" s="1"/>
  <c r="R1455" i="2"/>
  <c r="S1455" i="2" s="1"/>
  <c r="R1454" i="2"/>
  <c r="S1454" i="2" s="1"/>
  <c r="R1452" i="2"/>
  <c r="S1452" i="2" s="1"/>
  <c r="R1451" i="2"/>
  <c r="S1451" i="2" s="1"/>
  <c r="R1450" i="2"/>
  <c r="S1450" i="2" s="1"/>
  <c r="R1449" i="2"/>
  <c r="S1449" i="2" s="1"/>
  <c r="R1447" i="2"/>
  <c r="S1447" i="2" s="1"/>
  <c r="R1446" i="2"/>
  <c r="S1446" i="2" s="1"/>
  <c r="R1445" i="2"/>
  <c r="S1445" i="2" s="1"/>
  <c r="R1444" i="2"/>
  <c r="S1444" i="2" s="1"/>
  <c r="R1442" i="2"/>
  <c r="S1442" i="2" s="1"/>
  <c r="R1441" i="2"/>
  <c r="S1441" i="2" s="1"/>
  <c r="R1440" i="2"/>
  <c r="S1440" i="2" s="1"/>
  <c r="R1439" i="2"/>
  <c r="S1439" i="2" s="1"/>
  <c r="R1438" i="2"/>
  <c r="S1438" i="2" s="1"/>
  <c r="R1437" i="2"/>
  <c r="S1437" i="2" s="1"/>
  <c r="R1436" i="2"/>
  <c r="S1436" i="2" s="1"/>
  <c r="R1435" i="2"/>
  <c r="S1435" i="2" s="1"/>
  <c r="R1434" i="2"/>
  <c r="S1434" i="2" s="1"/>
  <c r="R1432" i="2"/>
  <c r="S1432" i="2" s="1"/>
  <c r="R1430" i="2"/>
  <c r="S1430" i="2" s="1"/>
  <c r="R1429" i="2"/>
  <c r="S1429" i="2" s="1"/>
  <c r="R1428" i="2"/>
  <c r="S1428" i="2" s="1"/>
  <c r="R1426" i="2"/>
  <c r="S1426" i="2" s="1"/>
  <c r="R1425" i="2"/>
  <c r="S1425" i="2" s="1"/>
  <c r="R1422" i="2"/>
  <c r="S1422" i="2" s="1"/>
  <c r="R1421" i="2"/>
  <c r="S1421" i="2" s="1"/>
  <c r="R1420" i="2"/>
  <c r="S1420" i="2" s="1"/>
  <c r="R1419" i="2"/>
  <c r="S1419" i="2" s="1"/>
  <c r="R1418" i="2"/>
  <c r="S1418" i="2" s="1"/>
  <c r="R1417" i="2"/>
  <c r="S1417" i="2" s="1"/>
  <c r="R1416" i="2"/>
  <c r="S1416" i="2" s="1"/>
  <c r="R1415" i="2"/>
  <c r="S1415" i="2" s="1"/>
  <c r="R1414" i="2"/>
  <c r="S1414" i="2" s="1"/>
  <c r="R1413" i="2"/>
  <c r="S1413" i="2" s="1"/>
  <c r="R1412" i="2"/>
  <c r="S1412" i="2" s="1"/>
  <c r="R1411" i="2"/>
  <c r="S1411" i="2" s="1"/>
  <c r="R1410" i="2"/>
  <c r="S1410" i="2" s="1"/>
  <c r="R1409" i="2"/>
  <c r="S1409" i="2" s="1"/>
  <c r="R1408" i="2"/>
  <c r="S1408" i="2" s="1"/>
  <c r="R1407" i="2"/>
  <c r="S1407" i="2" s="1"/>
  <c r="R1406" i="2"/>
  <c r="S1406" i="2" s="1"/>
  <c r="R1405" i="2"/>
  <c r="S1405" i="2" s="1"/>
  <c r="R1404" i="2"/>
  <c r="S1404" i="2" s="1"/>
  <c r="R1403" i="2"/>
  <c r="S1403" i="2" s="1"/>
  <c r="R1401" i="2"/>
  <c r="S1401" i="2" s="1"/>
  <c r="R1399" i="2"/>
  <c r="S1399" i="2" s="1"/>
  <c r="R1396" i="2"/>
  <c r="S1396" i="2" s="1"/>
  <c r="R1395" i="2"/>
  <c r="S1395" i="2" s="1"/>
  <c r="R1394" i="2"/>
  <c r="S1394" i="2" s="1"/>
  <c r="R1392" i="2"/>
  <c r="S1392" i="2" s="1"/>
  <c r="R1391" i="2"/>
  <c r="S1391" i="2" s="1"/>
  <c r="R1390" i="2"/>
  <c r="S1390" i="2" s="1"/>
  <c r="R1389" i="2"/>
  <c r="S1389" i="2" s="1"/>
  <c r="R1387" i="2"/>
  <c r="S1387" i="2" s="1"/>
  <c r="R1386" i="2"/>
  <c r="S1386" i="2" s="1"/>
  <c r="R1384" i="2"/>
  <c r="S1384" i="2" s="1"/>
  <c r="R1383" i="2"/>
  <c r="S1383" i="2" s="1"/>
  <c r="R1382" i="2"/>
  <c r="S1382" i="2" s="1"/>
  <c r="R1381" i="2"/>
  <c r="S1381" i="2" s="1"/>
  <c r="R1380" i="2"/>
  <c r="S1380" i="2" s="1"/>
  <c r="R1379" i="2"/>
  <c r="S1379" i="2" s="1"/>
  <c r="R1378" i="2"/>
  <c r="S1378" i="2" s="1"/>
  <c r="R1377" i="2"/>
  <c r="S1377" i="2" s="1"/>
  <c r="R1376" i="2"/>
  <c r="S1376" i="2" s="1"/>
  <c r="R1374" i="2"/>
  <c r="S1374" i="2" s="1"/>
  <c r="R1373" i="2"/>
  <c r="S1373" i="2" s="1"/>
  <c r="R1372" i="2"/>
  <c r="S1372" i="2" s="1"/>
  <c r="R1368" i="2"/>
  <c r="S1368" i="2" s="1"/>
  <c r="R1366" i="2"/>
  <c r="S1366" i="2" s="1"/>
  <c r="R1365" i="2"/>
  <c r="S1365" i="2" s="1"/>
  <c r="R1360" i="2"/>
  <c r="S1360" i="2" s="1"/>
  <c r="R1358" i="2"/>
  <c r="S1358" i="2" s="1"/>
  <c r="R1357" i="2"/>
  <c r="S1357" i="2" s="1"/>
  <c r="R1356" i="2"/>
  <c r="S1356" i="2" s="1"/>
  <c r="R1355" i="2"/>
  <c r="S1355" i="2" s="1"/>
  <c r="R1352" i="2"/>
  <c r="S1352" i="2" s="1"/>
  <c r="R1351" i="2"/>
  <c r="S1351" i="2" s="1"/>
  <c r="R1350" i="2"/>
  <c r="S1350" i="2" s="1"/>
  <c r="R1348" i="2"/>
  <c r="S1348" i="2" s="1"/>
  <c r="R1347" i="2"/>
  <c r="S1347" i="2" s="1"/>
  <c r="R1346" i="2"/>
  <c r="S1346" i="2" s="1"/>
  <c r="R1343" i="2"/>
  <c r="S1343" i="2" s="1"/>
  <c r="R1342" i="2"/>
  <c r="S1342" i="2" s="1"/>
  <c r="R1340" i="2"/>
  <c r="S1340" i="2" s="1"/>
  <c r="R1339" i="2"/>
  <c r="S1339" i="2" s="1"/>
  <c r="R1337" i="2"/>
  <c r="S1337" i="2" s="1"/>
  <c r="R1336" i="2"/>
  <c r="S1336" i="2" s="1"/>
  <c r="R1335" i="2"/>
  <c r="S1335" i="2" s="1"/>
  <c r="R1334" i="2"/>
  <c r="S1334" i="2" s="1"/>
  <c r="R1332" i="2"/>
  <c r="S1332" i="2" s="1"/>
  <c r="R1331" i="2"/>
  <c r="S1331" i="2" s="1"/>
  <c r="R1330" i="2"/>
  <c r="S1330" i="2" s="1"/>
  <c r="R1326" i="2"/>
  <c r="S1326" i="2" s="1"/>
  <c r="R1324" i="2"/>
  <c r="S1324" i="2" s="1"/>
  <c r="R1323" i="2"/>
  <c r="S1323" i="2" s="1"/>
  <c r="R1322" i="2"/>
  <c r="S1322" i="2" s="1"/>
  <c r="R1321" i="2"/>
  <c r="S1321" i="2" s="1"/>
  <c r="R1320" i="2"/>
  <c r="S1320" i="2" s="1"/>
  <c r="R1319" i="2"/>
  <c r="S1319" i="2" s="1"/>
  <c r="R1318" i="2"/>
  <c r="S1318" i="2" s="1"/>
  <c r="R1317" i="2"/>
  <c r="S1317" i="2" s="1"/>
  <c r="R1314" i="2"/>
  <c r="S1314" i="2" s="1"/>
  <c r="R1312" i="2"/>
  <c r="S1312" i="2" s="1"/>
  <c r="R1311" i="2"/>
  <c r="S1311" i="2" s="1"/>
  <c r="R1310" i="2"/>
  <c r="S1310" i="2" s="1"/>
  <c r="R1309" i="2"/>
  <c r="S1309" i="2" s="1"/>
  <c r="R1308" i="2"/>
  <c r="S1308" i="2" s="1"/>
  <c r="R1307" i="2"/>
  <c r="S1307" i="2" s="1"/>
  <c r="R1306" i="2"/>
  <c r="S1306" i="2" s="1"/>
  <c r="R1305" i="2"/>
  <c r="S1305" i="2" s="1"/>
  <c r="R1304" i="2"/>
  <c r="S1304" i="2" s="1"/>
  <c r="R1303" i="2"/>
  <c r="S1303" i="2" s="1"/>
  <c r="R1301" i="2"/>
  <c r="S1301" i="2" s="1"/>
  <c r="R1300" i="2"/>
  <c r="S1300" i="2" s="1"/>
  <c r="R1299" i="2"/>
  <c r="S1299" i="2" s="1"/>
  <c r="R1298" i="2"/>
  <c r="S1298" i="2" s="1"/>
  <c r="R1297" i="2"/>
  <c r="S1297" i="2" s="1"/>
  <c r="R1296" i="2"/>
  <c r="S1296" i="2" s="1"/>
  <c r="R1294" i="2"/>
  <c r="S1294" i="2" s="1"/>
  <c r="R1293" i="2"/>
  <c r="S1293" i="2" s="1"/>
  <c r="R1292" i="2"/>
  <c r="S1292" i="2" s="1"/>
  <c r="R1289" i="2"/>
  <c r="S1289" i="2" s="1"/>
  <c r="R1288" i="2"/>
  <c r="S1288" i="2" s="1"/>
  <c r="R1287" i="2"/>
  <c r="S1287" i="2" s="1"/>
  <c r="R1286" i="2"/>
  <c r="S1286" i="2" s="1"/>
  <c r="R1285" i="2"/>
  <c r="S1285" i="2" s="1"/>
  <c r="R1284" i="2"/>
  <c r="S1284" i="2" s="1"/>
  <c r="R1283" i="2"/>
  <c r="S1283" i="2" s="1"/>
  <c r="R1282" i="2"/>
  <c r="S1282" i="2" s="1"/>
  <c r="R1281" i="2"/>
  <c r="S1281" i="2" s="1"/>
  <c r="R1279" i="2"/>
  <c r="S1279" i="2" s="1"/>
  <c r="R1278" i="2"/>
  <c r="S1278" i="2" s="1"/>
  <c r="R1274" i="2"/>
  <c r="S1274" i="2" s="1"/>
  <c r="R1273" i="2"/>
  <c r="S1273" i="2" s="1"/>
  <c r="R1272" i="2"/>
  <c r="S1272" i="2" s="1"/>
  <c r="R1271" i="2"/>
  <c r="S1271" i="2" s="1"/>
  <c r="R1270" i="2"/>
  <c r="S1270" i="2" s="1"/>
  <c r="R1269" i="2"/>
  <c r="S1269" i="2" s="1"/>
  <c r="R1267" i="2"/>
  <c r="S1267" i="2" s="1"/>
  <c r="R1265" i="2"/>
  <c r="S1265" i="2" s="1"/>
  <c r="R1262" i="2"/>
  <c r="S1262" i="2" s="1"/>
  <c r="R1261" i="2"/>
  <c r="S1261" i="2" s="1"/>
  <c r="R1258" i="2"/>
  <c r="S1258" i="2" s="1"/>
  <c r="R1256" i="2"/>
  <c r="S1256" i="2" s="1"/>
  <c r="R1255" i="2"/>
  <c r="S1255" i="2" s="1"/>
  <c r="R1254" i="2"/>
  <c r="S1254" i="2" s="1"/>
  <c r="R1251" i="2"/>
  <c r="S1251" i="2" s="1"/>
  <c r="R1248" i="2"/>
  <c r="S1248" i="2" s="1"/>
  <c r="R1247" i="2"/>
  <c r="S1247" i="2" s="1"/>
  <c r="R1244" i="2"/>
  <c r="S1244" i="2" s="1"/>
  <c r="R1241" i="2"/>
  <c r="S1241" i="2" s="1"/>
  <c r="R1239" i="2"/>
  <c r="S1239" i="2" s="1"/>
  <c r="R1237" i="2"/>
  <c r="S1237" i="2" s="1"/>
  <c r="R1236" i="2"/>
  <c r="S1236" i="2" s="1"/>
  <c r="R1235" i="2"/>
  <c r="S1235" i="2" s="1"/>
  <c r="R1232" i="2"/>
  <c r="S1232" i="2" s="1"/>
  <c r="R1231" i="2"/>
  <c r="S1231" i="2" s="1"/>
  <c r="R1230" i="2"/>
  <c r="S1230" i="2" s="1"/>
  <c r="R1229" i="2"/>
  <c r="S1229" i="2" s="1"/>
  <c r="R1228" i="2"/>
  <c r="S1228" i="2" s="1"/>
  <c r="R1227" i="2"/>
  <c r="S1227" i="2" s="1"/>
  <c r="R1226" i="2"/>
  <c r="S1226" i="2" s="1"/>
  <c r="R1225" i="2"/>
  <c r="S1225" i="2" s="1"/>
  <c r="R1223" i="2"/>
  <c r="S1223" i="2" s="1"/>
  <c r="R1222" i="2"/>
  <c r="S1222" i="2" s="1"/>
  <c r="R1221" i="2"/>
  <c r="S1221" i="2" s="1"/>
  <c r="R1220" i="2"/>
  <c r="S1220" i="2" s="1"/>
  <c r="R1219" i="2"/>
  <c r="S1219" i="2" s="1"/>
  <c r="R1217" i="2"/>
  <c r="S1217" i="2" s="1"/>
  <c r="R1216" i="2"/>
  <c r="S1216" i="2" s="1"/>
  <c r="R1215" i="2"/>
  <c r="S1215" i="2" s="1"/>
  <c r="R1213" i="2"/>
  <c r="S1213" i="2" s="1"/>
  <c r="R1212" i="2"/>
  <c r="S1212" i="2" s="1"/>
  <c r="R1210" i="2"/>
  <c r="S1210" i="2" s="1"/>
  <c r="R1209" i="2"/>
  <c r="S1209" i="2" s="1"/>
  <c r="R1208" i="2"/>
  <c r="S1208" i="2" s="1"/>
  <c r="R1207" i="2"/>
  <c r="S1207" i="2" s="1"/>
  <c r="R1206" i="2"/>
  <c r="S1206" i="2" s="1"/>
  <c r="R1205" i="2"/>
  <c r="S1205" i="2" s="1"/>
  <c r="R1202" i="2"/>
  <c r="S1202" i="2" s="1"/>
  <c r="R1201" i="2"/>
  <c r="S1201" i="2" s="1"/>
  <c r="R1200" i="2"/>
  <c r="S1200" i="2" s="1"/>
  <c r="R1199" i="2"/>
  <c r="S1199" i="2" s="1"/>
  <c r="R1198" i="2"/>
  <c r="S1198" i="2" s="1"/>
  <c r="R1197" i="2"/>
  <c r="S1197" i="2" s="1"/>
  <c r="R1196" i="2"/>
  <c r="S1196" i="2" s="1"/>
  <c r="R1195" i="2"/>
  <c r="S1195" i="2" s="1"/>
  <c r="R1194" i="2"/>
  <c r="S1194" i="2" s="1"/>
  <c r="R1193" i="2"/>
  <c r="S1193" i="2" s="1"/>
  <c r="R1191" i="2"/>
  <c r="S1191" i="2" s="1"/>
  <c r="R1190" i="2"/>
  <c r="S1190" i="2" s="1"/>
  <c r="R1189" i="2"/>
  <c r="S1189" i="2" s="1"/>
  <c r="R1188" i="2"/>
  <c r="S1188" i="2" s="1"/>
  <c r="R1187" i="2"/>
  <c r="S1187" i="2" s="1"/>
  <c r="R1185" i="2"/>
  <c r="S1185" i="2" s="1"/>
  <c r="R1184" i="2"/>
  <c r="S1184" i="2" s="1"/>
  <c r="R1183" i="2"/>
  <c r="S1183" i="2" s="1"/>
  <c r="R1182" i="2"/>
  <c r="S1182" i="2" s="1"/>
  <c r="R1181" i="2"/>
  <c r="S1181" i="2" s="1"/>
  <c r="R1180" i="2"/>
  <c r="S1180" i="2" s="1"/>
  <c r="R1179" i="2"/>
  <c r="S1179" i="2" s="1"/>
  <c r="R1178" i="2"/>
  <c r="S1178" i="2" s="1"/>
  <c r="R1177" i="2"/>
  <c r="S1177" i="2" s="1"/>
  <c r="R1176" i="2"/>
  <c r="S1176" i="2" s="1"/>
  <c r="R1175" i="2"/>
  <c r="S1175" i="2" s="1"/>
  <c r="R1174" i="2"/>
  <c r="S1174" i="2" s="1"/>
  <c r="R1172" i="2"/>
  <c r="S1172" i="2" s="1"/>
  <c r="R1171" i="2"/>
  <c r="S1171" i="2" s="1"/>
  <c r="R1170" i="2"/>
  <c r="S1170" i="2" s="1"/>
  <c r="R1169" i="2"/>
  <c r="S1169" i="2" s="1"/>
  <c r="R1168" i="2"/>
  <c r="S1168" i="2" s="1"/>
  <c r="R1166" i="2"/>
  <c r="S1166" i="2" s="1"/>
  <c r="R1162" i="2"/>
  <c r="S1162" i="2" s="1"/>
  <c r="R1160" i="2"/>
  <c r="S1160" i="2" s="1"/>
  <c r="R1159" i="2"/>
  <c r="S1159" i="2" s="1"/>
  <c r="R1158" i="2"/>
  <c r="S1158" i="2" s="1"/>
  <c r="R1154" i="2"/>
  <c r="S1154" i="2" s="1"/>
  <c r="R1151" i="2"/>
  <c r="S1151" i="2" s="1"/>
  <c r="R1150" i="2"/>
  <c r="S1150" i="2" s="1"/>
  <c r="R1149" i="2"/>
  <c r="S1149" i="2" s="1"/>
  <c r="R1148" i="2"/>
  <c r="S1148" i="2" s="1"/>
  <c r="R1147" i="2"/>
  <c r="S1147" i="2" s="1"/>
  <c r="R1143" i="2"/>
  <c r="S1143" i="2" s="1"/>
  <c r="R1142" i="2"/>
  <c r="S1142" i="2" s="1"/>
  <c r="R1141" i="2"/>
  <c r="S1141" i="2" s="1"/>
  <c r="R1140" i="2"/>
  <c r="S1140" i="2" s="1"/>
  <c r="R1138" i="2"/>
  <c r="S1138" i="2" s="1"/>
  <c r="R1137" i="2"/>
  <c r="S1137" i="2" s="1"/>
  <c r="R1134" i="2"/>
  <c r="S1134" i="2" s="1"/>
  <c r="R1131" i="2"/>
  <c r="S1131" i="2" s="1"/>
  <c r="R1130" i="2"/>
  <c r="S1130" i="2" s="1"/>
  <c r="R1129" i="2"/>
  <c r="S1129" i="2" s="1"/>
  <c r="R1127" i="2"/>
  <c r="S1127" i="2" s="1"/>
  <c r="R1126" i="2"/>
  <c r="S1126" i="2" s="1"/>
  <c r="R1125" i="2"/>
  <c r="S1125" i="2" s="1"/>
  <c r="R1124" i="2"/>
  <c r="S1124" i="2" s="1"/>
  <c r="R1121" i="2"/>
  <c r="S1121" i="2" s="1"/>
  <c r="R1119" i="2"/>
  <c r="S1119" i="2" s="1"/>
  <c r="R1117" i="2"/>
  <c r="S1117" i="2" s="1"/>
  <c r="R1116" i="2"/>
  <c r="S1116" i="2" s="1"/>
  <c r="R1115" i="2"/>
  <c r="S1115" i="2" s="1"/>
  <c r="R1114" i="2"/>
  <c r="S1114" i="2" s="1"/>
  <c r="R1112" i="2"/>
  <c r="S1112" i="2" s="1"/>
  <c r="R1111" i="2"/>
  <c r="S1111" i="2" s="1"/>
  <c r="R1110" i="2"/>
  <c r="S1110" i="2" s="1"/>
  <c r="R1109" i="2"/>
  <c r="S1109" i="2" s="1"/>
  <c r="R1108" i="2"/>
  <c r="S1108" i="2" s="1"/>
  <c r="R1107" i="2"/>
  <c r="S1107" i="2" s="1"/>
  <c r="R1106" i="2"/>
  <c r="S1106" i="2" s="1"/>
  <c r="R1104" i="2"/>
  <c r="S1104" i="2" s="1"/>
  <c r="R1103" i="2"/>
  <c r="S1103" i="2" s="1"/>
  <c r="R1102" i="2"/>
  <c r="S1102" i="2" s="1"/>
  <c r="R1101" i="2"/>
  <c r="S1101" i="2" s="1"/>
  <c r="R1100" i="2"/>
  <c r="S1100" i="2" s="1"/>
  <c r="R1098" i="2"/>
  <c r="S1098" i="2" s="1"/>
  <c r="R1095" i="2"/>
  <c r="S1095" i="2" s="1"/>
  <c r="R1094" i="2"/>
  <c r="S1094" i="2" s="1"/>
  <c r="R1093" i="2"/>
  <c r="S1093" i="2" s="1"/>
  <c r="R1091" i="2"/>
  <c r="S1091" i="2" s="1"/>
  <c r="R1090" i="2"/>
  <c r="S1090" i="2" s="1"/>
  <c r="R1089" i="2"/>
  <c r="S1089" i="2" s="1"/>
  <c r="R1087" i="2"/>
  <c r="S1087" i="2" s="1"/>
  <c r="R1086" i="2"/>
  <c r="S1086" i="2" s="1"/>
  <c r="R1085" i="2"/>
  <c r="S1085" i="2" s="1"/>
  <c r="R1083" i="2"/>
  <c r="S1083" i="2" s="1"/>
  <c r="R1082" i="2"/>
  <c r="S1082" i="2" s="1"/>
  <c r="R1080" i="2"/>
  <c r="S1080" i="2" s="1"/>
  <c r="R1077" i="2"/>
  <c r="S1077" i="2" s="1"/>
  <c r="R1075" i="2"/>
  <c r="S1075" i="2" s="1"/>
  <c r="R1074" i="2"/>
  <c r="S1074" i="2" s="1"/>
  <c r="R1072" i="2"/>
  <c r="S1072" i="2" s="1"/>
  <c r="R1071" i="2"/>
  <c r="S1071" i="2" s="1"/>
  <c r="R1070" i="2"/>
  <c r="S1070" i="2" s="1"/>
  <c r="R1068" i="2"/>
  <c r="S1068" i="2" s="1"/>
  <c r="R1066" i="2"/>
  <c r="S1066" i="2" s="1"/>
  <c r="R1065" i="2"/>
  <c r="S1065" i="2" s="1"/>
  <c r="R1062" i="2"/>
  <c r="S1062" i="2" s="1"/>
  <c r="R1061" i="2"/>
  <c r="S1061" i="2" s="1"/>
  <c r="R1059" i="2"/>
  <c r="S1059" i="2" s="1"/>
  <c r="R1056" i="2"/>
  <c r="S1056" i="2" s="1"/>
  <c r="R1055" i="2"/>
  <c r="S1055" i="2" s="1"/>
  <c r="R1053" i="2"/>
  <c r="S1053" i="2" s="1"/>
  <c r="R1052" i="2"/>
  <c r="S1052" i="2" s="1"/>
  <c r="R1051" i="2"/>
  <c r="S1051" i="2" s="1"/>
  <c r="R1050" i="2"/>
  <c r="S1050" i="2" s="1"/>
  <c r="R1049" i="2"/>
  <c r="S1049" i="2" s="1"/>
  <c r="R1048" i="2"/>
  <c r="S1048" i="2" s="1"/>
  <c r="R1046" i="2"/>
  <c r="S1046" i="2" s="1"/>
  <c r="R1045" i="2"/>
  <c r="S1045" i="2" s="1"/>
  <c r="R1044" i="2"/>
  <c r="S1044" i="2" s="1"/>
  <c r="R1040" i="2"/>
  <c r="S1040" i="2" s="1"/>
  <c r="R1039" i="2"/>
  <c r="S1039" i="2" s="1"/>
  <c r="R1037" i="2"/>
  <c r="S1037" i="2" s="1"/>
  <c r="R1036" i="2"/>
  <c r="S1036" i="2" s="1"/>
  <c r="R1034" i="2"/>
  <c r="S1034" i="2" s="1"/>
  <c r="R1033" i="2"/>
  <c r="S1033" i="2" s="1"/>
  <c r="R1032" i="2"/>
  <c r="S1032" i="2" s="1"/>
  <c r="R1030" i="2"/>
  <c r="S1030" i="2" s="1"/>
  <c r="R1027" i="2"/>
  <c r="S1027" i="2" s="1"/>
  <c r="R1026" i="2"/>
  <c r="S1026" i="2" s="1"/>
  <c r="R1025" i="2"/>
  <c r="S1025" i="2" s="1"/>
  <c r="R1023" i="2"/>
  <c r="S1023" i="2" s="1"/>
  <c r="R1022" i="2"/>
  <c r="S1022" i="2" s="1"/>
  <c r="R1021" i="2"/>
  <c r="S1021" i="2" s="1"/>
  <c r="R1020" i="2"/>
  <c r="S1020" i="2" s="1"/>
  <c r="R1016" i="2"/>
  <c r="S1016" i="2" s="1"/>
  <c r="R1014" i="2"/>
  <c r="S1014" i="2" s="1"/>
  <c r="R1012" i="2"/>
  <c r="S1012" i="2" s="1"/>
  <c r="R1011" i="2"/>
  <c r="S1011" i="2" s="1"/>
  <c r="R1009" i="2"/>
  <c r="S1009" i="2" s="1"/>
  <c r="R1008" i="2"/>
  <c r="S1008" i="2" s="1"/>
  <c r="R1007" i="2"/>
  <c r="S1007" i="2" s="1"/>
  <c r="R1006" i="2"/>
  <c r="S1006" i="2" s="1"/>
  <c r="R1005" i="2"/>
  <c r="S1005" i="2" s="1"/>
  <c r="R1002" i="2"/>
  <c r="S1002" i="2" s="1"/>
  <c r="R1001" i="2"/>
  <c r="S1001" i="2" s="1"/>
  <c r="R1000" i="2"/>
  <c r="S1000" i="2" s="1"/>
  <c r="R998" i="2"/>
  <c r="S998" i="2" s="1"/>
  <c r="R996" i="2"/>
  <c r="S996" i="2" s="1"/>
  <c r="R995" i="2"/>
  <c r="S995" i="2" s="1"/>
  <c r="R992" i="2"/>
  <c r="S992" i="2" s="1"/>
  <c r="R991" i="2"/>
  <c r="S991" i="2" s="1"/>
  <c r="R990" i="2"/>
  <c r="S990" i="2" s="1"/>
  <c r="R989" i="2"/>
  <c r="S989" i="2" s="1"/>
  <c r="R988" i="2"/>
  <c r="S988" i="2" s="1"/>
  <c r="R987" i="2"/>
  <c r="S987" i="2" s="1"/>
  <c r="R983" i="2"/>
  <c r="S983" i="2" s="1"/>
  <c r="R978" i="2"/>
  <c r="S978" i="2" s="1"/>
  <c r="R977" i="2"/>
  <c r="S977" i="2" s="1"/>
  <c r="R975" i="2"/>
  <c r="S975" i="2" s="1"/>
  <c r="R974" i="2"/>
  <c r="S974" i="2" s="1"/>
  <c r="R973" i="2"/>
  <c r="S973" i="2" s="1"/>
  <c r="R972" i="2"/>
  <c r="S972" i="2" s="1"/>
  <c r="R971" i="2"/>
  <c r="S971" i="2" s="1"/>
  <c r="R969" i="2"/>
  <c r="S969" i="2" s="1"/>
  <c r="R968" i="2"/>
  <c r="S968" i="2" s="1"/>
  <c r="R966" i="2"/>
  <c r="S966" i="2" s="1"/>
  <c r="R963" i="2"/>
  <c r="S963" i="2" s="1"/>
  <c r="R961" i="2"/>
  <c r="S961" i="2" s="1"/>
  <c r="R958" i="2"/>
  <c r="S958" i="2" s="1"/>
  <c r="R956" i="2"/>
  <c r="S956" i="2" s="1"/>
  <c r="R953" i="2"/>
  <c r="S953" i="2" s="1"/>
  <c r="R952" i="2"/>
  <c r="S952" i="2" s="1"/>
  <c r="R950" i="2"/>
  <c r="S950" i="2" s="1"/>
  <c r="R949" i="2"/>
  <c r="S949" i="2" s="1"/>
  <c r="R948" i="2"/>
  <c r="S948" i="2" s="1"/>
  <c r="R945" i="2"/>
  <c r="S945" i="2" s="1"/>
  <c r="R943" i="2"/>
  <c r="S943" i="2" s="1"/>
  <c r="R942" i="2"/>
  <c r="S942" i="2" s="1"/>
  <c r="R937" i="2"/>
  <c r="S937" i="2" s="1"/>
  <c r="R934" i="2"/>
  <c r="S934" i="2" s="1"/>
  <c r="R933" i="2"/>
  <c r="S933" i="2" s="1"/>
  <c r="R932" i="2"/>
  <c r="S932" i="2" s="1"/>
  <c r="R931" i="2"/>
  <c r="S931" i="2" s="1"/>
  <c r="R930" i="2"/>
  <c r="S930" i="2" s="1"/>
  <c r="R929" i="2"/>
  <c r="S929" i="2" s="1"/>
  <c r="R928" i="2"/>
  <c r="S928" i="2" s="1"/>
  <c r="R927" i="2"/>
  <c r="S927" i="2" s="1"/>
  <c r="R926" i="2"/>
  <c r="S926" i="2" s="1"/>
  <c r="R925" i="2"/>
  <c r="S925" i="2" s="1"/>
  <c r="R924" i="2"/>
  <c r="S924" i="2" s="1"/>
  <c r="R923" i="2"/>
  <c r="S923" i="2" s="1"/>
  <c r="R922" i="2"/>
  <c r="S922" i="2" s="1"/>
  <c r="R921" i="2"/>
  <c r="S921" i="2" s="1"/>
  <c r="R919" i="2"/>
  <c r="S919" i="2" s="1"/>
  <c r="R918" i="2"/>
  <c r="S918" i="2" s="1"/>
  <c r="R916" i="2"/>
  <c r="S916" i="2" s="1"/>
  <c r="R914" i="2"/>
  <c r="S914" i="2" s="1"/>
  <c r="R910" i="2"/>
  <c r="S910" i="2" s="1"/>
  <c r="R909" i="2"/>
  <c r="S909" i="2" s="1"/>
  <c r="R908" i="2"/>
  <c r="S908" i="2" s="1"/>
  <c r="R907" i="2"/>
  <c r="S907" i="2" s="1"/>
  <c r="R905" i="2"/>
  <c r="S905" i="2" s="1"/>
  <c r="R903" i="2"/>
  <c r="S903" i="2" s="1"/>
  <c r="R900" i="2"/>
  <c r="S900" i="2" s="1"/>
  <c r="R898" i="2"/>
  <c r="S898" i="2" s="1"/>
  <c r="R897" i="2"/>
  <c r="S897" i="2" s="1"/>
  <c r="R895" i="2"/>
  <c r="S895" i="2" s="1"/>
  <c r="R894" i="2"/>
  <c r="S894" i="2" s="1"/>
  <c r="R891" i="2"/>
  <c r="S891" i="2" s="1"/>
  <c r="R890" i="2"/>
  <c r="S890" i="2" s="1"/>
  <c r="R888" i="2"/>
  <c r="S888" i="2" s="1"/>
  <c r="R887" i="2"/>
  <c r="S887" i="2" s="1"/>
  <c r="R886" i="2"/>
  <c r="S886" i="2" s="1"/>
  <c r="R885" i="2"/>
  <c r="S885" i="2" s="1"/>
  <c r="R884" i="2"/>
  <c r="S884" i="2" s="1"/>
  <c r="R883" i="2"/>
  <c r="S883" i="2" s="1"/>
  <c r="R882" i="2"/>
  <c r="S882" i="2" s="1"/>
  <c r="R879" i="2"/>
  <c r="S879" i="2" s="1"/>
  <c r="R877" i="2"/>
  <c r="S877" i="2" s="1"/>
  <c r="R876" i="2"/>
  <c r="S876" i="2" s="1"/>
  <c r="R875" i="2"/>
  <c r="S875" i="2" s="1"/>
  <c r="R873" i="2"/>
  <c r="S873" i="2" s="1"/>
  <c r="R872" i="2"/>
  <c r="S872" i="2" s="1"/>
  <c r="R870" i="2"/>
  <c r="S870" i="2" s="1"/>
  <c r="R868" i="2"/>
  <c r="S868" i="2" s="1"/>
  <c r="R867" i="2"/>
  <c r="S867" i="2" s="1"/>
  <c r="R866" i="2"/>
  <c r="S866" i="2" s="1"/>
  <c r="R865" i="2"/>
  <c r="S865" i="2" s="1"/>
  <c r="R863" i="2"/>
  <c r="S863" i="2" s="1"/>
  <c r="R862" i="2"/>
  <c r="S862" i="2" s="1"/>
  <c r="R861" i="2"/>
  <c r="S861" i="2" s="1"/>
  <c r="R860" i="2"/>
  <c r="S860" i="2" s="1"/>
  <c r="R857" i="2"/>
  <c r="S857" i="2" s="1"/>
  <c r="R856" i="2"/>
  <c r="S856" i="2" s="1"/>
  <c r="R855" i="2"/>
  <c r="S855" i="2" s="1"/>
  <c r="R853" i="2"/>
  <c r="S853" i="2" s="1"/>
  <c r="R852" i="2"/>
  <c r="S852" i="2" s="1"/>
  <c r="R851" i="2"/>
  <c r="S851" i="2" s="1"/>
  <c r="R848" i="2"/>
  <c r="S848" i="2" s="1"/>
  <c r="R847" i="2"/>
  <c r="S847" i="2" s="1"/>
  <c r="R845" i="2"/>
  <c r="S845" i="2" s="1"/>
  <c r="R844" i="2"/>
  <c r="S844" i="2" s="1"/>
  <c r="R843" i="2"/>
  <c r="S843" i="2" s="1"/>
  <c r="R842" i="2"/>
  <c r="S842" i="2" s="1"/>
  <c r="R841" i="2"/>
  <c r="S841" i="2" s="1"/>
  <c r="R838" i="2"/>
  <c r="S838" i="2" s="1"/>
  <c r="R834" i="2"/>
  <c r="S834" i="2" s="1"/>
  <c r="R833" i="2"/>
  <c r="S833" i="2" s="1"/>
  <c r="R832" i="2"/>
  <c r="S832" i="2" s="1"/>
  <c r="R830" i="2"/>
  <c r="S830" i="2" s="1"/>
  <c r="R829" i="2"/>
  <c r="S829" i="2" s="1"/>
  <c r="R827" i="2"/>
  <c r="S827" i="2" s="1"/>
  <c r="R826" i="2"/>
  <c r="S826" i="2" s="1"/>
  <c r="R825" i="2"/>
  <c r="S825" i="2" s="1"/>
  <c r="R824" i="2"/>
  <c r="S824" i="2" s="1"/>
  <c r="R822" i="2"/>
  <c r="S822" i="2" s="1"/>
  <c r="R821" i="2"/>
  <c r="S821" i="2" s="1"/>
  <c r="R820" i="2"/>
  <c r="S820" i="2" s="1"/>
  <c r="R819" i="2"/>
  <c r="S819" i="2" s="1"/>
  <c r="R818" i="2"/>
  <c r="S818" i="2" s="1"/>
  <c r="R816" i="2"/>
  <c r="S816" i="2" s="1"/>
  <c r="R815" i="2"/>
  <c r="S815" i="2" s="1"/>
  <c r="R812" i="2"/>
  <c r="S812" i="2" s="1"/>
  <c r="R811" i="2"/>
  <c r="S811" i="2" s="1"/>
  <c r="R809" i="2"/>
  <c r="S809" i="2" s="1"/>
  <c r="R808" i="2"/>
  <c r="S808" i="2" s="1"/>
  <c r="R806" i="2"/>
  <c r="S806" i="2" s="1"/>
  <c r="R803" i="2"/>
  <c r="S803" i="2" s="1"/>
  <c r="R802" i="2"/>
  <c r="S802" i="2" s="1"/>
  <c r="R801" i="2"/>
  <c r="S801" i="2" s="1"/>
  <c r="R799" i="2"/>
  <c r="S799" i="2" s="1"/>
  <c r="R798" i="2"/>
  <c r="S798" i="2" s="1"/>
  <c r="R797" i="2"/>
  <c r="S797" i="2" s="1"/>
  <c r="R795" i="2"/>
  <c r="S795" i="2" s="1"/>
  <c r="R794" i="2"/>
  <c r="S794" i="2" s="1"/>
  <c r="R792" i="2"/>
  <c r="S792" i="2" s="1"/>
  <c r="R788" i="2"/>
  <c r="S788" i="2" s="1"/>
  <c r="R787" i="2"/>
  <c r="S787" i="2" s="1"/>
  <c r="R786" i="2"/>
  <c r="S786" i="2" s="1"/>
  <c r="R785" i="2"/>
  <c r="S785" i="2" s="1"/>
  <c r="R784" i="2"/>
  <c r="S784" i="2" s="1"/>
  <c r="R783" i="2"/>
  <c r="S783" i="2" s="1"/>
  <c r="R782" i="2"/>
  <c r="S782" i="2" s="1"/>
  <c r="R781" i="2"/>
  <c r="S781" i="2" s="1"/>
  <c r="R780" i="2"/>
  <c r="S780" i="2" s="1"/>
  <c r="R779" i="2"/>
  <c r="S779" i="2" s="1"/>
  <c r="R778" i="2"/>
  <c r="S778" i="2" s="1"/>
  <c r="R777" i="2"/>
  <c r="S777" i="2" s="1"/>
  <c r="R776" i="2"/>
  <c r="S776" i="2" s="1"/>
  <c r="R775" i="2"/>
  <c r="S775" i="2" s="1"/>
  <c r="R774" i="2"/>
  <c r="S774" i="2" s="1"/>
  <c r="R773" i="2"/>
  <c r="S773" i="2" s="1"/>
  <c r="R772" i="2"/>
  <c r="S772" i="2" s="1"/>
  <c r="R770" i="2"/>
  <c r="S770" i="2" s="1"/>
  <c r="R769" i="2"/>
  <c r="S769" i="2" s="1"/>
  <c r="R768" i="2"/>
  <c r="S768" i="2" s="1"/>
  <c r="R767" i="2"/>
  <c r="S767" i="2" s="1"/>
  <c r="R765" i="2"/>
  <c r="S765" i="2" s="1"/>
  <c r="R764" i="2"/>
  <c r="S764" i="2" s="1"/>
  <c r="R760" i="2"/>
  <c r="S760" i="2" s="1"/>
  <c r="R759" i="2"/>
  <c r="S759" i="2" s="1"/>
  <c r="R756" i="2"/>
  <c r="S756" i="2" s="1"/>
  <c r="R755" i="2"/>
  <c r="S755" i="2" s="1"/>
  <c r="R751" i="2"/>
  <c r="S751" i="2" s="1"/>
  <c r="R750" i="2"/>
  <c r="S750" i="2" s="1"/>
  <c r="R749" i="2"/>
  <c r="S749" i="2" s="1"/>
  <c r="R746" i="2"/>
  <c r="S746" i="2" s="1"/>
  <c r="R745" i="2"/>
  <c r="S745" i="2" s="1"/>
  <c r="R744" i="2"/>
  <c r="S744" i="2" s="1"/>
  <c r="R743" i="2"/>
  <c r="S743" i="2" s="1"/>
  <c r="R742" i="2"/>
  <c r="S742" i="2" s="1"/>
  <c r="R741" i="2"/>
  <c r="S741" i="2" s="1"/>
  <c r="R740" i="2"/>
  <c r="S740" i="2" s="1"/>
  <c r="R739" i="2"/>
  <c r="S739" i="2" s="1"/>
  <c r="R738" i="2"/>
  <c r="S738" i="2" s="1"/>
  <c r="R737" i="2"/>
  <c r="S737" i="2" s="1"/>
  <c r="R736" i="2"/>
  <c r="S736" i="2" s="1"/>
  <c r="R735" i="2"/>
  <c r="S735" i="2" s="1"/>
  <c r="R732" i="2"/>
  <c r="S732" i="2" s="1"/>
  <c r="R731" i="2"/>
  <c r="S731" i="2" s="1"/>
  <c r="R730" i="2"/>
  <c r="S730" i="2" s="1"/>
  <c r="R729" i="2"/>
  <c r="S729" i="2" s="1"/>
  <c r="R727" i="2"/>
  <c r="S727" i="2" s="1"/>
  <c r="R726" i="2"/>
  <c r="S726" i="2" s="1"/>
  <c r="R725" i="2"/>
  <c r="S725" i="2" s="1"/>
  <c r="R724" i="2"/>
  <c r="S724" i="2" s="1"/>
  <c r="R723" i="2"/>
  <c r="S723" i="2" s="1"/>
  <c r="R722" i="2"/>
  <c r="S722" i="2" s="1"/>
  <c r="R721" i="2"/>
  <c r="S721" i="2" s="1"/>
  <c r="R720" i="2"/>
  <c r="S720" i="2" s="1"/>
  <c r="R719" i="2"/>
  <c r="S719" i="2" s="1"/>
  <c r="R718" i="2"/>
  <c r="S718" i="2" s="1"/>
  <c r="R716" i="2"/>
  <c r="S716" i="2" s="1"/>
  <c r="R715" i="2"/>
  <c r="S715" i="2" s="1"/>
  <c r="R714" i="2"/>
  <c r="S714" i="2" s="1"/>
  <c r="R713" i="2"/>
  <c r="S713" i="2" s="1"/>
  <c r="R712" i="2"/>
  <c r="S712" i="2" s="1"/>
  <c r="R711" i="2"/>
  <c r="S711" i="2" s="1"/>
  <c r="R710" i="2"/>
  <c r="S710" i="2" s="1"/>
  <c r="R708" i="2"/>
  <c r="S708" i="2" s="1"/>
  <c r="R706" i="2"/>
  <c r="S706" i="2" s="1"/>
  <c r="R704" i="2"/>
  <c r="S704" i="2" s="1"/>
  <c r="R703" i="2"/>
  <c r="S703" i="2" s="1"/>
  <c r="R702" i="2"/>
  <c r="S702" i="2" s="1"/>
  <c r="R701" i="2"/>
  <c r="S701" i="2" s="1"/>
  <c r="R699" i="2"/>
  <c r="S699" i="2" s="1"/>
  <c r="R698" i="2"/>
  <c r="S698" i="2" s="1"/>
  <c r="R696" i="2"/>
  <c r="S696" i="2" s="1"/>
  <c r="R694" i="2"/>
  <c r="S694" i="2" s="1"/>
  <c r="R693" i="2"/>
  <c r="S693" i="2" s="1"/>
  <c r="R692" i="2"/>
  <c r="S692" i="2" s="1"/>
  <c r="R690" i="2"/>
  <c r="S690" i="2" s="1"/>
  <c r="R689" i="2"/>
  <c r="S689" i="2" s="1"/>
  <c r="R688" i="2"/>
  <c r="S688" i="2" s="1"/>
  <c r="R686" i="2"/>
  <c r="S686" i="2" s="1"/>
  <c r="R685" i="2"/>
  <c r="S685" i="2" s="1"/>
  <c r="R684" i="2"/>
  <c r="S684" i="2" s="1"/>
  <c r="R683" i="2"/>
  <c r="S683" i="2" s="1"/>
  <c r="R682" i="2"/>
  <c r="S682" i="2" s="1"/>
  <c r="R681" i="2"/>
  <c r="S681" i="2" s="1"/>
  <c r="R678" i="2"/>
  <c r="S678" i="2" s="1"/>
  <c r="R676" i="2"/>
  <c r="S676" i="2" s="1"/>
  <c r="R675" i="2"/>
  <c r="S675" i="2" s="1"/>
  <c r="R674" i="2"/>
  <c r="S674" i="2" s="1"/>
  <c r="R672" i="2"/>
  <c r="S672" i="2" s="1"/>
  <c r="R671" i="2"/>
  <c r="S671" i="2" s="1"/>
  <c r="R670" i="2"/>
  <c r="S670" i="2" s="1"/>
  <c r="R669" i="2"/>
  <c r="S669" i="2" s="1"/>
  <c r="R668" i="2"/>
  <c r="S668" i="2" s="1"/>
  <c r="R665" i="2"/>
  <c r="S665" i="2" s="1"/>
  <c r="R664" i="2"/>
  <c r="S664" i="2" s="1"/>
  <c r="R663" i="2"/>
  <c r="S663" i="2" s="1"/>
  <c r="R662" i="2"/>
  <c r="S662" i="2" s="1"/>
  <c r="R660" i="2"/>
  <c r="S660" i="2" s="1"/>
  <c r="R657" i="2"/>
  <c r="S657" i="2" s="1"/>
  <c r="R656" i="2"/>
  <c r="S656" i="2" s="1"/>
  <c r="R655" i="2"/>
  <c r="S655" i="2" s="1"/>
  <c r="R654" i="2"/>
  <c r="S654" i="2" s="1"/>
  <c r="R653" i="2"/>
  <c r="S653" i="2" s="1"/>
  <c r="R652" i="2"/>
  <c r="S652" i="2" s="1"/>
  <c r="R651" i="2"/>
  <c r="S651" i="2" s="1"/>
  <c r="R650" i="2"/>
  <c r="S650" i="2" s="1"/>
  <c r="R649" i="2"/>
  <c r="S649" i="2" s="1"/>
  <c r="R647" i="2"/>
  <c r="S647" i="2" s="1"/>
  <c r="R645" i="2"/>
  <c r="S645" i="2" s="1"/>
  <c r="R643" i="2"/>
  <c r="S643" i="2" s="1"/>
  <c r="R642" i="2"/>
  <c r="S642" i="2" s="1"/>
  <c r="R641" i="2"/>
  <c r="S641" i="2" s="1"/>
  <c r="R640" i="2"/>
  <c r="S640" i="2" s="1"/>
  <c r="R639" i="2"/>
  <c r="S639" i="2" s="1"/>
  <c r="R638" i="2"/>
  <c r="S638" i="2" s="1"/>
  <c r="R637" i="2"/>
  <c r="S637" i="2" s="1"/>
  <c r="R636" i="2"/>
  <c r="S636" i="2" s="1"/>
  <c r="R635" i="2"/>
  <c r="S635" i="2" s="1"/>
  <c r="R634" i="2"/>
  <c r="S634" i="2" s="1"/>
  <c r="R633" i="2"/>
  <c r="S633" i="2" s="1"/>
  <c r="R632" i="2"/>
  <c r="S632" i="2" s="1"/>
  <c r="R630" i="2"/>
  <c r="S630" i="2" s="1"/>
  <c r="R628" i="2"/>
  <c r="S628" i="2" s="1"/>
  <c r="R627" i="2"/>
  <c r="S627" i="2" s="1"/>
  <c r="R626" i="2"/>
  <c r="S626" i="2" s="1"/>
  <c r="R624" i="2"/>
  <c r="S624" i="2" s="1"/>
  <c r="R623" i="2"/>
  <c r="S623" i="2" s="1"/>
  <c r="R622" i="2"/>
  <c r="S622" i="2" s="1"/>
  <c r="R621" i="2"/>
  <c r="S621" i="2" s="1"/>
  <c r="R620" i="2"/>
  <c r="S620" i="2" s="1"/>
  <c r="R617" i="2"/>
  <c r="S617" i="2" s="1"/>
  <c r="R615" i="2"/>
  <c r="S615" i="2" s="1"/>
  <c r="R614" i="2"/>
  <c r="S614" i="2" s="1"/>
  <c r="R613" i="2"/>
  <c r="S613" i="2" s="1"/>
  <c r="R612" i="2"/>
  <c r="S612" i="2" s="1"/>
  <c r="R611" i="2"/>
  <c r="S611" i="2" s="1"/>
  <c r="R610" i="2"/>
  <c r="S610" i="2" s="1"/>
  <c r="R608" i="2"/>
  <c r="S608" i="2" s="1"/>
  <c r="R605" i="2"/>
  <c r="S605" i="2" s="1"/>
  <c r="R604" i="2"/>
  <c r="S604" i="2" s="1"/>
  <c r="R602" i="2"/>
  <c r="S602" i="2" s="1"/>
  <c r="R601" i="2"/>
  <c r="S601" i="2" s="1"/>
  <c r="R600" i="2"/>
  <c r="S600" i="2" s="1"/>
  <c r="R597" i="2"/>
  <c r="S597" i="2" s="1"/>
  <c r="R596" i="2"/>
  <c r="S596" i="2" s="1"/>
  <c r="R594" i="2"/>
  <c r="S594" i="2" s="1"/>
  <c r="R593" i="2"/>
  <c r="S593" i="2" s="1"/>
  <c r="R591" i="2"/>
  <c r="S591" i="2" s="1"/>
  <c r="R590" i="2"/>
  <c r="S590" i="2" s="1"/>
  <c r="R587" i="2"/>
  <c r="S587" i="2" s="1"/>
  <c r="R586" i="2"/>
  <c r="S586" i="2" s="1"/>
  <c r="R585" i="2"/>
  <c r="S585" i="2" s="1"/>
  <c r="R584" i="2"/>
  <c r="S584" i="2" s="1"/>
  <c r="R583" i="2"/>
  <c r="S583" i="2" s="1"/>
  <c r="R582" i="2"/>
  <c r="S582" i="2" s="1"/>
  <c r="R580" i="2"/>
  <c r="S580" i="2" s="1"/>
  <c r="R579" i="2"/>
  <c r="S579" i="2" s="1"/>
  <c r="R578" i="2"/>
  <c r="S578" i="2" s="1"/>
  <c r="R576" i="2"/>
  <c r="S576" i="2" s="1"/>
  <c r="R574" i="2"/>
  <c r="S574" i="2" s="1"/>
  <c r="R572" i="2"/>
  <c r="S572" i="2" s="1"/>
  <c r="R571" i="2"/>
  <c r="S571" i="2" s="1"/>
  <c r="R570" i="2"/>
  <c r="S570" i="2" s="1"/>
  <c r="R569" i="2"/>
  <c r="S569" i="2" s="1"/>
  <c r="R568" i="2"/>
  <c r="S568" i="2" s="1"/>
  <c r="R567" i="2"/>
  <c r="S567" i="2" s="1"/>
  <c r="R566" i="2"/>
  <c r="S566" i="2" s="1"/>
  <c r="R562" i="2"/>
  <c r="S562" i="2" s="1"/>
  <c r="R561" i="2"/>
  <c r="S561" i="2" s="1"/>
  <c r="R559" i="2"/>
  <c r="S559" i="2" s="1"/>
  <c r="R558" i="2"/>
  <c r="S558" i="2" s="1"/>
  <c r="R557" i="2"/>
  <c r="S557" i="2" s="1"/>
  <c r="R556" i="2"/>
  <c r="S556" i="2" s="1"/>
  <c r="R555" i="2"/>
  <c r="S555" i="2" s="1"/>
  <c r="R554" i="2"/>
  <c r="S554" i="2" s="1"/>
  <c r="R552" i="2"/>
  <c r="S552" i="2" s="1"/>
  <c r="R551" i="2"/>
  <c r="S551" i="2" s="1"/>
  <c r="R550" i="2"/>
  <c r="S550" i="2" s="1"/>
  <c r="R549" i="2"/>
  <c r="S549" i="2" s="1"/>
  <c r="R548" i="2"/>
  <c r="S548" i="2" s="1"/>
  <c r="R547" i="2"/>
  <c r="S547" i="2" s="1"/>
  <c r="R546" i="2"/>
  <c r="S546" i="2" s="1"/>
  <c r="R544" i="2"/>
  <c r="S544" i="2" s="1"/>
  <c r="R543" i="2"/>
  <c r="S543" i="2" s="1"/>
  <c r="R542" i="2"/>
  <c r="S542" i="2" s="1"/>
  <c r="R541" i="2"/>
  <c r="S541" i="2" s="1"/>
  <c r="R540" i="2"/>
  <c r="S540" i="2" s="1"/>
  <c r="R539" i="2"/>
  <c r="S539" i="2" s="1"/>
  <c r="R537" i="2"/>
  <c r="S537" i="2" s="1"/>
  <c r="R536" i="2"/>
  <c r="S536" i="2" s="1"/>
  <c r="R533" i="2"/>
  <c r="S533" i="2" s="1"/>
  <c r="R532" i="2"/>
  <c r="S532" i="2" s="1"/>
  <c r="R530" i="2"/>
  <c r="S530" i="2" s="1"/>
  <c r="R529" i="2"/>
  <c r="S529" i="2" s="1"/>
  <c r="R528" i="2"/>
  <c r="S528" i="2" s="1"/>
  <c r="R527" i="2"/>
  <c r="S527" i="2" s="1"/>
  <c r="R526" i="2"/>
  <c r="S526" i="2" s="1"/>
  <c r="R522" i="2"/>
  <c r="S522" i="2" s="1"/>
  <c r="R521" i="2"/>
  <c r="S521" i="2" s="1"/>
  <c r="R519" i="2"/>
  <c r="S519" i="2" s="1"/>
  <c r="R518" i="2"/>
  <c r="S518" i="2" s="1"/>
  <c r="R515" i="2"/>
  <c r="S515" i="2" s="1"/>
  <c r="R514" i="2"/>
  <c r="S514" i="2" s="1"/>
  <c r="R513" i="2"/>
  <c r="S513" i="2" s="1"/>
  <c r="R509" i="2"/>
  <c r="S509" i="2" s="1"/>
  <c r="R508" i="2"/>
  <c r="S508" i="2" s="1"/>
  <c r="R507" i="2"/>
  <c r="S507" i="2" s="1"/>
  <c r="R506" i="2"/>
  <c r="S506" i="2" s="1"/>
  <c r="R505" i="2"/>
  <c r="S505" i="2" s="1"/>
  <c r="R503" i="2"/>
  <c r="S503" i="2" s="1"/>
  <c r="R502" i="2"/>
  <c r="S502" i="2" s="1"/>
  <c r="R501" i="2"/>
  <c r="S501" i="2" s="1"/>
  <c r="R500" i="2"/>
  <c r="S500" i="2" s="1"/>
  <c r="R498" i="2"/>
  <c r="S498" i="2" s="1"/>
  <c r="R497" i="2"/>
  <c r="S497" i="2" s="1"/>
  <c r="R495" i="2"/>
  <c r="S495" i="2" s="1"/>
  <c r="R494" i="2"/>
  <c r="S494" i="2" s="1"/>
  <c r="R493" i="2"/>
  <c r="S493" i="2" s="1"/>
  <c r="R487" i="2"/>
  <c r="S487" i="2" s="1"/>
  <c r="R486" i="2"/>
  <c r="S486" i="2" s="1"/>
  <c r="R485" i="2"/>
  <c r="S485" i="2" s="1"/>
  <c r="R484" i="2"/>
  <c r="S484" i="2" s="1"/>
  <c r="R483" i="2"/>
  <c r="S483" i="2" s="1"/>
  <c r="R482" i="2"/>
  <c r="S482" i="2" s="1"/>
  <c r="R478" i="2"/>
  <c r="S478" i="2" s="1"/>
  <c r="R468" i="2"/>
  <c r="S468" i="2" s="1"/>
  <c r="R467" i="2"/>
  <c r="S467" i="2" s="1"/>
  <c r="R466" i="2"/>
  <c r="S466" i="2" s="1"/>
  <c r="R465" i="2"/>
  <c r="S465" i="2" s="1"/>
  <c r="R464" i="2"/>
  <c r="S464" i="2" s="1"/>
  <c r="R463" i="2"/>
  <c r="S463" i="2" s="1"/>
  <c r="R462" i="2"/>
  <c r="S462" i="2" s="1"/>
  <c r="R461" i="2"/>
  <c r="S461" i="2" s="1"/>
  <c r="R460" i="2"/>
  <c r="S460" i="2" s="1"/>
  <c r="R459" i="2"/>
  <c r="S459" i="2" s="1"/>
  <c r="R458" i="2"/>
  <c r="S458" i="2" s="1"/>
  <c r="R457" i="2"/>
  <c r="S457" i="2" s="1"/>
  <c r="R456" i="2"/>
  <c r="S456" i="2" s="1"/>
  <c r="R454" i="2"/>
  <c r="S454" i="2" s="1"/>
  <c r="R453" i="2"/>
  <c r="S453" i="2" s="1"/>
  <c r="R450" i="2"/>
  <c r="S450" i="2" s="1"/>
  <c r="R448" i="2"/>
  <c r="S448" i="2" s="1"/>
  <c r="R447" i="2"/>
  <c r="S447" i="2" s="1"/>
  <c r="R446" i="2"/>
  <c r="S446" i="2" s="1"/>
  <c r="R445" i="2"/>
  <c r="S445" i="2" s="1"/>
  <c r="R444" i="2"/>
  <c r="S444" i="2" s="1"/>
  <c r="R441" i="2"/>
  <c r="S441" i="2" s="1"/>
  <c r="R440" i="2"/>
  <c r="S440" i="2" s="1"/>
  <c r="R438" i="2"/>
  <c r="S438" i="2" s="1"/>
  <c r="R437" i="2"/>
  <c r="S437" i="2" s="1"/>
  <c r="R436" i="2"/>
  <c r="S436" i="2" s="1"/>
  <c r="R435" i="2"/>
  <c r="S435" i="2" s="1"/>
  <c r="R432" i="2"/>
  <c r="S432" i="2" s="1"/>
  <c r="R431" i="2"/>
  <c r="S431" i="2" s="1"/>
  <c r="R430" i="2"/>
  <c r="S430" i="2" s="1"/>
  <c r="R429" i="2"/>
  <c r="S429" i="2" s="1"/>
  <c r="R428" i="2"/>
  <c r="S428" i="2" s="1"/>
  <c r="R427" i="2"/>
  <c r="S427" i="2" s="1"/>
  <c r="R424" i="2"/>
  <c r="S424" i="2" s="1"/>
  <c r="R423" i="2"/>
  <c r="S423" i="2" s="1"/>
  <c r="R422" i="2"/>
  <c r="S422" i="2" s="1"/>
  <c r="R421" i="2"/>
  <c r="S421" i="2" s="1"/>
  <c r="R419" i="2"/>
  <c r="S419" i="2" s="1"/>
  <c r="R418" i="2"/>
  <c r="S418" i="2" s="1"/>
  <c r="R417" i="2"/>
  <c r="S417" i="2" s="1"/>
  <c r="R416" i="2"/>
  <c r="S416" i="2" s="1"/>
  <c r="R414" i="2"/>
  <c r="S414" i="2" s="1"/>
  <c r="R412" i="2"/>
  <c r="S412" i="2" s="1"/>
  <c r="R411" i="2"/>
  <c r="S411" i="2" s="1"/>
  <c r="R410" i="2"/>
  <c r="S410" i="2" s="1"/>
  <c r="R408" i="2"/>
  <c r="S408" i="2" s="1"/>
  <c r="R405" i="2"/>
  <c r="S405" i="2" s="1"/>
  <c r="R403" i="2"/>
  <c r="S403" i="2" s="1"/>
  <c r="R402" i="2"/>
  <c r="S402" i="2" s="1"/>
  <c r="R400" i="2"/>
  <c r="S400" i="2" s="1"/>
  <c r="R399" i="2"/>
  <c r="S399" i="2" s="1"/>
  <c r="R397" i="2"/>
  <c r="S397" i="2" s="1"/>
  <c r="R396" i="2"/>
  <c r="S396" i="2" s="1"/>
  <c r="R395" i="2"/>
  <c r="S395" i="2" s="1"/>
  <c r="R394" i="2"/>
  <c r="S394" i="2" s="1"/>
  <c r="R392" i="2"/>
  <c r="S392" i="2" s="1"/>
  <c r="R387" i="2"/>
  <c r="S387" i="2" s="1"/>
  <c r="R385" i="2"/>
  <c r="S385" i="2" s="1"/>
  <c r="R384" i="2"/>
  <c r="S384" i="2" s="1"/>
  <c r="R383" i="2"/>
  <c r="S383" i="2" s="1"/>
  <c r="R382" i="2"/>
  <c r="S382" i="2" s="1"/>
  <c r="R381" i="2"/>
  <c r="S381" i="2" s="1"/>
  <c r="R380" i="2"/>
  <c r="S380" i="2" s="1"/>
  <c r="R379" i="2"/>
  <c r="S379" i="2" s="1"/>
  <c r="R377" i="2"/>
  <c r="S377" i="2" s="1"/>
  <c r="R373" i="2"/>
  <c r="S373" i="2" s="1"/>
  <c r="R372" i="2"/>
  <c r="S372" i="2" s="1"/>
  <c r="R371" i="2"/>
  <c r="S371" i="2" s="1"/>
  <c r="R370" i="2"/>
  <c r="S370" i="2" s="1"/>
  <c r="R369" i="2"/>
  <c r="S369" i="2" s="1"/>
  <c r="R368" i="2"/>
  <c r="S368" i="2" s="1"/>
  <c r="R367" i="2"/>
  <c r="S367" i="2" s="1"/>
  <c r="R366" i="2"/>
  <c r="S366" i="2" s="1"/>
  <c r="R363" i="2"/>
  <c r="S363" i="2" s="1"/>
  <c r="R361" i="2"/>
  <c r="S361" i="2" s="1"/>
  <c r="R360" i="2"/>
  <c r="S360" i="2" s="1"/>
  <c r="R359" i="2"/>
  <c r="S359" i="2" s="1"/>
  <c r="R358" i="2"/>
  <c r="S358" i="2" s="1"/>
  <c r="R357" i="2"/>
  <c r="S357" i="2" s="1"/>
  <c r="R356" i="2"/>
  <c r="S356" i="2" s="1"/>
  <c r="R355" i="2"/>
  <c r="S355" i="2" s="1"/>
  <c r="R354" i="2"/>
  <c r="S354" i="2" s="1"/>
  <c r="R353" i="2"/>
  <c r="S353" i="2" s="1"/>
  <c r="R352" i="2"/>
  <c r="S352" i="2" s="1"/>
  <c r="R350" i="2"/>
  <c r="S350" i="2" s="1"/>
  <c r="R349" i="2"/>
  <c r="S349" i="2" s="1"/>
  <c r="R348" i="2"/>
  <c r="S348" i="2" s="1"/>
  <c r="R347" i="2"/>
  <c r="S347" i="2" s="1"/>
  <c r="R346" i="2"/>
  <c r="S346" i="2" s="1"/>
  <c r="R345" i="2"/>
  <c r="S345" i="2" s="1"/>
  <c r="R343" i="2"/>
  <c r="S343" i="2" s="1"/>
  <c r="R342" i="2"/>
  <c r="S342" i="2" s="1"/>
  <c r="R341" i="2"/>
  <c r="S341" i="2" s="1"/>
  <c r="R338" i="2"/>
  <c r="S338" i="2" s="1"/>
  <c r="R333" i="2"/>
  <c r="S333" i="2" s="1"/>
  <c r="R332" i="2"/>
  <c r="S332" i="2" s="1"/>
  <c r="R331" i="2"/>
  <c r="S331" i="2" s="1"/>
  <c r="R330" i="2"/>
  <c r="S330" i="2" s="1"/>
  <c r="R329" i="2"/>
  <c r="S329" i="2" s="1"/>
  <c r="R327" i="2"/>
  <c r="S327" i="2" s="1"/>
  <c r="R325" i="2"/>
  <c r="S325" i="2" s="1"/>
  <c r="R324" i="2"/>
  <c r="S324" i="2" s="1"/>
  <c r="R323" i="2"/>
  <c r="S323" i="2" s="1"/>
  <c r="R322" i="2"/>
  <c r="S322" i="2" s="1"/>
  <c r="R321" i="2"/>
  <c r="S321" i="2" s="1"/>
  <c r="R320" i="2"/>
  <c r="S320" i="2" s="1"/>
  <c r="R317" i="2"/>
  <c r="S317" i="2" s="1"/>
  <c r="R316" i="2"/>
  <c r="S316" i="2" s="1"/>
  <c r="R315" i="2"/>
  <c r="S315" i="2" s="1"/>
  <c r="R314" i="2"/>
  <c r="S314" i="2" s="1"/>
  <c r="R309" i="2"/>
  <c r="S309" i="2" s="1"/>
  <c r="R308" i="2"/>
  <c r="S308" i="2" s="1"/>
  <c r="R307" i="2"/>
  <c r="S307" i="2" s="1"/>
  <c r="R306" i="2"/>
  <c r="S306" i="2" s="1"/>
  <c r="R305" i="2"/>
  <c r="S305" i="2" s="1"/>
  <c r="R304" i="2"/>
  <c r="S304" i="2" s="1"/>
  <c r="R303" i="2"/>
  <c r="S303" i="2" s="1"/>
  <c r="R302" i="2"/>
  <c r="S302" i="2" s="1"/>
  <c r="R301" i="2"/>
  <c r="S301" i="2" s="1"/>
  <c r="R299" i="2"/>
  <c r="S299" i="2" s="1"/>
  <c r="R298" i="2"/>
  <c r="S298" i="2" s="1"/>
  <c r="R296" i="2"/>
  <c r="S296" i="2" s="1"/>
  <c r="R295" i="2"/>
  <c r="S295" i="2" s="1"/>
  <c r="R293" i="2"/>
  <c r="S293" i="2" s="1"/>
  <c r="R292" i="2"/>
  <c r="S292" i="2" s="1"/>
  <c r="R291" i="2"/>
  <c r="S291" i="2" s="1"/>
  <c r="R290" i="2"/>
  <c r="S290" i="2" s="1"/>
  <c r="R289" i="2"/>
  <c r="S289" i="2" s="1"/>
  <c r="R288" i="2"/>
  <c r="S288" i="2" s="1"/>
  <c r="R285" i="2"/>
  <c r="S285" i="2" s="1"/>
  <c r="R284" i="2"/>
  <c r="S284" i="2" s="1"/>
  <c r="R281" i="2"/>
  <c r="S281" i="2" s="1"/>
  <c r="R280" i="2"/>
  <c r="S280" i="2" s="1"/>
  <c r="R278" i="2"/>
  <c r="S278" i="2" s="1"/>
  <c r="R276" i="2"/>
  <c r="S276" i="2" s="1"/>
  <c r="R274" i="2"/>
  <c r="S274" i="2" s="1"/>
  <c r="R273" i="2"/>
  <c r="S273" i="2" s="1"/>
  <c r="R272" i="2"/>
  <c r="S272" i="2" s="1"/>
  <c r="R271" i="2"/>
  <c r="S271" i="2" s="1"/>
  <c r="R269" i="2"/>
  <c r="S269" i="2" s="1"/>
  <c r="R268" i="2"/>
  <c r="S268" i="2" s="1"/>
  <c r="R267" i="2"/>
  <c r="S267" i="2" s="1"/>
  <c r="R265" i="2"/>
  <c r="S265" i="2" s="1"/>
  <c r="R262" i="2"/>
  <c r="S262" i="2" s="1"/>
  <c r="R261" i="2"/>
  <c r="S261" i="2" s="1"/>
  <c r="R260" i="2"/>
  <c r="S260" i="2" s="1"/>
  <c r="R259" i="2"/>
  <c r="S259" i="2" s="1"/>
  <c r="R257" i="2"/>
  <c r="S257" i="2" s="1"/>
  <c r="R256" i="2"/>
  <c r="S256" i="2" s="1"/>
  <c r="R255" i="2"/>
  <c r="S255" i="2" s="1"/>
  <c r="R254" i="2"/>
  <c r="S254" i="2" s="1"/>
  <c r="R253" i="2"/>
  <c r="S253" i="2" s="1"/>
  <c r="R252" i="2"/>
  <c r="S252" i="2" s="1"/>
  <c r="R251" i="2"/>
  <c r="S251" i="2" s="1"/>
  <c r="R250" i="2"/>
  <c r="S250" i="2" s="1"/>
  <c r="R249" i="2"/>
  <c r="S249" i="2" s="1"/>
  <c r="R246" i="2"/>
  <c r="S246" i="2" s="1"/>
  <c r="R245" i="2"/>
  <c r="S245" i="2" s="1"/>
  <c r="R244" i="2"/>
  <c r="S244" i="2" s="1"/>
  <c r="R241" i="2"/>
  <c r="S241" i="2" s="1"/>
  <c r="R240" i="2"/>
  <c r="S240" i="2" s="1"/>
  <c r="R239" i="2"/>
  <c r="S239" i="2" s="1"/>
  <c r="R238" i="2"/>
  <c r="S238" i="2" s="1"/>
  <c r="R236" i="2"/>
  <c r="S236" i="2" s="1"/>
  <c r="R235" i="2"/>
  <c r="S235" i="2" s="1"/>
  <c r="R234" i="2"/>
  <c r="S234" i="2" s="1"/>
  <c r="R231" i="2"/>
  <c r="S231" i="2" s="1"/>
  <c r="R228" i="2"/>
  <c r="S228" i="2" s="1"/>
  <c r="R227" i="2"/>
  <c r="S227" i="2" s="1"/>
  <c r="R226" i="2"/>
  <c r="S226" i="2" s="1"/>
  <c r="R222" i="2"/>
  <c r="S222" i="2" s="1"/>
  <c r="R221" i="2"/>
  <c r="S221" i="2" s="1"/>
  <c r="R220" i="2"/>
  <c r="S220" i="2" s="1"/>
  <c r="R219" i="2"/>
  <c r="S219" i="2" s="1"/>
  <c r="R218" i="2"/>
  <c r="S218" i="2" s="1"/>
  <c r="R216" i="2"/>
  <c r="S216" i="2" s="1"/>
  <c r="R214" i="2"/>
  <c r="S214" i="2" s="1"/>
  <c r="R212" i="2"/>
  <c r="S212" i="2" s="1"/>
  <c r="R210" i="2"/>
  <c r="S210" i="2" s="1"/>
  <c r="R209" i="2"/>
  <c r="S209" i="2" s="1"/>
  <c r="R206" i="2"/>
  <c r="S206" i="2" s="1"/>
  <c r="R204" i="2"/>
  <c r="S204" i="2" s="1"/>
  <c r="R202" i="2"/>
  <c r="S202" i="2" s="1"/>
  <c r="R200" i="2"/>
  <c r="S200" i="2" s="1"/>
  <c r="R199" i="2"/>
  <c r="S199" i="2" s="1"/>
  <c r="R197" i="2"/>
  <c r="S197" i="2" s="1"/>
  <c r="R196" i="2"/>
  <c r="S196" i="2" s="1"/>
  <c r="R195" i="2"/>
  <c r="S195" i="2" s="1"/>
  <c r="R193" i="2"/>
  <c r="S193" i="2" s="1"/>
  <c r="R191" i="2"/>
  <c r="S191" i="2" s="1"/>
  <c r="R190" i="2"/>
  <c r="S190" i="2" s="1"/>
  <c r="R189" i="2"/>
  <c r="S189" i="2" s="1"/>
  <c r="R188" i="2"/>
  <c r="S188" i="2" s="1"/>
  <c r="R187" i="2"/>
  <c r="S187" i="2" s="1"/>
  <c r="R186" i="2"/>
  <c r="S186" i="2" s="1"/>
  <c r="R184" i="2"/>
  <c r="S184" i="2" s="1"/>
  <c r="R183" i="2"/>
  <c r="S183" i="2" s="1"/>
  <c r="R181" i="2"/>
  <c r="S181" i="2" s="1"/>
  <c r="R180" i="2"/>
  <c r="S180" i="2" s="1"/>
  <c r="R174" i="2"/>
  <c r="S174" i="2" s="1"/>
  <c r="R173" i="2"/>
  <c r="S173" i="2" s="1"/>
  <c r="R170" i="2"/>
  <c r="S170" i="2" s="1"/>
  <c r="R167" i="2"/>
  <c r="S167" i="2" s="1"/>
  <c r="R166" i="2"/>
  <c r="S166" i="2" s="1"/>
  <c r="R165" i="2"/>
  <c r="S165" i="2" s="1"/>
  <c r="R162" i="2"/>
  <c r="S162" i="2" s="1"/>
  <c r="R161" i="2"/>
  <c r="S161" i="2" s="1"/>
  <c r="R160" i="2"/>
  <c r="S160" i="2" s="1"/>
  <c r="R159" i="2"/>
  <c r="S159" i="2" s="1"/>
  <c r="R158" i="2"/>
  <c r="S158" i="2" s="1"/>
  <c r="R157" i="2"/>
  <c r="S157" i="2" s="1"/>
  <c r="R156" i="2"/>
  <c r="S156" i="2" s="1"/>
  <c r="R155" i="2"/>
  <c r="S155" i="2" s="1"/>
  <c r="R154" i="2"/>
  <c r="S154" i="2" s="1"/>
  <c r="R153" i="2"/>
  <c r="S153" i="2" s="1"/>
  <c r="R152" i="2"/>
  <c r="S152" i="2" s="1"/>
  <c r="R151" i="2"/>
  <c r="S151" i="2" s="1"/>
  <c r="R150" i="2"/>
  <c r="S150" i="2" s="1"/>
  <c r="R146" i="2"/>
  <c r="S146" i="2" s="1"/>
  <c r="R144" i="2"/>
  <c r="S144" i="2" s="1"/>
  <c r="R143" i="2"/>
  <c r="S143" i="2" s="1"/>
  <c r="R142" i="2"/>
  <c r="S142" i="2" s="1"/>
  <c r="R141" i="2"/>
  <c r="S141" i="2" s="1"/>
  <c r="R140" i="2"/>
  <c r="S140" i="2" s="1"/>
  <c r="R139" i="2"/>
  <c r="S139" i="2" s="1"/>
  <c r="R136" i="2"/>
  <c r="S136" i="2" s="1"/>
  <c r="R135" i="2"/>
  <c r="S135" i="2" s="1"/>
  <c r="R133" i="2"/>
  <c r="S133" i="2" s="1"/>
  <c r="R131" i="2"/>
  <c r="S131" i="2" s="1"/>
  <c r="R130" i="2"/>
  <c r="S130" i="2" s="1"/>
  <c r="R129" i="2"/>
  <c r="S129" i="2" s="1"/>
  <c r="R127" i="2"/>
  <c r="S127" i="2" s="1"/>
  <c r="R126" i="2"/>
  <c r="S126" i="2" s="1"/>
  <c r="R125" i="2"/>
  <c r="S125" i="2" s="1"/>
  <c r="R124" i="2"/>
  <c r="S124" i="2" s="1"/>
  <c r="R123" i="2"/>
  <c r="S123" i="2" s="1"/>
  <c r="R122" i="2"/>
  <c r="S122" i="2" s="1"/>
  <c r="R121" i="2"/>
  <c r="S121" i="2" s="1"/>
  <c r="R119" i="2"/>
  <c r="S119" i="2" s="1"/>
  <c r="R115" i="2"/>
  <c r="S115" i="2" s="1"/>
  <c r="R113" i="2"/>
  <c r="S113" i="2" s="1"/>
  <c r="R112" i="2"/>
  <c r="S112" i="2" s="1"/>
  <c r="R111" i="2"/>
  <c r="S111" i="2" s="1"/>
  <c r="R109" i="2"/>
  <c r="S109" i="2" s="1"/>
  <c r="R108" i="2"/>
  <c r="S108" i="2" s="1"/>
  <c r="R106" i="2"/>
  <c r="S106" i="2" s="1"/>
  <c r="R105" i="2"/>
  <c r="S105" i="2" s="1"/>
  <c r="R104" i="2"/>
  <c r="S104" i="2" s="1"/>
  <c r="R102" i="2"/>
  <c r="S102" i="2" s="1"/>
  <c r="R101" i="2"/>
  <c r="S101" i="2" s="1"/>
  <c r="R100" i="2"/>
  <c r="S100" i="2" s="1"/>
  <c r="R98" i="2"/>
  <c r="S98" i="2" s="1"/>
  <c r="R97" i="2"/>
  <c r="S97" i="2" s="1"/>
  <c r="R96" i="2"/>
  <c r="S96" i="2" s="1"/>
  <c r="R94" i="2"/>
  <c r="S94" i="2" s="1"/>
  <c r="R93" i="2"/>
  <c r="S93" i="2" s="1"/>
  <c r="R92" i="2"/>
  <c r="S92" i="2" s="1"/>
  <c r="R91" i="2"/>
  <c r="S91" i="2" s="1"/>
  <c r="R87" i="2"/>
  <c r="S87" i="2" s="1"/>
  <c r="R85" i="2"/>
  <c r="S85" i="2" s="1"/>
  <c r="R84" i="2"/>
  <c r="S84" i="2" s="1"/>
  <c r="R83" i="2"/>
  <c r="S83" i="2" s="1"/>
  <c r="R82" i="2"/>
  <c r="S82" i="2" s="1"/>
  <c r="R81" i="2"/>
  <c r="S81" i="2" s="1"/>
  <c r="R80" i="2"/>
  <c r="S80" i="2" s="1"/>
  <c r="R79" i="2"/>
  <c r="S79" i="2" s="1"/>
  <c r="R78" i="2"/>
  <c r="S78" i="2" s="1"/>
  <c r="R76" i="2"/>
  <c r="S76" i="2" s="1"/>
  <c r="R75" i="2"/>
  <c r="S75" i="2" s="1"/>
  <c r="R74" i="2"/>
  <c r="S74" i="2" s="1"/>
  <c r="R73" i="2"/>
  <c r="S73" i="2" s="1"/>
  <c r="R72" i="2"/>
  <c r="S72" i="2" s="1"/>
  <c r="R69" i="2"/>
  <c r="S69" i="2" s="1"/>
  <c r="R68" i="2"/>
  <c r="S68" i="2" s="1"/>
  <c r="R67" i="2"/>
  <c r="S67" i="2" s="1"/>
  <c r="R65" i="2"/>
  <c r="S65" i="2" s="1"/>
  <c r="R64" i="2"/>
  <c r="S64" i="2" s="1"/>
  <c r="R61" i="2"/>
  <c r="S61" i="2" s="1"/>
  <c r="R60" i="2"/>
  <c r="S60" i="2" s="1"/>
  <c r="R59" i="2"/>
  <c r="S59" i="2" s="1"/>
  <c r="R57" i="2"/>
  <c r="S57" i="2" s="1"/>
  <c r="R56" i="2"/>
  <c r="S56" i="2" s="1"/>
  <c r="R55" i="2"/>
  <c r="S55" i="2" s="1"/>
  <c r="R54" i="2"/>
  <c r="S54" i="2" s="1"/>
  <c r="R52" i="2"/>
  <c r="S52" i="2" s="1"/>
  <c r="R50" i="2"/>
  <c r="S50" i="2" s="1"/>
  <c r="R49" i="2"/>
  <c r="S49" i="2" s="1"/>
  <c r="R48" i="2"/>
  <c r="S48" i="2" s="1"/>
  <c r="R47" i="2"/>
  <c r="S47" i="2" s="1"/>
  <c r="R46" i="2"/>
  <c r="S46" i="2" s="1"/>
  <c r="R45" i="2"/>
  <c r="S45" i="2" s="1"/>
  <c r="R44" i="2"/>
  <c r="S44" i="2" s="1"/>
  <c r="R42" i="2"/>
  <c r="S42" i="2" s="1"/>
  <c r="R40" i="2"/>
  <c r="S40" i="2" s="1"/>
  <c r="R38" i="2"/>
  <c r="S38" i="2" s="1"/>
  <c r="R37" i="2"/>
  <c r="S37" i="2" s="1"/>
  <c r="R36" i="2"/>
  <c r="S36" i="2" s="1"/>
  <c r="R35" i="2"/>
  <c r="S35" i="2" s="1"/>
  <c r="R34" i="2"/>
  <c r="S34" i="2" s="1"/>
  <c r="R33" i="2"/>
  <c r="S33" i="2" s="1"/>
  <c r="R32" i="2"/>
  <c r="S32" i="2" s="1"/>
  <c r="R29" i="2"/>
  <c r="S29" i="2" s="1"/>
  <c r="R28" i="2"/>
  <c r="S28" i="2" s="1"/>
  <c r="R26" i="2"/>
  <c r="S26" i="2" s="1"/>
  <c r="R25" i="2"/>
  <c r="S25" i="2" s="1"/>
  <c r="R24" i="2"/>
  <c r="S24" i="2" s="1"/>
  <c r="R23" i="2"/>
  <c r="S23" i="2" s="1"/>
  <c r="R21" i="2"/>
  <c r="S21" i="2" s="1"/>
  <c r="R20" i="2"/>
  <c r="S20" i="2" s="1"/>
  <c r="R19" i="2"/>
  <c r="S19" i="2" s="1"/>
  <c r="R16" i="2"/>
  <c r="S16" i="2" s="1"/>
  <c r="R15" i="2"/>
  <c r="S15" i="2" s="1"/>
  <c r="R14" i="2"/>
  <c r="S14" i="2" s="1"/>
  <c r="R10" i="2"/>
  <c r="S10" i="2" s="1"/>
  <c r="R9" i="2"/>
  <c r="S9" i="2" s="1"/>
  <c r="R8" i="2"/>
  <c r="S8" i="2" s="1"/>
  <c r="R7" i="2"/>
  <c r="S7" i="2" s="1"/>
  <c r="R5" i="2"/>
  <c r="S5" i="2" s="1"/>
  <c r="R3" i="2"/>
  <c r="S3" i="2" s="1"/>
  <c r="T1126" i="3" l="1"/>
  <c r="O1126" i="3"/>
  <c r="H1126" i="3"/>
  <c r="T1125" i="3"/>
  <c r="O1125" i="3"/>
  <c r="H1125" i="3"/>
  <c r="T1124" i="3"/>
  <c r="O1124" i="3"/>
  <c r="H1124" i="3"/>
  <c r="T1123" i="3"/>
  <c r="O1123" i="3"/>
  <c r="T1122" i="3"/>
  <c r="O1122" i="3"/>
  <c r="T1121" i="3"/>
  <c r="O1121" i="3"/>
  <c r="H1121" i="3"/>
  <c r="T1120" i="3"/>
  <c r="O1120" i="3"/>
  <c r="H1120" i="3"/>
  <c r="T1119" i="3"/>
  <c r="O1119" i="3"/>
  <c r="T1118" i="3"/>
  <c r="O1118" i="3"/>
  <c r="T1117" i="3"/>
  <c r="O1117" i="3"/>
  <c r="H1117" i="3"/>
  <c r="T1116" i="3"/>
  <c r="O1116" i="3"/>
  <c r="T1115" i="3"/>
  <c r="O1115" i="3"/>
  <c r="T1114" i="3"/>
  <c r="O1114" i="3"/>
  <c r="T1113" i="3"/>
  <c r="O1113" i="3"/>
  <c r="T1112" i="3"/>
  <c r="O1112" i="3"/>
  <c r="T1111" i="3"/>
  <c r="O1111" i="3"/>
  <c r="T1110" i="3"/>
  <c r="O1110" i="3"/>
  <c r="T1109" i="3"/>
  <c r="O1109" i="3"/>
  <c r="H1109" i="3"/>
  <c r="T1108" i="3"/>
  <c r="O1108" i="3"/>
  <c r="T1107" i="3"/>
  <c r="O1107" i="3"/>
  <c r="H1107" i="3"/>
  <c r="T1106" i="3"/>
  <c r="O1106" i="3"/>
  <c r="T1105" i="3"/>
  <c r="O1105" i="3"/>
  <c r="T1104" i="3"/>
  <c r="O1104" i="3"/>
  <c r="H1104" i="3"/>
  <c r="T1103" i="3"/>
  <c r="O1103" i="3"/>
  <c r="T1102" i="3"/>
  <c r="O1102" i="3"/>
  <c r="T1101" i="3"/>
  <c r="O1101" i="3"/>
  <c r="T1100" i="3"/>
  <c r="O1100" i="3"/>
  <c r="H1100" i="3"/>
  <c r="T1099" i="3"/>
  <c r="O1099" i="3"/>
  <c r="T1098" i="3"/>
  <c r="O1098" i="3"/>
  <c r="T1097" i="3"/>
  <c r="O1097" i="3"/>
  <c r="H1097" i="3"/>
  <c r="T1096" i="3"/>
  <c r="O1096" i="3"/>
  <c r="T1095" i="3"/>
  <c r="O1095" i="3"/>
  <c r="T1094" i="3"/>
  <c r="O1094" i="3"/>
  <c r="T1093" i="3"/>
  <c r="O1093" i="3"/>
  <c r="T1092" i="3"/>
  <c r="O1092" i="3"/>
  <c r="T1091" i="3"/>
  <c r="O1091" i="3"/>
  <c r="T1090" i="3"/>
  <c r="O1090" i="3"/>
  <c r="H1090" i="3"/>
  <c r="T1089" i="3"/>
  <c r="O1089" i="3"/>
  <c r="T1088" i="3"/>
  <c r="O1088" i="3"/>
  <c r="T1087" i="3"/>
  <c r="O1087" i="3"/>
  <c r="T1086" i="3"/>
  <c r="O1086" i="3"/>
  <c r="T1085" i="3"/>
  <c r="O1085" i="3"/>
  <c r="T1084" i="3"/>
  <c r="O1084" i="3"/>
  <c r="T1083" i="3"/>
  <c r="O1083" i="3"/>
  <c r="T1082" i="3"/>
  <c r="O1082" i="3"/>
  <c r="T1081" i="3"/>
  <c r="O1081" i="3"/>
  <c r="T1080" i="3"/>
  <c r="O1080" i="3"/>
  <c r="T1079" i="3"/>
  <c r="O1079" i="3"/>
  <c r="H1079" i="3"/>
  <c r="T1078" i="3"/>
  <c r="O1078" i="3"/>
  <c r="H1078" i="3"/>
  <c r="T1077" i="3"/>
  <c r="O1077" i="3"/>
  <c r="H1077" i="3"/>
  <c r="T1076" i="3"/>
  <c r="O1076" i="3"/>
  <c r="T1075" i="3"/>
  <c r="O1075" i="3"/>
  <c r="T1074" i="3"/>
  <c r="O1074" i="3"/>
  <c r="T1073" i="3"/>
  <c r="O1073" i="3"/>
  <c r="T1072" i="3"/>
  <c r="O1072" i="3"/>
  <c r="H1072" i="3"/>
  <c r="T1071" i="3"/>
  <c r="O1071" i="3"/>
  <c r="T1070" i="3"/>
  <c r="O1070" i="3"/>
  <c r="T1069" i="3"/>
  <c r="O1069" i="3"/>
  <c r="T1068" i="3"/>
  <c r="O1068" i="3"/>
  <c r="H1068" i="3"/>
  <c r="T1067" i="3"/>
  <c r="O1067" i="3"/>
  <c r="H1067" i="3"/>
  <c r="T1066" i="3"/>
  <c r="O1066" i="3"/>
  <c r="T1065" i="3"/>
  <c r="O1065" i="3"/>
  <c r="T1064" i="3"/>
  <c r="O1064" i="3"/>
  <c r="T1063" i="3"/>
  <c r="O1063" i="3"/>
  <c r="H1063" i="3"/>
  <c r="T1062" i="3"/>
  <c r="O1062" i="3"/>
  <c r="T1061" i="3"/>
  <c r="O1061" i="3"/>
  <c r="T1060" i="3"/>
  <c r="O1060" i="3"/>
  <c r="T1059" i="3"/>
  <c r="O1059" i="3"/>
  <c r="T1058" i="3"/>
  <c r="O1058" i="3"/>
  <c r="T1057" i="3"/>
  <c r="O1057" i="3"/>
  <c r="T1056" i="3"/>
  <c r="O1056" i="3"/>
  <c r="T1055" i="3"/>
  <c r="O1055" i="3"/>
  <c r="T1054" i="3"/>
  <c r="O1054" i="3"/>
  <c r="T1053" i="3"/>
  <c r="O1053" i="3"/>
  <c r="T1052" i="3"/>
  <c r="O1052" i="3"/>
  <c r="T1051" i="3"/>
  <c r="O1051" i="3"/>
  <c r="T1050" i="3"/>
  <c r="O1050" i="3"/>
  <c r="T1049" i="3"/>
  <c r="O1049" i="3"/>
  <c r="T1048" i="3"/>
  <c r="O1048" i="3"/>
  <c r="T1047" i="3"/>
  <c r="O1047" i="3"/>
  <c r="T1046" i="3"/>
  <c r="O1046" i="3"/>
  <c r="T1045" i="3"/>
  <c r="O1045" i="3"/>
  <c r="T1044" i="3"/>
  <c r="O1044" i="3"/>
  <c r="T1043" i="3"/>
  <c r="O1043" i="3"/>
  <c r="T1042" i="3"/>
  <c r="O1042" i="3"/>
  <c r="T1041" i="3"/>
  <c r="O1041" i="3"/>
  <c r="T1040" i="3"/>
  <c r="O1040" i="3"/>
  <c r="T1039" i="3"/>
  <c r="O1039" i="3"/>
  <c r="T1038" i="3"/>
  <c r="O1038" i="3"/>
  <c r="T1037" i="3"/>
  <c r="O1037" i="3"/>
  <c r="T1036" i="3"/>
  <c r="O1036" i="3"/>
  <c r="T1035" i="3"/>
  <c r="O1035" i="3"/>
  <c r="T1034" i="3"/>
  <c r="O1034" i="3"/>
  <c r="H1034" i="3"/>
  <c r="T1033" i="3"/>
  <c r="O1033" i="3"/>
  <c r="T1032" i="3"/>
  <c r="O1032" i="3"/>
  <c r="T1031" i="3"/>
  <c r="O1031" i="3"/>
  <c r="T1030" i="3"/>
  <c r="O1030" i="3"/>
  <c r="T1029" i="3"/>
  <c r="O1029" i="3"/>
  <c r="T1028" i="3"/>
  <c r="O1028" i="3"/>
  <c r="T1027" i="3"/>
  <c r="O1027" i="3"/>
  <c r="T1026" i="3"/>
  <c r="O1026" i="3"/>
  <c r="T1025" i="3"/>
  <c r="O1025" i="3"/>
  <c r="T1024" i="3"/>
  <c r="O1024" i="3"/>
  <c r="T1023" i="3"/>
  <c r="O1023" i="3"/>
  <c r="T1022" i="3"/>
  <c r="O1022" i="3"/>
  <c r="T1021" i="3"/>
  <c r="O1021" i="3"/>
  <c r="T1020" i="3"/>
  <c r="O1020" i="3"/>
  <c r="T1019" i="3"/>
  <c r="O1019" i="3"/>
  <c r="T1018" i="3"/>
  <c r="O1018" i="3"/>
  <c r="T1017" i="3"/>
  <c r="O1017" i="3"/>
  <c r="T1016" i="3"/>
  <c r="O1016" i="3"/>
  <c r="T1015" i="3"/>
  <c r="O1015" i="3"/>
  <c r="H1015" i="3"/>
  <c r="T1014" i="3"/>
  <c r="O1014" i="3"/>
  <c r="H1014" i="3"/>
  <c r="T1013" i="3"/>
  <c r="O1013" i="3"/>
  <c r="T1012" i="3"/>
  <c r="O1012" i="3"/>
  <c r="T1011" i="3"/>
  <c r="O1011" i="3"/>
  <c r="T1010" i="3"/>
  <c r="O1010" i="3"/>
  <c r="T1009" i="3"/>
  <c r="O1009" i="3"/>
  <c r="T1008" i="3"/>
  <c r="O1008" i="3"/>
  <c r="T1007" i="3"/>
  <c r="O1007" i="3"/>
  <c r="T1006" i="3"/>
  <c r="O1006" i="3"/>
  <c r="H1006" i="3"/>
  <c r="T1005" i="3"/>
  <c r="O1005" i="3"/>
  <c r="T1004" i="3"/>
  <c r="O1004" i="3"/>
  <c r="H1004" i="3"/>
  <c r="T1003" i="3"/>
  <c r="O1003" i="3"/>
  <c r="T1002" i="3"/>
  <c r="O1002" i="3"/>
  <c r="T1001" i="3"/>
  <c r="O1001" i="3"/>
  <c r="T1000" i="3"/>
  <c r="O1000" i="3"/>
  <c r="T999" i="3"/>
  <c r="O999" i="3"/>
  <c r="T998" i="3"/>
  <c r="O998" i="3"/>
  <c r="T997" i="3"/>
  <c r="O997" i="3"/>
  <c r="T996" i="3"/>
  <c r="O996" i="3"/>
  <c r="H996" i="3"/>
  <c r="T995" i="3"/>
  <c r="O995" i="3"/>
  <c r="T994" i="3"/>
  <c r="O994" i="3"/>
  <c r="T993" i="3"/>
  <c r="O993" i="3"/>
  <c r="T992" i="3"/>
  <c r="O992" i="3"/>
  <c r="T991" i="3"/>
  <c r="O991" i="3"/>
  <c r="T990" i="3"/>
  <c r="O990" i="3"/>
  <c r="T989" i="3"/>
  <c r="O989" i="3"/>
  <c r="T988" i="3"/>
  <c r="O988" i="3"/>
  <c r="T987" i="3"/>
  <c r="O987" i="3"/>
  <c r="T986" i="3"/>
  <c r="O986" i="3"/>
  <c r="T985" i="3"/>
  <c r="O985" i="3"/>
  <c r="T984" i="3"/>
  <c r="O984" i="3"/>
  <c r="T983" i="3"/>
  <c r="O983" i="3"/>
  <c r="H983" i="3"/>
  <c r="T982" i="3"/>
  <c r="O982" i="3"/>
  <c r="T981" i="3"/>
  <c r="O981" i="3"/>
  <c r="H981" i="3"/>
  <c r="T980" i="3"/>
  <c r="O980" i="3"/>
  <c r="T979" i="3"/>
  <c r="O979" i="3"/>
  <c r="T978" i="3"/>
  <c r="O978" i="3"/>
  <c r="T977" i="3"/>
  <c r="O977" i="3"/>
  <c r="T976" i="3"/>
  <c r="O976" i="3"/>
  <c r="T975" i="3"/>
  <c r="O975" i="3"/>
  <c r="T974" i="3"/>
  <c r="O974" i="3"/>
  <c r="T973" i="3"/>
  <c r="O973" i="3"/>
  <c r="H973" i="3"/>
  <c r="T972" i="3"/>
  <c r="O972" i="3"/>
  <c r="T971" i="3"/>
  <c r="O971" i="3"/>
  <c r="T970" i="3"/>
  <c r="O970" i="3"/>
  <c r="T969" i="3"/>
  <c r="O969" i="3"/>
  <c r="T968" i="3"/>
  <c r="O968" i="3"/>
  <c r="T967" i="3"/>
  <c r="O967" i="3"/>
  <c r="T966" i="3"/>
  <c r="O966" i="3"/>
  <c r="T965" i="3"/>
  <c r="O965" i="3"/>
  <c r="T964" i="3"/>
  <c r="O964" i="3"/>
  <c r="T963" i="3"/>
  <c r="O963" i="3"/>
  <c r="T962" i="3"/>
  <c r="O962" i="3"/>
  <c r="T961" i="3"/>
  <c r="O961" i="3"/>
  <c r="T960" i="3"/>
  <c r="O960" i="3"/>
  <c r="T959" i="3"/>
  <c r="O959" i="3"/>
  <c r="T958" i="3"/>
  <c r="O958" i="3"/>
  <c r="T957" i="3"/>
  <c r="O957" i="3"/>
  <c r="T956" i="3"/>
  <c r="O956" i="3"/>
  <c r="T955" i="3"/>
  <c r="O955" i="3"/>
  <c r="T954" i="3"/>
  <c r="O954" i="3"/>
  <c r="T953" i="3"/>
  <c r="O953" i="3"/>
  <c r="T952" i="3"/>
  <c r="O952" i="3"/>
  <c r="T951" i="3"/>
  <c r="O951" i="3"/>
  <c r="T950" i="3"/>
  <c r="O950" i="3"/>
  <c r="H950" i="3"/>
  <c r="T949" i="3"/>
  <c r="O949" i="3"/>
  <c r="T948" i="3"/>
  <c r="O948" i="3"/>
  <c r="T947" i="3"/>
  <c r="O947" i="3"/>
  <c r="H947" i="3"/>
  <c r="T946" i="3"/>
  <c r="O946" i="3"/>
  <c r="H946" i="3"/>
  <c r="T945" i="3"/>
  <c r="O945" i="3"/>
  <c r="H945" i="3"/>
  <c r="T944" i="3"/>
  <c r="O944" i="3"/>
  <c r="T943" i="3"/>
  <c r="O943" i="3"/>
  <c r="H943" i="3"/>
  <c r="T942" i="3"/>
  <c r="O942" i="3"/>
  <c r="T941" i="3"/>
  <c r="O941" i="3"/>
  <c r="T940" i="3"/>
  <c r="O940" i="3"/>
  <c r="T939" i="3"/>
  <c r="O939" i="3"/>
  <c r="T938" i="3"/>
  <c r="O938" i="3"/>
  <c r="T937" i="3"/>
  <c r="O937" i="3"/>
  <c r="T936" i="3"/>
  <c r="O936" i="3"/>
  <c r="T935" i="3"/>
  <c r="O935" i="3"/>
  <c r="T934" i="3"/>
  <c r="O934" i="3"/>
  <c r="T933" i="3"/>
  <c r="O933" i="3"/>
  <c r="T932" i="3"/>
  <c r="O932" i="3"/>
  <c r="T931" i="3"/>
  <c r="O931" i="3"/>
  <c r="T930" i="3"/>
  <c r="O930" i="3"/>
  <c r="H930" i="3"/>
  <c r="T929" i="3"/>
  <c r="O929" i="3"/>
  <c r="T928" i="3"/>
  <c r="O928" i="3"/>
  <c r="H928" i="3"/>
  <c r="T927" i="3"/>
  <c r="O927" i="3"/>
  <c r="H927" i="3"/>
  <c r="T926" i="3"/>
  <c r="O926" i="3"/>
  <c r="T925" i="3"/>
  <c r="O925" i="3"/>
  <c r="T924" i="3"/>
  <c r="O924" i="3"/>
  <c r="T923" i="3"/>
  <c r="O923" i="3"/>
  <c r="T922" i="3"/>
  <c r="O922" i="3"/>
  <c r="H922" i="3"/>
  <c r="T921" i="3"/>
  <c r="O921" i="3"/>
  <c r="H921" i="3"/>
  <c r="T920" i="3"/>
  <c r="O920" i="3"/>
  <c r="H920" i="3"/>
  <c r="T919" i="3"/>
  <c r="O919" i="3"/>
  <c r="H919" i="3"/>
  <c r="T918" i="3"/>
  <c r="O918" i="3"/>
  <c r="T917" i="3"/>
  <c r="O917" i="3"/>
  <c r="T916" i="3"/>
  <c r="O916" i="3"/>
  <c r="T915" i="3"/>
  <c r="O915" i="3"/>
  <c r="T914" i="3"/>
  <c r="O914" i="3"/>
  <c r="T913" i="3"/>
  <c r="O913" i="3"/>
  <c r="T912" i="3"/>
  <c r="O912" i="3"/>
  <c r="T911" i="3"/>
  <c r="O911" i="3"/>
  <c r="T910" i="3"/>
  <c r="O910" i="3"/>
  <c r="T909" i="3"/>
  <c r="O909" i="3"/>
  <c r="T908" i="3"/>
  <c r="O908" i="3"/>
  <c r="H908" i="3"/>
  <c r="T907" i="3"/>
  <c r="O907" i="3"/>
  <c r="T906" i="3"/>
  <c r="O906" i="3"/>
  <c r="T905" i="3"/>
  <c r="O905" i="3"/>
  <c r="H905" i="3"/>
  <c r="T904" i="3"/>
  <c r="O904" i="3"/>
  <c r="H904" i="3"/>
  <c r="T903" i="3"/>
  <c r="O903" i="3"/>
  <c r="T902" i="3"/>
  <c r="O902" i="3"/>
  <c r="H902" i="3"/>
  <c r="T901" i="3"/>
  <c r="O901" i="3"/>
  <c r="T900" i="3"/>
  <c r="O900" i="3"/>
  <c r="T899" i="3"/>
  <c r="O899" i="3"/>
  <c r="T898" i="3"/>
  <c r="O898" i="3"/>
  <c r="T897" i="3"/>
  <c r="O897" i="3"/>
  <c r="T896" i="3"/>
  <c r="O896" i="3"/>
  <c r="T895" i="3"/>
  <c r="O895" i="3"/>
  <c r="T894" i="3"/>
  <c r="O894" i="3"/>
  <c r="T893" i="3"/>
  <c r="O893" i="3"/>
  <c r="T892" i="3"/>
  <c r="O892" i="3"/>
  <c r="T891" i="3"/>
  <c r="O891" i="3"/>
  <c r="T890" i="3"/>
  <c r="O890" i="3"/>
  <c r="T889" i="3"/>
  <c r="O889" i="3"/>
  <c r="T888" i="3"/>
  <c r="O888" i="3"/>
  <c r="T887" i="3"/>
  <c r="O887" i="3"/>
  <c r="H887" i="3"/>
  <c r="T886" i="3"/>
  <c r="O886" i="3"/>
  <c r="H886" i="3"/>
  <c r="T885" i="3"/>
  <c r="O885" i="3"/>
  <c r="H885" i="3"/>
  <c r="T884" i="3"/>
  <c r="O884" i="3"/>
  <c r="T883" i="3"/>
  <c r="O883" i="3"/>
  <c r="T882" i="3"/>
  <c r="O882" i="3"/>
  <c r="H882" i="3"/>
  <c r="T881" i="3"/>
  <c r="O881" i="3"/>
  <c r="H881" i="3"/>
  <c r="T880" i="3"/>
  <c r="O880" i="3"/>
  <c r="H880" i="3"/>
  <c r="T879" i="3"/>
  <c r="O879" i="3"/>
  <c r="H879" i="3"/>
  <c r="T878" i="3"/>
  <c r="O878" i="3"/>
  <c r="H878" i="3"/>
  <c r="T877" i="3"/>
  <c r="O877" i="3"/>
  <c r="T876" i="3"/>
  <c r="O876" i="3"/>
  <c r="T875" i="3"/>
  <c r="O875" i="3"/>
  <c r="H875" i="3"/>
  <c r="T874" i="3"/>
  <c r="O874" i="3"/>
  <c r="H874" i="3"/>
  <c r="T873" i="3"/>
  <c r="O873" i="3"/>
  <c r="T872" i="3"/>
  <c r="O872" i="3"/>
  <c r="T871" i="3"/>
  <c r="O871" i="3"/>
  <c r="T870" i="3"/>
  <c r="O870" i="3"/>
  <c r="T869" i="3"/>
  <c r="O869" i="3"/>
  <c r="T868" i="3"/>
  <c r="O868" i="3"/>
  <c r="T867" i="3"/>
  <c r="O867" i="3"/>
  <c r="H867" i="3"/>
  <c r="T866" i="3"/>
  <c r="O866" i="3"/>
  <c r="T865" i="3"/>
  <c r="O865" i="3"/>
  <c r="T864" i="3"/>
  <c r="O864" i="3"/>
  <c r="T863" i="3"/>
  <c r="O863" i="3"/>
  <c r="T862" i="3"/>
  <c r="O862" i="3"/>
  <c r="T861" i="3"/>
  <c r="O861" i="3"/>
  <c r="T860" i="3"/>
  <c r="O860" i="3"/>
  <c r="T859" i="3"/>
  <c r="O859" i="3"/>
  <c r="H859" i="3"/>
  <c r="T858" i="3"/>
  <c r="O858" i="3"/>
  <c r="T857" i="3"/>
  <c r="O857" i="3"/>
  <c r="T856" i="3"/>
  <c r="O856" i="3"/>
  <c r="H856" i="3"/>
  <c r="T855" i="3"/>
  <c r="O855" i="3"/>
  <c r="H855" i="3"/>
  <c r="T854" i="3"/>
  <c r="O854" i="3"/>
  <c r="H854" i="3"/>
  <c r="T853" i="3"/>
  <c r="O853" i="3"/>
  <c r="H853" i="3"/>
  <c r="T852" i="3"/>
  <c r="O852" i="3"/>
  <c r="T851" i="3"/>
  <c r="O851" i="3"/>
  <c r="H851" i="3"/>
  <c r="T850" i="3"/>
  <c r="O850" i="3"/>
  <c r="H850" i="3"/>
  <c r="T849" i="3"/>
  <c r="O849" i="3"/>
  <c r="T848" i="3"/>
  <c r="O848" i="3"/>
  <c r="T847" i="3"/>
  <c r="O847" i="3"/>
  <c r="T846" i="3"/>
  <c r="O846" i="3"/>
  <c r="T845" i="3"/>
  <c r="O845" i="3"/>
  <c r="T844" i="3"/>
  <c r="O844" i="3"/>
  <c r="T843" i="3"/>
  <c r="O843" i="3"/>
  <c r="T842" i="3"/>
  <c r="O842" i="3"/>
  <c r="T841" i="3"/>
  <c r="O841" i="3"/>
  <c r="T840" i="3"/>
  <c r="O840" i="3"/>
  <c r="T839" i="3"/>
  <c r="O839" i="3"/>
  <c r="T838" i="3"/>
  <c r="O838" i="3"/>
  <c r="T837" i="3"/>
  <c r="O837" i="3"/>
  <c r="T836" i="3"/>
  <c r="O836" i="3"/>
  <c r="T835" i="3"/>
  <c r="O835" i="3"/>
  <c r="T834" i="3"/>
  <c r="O834" i="3"/>
  <c r="T833" i="3"/>
  <c r="O833" i="3"/>
  <c r="T832" i="3"/>
  <c r="O832" i="3"/>
  <c r="T831" i="3"/>
  <c r="O831" i="3"/>
  <c r="T830" i="3"/>
  <c r="O830" i="3"/>
  <c r="H830" i="3"/>
  <c r="T829" i="3"/>
  <c r="O829" i="3"/>
  <c r="T828" i="3"/>
  <c r="O828" i="3"/>
  <c r="T827" i="3"/>
  <c r="O827" i="3"/>
  <c r="T826" i="3"/>
  <c r="O826" i="3"/>
  <c r="T825" i="3"/>
  <c r="O825" i="3"/>
  <c r="T824" i="3"/>
  <c r="O824" i="3"/>
  <c r="T823" i="3"/>
  <c r="O823" i="3"/>
  <c r="T822" i="3"/>
  <c r="O822" i="3"/>
  <c r="T821" i="3"/>
  <c r="O821" i="3"/>
  <c r="T820" i="3"/>
  <c r="O820" i="3"/>
  <c r="T819" i="3"/>
  <c r="O819" i="3"/>
  <c r="T818" i="3"/>
  <c r="O818" i="3"/>
  <c r="T817" i="3"/>
  <c r="O817" i="3"/>
  <c r="T816" i="3"/>
  <c r="O816" i="3"/>
  <c r="T815" i="3"/>
  <c r="O815" i="3"/>
  <c r="T814" i="3"/>
  <c r="O814" i="3"/>
  <c r="T813" i="3"/>
  <c r="O813" i="3"/>
  <c r="T812" i="3"/>
  <c r="O812" i="3"/>
  <c r="T811" i="3"/>
  <c r="O811" i="3"/>
  <c r="T810" i="3"/>
  <c r="O810" i="3"/>
  <c r="T809" i="3"/>
  <c r="O809" i="3"/>
  <c r="T808" i="3"/>
  <c r="O808" i="3"/>
  <c r="T807" i="3"/>
  <c r="O807" i="3"/>
  <c r="T806" i="3"/>
  <c r="O806" i="3"/>
  <c r="T805" i="3"/>
  <c r="O805" i="3"/>
  <c r="T804" i="3"/>
  <c r="O804" i="3"/>
  <c r="T803" i="3"/>
  <c r="O803" i="3"/>
  <c r="T802" i="3"/>
  <c r="O802" i="3"/>
  <c r="T801" i="3"/>
  <c r="O801" i="3"/>
  <c r="T800" i="3"/>
  <c r="O800" i="3"/>
  <c r="T799" i="3"/>
  <c r="O799" i="3"/>
  <c r="T798" i="3"/>
  <c r="O798" i="3"/>
  <c r="T797" i="3"/>
  <c r="O797" i="3"/>
  <c r="T796" i="3"/>
  <c r="O796" i="3"/>
  <c r="T795" i="3"/>
  <c r="O795" i="3"/>
  <c r="T794" i="3"/>
  <c r="O794" i="3"/>
  <c r="T793" i="3"/>
  <c r="O793" i="3"/>
  <c r="T792" i="3"/>
  <c r="O792" i="3"/>
  <c r="T791" i="3"/>
  <c r="O791" i="3"/>
  <c r="T790" i="3"/>
  <c r="O790" i="3"/>
  <c r="T789" i="3"/>
  <c r="O789" i="3"/>
  <c r="T788" i="3"/>
  <c r="O788" i="3"/>
  <c r="T787" i="3"/>
  <c r="O787" i="3"/>
  <c r="T786" i="3"/>
  <c r="O786" i="3"/>
  <c r="T785" i="3"/>
  <c r="O785" i="3"/>
  <c r="T784" i="3"/>
  <c r="O784" i="3"/>
  <c r="T783" i="3"/>
  <c r="O783" i="3"/>
  <c r="T782" i="3"/>
  <c r="O782" i="3"/>
  <c r="T781" i="3"/>
  <c r="O781" i="3"/>
  <c r="T780" i="3"/>
  <c r="O780" i="3"/>
  <c r="T779" i="3"/>
  <c r="O779" i="3"/>
  <c r="T778" i="3"/>
  <c r="O778" i="3"/>
  <c r="T777" i="3"/>
  <c r="O777" i="3"/>
  <c r="T776" i="3"/>
  <c r="O776" i="3"/>
  <c r="T775" i="3"/>
  <c r="O775" i="3"/>
  <c r="T774" i="3"/>
  <c r="O774" i="3"/>
  <c r="T773" i="3"/>
  <c r="O773" i="3"/>
  <c r="T772" i="3"/>
  <c r="O772" i="3"/>
  <c r="T771" i="3"/>
  <c r="O771" i="3"/>
  <c r="T770" i="3"/>
  <c r="O770" i="3"/>
  <c r="T769" i="3"/>
  <c r="O769" i="3"/>
  <c r="T768" i="3"/>
  <c r="O768" i="3"/>
  <c r="T767" i="3"/>
  <c r="O767" i="3"/>
  <c r="T766" i="3"/>
  <c r="O766" i="3"/>
  <c r="T765" i="3"/>
  <c r="O765" i="3"/>
  <c r="T764" i="3"/>
  <c r="O764" i="3"/>
  <c r="T763" i="3"/>
  <c r="O763" i="3"/>
  <c r="T762" i="3"/>
  <c r="O762" i="3"/>
  <c r="T761" i="3"/>
  <c r="O761" i="3"/>
  <c r="T760" i="3"/>
  <c r="O760" i="3"/>
  <c r="T759" i="3"/>
  <c r="O759" i="3"/>
  <c r="T758" i="3"/>
  <c r="O758" i="3"/>
  <c r="T757" i="3"/>
  <c r="O757" i="3"/>
  <c r="T756" i="3"/>
  <c r="O756" i="3"/>
  <c r="T755" i="3"/>
  <c r="O755" i="3"/>
  <c r="T754" i="3"/>
  <c r="O754" i="3"/>
  <c r="T753" i="3"/>
  <c r="O753" i="3"/>
  <c r="T752" i="3"/>
  <c r="O752" i="3"/>
  <c r="T751" i="3"/>
  <c r="O751" i="3"/>
  <c r="T750" i="3"/>
  <c r="O750" i="3"/>
  <c r="T749" i="3"/>
  <c r="O749" i="3"/>
  <c r="T748" i="3"/>
  <c r="O748" i="3"/>
  <c r="T747" i="3"/>
  <c r="O747" i="3"/>
  <c r="T746" i="3"/>
  <c r="O746" i="3"/>
  <c r="T745" i="3"/>
  <c r="O745" i="3"/>
  <c r="T744" i="3"/>
  <c r="O744" i="3"/>
  <c r="T743" i="3"/>
  <c r="O743" i="3"/>
  <c r="T742" i="3"/>
  <c r="O742" i="3"/>
  <c r="T741" i="3"/>
  <c r="O741" i="3"/>
  <c r="T740" i="3"/>
  <c r="O740" i="3"/>
  <c r="T739" i="3"/>
  <c r="O739" i="3"/>
  <c r="T738" i="3"/>
  <c r="O738" i="3"/>
  <c r="T737" i="3"/>
  <c r="O737" i="3"/>
  <c r="T736" i="3"/>
  <c r="O736" i="3"/>
  <c r="T735" i="3"/>
  <c r="O735" i="3"/>
  <c r="T734" i="3"/>
  <c r="O734" i="3"/>
  <c r="T733" i="3"/>
  <c r="O733" i="3"/>
  <c r="T732" i="3"/>
  <c r="O732" i="3"/>
  <c r="T731" i="3"/>
  <c r="O731" i="3"/>
  <c r="T730" i="3"/>
  <c r="O730" i="3"/>
  <c r="T729" i="3"/>
  <c r="O729" i="3"/>
  <c r="T728" i="3"/>
  <c r="O728" i="3"/>
  <c r="T727" i="3"/>
  <c r="O727" i="3"/>
  <c r="T726" i="3"/>
  <c r="O726" i="3"/>
  <c r="T725" i="3"/>
  <c r="O725" i="3"/>
  <c r="T724" i="3"/>
  <c r="O724" i="3"/>
  <c r="T723" i="3"/>
  <c r="O723" i="3"/>
  <c r="T722" i="3"/>
  <c r="O722" i="3"/>
  <c r="T721" i="3"/>
  <c r="O721" i="3"/>
  <c r="T720" i="3"/>
  <c r="O720" i="3"/>
  <c r="T719" i="3"/>
  <c r="O719" i="3"/>
  <c r="T718" i="3"/>
  <c r="O718" i="3"/>
  <c r="T717" i="3"/>
  <c r="O717" i="3"/>
  <c r="T716" i="3"/>
  <c r="O716" i="3"/>
  <c r="T715" i="3"/>
  <c r="O715" i="3"/>
  <c r="T714" i="3"/>
  <c r="O714" i="3"/>
  <c r="T713" i="3"/>
  <c r="O713" i="3"/>
  <c r="T712" i="3"/>
  <c r="O712" i="3"/>
  <c r="T711" i="3"/>
  <c r="O711" i="3"/>
  <c r="T710" i="3"/>
  <c r="O710" i="3"/>
  <c r="T709" i="3"/>
  <c r="O709" i="3"/>
  <c r="T708" i="3"/>
  <c r="O708" i="3"/>
  <c r="T707" i="3"/>
  <c r="O707" i="3"/>
  <c r="T706" i="3"/>
  <c r="O706" i="3"/>
  <c r="T705" i="3"/>
  <c r="O705" i="3"/>
  <c r="T704" i="3"/>
  <c r="O704" i="3"/>
  <c r="T703" i="3"/>
  <c r="O703" i="3"/>
  <c r="T702" i="3"/>
  <c r="O702" i="3"/>
  <c r="T701" i="3"/>
  <c r="O701" i="3"/>
  <c r="T700" i="3"/>
  <c r="O700" i="3"/>
  <c r="T699" i="3"/>
  <c r="O699" i="3"/>
  <c r="T698" i="3"/>
  <c r="O698" i="3"/>
  <c r="T697" i="3"/>
  <c r="O697" i="3"/>
  <c r="T696" i="3"/>
  <c r="O696" i="3"/>
  <c r="T695" i="3"/>
  <c r="O695" i="3"/>
  <c r="T694" i="3"/>
  <c r="O694" i="3"/>
  <c r="T693" i="3"/>
  <c r="O693" i="3"/>
  <c r="T692" i="3"/>
  <c r="O692" i="3"/>
  <c r="T691" i="3"/>
  <c r="O691" i="3"/>
  <c r="T690" i="3"/>
  <c r="O690" i="3"/>
  <c r="T689" i="3"/>
  <c r="O689" i="3"/>
  <c r="T688" i="3"/>
  <c r="O688" i="3"/>
  <c r="T687" i="3"/>
  <c r="O687" i="3"/>
  <c r="T686" i="3"/>
  <c r="O686" i="3"/>
  <c r="T685" i="3"/>
  <c r="O685" i="3"/>
  <c r="T684" i="3"/>
  <c r="O684" i="3"/>
  <c r="T683" i="3"/>
  <c r="O683" i="3"/>
  <c r="T682" i="3"/>
  <c r="O682" i="3"/>
  <c r="T681" i="3"/>
  <c r="O681" i="3"/>
  <c r="T680" i="3"/>
  <c r="O680" i="3"/>
  <c r="T679" i="3"/>
  <c r="O679" i="3"/>
  <c r="T678" i="3"/>
  <c r="O678" i="3"/>
  <c r="T677" i="3"/>
  <c r="O677" i="3"/>
  <c r="T676" i="3"/>
  <c r="O676" i="3"/>
  <c r="T675" i="3"/>
  <c r="O675" i="3"/>
  <c r="T674" i="3"/>
  <c r="O674" i="3"/>
  <c r="T673" i="3"/>
  <c r="O673" i="3"/>
  <c r="T672" i="3"/>
  <c r="O672" i="3"/>
  <c r="T671" i="3"/>
  <c r="O671" i="3"/>
  <c r="T670" i="3"/>
  <c r="O670" i="3"/>
  <c r="T669" i="3"/>
  <c r="O669" i="3"/>
  <c r="T668" i="3"/>
  <c r="O668" i="3"/>
  <c r="T667" i="3"/>
  <c r="O667" i="3"/>
  <c r="T666" i="3"/>
  <c r="O666" i="3"/>
  <c r="T665" i="3"/>
  <c r="O665" i="3"/>
  <c r="T664" i="3"/>
  <c r="O664" i="3"/>
  <c r="T663" i="3"/>
  <c r="O663" i="3"/>
  <c r="T662" i="3"/>
  <c r="O662" i="3"/>
  <c r="T661" i="3"/>
  <c r="O661" i="3"/>
  <c r="T660" i="3"/>
  <c r="O660" i="3"/>
  <c r="T659" i="3"/>
  <c r="O659" i="3"/>
  <c r="T658" i="3"/>
  <c r="O658" i="3"/>
  <c r="T657" i="3"/>
  <c r="O657" i="3"/>
  <c r="T656" i="3"/>
  <c r="O656" i="3"/>
  <c r="T655" i="3"/>
  <c r="O655" i="3"/>
  <c r="T654" i="3"/>
  <c r="O654" i="3"/>
  <c r="T653" i="3"/>
  <c r="O653" i="3"/>
  <c r="T652" i="3"/>
  <c r="O652" i="3"/>
  <c r="T651" i="3"/>
  <c r="O651" i="3"/>
  <c r="T650" i="3"/>
  <c r="O650" i="3"/>
  <c r="T649" i="3"/>
  <c r="O649" i="3"/>
  <c r="T648" i="3"/>
  <c r="O648" i="3"/>
  <c r="T647" i="3"/>
  <c r="O647" i="3"/>
  <c r="T646" i="3"/>
  <c r="O646" i="3"/>
  <c r="T645" i="3"/>
  <c r="O645" i="3"/>
  <c r="T644" i="3"/>
  <c r="O644" i="3"/>
  <c r="T643" i="3"/>
  <c r="O643" i="3"/>
  <c r="T642" i="3"/>
  <c r="O642" i="3"/>
  <c r="T641" i="3"/>
  <c r="O641" i="3"/>
  <c r="T640" i="3"/>
  <c r="O640" i="3"/>
  <c r="T639" i="3"/>
  <c r="O639" i="3"/>
  <c r="T638" i="3"/>
  <c r="O638" i="3"/>
  <c r="T637" i="3"/>
  <c r="O637" i="3"/>
  <c r="T636" i="3"/>
  <c r="O636" i="3"/>
  <c r="T635" i="3"/>
  <c r="O635" i="3"/>
  <c r="T634" i="3"/>
  <c r="O634" i="3"/>
  <c r="T633" i="3"/>
  <c r="O633" i="3"/>
  <c r="T632" i="3"/>
  <c r="O632" i="3"/>
  <c r="T631" i="3"/>
  <c r="O631" i="3"/>
  <c r="T630" i="3"/>
  <c r="O630" i="3"/>
  <c r="T629" i="3"/>
  <c r="O629" i="3"/>
  <c r="T628" i="3"/>
  <c r="O628" i="3"/>
  <c r="T627" i="3"/>
  <c r="O627" i="3"/>
  <c r="T626" i="3"/>
  <c r="O626" i="3"/>
  <c r="T625" i="3"/>
  <c r="O625" i="3"/>
  <c r="T624" i="3"/>
  <c r="O624" i="3"/>
  <c r="T623" i="3"/>
  <c r="O623" i="3"/>
  <c r="T622" i="3"/>
  <c r="O622" i="3"/>
  <c r="T621" i="3"/>
  <c r="O621" i="3"/>
  <c r="T620" i="3"/>
  <c r="O620" i="3"/>
  <c r="T619" i="3"/>
  <c r="O619" i="3"/>
  <c r="T618" i="3"/>
  <c r="O618" i="3"/>
  <c r="T617" i="3"/>
  <c r="O617" i="3"/>
  <c r="T616" i="3"/>
  <c r="O616" i="3"/>
  <c r="T615" i="3"/>
  <c r="O615" i="3"/>
  <c r="T614" i="3"/>
  <c r="O614" i="3"/>
  <c r="T613" i="3"/>
  <c r="O613" i="3"/>
  <c r="T612" i="3"/>
  <c r="O612" i="3"/>
  <c r="T611" i="3"/>
  <c r="O611" i="3"/>
  <c r="T610" i="3"/>
  <c r="O610" i="3"/>
  <c r="T609" i="3"/>
  <c r="O609" i="3"/>
  <c r="T608" i="3"/>
  <c r="O608" i="3"/>
  <c r="T607" i="3"/>
  <c r="O607" i="3"/>
  <c r="T606" i="3"/>
  <c r="O606" i="3"/>
  <c r="T605" i="3"/>
  <c r="O605" i="3"/>
  <c r="T604" i="3"/>
  <c r="O604" i="3"/>
  <c r="T603" i="3"/>
  <c r="O603" i="3"/>
  <c r="T602" i="3"/>
  <c r="O602" i="3"/>
  <c r="T601" i="3"/>
  <c r="O601" i="3"/>
  <c r="T600" i="3"/>
  <c r="O600" i="3"/>
  <c r="T599" i="3"/>
  <c r="O599" i="3"/>
  <c r="T598" i="3"/>
  <c r="O598" i="3"/>
  <c r="T597" i="3"/>
  <c r="O597" i="3"/>
  <c r="T596" i="3"/>
  <c r="O596" i="3"/>
  <c r="T595" i="3"/>
  <c r="O595" i="3"/>
  <c r="T594" i="3"/>
  <c r="O594" i="3"/>
  <c r="T593" i="3"/>
  <c r="O593" i="3"/>
  <c r="T592" i="3"/>
  <c r="O592" i="3"/>
  <c r="T591" i="3"/>
  <c r="O591" i="3"/>
  <c r="T590" i="3"/>
  <c r="O590" i="3"/>
  <c r="T589" i="3"/>
  <c r="O589" i="3"/>
  <c r="T588" i="3"/>
  <c r="O588" i="3"/>
  <c r="T587" i="3"/>
  <c r="O587" i="3"/>
  <c r="T586" i="3"/>
  <c r="O586" i="3"/>
  <c r="T585" i="3"/>
  <c r="O585" i="3"/>
  <c r="T584" i="3"/>
  <c r="O584" i="3"/>
  <c r="T583" i="3"/>
  <c r="O583" i="3"/>
  <c r="T582" i="3"/>
  <c r="O582" i="3"/>
  <c r="T581" i="3"/>
  <c r="O581" i="3"/>
  <c r="T580" i="3"/>
  <c r="O580" i="3"/>
  <c r="T579" i="3"/>
  <c r="O579" i="3"/>
  <c r="T578" i="3"/>
  <c r="O578" i="3"/>
  <c r="T577" i="3"/>
  <c r="O577" i="3"/>
  <c r="T576" i="3"/>
  <c r="O576" i="3"/>
  <c r="T575" i="3"/>
  <c r="O575" i="3"/>
  <c r="T574" i="3"/>
  <c r="O574" i="3"/>
  <c r="T573" i="3"/>
  <c r="O573" i="3"/>
  <c r="T572" i="3"/>
  <c r="O572" i="3"/>
  <c r="T571" i="3"/>
  <c r="O571" i="3"/>
  <c r="T570" i="3"/>
  <c r="O570" i="3"/>
  <c r="T569" i="3"/>
  <c r="O569" i="3"/>
  <c r="T568" i="3"/>
  <c r="O568" i="3"/>
  <c r="T567" i="3"/>
  <c r="O567" i="3"/>
  <c r="T566" i="3"/>
  <c r="O566" i="3"/>
  <c r="T565" i="3"/>
  <c r="O565" i="3"/>
  <c r="T564" i="3"/>
  <c r="O564" i="3"/>
  <c r="T563" i="3"/>
  <c r="O563" i="3"/>
  <c r="T562" i="3"/>
  <c r="O562" i="3"/>
  <c r="T561" i="3"/>
  <c r="O561" i="3"/>
  <c r="T560" i="3"/>
  <c r="O560" i="3"/>
  <c r="T559" i="3"/>
  <c r="O559" i="3"/>
  <c r="T558" i="3"/>
  <c r="O558" i="3"/>
  <c r="T557" i="3"/>
  <c r="O557" i="3"/>
  <c r="T556" i="3"/>
  <c r="O556" i="3"/>
  <c r="T555" i="3"/>
  <c r="O555" i="3"/>
  <c r="T554" i="3"/>
  <c r="O554" i="3"/>
  <c r="T553" i="3"/>
  <c r="O553" i="3"/>
  <c r="T552" i="3"/>
  <c r="O552" i="3"/>
  <c r="T551" i="3"/>
  <c r="O551" i="3"/>
  <c r="T550" i="3"/>
  <c r="O550" i="3"/>
  <c r="T549" i="3"/>
  <c r="O549" i="3"/>
  <c r="T548" i="3"/>
  <c r="O548" i="3"/>
  <c r="T547" i="3"/>
  <c r="O547" i="3"/>
  <c r="T546" i="3"/>
  <c r="O546" i="3"/>
  <c r="T545" i="3"/>
  <c r="O545" i="3"/>
  <c r="T544" i="3"/>
  <c r="O544" i="3"/>
  <c r="T543" i="3"/>
  <c r="O543" i="3"/>
  <c r="T542" i="3"/>
  <c r="O542" i="3"/>
  <c r="T541" i="3"/>
  <c r="O541" i="3"/>
  <c r="T540" i="3"/>
  <c r="O540" i="3"/>
  <c r="T539" i="3"/>
  <c r="O539" i="3"/>
  <c r="T538" i="3"/>
  <c r="O538" i="3"/>
  <c r="T537" i="3"/>
  <c r="O537" i="3"/>
  <c r="T536" i="3"/>
  <c r="O536" i="3"/>
  <c r="T535" i="3"/>
  <c r="O535" i="3"/>
  <c r="T534" i="3"/>
  <c r="O534" i="3"/>
  <c r="T533" i="3"/>
  <c r="O533" i="3"/>
  <c r="T532" i="3"/>
  <c r="O532" i="3"/>
  <c r="T531" i="3"/>
  <c r="O531" i="3"/>
  <c r="T530" i="3"/>
  <c r="O530" i="3"/>
  <c r="T529" i="3"/>
  <c r="O529" i="3"/>
  <c r="T528" i="3"/>
  <c r="O528" i="3"/>
  <c r="T527" i="3"/>
  <c r="O527" i="3"/>
  <c r="T526" i="3"/>
  <c r="O526" i="3"/>
  <c r="T525" i="3"/>
  <c r="O525" i="3"/>
  <c r="T524" i="3"/>
  <c r="O524" i="3"/>
  <c r="T523" i="3"/>
  <c r="O523" i="3"/>
  <c r="T522" i="3"/>
  <c r="O522" i="3"/>
  <c r="T521" i="3"/>
  <c r="O521" i="3"/>
  <c r="T520" i="3"/>
  <c r="O520" i="3"/>
  <c r="T519" i="3"/>
  <c r="O519" i="3"/>
  <c r="T518" i="3"/>
  <c r="O518" i="3"/>
  <c r="T517" i="3"/>
  <c r="O517" i="3"/>
  <c r="T516" i="3"/>
  <c r="O516" i="3"/>
  <c r="T515" i="3"/>
  <c r="O515" i="3"/>
  <c r="T514" i="3"/>
  <c r="O514" i="3"/>
  <c r="T513" i="3"/>
  <c r="O513" i="3"/>
  <c r="T512" i="3"/>
  <c r="O512" i="3"/>
  <c r="T511" i="3"/>
  <c r="O511" i="3"/>
  <c r="T510" i="3"/>
  <c r="O510" i="3"/>
  <c r="T509" i="3"/>
  <c r="O509" i="3"/>
  <c r="T508" i="3"/>
  <c r="O508" i="3"/>
  <c r="T507" i="3"/>
  <c r="O507" i="3"/>
  <c r="T506" i="3"/>
  <c r="O506" i="3"/>
  <c r="T505" i="3"/>
  <c r="O505" i="3"/>
  <c r="T504" i="3"/>
  <c r="O504" i="3"/>
  <c r="T503" i="3"/>
  <c r="O503" i="3"/>
  <c r="T502" i="3"/>
  <c r="O502" i="3"/>
  <c r="T501" i="3"/>
  <c r="O501" i="3"/>
  <c r="T500" i="3"/>
  <c r="O500" i="3"/>
  <c r="T499" i="3"/>
  <c r="O499" i="3"/>
  <c r="T498" i="3"/>
  <c r="O498" i="3"/>
  <c r="T497" i="3"/>
  <c r="O497" i="3"/>
  <c r="T496" i="3"/>
  <c r="O496" i="3"/>
  <c r="T495" i="3"/>
  <c r="O495" i="3"/>
  <c r="T494" i="3"/>
  <c r="O494" i="3"/>
  <c r="T493" i="3"/>
  <c r="O493" i="3"/>
  <c r="T492" i="3"/>
  <c r="O492" i="3"/>
  <c r="T491" i="3"/>
  <c r="O491" i="3"/>
  <c r="T490" i="3"/>
  <c r="O490" i="3"/>
  <c r="T489" i="3"/>
  <c r="O489" i="3"/>
  <c r="T488" i="3"/>
  <c r="O488" i="3"/>
  <c r="T487" i="3"/>
  <c r="O487" i="3"/>
  <c r="T486" i="3"/>
  <c r="O486" i="3"/>
  <c r="T485" i="3"/>
  <c r="O485" i="3"/>
  <c r="T484" i="3"/>
  <c r="O484" i="3"/>
  <c r="T483" i="3"/>
  <c r="O483" i="3"/>
  <c r="T482" i="3"/>
  <c r="O482" i="3"/>
  <c r="T481" i="3"/>
  <c r="O481" i="3"/>
  <c r="T480" i="3"/>
  <c r="O480" i="3"/>
  <c r="T479" i="3"/>
  <c r="O479" i="3"/>
  <c r="T478" i="3"/>
  <c r="O478" i="3"/>
  <c r="T477" i="3"/>
  <c r="O477" i="3"/>
  <c r="T476" i="3"/>
  <c r="O476" i="3"/>
  <c r="T475" i="3"/>
  <c r="O475" i="3"/>
  <c r="T474" i="3"/>
  <c r="O474" i="3"/>
  <c r="T473" i="3"/>
  <c r="O473" i="3"/>
  <c r="T472" i="3"/>
  <c r="O472" i="3"/>
  <c r="T471" i="3"/>
  <c r="O471" i="3"/>
  <c r="T470" i="3"/>
  <c r="O470" i="3"/>
  <c r="T469" i="3"/>
  <c r="O469" i="3"/>
  <c r="T468" i="3"/>
  <c r="O468" i="3"/>
  <c r="T467" i="3"/>
  <c r="O467" i="3"/>
  <c r="T466" i="3"/>
  <c r="O466" i="3"/>
  <c r="T465" i="3"/>
  <c r="O465" i="3"/>
  <c r="T464" i="3"/>
  <c r="O464" i="3"/>
  <c r="T463" i="3"/>
  <c r="O463" i="3"/>
  <c r="T462" i="3"/>
  <c r="O462" i="3"/>
  <c r="T461" i="3"/>
  <c r="O461" i="3"/>
  <c r="T460" i="3"/>
  <c r="O460" i="3"/>
  <c r="T459" i="3"/>
  <c r="O459" i="3"/>
  <c r="T458" i="3"/>
  <c r="O458" i="3"/>
  <c r="T457" i="3"/>
  <c r="O457" i="3"/>
  <c r="T456" i="3"/>
  <c r="O456" i="3"/>
  <c r="T455" i="3"/>
  <c r="O455" i="3"/>
  <c r="T454" i="3"/>
  <c r="O454" i="3"/>
  <c r="T453" i="3"/>
  <c r="O453" i="3"/>
  <c r="T452" i="3"/>
  <c r="O452" i="3"/>
  <c r="T451" i="3"/>
  <c r="O451" i="3"/>
  <c r="T450" i="3"/>
  <c r="O450" i="3"/>
  <c r="T449" i="3"/>
  <c r="O449" i="3"/>
  <c r="T448" i="3"/>
  <c r="O448" i="3"/>
  <c r="T447" i="3"/>
  <c r="O447" i="3"/>
  <c r="T446" i="3"/>
  <c r="O446" i="3"/>
  <c r="T445" i="3"/>
  <c r="O445" i="3"/>
  <c r="T444" i="3"/>
  <c r="O444" i="3"/>
  <c r="T443" i="3"/>
  <c r="O443" i="3"/>
  <c r="T442" i="3"/>
  <c r="O442" i="3"/>
  <c r="T441" i="3"/>
  <c r="O441" i="3"/>
  <c r="T440" i="3"/>
  <c r="O440" i="3"/>
  <c r="T439" i="3"/>
  <c r="O439" i="3"/>
  <c r="T438" i="3"/>
  <c r="O438" i="3"/>
  <c r="T437" i="3"/>
  <c r="O437" i="3"/>
  <c r="T436" i="3"/>
  <c r="O436" i="3"/>
  <c r="T435" i="3"/>
  <c r="O435" i="3"/>
  <c r="T434" i="3"/>
  <c r="O434" i="3"/>
  <c r="T433" i="3"/>
  <c r="O433" i="3"/>
  <c r="T432" i="3"/>
  <c r="O432" i="3"/>
  <c r="T431" i="3"/>
  <c r="O431" i="3"/>
  <c r="T430" i="3"/>
  <c r="O430" i="3"/>
  <c r="T429" i="3"/>
  <c r="O429" i="3"/>
  <c r="T428" i="3"/>
  <c r="O428" i="3"/>
  <c r="T427" i="3"/>
  <c r="O427" i="3"/>
  <c r="T426" i="3"/>
  <c r="O426" i="3"/>
  <c r="T425" i="3"/>
  <c r="O425" i="3"/>
  <c r="T424" i="3"/>
  <c r="O424" i="3"/>
  <c r="T423" i="3"/>
  <c r="O423" i="3"/>
  <c r="T422" i="3"/>
  <c r="O422" i="3"/>
  <c r="T421" i="3"/>
  <c r="O421" i="3"/>
  <c r="T420" i="3"/>
  <c r="O420" i="3"/>
  <c r="T419" i="3"/>
  <c r="O419" i="3"/>
  <c r="T418" i="3"/>
  <c r="O418" i="3"/>
  <c r="T417" i="3"/>
  <c r="O417" i="3"/>
  <c r="T416" i="3"/>
  <c r="O416" i="3"/>
  <c r="T415" i="3"/>
  <c r="O415" i="3"/>
  <c r="T414" i="3"/>
  <c r="O414" i="3"/>
  <c r="T413" i="3"/>
  <c r="O413" i="3"/>
  <c r="T412" i="3"/>
  <c r="O412" i="3"/>
  <c r="T411" i="3"/>
  <c r="O411" i="3"/>
  <c r="T410" i="3"/>
  <c r="O410" i="3"/>
  <c r="T409" i="3"/>
  <c r="O409" i="3"/>
  <c r="T408" i="3"/>
  <c r="O408" i="3"/>
  <c r="T407" i="3"/>
  <c r="O407" i="3"/>
  <c r="T406" i="3"/>
  <c r="O406" i="3"/>
  <c r="T405" i="3"/>
  <c r="O405" i="3"/>
  <c r="T404" i="3"/>
  <c r="O404" i="3"/>
  <c r="T403" i="3"/>
  <c r="O403" i="3"/>
  <c r="T402" i="3"/>
  <c r="O402" i="3"/>
  <c r="T401" i="3"/>
  <c r="O401" i="3"/>
  <c r="T400" i="3"/>
  <c r="O400" i="3"/>
  <c r="T399" i="3"/>
  <c r="O399" i="3"/>
  <c r="T398" i="3"/>
  <c r="O398" i="3"/>
  <c r="T397" i="3"/>
  <c r="O397" i="3"/>
  <c r="T396" i="3"/>
  <c r="O396" i="3"/>
  <c r="T395" i="3"/>
  <c r="O395" i="3"/>
  <c r="T394" i="3"/>
  <c r="O394" i="3"/>
  <c r="T393" i="3"/>
  <c r="O393" i="3"/>
  <c r="T392" i="3"/>
  <c r="O392" i="3"/>
  <c r="T391" i="3"/>
  <c r="O391" i="3"/>
  <c r="T390" i="3"/>
  <c r="O390" i="3"/>
  <c r="T389" i="3"/>
  <c r="O389" i="3"/>
  <c r="T388" i="3"/>
  <c r="O388" i="3"/>
  <c r="T387" i="3"/>
  <c r="O387" i="3"/>
  <c r="T386" i="3"/>
  <c r="O386" i="3"/>
  <c r="T385" i="3"/>
  <c r="O385" i="3"/>
  <c r="T384" i="3"/>
  <c r="O384" i="3"/>
  <c r="T383" i="3"/>
  <c r="O383" i="3"/>
  <c r="T382" i="3"/>
  <c r="O382" i="3"/>
  <c r="T381" i="3"/>
  <c r="O381" i="3"/>
  <c r="T380" i="3"/>
  <c r="O380" i="3"/>
  <c r="T379" i="3"/>
  <c r="O379" i="3"/>
  <c r="T378" i="3"/>
  <c r="O378" i="3"/>
  <c r="T377" i="3"/>
  <c r="O377" i="3"/>
  <c r="T376" i="3"/>
  <c r="O376" i="3"/>
  <c r="T375" i="3"/>
  <c r="O375" i="3"/>
  <c r="H375" i="3"/>
  <c r="T374" i="3"/>
  <c r="O374" i="3"/>
  <c r="T373" i="3"/>
  <c r="O373" i="3"/>
  <c r="T372" i="3"/>
  <c r="O372" i="3"/>
  <c r="T371" i="3"/>
  <c r="O371" i="3"/>
  <c r="T370" i="3"/>
  <c r="O370" i="3"/>
  <c r="T369" i="3"/>
  <c r="O369" i="3"/>
  <c r="T368" i="3"/>
  <c r="O368" i="3"/>
  <c r="T367" i="3"/>
  <c r="O367" i="3"/>
  <c r="T366" i="3"/>
  <c r="O366" i="3"/>
  <c r="T365" i="3"/>
  <c r="O365" i="3"/>
  <c r="T364" i="3"/>
  <c r="O364" i="3"/>
  <c r="T363" i="3"/>
  <c r="O363" i="3"/>
  <c r="T362" i="3"/>
  <c r="O362" i="3"/>
  <c r="T361" i="3"/>
  <c r="O361" i="3"/>
  <c r="T360" i="3"/>
  <c r="O360" i="3"/>
  <c r="T359" i="3"/>
  <c r="O359" i="3"/>
  <c r="T358" i="3"/>
  <c r="O358" i="3"/>
  <c r="T357" i="3"/>
  <c r="O357" i="3"/>
  <c r="T356" i="3"/>
  <c r="O356" i="3"/>
  <c r="T355" i="3"/>
  <c r="O355" i="3"/>
  <c r="T354" i="3"/>
  <c r="O354" i="3"/>
  <c r="T353" i="3"/>
  <c r="O353" i="3"/>
  <c r="T352" i="3"/>
  <c r="O352" i="3"/>
  <c r="T351" i="3"/>
  <c r="O351" i="3"/>
  <c r="T350" i="3"/>
  <c r="O350" i="3"/>
  <c r="T349" i="3"/>
  <c r="O349" i="3"/>
  <c r="T348" i="3"/>
  <c r="O348" i="3"/>
  <c r="T347" i="3"/>
  <c r="O347" i="3"/>
  <c r="T346" i="3"/>
  <c r="O346" i="3"/>
  <c r="T345" i="3"/>
  <c r="O345" i="3"/>
  <c r="T344" i="3"/>
  <c r="O344" i="3"/>
  <c r="T343" i="3"/>
  <c r="O343" i="3"/>
  <c r="T342" i="3"/>
  <c r="O342" i="3"/>
  <c r="T341" i="3"/>
  <c r="O341" i="3"/>
  <c r="T340" i="3"/>
  <c r="O340" i="3"/>
  <c r="T339" i="3"/>
  <c r="O339" i="3"/>
  <c r="T338" i="3"/>
  <c r="O338" i="3"/>
  <c r="T337" i="3"/>
  <c r="O337" i="3"/>
  <c r="T336" i="3"/>
  <c r="O336" i="3"/>
  <c r="T335" i="3"/>
  <c r="O335" i="3"/>
  <c r="T334" i="3"/>
  <c r="O334" i="3"/>
  <c r="T333" i="3"/>
  <c r="O333" i="3"/>
  <c r="T332" i="3"/>
  <c r="O332" i="3"/>
  <c r="T331" i="3"/>
  <c r="O331" i="3"/>
  <c r="T330" i="3"/>
  <c r="O330" i="3"/>
  <c r="T329" i="3"/>
  <c r="O329" i="3"/>
  <c r="T328" i="3"/>
  <c r="O328" i="3"/>
  <c r="T327" i="3"/>
  <c r="O327" i="3"/>
  <c r="T326" i="3"/>
  <c r="O326" i="3"/>
  <c r="T325" i="3"/>
  <c r="O325" i="3"/>
  <c r="T324" i="3"/>
  <c r="O324" i="3"/>
  <c r="T323" i="3"/>
  <c r="O323" i="3"/>
  <c r="T322" i="3"/>
  <c r="O322" i="3"/>
  <c r="T321" i="3"/>
  <c r="O321" i="3"/>
  <c r="T320" i="3"/>
  <c r="O320" i="3"/>
  <c r="T319" i="3"/>
  <c r="O319" i="3"/>
  <c r="T318" i="3"/>
  <c r="O318" i="3"/>
  <c r="T317" i="3"/>
  <c r="O317" i="3"/>
  <c r="T316" i="3"/>
  <c r="O316" i="3"/>
  <c r="T315" i="3"/>
  <c r="O315" i="3"/>
  <c r="T314" i="3"/>
  <c r="O314" i="3"/>
  <c r="T313" i="3"/>
  <c r="O313" i="3"/>
  <c r="T312" i="3"/>
  <c r="O312" i="3"/>
  <c r="T311" i="3"/>
  <c r="O311" i="3"/>
  <c r="T310" i="3"/>
  <c r="O310" i="3"/>
  <c r="T309" i="3"/>
  <c r="O309" i="3"/>
  <c r="T308" i="3"/>
  <c r="O308" i="3"/>
  <c r="T307" i="3"/>
  <c r="O307" i="3"/>
  <c r="T306" i="3"/>
  <c r="O306" i="3"/>
  <c r="T305" i="3"/>
  <c r="O305" i="3"/>
  <c r="T304" i="3"/>
  <c r="O304" i="3"/>
  <c r="T303" i="3"/>
  <c r="O303" i="3"/>
  <c r="T302" i="3"/>
  <c r="O302" i="3"/>
  <c r="T301" i="3"/>
  <c r="O301" i="3"/>
  <c r="T300" i="3"/>
  <c r="O300" i="3"/>
  <c r="T299" i="3"/>
  <c r="O299" i="3"/>
  <c r="T298" i="3"/>
  <c r="O298" i="3"/>
  <c r="T297" i="3"/>
  <c r="O297" i="3"/>
  <c r="T296" i="3"/>
  <c r="O296" i="3"/>
  <c r="T295" i="3"/>
  <c r="O295" i="3"/>
  <c r="T294" i="3"/>
  <c r="O294" i="3"/>
  <c r="T293" i="3"/>
  <c r="O293" i="3"/>
  <c r="T292" i="3"/>
  <c r="O292" i="3"/>
  <c r="T291" i="3"/>
  <c r="O291" i="3"/>
  <c r="T290" i="3"/>
  <c r="O290" i="3"/>
  <c r="T289" i="3"/>
  <c r="O289" i="3"/>
  <c r="T288" i="3"/>
  <c r="O288" i="3"/>
  <c r="T287" i="3"/>
  <c r="O287" i="3"/>
  <c r="T286" i="3"/>
  <c r="O286" i="3"/>
  <c r="T285" i="3"/>
  <c r="O285" i="3"/>
  <c r="T284" i="3"/>
  <c r="O284" i="3"/>
  <c r="T283" i="3"/>
  <c r="O283" i="3"/>
  <c r="T282" i="3"/>
  <c r="O282" i="3"/>
  <c r="T281" i="3"/>
  <c r="O281" i="3"/>
  <c r="T280" i="3"/>
  <c r="O280" i="3"/>
  <c r="T279" i="3"/>
  <c r="O279" i="3"/>
  <c r="T278" i="3"/>
  <c r="O278" i="3"/>
  <c r="T277" i="3"/>
  <c r="O277" i="3"/>
  <c r="T276" i="3"/>
  <c r="O276" i="3"/>
  <c r="T275" i="3"/>
  <c r="O275" i="3"/>
  <c r="T274" i="3"/>
  <c r="O274" i="3"/>
  <c r="T273" i="3"/>
  <c r="O273" i="3"/>
  <c r="T272" i="3"/>
  <c r="O272" i="3"/>
  <c r="T271" i="3"/>
  <c r="O271" i="3"/>
  <c r="T270" i="3"/>
  <c r="O270" i="3"/>
  <c r="T269" i="3"/>
  <c r="O269" i="3"/>
  <c r="T268" i="3"/>
  <c r="O268" i="3"/>
  <c r="T267" i="3"/>
  <c r="O267" i="3"/>
  <c r="T266" i="3"/>
  <c r="O266" i="3"/>
  <c r="T265" i="3"/>
  <c r="O265" i="3"/>
  <c r="T264" i="3"/>
  <c r="O264" i="3"/>
  <c r="T263" i="3"/>
  <c r="O263" i="3"/>
  <c r="T262" i="3"/>
  <c r="O262" i="3"/>
  <c r="T261" i="3"/>
  <c r="O261" i="3"/>
  <c r="T260" i="3"/>
  <c r="O260" i="3"/>
  <c r="T259" i="3"/>
  <c r="O259" i="3"/>
  <c r="T258" i="3"/>
  <c r="O258" i="3"/>
  <c r="T257" i="3"/>
  <c r="O257" i="3"/>
  <c r="T256" i="3"/>
  <c r="O256" i="3"/>
  <c r="T255" i="3"/>
  <c r="O255" i="3"/>
  <c r="T254" i="3"/>
  <c r="O254" i="3"/>
  <c r="T253" i="3"/>
  <c r="O253" i="3"/>
  <c r="T252" i="3"/>
  <c r="O252" i="3"/>
  <c r="T251" i="3"/>
  <c r="O251" i="3"/>
  <c r="T250" i="3"/>
  <c r="O250" i="3"/>
  <c r="T249" i="3"/>
  <c r="O249" i="3"/>
  <c r="T248" i="3"/>
  <c r="O248" i="3"/>
  <c r="T247" i="3"/>
  <c r="O247" i="3"/>
  <c r="T246" i="3"/>
  <c r="O246" i="3"/>
  <c r="T245" i="3"/>
  <c r="O245" i="3"/>
  <c r="T244" i="3"/>
  <c r="O244" i="3"/>
  <c r="T243" i="3"/>
  <c r="O243" i="3"/>
  <c r="T242" i="3"/>
  <c r="O242" i="3"/>
  <c r="T241" i="3"/>
  <c r="O241" i="3"/>
  <c r="H241" i="3"/>
  <c r="T240" i="3"/>
  <c r="O240" i="3"/>
  <c r="T239" i="3"/>
  <c r="O239" i="3"/>
  <c r="T238" i="3"/>
  <c r="O238" i="3"/>
  <c r="T237" i="3"/>
  <c r="O237" i="3"/>
  <c r="T236" i="3"/>
  <c r="O236" i="3"/>
  <c r="T235" i="3"/>
  <c r="O235" i="3"/>
  <c r="T234" i="3"/>
  <c r="O234" i="3"/>
  <c r="T233" i="3"/>
  <c r="O233" i="3"/>
  <c r="T232" i="3"/>
  <c r="O232" i="3"/>
  <c r="T231" i="3"/>
  <c r="O231" i="3"/>
  <c r="T230" i="3"/>
  <c r="O230" i="3"/>
  <c r="T229" i="3"/>
  <c r="O229" i="3"/>
  <c r="T228" i="3"/>
  <c r="O228" i="3"/>
  <c r="T227" i="3"/>
  <c r="O227" i="3"/>
  <c r="T226" i="3"/>
  <c r="O226" i="3"/>
  <c r="T225" i="3"/>
  <c r="O225" i="3"/>
  <c r="T224" i="3"/>
  <c r="O224" i="3"/>
  <c r="T223" i="3"/>
  <c r="O223" i="3"/>
  <c r="T222" i="3"/>
  <c r="O222" i="3"/>
  <c r="T221" i="3"/>
  <c r="O221" i="3"/>
  <c r="T220" i="3"/>
  <c r="O220" i="3"/>
  <c r="T219" i="3"/>
  <c r="O219" i="3"/>
  <c r="T218" i="3"/>
  <c r="O218" i="3"/>
  <c r="T217" i="3"/>
  <c r="O217" i="3"/>
  <c r="T216" i="3"/>
  <c r="O216" i="3"/>
  <c r="T215" i="3"/>
  <c r="O215" i="3"/>
  <c r="T214" i="3"/>
  <c r="O214" i="3"/>
  <c r="T213" i="3"/>
  <c r="O213" i="3"/>
  <c r="T212" i="3"/>
  <c r="O212" i="3"/>
  <c r="T211" i="3"/>
  <c r="O211" i="3"/>
  <c r="T210" i="3"/>
  <c r="O210" i="3"/>
  <c r="T209" i="3"/>
  <c r="O209" i="3"/>
  <c r="T208" i="3"/>
  <c r="O208" i="3"/>
  <c r="T207" i="3"/>
  <c r="O207" i="3"/>
  <c r="T206" i="3"/>
  <c r="O206" i="3"/>
  <c r="T205" i="3"/>
  <c r="O205" i="3"/>
  <c r="T204" i="3"/>
  <c r="O204" i="3"/>
  <c r="T203" i="3"/>
  <c r="O203" i="3"/>
  <c r="T202" i="3"/>
  <c r="O202" i="3"/>
  <c r="T201" i="3"/>
  <c r="O201" i="3"/>
  <c r="T200" i="3"/>
  <c r="O200" i="3"/>
  <c r="T199" i="3"/>
  <c r="O199" i="3"/>
  <c r="T198" i="3"/>
  <c r="O198" i="3"/>
  <c r="T197" i="3"/>
  <c r="O197" i="3"/>
  <c r="T196" i="3"/>
  <c r="O196" i="3"/>
  <c r="T195" i="3"/>
  <c r="O195" i="3"/>
  <c r="T194" i="3"/>
  <c r="O194" i="3"/>
  <c r="T193" i="3"/>
  <c r="O193" i="3"/>
  <c r="T192" i="3"/>
  <c r="O192" i="3"/>
  <c r="T191" i="3"/>
  <c r="O191" i="3"/>
  <c r="T190" i="3"/>
  <c r="O190" i="3"/>
  <c r="T189" i="3"/>
  <c r="O189" i="3"/>
  <c r="T188" i="3"/>
  <c r="O188" i="3"/>
  <c r="T187" i="3"/>
  <c r="O187" i="3"/>
  <c r="H187" i="3"/>
  <c r="T186" i="3"/>
  <c r="O186" i="3"/>
  <c r="T185" i="3"/>
  <c r="O185" i="3"/>
  <c r="T184" i="3"/>
  <c r="O184" i="3"/>
  <c r="T183" i="3"/>
  <c r="O183" i="3"/>
  <c r="T182" i="3"/>
  <c r="O182" i="3"/>
  <c r="T181" i="3"/>
  <c r="O181" i="3"/>
  <c r="T180" i="3"/>
  <c r="O180" i="3"/>
  <c r="T179" i="3"/>
  <c r="O179" i="3"/>
  <c r="T178" i="3"/>
  <c r="O178" i="3"/>
  <c r="T177" i="3"/>
  <c r="O177" i="3"/>
  <c r="T176" i="3"/>
  <c r="O176" i="3"/>
  <c r="T175" i="3"/>
  <c r="O175" i="3"/>
  <c r="T174" i="3"/>
  <c r="O174" i="3"/>
  <c r="T173" i="3"/>
  <c r="O173" i="3"/>
  <c r="T172" i="3"/>
  <c r="O172" i="3"/>
  <c r="T171" i="3"/>
  <c r="O171" i="3"/>
  <c r="T170" i="3"/>
  <c r="O170" i="3"/>
  <c r="T169" i="3"/>
  <c r="O169" i="3"/>
  <c r="T168" i="3"/>
  <c r="O168" i="3"/>
  <c r="T167" i="3"/>
  <c r="O167" i="3"/>
  <c r="T166" i="3"/>
  <c r="O166" i="3"/>
  <c r="H166" i="3"/>
  <c r="T165" i="3"/>
  <c r="O165" i="3"/>
  <c r="T164" i="3"/>
  <c r="O164" i="3"/>
  <c r="T163" i="3"/>
  <c r="O163" i="3"/>
  <c r="T162" i="3"/>
  <c r="O162" i="3"/>
  <c r="T161" i="3"/>
  <c r="O161" i="3"/>
  <c r="T160" i="3"/>
  <c r="O160" i="3"/>
  <c r="T159" i="3"/>
  <c r="O159" i="3"/>
  <c r="T158" i="3"/>
  <c r="O158" i="3"/>
  <c r="T157" i="3"/>
  <c r="O157" i="3"/>
  <c r="T156" i="3"/>
  <c r="O156" i="3"/>
  <c r="T155" i="3"/>
  <c r="O155" i="3"/>
  <c r="T154" i="3"/>
  <c r="O154" i="3"/>
  <c r="T153" i="3"/>
  <c r="O153" i="3"/>
  <c r="T152" i="3"/>
  <c r="O152" i="3"/>
  <c r="T151" i="3"/>
  <c r="O151" i="3"/>
  <c r="T150" i="3"/>
  <c r="O150" i="3"/>
  <c r="T149" i="3"/>
  <c r="O149" i="3"/>
  <c r="T148" i="3"/>
  <c r="O148" i="3"/>
  <c r="T147" i="3"/>
  <c r="O147" i="3"/>
  <c r="T146" i="3"/>
  <c r="O146" i="3"/>
  <c r="T145" i="3"/>
  <c r="O145" i="3"/>
  <c r="T144" i="3"/>
  <c r="O144" i="3"/>
  <c r="T143" i="3"/>
  <c r="O143" i="3"/>
  <c r="T142" i="3"/>
  <c r="O142" i="3"/>
  <c r="T141" i="3"/>
  <c r="O141" i="3"/>
  <c r="T140" i="3"/>
  <c r="O140" i="3"/>
  <c r="T139" i="3"/>
  <c r="O139" i="3"/>
  <c r="T138" i="3"/>
  <c r="O138" i="3"/>
  <c r="T137" i="3"/>
  <c r="O137" i="3"/>
  <c r="T136" i="3"/>
  <c r="O136" i="3"/>
  <c r="T135" i="3"/>
  <c r="O135" i="3"/>
  <c r="T134" i="3"/>
  <c r="O134" i="3"/>
  <c r="T133" i="3"/>
  <c r="O133" i="3"/>
  <c r="T132" i="3"/>
  <c r="O132" i="3"/>
  <c r="T131" i="3"/>
  <c r="O131" i="3"/>
  <c r="T130" i="3"/>
  <c r="O130" i="3"/>
  <c r="T129" i="3"/>
  <c r="O129" i="3"/>
  <c r="T128" i="3"/>
  <c r="O128" i="3"/>
  <c r="T127" i="3"/>
  <c r="O127" i="3"/>
  <c r="T126" i="3"/>
  <c r="O126" i="3"/>
  <c r="T125" i="3"/>
  <c r="O125" i="3"/>
  <c r="T124" i="3"/>
  <c r="O124" i="3"/>
  <c r="T123" i="3"/>
  <c r="O123" i="3"/>
  <c r="T122" i="3"/>
  <c r="O122" i="3"/>
  <c r="T121" i="3"/>
  <c r="O121" i="3"/>
  <c r="T120" i="3"/>
  <c r="O120" i="3"/>
  <c r="T119" i="3"/>
  <c r="O119" i="3"/>
  <c r="T118" i="3"/>
  <c r="O118" i="3"/>
  <c r="T117" i="3"/>
  <c r="O117" i="3"/>
  <c r="T116" i="3"/>
  <c r="O116" i="3"/>
  <c r="T115" i="3"/>
  <c r="O115" i="3"/>
  <c r="T114" i="3"/>
  <c r="O114" i="3"/>
  <c r="T113" i="3"/>
  <c r="O113" i="3"/>
  <c r="T112" i="3"/>
  <c r="O112" i="3"/>
  <c r="T111" i="3"/>
  <c r="O111" i="3"/>
  <c r="T110" i="3"/>
  <c r="O110" i="3"/>
  <c r="T109" i="3"/>
  <c r="O109" i="3"/>
  <c r="T108" i="3"/>
  <c r="O108" i="3"/>
  <c r="T107" i="3"/>
  <c r="O107" i="3"/>
  <c r="T106" i="3"/>
  <c r="O106" i="3"/>
  <c r="T105" i="3"/>
  <c r="O105" i="3"/>
  <c r="T104" i="3"/>
  <c r="O104" i="3"/>
  <c r="T103" i="3"/>
  <c r="O103" i="3"/>
  <c r="T102" i="3"/>
  <c r="O102" i="3"/>
  <c r="T101" i="3"/>
  <c r="O101" i="3"/>
  <c r="T100" i="3"/>
  <c r="O100" i="3"/>
  <c r="T99" i="3"/>
  <c r="O99" i="3"/>
  <c r="T98" i="3"/>
  <c r="O98" i="3"/>
  <c r="T97" i="3"/>
  <c r="O97" i="3"/>
  <c r="T96" i="3"/>
  <c r="O96" i="3"/>
  <c r="T95" i="3"/>
  <c r="O95" i="3"/>
  <c r="T94" i="3"/>
  <c r="O94" i="3"/>
  <c r="T93" i="3"/>
  <c r="O93" i="3"/>
  <c r="T92" i="3"/>
  <c r="O92" i="3"/>
  <c r="T91" i="3"/>
  <c r="O91" i="3"/>
  <c r="T90" i="3"/>
  <c r="O90" i="3"/>
  <c r="T89" i="3"/>
  <c r="O89" i="3"/>
  <c r="T88" i="3"/>
  <c r="O88" i="3"/>
  <c r="T87" i="3"/>
  <c r="O87" i="3"/>
  <c r="T86" i="3"/>
  <c r="O86" i="3"/>
  <c r="T85" i="3"/>
  <c r="O85" i="3"/>
  <c r="T84" i="3"/>
  <c r="O84" i="3"/>
  <c r="T83" i="3"/>
  <c r="O83" i="3"/>
  <c r="T82" i="3"/>
  <c r="O82" i="3"/>
  <c r="T81" i="3"/>
  <c r="O81" i="3"/>
  <c r="T80" i="3"/>
  <c r="O80" i="3"/>
  <c r="T79" i="3"/>
  <c r="O79" i="3"/>
  <c r="T78" i="3"/>
  <c r="O78" i="3"/>
  <c r="T77" i="3"/>
  <c r="O77" i="3"/>
  <c r="T76" i="3"/>
  <c r="O76" i="3"/>
  <c r="T75" i="3"/>
  <c r="O75" i="3"/>
  <c r="T74" i="3"/>
  <c r="O74" i="3"/>
  <c r="T73" i="3"/>
  <c r="O73" i="3"/>
  <c r="T72" i="3"/>
  <c r="O72" i="3"/>
  <c r="T71" i="3"/>
  <c r="O71" i="3"/>
  <c r="T70" i="3"/>
  <c r="O70" i="3"/>
  <c r="T69" i="3"/>
  <c r="O69" i="3"/>
  <c r="T68" i="3"/>
  <c r="O68" i="3"/>
  <c r="T67" i="3"/>
  <c r="O67" i="3"/>
  <c r="T66" i="3"/>
  <c r="O66" i="3"/>
  <c r="T65" i="3"/>
  <c r="O65" i="3"/>
  <c r="T64" i="3"/>
  <c r="O64" i="3"/>
  <c r="T63" i="3"/>
  <c r="O63" i="3"/>
  <c r="T62" i="3"/>
  <c r="O62" i="3"/>
  <c r="T61" i="3"/>
  <c r="O61" i="3"/>
  <c r="T60" i="3"/>
  <c r="O60" i="3"/>
  <c r="T59" i="3"/>
  <c r="O59" i="3"/>
  <c r="T58" i="3"/>
  <c r="O58" i="3"/>
  <c r="T57" i="3"/>
  <c r="O57" i="3"/>
  <c r="T56" i="3"/>
  <c r="O56" i="3"/>
  <c r="T55" i="3"/>
  <c r="O55" i="3"/>
  <c r="T54" i="3"/>
  <c r="O54" i="3"/>
  <c r="T53" i="3"/>
  <c r="O53" i="3"/>
  <c r="T52" i="3"/>
  <c r="O52" i="3"/>
  <c r="T51" i="3"/>
  <c r="O51" i="3"/>
  <c r="T50" i="3"/>
  <c r="O50" i="3"/>
  <c r="T49" i="3"/>
  <c r="O49" i="3"/>
  <c r="T48" i="3"/>
  <c r="O48" i="3"/>
  <c r="T47" i="3"/>
  <c r="O47" i="3"/>
  <c r="T46" i="3"/>
  <c r="O46" i="3"/>
  <c r="T45" i="3"/>
  <c r="O45" i="3"/>
  <c r="T44" i="3"/>
  <c r="O44" i="3"/>
  <c r="T43" i="3"/>
  <c r="O43" i="3"/>
  <c r="T42" i="3"/>
  <c r="O42" i="3"/>
  <c r="T41" i="3"/>
  <c r="O41" i="3"/>
  <c r="T40" i="3"/>
  <c r="O40" i="3"/>
  <c r="T39" i="3"/>
  <c r="O39" i="3"/>
  <c r="T38" i="3"/>
  <c r="O38" i="3"/>
  <c r="T37" i="3"/>
  <c r="O37" i="3"/>
  <c r="T36" i="3"/>
  <c r="O36" i="3"/>
  <c r="T35" i="3"/>
  <c r="O35" i="3"/>
  <c r="T34" i="3"/>
  <c r="O34" i="3"/>
  <c r="T33" i="3"/>
  <c r="O33" i="3"/>
  <c r="T32" i="3"/>
  <c r="O32" i="3"/>
  <c r="T31" i="3"/>
  <c r="O31" i="3"/>
  <c r="T30" i="3"/>
  <c r="O30" i="3"/>
  <c r="T29" i="3"/>
  <c r="O29" i="3"/>
  <c r="T28" i="3"/>
  <c r="O28" i="3"/>
  <c r="T27" i="3"/>
  <c r="O27" i="3"/>
  <c r="T26" i="3"/>
  <c r="O26" i="3"/>
  <c r="T25" i="3"/>
  <c r="O25" i="3"/>
  <c r="T24" i="3"/>
  <c r="O24" i="3"/>
  <c r="T23" i="3"/>
  <c r="O23" i="3"/>
  <c r="T22" i="3"/>
  <c r="O22" i="3"/>
  <c r="T21" i="3"/>
  <c r="O21" i="3"/>
  <c r="T20" i="3"/>
  <c r="O20" i="3"/>
  <c r="T19" i="3"/>
  <c r="O19" i="3"/>
  <c r="T18" i="3"/>
  <c r="O18" i="3"/>
  <c r="T17" i="3"/>
  <c r="O17" i="3"/>
  <c r="T16" i="3"/>
  <c r="O16" i="3"/>
  <c r="T15" i="3"/>
  <c r="O15" i="3"/>
  <c r="T14" i="3"/>
  <c r="O14" i="3"/>
  <c r="T13" i="3"/>
  <c r="O13" i="3"/>
  <c r="T12" i="3"/>
  <c r="O12" i="3"/>
  <c r="T11" i="3"/>
  <c r="O11" i="3"/>
  <c r="T10" i="3"/>
  <c r="O10" i="3"/>
  <c r="T9" i="3"/>
  <c r="O9" i="3"/>
  <c r="T8" i="3"/>
  <c r="O8" i="3"/>
  <c r="T7" i="3"/>
  <c r="O7" i="3"/>
  <c r="T6" i="3"/>
  <c r="O6" i="3"/>
  <c r="T5" i="3"/>
  <c r="O5" i="3"/>
  <c r="T4" i="3"/>
  <c r="O4" i="3"/>
  <c r="T3" i="3"/>
  <c r="O3" i="3"/>
  <c r="T2" i="3"/>
  <c r="O2"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jiangdian song</author>
    <author>Administrator</author>
    <author>Hym</author>
    <author>www</author>
  </authors>
  <commentList>
    <comment ref="A1" authorId="0" shapeId="0" xr:uid="{9F0181E2-94A1-494A-B72D-41AEB2E630C7}">
      <text>
        <r>
          <rPr>
            <b/>
            <sz val="9"/>
            <color indexed="81"/>
            <rFont val="宋体"/>
            <family val="3"/>
            <charset val="134"/>
          </rPr>
          <t>jiangdian song:</t>
        </r>
        <r>
          <rPr>
            <sz val="9"/>
            <color indexed="81"/>
            <rFont val="宋体"/>
            <family val="3"/>
            <charset val="134"/>
          </rPr>
          <t xml:space="preserve">
红字2021年发表，蓝底review,蓝黑色表示与医学无关</t>
        </r>
        <r>
          <rPr>
            <sz val="9"/>
            <color indexed="81"/>
            <rFont val="宋体"/>
            <family val="3"/>
            <charset val="134"/>
          </rPr>
          <t>,绿色没全文</t>
        </r>
        <r>
          <rPr>
            <sz val="9"/>
            <color indexed="81"/>
            <rFont val="宋体"/>
            <family val="3"/>
            <charset val="134"/>
          </rPr>
          <t xml:space="preserve">
</t>
        </r>
      </text>
    </comment>
    <comment ref="C1" authorId="0" shapeId="0" xr:uid="{6B4EC36E-BF45-43ED-8DB1-A3E8E327AE2A}">
      <text>
        <r>
          <rPr>
            <b/>
            <sz val="9"/>
            <color indexed="81"/>
            <rFont val="宋体"/>
            <family val="3"/>
            <charset val="134"/>
          </rPr>
          <t>jiangdian song:</t>
        </r>
        <r>
          <rPr>
            <sz val="9"/>
            <color indexed="81"/>
            <rFont val="宋体"/>
            <family val="3"/>
            <charset val="134"/>
          </rPr>
          <t xml:space="preserve">
蓝底是综述
</t>
        </r>
      </text>
    </comment>
    <comment ref="H1" authorId="0" shapeId="0" xr:uid="{5654F278-A03E-4A83-8133-CBC53CB96D69}">
      <text>
        <r>
          <rPr>
            <b/>
            <sz val="9"/>
            <color indexed="81"/>
            <rFont val="宋体"/>
            <family val="3"/>
            <charset val="134"/>
          </rPr>
          <t>jiangdian song:</t>
        </r>
        <r>
          <rPr>
            <sz val="9"/>
            <color indexed="81"/>
            <rFont val="宋体"/>
            <family val="3"/>
            <charset val="134"/>
          </rPr>
          <t xml:space="preserve">
有些症状不确定属于哪一类，比如多发性硬化，看introduction里是否提及具体哪个部位的疾病</t>
        </r>
      </text>
    </comment>
    <comment ref="L1" authorId="0" shapeId="0" xr:uid="{D631AE2F-4A5A-46B9-A6CC-D0295772C96D}">
      <text>
        <r>
          <rPr>
            <b/>
            <sz val="9"/>
            <color indexed="81"/>
            <rFont val="宋体"/>
            <family val="3"/>
            <charset val="134"/>
          </rPr>
          <t>jiangdian song:</t>
        </r>
        <r>
          <rPr>
            <sz val="9"/>
            <color indexed="81"/>
            <rFont val="宋体"/>
            <family val="3"/>
            <charset val="134"/>
          </rPr>
          <t xml:space="preserve">
segmentation</t>
        </r>
        <r>
          <rPr>
            <sz val="9"/>
            <color indexed="81"/>
            <rFont val="宋体"/>
            <family val="3"/>
            <charset val="134"/>
          </rPr>
          <t>/classification</t>
        </r>
        <r>
          <rPr>
            <sz val="9"/>
            <color indexed="81"/>
            <rFont val="宋体"/>
            <family val="3"/>
            <charset val="134"/>
          </rPr>
          <t>=annotation</t>
        </r>
        <r>
          <rPr>
            <sz val="9"/>
            <color indexed="81"/>
            <rFont val="宋体"/>
            <family val="3"/>
            <charset val="134"/>
          </rPr>
          <t>/detection/identification、diagnose</t>
        </r>
        <r>
          <rPr>
            <sz val="9"/>
            <color indexed="81"/>
            <rFont val="宋体"/>
            <family val="3"/>
            <charset val="134"/>
          </rPr>
          <t>属于</t>
        </r>
        <r>
          <rPr>
            <sz val="9"/>
            <color indexed="81"/>
            <rFont val="宋体"/>
            <family val="3"/>
            <charset val="134"/>
          </rPr>
          <t>characterization</t>
        </r>
        <r>
          <rPr>
            <sz val="9"/>
            <color indexed="81"/>
            <rFont val="宋体"/>
            <family val="3"/>
            <charset val="134"/>
          </rPr>
          <t>;</t>
        </r>
        <r>
          <rPr>
            <sz val="9"/>
            <color indexed="81"/>
            <rFont val="宋体"/>
            <family val="3"/>
            <charset val="134"/>
          </rPr>
          <t>denoising,registration/reconstruction属于presrocessing</t>
        </r>
        <r>
          <rPr>
            <sz val="9"/>
            <color indexed="81"/>
            <rFont val="宋体"/>
            <family val="3"/>
            <charset val="134"/>
          </rPr>
          <t xml:space="preserve">
各个特征词之间用英文逗号分隔</t>
        </r>
      </text>
    </comment>
    <comment ref="N1" authorId="1" shapeId="0" xr:uid="{9007A27C-5EEB-4330-9DD4-821C20C7A445}">
      <text>
        <r>
          <rPr>
            <b/>
            <sz val="9"/>
            <color indexed="81"/>
            <rFont val="宋体"/>
            <family val="3"/>
            <charset val="134"/>
          </rPr>
          <t>Administrator:文献中所用的数据单位是“患者数”还是“图像数”</t>
        </r>
      </text>
    </comment>
    <comment ref="O1" authorId="1" shapeId="0" xr:uid="{217A93B3-1F67-47B6-814B-DBAA8FB62327}">
      <text>
        <r>
          <rPr>
            <b/>
            <sz val="9"/>
            <color indexed="81"/>
            <rFont val="宋体"/>
            <family val="3"/>
            <charset val="134"/>
          </rPr>
          <t>Administrator:</t>
        </r>
        <r>
          <rPr>
            <sz val="9"/>
            <color indexed="81"/>
            <rFont val="宋体"/>
            <family val="3"/>
            <charset val="134"/>
          </rPr>
          <t xml:space="preserve">
文献中的实验样本实际是来自一个数据中心还是多个</t>
        </r>
      </text>
    </comment>
    <comment ref="J1273" authorId="2" shapeId="0" xr:uid="{CD3108D5-0314-4872-92F5-ABE663F44DA4}">
      <text>
        <r>
          <rPr>
            <b/>
            <sz val="9"/>
            <color indexed="81"/>
            <rFont val="宋体"/>
            <family val="3"/>
            <charset val="134"/>
          </rPr>
          <t>Hym:</t>
        </r>
        <r>
          <rPr>
            <sz val="9"/>
            <color indexed="81"/>
            <rFont val="宋体"/>
            <family val="3"/>
            <charset val="134"/>
          </rPr>
          <t xml:space="preserve">
Regnet</t>
        </r>
      </text>
    </comment>
    <comment ref="G2626" authorId="3" shapeId="0" xr:uid="{D67535A2-3B16-4946-A608-04BDA8F6EE05}">
      <text>
        <r>
          <rPr>
            <b/>
            <sz val="9"/>
            <rFont val="宋体"/>
            <family val="3"/>
            <charset val="134"/>
          </rPr>
          <t>www:</t>
        </r>
        <r>
          <rPr>
            <sz val="9"/>
            <rFont val="宋体"/>
            <family val="3"/>
            <charset val="134"/>
          </rPr>
          <t xml:space="preserve">
骨科</t>
        </r>
      </text>
    </comment>
    <comment ref="H2683" authorId="3" shapeId="0" xr:uid="{10F98825-EBF0-44B5-A7B1-4CC2828E525F}">
      <text>
        <r>
          <rPr>
            <b/>
            <sz val="9"/>
            <rFont val="宋体"/>
            <family val="3"/>
            <charset val="134"/>
          </rPr>
          <t>www:</t>
        </r>
        <r>
          <rPr>
            <sz val="9"/>
            <rFont val="宋体"/>
            <family val="3"/>
            <charset val="134"/>
          </rPr>
          <t xml:space="preserve">
tooth</t>
        </r>
      </text>
    </comment>
    <comment ref="I2683" authorId="3" shapeId="0" xr:uid="{3062B460-441C-4E5F-8AFC-1C27787030DB}">
      <text>
        <r>
          <rPr>
            <b/>
            <sz val="9"/>
            <rFont val="宋体"/>
            <family val="3"/>
            <charset val="134"/>
          </rPr>
          <t>www:</t>
        </r>
        <r>
          <rPr>
            <sz val="9"/>
            <rFont val="宋体"/>
            <family val="3"/>
            <charset val="134"/>
          </rPr>
          <t xml:space="preserve">
CBCT</t>
        </r>
      </text>
    </comment>
    <comment ref="N2703" authorId="3" shapeId="0" xr:uid="{422AD814-990D-4303-B2F5-924FF82590BA}">
      <text>
        <r>
          <rPr>
            <b/>
            <sz val="9"/>
            <rFont val="宋体"/>
            <family val="3"/>
            <charset val="134"/>
          </rPr>
          <t>www:</t>
        </r>
        <r>
          <rPr>
            <sz val="9"/>
            <rFont val="宋体"/>
            <family val="3"/>
            <charset val="134"/>
          </rPr>
          <t xml:space="preserve">
4417videos用于训练
2739images用于测试</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jiangdian song</author>
    <author>Administrator</author>
    <author>Hym</author>
    <author>www</author>
    <author>Han</author>
  </authors>
  <commentList>
    <comment ref="A1" authorId="0" shapeId="0" xr:uid="{D59E2638-0677-4979-B6C6-07C5A26AFCCD}">
      <text>
        <r>
          <rPr>
            <b/>
            <sz val="9"/>
            <color indexed="81"/>
            <rFont val="宋体"/>
            <family val="3"/>
            <charset val="134"/>
          </rPr>
          <t>jiangdian song:</t>
        </r>
        <r>
          <rPr>
            <sz val="9"/>
            <color indexed="81"/>
            <rFont val="宋体"/>
            <family val="3"/>
            <charset val="134"/>
          </rPr>
          <t xml:space="preserve">
红字2021年发表，蓝底review,蓝黑色表示与医学无关</t>
        </r>
        <r>
          <rPr>
            <sz val="9"/>
            <color indexed="81"/>
            <rFont val="宋体"/>
            <family val="3"/>
            <charset val="134"/>
          </rPr>
          <t>,绿色没全文</t>
        </r>
        <r>
          <rPr>
            <sz val="9"/>
            <color indexed="81"/>
            <rFont val="宋体"/>
            <family val="3"/>
            <charset val="134"/>
          </rPr>
          <t xml:space="preserve">
</t>
        </r>
      </text>
    </comment>
    <comment ref="D1" authorId="0" shapeId="0" xr:uid="{92280273-3DAD-4E41-8E1E-0FE64B05E112}">
      <text>
        <r>
          <rPr>
            <b/>
            <sz val="9"/>
            <color indexed="81"/>
            <rFont val="宋体"/>
            <family val="3"/>
            <charset val="134"/>
          </rPr>
          <t>jiangdian song:</t>
        </r>
        <r>
          <rPr>
            <sz val="9"/>
            <color indexed="81"/>
            <rFont val="宋体"/>
            <family val="3"/>
            <charset val="134"/>
          </rPr>
          <t xml:space="preserve">
蓝底是综述
</t>
        </r>
      </text>
    </comment>
    <comment ref="I1" authorId="0" shapeId="0" xr:uid="{B7437205-E2B2-477C-A76E-ABEFCF8F054A}">
      <text>
        <r>
          <rPr>
            <b/>
            <sz val="9"/>
            <color indexed="81"/>
            <rFont val="宋体"/>
            <family val="3"/>
            <charset val="134"/>
          </rPr>
          <t>jiangdian song:</t>
        </r>
        <r>
          <rPr>
            <sz val="9"/>
            <color indexed="81"/>
            <rFont val="宋体"/>
            <family val="3"/>
            <charset val="134"/>
          </rPr>
          <t xml:space="preserve">
有些症状不确定属于哪一类，比如多发性硬化，看introduction里是否提及具体哪个部位的疾病</t>
        </r>
      </text>
    </comment>
    <comment ref="L1" authorId="0" shapeId="0" xr:uid="{7614D1F0-98FD-44B8-80CC-D174B57DBEC9}">
      <text>
        <r>
          <rPr>
            <b/>
            <sz val="9"/>
            <color indexed="81"/>
            <rFont val="宋体"/>
            <family val="3"/>
            <charset val="134"/>
          </rPr>
          <t>jiangdian song:</t>
        </r>
        <r>
          <rPr>
            <sz val="9"/>
            <color indexed="81"/>
            <rFont val="宋体"/>
            <family val="3"/>
            <charset val="134"/>
          </rPr>
          <t xml:space="preserve">
segmentation</t>
        </r>
        <r>
          <rPr>
            <sz val="9"/>
            <color indexed="81"/>
            <rFont val="宋体"/>
            <family val="3"/>
            <charset val="134"/>
          </rPr>
          <t>/classification</t>
        </r>
        <r>
          <rPr>
            <sz val="9"/>
            <color indexed="81"/>
            <rFont val="宋体"/>
            <family val="3"/>
            <charset val="134"/>
          </rPr>
          <t>=annotation</t>
        </r>
        <r>
          <rPr>
            <sz val="9"/>
            <color indexed="81"/>
            <rFont val="宋体"/>
            <family val="3"/>
            <charset val="134"/>
          </rPr>
          <t>/detection/identification、diagnose</t>
        </r>
        <r>
          <rPr>
            <sz val="9"/>
            <color indexed="81"/>
            <rFont val="宋体"/>
            <family val="3"/>
            <charset val="134"/>
          </rPr>
          <t>属于</t>
        </r>
        <r>
          <rPr>
            <sz val="9"/>
            <color indexed="81"/>
            <rFont val="宋体"/>
            <family val="3"/>
            <charset val="134"/>
          </rPr>
          <t>characterization</t>
        </r>
        <r>
          <rPr>
            <sz val="9"/>
            <color indexed="81"/>
            <rFont val="宋体"/>
            <family val="3"/>
            <charset val="134"/>
          </rPr>
          <t>;</t>
        </r>
        <r>
          <rPr>
            <sz val="9"/>
            <color indexed="81"/>
            <rFont val="宋体"/>
            <family val="3"/>
            <charset val="134"/>
          </rPr>
          <t>denoising,registration/reconstruction属于presrocessing</t>
        </r>
        <r>
          <rPr>
            <sz val="9"/>
            <color indexed="81"/>
            <rFont val="宋体"/>
            <family val="3"/>
            <charset val="134"/>
          </rPr>
          <t xml:space="preserve">
各个特征词之间用英文逗号分隔</t>
        </r>
      </text>
    </comment>
    <comment ref="N1" authorId="1" shapeId="0" xr:uid="{8171B89D-B769-4592-9BC3-4CF663C90702}">
      <text>
        <r>
          <rPr>
            <b/>
            <sz val="9"/>
            <color indexed="81"/>
            <rFont val="宋体"/>
            <family val="3"/>
            <charset val="134"/>
          </rPr>
          <t>Administrator:文献中所用的数据单位是“患者数”还是“图像数”</t>
        </r>
      </text>
    </comment>
    <comment ref="O1" authorId="1" shapeId="0" xr:uid="{F64079BE-B500-4D40-90EC-7E803A6A6F4D}">
      <text>
        <r>
          <rPr>
            <b/>
            <sz val="9"/>
            <color indexed="81"/>
            <rFont val="宋体"/>
            <family val="3"/>
            <charset val="134"/>
          </rPr>
          <t>Administrator:</t>
        </r>
        <r>
          <rPr>
            <sz val="9"/>
            <color indexed="81"/>
            <rFont val="宋体"/>
            <family val="3"/>
            <charset val="134"/>
          </rPr>
          <t xml:space="preserve">
文献中的实验样本实际是来自一个数据中心还是多个</t>
        </r>
      </text>
    </comment>
    <comment ref="P1" authorId="0" shapeId="0" xr:uid="{2EC5561F-AE9A-40B4-A2C0-BE816DE874D5}">
      <text>
        <r>
          <rPr>
            <b/>
            <sz val="9"/>
            <color indexed="81"/>
            <rFont val="宋体"/>
            <family val="3"/>
            <charset val="134"/>
          </rPr>
          <t>jiangdian song:</t>
        </r>
        <r>
          <rPr>
            <sz val="9"/>
            <color indexed="81"/>
            <rFont val="宋体"/>
            <family val="3"/>
            <charset val="134"/>
          </rPr>
          <t xml:space="preserve">
基本上这个领域以回顾性为主，若文献中出现</t>
        </r>
        <r>
          <rPr>
            <sz val="9"/>
            <color indexed="81"/>
            <rFont val="宋体"/>
            <family val="3"/>
            <charset val="134"/>
          </rPr>
          <t>prospective这个词，需仔细查看是否为前瞻性的</t>
        </r>
      </text>
    </comment>
    <comment ref="Q1" authorId="0" shapeId="0" xr:uid="{2F95EC50-C6AE-45D2-8A48-2865947AD529}">
      <text>
        <r>
          <rPr>
            <b/>
            <sz val="9"/>
            <color indexed="81"/>
            <rFont val="宋体"/>
            <family val="3"/>
            <charset val="134"/>
          </rPr>
          <t>jiangdian song:</t>
        </r>
        <r>
          <rPr>
            <sz val="9"/>
            <color indexed="81"/>
            <rFont val="宋体"/>
            <family val="3"/>
            <charset val="134"/>
          </rPr>
          <t xml:space="preserve">
材料和方法中最后一个小标题</t>
        </r>
      </text>
    </comment>
    <comment ref="S1" authorId="1" shapeId="0" xr:uid="{473B9BFE-8A1E-48D2-9B90-3D3C45D53846}">
      <text>
        <r>
          <rPr>
            <b/>
            <sz val="9"/>
            <color indexed="81"/>
            <rFont val="宋体"/>
            <family val="3"/>
            <charset val="134"/>
          </rPr>
          <t>Administrator:</t>
        </r>
        <r>
          <rPr>
            <sz val="9"/>
            <color indexed="81"/>
            <rFont val="宋体"/>
            <family val="3"/>
            <charset val="134"/>
          </rPr>
          <t xml:space="preserve">
根据前一列的数据填写</t>
        </r>
      </text>
    </comment>
    <comment ref="T1" authorId="1" shapeId="0" xr:uid="{26A603BF-D349-4C40-ABDB-10F817692083}">
      <text>
        <r>
          <rPr>
            <b/>
            <sz val="9"/>
            <color indexed="81"/>
            <rFont val="宋体"/>
            <family val="3"/>
            <charset val="134"/>
          </rPr>
          <t>Administrator:</t>
        </r>
        <r>
          <rPr>
            <sz val="9"/>
            <color indexed="81"/>
            <rFont val="宋体"/>
            <family val="3"/>
            <charset val="134"/>
          </rPr>
          <t xml:space="preserve">
如果公式带出来的不是国家，根据T列手动改一下</t>
        </r>
      </text>
    </comment>
    <comment ref="A19" authorId="2" shapeId="0" xr:uid="{B87FBCE3-66B1-428E-9D5C-5DE03EB5F568}">
      <text>
        <r>
          <rPr>
            <b/>
            <sz val="9"/>
            <color indexed="81"/>
            <rFont val="宋体"/>
            <family val="3"/>
            <charset val="134"/>
          </rPr>
          <t>Hym:</t>
        </r>
        <r>
          <rPr>
            <sz val="9"/>
            <color indexed="81"/>
            <rFont val="宋体"/>
            <family val="3"/>
            <charset val="134"/>
          </rPr>
          <t xml:space="preserve">
mi</t>
        </r>
      </text>
    </comment>
    <comment ref="A21" authorId="2" shapeId="0" xr:uid="{98CBA568-065F-4D86-B78F-8EAC4F2D621E}">
      <text>
        <r>
          <rPr>
            <b/>
            <sz val="9"/>
            <color indexed="81"/>
            <rFont val="宋体"/>
            <family val="3"/>
            <charset val="134"/>
          </rPr>
          <t>Hym:</t>
        </r>
        <r>
          <rPr>
            <sz val="9"/>
            <color indexed="81"/>
            <rFont val="宋体"/>
            <family val="3"/>
            <charset val="134"/>
          </rPr>
          <t xml:space="preserve">
语言</t>
        </r>
      </text>
    </comment>
    <comment ref="A36" authorId="0" shapeId="0" xr:uid="{DDCCCA7D-DFD9-406B-892D-2D6A671E5836}">
      <text>
        <r>
          <rPr>
            <b/>
            <sz val="9"/>
            <color indexed="81"/>
            <rFont val="宋体"/>
            <family val="3"/>
            <charset val="134"/>
          </rPr>
          <t>jiangdian song:</t>
        </r>
        <r>
          <rPr>
            <sz val="9"/>
            <color indexed="81"/>
            <rFont val="宋体"/>
            <family val="3"/>
            <charset val="134"/>
          </rPr>
          <t xml:space="preserve">
会议</t>
        </r>
      </text>
    </comment>
    <comment ref="A81" authorId="2" shapeId="0" xr:uid="{4DA1B96E-B59C-42D1-899F-2738232D2DB3}">
      <text>
        <r>
          <rPr>
            <b/>
            <sz val="9"/>
            <color indexed="81"/>
            <rFont val="宋体"/>
            <family val="3"/>
            <charset val="134"/>
          </rPr>
          <t>Hym:</t>
        </r>
        <r>
          <rPr>
            <sz val="9"/>
            <color indexed="81"/>
            <rFont val="宋体"/>
            <family val="3"/>
            <charset val="134"/>
          </rPr>
          <t xml:space="preserve">
DL</t>
        </r>
      </text>
    </comment>
    <comment ref="A214" authorId="0" shapeId="0" xr:uid="{0CCDE861-5713-4F9A-84E1-2B1D044AE25D}">
      <text>
        <r>
          <rPr>
            <b/>
            <sz val="9"/>
            <color indexed="81"/>
            <rFont val="宋体"/>
            <family val="3"/>
            <charset val="134"/>
          </rPr>
          <t>jiangdian song:</t>
        </r>
        <r>
          <rPr>
            <sz val="9"/>
            <color indexed="81"/>
            <rFont val="宋体"/>
            <family val="3"/>
            <charset val="134"/>
          </rPr>
          <t xml:space="preserve">
德语</t>
        </r>
      </text>
    </comment>
    <comment ref="A268" authorId="0" shapeId="0" xr:uid="{C8522875-4D77-48D4-ADEF-E52E08A1383C}">
      <text>
        <r>
          <rPr>
            <b/>
            <sz val="9"/>
            <color indexed="81"/>
            <rFont val="宋体"/>
            <family val="3"/>
            <charset val="134"/>
          </rPr>
          <t>jiangdian song:</t>
        </r>
        <r>
          <rPr>
            <sz val="9"/>
            <color indexed="81"/>
            <rFont val="宋体"/>
            <family val="3"/>
            <charset val="134"/>
          </rPr>
          <t xml:space="preserve">
植物</t>
        </r>
      </text>
    </comment>
    <comment ref="A281" authorId="0" shapeId="0" xr:uid="{E0FB3E4E-ECC4-44D9-94CD-AB988ABEA193}">
      <text>
        <r>
          <rPr>
            <b/>
            <sz val="9"/>
            <color indexed="81"/>
            <rFont val="宋体"/>
            <family val="3"/>
            <charset val="134"/>
          </rPr>
          <t>jiangdian song:</t>
        </r>
        <r>
          <rPr>
            <sz val="9"/>
            <color indexed="81"/>
            <rFont val="宋体"/>
            <family val="3"/>
            <charset val="134"/>
          </rPr>
          <t xml:space="preserve">
无关DL</t>
        </r>
      </text>
    </comment>
    <comment ref="A296" authorId="0" shapeId="0" xr:uid="{61C8B501-57AB-4111-9104-FD5192EE82CB}">
      <text>
        <r>
          <rPr>
            <b/>
            <sz val="9"/>
            <color indexed="81"/>
            <rFont val="宋体"/>
            <family val="3"/>
            <charset val="134"/>
          </rPr>
          <t>jiangdian song:</t>
        </r>
        <r>
          <rPr>
            <sz val="9"/>
            <color indexed="81"/>
            <rFont val="宋体"/>
            <family val="3"/>
            <charset val="134"/>
          </rPr>
          <t xml:space="preserve">
无关DL，MI</t>
        </r>
      </text>
    </comment>
    <comment ref="A301" authorId="0" shapeId="0" xr:uid="{8D60D5F2-F2DD-4A6D-A369-3180E18AE982}">
      <text>
        <r>
          <rPr>
            <b/>
            <sz val="9"/>
            <color indexed="81"/>
            <rFont val="宋体"/>
            <family val="3"/>
            <charset val="134"/>
          </rPr>
          <t>jiangdian song:</t>
        </r>
        <r>
          <rPr>
            <sz val="9"/>
            <color indexed="81"/>
            <rFont val="宋体"/>
            <family val="3"/>
            <charset val="134"/>
          </rPr>
          <t xml:space="preserve">
会议</t>
        </r>
      </text>
    </comment>
    <comment ref="A308" authorId="0" shapeId="0" xr:uid="{E20FADE7-E002-41B2-A045-C561707A43CD}">
      <text>
        <r>
          <rPr>
            <b/>
            <sz val="9"/>
            <color indexed="81"/>
            <rFont val="宋体"/>
            <family val="3"/>
            <charset val="134"/>
          </rPr>
          <t>jiangdian song:</t>
        </r>
        <r>
          <rPr>
            <sz val="9"/>
            <color indexed="81"/>
            <rFont val="宋体"/>
            <family val="3"/>
            <charset val="134"/>
          </rPr>
          <t xml:space="preserve">
duplicated study
</t>
        </r>
      </text>
    </comment>
    <comment ref="A323" authorId="0" shapeId="0" xr:uid="{C1B92563-E8F9-4ED8-BB9A-785DC1D15A79}">
      <text>
        <r>
          <rPr>
            <b/>
            <sz val="9"/>
            <color indexed="81"/>
            <rFont val="宋体"/>
            <family val="3"/>
            <charset val="134"/>
          </rPr>
          <t>jiangdian song:</t>
        </r>
        <r>
          <rPr>
            <sz val="9"/>
            <color indexed="81"/>
            <rFont val="宋体"/>
            <family val="3"/>
            <charset val="134"/>
          </rPr>
          <t xml:space="preserve">
review</t>
        </r>
      </text>
    </comment>
    <comment ref="A348" authorId="0" shapeId="0" xr:uid="{87F0117A-4F82-4846-A565-0DF1F12621C0}">
      <text>
        <r>
          <rPr>
            <b/>
            <sz val="9"/>
            <color indexed="81"/>
            <rFont val="宋体"/>
            <family val="3"/>
            <charset val="134"/>
          </rPr>
          <t>jiangdian song:</t>
        </r>
        <r>
          <rPr>
            <sz val="9"/>
            <color indexed="81"/>
            <rFont val="宋体"/>
            <family val="3"/>
            <charset val="134"/>
          </rPr>
          <t xml:space="preserve">
无关医学</t>
        </r>
      </text>
    </comment>
    <comment ref="A349" authorId="0" shapeId="0" xr:uid="{6E90E691-A37D-455F-AD14-7822063ED5CE}">
      <text>
        <r>
          <rPr>
            <b/>
            <sz val="9"/>
            <color indexed="81"/>
            <rFont val="宋体"/>
            <family val="3"/>
            <charset val="134"/>
          </rPr>
          <t>jiangdian song:</t>
        </r>
        <r>
          <rPr>
            <sz val="9"/>
            <color indexed="81"/>
            <rFont val="宋体"/>
            <family val="3"/>
            <charset val="134"/>
          </rPr>
          <t xml:space="preserve">
没有研究DL</t>
        </r>
      </text>
    </comment>
    <comment ref="A357" authorId="0" shapeId="0" xr:uid="{53A83B66-42D0-4886-8247-AE225C9D5F95}">
      <text>
        <r>
          <rPr>
            <b/>
            <sz val="9"/>
            <color indexed="81"/>
            <rFont val="宋体"/>
            <family val="3"/>
            <charset val="134"/>
          </rPr>
          <t>jiangdian song:</t>
        </r>
        <r>
          <rPr>
            <sz val="9"/>
            <color indexed="81"/>
            <rFont val="宋体"/>
            <family val="3"/>
            <charset val="134"/>
          </rPr>
          <t xml:space="preserve">
不是医学，生物学</t>
        </r>
      </text>
    </comment>
    <comment ref="A384" authorId="0" shapeId="0" xr:uid="{DA318495-80F2-471A-961F-A422DD38049A}">
      <text>
        <r>
          <rPr>
            <b/>
            <sz val="9"/>
            <color indexed="81"/>
            <rFont val="宋体"/>
            <family val="3"/>
            <charset val="134"/>
          </rPr>
          <t>jiangdian song:</t>
        </r>
        <r>
          <rPr>
            <sz val="9"/>
            <color indexed="81"/>
            <rFont val="宋体"/>
            <family val="3"/>
            <charset val="134"/>
          </rPr>
          <t xml:space="preserve">
不是article</t>
        </r>
      </text>
    </comment>
    <comment ref="A396" authorId="0" shapeId="0" xr:uid="{DF3E8BD4-4B97-401E-B3B1-768A8FAC80BF}">
      <text>
        <r>
          <rPr>
            <b/>
            <sz val="9"/>
            <color indexed="81"/>
            <rFont val="宋体"/>
            <family val="3"/>
            <charset val="134"/>
          </rPr>
          <t>jiangdian song:</t>
        </r>
        <r>
          <rPr>
            <sz val="9"/>
            <color indexed="81"/>
            <rFont val="宋体"/>
            <family val="3"/>
            <charset val="134"/>
          </rPr>
          <t xml:space="preserve">
纯算法，没有图像</t>
        </r>
      </text>
    </comment>
    <comment ref="A422" authorId="0" shapeId="0" xr:uid="{D9E312EE-B281-48D5-B244-B5D9AFF261A9}">
      <text>
        <r>
          <rPr>
            <b/>
            <sz val="9"/>
            <color indexed="81"/>
            <rFont val="宋体"/>
            <family val="3"/>
            <charset val="134"/>
          </rPr>
          <t>jiangdian song:</t>
        </r>
        <r>
          <rPr>
            <sz val="9"/>
            <color indexed="81"/>
            <rFont val="宋体"/>
            <family val="3"/>
            <charset val="134"/>
          </rPr>
          <t xml:space="preserve">
无DL</t>
        </r>
      </text>
    </comment>
    <comment ref="A446" authorId="0" shapeId="0" xr:uid="{A0BC3187-2A5E-432F-B6BF-E9F8C110C2AF}">
      <text>
        <r>
          <rPr>
            <b/>
            <sz val="9"/>
            <color indexed="81"/>
            <rFont val="宋体"/>
            <family val="3"/>
            <charset val="134"/>
          </rPr>
          <t>jiangdian song:</t>
        </r>
        <r>
          <rPr>
            <sz val="9"/>
            <color indexed="81"/>
            <rFont val="宋体"/>
            <family val="3"/>
            <charset val="134"/>
          </rPr>
          <t xml:space="preserve">
万方，校内网查</t>
        </r>
      </text>
    </comment>
    <comment ref="A482" authorId="0" shapeId="0" xr:uid="{C77EA14B-9CED-46C9-87C0-E27C2832C16E}">
      <text>
        <r>
          <rPr>
            <b/>
            <sz val="9"/>
            <color indexed="81"/>
            <rFont val="宋体"/>
            <family val="3"/>
            <charset val="134"/>
          </rPr>
          <t>jiangdian song:无关医学</t>
        </r>
      </text>
    </comment>
    <comment ref="A507" authorId="0" shapeId="0" xr:uid="{A05CDD82-5DD4-4EBC-A106-2FED83DB8268}">
      <text>
        <r>
          <rPr>
            <b/>
            <sz val="9"/>
            <color indexed="81"/>
            <rFont val="宋体"/>
            <family val="3"/>
            <charset val="134"/>
          </rPr>
          <t>jiangdian song:</t>
        </r>
        <r>
          <rPr>
            <sz val="9"/>
            <color indexed="81"/>
            <rFont val="宋体"/>
            <family val="3"/>
            <charset val="134"/>
          </rPr>
          <t xml:space="preserve">
case report</t>
        </r>
      </text>
    </comment>
    <comment ref="A509" authorId="0" shapeId="0" xr:uid="{1D20FDFB-2EBD-42CC-BD4D-8072D34AABE2}">
      <text>
        <r>
          <rPr>
            <b/>
            <sz val="9"/>
            <color indexed="81"/>
            <rFont val="宋体"/>
            <family val="3"/>
            <charset val="134"/>
          </rPr>
          <t>jiangdian song:</t>
        </r>
        <r>
          <rPr>
            <sz val="9"/>
            <color indexed="81"/>
            <rFont val="宋体"/>
            <family val="3"/>
            <charset val="134"/>
          </rPr>
          <t xml:space="preserve">
MI</t>
        </r>
      </text>
    </comment>
    <comment ref="A519" authorId="0" shapeId="0" xr:uid="{191EE311-E333-4BB6-B065-496083AB49F8}">
      <text>
        <r>
          <rPr>
            <b/>
            <sz val="9"/>
            <color indexed="81"/>
            <rFont val="宋体"/>
            <family val="3"/>
            <charset val="134"/>
          </rPr>
          <t>jiangdian song:</t>
        </r>
        <r>
          <rPr>
            <sz val="9"/>
            <color indexed="81"/>
            <rFont val="宋体"/>
            <family val="3"/>
            <charset val="134"/>
          </rPr>
          <t xml:space="preserve">
会议</t>
        </r>
      </text>
    </comment>
    <comment ref="A521" authorId="0" shapeId="0" xr:uid="{6F3ACE0D-BF9F-45F2-BD65-D9F495B2BF40}">
      <text>
        <r>
          <rPr>
            <b/>
            <sz val="9"/>
            <color indexed="81"/>
            <rFont val="宋体"/>
            <family val="3"/>
            <charset val="134"/>
          </rPr>
          <t>jiangdian song:</t>
        </r>
        <r>
          <rPr>
            <sz val="9"/>
            <color indexed="81"/>
            <rFont val="宋体"/>
            <family val="3"/>
            <charset val="134"/>
          </rPr>
          <t xml:space="preserve">
搜不到</t>
        </r>
      </text>
    </comment>
    <comment ref="M555" authorId="2" shapeId="0" xr:uid="{F93D161E-06F5-4AF6-8BC6-45BB477507AF}">
      <text>
        <r>
          <rPr>
            <b/>
            <sz val="9"/>
            <color indexed="81"/>
            <rFont val="宋体"/>
            <family val="3"/>
            <charset val="134"/>
          </rPr>
          <t>Hym:</t>
        </r>
        <r>
          <rPr>
            <sz val="9"/>
            <color indexed="81"/>
            <rFont val="宋体"/>
            <family val="3"/>
            <charset val="134"/>
          </rPr>
          <t xml:space="preserve">
没提</t>
        </r>
      </text>
    </comment>
    <comment ref="A637" authorId="2" shapeId="0" xr:uid="{FEF50C01-55A1-4640-9854-51A97DC153CF}">
      <text>
        <r>
          <rPr>
            <b/>
            <sz val="9"/>
            <color indexed="81"/>
            <rFont val="宋体"/>
            <family val="3"/>
            <charset val="134"/>
          </rPr>
          <t>Hym:</t>
        </r>
        <r>
          <rPr>
            <sz val="9"/>
            <color indexed="81"/>
            <rFont val="宋体"/>
            <family val="3"/>
            <charset val="134"/>
          </rPr>
          <t xml:space="preserve">
主要不是关于医学</t>
        </r>
      </text>
    </comment>
    <comment ref="A645" authorId="2" shapeId="0" xr:uid="{66F1242D-756F-497E-B455-E566E3C5060C}">
      <text>
        <r>
          <rPr>
            <b/>
            <sz val="9"/>
            <color indexed="81"/>
            <rFont val="宋体"/>
            <family val="3"/>
            <charset val="134"/>
          </rPr>
          <t>Hym:</t>
        </r>
        <r>
          <rPr>
            <sz val="9"/>
            <color indexed="81"/>
            <rFont val="宋体"/>
            <family val="3"/>
            <charset val="134"/>
          </rPr>
          <t xml:space="preserve">
wuguan medical
</t>
        </r>
      </text>
    </comment>
    <comment ref="A675" authorId="2" shapeId="0" xr:uid="{080EC9B6-2BC2-449E-B574-61C6E789607A}">
      <text>
        <r>
          <rPr>
            <b/>
            <sz val="9"/>
            <color indexed="81"/>
            <rFont val="宋体"/>
            <family val="3"/>
            <charset val="134"/>
          </rPr>
          <t>Hym:</t>
        </r>
        <r>
          <rPr>
            <sz val="9"/>
            <color indexed="81"/>
            <rFont val="宋体"/>
            <family val="3"/>
            <charset val="134"/>
          </rPr>
          <t xml:space="preserve">
无关医学</t>
        </r>
      </text>
    </comment>
    <comment ref="A685" authorId="2" shapeId="0" xr:uid="{CA2F21EA-A204-48BA-9C54-D93237C63F72}">
      <text>
        <r>
          <rPr>
            <b/>
            <sz val="9"/>
            <color indexed="81"/>
            <rFont val="宋体"/>
            <family val="3"/>
            <charset val="134"/>
          </rPr>
          <t>Hym:</t>
        </r>
        <r>
          <rPr>
            <sz val="9"/>
            <color indexed="81"/>
            <rFont val="宋体"/>
            <family val="3"/>
            <charset val="134"/>
          </rPr>
          <t xml:space="preserve">
日文</t>
        </r>
      </text>
    </comment>
    <comment ref="A686" authorId="2" shapeId="0" xr:uid="{7F6E6AB3-AB16-4A42-AFFD-A23516DF5706}">
      <text>
        <r>
          <rPr>
            <b/>
            <sz val="9"/>
            <color indexed="81"/>
            <rFont val="宋体"/>
            <family val="3"/>
            <charset val="134"/>
          </rPr>
          <t>Hym:</t>
        </r>
        <r>
          <rPr>
            <sz val="9"/>
            <color indexed="81"/>
            <rFont val="宋体"/>
            <family val="3"/>
            <charset val="134"/>
          </rPr>
          <t xml:space="preserve">
日文</t>
        </r>
      </text>
    </comment>
    <comment ref="A698" authorId="2" shapeId="0" xr:uid="{4209335B-3B77-47FC-BBFA-C2E65E1D3456}">
      <text>
        <r>
          <rPr>
            <b/>
            <sz val="9"/>
            <color indexed="81"/>
            <rFont val="宋体"/>
            <family val="3"/>
            <charset val="134"/>
          </rPr>
          <t>Hym:</t>
        </r>
        <r>
          <rPr>
            <sz val="9"/>
            <color indexed="81"/>
            <rFont val="宋体"/>
            <family val="3"/>
            <charset val="134"/>
          </rPr>
          <t xml:space="preserve">
无关DL
</t>
        </r>
      </text>
    </comment>
    <comment ref="A737" authorId="2" shapeId="0" xr:uid="{7D5FB2A3-F907-4E57-9E3E-DCBF0184D458}">
      <text>
        <r>
          <rPr>
            <b/>
            <sz val="9"/>
            <color indexed="81"/>
            <rFont val="宋体"/>
            <family val="3"/>
            <charset val="134"/>
          </rPr>
          <t>Hym:</t>
        </r>
        <r>
          <rPr>
            <sz val="9"/>
            <color indexed="81"/>
            <rFont val="宋体"/>
            <family val="3"/>
            <charset val="134"/>
          </rPr>
          <t xml:space="preserve">
DL</t>
        </r>
      </text>
    </comment>
    <comment ref="A778" authorId="2" shapeId="0" xr:uid="{FECA166D-14DD-4027-A99B-26FBA37B2B4B}">
      <text>
        <r>
          <rPr>
            <b/>
            <sz val="9"/>
            <color indexed="81"/>
            <rFont val="宋体"/>
            <family val="3"/>
            <charset val="134"/>
          </rPr>
          <t>Hym:</t>
        </r>
        <r>
          <rPr>
            <sz val="9"/>
            <color indexed="81"/>
            <rFont val="宋体"/>
            <family val="3"/>
            <charset val="134"/>
          </rPr>
          <t xml:space="preserve">
日文</t>
        </r>
      </text>
    </comment>
    <comment ref="A788" authorId="2" shapeId="0" xr:uid="{C4518C77-B7C0-4D30-AE94-430224607673}">
      <text>
        <r>
          <rPr>
            <b/>
            <sz val="9"/>
            <color indexed="81"/>
            <rFont val="宋体"/>
            <family val="3"/>
            <charset val="134"/>
          </rPr>
          <t>Hym:</t>
        </r>
        <r>
          <rPr>
            <sz val="9"/>
            <color indexed="81"/>
            <rFont val="宋体"/>
            <family val="3"/>
            <charset val="134"/>
          </rPr>
          <t xml:space="preserve">
MI</t>
        </r>
      </text>
    </comment>
    <comment ref="A832" authorId="2" shapeId="0" xr:uid="{71FD2710-6A6C-4B02-8584-56D65C228EF7}">
      <text>
        <r>
          <rPr>
            <b/>
            <sz val="9"/>
            <color indexed="81"/>
            <rFont val="宋体"/>
            <family val="3"/>
            <charset val="134"/>
          </rPr>
          <t>Hym:</t>
        </r>
        <r>
          <rPr>
            <sz val="9"/>
            <color indexed="81"/>
            <rFont val="宋体"/>
            <family val="3"/>
            <charset val="134"/>
          </rPr>
          <t xml:space="preserve">
no MI</t>
        </r>
      </text>
    </comment>
    <comment ref="A841" authorId="2" shapeId="0" xr:uid="{9FCAC709-7273-47D1-B2C1-B7F2A78C24D0}">
      <text>
        <r>
          <rPr>
            <b/>
            <sz val="9"/>
            <color indexed="81"/>
            <rFont val="宋体"/>
            <family val="3"/>
            <charset val="134"/>
          </rPr>
          <t>Hym:</t>
        </r>
        <r>
          <rPr>
            <sz val="9"/>
            <color indexed="81"/>
            <rFont val="宋体"/>
            <family val="3"/>
            <charset val="134"/>
          </rPr>
          <t xml:space="preserve">
no DL</t>
        </r>
      </text>
    </comment>
    <comment ref="A865" authorId="2" shapeId="0" xr:uid="{3CE8DD23-9A02-4053-9807-B8EBAE90EC1A}">
      <text>
        <r>
          <rPr>
            <b/>
            <sz val="9"/>
            <color indexed="81"/>
            <rFont val="宋体"/>
            <family val="3"/>
            <charset val="134"/>
          </rPr>
          <t>Hym:</t>
        </r>
        <r>
          <rPr>
            <sz val="9"/>
            <color indexed="81"/>
            <rFont val="宋体"/>
            <family val="3"/>
            <charset val="134"/>
          </rPr>
          <t xml:space="preserve">
MI</t>
        </r>
      </text>
    </comment>
    <comment ref="A895" authorId="2" shapeId="0" xr:uid="{D87A4356-9FA6-4959-8AED-1617F77FE67E}">
      <text>
        <r>
          <rPr>
            <b/>
            <sz val="9"/>
            <color indexed="81"/>
            <rFont val="宋体"/>
            <family val="3"/>
            <charset val="134"/>
          </rPr>
          <t>Hym:</t>
        </r>
        <r>
          <rPr>
            <sz val="9"/>
            <color indexed="81"/>
            <rFont val="宋体"/>
            <family val="3"/>
            <charset val="134"/>
          </rPr>
          <t xml:space="preserve">
MI</t>
        </r>
      </text>
    </comment>
    <comment ref="A905" authorId="2" shapeId="0" xr:uid="{B4F860C4-6A61-404A-B39B-6FE6E7BEC83D}">
      <text>
        <r>
          <rPr>
            <b/>
            <sz val="9"/>
            <color indexed="81"/>
            <rFont val="宋体"/>
            <family val="3"/>
            <charset val="134"/>
          </rPr>
          <t>Hym:</t>
        </r>
        <r>
          <rPr>
            <sz val="9"/>
            <color indexed="81"/>
            <rFont val="宋体"/>
            <family val="3"/>
            <charset val="134"/>
          </rPr>
          <t xml:space="preserve">
mi</t>
        </r>
      </text>
    </comment>
    <comment ref="A910" authorId="2" shapeId="0" xr:uid="{AA4F0D87-1852-4748-9966-44767CBB7DE7}">
      <text>
        <r>
          <rPr>
            <b/>
            <sz val="9"/>
            <color indexed="81"/>
            <rFont val="宋体"/>
            <family val="3"/>
            <charset val="134"/>
          </rPr>
          <t>Hym:</t>
        </r>
        <r>
          <rPr>
            <sz val="9"/>
            <color indexed="81"/>
            <rFont val="宋体"/>
            <family val="3"/>
            <charset val="134"/>
          </rPr>
          <t xml:space="preserve">
中文</t>
        </r>
      </text>
    </comment>
    <comment ref="A988" authorId="2" shapeId="0" xr:uid="{49288728-D5D4-4A80-A8D3-F057F325CBD6}">
      <text>
        <r>
          <rPr>
            <b/>
            <sz val="9"/>
            <color indexed="81"/>
            <rFont val="宋体"/>
            <family val="3"/>
            <charset val="134"/>
          </rPr>
          <t>Hym:</t>
        </r>
        <r>
          <rPr>
            <sz val="9"/>
            <color indexed="81"/>
            <rFont val="宋体"/>
            <family val="3"/>
            <charset val="134"/>
          </rPr>
          <t xml:space="preserve">
MI</t>
        </r>
      </text>
    </comment>
    <comment ref="A1048" authorId="2" shapeId="0" xr:uid="{C48D928B-EF05-4291-BBA6-F29B22780180}">
      <text>
        <r>
          <rPr>
            <b/>
            <sz val="9"/>
            <color indexed="81"/>
            <rFont val="宋体"/>
            <family val="3"/>
            <charset val="134"/>
          </rPr>
          <t>Hym:</t>
        </r>
        <r>
          <rPr>
            <sz val="9"/>
            <color indexed="81"/>
            <rFont val="宋体"/>
            <family val="3"/>
            <charset val="134"/>
          </rPr>
          <t xml:space="preserve">
DL</t>
        </r>
      </text>
    </comment>
    <comment ref="A1055" authorId="2" shapeId="0" xr:uid="{81B65425-3221-4144-A9ED-C70717B0AA7D}">
      <text>
        <r>
          <rPr>
            <b/>
            <sz val="9"/>
            <color indexed="81"/>
            <rFont val="宋体"/>
            <family val="3"/>
            <charset val="134"/>
          </rPr>
          <t>Hym:</t>
        </r>
        <r>
          <rPr>
            <sz val="9"/>
            <color indexed="81"/>
            <rFont val="宋体"/>
            <family val="3"/>
            <charset val="134"/>
          </rPr>
          <t xml:space="preserve">
DL</t>
        </r>
      </text>
    </comment>
    <comment ref="A1087" authorId="2" shapeId="0" xr:uid="{3E5DFF03-42EC-4F31-9489-FC8182EE68FE}">
      <text>
        <r>
          <rPr>
            <b/>
            <sz val="9"/>
            <color indexed="81"/>
            <rFont val="宋体"/>
            <family val="3"/>
            <charset val="134"/>
          </rPr>
          <t>Hym:</t>
        </r>
        <r>
          <rPr>
            <sz val="9"/>
            <color indexed="81"/>
            <rFont val="宋体"/>
            <family val="3"/>
            <charset val="134"/>
          </rPr>
          <t xml:space="preserve">
会议</t>
        </r>
      </text>
    </comment>
    <comment ref="A1110" authorId="2" shapeId="0" xr:uid="{2A904FB5-DD19-4ADC-A050-97802BB12160}">
      <text>
        <r>
          <rPr>
            <b/>
            <sz val="9"/>
            <color indexed="81"/>
            <rFont val="宋体"/>
            <family val="3"/>
            <charset val="134"/>
          </rPr>
          <t>Hym:</t>
        </r>
        <r>
          <rPr>
            <sz val="9"/>
            <color indexed="81"/>
            <rFont val="宋体"/>
            <family val="3"/>
            <charset val="134"/>
          </rPr>
          <t xml:space="preserve">
MI</t>
        </r>
      </text>
    </comment>
    <comment ref="A1159" authorId="2" shapeId="0" xr:uid="{9C65F18F-F9B4-45B8-9E81-9144C9D6F935}">
      <text>
        <r>
          <rPr>
            <b/>
            <sz val="9"/>
            <color indexed="81"/>
            <rFont val="宋体"/>
            <family val="3"/>
            <charset val="134"/>
          </rPr>
          <t>Hym:</t>
        </r>
        <r>
          <rPr>
            <sz val="9"/>
            <color indexed="81"/>
            <rFont val="宋体"/>
            <family val="3"/>
            <charset val="134"/>
          </rPr>
          <t xml:space="preserve">
MI</t>
        </r>
      </text>
    </comment>
    <comment ref="A1160" authorId="2" shapeId="0" xr:uid="{94093159-4A03-4FD5-A9CE-EDADA65224F0}">
      <text>
        <r>
          <rPr>
            <b/>
            <sz val="9"/>
            <color indexed="81"/>
            <rFont val="宋体"/>
            <family val="3"/>
            <charset val="134"/>
          </rPr>
          <t>Hym:</t>
        </r>
        <r>
          <rPr>
            <sz val="9"/>
            <color indexed="81"/>
            <rFont val="宋体"/>
            <family val="3"/>
            <charset val="134"/>
          </rPr>
          <t xml:space="preserve">
MI
</t>
        </r>
      </text>
    </comment>
    <comment ref="A1209" authorId="2" shapeId="0" xr:uid="{2068B1AF-9016-40E9-81DE-4B11E4C16205}">
      <text>
        <r>
          <rPr>
            <b/>
            <sz val="9"/>
            <color indexed="81"/>
            <rFont val="宋体"/>
            <family val="3"/>
            <charset val="134"/>
          </rPr>
          <t>Hym:</t>
        </r>
        <r>
          <rPr>
            <sz val="9"/>
            <color indexed="81"/>
            <rFont val="宋体"/>
            <family val="3"/>
            <charset val="134"/>
          </rPr>
          <t xml:space="preserve">
外文</t>
        </r>
      </text>
    </comment>
    <comment ref="A1217" authorId="2" shapeId="0" xr:uid="{1DFB5562-AFAB-4867-AF86-2E685B442FB1}">
      <text>
        <r>
          <rPr>
            <b/>
            <sz val="9"/>
            <color indexed="81"/>
            <rFont val="宋体"/>
            <family val="3"/>
            <charset val="134"/>
          </rPr>
          <t>Hym:</t>
        </r>
        <r>
          <rPr>
            <sz val="9"/>
            <color indexed="81"/>
            <rFont val="宋体"/>
            <family val="3"/>
            <charset val="134"/>
          </rPr>
          <t xml:space="preserve">
重复</t>
        </r>
      </text>
    </comment>
    <comment ref="A1227" authorId="2" shapeId="0" xr:uid="{78160448-05F6-48EA-BE9E-89804522ABF4}">
      <text>
        <r>
          <rPr>
            <b/>
            <sz val="9"/>
            <color indexed="81"/>
            <rFont val="宋体"/>
            <family val="3"/>
            <charset val="134"/>
          </rPr>
          <t>Hym:</t>
        </r>
        <r>
          <rPr>
            <sz val="9"/>
            <color indexed="81"/>
            <rFont val="宋体"/>
            <family val="3"/>
            <charset val="134"/>
          </rPr>
          <t xml:space="preserve">
DL</t>
        </r>
      </text>
    </comment>
    <comment ref="A1228" authorId="2" shapeId="0" xr:uid="{068B348A-5AEA-4CE7-9171-D7BD87DD6242}">
      <text>
        <r>
          <rPr>
            <b/>
            <sz val="9"/>
            <color indexed="81"/>
            <rFont val="宋体"/>
            <family val="3"/>
            <charset val="134"/>
          </rPr>
          <t>Hym:</t>
        </r>
        <r>
          <rPr>
            <sz val="9"/>
            <color indexed="81"/>
            <rFont val="宋体"/>
            <family val="3"/>
            <charset val="134"/>
          </rPr>
          <t xml:space="preserve">
DL</t>
        </r>
      </text>
    </comment>
    <comment ref="A1230" authorId="2" shapeId="0" xr:uid="{EF919FDF-828E-4F38-961B-3A14274989DE}">
      <text>
        <r>
          <rPr>
            <b/>
            <sz val="9"/>
            <color indexed="81"/>
            <rFont val="宋体"/>
            <family val="3"/>
            <charset val="134"/>
          </rPr>
          <t>Hym:</t>
        </r>
        <r>
          <rPr>
            <sz val="9"/>
            <color indexed="81"/>
            <rFont val="宋体"/>
            <family val="3"/>
            <charset val="134"/>
          </rPr>
          <t xml:space="preserve">
DL</t>
        </r>
      </text>
    </comment>
    <comment ref="A1241" authorId="2" shapeId="0" xr:uid="{E35A4D7E-E217-4218-B465-9B68A997C075}">
      <text>
        <r>
          <rPr>
            <b/>
            <sz val="9"/>
            <color indexed="81"/>
            <rFont val="宋体"/>
            <family val="3"/>
            <charset val="134"/>
          </rPr>
          <t>Hym:</t>
        </r>
        <r>
          <rPr>
            <sz val="9"/>
            <color indexed="81"/>
            <rFont val="宋体"/>
            <family val="3"/>
            <charset val="134"/>
          </rPr>
          <t xml:space="preserve">
外文</t>
        </r>
      </text>
    </comment>
    <comment ref="A1251" authorId="2" shapeId="0" xr:uid="{BAF70B7A-F1FB-4788-B915-33BC6DE90DA9}">
      <text>
        <r>
          <rPr>
            <b/>
            <sz val="9"/>
            <color indexed="81"/>
            <rFont val="宋体"/>
            <family val="3"/>
            <charset val="134"/>
          </rPr>
          <t>Hym:</t>
        </r>
        <r>
          <rPr>
            <sz val="9"/>
            <color indexed="81"/>
            <rFont val="宋体"/>
            <family val="3"/>
            <charset val="134"/>
          </rPr>
          <t xml:space="preserve">
重复</t>
        </r>
      </text>
    </comment>
    <comment ref="A1262" authorId="2" shapeId="0" xr:uid="{2265E118-5E42-4D63-8BB7-4C2C8732E8BF}">
      <text>
        <r>
          <rPr>
            <b/>
            <sz val="9"/>
            <color indexed="81"/>
            <rFont val="宋体"/>
            <family val="3"/>
            <charset val="134"/>
          </rPr>
          <t>Hym:</t>
        </r>
        <r>
          <rPr>
            <sz val="9"/>
            <color indexed="81"/>
            <rFont val="宋体"/>
            <family val="3"/>
            <charset val="134"/>
          </rPr>
          <t xml:space="preserve">
mi</t>
        </r>
      </text>
    </comment>
    <comment ref="A1270" authorId="2" shapeId="0" xr:uid="{F7DF00B6-0786-43B9-9A0D-7DF0AD8BC161}">
      <text>
        <r>
          <rPr>
            <b/>
            <sz val="9"/>
            <color indexed="81"/>
            <rFont val="宋体"/>
            <family val="3"/>
            <charset val="134"/>
          </rPr>
          <t>Hym:</t>
        </r>
        <r>
          <rPr>
            <sz val="9"/>
            <color indexed="81"/>
            <rFont val="宋体"/>
            <family val="3"/>
            <charset val="134"/>
          </rPr>
          <t xml:space="preserve">
MI</t>
        </r>
      </text>
    </comment>
    <comment ref="A1307" authorId="2" shapeId="0" xr:uid="{E567B74B-6F15-4171-8F4A-9313A971F9AD}">
      <text>
        <r>
          <rPr>
            <b/>
            <sz val="9"/>
            <color indexed="81"/>
            <rFont val="宋体"/>
            <family val="3"/>
            <charset val="134"/>
          </rPr>
          <t>Hym:</t>
        </r>
        <r>
          <rPr>
            <sz val="9"/>
            <color indexed="81"/>
            <rFont val="宋体"/>
            <family val="3"/>
            <charset val="134"/>
          </rPr>
          <t xml:space="preserve">
z中文</t>
        </r>
      </text>
    </comment>
    <comment ref="A1317" authorId="2" shapeId="0" xr:uid="{8C4B3DBE-4C52-4801-AED9-5D7EC9E17C46}">
      <text>
        <r>
          <rPr>
            <b/>
            <sz val="9"/>
            <color indexed="81"/>
            <rFont val="宋体"/>
            <family val="3"/>
            <charset val="134"/>
          </rPr>
          <t>Hym:</t>
        </r>
        <r>
          <rPr>
            <sz val="9"/>
            <color indexed="81"/>
            <rFont val="宋体"/>
            <family val="3"/>
            <charset val="134"/>
          </rPr>
          <t xml:space="preserve">
DL</t>
        </r>
      </text>
    </comment>
    <comment ref="A1343" authorId="2" shapeId="0" xr:uid="{880F0C63-04BB-4286-B6BD-27703D2AE919}">
      <text>
        <r>
          <rPr>
            <b/>
            <sz val="9"/>
            <color indexed="81"/>
            <rFont val="宋体"/>
            <family val="3"/>
            <charset val="134"/>
          </rPr>
          <t>Hym:</t>
        </r>
        <r>
          <rPr>
            <sz val="9"/>
            <color indexed="81"/>
            <rFont val="宋体"/>
            <family val="3"/>
            <charset val="134"/>
          </rPr>
          <t xml:space="preserve">
MI</t>
        </r>
      </text>
    </comment>
    <comment ref="A1355" authorId="2" shapeId="0" xr:uid="{10E07482-7BBC-4A38-A601-AAE5877BD483}">
      <text>
        <r>
          <rPr>
            <b/>
            <sz val="9"/>
            <color indexed="81"/>
            <rFont val="宋体"/>
            <family val="3"/>
            <charset val="134"/>
          </rPr>
          <t>Hym:</t>
        </r>
        <r>
          <rPr>
            <sz val="9"/>
            <color indexed="81"/>
            <rFont val="宋体"/>
            <family val="3"/>
            <charset val="134"/>
          </rPr>
          <t xml:space="preserve">
MI</t>
        </r>
      </text>
    </comment>
    <comment ref="A1382" authorId="2" shapeId="0" xr:uid="{D2FCC89D-1701-42C7-B8A2-08FCC402F692}">
      <text>
        <r>
          <rPr>
            <b/>
            <sz val="9"/>
            <color indexed="81"/>
            <rFont val="宋体"/>
            <family val="3"/>
            <charset val="134"/>
          </rPr>
          <t>Hym:</t>
        </r>
        <r>
          <rPr>
            <sz val="9"/>
            <color indexed="81"/>
            <rFont val="宋体"/>
            <family val="3"/>
            <charset val="134"/>
          </rPr>
          <t xml:space="preserve">
DL</t>
        </r>
      </text>
    </comment>
    <comment ref="A1386" authorId="2" shapeId="0" xr:uid="{677AA90F-B733-4D28-A150-8A1A149A0095}">
      <text>
        <r>
          <rPr>
            <b/>
            <sz val="9"/>
            <color indexed="81"/>
            <rFont val="宋体"/>
            <family val="3"/>
            <charset val="134"/>
          </rPr>
          <t>Hym:</t>
        </r>
        <r>
          <rPr>
            <sz val="9"/>
            <color indexed="81"/>
            <rFont val="宋体"/>
            <family val="3"/>
            <charset val="134"/>
          </rPr>
          <t xml:space="preserve">
DL</t>
        </r>
      </text>
    </comment>
    <comment ref="A1390" authorId="2" shapeId="0" xr:uid="{046ABE0A-5552-42F8-8E95-012D97B5CF43}">
      <text>
        <r>
          <rPr>
            <b/>
            <sz val="9"/>
            <color indexed="81"/>
            <rFont val="宋体"/>
            <family val="3"/>
            <charset val="134"/>
          </rPr>
          <t>Hym:</t>
        </r>
        <r>
          <rPr>
            <sz val="9"/>
            <color indexed="81"/>
            <rFont val="宋体"/>
            <family val="3"/>
            <charset val="134"/>
          </rPr>
          <t xml:space="preserve">
外文</t>
        </r>
      </text>
    </comment>
    <comment ref="A1396" authorId="2" shapeId="0" xr:uid="{FEB4206E-BC48-44B3-BD60-FB0DCDB92F2B}">
      <text>
        <r>
          <rPr>
            <b/>
            <sz val="9"/>
            <color indexed="81"/>
            <rFont val="宋体"/>
            <family val="3"/>
            <charset val="134"/>
          </rPr>
          <t>Hym:</t>
        </r>
        <r>
          <rPr>
            <sz val="9"/>
            <color indexed="81"/>
            <rFont val="宋体"/>
            <family val="3"/>
            <charset val="134"/>
          </rPr>
          <t xml:space="preserve">
外文</t>
        </r>
      </text>
    </comment>
    <comment ref="A1417" authorId="2" shapeId="0" xr:uid="{8DACBE3C-74F5-4C08-BBAE-56ED9D7580DF}">
      <text>
        <r>
          <rPr>
            <b/>
            <sz val="9"/>
            <color indexed="81"/>
            <rFont val="宋体"/>
            <family val="3"/>
            <charset val="134"/>
          </rPr>
          <t>Hym:</t>
        </r>
        <r>
          <rPr>
            <sz val="9"/>
            <color indexed="81"/>
            <rFont val="宋体"/>
            <family val="3"/>
            <charset val="134"/>
          </rPr>
          <t xml:space="preserve">
会议</t>
        </r>
      </text>
    </comment>
    <comment ref="A1434" authorId="2" shapeId="0" xr:uid="{2898F86F-786C-4015-A0C8-D28301118DE4}">
      <text>
        <r>
          <rPr>
            <b/>
            <sz val="9"/>
            <color indexed="81"/>
            <rFont val="宋体"/>
            <family val="3"/>
            <charset val="134"/>
          </rPr>
          <t>Hym:</t>
        </r>
        <r>
          <rPr>
            <sz val="9"/>
            <color indexed="81"/>
            <rFont val="宋体"/>
            <family val="3"/>
            <charset val="134"/>
          </rPr>
          <t xml:space="preserve">
MI</t>
        </r>
      </text>
    </comment>
    <comment ref="A1440" authorId="2" shapeId="0" xr:uid="{C5343743-B7B8-4C9E-8F6F-77CF90DC7583}">
      <text>
        <r>
          <rPr>
            <b/>
            <sz val="9"/>
            <color indexed="81"/>
            <rFont val="宋体"/>
            <family val="3"/>
            <charset val="134"/>
          </rPr>
          <t>Hym:</t>
        </r>
        <r>
          <rPr>
            <sz val="9"/>
            <color indexed="81"/>
            <rFont val="宋体"/>
            <family val="3"/>
            <charset val="134"/>
          </rPr>
          <t xml:space="preserve">
comment</t>
        </r>
      </text>
    </comment>
    <comment ref="A1483" authorId="2" shapeId="0" xr:uid="{9EFEFB9E-CE02-45B5-877B-6C688553AD27}">
      <text>
        <r>
          <rPr>
            <b/>
            <sz val="9"/>
            <color indexed="81"/>
            <rFont val="宋体"/>
            <family val="3"/>
            <charset val="134"/>
          </rPr>
          <t>Hym:</t>
        </r>
        <r>
          <rPr>
            <sz val="9"/>
            <color indexed="81"/>
            <rFont val="宋体"/>
            <family val="3"/>
            <charset val="134"/>
          </rPr>
          <t xml:space="preserve">
DL
</t>
        </r>
      </text>
    </comment>
    <comment ref="A1484" authorId="2" shapeId="0" xr:uid="{B713F164-FB61-4A2D-B0AA-3DFBFAEF84A9}">
      <text>
        <r>
          <rPr>
            <b/>
            <sz val="9"/>
            <color indexed="81"/>
            <rFont val="宋体"/>
            <family val="3"/>
            <charset val="134"/>
          </rPr>
          <t>Hym:</t>
        </r>
        <r>
          <rPr>
            <sz val="9"/>
            <color indexed="81"/>
            <rFont val="宋体"/>
            <family val="3"/>
            <charset val="134"/>
          </rPr>
          <t xml:space="preserve">
MI</t>
        </r>
      </text>
    </comment>
    <comment ref="A1601" authorId="2" shapeId="0" xr:uid="{72C54024-54B1-4380-997C-8800D31C2EB7}">
      <text>
        <r>
          <rPr>
            <b/>
            <sz val="9"/>
            <color indexed="81"/>
            <rFont val="宋体"/>
            <family val="3"/>
            <charset val="134"/>
          </rPr>
          <t>Hym:</t>
        </r>
        <r>
          <rPr>
            <sz val="9"/>
            <color indexed="81"/>
            <rFont val="宋体"/>
            <family val="3"/>
            <charset val="134"/>
          </rPr>
          <t xml:space="preserve">
DL</t>
        </r>
      </text>
    </comment>
    <comment ref="K1612" authorId="2" shapeId="0" xr:uid="{73A07D0B-AE82-4A1E-9C94-5193A2B81485}">
      <text>
        <r>
          <rPr>
            <b/>
            <sz val="9"/>
            <color indexed="81"/>
            <rFont val="宋体"/>
            <family val="3"/>
            <charset val="134"/>
          </rPr>
          <t>Hym:</t>
        </r>
        <r>
          <rPr>
            <sz val="9"/>
            <color indexed="81"/>
            <rFont val="宋体"/>
            <family val="3"/>
            <charset val="134"/>
          </rPr>
          <t xml:space="preserve">
Regnet</t>
        </r>
      </text>
    </comment>
    <comment ref="A1613" authorId="2" shapeId="0" xr:uid="{3DB1F8B4-E12C-4EF9-96F4-CEEC13172AE4}">
      <text>
        <r>
          <rPr>
            <b/>
            <sz val="9"/>
            <color indexed="81"/>
            <rFont val="宋体"/>
            <family val="3"/>
            <charset val="134"/>
          </rPr>
          <t>Hym:</t>
        </r>
        <r>
          <rPr>
            <sz val="9"/>
            <color indexed="81"/>
            <rFont val="宋体"/>
            <family val="3"/>
            <charset val="134"/>
          </rPr>
          <t xml:space="preserve">
MI</t>
        </r>
      </text>
    </comment>
    <comment ref="A1632" authorId="2" shapeId="0" xr:uid="{A183AC19-B48F-4F49-AE6F-2BD2F06BAEC8}">
      <text>
        <r>
          <rPr>
            <b/>
            <sz val="9"/>
            <color indexed="81"/>
            <rFont val="宋体"/>
            <family val="3"/>
            <charset val="134"/>
          </rPr>
          <t>Hym:</t>
        </r>
        <r>
          <rPr>
            <sz val="9"/>
            <color indexed="81"/>
            <rFont val="宋体"/>
            <family val="3"/>
            <charset val="134"/>
          </rPr>
          <t xml:space="preserve">
MI</t>
        </r>
      </text>
    </comment>
    <comment ref="A1640" authorId="2" shapeId="0" xr:uid="{0FF563B3-DA1E-4776-8EC1-24985670F8F8}">
      <text>
        <r>
          <rPr>
            <b/>
            <sz val="9"/>
            <color indexed="81"/>
            <rFont val="宋体"/>
            <family val="3"/>
            <charset val="134"/>
          </rPr>
          <t>Hym:</t>
        </r>
        <r>
          <rPr>
            <sz val="9"/>
            <color indexed="81"/>
            <rFont val="宋体"/>
            <family val="3"/>
            <charset val="134"/>
          </rPr>
          <t xml:space="preserve">
MI</t>
        </r>
      </text>
    </comment>
    <comment ref="A1681" authorId="2" shapeId="0" xr:uid="{AF634390-9674-4BE1-8354-B2FF0C7F5C85}">
      <text>
        <r>
          <rPr>
            <b/>
            <sz val="9"/>
            <color indexed="81"/>
            <rFont val="宋体"/>
            <family val="3"/>
            <charset val="134"/>
          </rPr>
          <t>Hym:</t>
        </r>
        <r>
          <rPr>
            <sz val="9"/>
            <color indexed="81"/>
            <rFont val="宋体"/>
            <family val="3"/>
            <charset val="134"/>
          </rPr>
          <t xml:space="preserve">
中文</t>
        </r>
      </text>
    </comment>
    <comment ref="A1695" authorId="2" shapeId="0" xr:uid="{DC33562C-7523-4349-8942-652F8851AFB3}">
      <text>
        <r>
          <rPr>
            <b/>
            <sz val="9"/>
            <color indexed="81"/>
            <rFont val="宋体"/>
            <family val="3"/>
            <charset val="134"/>
          </rPr>
          <t>Hym:</t>
        </r>
        <r>
          <rPr>
            <sz val="9"/>
            <color indexed="81"/>
            <rFont val="宋体"/>
            <family val="3"/>
            <charset val="134"/>
          </rPr>
          <t xml:space="preserve">
DL</t>
        </r>
      </text>
    </comment>
    <comment ref="A1737" authorId="2" shapeId="0" xr:uid="{0CFDBB82-D2DD-4674-8538-68CDCE71B753}">
      <text>
        <r>
          <rPr>
            <b/>
            <sz val="9"/>
            <color indexed="81"/>
            <rFont val="宋体"/>
            <family val="3"/>
            <charset val="134"/>
          </rPr>
          <t>Hym:</t>
        </r>
        <r>
          <rPr>
            <sz val="9"/>
            <color indexed="81"/>
            <rFont val="宋体"/>
            <family val="3"/>
            <charset val="134"/>
          </rPr>
          <t xml:space="preserve">
外文</t>
        </r>
      </text>
    </comment>
    <comment ref="A1772" authorId="2" shapeId="0" xr:uid="{D7AA5552-F8AB-4EA7-BA8A-6672C4B9AF00}">
      <text>
        <r>
          <rPr>
            <b/>
            <sz val="9"/>
            <color indexed="81"/>
            <rFont val="宋体"/>
            <family val="3"/>
            <charset val="134"/>
          </rPr>
          <t>Hym:</t>
        </r>
        <r>
          <rPr>
            <sz val="9"/>
            <color indexed="81"/>
            <rFont val="宋体"/>
            <family val="3"/>
            <charset val="134"/>
          </rPr>
          <t xml:space="preserve">
MI</t>
        </r>
      </text>
    </comment>
    <comment ref="A1774" authorId="2" shapeId="0" xr:uid="{CB3A0109-E653-4EA9-AA6C-623153E416A2}">
      <text>
        <r>
          <rPr>
            <b/>
            <sz val="9"/>
            <color indexed="81"/>
            <rFont val="宋体"/>
            <family val="3"/>
            <charset val="134"/>
          </rPr>
          <t>Hym:</t>
        </r>
        <r>
          <rPr>
            <sz val="9"/>
            <color indexed="81"/>
            <rFont val="宋体"/>
            <family val="3"/>
            <charset val="134"/>
          </rPr>
          <t xml:space="preserve">
MI</t>
        </r>
      </text>
    </comment>
    <comment ref="A1912" authorId="2" shapeId="0" xr:uid="{0C28C8C6-60FC-4FE0-8285-9EF7887FFA45}">
      <text>
        <r>
          <rPr>
            <b/>
            <sz val="9"/>
            <color indexed="81"/>
            <rFont val="宋体"/>
            <family val="3"/>
            <charset val="134"/>
          </rPr>
          <t>Hym:</t>
        </r>
        <r>
          <rPr>
            <sz val="9"/>
            <color indexed="81"/>
            <rFont val="宋体"/>
            <family val="3"/>
            <charset val="134"/>
          </rPr>
          <t xml:space="preserve">
MI</t>
        </r>
      </text>
    </comment>
    <comment ref="A1984" authorId="2" shapeId="0" xr:uid="{2229AAE7-8B1A-4BA8-A667-6A52617A47B2}">
      <text>
        <r>
          <rPr>
            <b/>
            <sz val="9"/>
            <color indexed="81"/>
            <rFont val="宋体"/>
            <family val="3"/>
            <charset val="134"/>
          </rPr>
          <t>Hym:</t>
        </r>
        <r>
          <rPr>
            <sz val="9"/>
            <color indexed="81"/>
            <rFont val="宋体"/>
            <family val="3"/>
            <charset val="134"/>
          </rPr>
          <t xml:space="preserve">
外文</t>
        </r>
      </text>
    </comment>
    <comment ref="A2013" authorId="2" shapeId="0" xr:uid="{9E0BDEAB-2424-435C-8E5D-302A449AD6B4}">
      <text>
        <r>
          <rPr>
            <b/>
            <sz val="9"/>
            <color indexed="81"/>
            <rFont val="宋体"/>
            <family val="3"/>
            <charset val="134"/>
          </rPr>
          <t>Hym:</t>
        </r>
        <r>
          <rPr>
            <sz val="9"/>
            <color indexed="81"/>
            <rFont val="宋体"/>
            <family val="3"/>
            <charset val="134"/>
          </rPr>
          <t xml:space="preserve">
COMMENTARY</t>
        </r>
      </text>
    </comment>
    <comment ref="A2025" authorId="2" shapeId="0" xr:uid="{E1BC0AA6-6D4C-4711-A0F5-22569110D07F}">
      <text>
        <r>
          <rPr>
            <b/>
            <sz val="9"/>
            <color indexed="81"/>
            <rFont val="宋体"/>
            <family val="3"/>
            <charset val="134"/>
          </rPr>
          <t>Hym:</t>
        </r>
        <r>
          <rPr>
            <sz val="9"/>
            <color indexed="81"/>
            <rFont val="宋体"/>
            <family val="3"/>
            <charset val="134"/>
          </rPr>
          <t xml:space="preserve">
DL</t>
        </r>
      </text>
    </comment>
    <comment ref="A2037" authorId="2" shapeId="0" xr:uid="{155F4B24-6FBD-47F8-AB0D-21853FEF3385}">
      <text>
        <r>
          <rPr>
            <b/>
            <sz val="9"/>
            <color indexed="81"/>
            <rFont val="宋体"/>
            <family val="3"/>
            <charset val="134"/>
          </rPr>
          <t>Hym:</t>
        </r>
        <r>
          <rPr>
            <sz val="9"/>
            <color indexed="81"/>
            <rFont val="宋体"/>
            <family val="3"/>
            <charset val="134"/>
          </rPr>
          <t xml:space="preserve">
MI</t>
        </r>
      </text>
    </comment>
    <comment ref="A2038" authorId="2" shapeId="0" xr:uid="{B832DAE5-0562-4CFB-BC83-DFF564851CEA}">
      <text>
        <r>
          <rPr>
            <b/>
            <sz val="9"/>
            <color indexed="81"/>
            <rFont val="宋体"/>
            <family val="3"/>
            <charset val="134"/>
          </rPr>
          <t>Hym:</t>
        </r>
        <r>
          <rPr>
            <sz val="9"/>
            <color indexed="81"/>
            <rFont val="宋体"/>
            <family val="3"/>
            <charset val="134"/>
          </rPr>
          <t xml:space="preserve">
DL</t>
        </r>
      </text>
    </comment>
    <comment ref="A2079" authorId="2" shapeId="0" xr:uid="{A100D6A1-74F9-4E58-8B51-C11B743D871E}">
      <text>
        <r>
          <rPr>
            <b/>
            <sz val="9"/>
            <color indexed="81"/>
            <rFont val="宋体"/>
            <family val="3"/>
            <charset val="134"/>
          </rPr>
          <t>Hym:</t>
        </r>
        <r>
          <rPr>
            <sz val="9"/>
            <color indexed="81"/>
            <rFont val="宋体"/>
            <family val="3"/>
            <charset val="134"/>
          </rPr>
          <t xml:space="preserve">
MI</t>
        </r>
      </text>
    </comment>
    <comment ref="A2082" authorId="0" shapeId="0" xr:uid="{ECDC353C-56DD-4F86-B491-9D04FBF2BD67}">
      <text>
        <r>
          <rPr>
            <b/>
            <sz val="9"/>
            <color indexed="81"/>
            <rFont val="宋体"/>
            <family val="3"/>
            <charset val="134"/>
          </rPr>
          <t>jiangdian song:</t>
        </r>
        <r>
          <rPr>
            <sz val="9"/>
            <color indexed="81"/>
            <rFont val="宋体"/>
            <family val="3"/>
            <charset val="134"/>
          </rPr>
          <t xml:space="preserve">
no DL</t>
        </r>
      </text>
    </comment>
    <comment ref="A2114" authorId="2" shapeId="0" xr:uid="{A3BB3ECB-E4F1-4D31-B397-B3E733BB477C}">
      <text>
        <r>
          <rPr>
            <b/>
            <sz val="9"/>
            <color indexed="81"/>
            <rFont val="宋体"/>
            <family val="3"/>
            <charset val="134"/>
          </rPr>
          <t>Hym:</t>
        </r>
        <r>
          <rPr>
            <sz val="9"/>
            <color indexed="81"/>
            <rFont val="宋体"/>
            <family val="3"/>
            <charset val="134"/>
          </rPr>
          <t xml:space="preserve">
DL</t>
        </r>
      </text>
    </comment>
    <comment ref="A2140" authorId="2" shapeId="0" xr:uid="{1E517A43-3F9F-433D-8469-71EF023F3D4B}">
      <text>
        <r>
          <rPr>
            <b/>
            <sz val="9"/>
            <color indexed="81"/>
            <rFont val="宋体"/>
            <family val="3"/>
            <charset val="134"/>
          </rPr>
          <t>Hym:</t>
        </r>
        <r>
          <rPr>
            <sz val="9"/>
            <color indexed="81"/>
            <rFont val="宋体"/>
            <family val="3"/>
            <charset val="134"/>
          </rPr>
          <t xml:space="preserve">
MI</t>
        </r>
      </text>
    </comment>
    <comment ref="A2188" authorId="2" shapeId="0" xr:uid="{519568DE-0F23-4CF3-BC08-C3CA96073BC9}">
      <text>
        <r>
          <rPr>
            <b/>
            <sz val="9"/>
            <color indexed="81"/>
            <rFont val="宋体"/>
            <family val="3"/>
            <charset val="134"/>
          </rPr>
          <t>Hym:</t>
        </r>
        <r>
          <rPr>
            <sz val="9"/>
            <color indexed="81"/>
            <rFont val="宋体"/>
            <family val="3"/>
            <charset val="134"/>
          </rPr>
          <t xml:space="preserve">
MI</t>
        </r>
      </text>
    </comment>
    <comment ref="A2191" authorId="2" shapeId="0" xr:uid="{38D33B1C-BA74-4B65-8179-2CBD71128BCA}">
      <text>
        <r>
          <rPr>
            <b/>
            <sz val="9"/>
            <color indexed="81"/>
            <rFont val="宋体"/>
            <family val="3"/>
            <charset val="134"/>
          </rPr>
          <t>Hym:</t>
        </r>
        <r>
          <rPr>
            <sz val="9"/>
            <color indexed="81"/>
            <rFont val="宋体"/>
            <family val="3"/>
            <charset val="134"/>
          </rPr>
          <t xml:space="preserve">
</t>
        </r>
      </text>
    </comment>
    <comment ref="A2244" authorId="2" shapeId="0" xr:uid="{65937021-1912-466C-AD28-A2306B784327}">
      <text>
        <r>
          <rPr>
            <b/>
            <sz val="9"/>
            <color indexed="81"/>
            <rFont val="宋体"/>
            <family val="3"/>
            <charset val="134"/>
          </rPr>
          <t>Hym:</t>
        </r>
        <r>
          <rPr>
            <sz val="9"/>
            <color indexed="81"/>
            <rFont val="宋体"/>
            <family val="3"/>
            <charset val="134"/>
          </rPr>
          <t xml:space="preserve">
MI</t>
        </r>
      </text>
    </comment>
    <comment ref="A2276" authorId="2" shapeId="0" xr:uid="{261A0064-A993-4ADF-B05A-B66EF880B2CB}">
      <text>
        <r>
          <rPr>
            <b/>
            <sz val="9"/>
            <color indexed="81"/>
            <rFont val="宋体"/>
            <family val="3"/>
            <charset val="134"/>
          </rPr>
          <t>Hym:</t>
        </r>
        <r>
          <rPr>
            <sz val="9"/>
            <color indexed="81"/>
            <rFont val="宋体"/>
            <family val="3"/>
            <charset val="134"/>
          </rPr>
          <t xml:space="preserve">
DL</t>
        </r>
      </text>
    </comment>
    <comment ref="A2327" authorId="2" shapeId="0" xr:uid="{C4179D97-4A04-4037-9C59-EA47DDA446D6}">
      <text>
        <r>
          <rPr>
            <b/>
            <sz val="9"/>
            <color indexed="81"/>
            <rFont val="宋体"/>
            <family val="3"/>
            <charset val="134"/>
          </rPr>
          <t>Hym:</t>
        </r>
        <r>
          <rPr>
            <sz val="9"/>
            <color indexed="81"/>
            <rFont val="宋体"/>
            <family val="3"/>
            <charset val="134"/>
          </rPr>
          <t xml:space="preserve">
MI</t>
        </r>
      </text>
    </comment>
    <comment ref="A2341" authorId="2" shapeId="0" xr:uid="{0E274F39-65D3-4377-A426-EEA160DC4ACA}">
      <text>
        <r>
          <rPr>
            <b/>
            <sz val="9"/>
            <color indexed="81"/>
            <rFont val="宋体"/>
            <family val="3"/>
            <charset val="134"/>
          </rPr>
          <t>Hym:</t>
        </r>
        <r>
          <rPr>
            <sz val="9"/>
            <color indexed="81"/>
            <rFont val="宋体"/>
            <family val="3"/>
            <charset val="134"/>
          </rPr>
          <t xml:space="preserve">
DL</t>
        </r>
      </text>
    </comment>
    <comment ref="A2408" authorId="2" shapeId="0" xr:uid="{2182CDBA-CC7E-4504-841D-3442EAC84634}">
      <text>
        <r>
          <rPr>
            <b/>
            <sz val="9"/>
            <color indexed="81"/>
            <rFont val="宋体"/>
            <family val="3"/>
            <charset val="134"/>
          </rPr>
          <t>Hym:</t>
        </r>
        <r>
          <rPr>
            <sz val="9"/>
            <color indexed="81"/>
            <rFont val="宋体"/>
            <family val="3"/>
            <charset val="134"/>
          </rPr>
          <t xml:space="preserve">
MI</t>
        </r>
      </text>
    </comment>
    <comment ref="A2414" authorId="2" shapeId="0" xr:uid="{DA89FEE2-328F-447A-9151-9ACAEF87C69C}">
      <text>
        <r>
          <rPr>
            <b/>
            <sz val="9"/>
            <color indexed="81"/>
            <rFont val="宋体"/>
            <family val="3"/>
            <charset val="134"/>
          </rPr>
          <t>Hym:</t>
        </r>
        <r>
          <rPr>
            <sz val="9"/>
            <color indexed="81"/>
            <rFont val="宋体"/>
            <family val="3"/>
            <charset val="134"/>
          </rPr>
          <t xml:space="preserve">
DL</t>
        </r>
      </text>
    </comment>
    <comment ref="A2528" authorId="2" shapeId="0" xr:uid="{72D0A107-EEA1-4433-AFDC-58DA13E6CE7D}">
      <text>
        <r>
          <rPr>
            <b/>
            <sz val="9"/>
            <color indexed="81"/>
            <rFont val="宋体"/>
            <family val="3"/>
            <charset val="134"/>
          </rPr>
          <t>Hym:</t>
        </r>
        <r>
          <rPr>
            <sz val="9"/>
            <color indexed="81"/>
            <rFont val="宋体"/>
            <family val="3"/>
            <charset val="134"/>
          </rPr>
          <t xml:space="preserve">
comment</t>
        </r>
      </text>
    </comment>
    <comment ref="A2532" authorId="2" shapeId="0" xr:uid="{82C2F7A4-C159-4400-80C2-D73C44CDE2C2}">
      <text>
        <r>
          <rPr>
            <b/>
            <sz val="9"/>
            <color indexed="81"/>
            <rFont val="宋体"/>
            <family val="3"/>
            <charset val="134"/>
          </rPr>
          <t>Hym:</t>
        </r>
        <r>
          <rPr>
            <sz val="9"/>
            <color indexed="81"/>
            <rFont val="宋体"/>
            <family val="3"/>
            <charset val="134"/>
          </rPr>
          <t xml:space="preserve">
DL</t>
        </r>
      </text>
    </comment>
    <comment ref="A2620" authorId="2" shapeId="0" xr:uid="{D041F616-8A43-4E73-B05B-4666F29168CA}">
      <text>
        <r>
          <rPr>
            <b/>
            <sz val="9"/>
            <color indexed="81"/>
            <rFont val="宋体"/>
            <family val="3"/>
            <charset val="134"/>
          </rPr>
          <t>Hym:</t>
        </r>
        <r>
          <rPr>
            <sz val="9"/>
            <color indexed="81"/>
            <rFont val="宋体"/>
            <family val="3"/>
            <charset val="134"/>
          </rPr>
          <t xml:space="preserve">
MI</t>
        </r>
      </text>
    </comment>
    <comment ref="A2630" authorId="2" shapeId="0" xr:uid="{A11806B5-6503-4047-810C-AAEC81DD4D51}">
      <text>
        <r>
          <rPr>
            <b/>
            <sz val="9"/>
            <color indexed="81"/>
            <rFont val="宋体"/>
            <family val="3"/>
            <charset val="134"/>
          </rPr>
          <t>Hym:</t>
        </r>
        <r>
          <rPr>
            <sz val="9"/>
            <color indexed="81"/>
            <rFont val="宋体"/>
            <family val="3"/>
            <charset val="134"/>
          </rPr>
          <t xml:space="preserve">
MI</t>
        </r>
      </text>
    </comment>
    <comment ref="A2698" authorId="2" shapeId="0" xr:uid="{1431138B-8BB5-4C9D-9E3C-306DA9D6CEB6}">
      <text>
        <r>
          <rPr>
            <b/>
            <sz val="9"/>
            <color indexed="81"/>
            <rFont val="宋体"/>
            <family val="3"/>
            <charset val="134"/>
          </rPr>
          <t>Hym:</t>
        </r>
        <r>
          <rPr>
            <sz val="9"/>
            <color indexed="81"/>
            <rFont val="宋体"/>
            <family val="3"/>
            <charset val="134"/>
          </rPr>
          <t xml:space="preserve">
MI</t>
        </r>
      </text>
    </comment>
    <comment ref="A2711" authorId="2" shapeId="0" xr:uid="{DAB6663E-A642-4A61-A82D-0A76D32C2E8C}">
      <text>
        <r>
          <rPr>
            <b/>
            <sz val="9"/>
            <color indexed="81"/>
            <rFont val="宋体"/>
            <family val="3"/>
            <charset val="134"/>
          </rPr>
          <t>Hym:</t>
        </r>
        <r>
          <rPr>
            <sz val="9"/>
            <color indexed="81"/>
            <rFont val="宋体"/>
            <family val="3"/>
            <charset val="134"/>
          </rPr>
          <t xml:space="preserve">
letter to the editor</t>
        </r>
      </text>
    </comment>
    <comment ref="A2751" authorId="2" shapeId="0" xr:uid="{4A5C015A-D17B-4AE9-B442-4F57DEC57454}">
      <text>
        <r>
          <rPr>
            <b/>
            <sz val="9"/>
            <color indexed="81"/>
            <rFont val="宋体"/>
            <family val="3"/>
            <charset val="134"/>
          </rPr>
          <t>Hym:</t>
        </r>
        <r>
          <rPr>
            <sz val="9"/>
            <color indexed="81"/>
            <rFont val="宋体"/>
            <family val="3"/>
            <charset val="134"/>
          </rPr>
          <t xml:space="preserve">
MI</t>
        </r>
      </text>
    </comment>
    <comment ref="A2764" authorId="2" shapeId="0" xr:uid="{2F02E0F6-72BD-435B-9723-703A345FE3E6}">
      <text>
        <r>
          <rPr>
            <b/>
            <sz val="9"/>
            <color indexed="81"/>
            <rFont val="宋体"/>
            <family val="3"/>
            <charset val="134"/>
          </rPr>
          <t>Hym:</t>
        </r>
        <r>
          <rPr>
            <sz val="9"/>
            <color indexed="81"/>
            <rFont val="宋体"/>
            <family val="3"/>
            <charset val="134"/>
          </rPr>
          <t xml:space="preserve">
C O M M E N TA RY</t>
        </r>
      </text>
    </comment>
    <comment ref="A2781" authorId="2" shapeId="0" xr:uid="{07E35007-9D04-47BB-BA72-8774CF76F11D}">
      <text>
        <r>
          <rPr>
            <b/>
            <sz val="9"/>
            <color indexed="81"/>
            <rFont val="宋体"/>
            <family val="3"/>
            <charset val="134"/>
          </rPr>
          <t>Hym:</t>
        </r>
        <r>
          <rPr>
            <sz val="9"/>
            <color indexed="81"/>
            <rFont val="宋体"/>
            <family val="3"/>
            <charset val="134"/>
          </rPr>
          <t xml:space="preserve">
重复研究</t>
        </r>
      </text>
    </comment>
    <comment ref="A2800" authorId="2" shapeId="0" xr:uid="{70F71C42-2D47-4FB8-BE03-A7D6BC9271D8}">
      <text>
        <r>
          <rPr>
            <b/>
            <sz val="9"/>
            <color indexed="81"/>
            <rFont val="宋体"/>
            <family val="3"/>
            <charset val="134"/>
          </rPr>
          <t>Hym:</t>
        </r>
        <r>
          <rPr>
            <sz val="9"/>
            <color indexed="81"/>
            <rFont val="宋体"/>
            <family val="3"/>
            <charset val="134"/>
          </rPr>
          <t xml:space="preserve">
MI</t>
        </r>
      </text>
    </comment>
    <comment ref="A2821" authorId="2" shapeId="0" xr:uid="{BAE57CBB-0A73-4C93-A67F-6CDDC2A2D8D0}">
      <text>
        <r>
          <rPr>
            <b/>
            <sz val="9"/>
            <color indexed="81"/>
            <rFont val="宋体"/>
            <family val="3"/>
            <charset val="134"/>
          </rPr>
          <t>Hym:</t>
        </r>
        <r>
          <rPr>
            <sz val="9"/>
            <color indexed="81"/>
            <rFont val="宋体"/>
            <family val="3"/>
            <charset val="134"/>
          </rPr>
          <t xml:space="preserve">
Comment</t>
        </r>
      </text>
    </comment>
    <comment ref="A2861" authorId="2" shapeId="0" xr:uid="{09441303-7B0E-47C0-AFDF-1234092AE423}">
      <text>
        <r>
          <rPr>
            <b/>
            <sz val="9"/>
            <color indexed="81"/>
            <rFont val="宋体"/>
            <family val="3"/>
            <charset val="134"/>
          </rPr>
          <t>Hym:</t>
        </r>
        <r>
          <rPr>
            <sz val="9"/>
            <color indexed="81"/>
            <rFont val="宋体"/>
            <family val="3"/>
            <charset val="134"/>
          </rPr>
          <t xml:space="preserve">
EDITORIAL</t>
        </r>
      </text>
    </comment>
    <comment ref="A2912" authorId="2" shapeId="0" xr:uid="{7C6CA7F9-0D40-4C32-A787-AC80936B809D}">
      <text>
        <r>
          <rPr>
            <b/>
            <sz val="9"/>
            <color indexed="81"/>
            <rFont val="宋体"/>
            <family val="3"/>
            <charset val="134"/>
          </rPr>
          <t>Hym:</t>
        </r>
        <r>
          <rPr>
            <sz val="9"/>
            <color indexed="81"/>
            <rFont val="宋体"/>
            <family val="3"/>
            <charset val="134"/>
          </rPr>
          <t xml:space="preserve">
DL</t>
        </r>
      </text>
    </comment>
    <comment ref="A2958" authorId="2" shapeId="0" xr:uid="{CB5DF563-79D1-4231-9B30-0DD5F804DFFB}">
      <text>
        <r>
          <rPr>
            <b/>
            <sz val="9"/>
            <color indexed="81"/>
            <rFont val="宋体"/>
            <family val="3"/>
            <charset val="134"/>
          </rPr>
          <t>Hym:</t>
        </r>
        <r>
          <rPr>
            <sz val="9"/>
            <color indexed="81"/>
            <rFont val="宋体"/>
            <family val="3"/>
            <charset val="134"/>
          </rPr>
          <t xml:space="preserve">
MI</t>
        </r>
      </text>
    </comment>
    <comment ref="A2985" authorId="2" shapeId="0" xr:uid="{5AD029BF-992B-4202-9A25-ADFE6478A251}">
      <text>
        <r>
          <rPr>
            <b/>
            <sz val="9"/>
            <color indexed="81"/>
            <rFont val="宋体"/>
            <family val="3"/>
            <charset val="134"/>
          </rPr>
          <t>Hym:</t>
        </r>
        <r>
          <rPr>
            <sz val="9"/>
            <color indexed="81"/>
            <rFont val="宋体"/>
            <family val="3"/>
            <charset val="134"/>
          </rPr>
          <t xml:space="preserve">
MI</t>
        </r>
      </text>
    </comment>
    <comment ref="A2990" authorId="2" shapeId="0" xr:uid="{C029143E-D698-412F-9094-9560040F8832}">
      <text>
        <r>
          <rPr>
            <b/>
            <sz val="9"/>
            <color indexed="81"/>
            <rFont val="宋体"/>
            <family val="3"/>
            <charset val="134"/>
          </rPr>
          <t>Hym:</t>
        </r>
        <r>
          <rPr>
            <sz val="9"/>
            <color indexed="81"/>
            <rFont val="宋体"/>
            <family val="3"/>
            <charset val="134"/>
          </rPr>
          <t xml:space="preserve">
COMMENTARY</t>
        </r>
      </text>
    </comment>
    <comment ref="A3021" authorId="2" shapeId="0" xr:uid="{BB3BA23B-59D8-45D1-B828-D2D7ED6E23FD}">
      <text>
        <r>
          <rPr>
            <b/>
            <sz val="9"/>
            <color indexed="81"/>
            <rFont val="宋体"/>
            <family val="3"/>
            <charset val="134"/>
          </rPr>
          <t>Hym:</t>
        </r>
        <r>
          <rPr>
            <sz val="9"/>
            <color indexed="81"/>
            <rFont val="宋体"/>
            <family val="3"/>
            <charset val="134"/>
          </rPr>
          <t xml:space="preserve">
DL</t>
        </r>
      </text>
    </comment>
    <comment ref="A3028" authorId="2" shapeId="0" xr:uid="{C2D7433F-C978-46C4-B778-6AF5B6A2224D}">
      <text>
        <r>
          <rPr>
            <b/>
            <sz val="9"/>
            <color indexed="81"/>
            <rFont val="宋体"/>
            <family val="3"/>
            <charset val="134"/>
          </rPr>
          <t>Hym:</t>
        </r>
        <r>
          <rPr>
            <sz val="9"/>
            <color indexed="81"/>
            <rFont val="宋体"/>
            <family val="3"/>
            <charset val="134"/>
          </rPr>
          <t xml:space="preserve">
MI</t>
        </r>
      </text>
    </comment>
    <comment ref="A3059" authorId="2" shapeId="0" xr:uid="{C5B4C0B2-FAE9-4804-A948-3359BF13C411}">
      <text>
        <r>
          <rPr>
            <b/>
            <sz val="9"/>
            <color indexed="81"/>
            <rFont val="宋体"/>
            <family val="3"/>
            <charset val="134"/>
          </rPr>
          <t>Hym:</t>
        </r>
        <r>
          <rPr>
            <sz val="9"/>
            <color indexed="81"/>
            <rFont val="宋体"/>
            <family val="3"/>
            <charset val="134"/>
          </rPr>
          <t xml:space="preserve">
MI</t>
        </r>
      </text>
    </comment>
    <comment ref="A3090" authorId="2" shapeId="0" xr:uid="{4958B2C4-8BCF-4466-BD70-245CAC4EC198}">
      <text>
        <r>
          <rPr>
            <b/>
            <sz val="9"/>
            <color indexed="81"/>
            <rFont val="宋体"/>
            <family val="3"/>
            <charset val="134"/>
          </rPr>
          <t>Hym:</t>
        </r>
        <r>
          <rPr>
            <sz val="9"/>
            <color indexed="81"/>
            <rFont val="宋体"/>
            <family val="3"/>
            <charset val="134"/>
          </rPr>
          <t xml:space="preserve">
MI</t>
        </r>
      </text>
    </comment>
    <comment ref="H3108" authorId="3" shapeId="0" xr:uid="{CEAD196E-7DF0-4906-9A97-9C1EB5FD9DEB}">
      <text>
        <r>
          <rPr>
            <b/>
            <sz val="9"/>
            <rFont val="宋体"/>
            <family val="3"/>
            <charset val="134"/>
          </rPr>
          <t>www:</t>
        </r>
        <r>
          <rPr>
            <sz val="9"/>
            <rFont val="宋体"/>
            <family val="3"/>
            <charset val="134"/>
          </rPr>
          <t xml:space="preserve">
眼科</t>
        </r>
      </text>
    </comment>
    <comment ref="H3111" authorId="3" shapeId="0" xr:uid="{1F66688D-3823-4355-9B6A-0723C9C55FEB}">
      <text>
        <r>
          <rPr>
            <b/>
            <sz val="9"/>
            <rFont val="宋体"/>
            <family val="3"/>
            <charset val="134"/>
          </rPr>
          <t>www:</t>
        </r>
        <r>
          <rPr>
            <sz val="9"/>
            <rFont val="宋体"/>
            <family val="3"/>
            <charset val="134"/>
          </rPr>
          <t xml:space="preserve">
眼科</t>
        </r>
      </text>
    </comment>
    <comment ref="H3120" authorId="3" shapeId="0" xr:uid="{CA69AC68-3380-4899-AA68-AC24E04688C0}">
      <text>
        <r>
          <rPr>
            <b/>
            <sz val="9"/>
            <rFont val="宋体"/>
            <family val="3"/>
            <charset val="134"/>
          </rPr>
          <t>www:</t>
        </r>
        <r>
          <rPr>
            <sz val="9"/>
            <rFont val="宋体"/>
            <family val="3"/>
            <charset val="134"/>
          </rPr>
          <t xml:space="preserve">
肿瘤中心</t>
        </r>
      </text>
    </comment>
    <comment ref="I3127" authorId="3" shapeId="0" xr:uid="{44F3E0EC-415F-41AA-BB49-245F03D753D6}">
      <text>
        <r>
          <rPr>
            <b/>
            <sz val="9"/>
            <rFont val="宋体"/>
            <family val="3"/>
            <charset val="134"/>
          </rPr>
          <t xml:space="preserve">www:
</t>
        </r>
        <r>
          <rPr>
            <sz val="9"/>
            <rFont val="宋体"/>
            <family val="3"/>
            <charset val="134"/>
          </rPr>
          <t>一对培养瓶的单细胞图像，分别来自人胚胎肾细胞系和人纤维肉瘤肿瘤细胞</t>
        </r>
      </text>
    </comment>
    <comment ref="H3155" authorId="4" shapeId="0" xr:uid="{2628C177-9415-49D3-8E1A-F573BEBFF954}">
      <text>
        <r>
          <rPr>
            <b/>
            <sz val="9"/>
            <rFont val="宋体"/>
            <family val="3"/>
            <charset val="134"/>
          </rPr>
          <t>Han:</t>
        </r>
        <r>
          <rPr>
            <sz val="9"/>
            <rFont val="宋体"/>
            <family val="3"/>
            <charset val="134"/>
          </rPr>
          <t xml:space="preserve">
医学影像科</t>
        </r>
      </text>
    </comment>
    <comment ref="H3161" authorId="4" shapeId="0" xr:uid="{4F3C4832-6961-4087-8664-18565927BAF1}">
      <text>
        <r>
          <rPr>
            <b/>
            <sz val="9"/>
            <rFont val="宋体"/>
            <family val="3"/>
            <charset val="134"/>
          </rPr>
          <t>Han:</t>
        </r>
        <r>
          <rPr>
            <sz val="9"/>
            <rFont val="宋体"/>
            <family val="3"/>
            <charset val="134"/>
          </rPr>
          <t xml:space="preserve">
眼科</t>
        </r>
      </text>
    </comment>
    <comment ref="A3182" authorId="2" shapeId="0" xr:uid="{5C95B27E-D1CA-4AD0-9440-692857C3EC65}">
      <text>
        <r>
          <rPr>
            <b/>
            <sz val="9"/>
            <color indexed="81"/>
            <rFont val="宋体"/>
            <family val="3"/>
            <charset val="134"/>
          </rPr>
          <t>Hym:</t>
        </r>
        <r>
          <rPr>
            <sz val="9"/>
            <color indexed="81"/>
            <rFont val="宋体"/>
            <family val="3"/>
            <charset val="134"/>
          </rPr>
          <t xml:space="preserve">
DL</t>
        </r>
      </text>
    </comment>
    <comment ref="A3238" authorId="2" shapeId="0" xr:uid="{DE319726-C345-491C-B117-6B1B08E7074F}">
      <text>
        <r>
          <rPr>
            <b/>
            <sz val="9"/>
            <color indexed="81"/>
            <rFont val="宋体"/>
            <family val="3"/>
            <charset val="134"/>
          </rPr>
          <t>Hym:</t>
        </r>
        <r>
          <rPr>
            <sz val="9"/>
            <color indexed="81"/>
            <rFont val="宋体"/>
            <family val="3"/>
            <charset val="134"/>
          </rPr>
          <t xml:space="preserve">
MI</t>
        </r>
      </text>
    </comment>
    <comment ref="H3245" authorId="3" shapeId="0" xr:uid="{E8FB02DC-5828-4D1E-8005-2DDC9F4100D4}">
      <text>
        <r>
          <rPr>
            <b/>
            <sz val="9"/>
            <rFont val="宋体"/>
            <family val="3"/>
            <charset val="134"/>
          </rPr>
          <t>www:</t>
        </r>
        <r>
          <rPr>
            <sz val="9"/>
            <rFont val="宋体"/>
            <family val="3"/>
            <charset val="134"/>
          </rPr>
          <t xml:space="preserve">
眼科</t>
        </r>
      </text>
    </comment>
    <comment ref="J3250" authorId="3" shapeId="0" xr:uid="{CF95A7C5-C7A4-4642-BDEB-486211AE9CD7}">
      <text>
        <r>
          <rPr>
            <b/>
            <sz val="9"/>
            <rFont val="宋体"/>
            <family val="3"/>
            <charset val="134"/>
          </rPr>
          <t>www:</t>
        </r>
        <r>
          <rPr>
            <sz val="9"/>
            <rFont val="宋体"/>
            <family val="3"/>
            <charset val="134"/>
          </rPr>
          <t xml:space="preserve">
定量磁敏度映射 (QSM)和MRI</t>
        </r>
      </text>
    </comment>
    <comment ref="A3261" authorId="2" shapeId="0" xr:uid="{3F59F59E-F37F-45B7-AC88-2FF91327078D}">
      <text>
        <r>
          <rPr>
            <b/>
            <sz val="9"/>
            <color indexed="81"/>
            <rFont val="宋体"/>
            <family val="3"/>
            <charset val="134"/>
          </rPr>
          <t>Hym:</t>
        </r>
        <r>
          <rPr>
            <sz val="9"/>
            <color indexed="81"/>
            <rFont val="宋体"/>
            <family val="3"/>
            <charset val="134"/>
          </rPr>
          <t xml:space="preserve">
MI</t>
        </r>
      </text>
    </comment>
    <comment ref="J3263" authorId="3" shapeId="0" xr:uid="{FF93B6B4-B555-4F4D-BA87-0B27E4DD6A1E}">
      <text>
        <r>
          <rPr>
            <b/>
            <sz val="9"/>
            <rFont val="宋体"/>
            <family val="3"/>
            <charset val="134"/>
          </rPr>
          <t>www:</t>
        </r>
        <r>
          <rPr>
            <sz val="9"/>
            <rFont val="宋体"/>
            <family val="3"/>
            <charset val="134"/>
          </rPr>
          <t xml:space="preserve">
stimulated Raman scattering (SRS) microscopy and standard hematoxylin and eosin</t>
        </r>
      </text>
    </comment>
    <comment ref="A3269" authorId="2" shapeId="0" xr:uid="{51306412-BB28-4E0D-B5B2-AADA239222FA}">
      <text>
        <r>
          <rPr>
            <b/>
            <sz val="9"/>
            <color indexed="81"/>
            <rFont val="宋体"/>
            <family val="3"/>
            <charset val="134"/>
          </rPr>
          <t>Hym:</t>
        </r>
        <r>
          <rPr>
            <sz val="9"/>
            <color indexed="81"/>
            <rFont val="宋体"/>
            <family val="3"/>
            <charset val="134"/>
          </rPr>
          <t xml:space="preserve">
MI</t>
        </r>
      </text>
    </comment>
    <comment ref="H3282" authorId="3" shapeId="0" xr:uid="{2585F413-F114-4313-A93F-D5D47D8CCED4}">
      <text>
        <r>
          <rPr>
            <b/>
            <sz val="9"/>
            <rFont val="宋体"/>
            <family val="3"/>
            <charset val="134"/>
          </rPr>
          <t>www:</t>
        </r>
        <r>
          <rPr>
            <sz val="9"/>
            <rFont val="宋体"/>
            <family val="3"/>
            <charset val="134"/>
          </rPr>
          <t xml:space="preserve">
骨科</t>
        </r>
      </text>
    </comment>
    <comment ref="A3284" authorId="2" shapeId="0" xr:uid="{0A3779AC-AC93-4385-8592-9EF772C07334}">
      <text>
        <r>
          <rPr>
            <b/>
            <sz val="9"/>
            <color indexed="81"/>
            <rFont val="宋体"/>
            <family val="3"/>
            <charset val="134"/>
          </rPr>
          <t>Hym:</t>
        </r>
        <r>
          <rPr>
            <sz val="9"/>
            <color indexed="81"/>
            <rFont val="宋体"/>
            <family val="3"/>
            <charset val="134"/>
          </rPr>
          <t xml:space="preserve">
MI</t>
        </r>
      </text>
    </comment>
    <comment ref="A3308" authorId="2" shapeId="0" xr:uid="{4B85511B-DEF9-409E-AEA6-485E388F5869}">
      <text>
        <r>
          <rPr>
            <b/>
            <sz val="9"/>
            <color indexed="81"/>
            <rFont val="宋体"/>
            <family val="3"/>
            <charset val="134"/>
          </rPr>
          <t>Hym:</t>
        </r>
        <r>
          <rPr>
            <sz val="9"/>
            <color indexed="81"/>
            <rFont val="宋体"/>
            <family val="3"/>
            <charset val="134"/>
          </rPr>
          <t xml:space="preserve">
MI</t>
        </r>
      </text>
    </comment>
    <comment ref="H3335" authorId="4" shapeId="0" xr:uid="{A417564D-D2CE-4B8A-8C79-5FE07FB93D72}">
      <text>
        <r>
          <rPr>
            <b/>
            <sz val="9"/>
            <rFont val="宋体"/>
            <family val="3"/>
            <charset val="134"/>
          </rPr>
          <t>Han:</t>
        </r>
        <r>
          <rPr>
            <sz val="9"/>
            <rFont val="宋体"/>
            <family val="3"/>
            <charset val="134"/>
          </rPr>
          <t xml:space="preserve">
眼科</t>
        </r>
      </text>
    </comment>
    <comment ref="H3336" authorId="4" shapeId="0" xr:uid="{9BCE2CAD-1843-42F2-B494-CBF4AD6841BB}">
      <text>
        <r>
          <rPr>
            <b/>
            <sz val="9"/>
            <rFont val="宋体"/>
            <family val="3"/>
            <charset val="134"/>
          </rPr>
          <t>Han:</t>
        </r>
        <r>
          <rPr>
            <sz val="9"/>
            <rFont val="宋体"/>
            <family val="3"/>
            <charset val="134"/>
          </rPr>
          <t xml:space="preserve">
眼科</t>
        </r>
      </text>
    </comment>
    <comment ref="H3338" authorId="4" shapeId="0" xr:uid="{F077C71A-8C42-4298-BFD8-1B447A70C602}">
      <text>
        <r>
          <rPr>
            <b/>
            <sz val="9"/>
            <rFont val="宋体"/>
            <family val="3"/>
            <charset val="134"/>
          </rPr>
          <t>Han:</t>
        </r>
        <r>
          <rPr>
            <sz val="9"/>
            <rFont val="宋体"/>
            <family val="3"/>
            <charset val="134"/>
          </rPr>
          <t xml:space="preserve">
1图像处理与模式识别研究所</t>
        </r>
      </text>
    </comment>
    <comment ref="I3344" authorId="3" shapeId="0" xr:uid="{FC547B60-9D58-46B4-8CE4-25D31A46F602}">
      <text>
        <r>
          <rPr>
            <b/>
            <sz val="9"/>
            <rFont val="宋体"/>
            <family val="3"/>
            <charset val="134"/>
          </rPr>
          <t>www:</t>
        </r>
        <r>
          <rPr>
            <sz val="9"/>
            <rFont val="宋体"/>
            <family val="3"/>
            <charset val="134"/>
          </rPr>
          <t xml:space="preserve">
tooth</t>
        </r>
      </text>
    </comment>
    <comment ref="J3344" authorId="3" shapeId="0" xr:uid="{D48A27F1-DB7F-4CF1-8889-DF2464DA8C39}">
      <text>
        <r>
          <rPr>
            <b/>
            <sz val="9"/>
            <rFont val="宋体"/>
            <family val="3"/>
            <charset val="134"/>
          </rPr>
          <t>www:</t>
        </r>
        <r>
          <rPr>
            <sz val="9"/>
            <rFont val="宋体"/>
            <family val="3"/>
            <charset val="134"/>
          </rPr>
          <t xml:space="preserve">
CBCT</t>
        </r>
      </text>
    </comment>
    <comment ref="N3369" authorId="3" shapeId="0" xr:uid="{36BBD0CE-4B1E-4BEA-8FE8-2CB98F5CED59}">
      <text>
        <r>
          <rPr>
            <b/>
            <sz val="9"/>
            <rFont val="宋体"/>
            <family val="3"/>
            <charset val="134"/>
          </rPr>
          <t>www:</t>
        </r>
        <r>
          <rPr>
            <sz val="9"/>
            <rFont val="宋体"/>
            <family val="3"/>
            <charset val="134"/>
          </rPr>
          <t xml:space="preserve">
4417videos用于训练
2739images用于测试</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jiangdian song</author>
    <author>Administrator</author>
    <author>linwenyi</author>
    <author>Windows 用户</author>
    <author>lenovo</author>
  </authors>
  <commentList>
    <comment ref="D1" authorId="0" shapeId="0" xr:uid="{35A93C2A-54E6-4F37-8208-5E11802471A6}">
      <text>
        <r>
          <rPr>
            <b/>
            <sz val="9"/>
            <color indexed="81"/>
            <rFont val="宋体"/>
            <family val="3"/>
            <charset val="134"/>
          </rPr>
          <t>jiangdian song:</t>
        </r>
        <r>
          <rPr>
            <sz val="9"/>
            <color indexed="81"/>
            <rFont val="宋体"/>
            <family val="3"/>
            <charset val="134"/>
          </rPr>
          <t xml:space="preserve">
有些症状不确定属于哪一类，比如多发性硬化，看introduction里是否提及具体哪个部位的疾病</t>
        </r>
      </text>
    </comment>
    <comment ref="G1" authorId="0" shapeId="0" xr:uid="{912E1660-5FC1-4635-A037-E0F45B2DCCE0}">
      <text>
        <r>
          <rPr>
            <b/>
            <sz val="9"/>
            <color indexed="81"/>
            <rFont val="宋体"/>
            <family val="3"/>
            <charset val="134"/>
          </rPr>
          <t>jiangdian song:</t>
        </r>
        <r>
          <rPr>
            <sz val="9"/>
            <color indexed="81"/>
            <rFont val="宋体"/>
            <family val="3"/>
            <charset val="134"/>
          </rPr>
          <t xml:space="preserve">
segmentation</t>
        </r>
        <r>
          <rPr>
            <sz val="9"/>
            <color indexed="81"/>
            <rFont val="宋体"/>
            <family val="3"/>
            <charset val="134"/>
          </rPr>
          <t>/classification</t>
        </r>
        <r>
          <rPr>
            <sz val="9"/>
            <color indexed="81"/>
            <rFont val="宋体"/>
            <family val="3"/>
            <charset val="134"/>
          </rPr>
          <t>=annotation</t>
        </r>
        <r>
          <rPr>
            <sz val="9"/>
            <color indexed="81"/>
            <rFont val="宋体"/>
            <family val="3"/>
            <charset val="134"/>
          </rPr>
          <t>/detection/identification、diagnose</t>
        </r>
        <r>
          <rPr>
            <sz val="9"/>
            <color indexed="81"/>
            <rFont val="宋体"/>
            <family val="3"/>
            <charset val="134"/>
          </rPr>
          <t>属于</t>
        </r>
        <r>
          <rPr>
            <sz val="9"/>
            <color indexed="81"/>
            <rFont val="宋体"/>
            <family val="3"/>
            <charset val="134"/>
          </rPr>
          <t>characterization</t>
        </r>
        <r>
          <rPr>
            <sz val="9"/>
            <color indexed="81"/>
            <rFont val="宋体"/>
            <family val="3"/>
            <charset val="134"/>
          </rPr>
          <t>;</t>
        </r>
        <r>
          <rPr>
            <sz val="9"/>
            <color indexed="81"/>
            <rFont val="宋体"/>
            <family val="3"/>
            <charset val="134"/>
          </rPr>
          <t>denoising,registration/reconstruction属于presrocessing</t>
        </r>
        <r>
          <rPr>
            <sz val="9"/>
            <color indexed="81"/>
            <rFont val="宋体"/>
            <family val="3"/>
            <charset val="134"/>
          </rPr>
          <t xml:space="preserve">
各个特征词之间用英文逗号分隔</t>
        </r>
      </text>
    </comment>
    <comment ref="I1" authorId="0" shapeId="0" xr:uid="{B8807594-1DB8-41EF-8F05-DD6A7AD00FF3}">
      <text>
        <r>
          <rPr>
            <b/>
            <sz val="9"/>
            <color indexed="81"/>
            <rFont val="宋体"/>
            <family val="3"/>
            <charset val="134"/>
          </rPr>
          <t>jiangdian song:</t>
        </r>
        <r>
          <rPr>
            <sz val="9"/>
            <color indexed="81"/>
            <rFont val="宋体"/>
            <family val="3"/>
            <charset val="134"/>
          </rPr>
          <t xml:space="preserve">
文献中实验所用的样本量</t>
        </r>
      </text>
    </comment>
    <comment ref="J1" authorId="1" shapeId="0" xr:uid="{2CC1D14E-C53D-4744-8C68-1FC937F88E21}">
      <text>
        <r>
          <rPr>
            <b/>
            <sz val="9"/>
            <color indexed="81"/>
            <rFont val="宋体"/>
            <family val="3"/>
            <charset val="134"/>
          </rPr>
          <t>Administrator:文献中所用的数据单位是“患者数”还是“图像数”</t>
        </r>
      </text>
    </comment>
    <comment ref="K1" authorId="1" shapeId="0" xr:uid="{2782730D-9151-469F-BAF7-99F5490405AA}">
      <text>
        <r>
          <rPr>
            <b/>
            <sz val="9"/>
            <color indexed="81"/>
            <rFont val="宋体"/>
            <family val="3"/>
            <charset val="134"/>
          </rPr>
          <t>Administrator:</t>
        </r>
        <r>
          <rPr>
            <sz val="9"/>
            <color indexed="81"/>
            <rFont val="宋体"/>
            <family val="3"/>
            <charset val="134"/>
          </rPr>
          <t xml:space="preserve">
文献中的实验样本实际是来自一个数据中心还是多个</t>
        </r>
      </text>
    </comment>
    <comment ref="L1" authorId="0" shapeId="0" xr:uid="{C83C8291-0194-43C0-8AD2-F14DE62899FD}">
      <text>
        <r>
          <rPr>
            <b/>
            <sz val="9"/>
            <color indexed="81"/>
            <rFont val="宋体"/>
            <family val="3"/>
            <charset val="134"/>
          </rPr>
          <t>jiangdian song:</t>
        </r>
        <r>
          <rPr>
            <sz val="9"/>
            <color indexed="81"/>
            <rFont val="宋体"/>
            <family val="3"/>
            <charset val="134"/>
          </rPr>
          <t xml:space="preserve">
基本上这个领域以回顾性为主，若文献中出现</t>
        </r>
        <r>
          <rPr>
            <sz val="9"/>
            <color indexed="81"/>
            <rFont val="宋体"/>
            <family val="3"/>
            <charset val="134"/>
          </rPr>
          <t>prospective这个词，需仔细查看是否为前瞻性的</t>
        </r>
      </text>
    </comment>
    <comment ref="M1" authorId="0" shapeId="0" xr:uid="{1983F8B4-2B42-485C-8E6F-4E5711477D0D}">
      <text>
        <r>
          <rPr>
            <b/>
            <sz val="9"/>
            <color indexed="81"/>
            <rFont val="宋体"/>
            <family val="3"/>
            <charset val="134"/>
          </rPr>
          <t>jiangdian song:</t>
        </r>
        <r>
          <rPr>
            <sz val="9"/>
            <color indexed="81"/>
            <rFont val="宋体"/>
            <family val="3"/>
            <charset val="134"/>
          </rPr>
          <t xml:space="preserve">
材料和方法中最后一个小标题</t>
        </r>
      </text>
    </comment>
    <comment ref="P1" authorId="1" shapeId="0" xr:uid="{F0BFB212-89FC-41ED-A44F-0B12F0132775}">
      <text>
        <r>
          <rPr>
            <b/>
            <sz val="9"/>
            <color indexed="81"/>
            <rFont val="宋体"/>
            <family val="3"/>
            <charset val="134"/>
          </rPr>
          <t>Administrator:</t>
        </r>
        <r>
          <rPr>
            <sz val="9"/>
            <color indexed="81"/>
            <rFont val="宋体"/>
            <family val="3"/>
            <charset val="134"/>
          </rPr>
          <t xml:space="preserve">
根据前一列的数据填写</t>
        </r>
      </text>
    </comment>
    <comment ref="R1" authorId="1" shapeId="0" xr:uid="{CF0BFF24-960F-4AB0-A305-F6E4CA5A51F6}">
      <text>
        <r>
          <rPr>
            <b/>
            <sz val="9"/>
            <color indexed="81"/>
            <rFont val="宋体"/>
            <family val="3"/>
            <charset val="134"/>
          </rPr>
          <t>Administrator:</t>
        </r>
        <r>
          <rPr>
            <sz val="9"/>
            <color indexed="81"/>
            <rFont val="宋体"/>
            <family val="3"/>
            <charset val="134"/>
          </rPr>
          <t xml:space="preserve">
如果公式带出来的不是国家，根据T列手动改一下</t>
        </r>
      </text>
    </comment>
    <comment ref="G13" authorId="1" shapeId="0" xr:uid="{56B57F1E-E8D1-4AA2-82AC-C7D5BCBC61BE}">
      <text>
        <r>
          <rPr>
            <b/>
            <sz val="9"/>
            <color indexed="81"/>
            <rFont val="宋体"/>
            <family val="3"/>
            <charset val="134"/>
          </rPr>
          <t>Administrator:</t>
        </r>
        <r>
          <rPr>
            <sz val="9"/>
            <color indexed="81"/>
            <rFont val="宋体"/>
            <family val="3"/>
            <charset val="134"/>
          </rPr>
          <t xml:space="preserve">
and segmentation</t>
        </r>
      </text>
    </comment>
    <comment ref="G21" authorId="2" shapeId="0" xr:uid="{4CD75A9C-1F6D-416D-B368-4BFB2842B202}">
      <text>
        <r>
          <rPr>
            <b/>
            <sz val="9"/>
            <color indexed="81"/>
            <rFont val="宋体"/>
            <family val="3"/>
            <charset val="134"/>
          </rPr>
          <t>linwenyi:</t>
        </r>
        <r>
          <rPr>
            <sz val="9"/>
            <color indexed="81"/>
            <rFont val="宋体"/>
            <family val="3"/>
            <charset val="134"/>
          </rPr>
          <t xml:space="preserve">
characterization-segmention</t>
        </r>
      </text>
    </comment>
    <comment ref="E25" authorId="2" shapeId="0" xr:uid="{8F70EE74-4D10-4453-A0F9-0C28214B8A22}">
      <text>
        <r>
          <rPr>
            <b/>
            <sz val="9"/>
            <color indexed="81"/>
            <rFont val="宋体"/>
            <family val="3"/>
            <charset val="134"/>
          </rPr>
          <t>linwenyi:</t>
        </r>
        <r>
          <rPr>
            <sz val="9"/>
            <color indexed="81"/>
            <rFont val="宋体"/>
            <family val="3"/>
            <charset val="134"/>
          </rPr>
          <t xml:space="preserve">
临床和皮肤镜图像</t>
        </r>
      </text>
    </comment>
    <comment ref="G30" authorId="2" shapeId="0" xr:uid="{9857FAEF-7848-40BE-904A-1CAB3B6E78B9}">
      <text>
        <r>
          <rPr>
            <b/>
            <sz val="9"/>
            <color indexed="81"/>
            <rFont val="宋体"/>
            <family val="3"/>
            <charset val="134"/>
          </rPr>
          <t>linwenyi:</t>
        </r>
        <r>
          <rPr>
            <sz val="9"/>
            <color indexed="81"/>
            <rFont val="宋体"/>
            <family val="3"/>
            <charset val="134"/>
          </rPr>
          <t xml:space="preserve">
characterization-segmention</t>
        </r>
      </text>
    </comment>
    <comment ref="G33" authorId="2" shapeId="0" xr:uid="{59D1F15B-9403-44CE-90DE-1348BEE54EB1}">
      <text>
        <r>
          <rPr>
            <b/>
            <sz val="9"/>
            <color indexed="81"/>
            <rFont val="宋体"/>
            <family val="3"/>
            <charset val="134"/>
          </rPr>
          <t>linwenyi:</t>
        </r>
        <r>
          <rPr>
            <sz val="9"/>
            <color indexed="81"/>
            <rFont val="宋体"/>
            <family val="3"/>
            <charset val="134"/>
          </rPr>
          <t xml:space="preserve">
monitoring</t>
        </r>
      </text>
    </comment>
    <comment ref="G63" authorId="2" shapeId="0" xr:uid="{9A4A9FE5-DCED-4D87-9A06-9CD2DDBE57B6}">
      <text>
        <r>
          <rPr>
            <b/>
            <sz val="9"/>
            <color indexed="81"/>
            <rFont val="宋体"/>
            <family val="3"/>
            <charset val="134"/>
          </rPr>
          <t>linwenyi:</t>
        </r>
        <r>
          <rPr>
            <sz val="9"/>
            <color indexed="81"/>
            <rFont val="宋体"/>
            <family val="3"/>
            <charset val="134"/>
          </rPr>
          <t xml:space="preserve">
characterization-diagnose
</t>
        </r>
      </text>
    </comment>
    <comment ref="G82" authorId="2" shapeId="0" xr:uid="{F1D14D79-FEDC-469F-B7BA-28BB65F15D3C}">
      <text>
        <r>
          <rPr>
            <b/>
            <sz val="9"/>
            <color indexed="81"/>
            <rFont val="宋体"/>
            <family val="3"/>
            <charset val="134"/>
          </rPr>
          <t>linwenyi:</t>
        </r>
        <r>
          <rPr>
            <sz val="9"/>
            <color indexed="81"/>
            <rFont val="宋体"/>
            <family val="3"/>
            <charset val="134"/>
          </rPr>
          <t xml:space="preserve">
characterization-classification
</t>
        </r>
      </text>
    </comment>
    <comment ref="G113" authorId="2" shapeId="0" xr:uid="{579AA14C-35FF-4C1E-8B7A-1E92A4831E45}">
      <text>
        <r>
          <rPr>
            <b/>
            <sz val="9"/>
            <color indexed="81"/>
            <rFont val="宋体"/>
            <family val="3"/>
            <charset val="134"/>
          </rPr>
          <t>linwenyi:</t>
        </r>
        <r>
          <rPr>
            <sz val="9"/>
            <color indexed="81"/>
            <rFont val="宋体"/>
            <family val="3"/>
            <charset val="134"/>
          </rPr>
          <t xml:space="preserve">
characterization-classification
</t>
        </r>
      </text>
    </comment>
    <comment ref="G146" authorId="2" shapeId="0" xr:uid="{1778030D-416A-494C-B00D-8E5E12FD62A2}">
      <text>
        <r>
          <rPr>
            <b/>
            <sz val="9"/>
            <color indexed="81"/>
            <rFont val="宋体"/>
            <family val="3"/>
            <charset val="134"/>
          </rPr>
          <t>linwenyi:</t>
        </r>
        <r>
          <rPr>
            <sz val="9"/>
            <color indexed="81"/>
            <rFont val="宋体"/>
            <family val="3"/>
            <charset val="134"/>
          </rPr>
          <t xml:space="preserve">
characterization-detection
</t>
        </r>
      </text>
    </comment>
    <comment ref="G147" authorId="2" shapeId="0" xr:uid="{78415413-6863-49B3-B669-3375AC1469BC}">
      <text>
        <r>
          <rPr>
            <b/>
            <sz val="9"/>
            <color indexed="81"/>
            <rFont val="宋体"/>
            <family val="3"/>
            <charset val="134"/>
          </rPr>
          <t>linwenyi:</t>
        </r>
        <r>
          <rPr>
            <sz val="9"/>
            <color indexed="81"/>
            <rFont val="宋体"/>
            <family val="3"/>
            <charset val="134"/>
          </rPr>
          <t xml:space="preserve">
characterization-diagnose
</t>
        </r>
      </text>
    </comment>
    <comment ref="G161" authorId="2" shapeId="0" xr:uid="{F617CF9B-24CD-45B4-8CF2-6A7E41A78D6A}">
      <text>
        <r>
          <rPr>
            <b/>
            <sz val="9"/>
            <color indexed="81"/>
            <rFont val="宋体"/>
            <family val="3"/>
            <charset val="134"/>
          </rPr>
          <t>linwenyi:</t>
        </r>
        <r>
          <rPr>
            <sz val="9"/>
            <color indexed="81"/>
            <rFont val="宋体"/>
            <family val="3"/>
            <charset val="134"/>
          </rPr>
          <t xml:space="preserve">
characterization-detection
</t>
        </r>
      </text>
    </comment>
    <comment ref="G185" authorId="2" shapeId="0" xr:uid="{12B0D09E-084B-4DC6-9E71-A8C5DD0433D7}">
      <text>
        <r>
          <rPr>
            <b/>
            <sz val="9"/>
            <color indexed="81"/>
            <rFont val="宋体"/>
            <family val="3"/>
            <charset val="134"/>
          </rPr>
          <t>linwenyi:</t>
        </r>
        <r>
          <rPr>
            <sz val="9"/>
            <color indexed="81"/>
            <rFont val="宋体"/>
            <family val="3"/>
            <charset val="134"/>
          </rPr>
          <t xml:space="preserve">
characterization-segmention
</t>
        </r>
      </text>
    </comment>
    <comment ref="G201" authorId="2" shapeId="0" xr:uid="{691400A4-0D57-469D-8424-F8590E51A1E1}">
      <text>
        <r>
          <rPr>
            <b/>
            <sz val="9"/>
            <color indexed="81"/>
            <rFont val="宋体"/>
            <family val="3"/>
            <charset val="134"/>
          </rPr>
          <t>linwenyi:</t>
        </r>
        <r>
          <rPr>
            <sz val="9"/>
            <color indexed="81"/>
            <rFont val="宋体"/>
            <family val="3"/>
            <charset val="134"/>
          </rPr>
          <t xml:space="preserve">
characterization-detection
</t>
        </r>
      </text>
    </comment>
    <comment ref="G233" authorId="2" shapeId="0" xr:uid="{EFDBDBD1-C384-4EF5-9195-E1FBF2BCFE4F}">
      <text>
        <r>
          <rPr>
            <b/>
            <sz val="9"/>
            <color indexed="81"/>
            <rFont val="宋体"/>
            <family val="3"/>
            <charset val="134"/>
          </rPr>
          <t>linwenyi:</t>
        </r>
        <r>
          <rPr>
            <sz val="9"/>
            <color indexed="81"/>
            <rFont val="宋体"/>
            <family val="3"/>
            <charset val="134"/>
          </rPr>
          <t xml:space="preserve">
characterization-diagnose
</t>
        </r>
      </text>
    </comment>
    <comment ref="G266" authorId="2" shapeId="0" xr:uid="{AAD9E705-92AD-4785-8297-E7924D889153}">
      <text>
        <r>
          <rPr>
            <b/>
            <sz val="9"/>
            <color indexed="81"/>
            <rFont val="宋体"/>
            <family val="3"/>
            <charset val="134"/>
          </rPr>
          <t>linwenyi:</t>
        </r>
        <r>
          <rPr>
            <sz val="9"/>
            <color indexed="81"/>
            <rFont val="宋体"/>
            <family val="3"/>
            <charset val="134"/>
          </rPr>
          <t xml:space="preserve">
image acquisition
</t>
        </r>
      </text>
    </comment>
    <comment ref="G282" authorId="2" shapeId="0" xr:uid="{96411CD6-9728-4070-8D7F-412D339BF827}">
      <text>
        <r>
          <rPr>
            <b/>
            <sz val="9"/>
            <color indexed="81"/>
            <rFont val="宋体"/>
            <family val="3"/>
            <charset val="134"/>
          </rPr>
          <t>linwenyi:</t>
        </r>
        <r>
          <rPr>
            <sz val="9"/>
            <color indexed="81"/>
            <rFont val="宋体"/>
            <family val="3"/>
            <charset val="134"/>
          </rPr>
          <t xml:space="preserve">
characterization-diagnose
</t>
        </r>
      </text>
    </comment>
    <comment ref="G292" authorId="2" shapeId="0" xr:uid="{2807DFA7-996A-4EC8-9CAD-47746024A2F5}">
      <text>
        <r>
          <rPr>
            <b/>
            <sz val="9"/>
            <color indexed="81"/>
            <rFont val="宋体"/>
            <family val="3"/>
            <charset val="134"/>
          </rPr>
          <t>linwenyi:</t>
        </r>
        <r>
          <rPr>
            <sz val="9"/>
            <color indexed="81"/>
            <rFont val="宋体"/>
            <family val="3"/>
            <charset val="134"/>
          </rPr>
          <t xml:space="preserve">
characterization-detection
</t>
        </r>
      </text>
    </comment>
    <comment ref="A302" authorId="3" shapeId="0" xr:uid="{BAD3BA65-2A37-4365-9A6A-22C133F73EC1}">
      <text>
        <r>
          <rPr>
            <b/>
            <sz val="9"/>
            <color indexed="81"/>
            <rFont val="宋体"/>
            <family val="3"/>
            <charset val="134"/>
          </rPr>
          <t>Windows 用户:</t>
        </r>
        <r>
          <rPr>
            <sz val="9"/>
            <color indexed="81"/>
            <rFont val="宋体"/>
            <family val="3"/>
            <charset val="134"/>
          </rPr>
          <t xml:space="preserve">
好像下错了</t>
        </r>
      </text>
    </comment>
    <comment ref="A481" authorId="3" shapeId="0" xr:uid="{FF18BB63-99AA-4D43-9E27-98EA5086AC04}">
      <text>
        <r>
          <rPr>
            <b/>
            <sz val="9"/>
            <color indexed="81"/>
            <rFont val="宋体"/>
            <family val="3"/>
            <charset val="134"/>
          </rPr>
          <t>Windows 用户:</t>
        </r>
        <r>
          <rPr>
            <sz val="9"/>
            <color indexed="81"/>
            <rFont val="宋体"/>
            <family val="3"/>
            <charset val="134"/>
          </rPr>
          <t xml:space="preserve">
主要讲人脸识别</t>
        </r>
      </text>
    </comment>
    <comment ref="E585" authorId="4" shapeId="0" xr:uid="{55E8D836-C19D-45DA-9D11-FABCB4A3D7C1}">
      <text>
        <r>
          <rPr>
            <b/>
            <sz val="9"/>
            <color indexed="81"/>
            <rFont val="宋体"/>
            <family val="3"/>
            <charset val="134"/>
          </rPr>
          <t>lenovo:</t>
        </r>
        <r>
          <rPr>
            <sz val="9"/>
            <color indexed="81"/>
            <rFont val="宋体"/>
            <family val="3"/>
            <charset val="134"/>
          </rPr>
          <t xml:space="preserve">
pCLE</t>
        </r>
      </text>
    </comment>
    <comment ref="E587" authorId="4" shapeId="0" xr:uid="{65E116DB-B893-4BEF-80BE-38EA2CB4DEFD}">
      <text>
        <r>
          <rPr>
            <b/>
            <sz val="9"/>
            <color indexed="81"/>
            <rFont val="宋体"/>
            <family val="3"/>
            <charset val="134"/>
          </rPr>
          <t>lenovo:</t>
        </r>
        <r>
          <rPr>
            <sz val="9"/>
            <color indexed="81"/>
            <rFont val="宋体"/>
            <family val="3"/>
            <charset val="134"/>
          </rPr>
          <t xml:space="preserve">
ECG</t>
        </r>
      </text>
    </comment>
    <comment ref="E597" authorId="4" shapeId="0" xr:uid="{37A88526-55BB-43EF-BE69-BFC6D5B4AFB6}">
      <text>
        <r>
          <rPr>
            <b/>
            <sz val="9"/>
            <color indexed="81"/>
            <rFont val="宋体"/>
            <family val="3"/>
            <charset val="134"/>
          </rPr>
          <t>lenovo:</t>
        </r>
        <r>
          <rPr>
            <sz val="9"/>
            <color indexed="81"/>
            <rFont val="宋体"/>
            <family val="3"/>
            <charset val="134"/>
          </rPr>
          <t xml:space="preserve">
EEG</t>
        </r>
      </text>
    </comment>
    <comment ref="E649" authorId="4" shapeId="0" xr:uid="{E16CFC17-A53B-412E-B3B7-8B7D256771FF}">
      <text>
        <r>
          <rPr>
            <b/>
            <sz val="9"/>
            <color indexed="81"/>
            <rFont val="宋体"/>
            <family val="3"/>
            <charset val="134"/>
          </rPr>
          <t>lenovo:</t>
        </r>
        <r>
          <rPr>
            <sz val="9"/>
            <color indexed="81"/>
            <rFont val="宋体"/>
            <family val="3"/>
            <charset val="134"/>
          </rPr>
          <t xml:space="preserve">
EEG</t>
        </r>
      </text>
    </comment>
    <comment ref="E689" authorId="4" shapeId="0" xr:uid="{EC4E80C9-73EE-4D82-9E2A-339149066BEA}">
      <text>
        <r>
          <rPr>
            <b/>
            <sz val="9"/>
            <color indexed="81"/>
            <rFont val="宋体"/>
            <family val="3"/>
            <charset val="134"/>
          </rPr>
          <t>lenovo:</t>
        </r>
        <r>
          <rPr>
            <sz val="9"/>
            <color indexed="81"/>
            <rFont val="宋体"/>
            <family val="3"/>
            <charset val="134"/>
          </rPr>
          <t xml:space="preserve">
ASL</t>
        </r>
      </text>
    </comment>
    <comment ref="E759" authorId="4" shapeId="0" xr:uid="{975C8155-97CC-4F0B-8739-D445C3E2D3C3}">
      <text>
        <r>
          <rPr>
            <b/>
            <sz val="9"/>
            <color indexed="81"/>
            <rFont val="宋体"/>
            <family val="3"/>
            <charset val="134"/>
          </rPr>
          <t>lenovo:</t>
        </r>
        <r>
          <rPr>
            <sz val="9"/>
            <color indexed="81"/>
            <rFont val="宋体"/>
            <family val="3"/>
            <charset val="134"/>
          </rPr>
          <t xml:space="preserve">
CLE</t>
        </r>
      </text>
    </comment>
    <comment ref="E760" authorId="4" shapeId="0" xr:uid="{E83DD9C7-826C-4AC7-94A3-9386899CB13C}">
      <text>
        <r>
          <rPr>
            <b/>
            <sz val="9"/>
            <color indexed="81"/>
            <rFont val="宋体"/>
            <family val="3"/>
            <charset val="134"/>
          </rPr>
          <t>lenovo:</t>
        </r>
        <r>
          <rPr>
            <sz val="9"/>
            <color indexed="81"/>
            <rFont val="宋体"/>
            <family val="3"/>
            <charset val="134"/>
          </rPr>
          <t xml:space="preserve">
bright
field,
GFP, and RFP images</t>
        </r>
      </text>
    </comment>
    <comment ref="E761" authorId="4" shapeId="0" xr:uid="{FDC681E7-20E8-4775-8749-F2560FF9F50D}">
      <text>
        <r>
          <rPr>
            <b/>
            <sz val="9"/>
            <color indexed="81"/>
            <rFont val="宋体"/>
            <family val="3"/>
            <charset val="134"/>
          </rPr>
          <t>lenovo:</t>
        </r>
        <r>
          <rPr>
            <sz val="9"/>
            <color indexed="81"/>
            <rFont val="宋体"/>
            <family val="3"/>
            <charset val="134"/>
          </rPr>
          <t xml:space="preserve">
PRT  CT  MRI</t>
        </r>
      </text>
    </comment>
    <comment ref="E782" authorId="4" shapeId="0" xr:uid="{821DB5A3-D963-45B5-B684-18CBA78950F8}">
      <text>
        <r>
          <rPr>
            <b/>
            <sz val="9"/>
            <color indexed="81"/>
            <rFont val="宋体"/>
            <family val="3"/>
            <charset val="134"/>
          </rPr>
          <t>lenovo:</t>
        </r>
        <r>
          <rPr>
            <sz val="9"/>
            <color indexed="81"/>
            <rFont val="宋体"/>
            <family val="3"/>
            <charset val="134"/>
          </rPr>
          <t xml:space="preserve">
PHM</t>
        </r>
      </text>
    </comment>
    <comment ref="E803" authorId="1" shapeId="0" xr:uid="{07FB20D9-0064-45CD-85DA-349C403315BD}">
      <text>
        <r>
          <rPr>
            <b/>
            <sz val="9"/>
            <color indexed="81"/>
            <rFont val="宋体"/>
            <family val="3"/>
            <charset val="134"/>
          </rPr>
          <t>Administrator:</t>
        </r>
        <r>
          <rPr>
            <sz val="9"/>
            <color indexed="81"/>
            <rFont val="宋体"/>
            <family val="3"/>
            <charset val="134"/>
          </rPr>
          <t xml:space="preserve">
pathological image-HSI</t>
        </r>
      </text>
    </comment>
    <comment ref="G811" authorId="1" shapeId="0" xr:uid="{08B4B847-3D7B-4E77-9750-82D49AB5ECB2}">
      <text>
        <r>
          <rPr>
            <b/>
            <sz val="9"/>
            <color indexed="81"/>
            <rFont val="宋体"/>
            <family val="3"/>
            <charset val="134"/>
          </rPr>
          <t>Administrator:</t>
        </r>
        <r>
          <rPr>
            <sz val="9"/>
            <color indexed="81"/>
            <rFont val="宋体"/>
            <family val="3"/>
            <charset val="134"/>
          </rPr>
          <t xml:space="preserve">
identification
</t>
        </r>
      </text>
    </comment>
    <comment ref="E825" authorId="0" shapeId="0" xr:uid="{3F0DA189-B23F-4EC1-9DCF-98E4EF09FB75}">
      <text>
        <r>
          <rPr>
            <b/>
            <sz val="9"/>
            <color indexed="81"/>
            <rFont val="宋体"/>
            <family val="3"/>
            <charset val="134"/>
          </rPr>
          <t>jiangdian song:</t>
        </r>
        <r>
          <rPr>
            <sz val="9"/>
            <color indexed="81"/>
            <rFont val="宋体"/>
            <family val="3"/>
            <charset val="134"/>
          </rPr>
          <t xml:space="preserve">
病理</t>
        </r>
      </text>
    </comment>
    <comment ref="J829" authorId="1" shapeId="0" xr:uid="{32099923-DB33-4187-8C09-10DAE80A0C89}">
      <text>
        <r>
          <rPr>
            <b/>
            <sz val="9"/>
            <color indexed="81"/>
            <rFont val="宋体"/>
            <family val="3"/>
            <charset val="134"/>
          </rPr>
          <t>Administrator:</t>
        </r>
        <r>
          <rPr>
            <sz val="9"/>
            <color indexed="81"/>
            <rFont val="宋体"/>
            <family val="3"/>
            <charset val="134"/>
          </rPr>
          <t xml:space="preserve">
ROIs</t>
        </r>
      </text>
    </comment>
    <comment ref="D831" authorId="1" shapeId="0" xr:uid="{CF47ABA9-FEB9-4596-A698-09C72264A7D7}">
      <text>
        <r>
          <rPr>
            <b/>
            <sz val="9"/>
            <color indexed="81"/>
            <rFont val="宋体"/>
            <family val="3"/>
            <charset val="134"/>
          </rPr>
          <t>Administrator:</t>
        </r>
        <r>
          <rPr>
            <sz val="9"/>
            <color indexed="81"/>
            <rFont val="宋体"/>
            <family val="3"/>
            <charset val="134"/>
          </rPr>
          <t xml:space="preserve">
yeast cell images</t>
        </r>
      </text>
    </comment>
    <comment ref="E831" authorId="1" shapeId="0" xr:uid="{59CF08DC-4075-4023-A207-D5894B29CDE5}">
      <text>
        <r>
          <rPr>
            <b/>
            <sz val="9"/>
            <color indexed="81"/>
            <rFont val="宋体"/>
            <family val="3"/>
            <charset val="134"/>
          </rPr>
          <t>Administrator:</t>
        </r>
        <r>
          <rPr>
            <sz val="9"/>
            <color indexed="81"/>
            <rFont val="宋体"/>
            <family val="3"/>
            <charset val="134"/>
          </rPr>
          <t xml:space="preserve">
high-content microscopy data.</t>
        </r>
      </text>
    </comment>
    <comment ref="D835" authorId="1" shapeId="0" xr:uid="{7D8CC838-3EE6-453A-BF86-F769BD7F9437}">
      <text>
        <r>
          <rPr>
            <b/>
            <sz val="9"/>
            <color indexed="81"/>
            <rFont val="宋体"/>
            <family val="3"/>
            <charset val="134"/>
          </rPr>
          <t>Administrator:</t>
        </r>
        <r>
          <rPr>
            <sz val="9"/>
            <color indexed="81"/>
            <rFont val="宋体"/>
            <family val="3"/>
            <charset val="134"/>
          </rPr>
          <t xml:space="preserve">
single cells</t>
        </r>
      </text>
    </comment>
    <comment ref="E835" authorId="1" shapeId="0" xr:uid="{5AE43647-8027-475E-8896-C2D0109EA5DE}">
      <text>
        <r>
          <rPr>
            <b/>
            <sz val="9"/>
            <color indexed="81"/>
            <rFont val="宋体"/>
            <family val="3"/>
            <charset val="134"/>
          </rPr>
          <t>Administrator:</t>
        </r>
        <r>
          <rPr>
            <sz val="9"/>
            <color indexed="81"/>
            <rFont val="宋体"/>
            <family val="3"/>
            <charset val="134"/>
          </rPr>
          <t xml:space="preserve">
microscopy</t>
        </r>
      </text>
    </comment>
    <comment ref="E836" authorId="1" shapeId="0" xr:uid="{E697A932-82EC-44F8-A5F7-51D229E89677}">
      <text>
        <r>
          <rPr>
            <b/>
            <sz val="9"/>
            <color indexed="81"/>
            <rFont val="宋体"/>
            <family val="3"/>
            <charset val="134"/>
          </rPr>
          <t>Administrator:</t>
        </r>
        <r>
          <rPr>
            <sz val="9"/>
            <color indexed="81"/>
            <rFont val="宋体"/>
            <family val="3"/>
            <charset val="134"/>
          </rPr>
          <t xml:space="preserve">
electron microscopy</t>
        </r>
      </text>
    </comment>
    <comment ref="E841" authorId="1" shapeId="0" xr:uid="{6E72DE0F-89A1-4EB7-8E64-C81C016DE6BF}">
      <text>
        <r>
          <rPr>
            <b/>
            <sz val="9"/>
            <color indexed="81"/>
            <rFont val="宋体"/>
            <family val="3"/>
            <charset val="134"/>
          </rPr>
          <t>Administrator:</t>
        </r>
        <r>
          <rPr>
            <sz val="9"/>
            <color indexed="81"/>
            <rFont val="宋体"/>
            <family val="3"/>
            <charset val="134"/>
          </rPr>
          <t xml:space="preserve">
non-dermoscopic images</t>
        </r>
      </text>
    </comment>
    <comment ref="E843" authorId="0" shapeId="0" xr:uid="{D3590F20-F1B0-44E1-BFDF-4625CE5811DB}">
      <text>
        <r>
          <rPr>
            <b/>
            <sz val="9"/>
            <color indexed="81"/>
            <rFont val="宋体"/>
            <family val="3"/>
            <charset val="134"/>
          </rPr>
          <t>jiangdian song:</t>
        </r>
        <r>
          <rPr>
            <sz val="9"/>
            <color indexed="81"/>
            <rFont val="宋体"/>
            <family val="3"/>
            <charset val="134"/>
          </rPr>
          <t xml:space="preserve">
Microscopy Images</t>
        </r>
      </text>
    </comment>
    <comment ref="G844" authorId="0" shapeId="0" xr:uid="{1B1C4529-4C59-48CA-B6C4-ED5B6522101D}">
      <text>
        <r>
          <rPr>
            <b/>
            <sz val="9"/>
            <color indexed="81"/>
            <rFont val="宋体"/>
            <family val="3"/>
            <charset val="134"/>
          </rPr>
          <t>jiangdian song:</t>
        </r>
        <r>
          <rPr>
            <sz val="9"/>
            <color indexed="81"/>
            <rFont val="宋体"/>
            <family val="3"/>
            <charset val="134"/>
          </rPr>
          <t xml:space="preserve">
DETECTION</t>
        </r>
      </text>
    </comment>
    <comment ref="D850" authorId="1" shapeId="0" xr:uid="{6BB9D4CE-CB25-455E-AB68-891C896E2E61}">
      <text>
        <r>
          <rPr>
            <b/>
            <sz val="9"/>
            <color indexed="81"/>
            <rFont val="宋体"/>
            <family val="3"/>
            <charset val="134"/>
          </rPr>
          <t>Administrator:</t>
        </r>
        <r>
          <rPr>
            <sz val="9"/>
            <color indexed="81"/>
            <rFont val="宋体"/>
            <family val="3"/>
            <charset val="134"/>
          </rPr>
          <t xml:space="preserve">
biomedical images</t>
        </r>
      </text>
    </comment>
    <comment ref="E860" authorId="1" shapeId="0" xr:uid="{95265CB8-B015-40D2-A4D5-9A82BB203EF3}">
      <text>
        <r>
          <rPr>
            <b/>
            <sz val="9"/>
            <color indexed="81"/>
            <rFont val="宋体"/>
            <family val="3"/>
            <charset val="134"/>
          </rPr>
          <t>Administrator:</t>
        </r>
        <r>
          <rPr>
            <sz val="9"/>
            <color indexed="81"/>
            <rFont val="宋体"/>
            <family val="3"/>
            <charset val="134"/>
          </rPr>
          <t xml:space="preserve">
camera
</t>
        </r>
      </text>
    </comment>
    <comment ref="E865" authorId="1" shapeId="0" xr:uid="{FD9624D2-FD7E-49DA-80AF-DB603AA55ADE}">
      <text>
        <r>
          <rPr>
            <b/>
            <sz val="9"/>
            <color indexed="81"/>
            <rFont val="宋体"/>
            <family val="3"/>
            <charset val="134"/>
          </rPr>
          <t>Administrator:</t>
        </r>
        <r>
          <rPr>
            <sz val="9"/>
            <color indexed="81"/>
            <rFont val="宋体"/>
            <family val="3"/>
            <charset val="134"/>
          </rPr>
          <t xml:space="preserve">
MRI+DTI</t>
        </r>
      </text>
    </comment>
    <comment ref="E890" authorId="1" shapeId="0" xr:uid="{EF6BD480-A437-421A-A463-138AC9ED8DF6}">
      <text>
        <r>
          <rPr>
            <b/>
            <sz val="9"/>
            <color indexed="81"/>
            <rFont val="宋体"/>
            <family val="3"/>
            <charset val="134"/>
          </rPr>
          <t>Administrat显微镜</t>
        </r>
      </text>
    </comment>
    <comment ref="G924" authorId="1" shapeId="0" xr:uid="{5D251B40-ACD6-401D-9DD5-B5A2B0E1FEDC}">
      <text>
        <r>
          <rPr>
            <b/>
            <sz val="9"/>
            <color indexed="81"/>
            <rFont val="宋体"/>
            <family val="3"/>
            <charset val="134"/>
          </rPr>
          <t>Administrator:</t>
        </r>
        <r>
          <rPr>
            <sz val="9"/>
            <color indexed="81"/>
            <rFont val="宋体"/>
            <family val="3"/>
            <charset val="134"/>
          </rPr>
          <t xml:space="preserve">
DETECTION</t>
        </r>
      </text>
    </comment>
    <comment ref="E967" authorId="0" shapeId="0" xr:uid="{C5194380-F3C5-46E0-9CD6-836E343B93B9}">
      <text>
        <r>
          <rPr>
            <b/>
            <sz val="9"/>
            <color indexed="81"/>
            <rFont val="宋体"/>
            <family val="3"/>
            <charset val="134"/>
          </rPr>
          <t>jiangdian song:</t>
        </r>
        <r>
          <rPr>
            <sz val="9"/>
            <color indexed="81"/>
            <rFont val="宋体"/>
            <family val="3"/>
            <charset val="134"/>
          </rPr>
          <t xml:space="preserve">
Agar plate image</t>
        </r>
      </text>
    </comment>
    <comment ref="E968" authorId="0" shapeId="0" xr:uid="{46B900BD-5093-45A5-9ED6-5F95EAF0AF4C}">
      <text>
        <r>
          <rPr>
            <b/>
            <sz val="9"/>
            <color indexed="81"/>
            <rFont val="宋体"/>
            <family val="3"/>
            <charset val="134"/>
          </rPr>
          <t>jiangdian song:</t>
        </r>
        <r>
          <rPr>
            <sz val="9"/>
            <color indexed="81"/>
            <rFont val="宋体"/>
            <family val="3"/>
            <charset val="134"/>
          </rPr>
          <t xml:space="preserve">
CAMERA</t>
        </r>
      </text>
    </comment>
    <comment ref="E972" authorId="0" shapeId="0" xr:uid="{24FD0BF1-5CD8-4E2D-B6FD-1B1E72C47808}">
      <text>
        <r>
          <rPr>
            <b/>
            <sz val="9"/>
            <color indexed="81"/>
            <rFont val="宋体"/>
            <family val="3"/>
            <charset val="134"/>
          </rPr>
          <t>jiangdian song:</t>
        </r>
        <r>
          <rPr>
            <sz val="9"/>
            <color indexed="81"/>
            <rFont val="宋体"/>
            <family val="3"/>
            <charset val="134"/>
          </rPr>
          <t xml:space="preserve">
OCT
</t>
        </r>
      </text>
    </comment>
    <comment ref="E973" authorId="0" shapeId="0" xr:uid="{1D3EC107-B10D-4C3A-A7A5-3AD8A753662B}">
      <text>
        <r>
          <rPr>
            <b/>
            <sz val="9"/>
            <color indexed="81"/>
            <rFont val="宋体"/>
            <family val="3"/>
            <charset val="134"/>
          </rPr>
          <t>jiangdian song:</t>
        </r>
        <r>
          <rPr>
            <sz val="9"/>
            <color indexed="81"/>
            <rFont val="宋体"/>
            <family val="3"/>
            <charset val="134"/>
          </rPr>
          <t xml:space="preserve">
pathology images</t>
        </r>
      </text>
    </comment>
    <comment ref="E980" authorId="0" shapeId="0" xr:uid="{AC35CBD1-1DC1-4E46-A5F0-9895434D257E}">
      <text>
        <r>
          <rPr>
            <b/>
            <sz val="9"/>
            <color indexed="81"/>
            <rFont val="宋体"/>
            <family val="3"/>
            <charset val="134"/>
          </rPr>
          <t>jiangdian song:</t>
        </r>
        <r>
          <rPr>
            <sz val="9"/>
            <color indexed="81"/>
            <rFont val="宋体"/>
            <family val="3"/>
            <charset val="134"/>
          </rPr>
          <t xml:space="preserve">
histopathology images</t>
        </r>
      </text>
    </comment>
    <comment ref="E1002" authorId="0" shapeId="0" xr:uid="{3F7DC257-98B7-44B5-A0E9-F0ED533EA70F}">
      <text>
        <r>
          <rPr>
            <b/>
            <sz val="9"/>
            <color indexed="81"/>
            <rFont val="宋体"/>
            <family val="3"/>
            <charset val="134"/>
          </rPr>
          <t>jiangdian song:</t>
        </r>
        <r>
          <rPr>
            <sz val="9"/>
            <color indexed="81"/>
            <rFont val="宋体"/>
            <family val="3"/>
            <charset val="134"/>
          </rPr>
          <t xml:space="preserve">
cryo-EM</t>
        </r>
      </text>
    </comment>
    <comment ref="E1004" authorId="0" shapeId="0" xr:uid="{00F4CF5E-9EC2-4A79-B722-120DCA8D6439}">
      <text>
        <r>
          <rPr>
            <b/>
            <sz val="9"/>
            <color indexed="81"/>
            <rFont val="宋体"/>
            <family val="3"/>
            <charset val="134"/>
          </rPr>
          <t>jiangdian song:</t>
        </r>
        <r>
          <rPr>
            <sz val="9"/>
            <color indexed="81"/>
            <rFont val="宋体"/>
            <family val="3"/>
            <charset val="134"/>
          </rPr>
          <t xml:space="preserve">
OCT</t>
        </r>
      </text>
    </comment>
    <comment ref="E1018" authorId="0" shapeId="0" xr:uid="{A2C12C53-FE47-4EF6-A804-EA2AEC0E5BA0}">
      <text>
        <r>
          <rPr>
            <b/>
            <sz val="9"/>
            <color indexed="81"/>
            <rFont val="宋体"/>
            <family val="3"/>
            <charset val="134"/>
          </rPr>
          <t>jiangdian song:</t>
        </r>
        <r>
          <rPr>
            <sz val="9"/>
            <color indexed="81"/>
            <rFont val="宋体"/>
            <family val="3"/>
            <charset val="134"/>
          </rPr>
          <t xml:space="preserve">
microscopic imaging</t>
        </r>
      </text>
    </comment>
    <comment ref="G1018" authorId="0" shapeId="0" xr:uid="{9006573A-DEEA-44D0-BE93-975BDCBFA472}">
      <text>
        <r>
          <rPr>
            <b/>
            <sz val="9"/>
            <color indexed="81"/>
            <rFont val="宋体"/>
            <family val="3"/>
            <charset val="134"/>
          </rPr>
          <t>jiangdian song:</t>
        </r>
        <r>
          <rPr>
            <sz val="9"/>
            <color indexed="81"/>
            <rFont val="宋体"/>
            <family val="3"/>
            <charset val="134"/>
          </rPr>
          <t xml:space="preserve">
segmentation</t>
        </r>
      </text>
    </comment>
    <comment ref="E1019" authorId="0" shapeId="0" xr:uid="{21BEF594-D3B9-4DF9-85C9-884C977698AE}">
      <text>
        <r>
          <rPr>
            <b/>
            <sz val="9"/>
            <color indexed="81"/>
            <rFont val="宋体"/>
            <family val="3"/>
            <charset val="134"/>
          </rPr>
          <t>jiangdian song:</t>
        </r>
        <r>
          <rPr>
            <sz val="9"/>
            <color indexed="81"/>
            <rFont val="宋体"/>
            <family val="3"/>
            <charset val="134"/>
          </rPr>
          <t xml:space="preserve">
TMA</t>
        </r>
      </text>
    </comment>
    <comment ref="E1020" authorId="0" shapeId="0" xr:uid="{79FA0007-D5EC-4DB8-8287-8FAD078685DB}">
      <text>
        <r>
          <rPr>
            <b/>
            <sz val="9"/>
            <color indexed="81"/>
            <rFont val="宋体"/>
            <family val="3"/>
            <charset val="134"/>
          </rPr>
          <t>jiangdian song:</t>
        </r>
        <r>
          <rPr>
            <sz val="9"/>
            <color indexed="81"/>
            <rFont val="宋体"/>
            <family val="3"/>
            <charset val="134"/>
          </rPr>
          <t xml:space="preserve">
X-ray angiographic image</t>
        </r>
      </text>
    </comment>
    <comment ref="A1030" authorId="0" shapeId="0" xr:uid="{1B0DEA41-EA43-40BF-9FC5-F66B214B75AB}">
      <text>
        <r>
          <rPr>
            <b/>
            <sz val="9"/>
            <color indexed="81"/>
            <rFont val="宋体"/>
            <family val="3"/>
            <charset val="134"/>
          </rPr>
          <t>jiangdian song:</t>
        </r>
        <r>
          <rPr>
            <sz val="9"/>
            <color indexed="81"/>
            <rFont val="宋体"/>
            <family val="3"/>
            <charset val="134"/>
          </rPr>
          <t xml:space="preserve">
</t>
        </r>
      </text>
    </comment>
    <comment ref="E1079" authorId="0" shapeId="0" xr:uid="{7226B5F0-486E-4CFD-A15F-DE75FAC8ED14}">
      <text>
        <r>
          <rPr>
            <b/>
            <sz val="9"/>
            <color indexed="81"/>
            <rFont val="宋体"/>
            <family val="3"/>
            <charset val="134"/>
          </rPr>
          <t>jiangdian song:</t>
        </r>
        <r>
          <rPr>
            <sz val="9"/>
            <color indexed="81"/>
            <rFont val="宋体"/>
            <family val="3"/>
            <charset val="134"/>
          </rPr>
          <t xml:space="preserve">
abdominal radiographs</t>
        </r>
      </text>
    </comment>
    <comment ref="G1083" authorId="0" shapeId="0" xr:uid="{FC40125F-A7F0-41F4-B160-3E9D55B736D5}">
      <text>
        <r>
          <rPr>
            <b/>
            <sz val="9"/>
            <color indexed="81"/>
            <rFont val="宋体"/>
            <family val="3"/>
            <charset val="134"/>
          </rPr>
          <t>jiangdian song:</t>
        </r>
        <r>
          <rPr>
            <sz val="9"/>
            <color indexed="81"/>
            <rFont val="宋体"/>
            <family val="3"/>
            <charset val="134"/>
          </rPr>
          <t xml:space="preserve">
SEGMENT</t>
        </r>
      </text>
    </comment>
    <comment ref="E1094" authorId="0" shapeId="0" xr:uid="{D79AD686-65D4-4929-AAB9-A3FFF0B83671}">
      <text>
        <r>
          <rPr>
            <b/>
            <sz val="9"/>
            <color indexed="81"/>
            <rFont val="宋体"/>
            <family val="3"/>
            <charset val="134"/>
          </rPr>
          <t>jiangdian song:</t>
        </r>
        <r>
          <rPr>
            <sz val="9"/>
            <color indexed="81"/>
            <rFont val="宋体"/>
            <family val="3"/>
            <charset val="134"/>
          </rPr>
          <t xml:space="preserve">
TMA</t>
        </r>
      </text>
    </comment>
    <comment ref="G1098" authorId="0" shapeId="0" xr:uid="{5A540428-CCF9-411E-92FB-7A4C2F8CFC60}">
      <text>
        <r>
          <rPr>
            <b/>
            <sz val="9"/>
            <color indexed="81"/>
            <rFont val="宋体"/>
            <family val="3"/>
            <charset val="134"/>
          </rPr>
          <t>jiangdian song:</t>
        </r>
        <r>
          <rPr>
            <sz val="9"/>
            <color indexed="81"/>
            <rFont val="宋体"/>
            <family val="3"/>
            <charset val="134"/>
          </rPr>
          <t xml:space="preserve">
SEGMENTATION</t>
        </r>
      </text>
    </comment>
    <comment ref="G1099" authorId="0" shapeId="0" xr:uid="{0A19A9CA-1E02-4BDE-887E-87A965223AE1}">
      <text>
        <r>
          <rPr>
            <b/>
            <sz val="9"/>
            <color indexed="81"/>
            <rFont val="宋体"/>
            <family val="3"/>
            <charset val="134"/>
          </rPr>
          <t>jiangdian song:</t>
        </r>
        <r>
          <rPr>
            <sz val="9"/>
            <color indexed="81"/>
            <rFont val="宋体"/>
            <family val="3"/>
            <charset val="134"/>
          </rPr>
          <t xml:space="preserve">
CLASSIFICATION</t>
        </r>
      </text>
    </comment>
    <comment ref="E1111" authorId="0" shapeId="0" xr:uid="{332F0CE2-AF9D-486A-897E-7CCDD2D5FB48}">
      <text>
        <r>
          <rPr>
            <b/>
            <sz val="9"/>
            <color indexed="81"/>
            <rFont val="宋体"/>
            <family val="3"/>
            <charset val="134"/>
          </rPr>
          <t>jiangdian song:</t>
        </r>
        <r>
          <rPr>
            <sz val="9"/>
            <color indexed="81"/>
            <rFont val="宋体"/>
            <family val="3"/>
            <charset val="134"/>
          </rPr>
          <t xml:space="preserve">
histopathology images</t>
        </r>
      </text>
    </comment>
    <comment ref="E1123" authorId="0" shapeId="0" xr:uid="{48B978CB-5383-4BE3-B481-98ED13272A38}">
      <text>
        <r>
          <rPr>
            <b/>
            <sz val="9"/>
            <color indexed="81"/>
            <rFont val="宋体"/>
            <family val="3"/>
            <charset val="134"/>
          </rPr>
          <t>jiangdian song:</t>
        </r>
        <r>
          <rPr>
            <sz val="9"/>
            <color indexed="81"/>
            <rFont val="宋体"/>
            <family val="3"/>
            <charset val="134"/>
          </rPr>
          <t xml:space="preserve">
MPI</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43812F9-41C7-4147-9E13-89DF5A30F73F}" keepAlive="1" name="查询 - My EndNote Library" description="与工作簿中“My EndNote Library”查询的连接。" type="5" refreshedVersion="6" background="1" saveData="1">
    <dbPr connection="Provider=Microsoft.Mashup.OleDb.1;Data Source=$Workbook$;Location=My EndNote Library;Extended Properties=&quot;&quot;" command="SELECT * FROM [My EndNote Library]"/>
  </connection>
</connections>
</file>

<file path=xl/sharedStrings.xml><?xml version="1.0" encoding="utf-8"?>
<sst xmlns="http://schemas.openxmlformats.org/spreadsheetml/2006/main" count="127594" uniqueCount="21918">
  <si>
    <t>Column1.7</t>
  </si>
  <si>
    <t>Automatic recognition of severity level for diagnosis of diabetic retinopathy using deep visual features</t>
  </si>
  <si>
    <t>Diabetic retinopathy (DR) is leading cause of blindness among diabetic patients. Recognition of severity level is required by ophthalmologists to early detect and diagnose the DR. However, it is a challenging task for both medical experts and computer-aided diagnosis systems due to requiring extensive domain expert knowledge. In this article, a novel automatic recognition system for the five severity level of diabetic retinopathy (SLDR) is developed without performing any pre- and post-processing steps on retinal fundus images through learning of deep visual features (DVFs). These DVF features are extracted from each image by using color dense in scale-invariant and gradient location-orientation histogram techniques. To learn these DVF features, a semi-supervised multilayer deep-learning algorithm is utilized along with a new compressed layer and fine-tuning steps. This SLDR system was evaluated and compared with state-of-the-art techniques using the measures of sensitivity (SE), specificity (SP) and area under the receiving operating curves (AUC). On 750 fundus images (150 per category), the SE of 92.18%, SP of 94.50% and AUC of 0.924 values were obtained on average. These results demonstrate that the SLDR system is appropriate for early detection of DR and provide an effective treatment for prediction type of diabetes.</t>
  </si>
  <si>
    <t>Q. Abbas, I. Fondon, A. Sarmiento, S. Jiménez and P. Alemany</t>
  </si>
  <si>
    <t>2017</t>
  </si>
  <si>
    <t>Med Biol Eng Comput</t>
  </si>
  <si>
    <t>Cancer is the second leading cause of death after cardiovascular diseases. Out of all types of cancer, brain cancer has the lowest survival rate. Brain tumors can have different types depending on their shape, texture, and location. Proper diagnosis of the tumor type enables the doctor to make the correct treatment choice and help save the patient's life. There is a high need in the Artificial Intelligence field for a Computer Assisted Diagnosis (CAD) system to assist doctors and radiologists with the diagnosis and classification of tumors. Over recent years, deep learning has shown an optimistic performance in computer vision systems. In this paper, we propose an enhanced approach for classifying brain tumor types using Residual Networks. We evaluate the proposed model on a benchmark dataset containing 3064 MRI images of 3 brain tumor types (Meningiomas, Gliomas, and Pituitary tumors). We have achieved the highest accuracy of 99% outperforming the other previous work on the same dataset.</t>
  </si>
  <si>
    <t>2020</t>
  </si>
  <si>
    <t>Artif Intell Med</t>
  </si>
  <si>
    <t>The robustness of the visual system lies in its ability to perceive degraded images. This is achieved through interacting bottom-up, recurrent, and top-down pathways that process the visual input in concordance with stored prior information. The interaction mechanism by which they integrate visual input and prior information is still enigmatic. We present a new approach using deep neural network (DNN) representation to reveal the effects of such integration on degraded visual inputs. We transformed measured human brain activity resulting from viewing blurred images to the hierarchical representation space derived from a feedforward DNN. Transformed representations were found to veer toward the original nonblurred image and away from the blurred stimulus image. This indicated deblurring or sharpening in the neural representation, and possibly in our perception. We anticipate these results will help unravel the interplay mechanism between bottom-up, recurrent, and top-down pathways, leading to more comprehensive models of vision.</t>
  </si>
  <si>
    <t>M. Abdelhack and Y. Kamitani</t>
  </si>
  <si>
    <t>2018</t>
  </si>
  <si>
    <t>eNeuro</t>
  </si>
  <si>
    <t>Convolutional neural network for automated mass segmentation in mammography</t>
  </si>
  <si>
    <t>BACKGROUND: Automatic segmentation and localization of lesions in mammogram (MG) images are challenging even with employing advanced methods such as deep learning (DL) methods. We developed a new model based on the architecture of the semantic segmentation U-Net model to precisely segment mass lesions in MG images. The proposed end-to-end convolutional neural network (CNN) based model extracts contextual information by combining low-level and high-level features. We trained the proposed model using huge publicly available databases, (CBIS-DDSM, BCDR-01, and INbreast), and a private database from the University of Connecticut Health Center (UCHC). RESULTS: We compared the performance of the proposed model with those of the state-of-the-art DL models including the fully convolutional network (FCN), SegNet, Dilated-Net, original U-Net, and Faster R-CNN models and the conventional region growing (RG) method. The proposed Vanilla U-Net model outperforms the Faster R-CNN model significantly in terms of the runtime and the Intersection over Union metric (IOU). Training with digitized film-based and fully digitized MG images, the proposed Vanilla U-Net model achieves a mean test accuracy of 92.6%. The proposed model achieves a mean Dice coefficient index (DI) of 0.951 and a mean IOU of 0.909 that show how close the output segments are to the corresponding lesions in the ground truth maps. Data augmentation has been very effective in our experiments resulting in an increase in the mean DI and the mean IOU from 0.922 to 0.951 and 0.856 to 0.909, respectively. CONCLUSIONS: The proposed Vanilla U-Net based model can be used for precise segmentation of masses in MG images. This is because the segmentation process incorporates more multi-scale spatial context, and captures more local and global context to predict a precise pixel-wise segmentation map of an input full MG image. These detected maps can help radiologists in differentiating benign and malignant lesions depend on the lesion shapes. We show that using transfer learning, introducing augmentation, and modifying the architecture of the original model results in better performance in terms of the mean accuracy, the mean DI, and the mean IOU in detecting mass lesion compared to the other DL and the conventional models.</t>
  </si>
  <si>
    <t>BMC Bioinformatics</t>
  </si>
  <si>
    <t>BACKGROUND: The limitations of traditional computer-aided detection (CAD) systems for mammography, the extreme importance of early detection of breast cancer and the high impact of the false diagnosis of patients drive researchers to investigate deep learning (DL) methods for mammograms (MGs). Recent breakthroughs in DL, in particular, convolutional neural networks (CNNs) have achieved remarkable advances in the medical fields. Specifically, CNNs are used in mammography for lesion localization and detection, risk assessment, image retrieval, and classification tasks. CNNs also help radiologists providing more accurate diagnosis by delivering precise quantitative analysis of suspicious lesions. RESULTS: In this survey, we conducted a detailed review of the strengths, limitations, and performance of the most recent CNNs applications in analyzing MG images. It summarizes 83 research studies for applying CNNs on various tasks in mammography. It focuses on finding the best practices used in these research studies to improve the diagnosis accuracy. This survey also provides a deep insight into the architecture of CNNs used for various tasks. Furthermore, it describes the most common publicly available MG repositories and highlights their main features and strengths. CONCLUSIONS: The mammography research community can utilize this survey as a basis for their current and future studies. The given comparison among common publicly available MG repositories guides the community to select the most appropriate database for their application(s). Moreover, this survey lists the best practices that improve the performance of CNNs including the pre-processing of images and the use of multi-view images. In addition, other listed techniques like transfer learning (TL), data augmentation, batch normalization, and dropout are appealing solutions to reduce overfitting and increase the generalization of the CNN models. Finally, this survey identifies the research challenges and directions that require further investigations by the community.</t>
  </si>
  <si>
    <t>2019</t>
  </si>
  <si>
    <t>10.1016/j.mri.2019.05.028</t>
  </si>
  <si>
    <t>A review on brain tumor diagnosis from MRI images: Practical implications, key achievements, and lessons learned</t>
  </si>
  <si>
    <t>The successful early diagnosis of brain tumors plays a major role in improving the treatment outcomes and thus improving patient survival. Manually evaluating the numerous magnetic resonance imaging (MRI) images produced routinely in the clinic is a difficult process. Thus, there is a crucial need for computer-aided methods with better accuracy for early tumor diagnosis. Computer-aided brain tumor diagnosis from MRI images consists of tumor detection, segmentation, and classification processes. Over the past few years, many studies have focused on traditional or classical machine learning techniques for brain tumor diagnosis. Recently, interest has developed in using deep learning techniques for diagnosing brain tumors with better accuracy and robustness. This study presents a comprehensive review of traditional machine learning techniques and evolving deep learning techniques for brain tumor diagnosis. This review paper identifies the key achievements reflected in the performance measurement metrics of the applied algorithms in the three diagnosis processes. In addition, this study discusses the key findings and draws attention to the lessons learned as a roadmap for future research.</t>
  </si>
  <si>
    <t>Magn Reson Imaging</t>
  </si>
  <si>
    <t>A Novel CNN-Based CAD System for Early Assessment of Transplanted Kidney Dysfunction</t>
  </si>
  <si>
    <t>This paper introduces a deep-learning based computer-aided diagnostic (CAD) system for the early detection of acute renal transplant rejection. For noninvasive detection of kidney rejection at an early stage, the proposed CAD system is based on the fusion of both imaging markers and clinical biomarkers. The former are derived from diffusion-weighted magnetic resonance imaging (DW-MRI) by estimating the apparent diffusion coefficients (ADC) representing the perfusion of the blood and the diffusion of the water inside the transplanted kidney. The clinical biomarkers, namely: creatinine clearance (CrCl) and serum plasma creatinine (SPCr), are integrated into the proposed CAD system as kidney functionality indexes to enhance its diagnostic performance. The ADC maps are estimated for a user-defined region of interest (ROI) that encompasses the whole kidney. The estimated ADCs are fused with the clinical biomarkers and the fused data is then used as an input to train and test a convolutional neural network (CNN) based classifier. The CAD system is tested on DW-MRI scans collected from 56 subjects from geographically diverse populations and different scanner types/image collection protocols. The overall accuracy of the proposed system is 92.9% with 93.3% sensitivity and 92.3% specificity in distinguishing non-rejected kidney transplants from rejected ones. These results demonstrate the potential of the proposed system for a reliable non-invasive diagnosis of renal transplant status for any DW-MRI scans, regardless of the geographical differences and/or imaging protocol.</t>
  </si>
  <si>
    <t>Sci Rep</t>
  </si>
  <si>
    <t>Intra-Slice Motion Correction of Intravascular OCT Images Using Deep Features</t>
  </si>
  <si>
    <t>Intra-slice motion correction is an important step for analyzing volume variations and pathological formations from intravascular imaging. Optical coherence tomography (OCT) has been recently introduced for intravascular imaging and assessment of coronary artery disease. Two-dimensional (2-D) cross-sectional OCT images of coronary arteries play a crucial role to characterize the internal structure of the tissues. Adjacent images could be compounded; however, they might not fully match due to motion, which is a major hurdle for analyzing longitudinally each tissue in 3-D. The aim of this study is to develop a robust tissue-matching-based motion correction approach from a sequence of 2-D intracoronary OCT images. Our motion correction technique is based on the correlation between deep features obtained from a convolutional neural network (CNN) for each frame of a sequence. The optimal transformation of each frame is obtained by maximizing the similarity between the tissues of reference and moving frames. The results show a good alignment of the tissues after applying CNN features and determining the transformation parameters.</t>
  </si>
  <si>
    <t>IEEE J Biomed Health Inform</t>
  </si>
  <si>
    <t>10.1002/path.5331</t>
  </si>
  <si>
    <t>Computational pathology definitions, best practices, and recommendations for regulatory guidance: a white paper from the Digital Pathology Association</t>
  </si>
  <si>
    <t>In this white paper, experts from the Digital Pathology Association (DPA) define terminology and concepts in the emerging field of computational pathology, with a focus on its application to histology images analyzed together with their associated patient data to extract information. This review offers a historical perspective and describes the potential clinical benefits from research and applications in this field, as well as significant obstacles to adoption. Best practices for implementing computational pathology workflows are presented. These include infrastructure considerations, acquisition of training data, quality assessments, as well as regulatory, ethical, and cyber-security concerns. Recommendations are provided for regulators, vendors, and computational pathology practitioners in order to facilitate progress in the field. © 2019 The Authors. The Journal of Pathology published by John Wiley &amp; Sons Ltd on behalf of Pathological Society of Great Britain and Ireland.</t>
  </si>
  <si>
    <t>J Pathol</t>
  </si>
  <si>
    <t>Deep Convolutional Neural Networks for Chest Diseases Detection</t>
  </si>
  <si>
    <t>Chest diseases are very serious health problems in the life of people. These diseases include chronic obstructive pulmonary disease, pneumonia, asthma, tuberculosis, and lung diseases. The timely diagnosis of chest diseases is very important. Many methods have been developed for this purpose. In this paper, we demonstrate the feasibility of classifying the chest pathologies in chest X-rays using conventional and deep learning approaches. In the paper, convolutional neural networks (CNNs) are presented for the diagnosis of chest diseases. The architecture of CNN and its design principle are presented. For comparative purpose, backpropagation neural networks (BPNNs) with supervised learning, competitive neural networks (CpNNs) with unsupervised learning are also constructed for diagnosis chest diseases. All the considered networks CNN, BPNN, and CpNN are trained and tested on the same chest X-ray database, and the performance of each network is discussed. Comparative results in terms of accuracy, error rate, and training time between the networks are presented.</t>
  </si>
  <si>
    <t>R. H. Abiyev and M. K. S. Ma'aitah</t>
  </si>
  <si>
    <t>J Healthc Eng</t>
  </si>
  <si>
    <t>Deep Learning to Distinguish Recalled but Benign Mammography Images in Breast Cancer Screening</t>
  </si>
  <si>
    <t>PURPOSE: False positives in digital mammography screening lead to high recall rates, resulting in unnecessary medical procedures to patients and health care costs. This study aimed to investigate the revolutionary deep learning methods to distinguish recalled but benign mammography images from negative exams and those with malignancy. EXPERIMENTAL DESIGN: Deep learning convolutional neural network (CNN) models were constructed to classify mammography images into malignant (breast cancer), negative (breast cancer free), and recalled-benign categories. A total of 14,860 images of 3,715 patients from two independent mammography datasets: Full-Field Digital Mammography Dataset (FFDM) and a digitized film dataset, Digital Dataset of Screening Mammography (DDSM), were used in various settings for training and testing the CNN models. The ROC curve was generated and the AUC was calculated as a metric of the classification accuracy. RESULTS: Training and testing using only the FFDM dataset resulted in AUC ranging from 0.70 to 0.81. When the DDSM dataset was used, AUC ranged from 0.77 to 0.96. When datasets were combined for training and testing, AUC ranged from 0.76 to 0.91. When pretrained on a large nonmedical dataset and DDSM, the models showed consistent improvements in AUC ranging from 0.02 to 0.05 (all P &gt; 0.05), compared with pretraining only on the nonmedical dataset. CONCLUSIONS: This study demonstrates that automatic deep learning CNN methods can identify nuanced mammographic imaging features to distinguish recalled-benign images from malignant and negative cases, which may lead to a computerized clinical toolkit to help reduce false recalls.</t>
  </si>
  <si>
    <t>S. S. Aboutalib, A. A. Mohamed, W. A. Berg, M. L. Zuley, J. H. Sumkin and S. Wu</t>
  </si>
  <si>
    <t>Clin Cancer Res</t>
  </si>
  <si>
    <t>Computer-aided classification of prostate cancer grade groups from MRI images using texture features and stacked sparse autoencoder</t>
  </si>
  <si>
    <t>A novel method to determine the Grade Group (GG) in prostate cancer (PCa) using multi-parametric magnetic resonance imaging (mpMRI) biomarkers is investigated in this paper. In this method, high-level features are extracted from hand-crafted texture features using a deep network of stacked sparse autoencoders (SSAE) and classified them using a softmax classifier (SMC). Transaxial T2 Weighted (T2W), Apparent Diffusion Coefficient (ADC) and high B-Value Diffusion-Weighted (BVAL) images obtained from PROSTATEx-2 2017 challenge dataset are used in this technique. The method was evaluated on the challenge dataset composed of a training set of 112 lesions and a test set of 70 lesions. It achieved a quadratic-weighted Kappa score of 0.2772 on evaluation using test dataset of the challenge. It also reached a Positive Predictive Value (PPV) of 80% in predicting PCa with GG &gt; 1. The method achieved first place in the challenge, winning over 43 methods submitted by 21 groups. A 3-fold cross-validation using training data of the challenge was further performed and the method achieved a quadratic-weighted kappa score of 0.2326 and Positive Predictive Value (PPV) of 80.26% in predicting PCa with GG &gt; 1. Even though the training dataset is a highly imbalanced one, the method was able to achieve a fair kappa score. Being one of the pioneer methods which attempted to classify prostate cancer into 5 grade groups from MRI images, it could serve as a base method for further investigations and improvements.</t>
  </si>
  <si>
    <t>B. Abraham and M. S. Nair</t>
  </si>
  <si>
    <t>Comput Med Imaging Graph</t>
  </si>
  <si>
    <t>Multimodal Data Fusion of Deep Learning and Dynamic Functional Connectivity Features to Predict Alzheimer's Disease Progression()</t>
  </si>
  <si>
    <t>Early prediction of diseased brain conditions is critical for curing illness and preventing irreversible neuronal dysfunction and loss. Generically regarding the different neuroimaging modalities as filtered, complementary insights of brain's anatomical and functional organization, multimodal data fusion could be hypothesized to enhance the predictive power as compared to a unimodal prediction of disease progression. More recently, deep learning (DL) based methods on structural MRI (sMRI) data have outperformed classical machine learning approaches in several neuroimaging applications including diagnostic classification and prediction. Similarly, functional MRI (fMRI) features estimated using a dynamic (i.e. time-varying) functional connectivity (FC) approach have been found to be more discriminative and predictive of the clinical diagnosis than those based on the static FC approach. Motivated by this, we introduce a novel multimodal data fusion framework featuring deep residual learning of non-linear sMRI features and dynamic FC (dFC) based extraction of fMRI features to predict the subset of individuals with mild cognitive impairments who would progress to Alzheimer's disease within a time-period of three years from the baseline scanning sessions. Our cross-validated results from the developed multimodal (sMRI-fMRI) data fusion framework demonstrate a significant improvement in performance over the unimodal prediction analyses with the fMRI (p = 7.03 x 10(-7)) and sMRI (p = 6.72 x 10(-4)) modalities. As such, the findings in this work highlight the benefits of combining multiple neuroimaging data modalities via data fusion, corroborate the predictive value of the tested DL and dFC features and argue in favor of exploration of similar approaches to learn neuroanatomical and functional alterations in the neuroimaging data.</t>
  </si>
  <si>
    <t>Annu Int Conf IEEE Eng Med Biol Soc</t>
  </si>
  <si>
    <t>10.1631/jzus.B1700260</t>
  </si>
  <si>
    <t>Towards precision medicine: from quantitative imaging to radiomics</t>
  </si>
  <si>
    <t>Radiology (imaging) and imaging-guided interventions, which provide multi-parametric morphologic and functional information, are playing an increasingly significant role in precision medicine. Radiologists are trained to understand the imaging phenotypes, transcribe those observations (phenotypes) to correlate with underlying diseases and to characterize the images. However, in order to understand and characterize the molecular phenotype (to obtain genomic information) of solid heterogeneous tumours, the advanced sequencing of those tissues using biopsy is required. Thus, radiologists image the tissues from various views and angles in order to have the complete image phenotypes, thereby acquiring a huge amount of data. Deriving meaningful details from all these radiological data becomes challenging and raises the big data issues. Therefore, interest in the application of radiomics has been growing in recent years as it has the potential to provide significant interpretive and predictive information for decision support. Radiomics is a combination of conventional computer-aided diagnosis, deep learning methods, and human skills, and thus can be used for quantitative characterization of tumour phenotypes. This paper discusses the overview of radiomics workflow, the results of various radiomics-based studies conducted using various radiological images such as computed tomography (CT), magnetic resonance imaging (MRI), and positron-emission tomography (PET), the challenges we are facing, and the potential contribution of radiomics towards precision medicine.</t>
  </si>
  <si>
    <t>J Zhejiang Univ Sci B</t>
  </si>
  <si>
    <t>Identification of Kernels in a Convolutional Neural Network: Connections Between Level Set Equation and Deep Learning for Image Segmentation</t>
  </si>
  <si>
    <t>Medical image segmentation remains a difficult, time-consuming task; currently, liver segmentation from abdominal CT scans is often done by hand, requiring too much time to construct patient-specific treatment models for hepatocellular carcinoma. Image segmentation techniques, such as level set methods and convolutional neural networks (CNN), rely on a series of convolutions and nonlinearities to construct image features: neural networks that use strictly mean-zero finite difference stencils as convolution kernels can be treated as upwind discretizations of differential equations. If this relationship can be made explicit, one gains the ability to analyze CNN using the language of numerical analysis, thereby providing a well-established framework for proving properties such as stability and approximation accuracy. We test this relationship by constructing a level set network, a type of CNN whose architecture describes the expansion of level sets; forward-propagation through a level set network is equivalent to solving the level set equation; the level set network achieves comparable segmentation accuracy to solving the level set equation, while not obtaining the accuracy of a common CNN architecture. We therefore analyze which convolution filters are present in a standard CNN, to see whether finite difference stencils are learned during training; we observe certain patterns that form at certain layers in the network, where the learned CNN kernels depart from known convolution kernels used to solve the level set equation.</t>
  </si>
  <si>
    <t>Proc SPIE Int Soc Opt Eng</t>
  </si>
  <si>
    <t>3D scattering transforms for disease classification in neuroimaging</t>
  </si>
  <si>
    <t>Classifying neurodegenerative brain diseases in MRI aims at correctly assigning discrete labels to MRI scans. Such labels usually refer to a diagnostic decision a learner infers based on what it has learned from a training sample of MRI scans. Classification from MRI voxels separately typically does not provide independent evidence towards or against a class; the information relevant for classification is only present in the form of complicated multivariate patterns (or features). Deep learning solves this problem by learning a sequence of non-linear transformations that result in feature representations that are better suited to classification. Such learned features have been shown to drastically outperform hand-engineered features in computer vision and audio analysis domains. However, applying the deep learning approach to the task of MRI classification is extremely challenging, because it requires a very large amount of data which is currently not available. We propose to instead use a three dimensional scattering transform, which resembles a deep convolutional neural network but has no learnable parameters. Furthermore, the scattering transform linearizes diffeomorphisms (due to e.g. residual anatomical variability in MRI scans), making the different disease states more easily separable using a linear classifier. In experiments on brain morphometry in Alzheimer's disease, and on white matter microstructural damage in HIV, scattering representations are shown to be highly effective for the task of disease classification. For instance, in semi-supervised learning of progressive versus stable MCI, we reach an accuracy of 82.7%. We also present a visualization method to highlight areas that provide evidence for or against a certain class, both on an individual and group level.</t>
  </si>
  <si>
    <t>T. Adel, T. Cohen, M. Caan and M. Welling</t>
  </si>
  <si>
    <t>Neuroimage Clin</t>
  </si>
  <si>
    <t>Learned Primal-Dual Reconstruction</t>
  </si>
  <si>
    <t>We propose the Learned Primal-Dual algorithm for tomographic reconstruction. The algorithm accounts for a (possibly non-linear) forward operator in a deep neural network by unrolling a proximal primal-dual optimization method, but where the proximal operators have been replaced with convolutional neural networks. The algorithm is trained end-to-end, working directly from raw measured data and it does not depend on any initial reconstruction such as filtered back-projection (FBP). We compare performance of the proposed method on low dose computed tomography reconstruction against FBP, total variation (TV), and deep learning based post-processing of FBP. For the Shepp-Logan phantom we obtain &gt;6 dB peak signal to noise ratio improvement against all compared methods. For human phantoms the corresponding improvement is 6.6 dB over TV and 2.2 dB over learned post-processing along with a substantial improvement in the structural similarity index. Finally, our algorithm involves only ten forward-back-projection computations, making the method feasible for time critical clinical applications.</t>
  </si>
  <si>
    <t>J. Adler and O. Oktem</t>
  </si>
  <si>
    <t>IEEE Trans Med Imaging</t>
  </si>
  <si>
    <t>Uncertainty-aware performance assessment of optical imaging modalities with invertible neural networks</t>
  </si>
  <si>
    <t>PURPOSE: Optical imaging is evolving as a key technique for advanced sensing in the operating room. Recent research has shown that machine learning algorithms can be used to address the inverse problem of converting pixel-wise multispectral reflectance measurements to underlying tissue parameters, such as oxygenation. Assessment of the specific hardware used in conjunction with such algorithms, however, has not properly addressed the possibility that the problem may be ill-posed. METHODS: We present a novel approach to the assessment of optical imaging modalities, which is sensitive to the different types of uncertainties that may occur when inferring tissue parameters. Based on the concept of invertible neural networks, our framework goes beyond point estimates and maps each multispectral measurement to a full posterior probability distribution which is capable of representing ambiguity in the solution via multiple modes. Performance metrics for a hardware setup can then be computed from the characteristics of the posteriors. RESULTS: Application of the assessment framework to the specific use case of camera selection for physiological parameter estimation yields the following insights: (1) estimation of tissue oxygenation from multispectral images is a well-posed problem, while (2) blood volume fraction may not be recovered without ambiguity. (3) In general, ambiguity may be reduced by increasing the number of spectral bands in the camera. CONCLUSION: Our method could help to optimize optical camera design in an application-specific manner.</t>
  </si>
  <si>
    <t>Int J Comput Assist Radiol Surg</t>
  </si>
  <si>
    <t>Digital Microscopy, Image Analysis, and Virtual Slide Repository</t>
  </si>
  <si>
    <t>Ilar j</t>
  </si>
  <si>
    <t>[Formula: see text]: deep learning-based radiomics for the time-to-event outcome prediction in lung cancer</t>
  </si>
  <si>
    <t>Hand-crafted radiomics has been used for developing models in order to predict time-to-event clinical outcomes in patients with lung cancer. Hand-crafted features, however, are pre-defined and extracted without taking the desired target into account. Furthermore, accurate segmentation of the tumor is required for development of a reliable predictive model, which may be objective and a time-consuming task. To address these drawbacks, we propose a deep learning-based radiomics model for the time-to-event outcome prediction, referred to as DRTOP that takes raw images as inputs, and calculates the image-based risk of death or recurrence, for each patient. Our experiments on an in-house dataset of 132 lung cancer patients show that the obtained image-based risks are significant predictors of the time-to-event outcomes. Computed Tomography (CT)-based features are predictors of the overall survival (OS), with the hazard ratio (HR) of 1.35, distant control (DC), with HR of 1.06, and local control (LC), with HR of 2.66. The Positron Emission Tomography (PET)-based features are predictors of OS and recurrence free survival (RFS), with hazard ratios of 1.67 and 1.18, respectively. The concordance indices of [Formula: see text], [Formula: see text], and [Formula: see text] for predicting the OS, DC, and RFS show that the deep learning-based radiomics model is as accurate or better in predicting predefined clinical outcomes compared to hand-crafted radiomics, with concordance indices of [Formula: see text], [Formula: see text], and [Formula: see text], for predicting the OS, DC, and RFS, respectively. Deep learning-based radiomics has the potential to offer complimentary predictive information in the personalized management of lung cancer patients.</t>
  </si>
  <si>
    <t>Automatic localization of normal active organs in 3D PET scans</t>
  </si>
  <si>
    <t>PET imaging captures the metabolic activity of tissues and is commonly visually interpreted by clinicians for detecting cancer, assessing tumor progression, and evaluating response to treatment. To automate accomplishing these tasks, it is important to distinguish between normal active organs and activity due to abnormal tumor growth. In this paper, we propose a deep learning method to localize and detect normal active organs visible in a 3D PET scan field-of-view. Our method adapts the deep network architecture of YOLO to detect multiple organs in 2D slices and aggregates the results to produce semantically labeled 3D bounding boxes. We evaluate our method on 479 18F-FDG PET scans of 156 patients achieving an average organ detection precision of 75-98%, recall of 94-100%, average bounding box centroid localization error of less than 14 mm, wall localization error of less than 24 mm and a mean IOU of up to 72%.</t>
  </si>
  <si>
    <t>S. Afshari, A. BenTaieb and G. Hamarneh</t>
  </si>
  <si>
    <t>Deep learning for mass detection in Full Field Digital Mammograms</t>
  </si>
  <si>
    <t>In recent years, the use of Convolutional Neural Networks (CNNs) in medical imaging has shown improved performance in terms of mass detection and classification compared to current state-of-the-art methods. This paper proposes a fully automated framework to detect masses in Full-Field Digital Mammograms (FFDM). This is based on the Faster Region-based Convolutional Neural Network (Faster-RCNN) model and is applied for detecting masses in the large-scale OPTIMAM Mammography Image Database (OMI-DB), which consists of ∼80,000 FFDMs mainly from Hologic and General Electric (GE) scanners. This research is the first to benchmark the performance of deep learning on OMI-DB. The proposed framework obtained a True Positive Rate (TPR) of 0.93 at 0.78 False Positive per Image (FPI) on FFDMs from the Hologic scanner. Transfer learning is then used in the Faster R-CNN model trained on Hologic images to detect masses in smaller databases containing FFDMs from the GE scanner and another public dataset INbreast (Siemens scanner). The detection framework obtained a TPR of 0.91±0.06 at 1.69 FPI for images from the GE scanner and also showed higher performance compared to state-of-the-art methods on the INbreast dataset, obtaining a TPR of 0.99±0.03 at 1.17 FPI for malignant and 0.85±0.08 at 1.0 FPI for benign masses, showing the potential to be used as part of an advanced CAD system for breast cancer screening.</t>
  </si>
  <si>
    <t>Comput Biol Med</t>
  </si>
  <si>
    <t>Deep learning for screening of interstitial lung disease patterns in high-resolution CT images</t>
  </si>
  <si>
    <t>AIM: To develop a screening tool for the detection of interstitial lung disease (ILD) patterns using a deep-learning method. MATERIALS AND METHODS: A fully convolutional network was used for semantic segmentation of several ILD patterns. Improved segmentation of ILD patterns was achieved using multi-scale feature extraction. Dilated convolution was used to maintain the resolution of feature maps and to enlarge the receptive field. The proposed method was evaluated on a publicly available ILD database (MedGIFT) and a private clinical research database. Several metrics, such as success rate, sensitivity, and false positives per section were used for quantitative evaluation of the proposed method. RESULTS: Sections with fibrosis and emphysema were detected with a similar success rate and sensitivity for both databases but the performance of detection was lower for consolidation compared to fibrosis and emphysema. CONCLUSION: Automatic identification of ILD patterns in a high-resolution computed tomography (CT) image was implemented using a deep-learning framework. Creation of a pre-trained model with natural images and subsequent transfer learning using a particular database gives acceptable results.</t>
  </si>
  <si>
    <t>Clin Radiol</t>
  </si>
  <si>
    <t>MoDL: Model-Based Deep Learning Architecture for Inverse Problems</t>
  </si>
  <si>
    <t>We introduce a model-based image reconstruction framework with a convolution neural network (CNN)-based regularization prior. The proposed formulation provides a systematic approach for deriving deep architectures for inverse problems with the arbitrary structure. Since the forward model is explicitly accounted for, a smaller network with fewer parameters is sufficient to capture the image information compared to direct inversion approaches. Thus, reducing the demand for training data and training time. Since we rely on end-to-end training with weight sharing across iterations, the CNN weights are customized to the forward model, thus offering improved performance over approaches that rely on pre-trained denoisers. Our experiments show that the decoupling of the number of iterations from the network complexity offered by this approach provides benefits, including lower demand for training data, reduced risk of overfitting, and implementations with significantly reduced memory footprint. We propose to enforce data-consistency by using numerical optimization blocks, such as conjugate gradients algorithm within the network. This approach offers faster convergence per iteration, compared to methods that rely on proximal gradients steps to enforce data consistency. Our experiments show that the faster convergence translates to improved performance, primarily when the available GPU memory restricts the number of iterations.</t>
  </si>
  <si>
    <t>Data augmentation in dermatology image recognition using machine learning</t>
  </si>
  <si>
    <t>BACKGROUND: Each year in the United States, over 80 million people are affected by acne, atopic dermatitis, rosacea, psoriasis, and impetigo. Artificial intelligence and machine learning could prove to be a good tool for assisting in the diagnosis of dermatological conditions. The objective of this study was to evaluate the use of data augmentation in machine learning image recognition of five dermatological disease manifestations-acne, atopic dermatitis, impetigo, psoriasis, and rosacea. MATERIALS AND METHODS: Open-source dermatological images were gathered and used to retrain TensorFlow Inception version-3. Retraining was done twice-once with and once without data augmentation. Both models were tested with the same images, and R software was used to perform statistical analysis. RESULTS: The average of each of the statistical measures (sensitivity, specificity, PPV, NPN, MCC, and F1 Score) increased when data augmentation was added to the model. In particular, the average Matthews correlation coefficient increased by 7.7%. Each of the five dermatological manifestations had an increase in area under the curve (AUC) after data augmentation with the average increase in AUC of 0.132 and a standard deviation of 0.033. Atopic dermatitis had the highest increase in AUC of 0.18. With data augmentation, the lowest AUC was 0.87 for psoriasis and the highest was 0.97 for acne, indicating that the model performs well. CONCLUSION: With a deep learning-based approach, it is possible to differentiate dermatological images with appreciable MCC, F1 score, and AUC. Further, data augmentation can be used to increase the model's accuracy by a significant amount.</t>
  </si>
  <si>
    <t>S. L. P. Aggarwal</t>
  </si>
  <si>
    <t>Skin Res Technol</t>
  </si>
  <si>
    <t>Diagnosis of Autism Spectrum Disorders in Young Children Based on Resting-State Functional Magnetic Resonance Imaging Data Using Convolutional Neural Networks</t>
  </si>
  <si>
    <t>Statistics show that the risk of autism spectrum disorder (ASD) is increasing in the world. Early diagnosis is most important factor in treatment of ASD. Thus far, the childhood diagnosis of ASD has been done based on clinical interviews and behavioral observations. There is a significant need to reduce the use of traditional diagnostic techniques and to diagnose this disorder in the right time and before the manifestation of behavioral symptoms. The purpose of this study is to present the intelligent model to diagnose ASD in young children based on resting-state functional magnetic resonance imaging (rs-fMRI) data using convolutional neural networks (CNNs). CNNs, which are by far one of the most powerful deep learning algorithms, are mainly trained using datasets with large numbers of samples. However, obtaining comprehensive datasets such as ImageNet and achieving acceptable results in medical imaging domain have become challenges. In order to overcome these two challenges, the two methods of combining classifiers, both dynamic (mixture of experts) and static (simple ‌Bayes) approaches, and transfer learning were used in this analysis. In addition, since diagnosis of ASD will be much more effective at an early age, samples ranging in age from 5 to 10 years from global Autism Brain Imaging Data Exchange I and II (ABIDE I and ABIDE II) datasets were used in this research. The accuracy, sensitivity, and specificity of presented model outperform the results of previous studies conducted on ABIDE I dataset (the best results obtained from Adamax optimization technique: accuracy = 0.7273, sensitivity = 0.712, specificity = 0.7348). Furthermore, acceptable classification results were obtained from ABIDE II dataset (the best results obtained from Adamax optimization technique: accuracy = 0.7, sensitivity = 0.582, specificity = 0.804) and the combination of ABIDE I and ABIDE II datasets (the best results obtained from Adam optimization technique: accuracy = 0.7045, sensitivity = 0.679, specificity = 0.7421). We can conclude that the proposed architecture can be considered as an efficient tool for diagnosis of ASD in young children. From another perspective, this proposed method can be applied to analyzing rs-fMRI data related to brain dysfunctions.</t>
  </si>
  <si>
    <t>M. A. Aghdam, A. Sharifi and M. M. Pedram</t>
  </si>
  <si>
    <t>J Digit Imaging</t>
  </si>
  <si>
    <t>Appraisal of Deep-Learning Techniques on Computer-Aided Lung Cancer Diagnosis with Computed Tomography Screening</t>
  </si>
  <si>
    <t>AIMS: Deep-learning methods are becoming versatile in the field of medical image analysis. The hand-operated examination of smaller nodules from computed tomography scans becomes a challenging and time-consuming task due to the limitation of human vision. A standardized computer-aided diagnosis (CAD) framework is required for rapid and accurate lung cancer diagnosis. The National Lung Screening Trial recommends routine screening with low-dose computed tomography among high-risk patients to reduce the risk of dying from lung cancer by early cancer detection. The evolvement of clinically acceptable CAD system for lung cancer diagnosis demands perfect prototypes for segmenting lung region, followed by identifying nodules with reduced false positives. Recently, deep-learning methods are increasingly adopted in medical image diagnosis applications. SUBJECTS AND METHODS: In this study, a deep-learning-based CAD framework for lung cancer diagnosis with chest computed tomography (CT) images is built using dilated SegNet and convolutional neural networks (CNNs). A dilated SegNet model is employed to segment lung from chest CT images, and a CNN model with batch normalization is developed to identify the true nodules from all possible nodules. The dilated SegNet and CNN models have been trained on the sample cases taken from the LUNA16 dataset. The performance of the segmentation model is measured in terms of Dice coefficient, and the nodule classifier is evaluated with sensitivity. The discriminant ability of the features learned by a CNN classifier is further confirmed with principal component analysis. RESULTS: Experimental results confirm that the dilated SegNet model segments the lung with an average Dice coefficient of 0.89 ± 0.23 and the customized CNN model yields a sensitivity of 94.8 on categorizing cancerous and noncancerous nodules. CONCLUSIONS: Thus, the proposed CNN models achieve efficient lung segmentation and two-dimensional nodule patch classification in CAD system for lung cancer diagnosis with CT screening.</t>
  </si>
  <si>
    <t>J Med Phys</t>
  </si>
  <si>
    <t>BRR-Net: A tandem architectural CNN-RNN for automatic body region localization in CT images</t>
  </si>
  <si>
    <t>PURPOSE: Automatic identification of consistently defined body regions in medical images is vital in many applications. In this paper, we describe a method to automatically demarcate the superior and inferior boundaries for neck, thorax, abdomen, and pelvis body regions in computed tomography (CT) images. METHODS: For any three-dimensional (3D) CT image I, following precise anatomic definitions, we denote the superior and inferior axial boundary slices of the neck, thorax, abdomen, and pelvis body regions by NS(I), NI(I), TS(I), TI(I), AS(I), AI(I), PS(I), and PI(I), respectively. Of these, by definition, AI(I) = PS(I), and so the problem reduces to demarcating seven body region boundaries. Our method consists of a two-step approach. In the first step, a convolutional neural network (CNN) is trained to classify each axial slice in I into one of nine categories: the seven body region boundaries, plus legs (defined as all axial slices inferior to PI(I)), and the none-of-the-above category. This CNN uses a multichannel approach to exploit the interslice contrast, providing the neural network with additional visual context at the body region boundaries. In the second step, to improve the predictions for body region boundaries that are very subtle and that exhibit low contrast, a recurrent neural network (RNN) is trained on features extracted by CNN, limited to a flexible window about the predictions from the CNN. RESULTS: The method is evaluated on low-dose CT images from 442 patient scans, divided into training and testing sets with a ratio of 70:30. Using only the CNN, overall absolute localization error for NS(I), NI(I), TS(I), TI(I), AS(I), AI(I), and PI(I) expressed in terms of number of slices (nS) is (mean ± SD): 0.61 ± 0.58, 1.05 ± 1.13, 0.31 ± 0.46, 1.85 ± 1.96, 0.57 ± 2.44, 3.42 ± 3.16, and 0.50 ± 0.50, respectively. Using the RNN to refine the CNN's predictions for select classes improved the accuracy of TI(I) and AI(I) to: 1.35 ± 1.71 and 2.83 ± 2.75, respectively. This model outperforms the results achieved in our previous work by 2.4, 1.7, 3.1, 1.1, and 2 slices, respectively for TS(I), TI(I), AS(I), AI(I) = PS(I), and PI(I) classes with statistical significance. The model trained on low-dose CT images was also tested on diagnostic CT images for NS(I), NI(I), and TS(I) classes; the resulting errors were: 1.48 ± 1.33, 2.56 ± 2.05, and 0.58 ± 0.71, respectively. CONCLUSIONS: Standardized body region definitions are a prerequisite for effective implementation of quantitative radiology, but the literature is severely lacking in the precise identification of body regions. The method presented in this paper significantly outperforms earlier works by a large margin, and the deviations of our results from ground truth are comparable to variations observed in manual labeling by experts. The solution presented in this work is critical to the adoption and employment of the idea of standardized body regions, and clears the path for development of applications requiring accurate demarcations of body regions. The work is indispensable for automatic anatomy recognition, delineation, and contouring for radiation therapy planning, as it not only automates an essential part of the process, but also removes the dependency on experts for accurately demarcating body regions in a study.</t>
  </si>
  <si>
    <t>Med Phys</t>
  </si>
  <si>
    <t>Glioma Tumor Grade Identification Using Artificial Intelligent Techniques</t>
  </si>
  <si>
    <t>Computer aided diagnosis using artificial intelligent techniques made tremendous improvement in medical applications especially for easy detection of tumor area, tumor type and grades. This paper presents automatic glioma tumor grade identification from magnetic resonant images using Wndchrm tool based classifier (Weighted Neighbour Distance using Compound Heirarchy of Algorithms Representing Morphology) and VGG-19 deep convolutional neural network (DNN). For experimentation, DICOM images are collected from reputed government hospital and the proposed intelligent system categorized the tumor into four grades such as low grade glioma, oligodendroglioma, anaplastic glioma and glioblastoma multiform. After preprocessing, features are extracted, optimized and then classified using Windchrm tool where the most significant features are selected on the basis of Fisher score. In the case of DNN classifier, data augmentation is also performed before applying the images into the deep learning network. The performance of the classifiers are analysed with various measures such as accuracy, precision, sensitivity, specificity and F1-score. The results showed reasonably good performance with a maximum classification accuracy of 92.86% for the Wndchrm classifier and 98.25% for VGG-19 DNN classifier. The results are also compared with similar recent works and the proposed system is found to have better performance.</t>
  </si>
  <si>
    <t>K. V. Ahammed Muneer, V. R. Rajendran and P. J. K</t>
  </si>
  <si>
    <t>J Med Syst</t>
  </si>
  <si>
    <t>Correlation Filters for Detection of Cellular Nuclei in Histopathology Images</t>
  </si>
  <si>
    <t>Nuclei detection in histology images is an essential part of computer aided diagnosis of cancers and tumors. It is a challenging task due to diverse and complicated structures of cells. In this work, we present an automated technique for detection of cellular nuclei in hematoxylin and eosin stained histopathology images. Our proposed approach is based on kernelized correlation filters. Correlation filters have been widely used in object detection and tracking applications but their strength has not been explored in the medical imaging domain up till now. Our experimental results show that the proposed scheme gives state of the art accuracy and can learn complex nuclear morphologies. Like deep learning approaches, the proposed filters do not require engineering of image features as they can operate directly on histopathology images without significant preprocessing. However, unlike deep learning methods, the large-margin correlation filters developed in this work are interpretable, computationally efficient and do not require specialized or expensive computing hardware. AVAILABILITY: A cloud based webserver of the proposed method and its python implementation can be accessed at the following URL: http://faculty.pieas.edu.pk/fayyaz/software.html</t>
  </si>
  <si>
    <t>A. Ahmad, A. Asif, N. Rajpoot, M. Arif and F. Minhas</t>
  </si>
  <si>
    <t>10.1097/icu.0000000000000679</t>
  </si>
  <si>
    <t>Fundamentals of artificial intelligence for ophthalmologists</t>
  </si>
  <si>
    <t>PURPOSE OF REVIEW: As artificial intelligence continues to develop new applications in ophthalmic image recognition, we provide here an introduction for ophthalmologists and a primer on the mechanisms of deep learning systems. RECENT FINDINGS: Deep learning has lent itself to the automated interpretation of various retinal imaging modalities, including fundus photography and optical coherence tomography. Convolutional neural networks (CNN) represent the primary class of deep neural networks applied to these image analyses. These have been configured to aid in the detection of diabetes retinopathy, AMD, retinal detachment, glaucoma, and ROP, among other ocular disorders. Predictive models for retinal disease prognosis and treatment are also being validated. SUMMARY: Deep learning systems have begun to demonstrate a reliable level of diagnostic accuracy equal or better to human graders for narrow image recognition tasks. However, challenges regarding the use of deep learning systems in ophthalmology remain. These include trust of unsupervised learning systems and the limited ability to recognize broad ranges of disorders.</t>
  </si>
  <si>
    <t>Curr Opin Ophthalmol</t>
  </si>
  <si>
    <t>Deep Learning: A Breakthrough in Medical Imaging</t>
  </si>
  <si>
    <t>Deep learning has attracted great attention in the medical imaging community as a promising solution for automated, fast and accurate medical image analysis, which is mandatory for quality healthcare. Convolutional neural networks and its variants have become the most preferred and widely used deep learning models in medical image analysis. In this paper, concise overviews of the modern deep learning models applied in medical image analysis are provided and the key tasks performed by deep learning models, i.e. classification, segmentation, retrieval, detection, and registration are reviewed in detail. Some recent researches have shown that deep learning models can outperform medical experts in certain tasks. With the significant breakthroughs made by deep learning methods, it is expected that patients will soon be able to safely and conveniently interact with AI-based medical systems and such intelligent systems will actually improve patient healthcare. There are various complexities and challenges involved in deep learning-based medical image analysis, such as limited datasets. But researchers are actively working in this area to mitigate these challenges and further improve health care with AI.</t>
  </si>
  <si>
    <t>Curr Med Imaging</t>
  </si>
  <si>
    <t>Data augmentation-assisted deep learning of hand-drawn partially colored sketches for visual search</t>
  </si>
  <si>
    <t>In recent years, image databases are growing at exponential rates, making their management, indexing, and retrieval, very challenging. Typical image retrieval systems rely on sample images as queries. However, in the absence of sample query images, hand-drawn sketches are also used. The recent adoption of touch screen input devices makes it very convenient to quickly draw shaded sketches of objects to be used for querying image databases. This paper presents a mechanism to provide access to visual information based on users' hand-drawn partially colored sketches using touch screen devices. A key challenge for sketch-based image retrieval systems is to cope with the inherent ambiguity in sketches due to the lack of colors, textures, shading, and drawing imperfections. To cope with these issues, we propose to fine-tune a deep convolutional neural network (CNN) using augmented dataset to extract features from partially colored hand-drawn sketches for query specification in a sketch-based image retrieval framework. The large augmented dataset contains natural images, edge maps, hand-drawn sketches, de-colorized, and de-texturized images which allow CNN to effectively model visual contents presented to it in a variety of forms. The deep features extracted from CNN allow retrieval of images using both sketches and full color images as queries. We also evaluated the role of partial coloring or shading in sketches to improve the retrieval performance. The proposed method is tested on two large datasets for sketch recognition and sketch-based image retrieval and achieved better classification and retrieval performance than many existing methods.</t>
  </si>
  <si>
    <t>PLoS One</t>
  </si>
  <si>
    <t>10.1109/rbme.2018.2886237</t>
  </si>
  <si>
    <t>Neuroimaging and Machine Learning for Dementia Diagnosis: Recent Advancements and Future Prospects</t>
  </si>
  <si>
    <t>Dementia, a chronic and progressive cognitive declination of brain function caused by disease or impairment, is becoming more prevalent due to the aging population. A major challenge in dementia is achieving accurate and timely diagnosis. In recent years, neuroimaging with computer-aided algorithms have made remarkable advances in addressing this challenge. The success of these approaches is mostly attributed to the application of machine learning techniques for neuroimaging. In this review paper, we present a comprehensive survey of automated diagnostic approaches for dementia using medical image analysis and machine learning algorithms published in the recent years. Based on the rigorous review of the existing works, we have found that, while most of the studies focused on Alzheimer's disease, recent research has demonstrated reasonable performance in the identification of other types of dementia remains a major challenge. Multimodal imaging analysis deep learning approaches have shown promising results in the diagnosis of these other types of dementia. The main contributions of this review paper are as follows. 1) Based on the detailed analysis of the existing literature, this paper discusses neuroimaging procedures for dementia diagnosis. 2) It systematically explains the most recent machine learning techniques and, in particular, deep learning approaches for early detection of dementia.</t>
  </si>
  <si>
    <t>IEEE Rev Biomed Eng</t>
  </si>
  <si>
    <t>Attention Networks for Multi-Task Signal Analysis</t>
  </si>
  <si>
    <t>Recent advances in deep learning have enabled the development of automated frameworks for analysing medical images and signals. For analysis of physiological recordings, models based on temporal convolutional networks and recurrent neural networks have demonstrated encouraging results and an ability to capture complex patterns and dependencies in the data. However, representations that capture the entirety of the raw signal are suboptimal as not all portions of the signal are equally important. As such, attention mechanisms are proposed to divert focus to regions of interest, reducing computational cost and enhancing accuracy. Here, we evaluate attention-based frameworks for the classification of physiological signals in different clinical domains. We evaluated our methodology on three classification scenarios: neurogenerative disorders, neurological status and seizure type. We demonstrate that attention networks can outperform traditional deep learning models for sequence modelling by identifying the most relevant attributes of an input signal for decision making. This work highlights the benefits of attention-based models for analysing raw data in the field of biomedical research.</t>
  </si>
  <si>
    <t>Understanding Patients' Behavior: Vision-Based Analysis of Seizure Disorders</t>
  </si>
  <si>
    <t>A substantial proportion of patients with functional neurological disorders (FND) are being incorrectly diagnosed with epilepsy because their semiology resembles that of epileptic seizures (ES). Misdiagnosis may lead to unnecessary treatment and its associated complications. Diagnostic errors often result from an overreliance on specific clinical features. Furthermore, the lack of electrophysiological changes in patients with FND can also be seen in some forms of epilepsy, making diagnosis extremely challenging. Therefore, understanding semiology is an essential step for differentiating between ES and FND. Existing sensor-based and marker-based systems require physical contact with the body and are vulnerable to clinical situations such as patient positions, illumination changes, and motion discontinuities. Computer vision and deep learning are advancing to overcome these limitations encountered in the assessment of diseases and patient monitoring; however, they have not been investigated for seizure disorder scenarios. Here, we propose and compare two marker-free deep learning models, a landmark-based and a region-based model, both of which are capable of distinguishing between seizures from video recordings. We quantify semiology by using either a fusion of reference points and flow fields, or through the complete analysis of the body. Average leave-one-subject-out cross-validation accuracies for the landmark-based and region-based approaches of 68.1% and 79.6% in our dataset collected from 35 patients, reveal the benefit of video analytics to support automated identification of semiology in the challenging conditions of a hospital setting.</t>
  </si>
  <si>
    <t>10.1111/epi.13907</t>
  </si>
  <si>
    <t>Automated analysis of seizure semiology and brain electrical activity in presurgery evaluation of epilepsy: A focused survey</t>
  </si>
  <si>
    <t>Epilepsy being one of the most prevalent neurological disorders, affecting approximately 50 million people worldwide, and with almost 30-40% of patients experiencing partial epilepsy being nonresponsive to medication, epilepsy surgery is widely accepted as an effective therapeutic option. Presurgical evaluation has advanced significantly using noninvasive techniques based on video monitoring, neuroimaging, and electrophysiological and neuropsychological tests; however, certain clinical settings call for invasive intracranial recordings such as stereoelectroencephalography (SEEG), aiming to accurately map the eloquent brain networks involved during a seizure. Most of the current presurgical evaluation procedures focus on semiautomatic techniques, where surgery diagnosis relies immensely on neurologists' experience and their time-consuming subjective interpretation of semiology or the manifestations of epilepsy and their correlation with the brain's electrical activity. Because surgery misdiagnosis reaches a rate of 30%, and more than one-third of all epilepsies are poorly understood, there is an evident keen interest in improving diagnostic precision using computer-based methodologies that in the past few years have shown near-human performance. Among them, deep learning has excelled in many biological and medical applications, but has advanced insufficiently in epilepsy evaluation and automated understanding of neural bases of semiology. In this paper, we systematically review the automatic applications in epilepsy for human motion analysis, brain electrical activity, and the anatomoelectroclinical correlation to attribute anatomical localization of the epileptogenic network to distinctive epilepsy patterns. Notably, recent advances in deep learning techniques will be investigated in the contexts of epilepsy to address the challenges exhibited by traditional machine learning techniques. Finally, we discuss and propose future research on epilepsy surgery assessment that can jointly learn across visually observed semiologic patterns and recorded brain electrical activity.</t>
  </si>
  <si>
    <t>Epilepsia</t>
  </si>
  <si>
    <t>Convolutional sparse kernel network for unsupervised medical image analysis</t>
  </si>
  <si>
    <t>The availability of large-scale annotated image datasets and recent advances in supervised deep learning methods enable the end-to-end derivation of representative image features that can impact a variety of image analysis problems. Such supervised approaches, however, are difficult to implement in the medical domain where large volumes of labelled data are difficult to obtain due to the complexity of manual annotation and inter- and intra-observer variability in label assignment. We propose a new convolutional sparse kernel network (CSKN), which is a hierarchical unsupervised feature learning framework that addresses the challenge of learning representative visual features in medical image analysis domains where there is a lack of annotated training data. Our framework has three contributions: (i) we extend kernel learning to identify and represent invariant features across image sub-patches in an unsupervised manner. (ii) We initialise our kernel learning with a layer-wise pre-training scheme that leverages the sparsity inherent in medical images to extract initial discriminative features. (iii) We adapt a multi-scale spatial pyramid pooling (SPP) framework to capture subtle geometric differences between learned visual features. We evaluated our framework in medical image retrieval and classification on three public datasets. Our results show that our CSKN had better accuracy when compared to other conventional unsupervised methods and comparable accuracy to methods that used state-of-the-art supervised convolutional neural networks (CNNs). Our findings indicate that our unsupervised CSKN provides an opportunity to leverage unannotated big data in medical imaging repositories.</t>
  </si>
  <si>
    <t>E. Ahn, A. Kumar, M. Fulham, D. Feng and J. Kim</t>
  </si>
  <si>
    <t>Med Image Anal</t>
  </si>
  <si>
    <t>Unsupervised Domain Adaptation to Classify Medical Images Using Zero-Bias Convolutional Auto-Encoders and Context-Based Feature Augmentation</t>
  </si>
  <si>
    <t>The accuracy and robustness of image classification with supervised deep learning are dependent on the availability of large-scale labelled training data. In medical imaging, these large labelled datasets are sparse, mainly related to the complexity in manual annotation. Deep convolutional neural networks (CNNs), with transferable knowledge, have been employed as a solution to limited annotated data through: 1) fine-tuning generic knowledge with a relatively smaller amount of labelled medical imaging data, and 2) learning image representation that is invariant to different domains. These approaches, however, are still reliant on labelled medical image data. Our aim is to use a new hierarchical unsupervised feature extractor to reduce reliance on annotated training data. Our unsupervised approach uses a multi-layer zero-bias convolutional auto-encoder that constrains the transformation of generic features from a pre-trained CNN (for natural images) to non-redundant and locally relevant features for the medical image data. We also propose a context-based feature augmentation scheme to improve the discriminative power of the feature representation. We evaluated our approach on 3 public medical image datasets and compared it to other state-of-the-art supervised CNNs. Our unsupervised approach achieved better accuracy when compared to other conventional unsupervised methods and baseline fine-tuned CNNs.</t>
  </si>
  <si>
    <t>A deep learning model for the detection of both advanced and early glaucoma using fundus photography</t>
  </si>
  <si>
    <t>PURPOSE: To build a deep learning model to diagnose glaucoma using fundus photography. DESIGN: Cross sectional case study Subjects, Participants and Controls: A total of 1,542 photos (786 normal controls, 467 advanced glaucoma and 289 early glaucoma patients) were obtained by fundus photography. METHOD: The whole dataset of 1,542 images were split into 754 training, 324 validation and 464 test datasets. These datasets were used to construct simple logistic classification and convolutional neural network using Tensorflow. The same datasets were used to fine tune pre-trained GoogleNet Inception v3 model. RESULTS: The simple logistic classification model showed a training accuracy of 82.9%, validation accuracy of 79.9% and test accuracy of 77.2%. Convolutional neural network achieved accuracy and area under the receiver operating characteristic curve (AUROC) of 92.2% and 0.98 on the training data, 88.6% and 0.95 on the validation data, and 87.9% and 0.94 on the test data. Transfer-learned GoogleNet Inception v3 model achieved accuracy and AUROC of 99.7% and 0.99 on training data, 87.7% and 0.95 on validation data, and 84.5% and 0.93 on test data. CONCLUSION: Both advanced and early glaucoma could be correctly detected via machine learning, using only fundus photographs. Our new model that is trained using convolutional neural network is more efficient for the diagnosis of early glaucoma than previously published models.</t>
  </si>
  <si>
    <t>J. M. Ahn, S. Kim, K. S. Ahn, S. H. Cho, K. B. Lee and U. S. Kim</t>
  </si>
  <si>
    <t>Comparative clinical evaluation of atlas and deep-learning-based auto-segmentation of organ structures in liver cancer</t>
  </si>
  <si>
    <t>BACKGROUND: Accurate and standardized descriptions of organs at risk (OARs) are essential in radiation therapy for treatment planning and evaluation. Traditionally, physicians have contoured patient images manually, which, is time-consuming and subject to inter-observer variability. This study aims to a) investigate whether customized, deep-learning-based auto-segmentation could overcome the limitations of manual contouring and b) compare its performance against a typical, atlas-based auto-segmentation method organ structures in liver cancer. METHODS: On-contrast computer tomography image sets of 70 liver cancer patients were used, and four OARs (heart, liver, kidney, and stomach) were manually delineated by three experienced physicians as reference structures. Atlas and deep learning auto-segmentations were respectively performed with MIM Maestro 6.5 (MIM Software Inc., Cleveland, OH) and, with a deep convolution neural network (DCNN). The Hausdorff distance (HD) and, dice similarity coefficient (DSC), volume overlap error (VOE), and relative volume difference (RVD) were used to quantitatively evaluate the four different methods in the case of the reference set of the four OAR structures. RESULTS: The atlas-based method yielded the following average DSC and standard deviation values (SD) for the heart, liver, right kidney, left kidney, and stomach: 0.92 ± 0.04 (DSC ± SD), 0.93 ± 0.02, 0.86 ± 0.07, 0.85 ± 0.11, and 0.60 ± 0.13 respectively. The deep-learning-based method yielded corresponding values for the OARs of 0.94 ± 0.01, 0.93 ± 0.01, 0.88 ± 0.03, 0.86 ± 0.03, and 0.73 ± 0.09. The segmentation results show that the deep learning framework is superior to the atlas-based framwork except in the case of the liver. Specifically, in the case of the stomach, the DSC, VOE, and RVD showed a maximum difference of 21.67, 25.11, 28.80% respectively. CONCLUSIONS: In this study, we demonstrated that a deep learning framework could be used more effectively and efficiently compared to atlas-based auto-segmentation for most OARs in human liver cancer. Extended use of the deep-learning-based framework is anticipated for auto-segmentations of other body sites.</t>
  </si>
  <si>
    <t>Radiat Oncol</t>
  </si>
  <si>
    <t>The Potential Role of Grid-Like Software in Bedside Chest Radiography in Improving Image Quality and Dose Reduction: An Observer Preference Study</t>
  </si>
  <si>
    <t>OBJECTIVE: To compare the observer preference of image quality and radiation dose between non-grid, grid-like, and grid images. MATERIALS AND METHODS: Each of the 38 patients underwent bedside chest radiography with and without a grid. A grid-like image was generated from a non-grid image using SimGrid software (Samsung Electronics Co. Ltd.) employing deep-learning-based scatter correction technology. Two readers recorded the preference for 10 anatomic landmarks and the overall appearance on a five-point scale for a pair of non-grid and grid-like images, and a pair of grid-like and grid images, respectively, which were randomly presented. The dose area product (DAP) was also recorded. Wilcoxon's rank sum test was used to assess the significance of preference. RESULTS: Both readers preferred grid-like images to non-grid images significantly (p &lt; 0.001); with a significant difference in terms of the preference for grid images to grid-like images (p = 0.317, 0.034, respectively). In terms of anatomic landmarks, both readers preferred grid-like images to non-grid images (p &lt; 0.05). No significant differences existed between grid-like and grid images except for the preference for grid images in proximal airways by two readers, and in retrocardiac lung and thoracic spine by one reader. The median DAP were 1.48 (range, 1.37-2.17) dGy(*)cm(2) in grid images and 1.22 (range, 1.11-1.78) dGy(*)cm(2) in grid-like images with a significant difference (p &lt; 0.001). CONCLUSION: The SimGrid software significantly improved the image quality of non-grid images to a level comparable to that of grid images with a relatively lower level of radiation exposure.</t>
  </si>
  <si>
    <t>S. Y. Ahn, K. J. Chae and J. M. Goo</t>
  </si>
  <si>
    <t>Korean J Radiol</t>
  </si>
  <si>
    <t>Deep Learning Algorithm for Automated Segmentation and Volume Measurement of the Liver and Spleen Using Portal Venous Phase Computed Tomography Images</t>
  </si>
  <si>
    <t>OBJECTIVE: Measurement of the liver and spleen volumes has clinical implications. Although computed tomography (CT) volumetry is considered to be the most reliable noninvasive method for liver and spleen volume measurement, it has limited application in clinical practice due to its time-consuming segmentation process. We aimed to develop and validate a deep learning algorithm (DLA) for fully automated liver and spleen segmentation using portal venous phase CT images in various liver conditions. MATERIALS AND METHODS: A DLA for liver and spleen segmentation was trained using a development dataset of portal venous CT images from 813 patients. Performance of the DLA was evaluated in two separate test datasets: dataset-1 which included 150 CT examinations in patients with various liver conditions (i.e., healthy liver, fatty liver, chronic liver disease, cirrhosis, and post-hepatectomy) and dataset-2 which included 50 pairs of CT examinations performed at ours and other institutions. The performance of the DLA was evaluated using the dice similarity score (DSS) for segmentation and Bland-Altman 95% limits of agreement (LOA) for measurement of the volumetric indices, which was compared with that of ground truth manual segmentation. RESULTS: In test dataset-1, the DLA achieved a mean DSS of 0.973 and 0.974 for liver and spleen segmentation, respectively, with no significant difference in DSS across different liver conditions (p = 0.60 and 0.26 for the liver and spleen, respectively). For the measurement of volumetric indices, the Bland-Altman 95% LOA was -0.17 ± 3.07% for liver volume and -0.56 ± 3.78% for spleen volume. In test dataset-2, DLA performance using CT images obtained at outside institutions and our institution was comparable for liver (DSS, 0.982 vs. 0.983; p = 0.28) and spleen (DSS, 0.969 vs. 0.968; p = 0.41) segmentation. CONCLUSION: The DLA enabled highly accurate segmentation and volume measurement of the liver and spleen using portal venous phase CT images of patients with various liver conditions.</t>
  </si>
  <si>
    <t>[Present and future perspectives of artificial intelligence: examples of mathematical approaches for analysis of disease dynamics]</t>
  </si>
  <si>
    <t>Artificial intelligence (AI) has been applied widely in medicine. For example, deep neural network-based deep learning is particularly effective for pattern recognition in static medical images. Additionally, dynamic time series data are analysed ubiquitously in biology and medicine, as in the application of BCR-ABL International Scale time series data measured from CML patients treated with tyrosine-kinase inhibitors. Nonlinear data analyses, rather than conventional deep learning, can be more powerful for this type of dynamic disease information. Here, I introduce our mathematical approaches that are applicable for disease dynamics, such as dynamical network biomarkers (DNB) and randomly distributed embedding (RDE), as examples of nonlinear data analyses. I also discuss the availability of neuroinspired and neuromorphic hardware systems, which we are developing for potential use in next-generation AI.</t>
  </si>
  <si>
    <t>K. Aihara</t>
  </si>
  <si>
    <t>Rinsho Ketsueki</t>
  </si>
  <si>
    <t>Deep learning reconstruction improves image quality of abdominal ultra-high-resolution CT</t>
  </si>
  <si>
    <t>OBJECTIVES: Deep learning reconstruction (DLR) is a new reconstruction method; it introduces deep convolutional neural networks into the reconstruction flow. This study was conducted in order to examine the clinical applicability of abdominal ultra-high-resolution CT (U-HRCT) exams reconstructed with a new DLR in comparison to hybrid and model-based iterative reconstruction (hybrid-IR, MBIR). METHODS: Our retrospective study included 46 patients seen between December 2017 and April 2018. A radiologist recorded the standard deviation of attenuation in the paraspinal muscle as the image noise and calculated the contrast-to-noise ratio (CNR) for the aorta, portal vein, and liver. The overall image quality was assessed by two other radiologists and graded on a 5-point confidence scale ranging from 1 (unacceptable) to 5 (excellent). The difference between CT images subjected to hybrid-IR, MBIR, and DLR was compared. RESULTS: The image noise was significantly lower and the CNR was significantly higher on DLR than hybrid-IR and MBIR images (p &lt; 0.01). DLR images received the highest and MBIR images the lowest scores for overall image quality. CONCLUSIONS: DLR improved the quality of abdominal U-HRCT images. KEY POINTS: • The potential degradation due to increased noise may prevent implementation of ultra-high-resolution CT in the abdomen. • Image noise and overall image quality for hepatic ultra-high-resolution CT images improved with deep learning reconstruction as compared to hybrid- and model-based iterative reconstruction.</t>
  </si>
  <si>
    <t>Eur Radiol</t>
  </si>
  <si>
    <t>Illuminating Clues of Cancer Buried in Prostate MR Image: Deep Learning and Expert Approaches</t>
  </si>
  <si>
    <t>Deep learning algorithms have achieved great success in cancer image classification. However, it is imperative to understand the differences between the deep learning and human approaches. Using an explainable model, we aimed to compare the deep learning-focused regions of magnetic resonance (MR) images with cancerous locations identified by radiologists and pathologists. First, 307 prostate MR images were classified using a well-established deep neural network without locational information of cancers. Subsequently, we assessed whether the deep learning-focused regions overlapped the radiologist-identified targets. Furthermore, pathologists provided histopathological diagnoses on 896 pathological images, and we compared the deep learning-focused regions with the genuine cancer locations through 3D reconstruction of pathological images. The area under the curve (AUC) for MR images classification was sufficiently high (AUC = 0.90, 95% confidence interval 0.87-0.94). Deep learning-focused regions overlapped radiologist-identified targets by 70.5% and pathologist-identified cancer locations by 72.1%. Lymphocyte aggregation and dilated prostatic ducts were observed in non-cancerous regions focused by deep learning. Deep learning algorithms can achieve highly accurate image classification without necessarily identifying radiological targets or cancer locations. Deep learning may find clues that can help a clinical diagnosis even if the cancer is not visible.</t>
  </si>
  <si>
    <t>Biomolecules</t>
  </si>
  <si>
    <t>10.1109/jbhi.2019.2894713</t>
  </si>
  <si>
    <t>Deep Learning: Current and Emerging Applications in Medicine and Technology</t>
  </si>
  <si>
    <t>Machine learning is enabling researchers to analyze and understand increasingly complex physical and biological phenomena in traditional fields such as biology, medicine, and engineering and emerging fields like synthetic biology, automated chemical synthesis, and biomanufacturing. These fields require new paradigms toward understanding increasingly complex data and converting such data into medical products and services for patients. The move toward deep learning and complex modeling is an attempt to bridge the gap between acquiring massive quantities of complex data, and converting such data into practical insights. Here, we provide an overview of the field of machine learning, its current applications and needs in traditional and emerging fields, and discuss an illustrative attempt at using deep learning to understand swarm behavior of molecular shuttles.</t>
  </si>
  <si>
    <t>Towards reconstructing intelligible speech from the human auditory cortex</t>
  </si>
  <si>
    <t>Auditory stimulus reconstruction is a technique that finds the best approximation of the acoustic stimulus from the population of evoked neural activity. Reconstructing speech from the human auditory cortex creates the possibility of a speech neuroprosthetic to establish a direct communication with the brain and has been shown to be possible in both overt and covert conditions. However, the low quality of the reconstructed speech has severely limited the utility of this method for brain-computer interface (BCI) applications. To advance the state-of-the-art in speech neuroprosthesis, we combined the recent advances in deep learning with the latest innovations in speech synthesis technologies to reconstruct closed-set intelligible speech from the human auditory cortex. We investigated the dependence of reconstruction accuracy on linear and nonlinear (deep neural network) regression methods and the acoustic representation that is used as the target of reconstruction, including auditory spectrogram and speech synthesis parameters. In addition, we compared the reconstruction accuracy from low and high neural frequency ranges. Our results show that a deep neural network model that directly estimates the parameters of a speech synthesizer from all neural frequencies achieves the highest subjective and objective scores on a digit recognition task, improving the intelligibility by 65% over the baseline method which used linear regression to reconstruct the auditory spectrogram. These results demonstrate the efficacy of deep learning and speech synthesis algorithms for designing the next generation of speech BCI systems, which not only can restore communications for paralyzed patients but also have the potential to transform human-computer interaction technologies.</t>
  </si>
  <si>
    <t>BACKGROUND: Imaging of glioblastoma patients after maximal safe resection and chemoradiation commonly demonstrates new enhancements that raise concerns about tumor progression. However, in 30% to 50% of patients, these enhancements primarily represent the effects of treatment, or pseudo-progression (PsP). We hypothesize that quantitative machine learning analysis of clinically acquired multiparametric magnetic resonance imaging (mpMRI) can identify subvisual imaging characteristics to provide robust, noninvasive imaging signatures that can distinguish true progression (TP) from PsP. METHODS: We evaluated independent discovery (n = 40) and replication (n = 23) cohorts of glioblastoma patients who underwent second resection due to progressive radiographic changes suspicious for recurrence. Deep learning and conventional feature extraction methods were used to extract quantitative characteristics from the mpMRI scans. Multivariate analysis of these features revealed radiophenotypic signatures distinguishing among TP, PsP, and mixed response that compared with similar categories blindly defined by board-certified neuropathologists. Additionally, interinstitutional validation was performed on 20 new patients. RESULTS: Patients who demonstrate TP on neuropathology are significantly different (P &lt; .0001) from those with PsP, showing imaging features reflecting higher angiogenesis, higher cellularity, and lower water concentration. The accuracy of the proposed signature in leave-one-out cross-validation was 87% for predicting PsP (area under the curve [AUC], 0.92) and 84% for predicting TP (AUC, 0.83), whereas in the discovery/replication cohort, the accuracy was 87% for predicting PsP (AUC, 0.84) and 78% for TP (AUC, 0.80). The accuracy in the interinstitutional cohort was 75% (AUC, 0.80). CONCLUSION: Quantitative mpMRI analysis via machine learning reveals distinctive noninvasive signatures of TP versus PsP after treatment of glioblastoma. Integration of the proposed method into clinical studies can be performed using the freely available Cancer Imaging Phenomics Toolkit.</t>
  </si>
  <si>
    <t>Cancer</t>
  </si>
  <si>
    <t>Scan-specific robust artificial-neural-networks for k-space interpolation (RAKI) reconstruction: Database-free deep learning for fast imaging</t>
  </si>
  <si>
    <t>PURPOSE: To develop an improved k-space reconstruction method using scan-specific deep learning that is trained on autocalibration signal (ACS) data. THEORY: Robust artificial-neural-networks for k-space interpolation (RAKI) reconstruction trains convolutional neural networks on ACS data. This enables nonlinear estimation of missing k-space lines from acquired k-space data with improved noise resilience, as opposed to conventional linear k-space interpolation-based methods, such as GRAPPA, which are based on linear convolutional kernels. METHODS: The training algorithm is implemented using a mean square error loss function over the target points in the ACS region, using a gradient descent algorithm. The neural network contains 3 layers of convolutional operators, with 2 of these including nonlinear activation functions. The noise performance and reconstruction quality of the RAKI method was compared with GRAPPA in phantom, as well as in neurological and cardiac in vivo data sets. RESULTS: Phantom imaging shows that the proposed RAKI method outperforms GRAPPA at high (≥4) acceleration rates, both visually and quantitatively. Quantitative cardiac imaging shows improved noise resilience at high acceleration rates (rate 4:23% and rate 5:48%) over GRAPPA. The same trend of improved noise resilience is also observed in high-resolution brain imaging at high acceleration rates. CONCLUSION: The RAKI method offers a training database-free deep learning approach for MRI reconstruction, with the potential to improve many existing reconstruction approaches, and is compatible with conventional data acquisition protocols.</t>
  </si>
  <si>
    <t>M. Akçakaya, S. Moeller, S. Weingärtner and K. Uğurbil</t>
  </si>
  <si>
    <t>Magn Reson Med</t>
  </si>
  <si>
    <t>Deep learning enables automated volumetric assessments of cardiac function in zebrafish</t>
  </si>
  <si>
    <t>Although the zebrafish embryo is a powerful animal model of human heart failure, the methods routinely employed to monitor cardiac function produce rough approximations that are susceptible to bias and inaccuracies. We developed and validated a deep learning-based image-analysis platform for automated extraction of volumetric parameters of cardiac function from dynamic light-sheet fluorescence microscopy (LSFM) images of embryonic zebrafish hearts. This platform, the Cardiac Functional Imaging Network (CFIN), automatically delivers rapid and accurate assessments of cardiac performance with greater sensitivity than current approaches.This article has an associated First Person interview with the first author of the paper.</t>
  </si>
  <si>
    <t>Dis Model Mech</t>
  </si>
  <si>
    <t>Combination of rs-fMRI and sMRI Data to Discriminate Autism Spectrum Disorders in Young Children Using Deep Belief Network</t>
  </si>
  <si>
    <t>In recent years, the use of advanced magnetic resonance (MR) imaging methods such as functional magnetic resonance imaging (fMRI) and structural magnetic resonance imaging (sMRI) has recorded a great increase in neuropsychiatric disorders. Deep learning is a branch of machine learning that is increasingly being used for applications of medical image analysis such as computer-aided diagnosis. In a bid to classify and represent learning tasks, this study utilized one of the most powerful deep learning algorithms (deep belief network (DBN)) for the combination of data from Autism Brain Imaging Data Exchange I and II (ABIDE I and ABIDE II) datasets. The DBN was employed so as to focus on the combination of resting-state fMRI (rs-fMRI), gray matter (GM), and white matter (WM) data. This was done based on the brain regions that were defined using the automated anatomical labeling (AAL), in order to classify autism spectrum disorders (ASDs) from typical controls (TCs). Since the diagnosis of ASD is much more effective at an early age, only 185 individuals (116 ASD and 69 TC) ranging in age from 5 to 10 years were included in this analysis. In contrast, the proposed method is used to exploit the latent or abstract high-level features inside rs-fMRI and sMRI data while the old methods consider only the simple low-level features extracted from neuroimages. Moreover, combining multiple data types and increasing the depth of DBN can improve classification accuracy. In this study, the best combination comprised rs-fMRI, GM, and WM for DBN of depth 3 with 65.56% accuracy (sensitivity = 84%, specificity = 32.96%, F1 score = 74.76%) obtained via 10-fold cross-validation. This result outperforms previously presented methods on ABIDE I dataset.</t>
  </si>
  <si>
    <t>M. Akhavan Aghdam, A. Sharifi and M. M. Pedram</t>
  </si>
  <si>
    <t>Deep Learning-Based Approach for the Diagnosis of Moyamoya Disease</t>
  </si>
  <si>
    <t>OBJECTIVES: Moyamoya disease is a unique cerebrovascular disorder that is characterized by chronic bilateral stenosis of the internal carotid arteries and by the formation of an abnormal vascular network called moyamoya vessels. In this stury, the authors inspected whether differentiation between patients with moyamoya disease and those with atherosclerotic disease or normal controls might be possible by using deep machine learning technology. MATERIALS AND METHODS: This study included 84 consecutive patients diagnosed with moyamoya disease at our hospital between April 2009 and July 2016. In each patient, two axial continuous slices of T2-weighed imaging at the level of the basal cistern, basal ganglia, and centrum semiovale were acquired. The image sets were processed by using code written in the programming language Python 3.7. Deep learning with fine tuning developed using VGG16 comprised several layers. RESULTS: The accuracies of distinguishing between patients with moyamoya disease and those with atherosclerotic disease or controls in the basal cistern, basal ganglia, and centrum semiovale levels were 92.8, 84.8, and 87.8%, respectively. CONCLUSION: The authors showed excellent results in terms of accuracy of differential diagnosis of moyamoya disease using AI with the conventional T2 weighted images. The authors suggest the possibility of diagnosing moyamoya disease using AI technique and demonstrate the area of interest on which AI focuses while processing magnetic resonance images.</t>
  </si>
  <si>
    <t>J Stroke Cerebrovasc Dis</t>
  </si>
  <si>
    <t>10.1016/j.jacr.2019.06.004</t>
  </si>
  <si>
    <t>A Survey of Deep-Learning Applications in Ultrasound: Artificial Intelligence-Powered Ultrasound for Improving Clinical Workflow</t>
  </si>
  <si>
    <t>Ultrasound is the most commonly used imaging modality in clinical practice because it is a nonionizing, low-cost, and portable point-of-care imaging tool that provides real-time images. Artificial intelligence (AI)-powered ultrasound is becoming more mature and getting closer to routine clinical applications in recent times because of an increased need for efficient and objective acquisition and evaluation of ultrasound images. Because ultrasound images involve operator-, patient-, and scanner-dependent variations, the adaptation of classical machine learning methods to clinical applications becomes challenging. With their self-learning ability, deep-learning (DL) methods are able to harness exponentially growing graphics processing unit computing power to identify abstract and complex imaging features. This has given rise to tremendous opportunities such as providing robust and generalizable AI models for improving image acquisition, real-time assessment of image quality, objective diagnosis and detection of diseases, and optimizing ultrasound clinical workflow. In this report, the authors review current DL approaches and research directions in rapidly advancing ultrasound technology and present their outlook on future directions and trends for DL techniques to further improve diagnosis, reduce health care cost, and optimize ultrasound clinical workflow.</t>
  </si>
  <si>
    <t>J Am Coll Radiol</t>
  </si>
  <si>
    <t>10.1007/s10278-017-9983-4</t>
  </si>
  <si>
    <t>Deep Learning for Brain MRI Segmentation: State of the Art and Future Directions</t>
  </si>
  <si>
    <t>Quantitative analysis of brain MRI is routine for many neurological diseases and conditions and relies on accurate segmentation of structures of interest. Deep learning-based segmentation approaches for brain MRI are gaining interest due to their self-learning and generalization ability over large amounts of data. As the deep learning architectures are becoming more mature, they gradually outperform previous state-of-the-art classical machine learning algorithms. This review aims to provide an overview of current deep learning-based segmentation approaches for quantitative brain MRI. First we review the current deep learning architectures used for segmentation of anatomical brain structures and brain lesions. Next, the performance, speed, and properties of deep learning approaches are summarized and discussed. Finally, we provide a critical assessment of the current state and identify likely future developments and trends.</t>
  </si>
  <si>
    <t>Predicting Breast Cancer by Applying Deep Learning to Linked Health Records and Mammograms</t>
  </si>
  <si>
    <t>Background Computational models on the basis of deep neural networks are increasingly used to analyze health care data. However, the efficacy of traditional computational models in radiology is a matter of debate. Purpose To evaluate the accuracy and efficiency of a combined machine and deep learning approach for early breast cancer detection applied to a linked set of digital mammography images and electronic health records. Materials and Methods In this retrospective study, 52 936 images were collected in 13 234 women who underwent at least one mammogram between 2013 and 2017, and who had health records for at least 1 year before undergoing mammography. The algorithm was trained on 9611 mammograms and health records of women to make two breast cancer predictions: to predict biopsy malignancy and to differentiate normal from abnormal screening examinations. The study estimated the association of features with outcomes by using t test and Fisher exact test. The model comparisons were performed with a 95% confidence interval (CI) or by using the DeLong test. Results The resulting algorithm was validated in 1055 women and tested in 2548 women (mean age, 55 years ± 10 [standard deviation]). In the test set, the algorithm identified 34 of 71 (48%) false-negative findings on mammograms. For the malignancy prediction objective, the algorithm obtained an area under the receiver operating characteristic curve (AUC) of 0.91 (95% CI: 0.89, 0.93), with specificity of 77.3% (95% CI: 69.2%, 85.4%) at a sensitivity of 87%. When trained on clinical data alone, the model performed significantly better than the Gail model (AUC, 0.78 vs 0.54, respectively; P &lt; .004). Conclusion The algorithm, which combined machine-learning and deep-learning approaches, can be applied to assess breast cancer at a level comparable to radiologists and has the potential to substantially reduce missed diagnoses of breast cancer. © RSNA, 2019 Online supplemental material is available for this article.</t>
  </si>
  <si>
    <t>Radiology</t>
  </si>
  <si>
    <t>Fully automatic cervical vertebrae segmentation framework for X-ray images</t>
  </si>
  <si>
    <t>The cervical spine is a highly flexible anatomy and therefore vulnerable to injuries. Unfortunately, a large number of injuries in lateral cervical X-ray images remain undiagnosed due to human errors. Computer-aided injury detection has the potential to reduce the risk of misdiagnosis. Towards building an automatic injury detection system, in this paper, we propose a deep learning-based fully automatic framework for segmentation of cervical vertebrae in X-ray images. The framework first localizes the spinal region in the image using a deep fully convolutional neural network. Then vertebra centers are localized using a novel deep probabilistic spatial regression network. Finally, a novel shape-aware deep segmentation network is used to segment the vertebrae in the image. The framework can take an X-ray image and produce a vertebrae segmentation result without any manual intervention. Each block of the fully automatic framework has been trained on a set of 124 X-ray images and tested on another 172 images, all collected from real-life hospital emergency rooms. A Dice similarity coefficient of 0.84 and a shape error of 1.69 mm have been achieved.</t>
  </si>
  <si>
    <t>S. Al Arif, K. Knapp and G. Slabaugh</t>
  </si>
  <si>
    <t>Comput Methods Programs Biomed</t>
  </si>
  <si>
    <t>CATARACTS: Challenge on automatic tool annotation for cataRACT surgery</t>
  </si>
  <si>
    <t>Surgical tool detection is attracting increasing attention from the medical image analysis community. The goal generally is not to precisely locate tools in images, but rather to indicate which tools are being used by the surgeon at each instant. The main motivation for annotating tool usage is to design efficient solutions for surgical workflow analysis, with potential applications in report generation, surgical training and even real-time decision support. Most existing tool annotation algorithms focus on laparoscopic surgeries. However, with 19 million interventions per year, the most common surgical procedure in the world is cataract surgery. The CATARACTS challenge was organized in 2017 to evaluate tool annotation algorithms in the specific context of cataract surgery. It relies on more than nine hours of videos, from 50 cataract surgeries, in which the presence of 21 surgical tools was manually annotated by two experts. With 14 participating teams, this challenge can be considered a success. As might be expected, the submitted solutions are based on deep learning. This paper thoroughly evaluates these solutions: in particular, the quality of their annotations are compared to that of human interpretations. Next, lessons learnt from the differential analysis of these solutions are discussed. We expect that they will guide the design of efficient surgery monitoring tools in the near future.</t>
  </si>
  <si>
    <t>Automated Cell Counts on Tissue Sections by Deep Learning and Unbiased Stereology</t>
  </si>
  <si>
    <t>In recent decades stereology-based studies have played a significant role in understanding brain aging and developing novel drug discovery strategies for treatment of neurological disease and mental illness. A major obstacle to further progress in a wide range of neuroscience sub-disciplines remains the lack of high-throughput technology for stereology analyses. Though founded on methodologically unbiased principles, commercially available stereology systems still rely on well-trained humans to manually count hundreds of cells within each region of interest (ROI). Even for a simple study with 10 controls and 10 treated animals, cell counts typically require over a month of tedious labor and high costs. Furthermore, these studies are prone to errors and poor reproducibility due to human factors such as subjectivity, variable training, recognition bias, and fatigue. Here we propose a deep neural network-stereology combination to automatically segment and estimate the total number of immunostained neurons on tissue sections. Our three-step approach consists of (1) creating extended-depth-of-field (EDF) images from z-stacks of images (disector stacks); (2) applying an adaptive segmentation algorithm (ASA) to label stained cells in the EDF images (i.e., create masks) for training a convolutional neural network (CNN); and (3) use the trained CNN model to automatically segment and count the total number of cells in test disector stacks using the optical fractionator method. The automated stereology approach shows less than 2% error and over 5× greater efficiency compared to counts by a trained human, without the subjectivity, tedium, and poor precision associated with conventional stereology.</t>
  </si>
  <si>
    <t>J Chem Neuroanat</t>
  </si>
  <si>
    <t>10.1007/s11307-018-1227-6</t>
  </si>
  <si>
    <t>Emerging Intraoperative Imaging Modalities to Improve Surgical Precision</t>
  </si>
  <si>
    <t>Intraoperative imaging (IOI) is performed to guide delineation and localization of regions of surgical interest. While oncological surgical planning predominantly utilizes x-ray computed tomography (CT), magnetic resonance imaging (MRI), and ultrasound (US), intraoperative guidance mainly remains on surgeon interpretation and pathology for confirmation. Over the past decades however, intraoperative guidance has evolved significantly with the emergence of several novel imaging technologies, including fluorescence-, Raman, photoacoustic-, and radio-guided approaches. These modalities have demonstrated the potential to further optimize precision in surgical resection and improve clinical outcomes for patients. Not only can these technologies enhance our understanding of the disease, they can also yield large imaging datasets intraoperatively that can be analyzed by deep learning approaches for more rapid and accurate pathological diagnosis. Unfortunately, many of these novel technologies are still under preclinical or early clinical evaluation. Organizations like the Intra-Operative Imaging Study Group of the European Society for Molecular Imaging (ESMI) support interdisciplinary interactions with the aim to improve technical capabilities in the field, an approach that can succeed only if scientists, engineers, and physicians work closely together with industry and regulatory bodies to resolve roadblocks to clinical translation. In this review, we provide an overview of a variety of novel IOI technologies, discuss their challenges, and present future perspectives on the enormous potential of IOI for oncological surgical navigation.</t>
  </si>
  <si>
    <t>Mol Imaging Biol</t>
  </si>
  <si>
    <t>Evaluating reinforcement learning agents for anatomical landmark detection</t>
  </si>
  <si>
    <t>Automatic detection of anatomical landmarks is an important step for a wide range of applications in medical image analysis. Manual annotation of landmarks is a tedious task and prone to observer errors. In this paper, we evaluate novel deep reinforcement learning (RL) strategies to train agents that can precisely and robustly localize target landmarks in medical scans. An artificial RL agent learns to identify the optimal path to the landmark by interacting with an environment, in our case 3D images. Furthermore, we investigate the use of fixed- and multi-scale search strategies with novel hierarchical action steps in a coarse-to-fine manner. Several deep Q-network (DQN) architectures are evaluated for detecting multiple landmarks using three different medical imaging datasets: fetal head ultrasound (US), adult brain and cardiac magnetic resonance imaging (MRI). The performance of our agents surpasses state-of-the-art supervised and RL methods. Our experiments also show that multi-scale search strategies perform significantly better than fixed-scale agents in images with large field of view and noisy background such as in cardiac MRI. Moreover, the novel hierarchical steps can significantly speed up the searching process by a factor of 4-5 times.</t>
  </si>
  <si>
    <t>A. Alansary, O. Oktay, Y. Li, L. L. Folgoc, B. Hou, G. Vaillant, K. Kamnitsas, A. Vlontzos, B. Glocker, B. Kainz and D. Rueckert</t>
  </si>
  <si>
    <t>A fully integrated computer-aided diagnosis system for digital X-ray mammograms via deep learning detection, segmentation, and classification</t>
  </si>
  <si>
    <t>A computer-aided diagnosis (CAD) system requires detection, segmentation, and classification in one framework to assist radiologists efficiently in an accurate diagnosis. In this paper, a completely integrated CAD system is proposed to screen digital X-ray mammograms involving detection, segmentation, and classification of breast masses via deep learning methodologies. In this work, to detect breast mass from entire mammograms, You-Only-Look-Once (YOLO), a regional deep learning approach, is used. To segment the mass, full resolution convolutional network (FrCN), a new deep network model, is proposed and utilized. Finally, a deep convolutional neural network (CNN) is used to recognize the mass and classify it as either benign or malignant. To evaluate the proposed integrated CAD system in terms of the accuracies of detection, segmentation, and classification, the publicly available and annotated INbreast database was utilized. The evaluation results of the proposed CAD system via four-fold cross-validation tests show that a mass detection accuracy of 98.96%, Matthews correlation coefficient (MCC) of 97.62%, and F1-score of 99.24% are achieved with the INbreast dataset. Moreover, the mass segmentation results via FrCN produced an overall accuracy of 92.97%, MCC of 85.93%, and Dice (F1-score) of 92.69% and Jaccard similarity coefficient metrics of 86.37%, respectively. The detected and segmented masses were classified via CNN and achieved an overall accuracy of 95.64%, AUC of 94.78%, MCC of 89.91%, and F1-score of 96.84%, respectively. Our results demonstrate that the proposed CAD system, through all stages of detection, segmentation, and classification, outperforms the latest conventional deep learning methodologies. Our proposed CAD system could be used to assist radiologists in all stages of detection, segmentation, and classification of breast masses.</t>
  </si>
  <si>
    <t>M. A. Al-Antari, M. A. Al-Masni, M. T. Choi, S. M. Han and T. S. Kim</t>
  </si>
  <si>
    <t>Int J Med Inform</t>
  </si>
  <si>
    <t>10.1007/978-3-030-33128-3_4</t>
  </si>
  <si>
    <t>Deep Learning Computer-Aided Diagnosis for Breast Lesion in Digital Mammogram</t>
  </si>
  <si>
    <t>For computer-aided diagnosis (CAD), detection, segmentation, and classification from medical imagery are three key components to efficiently assist physicians for accurate diagnosis. In this chapter, a completely integrated CAD system based on deep learning is presented to diagnose breast lesions from digital X-ray mammograms involving detection, segmentation, and classification. To automatically detect breast lesions from mammograms, a regional deep learning approach called You-Only-Look-Once (YOLO) is used. To segment breast lesions, full resolution convolutional network (FrCN), a novel segmentation model of deep network, is implemented and used. Finally, three conventional deep learning models including regular feedforward CNN, ResNet-50, and InceptionResNet-V2 are separately adopted and used to classify or recognize the detected and segmented breast lesion as either benign or malignant. To evaluate the integrated CAD system for detection, segmentation, and classification, the publicly available and annotated INbreast database is used over fivefold cross-validation tests. The evaluation results of the YOLO-based detection achieved detection accuracy of 97.27%, Matthews's correlation coefficient (MCC) of 93.93%, and F1-score of 98.02%. Moreover, the results of the breast lesion segmentation via FrCN achieved an overall accuracy of 92.97%, MCC of 85.93%, Dice (F1-score) of 92.69%, and Jaccard similarity coefficient of 86.37%. The detected and segmented breast lesions are classified via CNN, ResNet-50, and InceptionResNet-V2 achieving an average overall accuracies of 88.74%, 92.56%, and 95.32%, respectively. The performance evaluation results through all stages of detection, segmentation, and classification show that the integrated CAD system outperforms the latest conventional deep learning methodologies. We conclude that our CAD system could be used to assist radiologists over all stages of detection, segmentation, and classification for diagnosis of breast lesions.</t>
  </si>
  <si>
    <t>Adv Exp Med Biol</t>
  </si>
  <si>
    <t>Evaluation of deep learning detection and classification towards computer-aided diagnosis of breast lesions in digital X-ray mammograms</t>
  </si>
  <si>
    <t>BACKGROUND AND OBJECTIVE: Deep learning detection and classification from medical imagery are key components for computer-aided diagnosis (CAD) systems to efficiently support physicians leading to an accurate diagnosis of breast lesions. METHODS: In this study, an integrated CAD system of deep learning detection and classification is proposed aiming to improve the diagnostic performance of breast lesions. First, a deep learning YOLO detector is adopted and evaluated for breast lesion detection from entire mammograms. Then, three deep learning classifiers, namely regular feedforward CNN, ResNet-50, and InceptionResNet-V2, are modified and evaluated for breast lesion classification. The proposed deep learning system is evaluated over 5-fold cross-validation tests using two different and widely used databases of digital X-ray mammograms: DDSM and INbreast. RESULTS: The evaluation results of breast lesion detection show the capability of the YOLO detector to achieve overall detection accuracies of 99.17% and 97.27% and F1-scores of 99.28% and 98.02% for DDSM and INbreast datasets, respectively. Meanwhile, the YOLO detector could predict 71 frames per second (FPS) at the testing time for both DDSM and INbreast datasets. Using detected breast lesions, the classification models of CNN, ResNet-50, and InceptionResNet-V2 achieve promising average overall accuracies of 94.50%, 95.83%, and 97.50%, respectively, for the DDSM dataset and 88.74%, 92.55%, and 95.32%, respectively, for the INbreast dataset. CONCLUSION: The capability of the YOLO detector boosted the classification models to achieve a promising breast lesion diagnostic performance. Such prediction results should help to develop a feasible CAD system for practical breast cancer diagnosis.</t>
  </si>
  <si>
    <t>Application of Convolutional Neural Networks for Automated Ulcer Detection in Wireless Capsule Endoscopy Images</t>
  </si>
  <si>
    <t>Detection of abnormalities in wireless capsule endoscopy (WCE) images is a challenging task. Typically, these images suffer from low contrast, complex background, variations in lesion shape and color, which affect the accuracy of their segmentation and subsequent classification. This research proposes an automated system for detection and classification of ulcers in WCE images, based on state-of-the-art deep learning networks. Deep learning techniques, and in particular, convolutional neural networks (CNNs), have recently become popular in the analysis and recognition of medical images. The medical image datasets used in this study were obtained from WCE video frames. In this work, two milestone CNN architectures, namely the AlexNet and the GoogLeNet are extensively evaluated in object classification into ulcer or non-ulcer. Furthermore, we examine and analyze the images identified as containing ulcer objects to evaluate the efficiency of the utilized CNNs. Extensive experiments show that CNNs deliver superior performance, surpassing traditional machine learning methods by large margins, which supports their effectiveness as automated diagnosis tools.</t>
  </si>
  <si>
    <t>H. Alaskar, A. Hussain, N. Al-Aseem, P. Liatsis and D. Al-Jumeily</t>
  </si>
  <si>
    <t>Sensors (Basel)</t>
  </si>
  <si>
    <t>Evaluation of a Deep Learning System For Identifying Glaucomatous Optic Neuropathy Based on Color Fundus Photographs</t>
  </si>
  <si>
    <t>PRECIS: Pegasus outperformed 5 of the 6 ophthalmologists in terms of diagnostic performance, and there was no statistically significant difference between the deep learning system and the best case consensus between the ophthalmologists. The agreement between Pegasus and gold standard was 0.715, whereas the highest ophthalmologist agreement with the gold standard was 0.613. Furthermore, the high sensitivity of Pegasus makes it a valuable tool for screening patients with glaucomatous optic neuropathy. PURPOSE: The purpose of this study was to evaluate the performance of a deep learning system for the identification of glaucomatous optic neuropathy. MATERIALS AND METHODS: Six ophthalmologists and the deep learning system, Pegasus, graded 110 color fundus photographs in this retrospective single-center study. Patient images were randomly sampled from the Singapore Malay Eye Study. Ophthalmologists and Pegasus were compared with each other and to the original clinical diagnosis given by the Singapore Malay Eye Study, which was defined as the gold standard. Pegasus' performance was compared with the best case consensus scenario, which was the combination of ophthalmologists whose consensus opinion most closely matched the gold standard. The performance of the ophthalmologists and Pegasus, at the binary classification of nonglaucoma versus glaucoma from fundus photographs, was assessed in terms of sensitivity, specificity and the area under the receiver operating characteristic curve (AUROC), and the intraobserver and interobserver agreements were determined. RESULTS: Pegasus achieved an AUROC of 92.6% compared with ophthalmologist AUROCs that ranged from 69.6% to 84.9% and the best case consensus scenario AUROC of 89.1%. Pegasus had a sensitivity of 83.7% and a specificity of 88.2%, whereas the ophthalmologists' sensitivity ranged from 61.3% to 81.6% and specificity ranged from 80.0% to 94.1%. The agreement between Pegasus and gold standard was 0.715, whereas the highest ophthalmologist agreement with the gold standard was 0.613. Intraobserver agreement ranged from 0.62 to 0.97 for ophthalmologists and was perfect (1.00) for Pegasus. The deep learning system took ∼10% of the time of the ophthalmologists in determining classification. CONCLUSIONS: Pegasus outperformed 5 of the 6 ophthalmologists in terms of diagnostic performance, and there was no statistically significant difference between the deep learning system and the best case consensus between the ophthalmologists. The high sensitivity of Pegasus makes it a valuable tool for screening patients with glaucomatous optic neuropathy. Future work will extend this study to a larger sample of patients.</t>
  </si>
  <si>
    <t>J Glaucoma</t>
  </si>
  <si>
    <t>Auto3DCryoMap: an automated particle alignment approach for 3D cryo-EM density map reconstruction</t>
  </si>
  <si>
    <t>BACKGROUND: Cryo-EM data generated by electron tomography (ET) contains images for individual protein particles in different orientations and tilted angles. Individual cryo-EM particles can be aligned to reconstruct a 3D density map of a protein structure. However, low contrast and high noise in particle images make it challenging to build 3D density maps at intermediate to high resolution (1-3 Å). To overcome this problem, we propose a fully automated cryo-EM 3D density map reconstruction approach based on deep learning particle picking. RESULTS: A perfect 2D particle mask is fully automatically generated for every single particle. Then, it uses a computer vision image alignment algorithm (image registration) to fully automatically align the particle masks. It calculates the difference of the particle image orientation angles to align the original particle image. Finally, it reconstructs a localized 3D density map between every two single-particle images that have the largest number of corresponding features. The localized 3D density maps are then averaged to reconstruct a final 3D density map. The constructed 3D density map results illustrate the potential to determine the structures of the molecules using a few samples of good particles. Also, using the localized particle samples (with no background) to generate the localized 3D density maps can improve the process of the resolution evaluation in experimental maps of cryo-EM. Tested on two widely used datasets, Auto3DCryoMap is able to reconstruct good 3D density maps using only a few thousand protein particle images, which is much smaller than hundreds of thousands of particles required by the existing methods. CONCLUSIONS: We design a fully automated approach for cryo-EM 3D density maps reconstruction (Auto3DCryoMap). Instead of increasing the signal-to-noise ratio by using 2D class averaging, our approach uses 2D particle masks to produce locally aligned particle images. Auto3DCryoMap is able to accurately align structural particle shapes. Also, it is able to construct a decent 3D density map from only a few thousand aligned particle images while the existing tools require hundreds of thousands of particle images. Finally, by using the pre-processed particle images, Auto3DCryoMap reconstructs a better 3D density map than using the original particle images.</t>
  </si>
  <si>
    <t>DeepCryoPicker: fully automated deep neural network for single protein particle picking in cryo-EM</t>
  </si>
  <si>
    <t>BACKGROUND: Cryo-electron microscopy (Cryo-EM) is widely used in the determination of the three-dimensional (3D) structures of macromolecules. Particle picking from 2D micrographs remains a challenging early step in the Cryo-EM pipeline due to the diversity of particle shapes and the extremely low signal-to-noise ratio of micrographs. Because of these issues, significant human intervention is often required to generate a high-quality set of particles for input to the downstream structure determination steps. RESULTS: Here we propose a fully automated approach (DeepCryoPicker) for single particle picking based on deep learning. It first uses automated unsupervised learning to generate particle training datasets. Then it trains a deep neural network to classify particles automatically. Results indicate that the DeepCryoPicker compares favorably with semi-automated methods such as DeepEM, DeepPicker, and RELION, with the significant advantage of not requiring human intervention. CONCLUSIONS: Our framework combing supervised deep learning classification with automated un-supervised clustering for generating training data provides an effective approach to pick particles in cryo-EM images automatically and accurately.</t>
  </si>
  <si>
    <t>AutoCryoPicker: an unsupervised learning approach for fully automated single particle picking in Cryo-EM images</t>
  </si>
  <si>
    <t>BACKGROUND: An important task of macromolecular structure determination by cryo-electron microscopy (cryo-EM) is the identification of single particles in micrographs (particle picking). Due to the necessity of human involvement in the process, current particle picking techniques are time consuming and often result in many false positives and negatives. Adjusting the parameters to eliminate false positives often excludes true particles in certain orientations. The supervised machine learning (e.g. deep learning) methods for particle picking often need a large training dataset, which requires extensive manual annotation. Other reference-dependent methods rely on low-resolution templates for particle detection, matching and picking, and therefore, are not fully automated. These issues motivate us to develop a fully automated, unbiased framework for particle picking. RESULTS: We design a fully automated, unsupervised approach for single particle picking in cryo-EM micrographs. Our approach consists of three stages: image preprocessing, particle clustering, and particle picking. The image preprocessing is based on multiple techniques including: image averaging, normalization, cryo-EM image contrast enhancement correction (CEC), histogram equalization, restoration, adaptive histogram equalization, guided image filtering, and morphological operations. Image preprocessing significantly improves the quality of original cryo-EM images. Our particle clustering method is based on an intensity distribution model which is much faster and more accurate than traditional K-means and Fuzzy C-Means (FCM) algorithms for single particle clustering. Our particle picking method, based on image cleaning and shape detection with a modified Circular Hough Transform algorithm, effectively detects the shape and the center of each particle and creates a bounding box encapsulating the particles. CONCLUSIONS: AutoCryoPicker can automatically and effectively recognize particle-like objects from noisy cryo-EM micrographs without the need of labeled training data or human intervention making it a useful tool for cryo-EM protein structure determination.</t>
  </si>
  <si>
    <t>A. Al-Azzawi, A. Ouadou, J. J. Tanner and J. Cheng</t>
  </si>
  <si>
    <t>Deep learning for segmentation of brain tumors: Impact of cross-institutional training and testing</t>
  </si>
  <si>
    <t>BACKGROUND AND PURPOSE: Convolutional neural networks (CNNs) are commonly used for segmentation of brain tumors. In this work, we assess the effect of cross-institutional training on the performance of CNNs. METHODS: We selected 44 glioblastoma (GBM) patients from two institutions in The Cancer Imaging Archive dataset. The images were manually annotated by outlining each tumor component to form ground truth. To automatically segment the tumors in each patient, we trained three CNNs: (a) one using data for patients from the same institution as the test data, (b) one using data for the patients from the other institution and (c) one using data for the patients from both of the institutions. The performance of the trained models was evaluated using Dice similarity coefficients as well as Average Hausdorff Distance between the ground truth and automatic segmentations. The 10-fold cross-validation scheme was used to compare the performance of different approaches. RESULTS: Performance of the model significantly decreased (P &lt; 0.0001) when it was trained on data from a different institution (dice coefficients: 0.68 ± 0.19 and 0.59 ± 0.19) as compared to training with data from the same institution (dice coefficients: 0.72 ± 0.17 and 0.76 ± 0.12). This trend persisted for segmentation of the entire tumor as well as its individual components. CONCLUSIONS: There is a very strong effect of selecting data for training on performance of CNNs in a multi-institutional setting. Determination of the reasons behind this effect requires additional comprehensive investigation.</t>
  </si>
  <si>
    <t>E. A. AlBadawy, A. Saha and M. A. Mazurowski</t>
  </si>
  <si>
    <t>Optimised genetic algorithm-extreme learning machine approach for automatic COVID-19 detection</t>
  </si>
  <si>
    <t>The coronavirus disease (COVID-19), is an ongoing global pandemic caused by severe acute respiratory syndrome. Chest Computed Tomography (CT) is an effective method for detecting lung illnesses, including COVID-19. However, the CT scan is expensive and time-consuming. Therefore, this work focus on detecting COVID-19 using chest X-ray images because it is widely available, faster, and cheaper than CT scan. Many machine learning approaches such as Deep Learning, Neural Network, and Support Vector Machine; have used X-ray for detecting the COVID-19. Although the performance of those approaches is acceptable in terms of accuracy, however, they require high computational time and more memory space. Therefore, this work employs an Optimised Genetic Algorithm-Extreme Learning Machine (OGA-ELM) with three selection criteria (i.e., random, K-tournament, and roulette wheel) to detect COVID-19 using X-ray images. The most crucial strength factors of the Extreme Learning Machine (ELM) are: (i) high capability of the ELM in avoiding overfitting; (ii) its usability on binary and multi-type classifiers; and (iii) ELM could work as a kernel-based support vector machine with a structure of a neural network. These advantages make the ELM efficient in achieving an excellent learning performance. ELMs have successfully been applied in many domains, including medical domains such as breast cancer detection, pathological brain detection, and ductal carcinoma in situ detection, but not yet tested on detecting COVID-19. Hence, this work aims to identify the effectiveness of employing OGA-ELM in detecting COVID-19 using chest X-ray images. In order to reduce the dimensionality of a histogram oriented gradient features, we use principal component analysis. The performance of OGA-ELM is evaluated on a benchmark dataset containing 188 chest X-ray images with two classes: a healthy and a COVID-19 infected. The experimental result shows that the OGA-ELM achieves 100.00% accuracy with fast computation time. This demonstrates that OGA-ELM is an efficient method for COVID-19 detecting using chest X-ray images.</t>
  </si>
  <si>
    <t>Efficient GAN-based Chest Radiographs (CXR) augmentation to diagnose coronavirus disease pneumonia</t>
  </si>
  <si>
    <t>Background: As 2019 ends coronavirus disease start expanding all over the world. It is highly transmissible disease that can affect respiratory tract and can leads to organ failure. In 2020 it is declared by world health organization as Public health emergency of international concerns. The current situation of Covid-19 and chest related diseases have already gone through radical change with the advancements of image processing tools. There is no effective method which can accurately identify all chest related diseases and tackle the multiple class problems with reliable results. Method: There are many potentially impactful applications of Deep Learning to fighting the Covid-19 from Chest X-Ray/CT Images, however, most are still in their early stages due to lack of data sharing as it continues to inhibit overall progress in a variety of medical research problems. Based on COVID-19 radiographical changes in CT images, this work aims to detect the possibility of COVID-19 in the patient. This work provides a significant contribution in terms of Gan based synthetic data and four different types of deep learning- based models which provided state of the art comparable results. Results: A Deep Neural Network model provides a significant contribution in terms of detecting COVID-19 and provides effective analysis of chest related diseases with respect to age and gender. Our model achieves 89% accuracy in terms of Gan based synthetic data and four different types of deep learning- based models which provided state of the art comparable results. Conclusion: If the gap in identifying of all viral pneumonias is not filled with effective automation of chest disease detection the healthcare industry may have to bear unfavorable circumstances.</t>
  </si>
  <si>
    <t>S. Albahli</t>
  </si>
  <si>
    <t>Int J Med Sci</t>
  </si>
  <si>
    <t>Deep Transfer Learning for COVID-19 Prediction: Case Study for Limited Data Problems</t>
  </si>
  <si>
    <t>OBJECTIVE: Automatic prediction of COVID-19 using deep convolution neural networks based pre-trained transfer models and Chest X-ray images. METHOD: This research employs the advantages of computer vision and medical image analysis to develop an automated model that has the clinical potential for early detection of the disease. Using Deep Learning models, the research aims at evaluating the effectiveness and accuracy of different convolutional neural networks models in the automatic diagnosis of COVID-19 from X-ray images as compared to diagnosis performed by experts in the medical community. RESULT: Due to the fact that the dataset available for COVID-19 is still limited, the best model to use is the InceptionNetV3. Performance results show that the InceptionNetV3 model yielded the highest accuracy of 98.63% (with data augmentation) and 98.90% (without data augmentation) among the three models designed. However, as the dataset gets bigger, the Inception ResNetV2 and NASNetlarge will do a better job of classification. All the performed networks tend to over-fit when data augmentation is not used, this is due to the small amount of data used for training and validation. CONCLUSION: A deep transfer learning is proposed to detecting the COVID-19 automatically from chest X-ray by training it with X-ray images gotten from both COVID-19 patients and people with normal chest Xrays. The study is aimed at helping doctors in making decisions in their clinical practice due its high performance and effectiveness, the study also gives an insight to how transfer learning was used to automatically detect the COVID-19.</t>
  </si>
  <si>
    <t>Detection of coronavirus disease from X-ray images using deep learning and transfer learning algorithms</t>
  </si>
  <si>
    <t>OBJECTIVE: This study aims to employ the advantages of computer vision and medical image analysis to develop an automated model that has the clinical potential for early detection of novel coronavirus (COVID-19) infected disease. METHOD: This study applied transfer learning method to develop deep learning models for detecting COVID-19 disease. Three existing state-of-the-art deep learning models namely, Inception ResNetV2, InceptionNetV3 and NASNetLarge, were selected and fine-tuned to automatically detect and diagnose COVID-19 disease using chest X-ray images. A dataset involving 850 images with the confirmed COVID-19 disease, 500 images of community-acquired (non-COVID-19) pneumonia cases and 915 normal chest X-ray images was used in this study. RESULTS: Among the three models, InceptionNetV3 yielded the best performance with accuracy levels of 98.63% and 99.02% with and without using data augmentation in model training, respectively. All the performed networks tend to overfitting (with high training accuracy) when data augmentation is not used, this is due to the limited amount of image data used for training and validation. CONCLUSION: This study demonstrated that a deep transfer learning is feasible to detect COVID-19 disease automatically from chest X-ray by training the learning model with chest X-ray images mixed with COVID-19 patients, other pneumonia affected patients and people with healthy lungs, which may help doctors more effectively make their clinical decisions. The study also gives an insight to how transfer learning was used to automatically detect the COVID-19 disease. In future studies, as the amount of available dataset increases, different convolution neutral network models could be designed to achieve the goal more efficiently.</t>
  </si>
  <si>
    <t>J Xray Sci Technol</t>
  </si>
  <si>
    <t>Fine-Tuning Deep Learning by Crowd Participation</t>
  </si>
  <si>
    <t>One of the major challenges currently facing researchers in applying deep learning (DL) models to medical image analysis is the limited amount of annotated data. Collecting such ground-truth annotations requires domain knowledge, cost, and time, making it infeasible for large-scale databases. Albarqouni et al. [S5] presented a novel concept for learning DL models from noisy annotations collected through crowdsourcing platforms (e.g., Amazon Mechanical Turk and Crowdflower) by introducing a robust aggregation layer to the convolutional neural networks (Figure S2). Their proposed method was validated on a publicly available database on breast cancer histology images, showing astonishing results of their robust aggregation method compared to the baseline of majority voting. In follow-up work, Albarqouni et al. [S6] introduced the novel concept of a translation from an image to a video game object for biomedical images. This technique allows medical images to be represented as star-shaped objects that can be easily embedded into a readily available game canvas. The proposed method reduces the necessity of domain knowledge for annotations. Exciting and promising results were reported compared to the conventional crowdsourcing platforms.</t>
  </si>
  <si>
    <t>S. Albarqouni</t>
  </si>
  <si>
    <t>IEEE Pulse</t>
  </si>
  <si>
    <t>AggNet: Deep Learning From Crowds for Mitosis Detection in Breast Cancer Histology Images</t>
  </si>
  <si>
    <t>The lack of publicly available ground-truth data has been identified as the major challenge for transferring recent developments in deep learning to the biomedical imaging domain. Though crowdsourcing has enabled annotation of large scale databases for real world images, its application for biomedical purposes requires a deeper understanding and hence, more precise definition of the actual annotation task. The fact that expert tasks are being outsourced to non-expert users may lead to noisy annotations introducing disagreement between users. Despite being a valuable resource for learning annotation models from crowdsourcing, conventional machine-learning methods may have difficulties dealing with noisy annotations during training. In this manuscript, we present a new concept for learning from crowds that handle data aggregation directly as part of the learning process of the convolutional neural network (CNN) via additional crowdsourcing layer (AggNet). Besides, we present an experimental study on learning from crowds designed to answer the following questions. 1) Can deep CNN be trained with data collected from crowdsourcing? 2) How to adapt the CNN to train on multiple types of annotation datasets (ground truth and crowd-based)? 3) How does the choice of annotation and aggregation affect the accuracy? Our experimental setup involved Annot8, a self-implemented web-platform based on Crowdflower API realizing image annotation tasks for a publicly available biomedical image database. Our results give valuable insights into the functionality of deep CNN learning from crowd annotations and prove the necessity of data aggregation integration.</t>
  </si>
  <si>
    <t>S. Albarqouni, C. Baur, F. Achilles, V. Belagiannis, S. Demirci and N. Navab</t>
  </si>
  <si>
    <t>2016</t>
  </si>
  <si>
    <t>Dataset of breast ultrasound images</t>
  </si>
  <si>
    <t>Breast cancer is one of the most common causes of death among women worldwide. Early detection helps in reducing the number of early deaths. The data presented in this article reviews the medical images of breast cancer using ultrasound scan. Breast Ultrasound Dataset is categorized into three classes: normal, benign, and malignant images. Breast ultrasound images can produce great results in classification, detection, and segmentation of breast cancer when combined with machine learning.</t>
  </si>
  <si>
    <t>Data Brief</t>
  </si>
  <si>
    <t>Semi-automatic classification of prostate cancer on multi-parametric MR imaging using a multi-channel 3D convolutional neural network</t>
  </si>
  <si>
    <t>OBJECTIVE: To present a deep learning-based approach for semi-automatic prostate cancer classification based on multi-parametric magnetic resonance (MR) imaging using a 3D convolutional neural network (CNN). METHODS: Two hundred patients with a total of 318 lesions for which histological correlation was available were analyzed. A novel CNN was designed, trained, and validated using different combinations of distinct MRI sequences as input (e.g., T2-weighted, apparent diffusion coefficient (ADC), diffusion-weighted images, and K-trans) and the effect of different sequences on the network's performance was tested and discussed. The particular choice of modeling approach was justified by testing all relevant data combinations. The model was trained and validated using eightfold cross-validation. RESULTS: In terms of detection of significant prostate cancer defined by biopsy results as the reference standard, the 3D CNN achieved an area under the curve (AUC) of the receiver operating characteristics ranging from 0.89 (88.6% and 90.0% for sensitivity and specificity respectively) to 0.91 (81.2% and 90.5% for sensitivity and specificity respectively) with an average AUC of 0.897 for the ADC, DWI, and K-trans input combination. The other combinations scored less in terms of overall performance and average AUC, where the difference in performance was significant with a p value of 0.02 when using T2w and K-trans; and 0.00025 when using T2w, ADC, and DWI. Prostate cancer classification performance is thus comparable to that reported for experienced radiologists using the prostate imaging reporting and data system (PI-RADS). Lesion size and largest diameter had no effect on the network's performance. CONCLUSION: The diagnostic performance of the 3D CNN in detecting clinically significant prostate cancer is characterized by a good AUC and sensitivity and high specificity. KEY POINTS: • Prostate cancer classification using a deep learning model is feasible and it allows direct processing of MR sequences without prior lesion segmentation. • Prostate cancer classification performance as measured by AUC is comparable to that of an experienced radiologist. • Perfusion MR images (K-trans), followed by DWI and ADC, have the highest effect on the overall performance; whereas T2w images show hardly any improvement.</t>
  </si>
  <si>
    <t>NuClick: A deep learning framework for interactive segmentation of microscopic images</t>
  </si>
  <si>
    <t>Object segmentation is an important step in the workflow of computational pathology. Deep learning based models generally require large amount of labeled data for precise and reliable prediction. However, collecting labeled data is expensive because it often requires expert knowledge, particularly in medical imaging domain where labels are the result of a time-consuming analysis made by one or more human experts. As nuclei, cells and glands are fundamental objects for downstream analysis in computational pathology/cytology, in this paper we propose NuClick, a CNN-based approach to speed up collecting annotations for these objects requiring minimum interaction from the annotator. We show that for nuclei and cells in histology and cytology images, one click inside each object is enough for NuClick to yield a precise annotation. For multicellular structures such as glands, we propose a novel approach to provide the NuClick with a squiggle as a guiding signal, enabling it to segment the glandular boundaries. These supervisory signals are fed to the network as auxiliary inputs along with RGB channels. With detailed experiments, we show that NuClick is applicable to a wide range of object scales, robust against variations in the user input, adaptable to new domains, and delivers reliable annotations. An instance segmentation model trained on masks generated by NuClick achieved the first rank in LYON19 challenge. As exemplar outputs of our framework, we are releasing two datasets: 1) a dataset of lymphocyte annotations within IHC images, and 2) a dataset of segmented WBCs in blood smear images.</t>
  </si>
  <si>
    <t>A deep learning framework for quality assessment and restoration in video endoscopy</t>
  </si>
  <si>
    <t>Endoscopy is a routine imaging technique used for both diagnosis and minimally invasive surgical treatment. Artifacts such as motion blur, bubbles, specular reflections, floating objects and pixel saturation impede the visual interpretation and the automated analysis of endoscopy videos. Given the widespread use of endoscopy in different clinical applications, robust and reliable identification of such artifacts and the automated restoration of corrupted video frames is a fundamental medical imaging problem. Existing state-of-the-art methods only deal with the detection and restoration of selected artifacts. However, typically endoscopy videos contain numerous artifacts which motivates to establish a comprehensive solution. In this paper, a fully automatic framework is proposed that can: 1) detect and classify six different artifacts, 2) segment artifact instances that have indefinable shapes, 3) provide a quality score for each frame, and 4) restore partially corrupted frames. To detect and classify different artifacts, the proposed framework exploits fast, multi-scale and single stage convolution neural network detector. In addition, we use an encoder-decoder model for pixel-wise segmentation of irregular shaped artifacts. A quality score is introduced to assess video frame quality and to predict image restoration success. Generative adversarial networks with carefully chosen regularization and training strategies for discriminator-generator networks are finally used to restore corrupted frames. The detector yields the highest mean average precision (mAP) of 45.7 and 34.7, respectively for 25% and 50% IoU thresholds, and the lowest computational time of 88 ms allowing for near real-time processing. The restoration models for blind deblurring, saturation correction and inpainting demonstrate significant improvements over previous methods. On a set of 10 test videos, an average of 68.7% of video frames successfully passed the quality score (≥0.9) after applying the proposed restoration framework thereby retaining 25% more frames compared to the raw videos. The importance of artifacts detection and their restoration on improved robustness of image analysis methods is also demonstrated in this work.</t>
  </si>
  <si>
    <t>2021</t>
  </si>
  <si>
    <t>An objective comparison of detection and segmentation algorithms for artefacts in clinical endoscopy</t>
  </si>
  <si>
    <t>We present a comprehensive analysis of the submissions to the first edition of the Endoscopy Artefact Detection challenge (EAD). Using crowd-sourcing, this initiative is a step towards understanding the limitations of existing state-of-the-art computer vision methods applied to endoscopy and promoting the development of new approaches suitable for clinical translation. Endoscopy is a routine imaging technique for the detection, diagnosis and treatment of diseases in hollow-organs; the esophagus, stomach, colon, uterus and the bladder. However the nature of these organs prevent imaged tissues to be free of imaging artefacts such as bubbles, pixel saturation, organ specularity and debris, all of which pose substantial challenges for any quantitative analysis. Consequently, the potential for improved clinical outcomes through quantitative assessment of abnormal mucosal surface observed in endoscopy videos is presently not realized accurately. The EAD challenge promotes awareness of and addresses this key bottleneck problem by investigating methods that can accurately classify, localize and segment artefacts in endoscopy frames as critical prerequisite tasks. Using a diverse curated multi-institutional, multi-modality, multi-organ dataset of video frames, the accuracy and performance of 23 algorithms were objectively ranked for artefact detection and segmentation. The ability of methods to generalize to unseen datasets was also evaluated. The best performing methods (top 15%) propose deep learning strategies to reconcile variabilities in artefact appearance with respect to size, modality, occurrence and organ type. However, no single method outperformed across all tasks. Detailed analyses reveal the shortcomings of current training strategies and highlight the need for developing new optimal metrics to accurately quantify the clinical applicability of methods.</t>
  </si>
  <si>
    <t>Fast and Noninvasive Diagnosis of Cervical Cancer by Coherent Anti-Stokes Raman Scattering</t>
  </si>
  <si>
    <t>Cervical cancer is the fourth most common cancer in women worldwide, and early detection of its precancerous lesions can decrease mortality. Cytopathology, HPV testing, and histopathology are the most commonly used tools in clinical practice. However, these methods suffer from many limitations such as subjectivity, cost, and time. Therefore, there is an unmet clinical need to develop new noninvasive methods for the early detection of cervical cancer. Here, a novel noninvasive, fast, and label-free approach with high accuracy is presented using liquid-based cytology Pap smears. CARS and SHG/TPF imaging was performed at one wavenumber on the Pap smears from patients with specimens negative for intraepithelial lesions or malignancy (NILM), and low-grade (LSIL) and high-grade (HSIL) squamous intraepithelial lesions. The normal, LSIL, and HSIL cells were selected on the basis of the ratio of the nucleus to the cytoplasm and cell morphology. Raman spectral imaging of single cells from the same smears was also performed to provide integral biochemical information of cells. Deep convolutional neural networks (DCNNs) were trained independently with CARS, SHG/TPF, and Raman images, taking into account both morphotextural and spectral information. DCNNs based on CARS, SHG/TPF, or Raman images have discriminated between normal and cancerous Pap smears with 100% accuracy. These results demonstrate that CARS/SHG/TPF microscopy has a prospective use as a label-free imaging technique for the fast screening of a large number of cells in cytopathological samples.</t>
  </si>
  <si>
    <t>Anal Chem</t>
  </si>
  <si>
    <t>A Deep Learning-Based Approach for the Detection and Localization of Prostate Cancer in T2 Magnetic Resonance Images</t>
  </si>
  <si>
    <t>We address the problem of prostate lesion detection, localization, and segmentation in T2W magnetic resonance (MR) images. We train a deep convolutional encoder-decoder architecture to simultaneously segment the prostate, its anatomical structure, and the malignant lesions. To incorporate the 3D contextual spatial information provided by the MRI series, we propose a novel 3D sliding window approach, which preserves the 2D domain complexity while exploiting 3D information. Experiments on data from 19 patients provided for the public by the Initiative for Collaborative Computer Vision Benchmarking (I2CVB) show that our approach outperforms traditional pattern recognition and machine learning approaches by a significant margin. Particularly, for the task of cancer detection and localization, the system achieves an average AUC of 0.995, an accuracy of 0.894, and a recall of 0.928. The proposed mono-modal deep learning-based system performs comparably to other multi-modal MR-based systems. It could improve the performance of a radiologist in prostate cancer diagnosis and treatment planning.</t>
  </si>
  <si>
    <t>Deep visual nerve tracking in ultrasound images</t>
  </si>
  <si>
    <t>Ultrasound-guided regional anesthesia (UGRA) becomes a standard procedure in surgical operations and pain management, offers the advantages of nerve localization, and provides region of interest anatomical structure visualization. Nerve tracking presents a crucial step for practicing UGRA and it is useful and important to develop a tool to facilitate this step. However, nerve tracking is a very challenging task that anesthetists can encounter due to the noise, artifacts, and nerve structure variability. Deep-learning has shown outstanding performances in computer vision task including tracking. Many deep-learning trackers have been proposed, where their performance depends on the application. While no deep-learning study exists for tracking the nerves in ultrasound images, this paper explores thirteen most recent deep-learning trackers for nerve tracking and presents a comparative study for the best deep-learning trackers on different types of nerves in ultrasound images. We evaluate the performance of the trackers in terms of accuracy, consistency, time complexity, and handling different nerve situations, such as disappearance and losing shape information. Through the experimentation, certain conclusions were noted on deep learning trackers performance. Overall, deep-learning trackers provide good performance and show a comparative performance for tracking different kinds of nerves in ultrasound images.</t>
  </si>
  <si>
    <t>A deep learning-based algorithm for 2-D cell segmentation in microscopy images</t>
  </si>
  <si>
    <t>BACKGROUND: Automatic and reliable characterization of cells in cell cultures is key to several applications such as cancer research and drug discovery. Given the recent advances in light microscopy and the need for accurate and high-throughput analysis of cells, automated algorithms have been developed for segmenting and analyzing the cells in microscopy images. Nevertheless, accurate, generic and robust whole-cell segmentation is still a persisting need to precisely quantify its morphological properties, phenotypes and sub-cellular dynamics. RESULTS: We present a single-channel whole cell segmentation algorithm. We use markers that stain the whole cell, but with less staining in the nucleus, and without using a separate nuclear stain. We show the utility of our approach in microscopy images of cell cultures in a wide variety of conditions. Our algorithm uses a deep learning approach to learn and predict locations of the cells and their nuclei, and combines that with thresholding and watershed-based segmentation. We trained and validated our approach using different sets of images, containing cells stained with various markers and imaged at different magnifications. Our approach achieved a 86% similarity to ground truth segmentation when identifying and separating cells. CONCLUSIONS: The proposed algorithm is able to automatically segment cells from single channel images using a variety of markers and magnifications.</t>
  </si>
  <si>
    <t>Y. Al-Kofahi, A. Zaltsman, R. Graves, W. Marshall and M. Rusu</t>
  </si>
  <si>
    <t>Adversarial attack on deep learning-based dermatoscopic image recognition systems: Risk of misdiagnosis due to undetectable image perturbations</t>
  </si>
  <si>
    <t>Deep learning algorithms have shown excellent performances in the field of medical image recognition, and practical applications have been made in several medical domains. Little is known about the feasibility and impact of an undetectable adversarial attacks, which can disrupt an algorithm by modifying a single pixel of the image to be interpreted. The aim of the study was to test the feasibility and impact of an adversarial attack on the accuracy of a deep learning-based dermatoscopic image recognition system.First, the pre-trained convolutional neural network DenseNet-201 was trained to classify images from the training set into 7 categories. Second, an adversarial neural network was trained to generate undetectable perturbations on images from the test set, to classifying all perturbed images as melanocytic nevi. The perturbed images were classified using the model generated in the first step. This study used the HAM-10000 dataset, an open source image database containing 10,015 dermatoscopic images, which was split into a training set and a test set. The accuracy of the generated classification model was evaluated using images from the test set. The accuracy of the model with and without perturbed images was compared. The ability of 2 observers to detect image perturbations was evaluated, and the inter observer agreement was calculated.The overall accuracy of the classification model dropped from 84% (confidence interval (CI) 95%: 82-86) for unperturbed images to 67% (CI 95%: 65-69) for perturbed images (Mc Nemar test, P &lt; .0001). The fooling ratio reached 100% for all categories of skin lesions. Sensitivity and specificity of the combined observers calculated on a random sample of 50 images were 58.3% (CI 95%: 45.9-70.8) and 42.5% (CI 95%: 27.2-57.8), respectively. The kappa agreement coefficient between the 2 observers was negative at -0.22 (CI 95%: -0.49--0.04).Adversarial attacks on medical image databases can distort interpretation by image recognition algorithms, are easy to make and undetectable by humans. It seems essential to improve our understanding of deep learning-based image recognition systems and to upgrade their security before putting them to practical and daily use.</t>
  </si>
  <si>
    <t>Medicine (Baltimore)</t>
  </si>
  <si>
    <t>Skin lesion segmentation in dermoscopy images via deep full resolution convolutional networks</t>
  </si>
  <si>
    <t>BACKGROUND AND OBJECTIVE: Automatic segmentation of skin lesions in dermoscopy images is still a challenging task due to the large shape variations and indistinct boundaries of the lesions. Accurate segmentation of skin lesions is a key prerequisite step for any computer-aided diagnostic system to recognize skin melanoma. METHODS: In this paper, we propose a novel segmentation methodology via full resolution convolutional networks (FrCN). The proposed FrCN method directly learns the full resolution features of each individual pixel of the input data without the need for pre- or post-processing operations such as artifact removal, low contrast adjustment, or further enhancement of the segmented skin lesion boundaries. We evaluated the proposed method using two publicly available databases, the IEEE International Symposium on Biomedical Imaging (ISBI) 2017 Challenge and PH2 datasets. To evaluate the proposed method, we compared the segmentation performance with the latest deep learning segmentation approaches such as the fully convolutional network (FCN), U-Net, and SegNet. RESULTS: Our results showed that the proposed FrCN method segmented the skin lesions with an average Jaccard index of 77.11% and an overall segmentation accuracy of 94.03% for the ISBI 2017 test dataset and 84.79% and 95.08%, respectively, for the PH2 dataset. In comparison to FCN, U-Net, and SegNet, the proposed FrCN outperformed them by 4.94%, 15.47%, and 7.48% for the Jaccard index and 1.31%, 3.89%, and 2.27% for the segmentation accuracy, respectively. Furthermore, the proposed FrCN achieved a segmentation accuracy of 95.62% for some representative clinical benign cases, 90.78% for the melanoma cases, and 91.29% for the seborrheic keratosis cases in the ISBI 2017 test dataset, exhibiting better performance than those of FCN, U-Net, and SegNet. CONCLUSIONS: We conclude that using the full spatial resolutions of the input image could enable to learn better specific and prominent features, leading to an improvement in the segmentation performance.</t>
  </si>
  <si>
    <t>M. A. Al-Masni, M. A. Al-Antari, M. T. Choi, S. M. Han and T. S. Kim</t>
  </si>
  <si>
    <t>Simultaneous detection and classification of breast masses in digital mammograms via a deep learning YOLO-based CAD system</t>
  </si>
  <si>
    <t>BACKGROUND AND OBJECTIVE: Automatic detection and classification of the masses in mammograms are still a big challenge and play a crucial role to assist radiologists for accurate diagnosis. In this paper, we propose a novel Computer-Aided Diagnosis (CAD) system based on one of the regional deep learning techniques, a ROI-based Convolutional Neural Network (CNN) which is called You Only Look Once (YOLO). Although most previous studies only deal with classification of masses, our proposed YOLO-based CAD system can handle detection and classification simultaneously in one framework. METHODS: The proposed CAD system contains four main stages: preprocessing of mammograms, feature extraction utilizing deep convolutional networks, mass detection with confidence, and finally mass classification using Fully Connected Neural Networks (FC-NNs). In this study, we utilized original 600 mammograms from Digital Database for Screening Mammography (DDSM) and their augmented mammograms of 2,400 with the information of the masses and their types in training and testing our CAD. The trained YOLO-based CAD system detects the masses and then classifies their types into benign or malignant. RESULTS: Our results with five-fold cross validation tests show that the proposed CAD system detects the mass location with an overall accuracy of 99.7%. The system also distinguishes between benign and malignant lesions with an overall accuracy of 97%. CONCLUSIONS: Our proposed system even works on some challenging breast cancer cases where the masses exist over the pectoral muscles or dense regions.</t>
  </si>
  <si>
    <t>M. A. Al-Masni, M. A. Al-Antari, J. M. Park, G. Gi, T. Y. Kim, P. Rivera, E. Valarezo, M. T. Choi, S. M. Han and T. S. Kim</t>
  </si>
  <si>
    <t>Detection and classification of the breast abnormalities in digital mammograms via regional Convolutional Neural Network</t>
  </si>
  <si>
    <t>Automatic detection and classification of the masses in mammograms are still a big challenge and play a crucial role to assist radiologists for accurate diagnosis. In this paper, we propose a novel computer-aided diagnose (CAD) system based on one of the regional deep learning techniques: a ROI-based Convolutional Neural Network (CNN) which is called You Only Look Once (YOLO). Our proposed YOLO-based CAD system contains four main stages: mammograms preprocessing, feature extraction utilizing multi convolutional deep layers, mass detection with confidence model, and finally mass classification using fully connected neural network (FC-NN). A set of training mammograms with the information of ROI masses and their types are used to train YOLO. The trained YOLO-based CAD system detects the masses and classifies their types into benign or malignant. Our results show that the proposed YOLO-based CAD system detects the mass location with an overall accuracy of 96.33%. The system also distinguishes between benign and malignant lesions with an overall accuracy of 85.52%. Our proposed system seems to be feasible as a CAD system capable of detection and classification at the same time. It also overcomes some challenging breast cancer cases such as the mass existing in the pectoral muscles or dense regions.</t>
  </si>
  <si>
    <t>M. A. Al-Masni, M. A. Al-Antari, J. M. Park, G. Gi, T. Y. Kim, P. Rivera, E. Valarezo, S. M. Han and T. S. Kim</t>
  </si>
  <si>
    <t>A Two Cascaded Network Integrating Regional-based YOLO and 3D-CNN for Cerebral Microbleeds Detection</t>
  </si>
  <si>
    <t>Cerebral Microbleeds (CMBs) are small chronic brain hemorrhages, which have been considered as diagnostic indicators for different cerebrovascular diseases including stroke, dysfunction, dementia, and cognitive impairment. In this paper, we propose a fully automated two-stage integrated deep learning approach for efficient CMBs detection, which combines a regional-based You Only Look Once (YOLO) stage for potential CMBs candidate detection and three-dimensional convolutional neural networks (3D-CNN) stage for false positives reduction. Both stages are conducted using the 3D contextual information of microbleeds from the MR susceptibility-weighted imaging (SWI) and phase images. However, we average the adjacent slices of SWI and complement the phase images independently and utilize them as a two- channel input for the regional-based YOLO method. The results in the first stage show that the proposed regional-based YOLO efficiently detected the CMBs with an overall sensitivity of 93.62% and an average number of false positives per subject (FP(avg)) of 52.18 throughout the five-folds cross-validation. The 3D-CNN based second stage further improved the detection performance by reducing the FP(avg) to 1.42. The outcomes of this work might provide useful guidelines towards applying deep learning algorithms for automatic CMBs detection.</t>
  </si>
  <si>
    <t>10.1007/s10916-020-01641-3</t>
  </si>
  <si>
    <t>Deep Learning in Radiation Oncology Treatment Planning for Prostate Cancer: A Systematic Review</t>
  </si>
  <si>
    <t>Radiation oncology for prostate cancer is important as it can decrease the morbidity and mortality associated with this disease. Planning for this modality of treatment is both fundamental, time-consuming and prone to human-errors, leading to potentially avoidable delays in start of treatment. A fundamental step in radiotherapy planning is contouring of radiation targets, where medical specialists contouring, i.e., segment, the boundaries of the structures to be irradiated. Automating this step can potentially lead to faster treatment planning without a decrease in quality, while increasing time available to physicians and also more consistent treatment results. This can be framed as an image segmentation task, which has been studied for many decades in the fields of Computer Vision and Machine Learning. With the advent of Deep Learning, there have been many proposals for different network architectures achieving high performance levels. In this review, we searched the literature for those methods and describe them briefly, grouping those based on Computed Tomography (CT) or Magnetic Resonance Imaging (MRI). This is a booming field, evidenced by the date of the publications found. However, most publications use data from a very limited number of patients, which presents an obstacle to deep learning models training. Although the performance of the models has achieved very satisfactory results, there is still room for improvement, and there is arguably a long way before these models can be used safely and effectively in clinical practice.</t>
  </si>
  <si>
    <t>Liver Tumor Segmentation in CT Scans Using Modified SegNet</t>
  </si>
  <si>
    <t>The main cause of death related to cancer worldwide is from hepatic cancer. Detection of hepatic cancer early using computed tomography (CT) could prevent millions of patients' death every year. However, reading hundreds or even tens of those CT scans is an enormous burden for radiologists. Therefore, there is an immediate need is to read, detect, and evaluate CT scans automatically, quickly, and accurately. However, liver segmentation and extraction from the CT scans is a bottleneck for any system, and is still a challenging problem. In this work, a deep learning-based technique that was proposed for semantic pixel-wise classification of road scenes is adopted and modified to fit liver CT segmentation and classification. The architecture of the deep convolutional encoder-decoder is named SegNet, and consists of a hierarchical correspondence of encode-decoder layers. The proposed architecture was tested on a standard dataset for liver CT scans and achieved tumor accuracy of up to 99.9% in the training phase.</t>
  </si>
  <si>
    <t>Recurrent residual U-Net for medical image segmentation</t>
  </si>
  <si>
    <t>Deep learning (DL)-based semantic segmentation methods have been providing state-of-the-art performance in the past few years. More specifically, these techniques have been successfully applied in medical image classification, segmentation, and detection tasks. One DL technique, U-Net, has become one of the most popular for these applications. We propose a recurrent U-Net model and a recurrent residual U-Net model, which are named RU-Net and R2U-Net, respectively. The proposed models utilize the power of U-Net, residual networks, and recurrent convolutional neural networks. There are several advantages to using these proposed architectures for segmentation tasks. First, a residual unit helps when training deep architectures. Second, feature accumulation with recurrent residual convolutional layers ensures better feature representation for segmentation tasks. Third, it allows us to design better U-Net architectures with the same number of network parameters with better performance for medical image segmentation. The proposed models are tested on three benchmark datasets, such as blood vessel segmentation in retinal images, skin cancer segmentation, and lung lesion segmentation. The experimental results show superior performance on segmentation tasks compared to equivalent models, including a variant of a fully connected convolutional neural network called SegNet, U-Net, and residual U-Net.</t>
  </si>
  <si>
    <t>J Med Imaging (Bellingham)</t>
  </si>
  <si>
    <t>Breast Cancer Classification from Histopathological Images with Inception Recurrent Residual Convolutional Neural Network</t>
  </si>
  <si>
    <t>The Deep Convolutional Neural Network (DCNN) is one of the most powerful and successful deep learning approaches. DCNNs have already provided superior performance in different modalities of medical imaging including breast cancer classification, segmentation, and detection. Breast cancer is one of the most common and dangerous cancers impacting women worldwide. In this paper, we have proposed a method for breast cancer classification with the Inception Recurrent Residual Convolutional Neural Network (IRRCNN) model. The IRRCNN is a powerful DCNN model that combines the strength of the Inception Network (Inception-v4), the Residual Network (ResNet), and the Recurrent Convolutional Neural Network (RCNN). The IRRCNN shows superior performance against equivalent Inception Networks, Residual Networks, and RCNNs for object recognition tasks. In this paper, the IRRCNN approach is applied for breast cancer classification on two publicly available datasets including BreakHis and Breast Cancer (BC) classification challenge 2015. The experimental results are compared against the existing machine learning and deep learning-based approaches with respect to image-based, patch-based, image-level, and patient-level classification. The IRRCNN model provides superior classification performance in terms of sensitivity, area under the curve (AUC), the ROC curve, and global accuracy compared to existing approaches for both datasets.</t>
  </si>
  <si>
    <t>M. Z. Alom, C. Yakopcic, M. S. Nasrin, T. M. Taha and V. K. Asari</t>
  </si>
  <si>
    <t>AOCT-NET: a convolutional network automated classification of multiclass retinal diseases using spectral-domain optical coherence tomography images</t>
  </si>
  <si>
    <t>Since introducing optical coherence tomography (OCT) technology for 2D eye imaging, it has become one of the most important and widely used imaging modalities for the noninvasive assessment of retinal eye diseases. Age-related macular degeneration (AMD) and diabetic macular edema eye disease are the leading causes of blindness being diagnosed using OCT. Recently, by developing machine learning and deep learning techniques, the classification of eye retina diseases using OCT images has become quite a challenge. In this paper, a novel automated convolutional neural network (CNN) architecture for a multiclass classification system based on spectral-domain optical coherence tomography (SD-OCT) has been proposed. The system used to classify five types of retinal diseases (age-related macular degeneration (AMD), choroidal neovascularization (CNV), diabetic macular edema (DME), and drusen) in addition to normal cases. The proposed CNN architecture with a softmax classifier overall correctly identified 100% of cases with AMD, 98.86% of cases with CNV, 99.17% cases with DME, 98.97% cases with drusen, and 99.15% cases of normal with an overall accuracy of 95.30%. This architecture is a potentially impactful tool for the diagnosis of retinal diseases using SD-OCT images.</t>
  </si>
  <si>
    <t>A. M. Alqudah</t>
  </si>
  <si>
    <t>Lung nodule classification using deep Local-Global networks</t>
  </si>
  <si>
    <t>PURPOSE: Lung nodules have very diverse shapes and sizes, which makes classifying them as benign/malignant a challenging problem. In this paper, we propose a novel method to predict the malignancy of nodules that have the capability to analyze the shape and size of a nodule using a global feature extractor, as well as the density and structure of the nodule using a local feature extractor. METHODS: We propose to use Residual Blocks with a 3 × 3 kernel size for local feature extraction and Non-Local Blocks to extract the global features. The Non-Local Block has the ability to extract global features without using a huge number of parameters. The key idea behind the Non-Local Block is to apply matrix multiplications between features on the same feature maps. RESULTS: We trained and validated the proposed method on the LIDC-IDRI dataset which contains 1018 computed tomography scans. We followed a rigorous procedure for experimental setup, namely tenfold cross-validation, and ignored the nodules that had been annotated by &lt; 3 radiologists. The proposed method achieved state-of-the-art results with AUC = 95.62%, while significantly outperforming other baseline methods. CONCLUSIONS: Our proposed deep Local-Global network has the capability to accurately extract both local and global features. Our new method outperforms state-of-the-art architecture including Densenet and Resnet with transfer learning.</t>
  </si>
  <si>
    <t>10.26355/eurrev_202011_23640</t>
  </si>
  <si>
    <t>Deep learning applications to combat the dissemination of COVID-19 disease: a review</t>
  </si>
  <si>
    <t>Recent Coronavirus (COVID-19) is one of the respiratory diseases, and it is known as fast infectious ability. This dissemination can be decelerated by diagnosing and quarantining patients with COVID-19 at early stages, thereby saving numerous lives. Reverse transcription-polymerase chain reaction (RT-PCR) is known as one of the primary diagnostic tools. However, RT-PCR tests are costly and time-consuming; it also requires specific materials, equipment, and instruments. Moreover, most countries are suffering from a lack of testing kits because of limitations on budget and techniques. Thus, this standard method is not suitable to meet the requirements of fast detection and tracking during the COVID-19 pandemic, which motived to employ deep learning (DL)/convolutional neural networks (CNNs) technology with X-ray and CT scans for efficient analysis and diagnostic. This study provides insight about the literature that discussed the deep learning technology and its various techniques that are recently developed to combat the dissemination of COVID-19 disease.</t>
  </si>
  <si>
    <t>Eur Rev Med Pharmacol Sci</t>
  </si>
  <si>
    <t>Automatic segmentation of bone surfaces from ultrasound using a filter-layer-guided CNN</t>
  </si>
  <si>
    <t>PURPOSE: Ultrasound (US) provides real-time, two-/three-dimensional safe imaging. Due to these capabilities, it is considered a safe alternative to intra-operative fluoroscopy in various computer-assisted orthopedic surgery (CAOS) procedures. However, interpretation of the collected bone US data is difficult due to high levels of noise, various imaging artifacts, and bone surfaces response appearing several millimeters (mm) in thickness. For US-guided CAOS procedures, it is an essential objective to have a segmentation mechanism, that is both robust and computationally inexpensive. METHOD: In this paper, we present our development of a convolutional neural network-based technique for segmentation of bone surfaces from in vivo US scans. The novelty of our proposed design is that it utilizes fusion of feature maps and employs multi-modal images to abate sensitivity to variations caused by imaging artifacts and low intensity bone boundaries. B-mode US images, and their corresponding local phase filtered images are used as multi-modal inputs for the proposed fusion network. Different fusion architectures are investigated for fusing the B-mode US image and the local phase features. RESULTS: The proposed methods was quantitatively and qualitatively evaluated on 546 in vivo scans by scanning 14 healthy subjects. We achieved an average F-score above 95% with an average bone surface localization error of 0.2 mm. The reported results are statistically significant compared to state-of-the-art. CONCLUSIONS: Reported accurate and robust segmentation results make the proposed method promising in CAOS applications. Further extensive validations are required in order to fully understand the clinical utility of the proposed method.</t>
  </si>
  <si>
    <t>A. Z. Alsinan, V. M. Patel and I. Hacihaliloglu</t>
  </si>
  <si>
    <t>Bone shadow segmentation from ultrasound data for orthopedic surgery using GAN</t>
  </si>
  <si>
    <t>PURPOSE: Real-time, two (2D) and three-dimensional (3D) ultrasound (US) has been investigated as a potential alternative to fluoroscopy imaging in various surgical and non-surgical orthopedic procedures. However, low signal to noise ratio, imaging artifacts and bone surfaces appearing several millimeters (mm) in thickness have hindered the wide spread adaptation of this safe imaging modality. Limited field of view and manual data collection cause additional problems during US-based orthopedic procedures. In order to overcome these limitations various bone segmentation and registration methods have been developed. Acoustic bone shadow is an important image artifact used to identify the presence of bone boundaries in the collected US data. Information about bone shadow region can be used (1) to guide the orthopedic surgeon or clinician to a standardized diagnostic viewing plane with minimal artifacts, (2) as a prior feature to improve bone segmentation and registration. METHOD: In this work, we propose a computational method, based on a novel generative adversarial network (GAN) architecture, to segment bone shadow images from in vivo US scans in real-time. We also show how these segmented shadow images can be incorporated, as a proxy, to a multi-feature guided convolutional neural network (CNN) architecture for real-time and accurate bone surface segmentation. Quantitative and qualitative evaluation studies are performed on 1235 scans collected from 27 subjects using two different US machines. Finally, we provide qualitative and quantitative comparison results against state-of-the-art GANs. RESULTS: We have obtained mean dice coefficient (± standard deviation) of [Formula: see text] ([Formula: see text]) for bone shadow segmentation, showing that the method is in close range with manual expert annotation. Statistical significant improvements against state-of-the-art GAN methods (paired t-test [Formula: see text]) is also obtained. Using the segmented bone shadow features average bone localization accuracy of 0.11 mm ([Formula: see text]) was achieved. CONCLUSIONS: Reported accurate and robust results make the proposed method promising for various orthopedic procedures. Although we did not investigate in this work, the segmented bone shadow images could also be used as an additional feature to improve accuracy of US-based registration methods. Further extensive validations are required in order to fully understand the clinical utility of the proposed method.</t>
  </si>
  <si>
    <t>YOLO Based Breast Masses Detection and Classification in Full-Field Digital Mammograms</t>
  </si>
  <si>
    <t>BACKGROUND AND OBJECTIVE: With the recent development in deep learning since 2012, the use of Convolutional Neural Networks (CNNs) in bioinformatics, especially medical imaging, achieved tremendous success. Besides that, breast masses detection and classifications in mammograms and their pathology classification are considered a critical challenge. Till now, the evaluation process of the screening mammograms is held by human readers which is considered very monotonous, tiring, lengthy, costly, and significantly prone to errors. METHODS: We propose an end to end computer-aided diagnosis system based on You Only Look Once (YOLO). The proposed system first preprocesses the mammograms from their DICOM format to images without losing data. Then, it detects masses in full-field digital mammograms and distinguishes between the malignant and benign lesions without any human intervention. YOLO has three different architectures, and, in this paper, the three versions are used for mass detection and classification in the mammograms to compare their performance. The use of anchors in YOLO-V3 on the original form of data and its augmented version is proved to improve the detection accuracy especially when the k-means clustering is applied to generate anchors corresponding to the used dataset. Finally, ResNet and Inception are used as feature extractors to compare their classification performance against YOLO. RESULTS: Mammograms with different resolutions are used and based on YOLO-V3, the best results are obtained through detecting 89.4% of the masses in the INbreast mammograms with an average precision of 94.2% and 84.6% for classifying the masses as benign and malignant respectively. YOLO's classification network is replaced with ResNet and InceptionV3 to get overall accuracy of 91.0% and 95.5%, respectively. CONCLUSION: The proposed system showed using the experimental results the YOLO impact on the breast masses detection and classification. Especially using the anchor boxes concept in YOLO-V3 that are generated by applying k-means clustering on the dataset, we can detect most of the challenging cases of masses and classify them correctly. Also, by augmenting the dataset using different approaches and comparing with other recent YOLO based studies, it is found that augmenting the training set only is the fairest and accurate to be applied in the realistic scenarios.</t>
  </si>
  <si>
    <t>A Deep Learning Approach to Neuroanatomical Characterisation of Alzheimer's Disease</t>
  </si>
  <si>
    <t>Alzheimer's disease (AD) is a neurological degenerative disorder that leads to progressive mental deterioration. This work introduces a computational approach to improve our understanding of the progression of AD. We use ensemble learning methods and deep neural networks to identify salient structural correlations among brain regions that degenerate together in AD; this provides an understanding of how AD progresses in the brain. The proposed technique has a classification accuracy of 81.79% for AD against healthy subjects using a single modality imaging dataset.</t>
  </si>
  <si>
    <t>Stud Health Technol Inform</t>
  </si>
  <si>
    <t>Automated segmentation of knee bone and cartilage combining statistical shape knowledge and convolutional neural networks: Data from the Osteoarthritis Initiative</t>
  </si>
  <si>
    <t>We present a method for the automated segmentation of knee bones and cartilage from magnetic resonance imaging (MRI) that combines a priori knowledge of anatomical shape with Convolutional Neural Networks (CNNs). The proposed approach incorporates 3D Statistical Shape Models (SSMs) as well as 2D and 3D CNNs to achieve a robust and accurate segmentation of even highly pathological knee structures. The shape models and neural networks employed are trained using data from the Osteoarthritis Initiative (OAI) and the MICCAI grand challenge Segmentation of Knee Images 2010 (SKI10), respectively. We evaluate our method on 40 validation and 50 submission datasets from the SKI10 challenge. For the first time, an accuracy equivalent to the inter-observer variability of human readers is achieved in this challenge. Moreover, the quality of the proposed method is thoroughly assessed using various measures for data from the OAI, i.e. 507 manual segmentations of bone and cartilage, and 88 additional manual segmentations of cartilage. Our method yields sub-voxel accuracy for both OAI datasets. We make the 507 manual segmentations as well as our experimental setup publicly available to further aid research in the field of medical image segmentation. In conclusion, combining localized classification via CNNs with statistical anatomical knowledge via SSMs results in a state-of-the-art segmentation method for knee bones and cartilage from MRI data.</t>
  </si>
  <si>
    <t>F. Ambellan, A. Tack, M. Ehlke and S. Zachow</t>
  </si>
  <si>
    <t>ResDUnet: Residual Dilated UNet for Left Ventricle Segmentation from Echocardiographic Images</t>
  </si>
  <si>
    <t>Echocardiography is the modality of choice for the assessment of left ventricle function. Left ventricle is responsible for pumping blood rich in oxygen to all body parts. Segmentation of this chamber from echocardiographic images is a challenging task, due to the ambiguous boundary and inhomogeneous intensity distribution. In this paper we propose a novel deep learning model named ResDUnet. The model is based on U-net incorporated with dilated convolution, where residual blocks are employed instead of the basic U-net units to ease the training process. Each block is enriched with squeeze and excitation unit for channel-wise attention and adaptive feature re-calibration. To tackle the problem of left ventricle shape and size variability, we chose to enrich the process of feature concatenation in U-net by integrating feature maps generated by cascaded dilation. Cascaded dilation broadens the receptive field size in comparison with traditional convolution, which allows the generation of multi-scale information which in turn results in a more robust segmentation. Performance measures were evaluated on a publicly available dataset of 500 patients with large variability in terms of quality and patients pathology. The proposed model shows a dice similarity increase of 8.4% when compared to deeplabv3 and 1.2% when compared to the basic U-net architecture. Experimental results demonstrate the potential use in clinical domain.</t>
  </si>
  <si>
    <t>Fine-Tuning U-Net for Ultrasound Image Segmentation: Different Layers, Different Outcomes</t>
  </si>
  <si>
    <t>One way of resolving the problem of scarce and expensive data in deep learning for medical applications is using transfer learning and fine-tuning a network which has been trained on a large data set. The common practice in transfer learning is to keep the shallow layers unchanged and to modify deeper layers according to the new data set. This approach may not work when using a U-Net and when moving from a different domain to ultrasound (US) images due to their drastically different appearance. In this study, we investigated the effect of fine-tuning different sets of layers of a pretrained U-Net for US image segmentation. Two different schemes were analyzed, based on two different definitions of shallow and deep layers. We studied simulated US images, as well as two human US data sets. We also included a chest X-ray data set. The results showed that choosing which layers to fine-tune is a critical task. In particular, they demonstrated that fine-tuning the last layers of the network, which is the common practice for classification networks, is often the worst strategy. It may therefore be more appropriate to fine-tune the shallow layers rather than deep layers in US image segmentation when using a U-Net. Shallow layers learn lower level features which are critical in automatic segmentation of medical images. Even when a large US data set is available, we observed that fine-tuning shallow layers is a faster approach compared to fine-tuning the whole network.</t>
  </si>
  <si>
    <t>IEEE Trans Ultrason Ferroelectr Freq Control</t>
  </si>
  <si>
    <t>Segmentation of Ultrasound Images based on Scatterer Density using U-Net</t>
  </si>
  <si>
    <t>Quantitative ultrasound can provide an objective estimation of different tissue properties, which may be used for tissue characterization and detection of abnormal tissue. The effective number of scatterers in different parts of a tissue is one of the important tissue properties that can be estimated by quantitative ultrasound techniques. The envelope echo is the signal which is usually used to estimate the scatterer density. In this study, we proposed using deep learning to estimate the effective number of scatterers. We generated 2000 simulated phantom data containing randomly distributed inclusions with three different values for number of scatterers per resolution cell. We used U-Net to segment the envelope data and to distinguish three different values of scatterer densities. We show that U-Net can discriminate different scattering regimes, particularly, when the difference between the number of scatterers is substantial. The overall accuracy of the network is 83.9%, and the average sensitivity and specificity among the three classes are 83.1% and 92.3% respectively. This study confirms the potential of deep learning framework in quantitative ultrasound and estimation of tissue properties using ultrasound images.</t>
  </si>
  <si>
    <t>Deep learning reveals Alzheimer's disease onset in MCI subjects: Results from an international challenge</t>
  </si>
  <si>
    <t>BACKGROUND: Early diagnosis of Alzheimer's disease (AD) and its onset in subjects affected by mild cognitive impairment (MCI) based on structural MRI features is one of the most important open issues in neuroimaging. Accordingly, a scientific challenge has been promoted, on the international Kaggle platform, to assess the performance of different classification methods for prediction of MCI and its conversion to AD. NEW METHOD: This work presents a classification strategy based on Random Forest feature selection and Deep Neural Network classification using a mixed cohort including the four classes of classification problem, that is HC, AD, MCI and cMCI, to train the model. Moreover, we compare this approach with a novel classification strategy based on fuzzy logic learned on a mixed cohort including only HC and AD. EXPERIMENTS: A training set of 240 subjects and a test set including mixed cohort of 500 real and simulated subjects were used. The data included AD patients, MCI subjects converting to AD (cMCI), MCI subjects and healthy controls (HC). This work ranked third for overall accuracy (38.8%) over 19 participating teams. COMPARISON WITH EXISTING METHOD(S): The International challenge for automated prediction of MCI from MRI data hosted by the Kaggle platform has been promoted to validate different methodologies with a common set of data and evaluation procedures. CONCLUSION: DNNs reach a classification accuracy significantly higher than other machine learning strategies; on the other hand, fuzzy logic is particularly accurate with cMCI, suggesting a combination of these approaches could lead to interesting future perspectives.</t>
  </si>
  <si>
    <t>N. Amoroso, D. Diacono, A. Fanizzi, M. La Rocca, A. Monaco, A. Lombardi, C. Guaragnella, R. Bellotti and S. Tangaro</t>
  </si>
  <si>
    <t>J Neurosci Methods</t>
  </si>
  <si>
    <t>Multi-task deep learning based CT imaging analysis for COVID-19 pneumonia: Classification and segmentation</t>
  </si>
  <si>
    <t>This paper presents an automatic classification segmentation tool for helping screening COVID-19 pneumonia using chest CT imaging. The segmented lesions can help to assess the severity of pneumonia and follow-up the patients. In this work, we propose a new multitask deep learning model to jointly identify COVID-19 patient and segment COVID-19 lesion from chest CT images. Three learning tasks: segmentation, classification and reconstruction are jointly performed with different datasets. Our motivation is on the one hand to leverage useful information contained in multiple related tasks to improve both segmentation and classification performances, and on the other hand to deal with the problems of small data because each task can have a relatively small dataset. Our architecture is composed of a common encoder for disentangled feature representation with three tasks, and two decoders and a multi-layer perceptron for reconstruction, segmentation and classification respectively. The proposed model is evaluated and compared with other image segmentation techniques using a dataset of 1369 patients including 449 patients with COVID-19, 425 normal ones, 98 with lung cancer and 397 of different kinds of pathology. The obtained results show very encouraging performance of our method with a dice coefficient higher than 0.88 for the segmentation and an area under the ROC curve higher than 97% for the classification.</t>
  </si>
  <si>
    <t>Deep Learning Classification Models Built with Two-step Transfer Learning for Age Related Macular Degeneration Diagnosis</t>
  </si>
  <si>
    <t>The objective of this study was to build deep learning models with optical coherence tomography (OCT) images to classify normal and age related macular degeneration (AMD), AMD with fluid, and AMD without any fluid. In this study, 185 normal OCT images from 49 normal subjects, 535 OCT images of AMD with fluid, and 514 OCT mages of AMD without fluid from 120 AMD eyes as training data, while 49 normal images from 25 normal eyes, 188 AMD OCT images with fluid and 154 AMD images without any fluid from 77 AMD eyes as test data, were enrolled. Data augmentation was applied to increase the number of images to build deep learning models. Totally, two classification models were built in two steps. In the first step, a VGG16 model pre-trained on ImageNet dataset was transfer learned to classify normal and AMD, including AMD with fluid and/or without any fluid. Then, in the second step, the fine-tuned model in the first step was transfer learned again to distinguish the images of AMD with fluid from the ones without any fluid. With the first model, normal and AMD OCT images were classified with 0.999 area under receiver operating characteristic curve (AUC), and 99.2% accuracy. With the second model, AMD with the presence of any fluid, and AMD without fluid were classified with 0.992 AUC, and 95.1% accuracy. Compared with a transfer learned VGG16 model pre-trained on ImageNet dataset, to classify the three categories directly, higher classification performance was achieved with our notable approach. Conclusively, two classification models for AMD clinical practice were built with high classification performance, and these models should help improve the early diagnosis and treatment for AMD.</t>
  </si>
  <si>
    <t>A deep learning approach for real time prostate segmentation in freehand ultrasound guided biopsy</t>
  </si>
  <si>
    <t>Targeted prostate biopsy, incorporating multi-parametric magnetic resonance imaging (mp-MRI) and its registration with ultrasound, is currently the state-of-the-art in prostate cancer diagnosis. The registration process in most targeted biopsy systems today relies heavily on accurate segmentation of ultrasound images. Automatic or semi-automatic segmentation is typically performed offline prior to the start of the biopsy procedure. In this paper, we present a deep neural network based real-time prostate segmentation technique during the biopsy procedure, hence paving the way for dynamic registration of mp-MRI and ultrasound data. In addition to using convolutional networks for extracting spatial features, the proposed approach employs recurrent networks to exploit the temporal information among a series of ultrasound images. One of the key contributions in the architecture is to use residual convolution in the recurrent networks to improve optimization. We also exploit recurrent connections within and across different layers of the deep networks to maximize the utilization of the temporal information. Furthermore, we perform dense and sparse sampling of the input ultrasound sequence to make the network robust to ultrasound artifacts. Our architecture is trained on 2,238 labeled transrectal ultrasound images, with an additional 637 and 1,017 unseen images used for validation and testing, respectively. We obtain a mean Dice similarity coefficient of 93%, a mean surface distance error of 1.10 mm and a mean Hausdorff distance error of 3.0 mm. A comparison of the reported results with those of a state-of-the-art technique indicates statistically significant improvement achieved by the proposed approach.</t>
  </si>
  <si>
    <t>E. M. A. Anas, P. Mousavi and P. Abolmaesumi</t>
  </si>
  <si>
    <t>Neural networks for automatic scoring of arthritis disease activity on ultrasound images</t>
  </si>
  <si>
    <t>BACKGROUND: The development of standardised methods for ultrasound (US) scanning and evaluation of synovitis activity by the OMERACT-EULAR Synovitis Scoring (OESS) system is a major step forward in the use of US in the diagnosis and monitoring of patients with inflammatory arthritis. The variation in interpretation of disease activity on US images can affect diagnosis, treatment and outcomes in clinical trials. We, therefore, set out to investigate if we could utilise neural network architecture for the interpretation of disease activity on Doppler US images, using the OESS scoring system. METHODS: Two state-of-the-art neural networks were used to extract information from 1342 Doppler US images from patients with rheumatoid arthritis (RA). One neural network divided images as either healthy (Doppler OESS score 0 or 1) or diseased (Doppler OESS score 2 or 3). The other to score images across all four of the OESS systems Doppler US scores (0-3). The neural networks were hereafter tested on a new set of RA Doppler US images (n=176). Agreement between rheumatologist's scores and network scores was measured with the kappa statistic. RESULTS: For the neural network assessing healthy/diseased score, the highest accuracies compared with an expert rheumatologist were 86.4% and 86.9% with a sensitivity of 0.864 and 0.875 and specificity of 0.864 and 0.864, respectively. The other neural network developed to four class Doppler OESS scoring achieved an average per class accuracy of 75.0% and a quadratically weighted kappa score of 0.84. CONCLUSION: This study is the first to show that neural network technology can be used in the scoring of disease activity on Doppler US images according to the OESS system.</t>
  </si>
  <si>
    <t>RMD Open</t>
  </si>
  <si>
    <t>Separation of water and fat signal in whole-body gradient echo scans using convolutional neural networks</t>
  </si>
  <si>
    <t>PURPOSE: To perform and evaluate water-fat signal separation of whole-body gradient echo scans using convolutional neural networks. METHODS: Whole-body gradient echo scans of 240 subjects, each consisting of 5 bipolar echoes, were used. Reference fat fraction maps were created using a conventional method. Convolutional neural networks, more specifically 2D U-nets, were trained using 5-fold cross-validation with 1 or several echoes as input, using the squared difference between the output and the reference fat fraction maps as the loss function. The outputs of the networks were assessed by the loss function, measured liver fat fractions, and visually. Training was performed using a graphics processing unit (GPU). Inference was performed using the GPU as well as a central processing unit (CPU). RESULTS: The loss curves indicated convergence, and the final loss of the validation data decreased when using more echoes as input. The liver fat fractions could be estimated using only 1 echo, but results were improved by use of more echoes. Visual assessment found the quality of the outputs of the networks to be similar to the reference even when using only 1 echo, with slight improvements when using more echoes. Training a network took at most 28.6 h. Inference time of a whole-body scan took at most 3.7 s using the GPU and 5.8 min using the CPU. CONCLUSION: It is possible to perform water-fat signal separation of whole-body gradient echo scans using convolutional neural networks. Separation was possible using only 1 echo, although using more echoes improved the results.</t>
  </si>
  <si>
    <t>Local rotation invariance in 3D CNNs</t>
  </si>
  <si>
    <t>Locally Rotation Invariant (LRI) image analysis was shown to be fundamental in many applications and in particular in medical imaging where local structures of tissues occur at arbitrary rotations. LRI constituted the cornerstone of several breakthroughs in texture analysis, including Local Binary Patterns (LBP), Maximum Response 8 (MR8) and steerable filterbanks. Whereas globally rotation invariant Convolutional Neural Networks (CNN) were recently proposed, LRI was very little investigated in the context of deep learning. LRI designs allow learning filters accounting for all orientations, which enables a drastic reduction of trainable parameters and training data when compared to standard 3D CNNs. In this paper, we propose and compare several methods to obtain LRI CNNs with directional sensitivity. Two methods use orientation channels (responses to rotated kernels), either by explicitly rotating the kernels or using steerable filters. These orientation channels constitute a locally rotation equivariant representation of the data. Local pooling across orientations yields LRI image analysis. Steerable filters are used to achieve a fine and efficient sampling of 3D rotations as well as a reduction of trainable parameters and operations, thanks to a parametric representations involving solid Spherical Harmonics (SH),which are products of SH with associated learned radial profiles. Finally, we investigate a third strategy to obtain LRI based on rotational invariants calculated from responses to a learned set of solid SHs. The proposed methods are evaluated and compared to standard CNNs on 3D datasets including synthetic textured volumes composed of rotated patterns, and pulmonary nodule classification in CT. The results show the importance of LRI image analysis while resulting in a drastic reduction of trainable parameters, outperforming standard 3D CNNs trained with rotational data augmentation.</t>
  </si>
  <si>
    <t>Image generation by GAN and style transfer for agar plate image segmentation</t>
  </si>
  <si>
    <t>BACKGROUND AND OBJECTIVES: Deep learning models and specifically Convolutional Neural Networks (CNNs) are becoming the leading approach in many computer vision tasks, including medical image analysis. Nevertheless, the CNN training usually requires large sets of supervised data, which are often difficult and expensive to obtain in the medical field. To address the lack of annotated images, image generation is a promising method, which is becoming increasingly popular in the computer vision community. In this paper, we present a new approach to the semantic segmentation of bacterial colonies in agar plate images, based on deep learning and synthetic image generation, to increase the training set size. Indeed, semantic segmentation of bacterial colony is the basis for infection recognition and bacterial counting in Petri plate analysis. METHODS: A convolutional neural network (CNN) is used to separate the bacterial colonies from the background. To face the lack of annotated images, a novel engine is designed - which exploits a generative adversarial network to capture the typical distribution of the bacterial colonies on agar plates - to generate synthetic data. Then, bacterial colony patches are superimposed on existing background images, taking into account both the local appearance of the background and the intrinsic opacity of the bacterial colonies, and a style transfer algorithm is used for further improve visual realism. RESULTS: The proposed deep learning approach has been tested on the only public dataset available with pixel-level annotations for bacterial colony semantic segmentation in agar plates. The role of including synthetic data in the training of a segmentation CNN has been evaluated, showing how comparable performances can be obtained with respect to the use of real images. Qualitative results are also reported for a second public dataset in which the segmentation annotations are not provided. CONCLUSIONS: The use of a small set of real data, together with synthetic images, allows obtaining comparable results with respect to using a complete set of real images. Therefore, the proposed synthetic data generator is able to address the scarcity of biomedical data and provides a scalable and cheap alternative to human ground-truth supervision.</t>
  </si>
  <si>
    <t>P. Andreini, S. Bonechi, M. Bianchini, A. Mecocci and F. Scarselli</t>
  </si>
  <si>
    <t>Towards explainable deep neural networks (xDNN)</t>
  </si>
  <si>
    <t>In this paper, we propose an elegant solution that is directly addressing the bottlenecks of the traditional deep learning approaches and offers an explainable internal architecture that can outperform the existing methods, requires very little computational resources (no need for GPUs) and short training times (in the order of seconds). The proposed approach, xDNN is using prototypes. Prototypes are actual training data samples (images), which are local peaks of the empirical data distribution called typicality as well as of the data density. This generative model is identified in a closed form and equates to the pdf but is derived automatically and entirely from the training data with no user- or problem-specific thresholds, parameters or intervention. The proposed xDNN offers a new deep learning architecture that combines reasoning and learning in a synergy. It is non-iterative and non-parametric, which explains its efficiency in terms of time and computational resources. From the user perspective, the proposed approach is clearly understandable to human users. We tested it on challenging problems as the classification of different lighting conditions for driving scenes (iROADS), object detection (Caltech-256, and Caltech-101), and SARS-CoV-2 identification via computed tomography scan (COVID CT-scans dataset). xDNN outperforms the other methods including deep learning in terms of accuracy, time to train and offers an explainable classifier.</t>
  </si>
  <si>
    <t>Neural Netw</t>
  </si>
  <si>
    <t>Automated Triaging of Adult Chest Radiographs with Deep Artificial Neural Networks</t>
  </si>
  <si>
    <t>Purpose To develop and test an artificial intelligence (AI) system, based on deep convolutional neural networks (CNNs), for automated real-time triaging of adult chest radiographs on the basis of the urgency of imaging appearances. Materials and Methods An AI system was developed by using 470 388 fully anonymized institutional adult chest radiographs acquired from 2007 to 2017. The free-text radiology reports were preprocessed by using an in-house natural language processing (NLP) system modeling radiologic language. The NLP system analyzed the free-text report to prioritize each radiograph as critical, urgent, nonurgent, or normal. An AI system for computer vision using an ensemble of two deep CNNs was then trained by using labeled radiographs to predict the clinical priority from radiologic appearances only. The system's performance in radiograph prioritization was tested in a simulation by using an independent set of 15 887 radiographs. Prediction performance was assessed with the area under the receiver operating characteristic curve; sensitivity, specificity, positive predictive value (PPV), and negative predictive value (NPV) were also determined. Nonparametric testing of the improvement in time to final report was determined at a nominal significance level of 5%. Results Normal chest radiographs were detected by our AI system with a sensitivity of 71%, specificity of 95%, PPV of 73%, and NPV of 94%. The average reporting delay was reduced from 11.2 to 2.7 days for critical imaging findings (P &lt; .001) and from 7.6 to 4.1 days for urgent imaging findings (P &lt; .001) in the simulation compared with historical data. Conclusion Automated real-time triaging of adult chest radiographs with use of an artificial intelligence system is feasible, with clinically acceptable performance. © RSNA, 2019 Online supplemental material is available for this article. See also the editorial by Auffermann in this issue.</t>
  </si>
  <si>
    <t>M. Annarumma, S. J. Withey, R. J. Bakewell, E. Pesce, V. Goh and G. Montana</t>
  </si>
  <si>
    <t>Accelerating Convolutional Sparse Coding for Curvilinear Structures Segmentation by Refining SCIRD-TS Filter Banks</t>
  </si>
  <si>
    <t>Deep learning has shown great potential for curvilinear structure (e.g., retinal blood vessels and neurites) segmentation as demonstrated by a recent auto-context regression architecture based on filter banks learned by convolutional sparse coding. However, learning such filter banks is very time-consuming, thus limiting the amount of filters employed and the adaptation to other data sets (i.e., slow re-training). We address this limitation by proposing a novel acceleration strategy to speed-up convolutional sparse coding filter learning for curvilinear structure segmentation. Our approach is based on a novel initialisation strategy (warm start), and therefore it is different from recent methods improving the optimisation itself. Our warm-start strategy is based on carefully designed hand-crafted filters (SCIRD-TS), modelling appearance properties of curvilinear structures which are then refined by convolutional sparse coding. Experiments on four diverse data sets, including retinal blood vessels and neurites, suggest that the proposed method reduces significantly the time taken to learn convolutional filter banks (i.e., up to -82%) compared to conventional initialisation strategies. Remarkably, this speed-up does not worsen performance; in fact, filters learned with the proposed strategy often achieve a much lower reconstruction error and match or exceed the segmentation performance of random and DCT-based initialisation, when used as input to a random forest classifier.</t>
  </si>
  <si>
    <t>R. Annunziata and E. Trucco</t>
  </si>
  <si>
    <t>Lung Pattern Classification for Interstitial Lung Diseases Using a Deep Convolutional Neural Network</t>
  </si>
  <si>
    <t>Automated tissue characterization is one of the most crucial components of a computer aided diagnosis (CAD) system for interstitial lung diseases (ILDs). Although much research has been conducted in this field, the problem remains challenging. Deep learning techniques have recently achieved impressive results in a variety of computer vision problems, raising expectations that they might be applied in other domains, such as medical image analysis. In this paper, we propose and evaluate a convolutional neural network (CNN), designed for the classification of ILD patterns. The proposed network consists of 5 convolutional layers with 2 × 2 kernels and LeakyReLU activations, followed by average pooling with size equal to the size of the final feature maps and three dense layers. The last dense layer has 7 outputs, equivalent to the classes considered: healthy, ground glass opacity (GGO), micronodules, consolidation, reticulation, honeycombing and a combination of GGO/reticulation. To train and evaluate the CNN, we used a dataset of 14696 image patches, derived by 120 CT scans from different scanners and hospitals. To the best of our knowledge, this is the first deep CNN designed for the specific problem. A comparative analysis proved the effectiveness of the proposed CNN against previous methods in a challenging dataset. The classification performance ( ~ 85.5%) demonstrated the potential of CNNs in analyzing lung patterns. Future work includes, extending the CNN to three-dimensional data provided by CT volume scans and integrating the proposed method into a CAD system that aims to provide differential diagnosis for ILDs as a supportive tool for radiologists.</t>
  </si>
  <si>
    <t>M. Anthimopoulos, S. Christodoulidis, L. Ebner, A. Christe and S. Mougiakakou</t>
  </si>
  <si>
    <t>10.1055/s-0039-1677914</t>
  </si>
  <si>
    <t>A Broader Look: Camera-Based Vital Sign Estimation across the Spectrum</t>
  </si>
  <si>
    <t>OBJECTIVES: Camera-based vital sign estimation allows the contactless assessment of important physiological parameters. Seminal contributions were made in the 1930s, 1980s, and 2000s, and the speed of development seems ever increasing. In this suivey, we aim to overview the most recent works in this area, describe their common features as well as shortcomings, and highlight interesting outliers. METHODS: We performed a comprehensive literature research and quantitative analysis of papers published between 2016 and 2018. Quantitative information about the number of subjects, studies with healthy volunteers vs. pathological conditions, public datasets, laboratory vs. real-world works, types of camera, usage of machine learning, and spectral properties of data was extracted. Moreover, a qualitative analysis of illumination used and recent advantages in terms of algorithmic developments was also performed. RESULTS: Since 2016, 116 papers were published on camera-based vital sign estimation and 59% of papers presented results on 20 or fewer subjects. While the average number of participants increased from 15.7 in 2016 to 22.9 in 2018, the vast majority of papers (n=100) were on healthy subjects. Four public datasets were used in 10 publications. We found 27 papers whose application scenario could be considered a real-world use case, such as monitoring during exercise or driving. These include 16 papers that dealt with non-healthy subjects. The majority of papers (n=61) presented results based on visual, red-green-blue (RGB) information, followed by RGB combined with other parts of the electromagnetic spectrum (n=18), and thermography only (n=12), while other works (n=25) used other mono- or polychromatic non-RGB data. Surprisingly, a minority of publications (n=39) made use of consumer-grade equipment. Lighting conditions were primarily uncontrolled or ambient. While some works focused on specialized aspects such as the removal of vital sign information from video streams to protect privacy or the influence of video compression, most algorithmic developments were related to three areas: region of interest selection, tracking, or extraction of a one-dimensional signal. Seven papers used deep learning techniques, 17 papers used other machine learning approaches, and 92 made no explicit use of machine learning. CONCLUSION: Although some general trends and frequent shortcomings are obvious, the spectrum of publications related to camera-based vital sign estimation is broad. While many creative solutions and unique approaches exist, the lack of standardization hinders comparability of these techniques and of their performance. We believe that sharing algorithms and/ or datasets will alleviate this and would allow the application of newer techniques such as deep learning.</t>
  </si>
  <si>
    <t>Yearb Med Inform</t>
  </si>
  <si>
    <t>Deep Neural Architectures for Mapping Scalp to Intracranial EEG</t>
  </si>
  <si>
    <t>Data is often plagued by noise which encumbers machine learning of clinically useful biomarkers and electroencephalogram (EEG) data is no exemption. Intracranial EEG (iEEG) data enhances the training of deep learning models of the human brain, yet is often prohibitive due to the invasive recording process. A more convenient alternative is to record brain activity using scalp electrodes. However, the inherent noise associated with scalp EEG data often impedes the learning process of neural models, achieving substandard performance. Here, an ensemble deep learning architecture for nonlinearly mapping scalp to iEEG data is proposed. The proposed architecture exploits the information from a limited number of joint scalp-intracranial recording to establish a novel methodology for detecting the epileptic discharges from the sEEG of a general population of subjects. Statistical tests and qualitative analysis have revealed that the generated pseudo-intracranial data are highly correlated with the true intracranial data. This facilitated the detection of IEDs from the scalp recordings where such waveforms are not often visible. As a real-world clinical application, these pseudo-iEEGs are then used by a convolutional neural network for the automated classification of intracranial epileptic discharges (IEDs) and non-IED of trials in the context of epilepsy analysis. Although the aim of this work was to circumvent the unavailability of iEEG and the limitations of sEEG, we have achieved a classification accuracy of 68% an increase of 6% over the previously proposed linear regression mapping.</t>
  </si>
  <si>
    <t>A. Antoniades, L. Spyrou, D. Martin-Lopez, A. Valentin, G. Alarcon, S. Sanei and C. C. Took</t>
  </si>
  <si>
    <t>Int J Neural Syst</t>
  </si>
  <si>
    <t>Automated summarisation of SDOCT volumes using deep learning: Transfer learning vs de novo trained networks</t>
  </si>
  <si>
    <t>Spectral-domain optical coherence tomography (SDOCT) is a non-invasive imaging modality that generates high-resolution volumetric images. This modality finds widespread usage in ophthalmology for the diagnosis and management of various ocular conditions. The volumes generated can contain 200 or more B-scans. Manual inspection of such large quantity of scans is time consuming and error prone in most clinical settings. Here, we present a method for the generation of visual summaries of SDOCT volumes, wherein a small set of B-scans that highlight the most clinically relevant features in a volume are extracted. The method was trained and evaluated on data acquired from age-related macular degeneration patients, and relevance was defined as the presence of visibly discernible structural abnormalities. The summarisation system consists of a detection module, where relevant B-scans are extracted from the volume, and a set of rules that determines which B-scans are included in the visual summary. Two deep learning approaches are presented and compared for the classification of B-scans-transfer learning and de novo learning. Both approaches performed comparably with AUCs of 0.97 and 0.96, respectively, obtained on an independent test set. The de novo network, however, was 98% smaller than the transfer learning approach, and had a run-time that was also significantly shorter.</t>
  </si>
  <si>
    <t>10.1007/s10916-018-1088-1</t>
  </si>
  <si>
    <t>Medical Image Analysis using Convolutional Neural Networks: A Review</t>
  </si>
  <si>
    <t>The science of solving clinical problems by analyzing images generated in clinical practice is known as medical image analysis. The aim is to extract information in an affective and efficient manner for improved clinical diagnosis. The recent advances in the field of biomedical engineering have made medical image analysis one of the top research and development area. One of the reasons for this advancement is the application of machine learning techniques for the analysis of medical images. Deep learning is successfully used as a tool for machine learning, where a neural network is capable of automatically learning features. This is in contrast to those methods where traditionally hand crafted features are used. The selection and calculation of these features is a challenging task. Among deep learning techniques, deep convolutional networks are actively used for the purpose of medical image analysis. This includes application areas such as segmentation, abnormality detection, disease classification, computer aided diagnosis and retrieval. In this study, a comprehensive review of the current state-of-the-art in medical image analysis using deep convolutional networks is presented. The challenges and potential of these techniques are also highlighted.</t>
  </si>
  <si>
    <t>Automatic diagnosis of neurological diseases using MEG signals with a deep neural network</t>
  </si>
  <si>
    <t>The application of deep learning to neuroimaging big data will help develop computer-aided diagnosis of neurological diseases. Pattern recognition using deep learning can extract features of neuroimaging signals unique to various neurological diseases, leading to better diagnoses. In this study, we developed MNet, a novel deep neural network to classify multiple neurological diseases using resting-state magnetoencephalography (MEG) signals. We used the MEG signals of 67 healthy subjects, 26 patients with spinal cord injury, and 140 patients with epilepsy to train and test the network using 10-fold cross-validation. The trained MNet succeeded in classifying the healthy subjects and those with the two neurological diseases with an accuracy of 70.7 ± 10.6%, which significantly exceeded the accuracy of 63.4 ± 12.7% calculated from relative powers of six frequency bands (δ: 1-4 Hz; θ: 4-8 Hz; low-α: 8-10 Hz; high-α: 10-13 Hz; β: 13-30 Hz; low-γ: 30-50 Hz) for each channel using a support vector machine as a classifier (p = 4.2 × 10(-2)). The specificity of classification for each disease ranged from 86-94%. Our results suggest that this technique would be useful for developing a classifier that will improve neurological diagnoses and allow high specificity in identifying diseases.</t>
  </si>
  <si>
    <t>Extracting Possibly Representative COVID-19 Biomarkers from X-ray Images with Deep Learning Approach and Image Data Related to Pulmonary Diseases</t>
  </si>
  <si>
    <t>PURPOSE: While the spread of COVID-19 is increased, new, automatic, and reliable methods for accurate detection are essential to reduce the exposure of the medical experts to the outbreak. X-ray imaging, although limited to specific visualizations, may be helpful for the diagnosis. In this study, the problem of automatic classification of pulmonary diseases, including the recently emerged COVID-19, from X-ray images, is considered. METHODS: Deep Learning has proven to be a remarkable method to extract massive high-dimensional features from medical images. Specifically, in this paper, the state-of-the-art Convolutional Neural Network called Mobile Net is employed and trained from scratch to investigate the importance of the extracted features for the classification task. A large-scale dataset of 3905 X-ray images, corresponding to 6 diseases, is utilized for training MobileNet v2, which has been proven to achieve excellent results in related tasks. RESULTS: Training the CNNs from scratch outperforms the other transfer learning techniques, both in distinguishing the X-rays between the seven classes and between Covid-19 and non-Covid-19. A classification accuracy between the seven classes of 87.66% is achieved. Besides, this method achieves 99.18% accuracy, 97.36% Sensitivity, and 99.42% Specificity in the detection of COVID-19. CONCLUSION: The results suggest that training CNNs from scratch may reveal vital biomarkers related but not limited to the COVID-19 disease, while the top classification accuracy suggests further examination of the X-ray imaging potential.</t>
  </si>
  <si>
    <t>J Med Biol Eng</t>
  </si>
  <si>
    <t>Covid-19: automatic detection from X-ray images utilizing transfer learning with convolutional neural networks</t>
  </si>
  <si>
    <t>In this study, a dataset of X-ray images from patients with common bacterial pneumonia, confirmed Covid-19 disease, and normal incidents, was utilized for the automatic detection of the Coronavirus disease. The aim of the study is to evaluate the performance of state-of-the-art convolutional neural network architectures proposed over the recent years for medical image classification. Specifically, the procedure called Transfer Learning was adopted. With transfer learning, the detection of various abnormalities in small medical image datasets is an achievable target, often yielding remarkable results. The datasets utilized in this experiment are two. Firstly, a collection of 1427 X-ray images including 224 images with confirmed Covid-19 disease, 700 images with confirmed common bacterial pneumonia, and 504 images of normal conditions. Secondly, a dataset including 224 images with confirmed Covid-19 disease, 714 images with confirmed bacterial and viral pneumonia, and 504 images of normal conditions. The data was collected from the available X-ray images on public medical repositories. The results suggest that Deep Learning with X-ray imaging may extract significant biomarkers related to the Covid-19 disease, while the best accuracy, sensitivity, and specificity obtained is 96.78%, 98.66%, and 96.46% respectively. Since by now, all diagnostic tests show failure rates such as to raise concerns, the probability of incorporating X-rays into the diagnosis of the disease could be assessed by the medical community, based on the findings, while more research to evaluate the X-ray approach from different aspects may be conducted.</t>
  </si>
  <si>
    <t>Phys Eng Sci Med</t>
  </si>
  <si>
    <t>Automatic characterization of myocardial perfusion imaging polar maps employing deep learning and data augmentation</t>
  </si>
  <si>
    <t>OBJECTIVE: To investigate a deep learning technique, more specifically state-of-the-art convolutional neural networks (CNN), for automatic characterization of polar maps derived from myocardial perfusion imaging (MPI) studies for the diagnosis of coronary artery disease. SUBJECTS AND METHODS: Stress and rest polar maps corresponding to 216 patient cases from the database of the department of Nuclear Medicine of our institution were analyzed. Both attenuation-corrected (AC) and non-corrected (NAC) images were included. All patients were subjected to invasive coronary angiography within 60 days from MPI. As the initial dataset of this study was small to train a deep learning model from scratch, two strategies were followed. The first is called transfer learning. For this, we employed the state-of-the-art CNN called VGG16, which has been broadly exploited in medical imaging classification tasks. The second strategy involves data augmentation, which is achieved by the rotation of the polar maps, to expand the training set. We evaluated VGG16 with 10-fold cross-validation on the original set of images performing separate experiments for AC and NAC polar maps, as well as for their combination. The results were compared to the standard semi-quantitative polar map analysis based on summed stress and summed difference scores, as well as to the medical experts' diagnostic yield. RESULTS: With reference to the findings of coronary angiography, VGG16 achieved an accuracy of 74.53%, sensitivity 75.00% and specificity 73.43% when the AC and NAC polar maps were incorporated into one single image set. Respective figures of MPI interpretation by experienced Nuclear Medicine physicians were 75.00%, 76.97% and 70.31%. The accuracy of semi-quantitative polar map analysis was lower, 66.20% and 64.81% for AC and NAC technique, respectively. CONCLUSION: The proposed deep learning model with data augmentation techniques performed better than the conventional semi-quantitative polar map analysis and competed with doctor's expertise in this particular patient cohort and image set. The model could potentially serve as an assisting tool to support interpretation of MPI studies or could be used for teaching purposes.</t>
  </si>
  <si>
    <t>Hell J Nucl Med</t>
  </si>
  <si>
    <t>Truncation compensation and metallic dental implant artefact reduction in PET/MRI attenuation correction using deep learning-based object completion</t>
  </si>
  <si>
    <t>The susceptibility of MRI to metallic objects leads to void MR signal and missing information around metallic implants. In addition, body truncation occurs in MR imaging for large patients who exceed the transaxial field-of-view of the scanner. Body truncation and metal artefacts translate to incomplete MRI-derived attenuation correction (AC) maps, consequently resulting in large quantification errors in PET imaging. In this work, we propose a deep learning-based approach to predict the missing information/regions in MR images affected by metallic artefacts and/or body truncation aiming at reducing quantification errors in PET/MRI. Twenty-five whole-body (WB) co-registered PET, CT, and MR images were used for training and evaluation of the object completion approach. CT-based attenuation corrected PET images were considered as reference for the quantitative evaluation of the proposed approach. Its performance was compared to the 3-class segmentation-based AC approach (containing background air, soft-tissue and lung) obtained from MR images. The metal-induced artefacts affected 8.1 ± 1.8% of the volume of the head region when using the 3-class AC maps. This error reduced to 0.9 ± 0.5% after application of object completion on MR images. Consequently, quantification errors in PET images reduced from -57.5 ± 11% to -18.5 ± 5% in the head region after metal artefact correction. The percentage of the torso volume affected by body truncation in the 3-class AC maps reduced from 9.8 ± 1.9% to 0.6 ± 0.3% after truncation compensation. PET quantification errors in the affected regions were also reduced from -45.5 ± 10% to -9.5 ± 3% after truncation compensation. The quantitative results demonstrated promising performance of the proposed approach towards the completion of MR images corrupted by metal artefacts and/or body truncation in the context of WB PET/MR imaging.</t>
  </si>
  <si>
    <t>Phys Med Biol</t>
  </si>
  <si>
    <t>Novel adversarial semantic structure deep learning for MRI-guided attenuation correction in brain PET/MRI</t>
  </si>
  <si>
    <t>OBJECTIVE: Quantitative PET/MR imaging is challenged by the accuracy of synthetic CT (sCT) generation from MR images. Deep learning-based algorithms have recently gained momentum for a number of medical image analysis applications. In this work, a novel sCT generation algorithm based on deep learning adversarial semantic structure (DL-AdvSS) is proposed for MRI-guided attenuation correction in brain PET/MRI. MATERIALS AND METHODS: The proposed DL-AdvSS algorithm exploits the ASS learning framework to constrain the synthetic CT generation process to comply with the extracted structural features from CT images. The proposed technique was evaluated through comparison to an atlas-based sCT generation method (Atlas), previously developed for MRI-only or PET/MRI-guided radiation planning. Moreover, the commercial segmentation-based approach (Segm) implemented on the Philips TF PET/MRI system was included in the evaluation. Clinical brain studies of 40 patients who underwent PET/CT and MR imaging were used for the evaluation of the proposed method under a two-fold cross validation scheme. RESULTS: The accuracy of cortical bone extraction and CT value estimation were investigated for the three different methods. Atlas and DL-AdvSS exhibited similar cortical bone extraction accuracy resulting in a Dice coefficient of 0.78 ± 0.07 and 0.77 ± 0.07, respectively. Likewise, DL-AdvSS and Atlas techniques performed similarly in terms of CT value estimation in the cortical bone region where a mean error (ME) of less than -11 HU was obtained. The Segm approach led to a ME of -1025 HU. Furthermore, the quantitative analysis of corresponding PET images using the three approaches assuming the CT-based attenuation corrected PET (PET(CTAC)) as reference demonstrated comparative performance of DL-AdvSS and Atlas techniques with a mean standardized uptake value (SUV) bias less than 4% in 63 brain regions. In addition, less that 2% SUV bias was observed in the cortical bone when using Atlas and DL-AdvSS approaches. However, Segm resulted in 14.7 ± 8.9% SUV underestimation in the cortical bone. CONCLUSION: The proposed DL-AdvSS approach demonstrated competitive performance with respect to the state-of-the-art atlas-based technique achieving clinically tolerable errors, thus outperforming the commercial segmentation approach used in the clinic.</t>
  </si>
  <si>
    <t>H. Arabi, G. Zeng, G. Zheng and H. Zaidi</t>
  </si>
  <si>
    <t>Eur J Nucl Med Mol Imaging</t>
  </si>
  <si>
    <t>10.1684/ejd.2019.3538</t>
  </si>
  <si>
    <t>Computational neural network in melanocytic lesions diagnosis: artificial intelligence to improve diagnosis in dermatology?</t>
  </si>
  <si>
    <t>Diagnosis in dermatology is largely based on contextual factors going far beyond the visual and dermoscopic inspection of a lesion. Diagnostic tools such as the different types of dermoscopy, confocal microscopy and optical coherence tomography (OCT) are available and all of these have shown their importance in improving the dermatologist's ability, especially in the diagnosis of skin cancer. Their use, however, remains limited and time consuming, and optimizing their practice appears to be difficult, requiring extensive pre-processing, lesion segmentation and extraction of domain-specific visual features before classification. Over the last two decades, image recognition has been a matter of interest in a large part of our society and in industry, leading to the development of several techniques such as convolutional processing combined with artificial intelligence or neural networks (CNN/ANN). The aim of the present manuscript is to provide a short overview of the most recent data about CNN in the field of dermatology, mainly in skin cancer detection and its diagnosis.</t>
  </si>
  <si>
    <t>Eur J Dermatol</t>
  </si>
  <si>
    <t>DR|GRADUATE: Uncertainty-aware deep learning-based diabetic retinopathy grading in eye fundus images</t>
  </si>
  <si>
    <t>Diabetic retinopathy (DR) grading is crucial in determining the adequate treatment and follow up of patient, but the screening process can be tiresome and prone to errors. Deep learning approaches have shown promising performance as computer-aided diagnosis (CAD) systems, but their black-box behaviour hinders clinical application. We propose DR|GRADUATE, a novel deep learning-based DR grading CAD system that supports its decision by providing a medically interpretable explanation and an estimation of how uncertain that prediction is, allowing the ophthalmologist to measure how much that decision should be trusted. We designed DR|GRADUATE taking into account the ordinal nature of the DR grading problem. A novel Gaussian-sampling approach built upon a Multiple Instance Learning framework allow DR|GRADUATE to infer an image grade associated with an explanation map and a prediction uncertainty while being trained only with image-wise labels. DR|GRADUATE was trained on the Kaggle DR detection training set and evaluated across multiple datasets. In DR grading, a quadratic-weighted Cohen's kappa (κ) between 0.71 and 0.84 was achieved in five different datasets. We show that high κ values occur for images with low prediction uncertainty, thus indicating that this uncertainty is a valid measure of the predictions' quality. Further, bad quality images are generally associated with higher uncertainties, showing that images not suitable for diagnosis indeed lead to less trustworthy predictions. Additionally, tests on unfamiliar medical image data types suggest that DR|GRADUATE allows outlier detection. The attention maps generally highlight regions of interest for diagnosis. These results show the great potential of DR|GRADUATE as a second-opinion system in DR severity grading.</t>
  </si>
  <si>
    <t>10.1016/j.neuroimage.2016.02.079</t>
  </si>
  <si>
    <t>Single subject prediction of brain disorders in neuroimaging: Promises and pitfalls</t>
  </si>
  <si>
    <t>Neuroimaging-based single subject prediction of brain disorders has gained increasing attention in recent years. Using a variety of neuroimaging modalities such as structural, functional and diffusion MRI, along with machine learning techniques, hundreds of studies have been carried out for accurate classification of patients with heterogeneous mental and neurodegenerative disorders such as schizophrenia and Alzheimer's disease. More than 500 studies have been published during the past quarter century on single subject prediction focused on a multiple brain disorders. In the first part of this study, we provide a survey of more than 200 reports in this field with a focus on schizophrenia, mild cognitive impairment (MCI), Alzheimer's disease (AD), depressive disorders, autism spectrum disease (ASD) and attention-deficit hyperactivity disorder (ADHD). Detailed information about those studies such as sample size, type and number of extracted features and reported accuracy are summarized and discussed. To our knowledge, this is by far the most comprehensive review of neuroimaging-based single subject prediction of brain disorders. In the second part, we present our opinion on major pitfalls of those studies from a machine learning point of view. Common biases are discussed and suggestions are provided. Moreover, emerging trends such as decentralized data sharing, multimodal brain imaging, differential diagnosis, disease subtype classification and deep learning are also discussed. Based on this survey, there is extensive evidence showing the great potential of neuroimaging data for single subject prediction of various disorders. However, the main bottleneck of this exciting field is still the limited sample size, which could be potentially addressed by modern data sharing models such as the ones discussed in this paper. Emerging big data technologies and advanced data-intensive machine learning methodologies such as deep learning have coincided with an increasing need for accurate, robust and generalizable single subject prediction of brain disorders during an exciting time. In this report, we survey the past and offer some opinions regarding the road ahead.</t>
  </si>
  <si>
    <t>Neuroimage</t>
  </si>
  <si>
    <t>Deep Learning Predicts OCT Measures of Diabetic Macular Thickening From Color Fundus Photographs</t>
  </si>
  <si>
    <t>PURPOSE: To develop deep learning (DL) models for the automatic detection of optical coherence tomography (OCT) measures of diabetic macular thickening (MT) from color fundus photographs (CFPs). METHODS: Retrospective analysis on 17,997 CFPs and their associated OCT measurements from the phase 3 RIDE/RISE diabetic macular edema (DME) studies. DL with transfer-learning cascade was applied on CFPs to predict time-domain OCT (TD-OCT)-equivalent measures of MT, including central subfield thickness (CST) and central foveal thickness (CFT). MT was defined by using two OCT cutoff points: 250 μm and 400 μm. A DL regression model was developed to directly quantify the actual CFT and CST from CFPs. RESULTS: The best DL model was able to predict CST ≥ 250 μm and CFT ≥ 250 μm with an area under the curve (AUC) of 0.97 (95% confidence interval [CI], 0.89-1.00) and 0.91 (95% CI, 0.76-0.99), respectively. To predict CST ≥ 400 μm and CFT ≥ 400 μm, the best DL model had an AUC of 0.94 (95% CI, 0.82-1.00) and 0.96 (95% CI, 0.88-1.00), respectively. The best deep convolutional neural network regression model to quantify CST and CFT had an R2 of 0.74 (95% CI, 0.49-0.91) and 0.54 (95% CI, 0.20-0.87), respectively. The performance of the DL models declined when the CFPs were of poor quality or contained laser scars. CONCLUSIONS: DL is capable of predicting key quantitative TD-OCT measurements related to MT from CFPs. The DL models presented here could enhance the efficiency of DME diagnosis in tele-ophthalmology programs, promoting better visual outcomes. Future research is needed to validate DL algorithms for MT in the real-world.</t>
  </si>
  <si>
    <t>F. Arcadu, F. Benmansour, A. Maunz, J. Michon, Z. Haskova, D. McClintock, A. P. Adamis, J. R. Willis and M. Prunotto</t>
  </si>
  <si>
    <t>Invest Ophthalmol Vis Sci</t>
  </si>
  <si>
    <t>Application of deep learning technique to manage COVID-19 in routine clinical practice using CT images: Results of 10 convolutional neural networks</t>
  </si>
  <si>
    <t>Fast diagnostic methods can control and prevent the spread of pandemic diseases like coronavirus disease 2019 (COVID-19) and assist physicians to better manage patients in high workload conditions. Although a laboratory test is the current routine diagnostic tool, it is time-consuming, imposing a high cost and requiring a well-equipped laboratory for analysis. Computed tomography (CT) has thus far become a fast method to diagnose patients with COVID-19. However, the performance of radiologists in diagnosis of COVID-19 was moderate. Accordingly, additional investigations are needed to improve the performance in diagnosing COVID-19. In this study is suggested a rapid and valid method for COVID-19 diagnosis using an artificial intelligence technique based. 1020 CT slices from 108 patients with laboratory proven COVID-19 (the COVID-19 group) and 86 patients with other atypical and viral pneumonia diseases (the non-COVID-19 group) were included. Ten well-known convolutional neural networks were used to distinguish infection of COVID-19 from non-COVID-19 groups: AlexNet, VGG-16, VGG-19, SqueezeNet, GoogleNet, MobileNet-V2, ResNet-18, ResNet-50, ResNet-101, and Xception. Among all networks, the best performance was achieved by ResNet-101 and Xception. ResNet-101 could distinguish COVID-19 from non-COVID-19 cases with an AUC of 0.994 (sensitivity, 100%; specificity, 99.02%; accuracy, 99.51%). Xception achieved an AUC of 0.994 (sensitivity, 98.04%; specificity, 100%; accuracy, 99.02%). However, the performance of the radiologist was moderate with an AUC of 0.873 (sensitivity, 89.21%; specificity, 83.33%; accuracy, 86.27%). ResNet-101 can be considered as a high sensitivity model to characterize and diagnose COVID-19 infections, and can be used as an adjuvant tool in radiology departments.</t>
  </si>
  <si>
    <t>End-to-end lung cancer screening with three-dimensional deep learning on low-dose chest computed tomography</t>
  </si>
  <si>
    <t>With an estimated 160,000 deaths in 2018, lung cancer is the most common cause of cancer death in the United States(1). Lung cancer screening using low-dose computed tomography has been shown to reduce mortality by 20-43% and is now included in US screening guidelines(1-6). Existing challenges include inter-grader variability and high false-positive and false-negative rates(7-10). We propose a deep learning algorithm that uses a patient's current and prior computed tomography volumes to predict the risk of lung cancer. Our model achieves a state-of-the-art performance (94.4% area under the curve) on 6,716 National Lung Cancer Screening Trial cases, and performs similarly on an independent clinical validation set of 1,139 cases. We conducted two reader studies. When prior computed tomography imaging was not available, our model outperformed all six radiologists with absolute reductions of 11% in false positives and 5% in false negatives. Where prior computed tomography imaging was available, the model performance was on-par with the same radiologists. This creates an opportunity to optimize the screening process via computer assistance and automation. While the vast majority of patients remain unscreened, we show the potential for deep learning models to increase the accuracy, consistency and adoption of lung cancer screening worldwide.</t>
  </si>
  <si>
    <t>D. Ardila, A. P. Kiraly, S. Bharadwaj, B. Choi, J. J. Reicher, L. Peng, D. Tse, M. Etemadi, W. Ye, G. Corrado, D. P. Naidich and S. Shetty</t>
  </si>
  <si>
    <t>Nat Med</t>
  </si>
  <si>
    <t>Deep learning modeling using normal mammograms for predicting breast cancer risk</t>
  </si>
  <si>
    <t>PURPOSE: To investigate two deep learning-based modeling schemes for predicting short-term risk of developing breast cancer using prior normal screening digital mammograms in a case-control setting. METHODS: We conducted a retrospective Institutional Review Board-approved study on a case-control cohort of 226 patients (including 113 women diagnosed with breast cancer and 113 controls) who underwent general population breast cancer screening. For each patient, a prior normal (i.e., with negative or benign findings) digital mammogram examination [including mediolateral oblique (MLO) view and craniocaudal (CC) view two images] was collected. Thus, a total of 452 normal images (226 MLO view images and 226 CC view images) of this case-control cohort were analyzed to predict the outcome, i.e., developing breast cancer (cancer cases) or remaining breast cancer-free (controls) within the follow-up period. We implemented an end-to-end deep learning model and a GoogLeNet-LDA model and compared their effects in several experimental settings using two mammographic view images and inputting two different subregions of the images to the models. The proposed models were also compared to logistic regression modeling of mammographic breast density. Area under the receiver operating characteristic curve (AUC) was used as the model performance metric. RESULTS: The highest AUC was 0.73 [95% Confidence Interval (CI): 0.68-0.78; GoogLeNet-LDA model on CC view] when using the whole-breast and was 0.72 (95% CI: 0.67-0.76; GoogLeNet-LDA model on MLO + CC view) when using the dense tissue, respectively, as the model input. The GoogleNet-LDA model significantly (all P &lt; 0.05) outperformed the end-to-end GoogLeNet model in all experiments. CC view was consistently more predictive than MLO view in both deep learning models, regardless of the input subregions. Both models exhibited superior performance than the percent breast density (AUC = 0.54; 95% CI: 0.49-0.59). CONCLUSIONS: The proposed deep learning modeling approach can predict short-term breast cancer risk using normal screening mammogram images. Larger studies are needed to further reveal the promise of deep learning in enhancing imaging-based breast cancer risk assessment.</t>
  </si>
  <si>
    <t>BACH: Grand challenge on breast cancer histology images</t>
  </si>
  <si>
    <t>Breast cancer is the most common invasive cancer in women, affecting more than 10% of women worldwide. Microscopic analysis of a biopsy remains one of the most important methods to diagnose the type of breast cancer. This requires specialized analysis by pathologists, in a task that i) is highly time- and cost-consuming and ii) often leads to nonconsensual results. The relevance and potential of automatic classification algorithms using hematoxylin-eosin stained histopathological images has already been demonstrated, but the reported results are still sub-optimal for clinical use. With the goal of advancing the state-of-the-art in automatic classification, the Grand Challenge on BreAst Cancer Histology images (BACH) was organized in conjunction with the 15th International Conference on Image Analysis and Recognition (ICIAR 2018). BACH aimed at the classification and localization of clinically relevant histopathological classes in microscopy and whole-slide images from a large annotated dataset, specifically compiled and made publicly available for the challenge. Following a positive response from the scientific community, a total of 64 submissions, out of 677 registrations, effectively entered the competition. The submitted algorithms improved the state-of-the-art in automatic classification of breast cancer with microscopy images to an accuracy of 87%. Convolutional neuronal networks were the most successful methodology in the BACH challenge. Detailed analysis of the collective results allowed the identification of remaining challenges in the field and recommendations for future developments. The BACH dataset remains publicly available as to promote further improvements to the field of automatic classification in digital pathology.</t>
  </si>
  <si>
    <t>Representation learning for mammography mass lesion classification with convolutional neural networks</t>
  </si>
  <si>
    <t>BACKGROUND AND OBJECTIVE: The automatic classification of breast imaging lesions is currently an unsolved problem. This paper describes an innovative representation learning framework for breast cancer diagnosis in mammography that integrates deep learning techniques to automatically learn discriminative features avoiding the design of specific hand-crafted image-based feature detectors. METHODS: A new biopsy proven benchmarking dataset was built from 344 breast cancer patients' cases containing a total of 736 film mammography (mediolateral oblique and craniocaudal) views, representative of manually segmented lesions associated with masses: 426 benign lesions and 310 malignant lesions. The developed method comprises two main stages: (i) preprocessing to enhance image details and (ii) supervised training for learning both the features and the breast imaging lesions classifier. In contrast to previous works, we adopt a hybrid approach where convolutional neural networks are used to learn the representation in a supervised way instead of designing particular descriptors to explain the content of mammography images. RESULTS: Experimental results using the developed benchmarking breast cancer dataset demonstrated that our method exhibits significant improved performance when compared to state-of-the-art image descriptors, such as histogram of oriented gradients (HOG) and histogram of the gradient divergence (HGD), increasing the performance from 0.787 to 0.822 in terms of the area under the ROC curve (AUC). Interestingly, this model also outperforms a set of hand-crafted features that take advantage of additional information from segmentation by the radiologist. Finally, the combination of both representations, learned and hand-crafted, resulted in the best descriptor for mass lesion classification, obtaining 0.826 in the AUC score. CONCLUSIONS: A novel deep learning based framework to automatically address classification of breast mass lesions in mammography was developed.</t>
  </si>
  <si>
    <t>J. Arevalo, F. A. González, R. Ramos-Pollán, J. L. Oliveira and M. A. Guevara Lopez</t>
  </si>
  <si>
    <t>Contrast-enhanced computed tomography image assessment of cervical lymph node metastasis in patients with oral cancer by using a deep learning system of artificial intelligence</t>
  </si>
  <si>
    <t>OBJECTIVE: Although the deep learning system has been applied to interpretation of medical images, its application to the diagnosis of cervical lymph nodes in patients with oral cancer has not yet been reported. The purpose of this study was to evaluate the performance of deep learning image classification for diagnosis of lymph node metastasis. STUDY DESIGN: The imaging data used for evaluation consisted of computed tomography (CT) images of 127 histologically proven positive cervical lymph nodes and 314 histologically proven negative lymph nodes from 45 patients with oral squamous cell carcinoma. The performance of a deep learning image classification system for the diagnosis of lymph node metastasis on CT images was compared with the diagnostic interpretations of 2 experienced radiologists by using the Mann-Whitney U test and χ(2) analysis. RESULTS: The performance of the deep learning image classification system resulted in accuracy of 78.2%, sensitivity of 75.4%, specificity of 81.0%, positive predictive value of 79.9%, negative predictive value of 77.1%, and area under the receiver operating characteristic curve of 0.80. These values were not significantly different from those found by the radiologists. CONCLUSIONS: The deep learning system yielded diagnostic results similar to those of the radiologists, which suggests that this system may be valuable for diagnostic support.</t>
  </si>
  <si>
    <t>Y. Ariji, M. Fukuda, Y. Kise, M. Nozawa, Y. Yanashita, H. Fujita, A. Katsumata and E. Ariji</t>
  </si>
  <si>
    <t>Oral Surg Oral Med Oral Pathol Oral Radiol</t>
  </si>
  <si>
    <t>CT evaluation of extranodal extension of cervical lymph node metastases in patients with oral squamous cell carcinoma using deep learning classification</t>
  </si>
  <si>
    <t>OBJECTIVE: To clarify CT diagnostic performance in extranodal extension of cervical lymph node metastases using deep learning classification. METHODS: Seven-hundred and three CT images (178 with and 525 without extranodal extension) in 51 patients with cervical lymph node metastases from oral squamous cell carcinoma were enrolled in this study. CT images were cropped to an arbitrary size to include lymph nodes and surrounding tissues. All images were automatically divided into two datasets, assigning 80% as the training dataset and 20% as the testing dataset. The automated selection was repeated five times. Each training dataset was imported to a deep learning training system DIGITS. Five learning models were created after 300 epochs of the learning process using a neural network AlexNet. Each testing dataset was applied to each created learning model and resulting five performances were averaged as estimated diagnostic performances. A radiologist measured the minor axis and three radiologists evaluated central necrosis and irregular borders of each lymph node, and the diagnostic performances were obtained. RESULTS: The deep learning accuracy of extranodal extension was 84.0%. The radiologists' accuracies based on minor axis ≥ 11 mm, central necrosis, and irregular borders were 55.7%, 51.1% and 62.6%, respectively. CONCLUSIONS: The deep learning diagnostic performance in extranodal extension was significantly higher than that of radiologists. This method is expected to improve diagnostic accuracy by further study with increasing the number of patients.</t>
  </si>
  <si>
    <t>Oral Radiol</t>
  </si>
  <si>
    <t>Automatic detection and classification of radiolucent lesions in the mandible on panoramic radiographs using a deep learning object detection technique</t>
  </si>
  <si>
    <t>OBJECTIVE: The aim of this study was to investigate whether a deep learning object detection technique can automatically detect and classify radiolucent lesions in the mandible on panoramic radiographs. STUDY DESIGN: Panoramic radiographs of patients with mandibular radiolucent lesions of 10 mm or greater, including ameloblastomas, odontogenic keratocysts, dentigerous cysts, radicular cysts, and simple bone cysts, were included. Lesion labels, including region of interest coordinates, were created in text format. In total, 210 training images and labels were imported into the deep learning GPU training system (DIGITS). A learning model was created using the deep neural network DetectNet. Two testing data sets (testing 1 and 2) were applied to the learning model. Similarities and differences between the prediction and ground-truth images were evaluated using Intersection over Union (IoU). Sensitivity and false-positive rate per image were calculated using an IoU threshold of 0.6. The detection performance for each disease was assessed using multiclass learning. RESULTS: Sensitivity was 0.88 for both testing 1 and 2. The false-positive rate per image was 0.00 for testing 1 and 0.04 for testing 2. The best combination of detection and classification sensitivity occurred with dentigerous cysts. CONCLUSIONS: Radiolucent lesions of the mandible can be detected with high sensitivity using deep learning.</t>
  </si>
  <si>
    <t>Independent brain (18)F-FDG PET attenuation correction using a deep learning approach with Generative Adversarial Networks</t>
  </si>
  <si>
    <t>OBJECTIVE: Attenuation correction (AC) of positron emission tomography (PET) data poses a challenge when no transmission data or computed tomography (CT) data are available, e.g. in stand alone PET scanners or PET/magnetic resonance imaging (MRI). In these cases, external imaging data or morphological imaging data are normally used for the generation of attenuation maps. Newly introduced machine learning methods however may allow for direct estimation of attenuation maps from non attenuation-corrected PET data (PET(NAC)). Our purpose was thus to establish and evaluate a method for independent AC of brain fluorine-18-fluorodeoxyglucose ((18)F-FDG) PET images only based on PETNAC using Generative Adversarial Networks (GAN). SUBJECTS AND METHODS: After training of the deep learning GAN framework on a paired training dataset of PET(NAC) and the corresponding CT images of the head from 50 patients, pseudo-CT images were generated from PET(NAC) of 40 validation patients, of which 20 were used for technical validation and 20 stemming from patients with CNS disorders were used for clinical validation. Pseudo-CT was used for subsequent AC of these validation data sets resulting in independently attenuation-corrected PET data. RESULTS: Visual inspection revealed a high degree of resemblance of generated pseudo-CT images compared to the acquired CT images in all validation data sets, with minor differences in individual anatomical details. Quantitative analyses revealed minimal underestimation below 5% of standardized uptake value (SUV) in all brain regions in independently attenuation-corrected PET data compared to the reference PET images. Color-coded error maps showed no regional bias and only minimal average errors around ±0%. Using independently attenuation-corrected PET data, no differences in image-based diagnoses were observed in 20 patients with neurological disorders compared to the reference PET images. CONCLUSION: Independent AC of brain (18)F-FDG PET is feasible with high accuracy using the proposed, easy to implement deep learning framework. Further evaluation in clinical cohorts will be necessary to assess the clinical performance of this method.</t>
  </si>
  <si>
    <t>10.1016/j.lungcan.2018.11.033</t>
  </si>
  <si>
    <t>Imaging in pleural mesothelioma: A review of the 14th International Conference of the International Mesothelioma Interest Group</t>
  </si>
  <si>
    <t>Mesothelioma patients rely on the information their clinical team obtains from medical imaging. Whether x-ray-based computed tomography (CT) or magnetic resonance imaging (MRI) based on local magnetic fields within a patient's tissues, different modalities generate images with uniquely different appearances and information content due to the physical differences of the image-acquisition process. Researchers are developing sophisticated ways to extract a greater amount of the information contained within these images. This paper summarizes the imaging-based research presented orally at the 2018 International Conference of the International Mesothelioma Interest Group (iMig) in Ottawa, Ontario, Canada, held May 2-5, 2018. Presented topics included advances in the imaging of preclinical mesothelioma models to inform clinical therapeutic strategies, optimization of the time delay between contrast administration and image acquisition for maximized enhancement of mesothelioma tumor on CT, an investigation of image-based criteria for clinical tumor and nodal staging of mesothelioma by contrast-enhanced CT, an investigation of methods for the extraction of mesothelioma tumor volume from MRI and the association of volume with patient survival, the use of deep learning for mesothelioma tumor segmentation in CT, and an evaluation of CT-based radiomics for the prognosis of mesothelioma patient survival.</t>
  </si>
  <si>
    <t>Lung Cancer</t>
  </si>
  <si>
    <t>Deep feature-based automatic classification of mammograms</t>
  </si>
  <si>
    <t>Breast cancer has the second highest frequency of death rate among women worldwide. Early-stage prevention becomes complex due to reasons unknown. However, some typical signatures like masses and micro-calcifications upon investigating mammograms can help diagnose women better. Manual diagnosis is a hard task the radiologists carry out frequently. For their assistance, many computer-aided diagnosis (CADx) approaches have been developed. To improve upon the state of the art, we proposed a deep ensemble transfer learning and neural network classifier for automatic feature extraction and classification. In computer-assisted mammography, deep learning-based architectures are generally not trained on mammogram images directly. Instead, the images are pre-processed beforehand, and then they are adopted to be given as input to the ensemble model proposed. The robust features extracted from the ensemble model are optimized into a feature vector which are further classified using the neural network (nntraintool). The network was trained and tested to separate out benign and malignant tumors, thus achieving an accuracy of 0.88 with an area under curve (AUC) of 0.88. The attained results show that the proposed methodology is a promising and robust CADx system for breast cancer classification. Graphical Abstract Flow diagram of the proposed approach. Figure depicts the deep ensemble extracting the robust features with the final classification using neural networks.</t>
  </si>
  <si>
    <t>10.1097/wco.0000000000000796</t>
  </si>
  <si>
    <t>Quantitative MRI markers in Parkinson's disease and parkinsonian syndromes</t>
  </si>
  <si>
    <t>PURPOSE OF REVIEW: In Parkinson's disease and parkinsonian disorders, the differential diagnosis is still challenging. We aim to review current developments in MRI quantitative markers and their potential in a clinical and neuroscientific setting. RECENT FINDINGS: There have been efforts to improve MRI acquisition methods and to explore new promising biomarkers. In parallel, technological advances in data analysis (i.e. deep learning) open new ways to use these biomarkers. The MRI markers may differ according to the brain structure investigated. Even if the newly adopted acquisition protocols served mainly the development of brainstem-related biomarkers (neuromelanin MRI, nigrosome sensitive MRI), more established markers (e.g. morphometric values) in basal ganglia, cortex and cerebellum demonstrate their relevance especially to differential diagnosis in parkinsonian syndromes. SUMMARY: We provide an overview on recent advances in MRI quantitative markers of Parkinson's disease that we divide for didactic purposes in three anatomical levels - cortical/cerebellum structures, basal ganglia and brainstem. We show the complementarity of new biomarkers sensitive to brain tissue properties to established morphometrics.</t>
  </si>
  <si>
    <t>Curr Opin Neurol</t>
  </si>
  <si>
    <t>Aiding the Diagnosis of Diabetic and Hypertensive Retinopathy Using Artificial Intelligence-Based Semantic Segmentation</t>
  </si>
  <si>
    <t>Automatic segmentation of retinal images is an important task in computer-assisted medical image analysis for the diagnosis of diseases such as hypertension, diabetic and hypertensive retinopathy, and arteriosclerosis. Among the diseases, diabetic retinopathy, which is the leading cause of vision detachment, can be diagnosed early through the detection of retinal vessels. The manual detection of these retinal vessels is a time-consuming process that can be automated with the help of artificial intelligence with deep learning. The detection of vessels is difficult due to intensity variation and noise from non-ideal imaging. Although there are deep learning approaches for vessel segmentation, these methods require many trainable parameters, which increase the network complexity. To address these issues, this paper presents a dual-residual-stream-based vessel segmentation network (Vess-Net), which is not as deep as conventional semantic segmentation networks, but provides good segmentation with few trainable parameters and layers. The method takes advantage of artificial intelligence for semantic segmentation to aid the diagnosis of retinopathy. To evaluate the proposed Vess-Net method, experiments were conducted with three publicly available datasets for vessel segmentation: digital retinal images for vessel extraction (DRIVE), the Child Heart Health Study in England (CHASE-DB1), and structured analysis of retina (STARE). Experimental results show that Vess-Net achieved superior performance for all datasets with sensitivity (Se), specificity (Sp), area under the curve (AUC), and accuracy (Acc) of 80.22%, 98.1%, 98.2%, and 96.55% for DRVIE; 82.06%, 98.41%, 98.0%, and 97.26% for CHASE-DB1; and 85.26%, 97.91%, 98.83%, and 96.97% for STARE dataset.</t>
  </si>
  <si>
    <t>M. Arsalan, M. Owais, T. Mahmood, S. W. Cho and K. R. Park</t>
  </si>
  <si>
    <t>J Clin Med</t>
  </si>
  <si>
    <t>De-noising Medical Images Using Machine Learning, Deep Learning Approaches: A survey</t>
  </si>
  <si>
    <t>OBJECTIVE: Several de-noising methods for medical images have been applied such as Wavelet Transform, CNN, linear and Non-linear method. METHODS: In this paper, a median filter algorithm will be modified and explain the image de-noising to wavelet transform and Non-local means (NLM), deep convolutional neural network (DnCNN) and Gaussian noise and Salt and pepper noise used in the medical skin image. RESULTS: PSNR values of CNN methods is higher and better than to others filters (Adaptive Wiener filter, Median filter and Adaptive Median filter, Wiener filter). CONCLUSION: De-noising methods performance with indices SSIM, PSNR and MSE are tested and survey the result of simulation image de-noising.</t>
  </si>
  <si>
    <t>Viable and necrotic tumor assessment from whole slide images of osteosarcoma using machine-learning and deep-learning models</t>
  </si>
  <si>
    <t>Pathological estimation of tumor necrosis after chemotherapy is essential for patients with osteosarcoma. This study reports the first fully automated tool to assess viable and necrotic tumor in osteosarcoma, employing advances in histopathology digitization and automated learning. We selected 40 digitized whole slide images representing the heterogeneity of osteosarcoma and chemotherapy response. With the goal of labeling the diverse regions of the digitized tissue into viable tumor, necrotic tumor, and non-tumor, we trained 13 machine-learning models and selected the top performing one (a Support Vector Machine) based on reported accuracy. We also developed a deep-learning architecture and trained it on the same data set. We computed the receiver-operator characteristic for discrimination of non-tumor from tumor followed by conditional discrimination of necrotic from viable tumor and found our models performing exceptionally well. We then used the trained models to identify regions of interest on image-tiles generated from test whole slide images. The classification output is visualized as a tumor-prediction map, displaying the extent of viable and necrotic tumor in the slide image. Thus, we lay the foundation for a complete tumor assessment pipeline from original histology images to tumor-prediction map generation. The proposed pipeline can also be adopted for other types of tumor.</t>
  </si>
  <si>
    <t>H. B. Arunachalam, R. Mishra, O. Daescu, K. Cederberg, D. Rakheja, A. Sengupta, D. Leonard, R. Hallac and P. Leavey</t>
  </si>
  <si>
    <t>Using Deep Learning and Transfer Learning to Accurately Diagnose Early-Onset Glaucoma From Macular Optical Coherence Tomography Images</t>
  </si>
  <si>
    <t>PURPOSE: We sought to construct and evaluate a deep learning (DL) model to diagnose early glaucoma from spectral-domain optical coherence tomography (OCT) images. DESIGN: Artificial intelligence diagnostic tool development, evaluation, and comparison. METHODS: This multi-institution study included pretraining data of 4316 OCT images (RS3000) from 1371 eyes with open angle glaucoma (OAG) regardless of the stage of glaucoma and 193 normal eyes. Training data included OCT-1000/2000 images from 94 eyes of 94 patients with early OAG (mean deviation &gt; -5.0 dB) and 84 eyes of 84 normal subjects. Testing data included OCT-1000/2000 from 114 eyes of 114 patients with early OAG (mean deviation &gt; -5.0 dB) and 82 eyes of 82 normal subjects. A DL (convolutional neural network) classifier was trained using a pretraining dataset, followed by a second round of training using an independent training dataset. The DL model input features were the 8 × 8 grid macular retinal nerve fiber layer thickness and ganglion cell complex layer thickness from spectral-domain OCT. Diagnostic accuracy was investigated in the testing dataset. For comparison, diagnostic accuracy was also evaluated using the random forests and support vector machine models. The primary outcome measure was the area under the receiver operating characteristic curve (AROC). RESULTS: The AROC with the DL model was 93.7%. The AROC significantly decreased to between 76.6% and 78.8% without the pretraining process. Significantly smaller AROCs were obtained with random forests and support vector machine models (82.0% and 67.4%, respectively). CONCLUSION: A DL model for glaucoma using spectral-domain OCT offers a substantive increase in diagnostic performance.</t>
  </si>
  <si>
    <t>R. Asaoka, H. Murata, K. Hirasawa, Y. Fujino, M. Matsuura, A. Miki, T. Kanamoto, Y. Ikeda, K. Mori, A. Iwase, N. Shoji, K. Inoue, J. Yamagami and M. Araie</t>
  </si>
  <si>
    <t>Am J Ophthalmol</t>
  </si>
  <si>
    <t>Detecting Preperimetric Glaucoma with Standard Automated Perimetry Using a Deep Learning Classifier</t>
  </si>
  <si>
    <t>PURPOSE: To differentiate the visual fields (VFs) of preperimetric open-angle glaucoma (OAG) patients from the VFs of healthy eyes using a deep learning (DL) method. DESIGN: Cohort study. PARTICIPANTS: One hundred seventy-one preperimetric glaucoma VFs (PPGVFs) from 53 eyes in 51 OAG patients and 108 healthy eyes of 87 healthy participants. METHODS: Preperimetric glaucoma VFs were defined as all VFs before a first diagnosis of manifest glaucoma (Anderson-Patella's criteria). In total, 171 PPGVFs from 53 eyes in 51 OAG patients and 108 VFs from 108 healthy eyes in 87 healthy participants were analyzed (all VFs were tested using the Humphrey Field Analyzer 30-2 program; Carl Zeiss Meditec, Dublin, CA). The 52 total deviation, mean deviation, and pattern standard deviation values were used as predictors in the DL classifier: a deep feed-forward neural network (FNN), along with other machine learning (ML) methods, including random forests (RF), gradient boosting, support vector machine, and neural network (NN). The area under the receiver operating characteristic curve (AUC) was used to evaluate the accuracy of discrimination for each method. MAIN OUTCOME MEASURES: The AUCs obtained with each classifier method. RESULTS: A significantly larger AUC of 92.6% (95% confidence interval [CI], 89.8%-95.4%) was obtained using the deep FNN classifier compared with all other ML methods: 79.0% (95% CI, 73.5%-84.5%) with RF, 77.6% (95% CI, 71.7%-83.5%) with gradient boosting, 71.2% (95% CI, 65.0%-77.5%), and 66.7% (95% CI, 60.1%-73.3%) with NN. CONCLUSIONS: Preperimetric glaucoma VFs can be distinguished from healthy VFs with very high accuracy using a deep FNN classifier.</t>
  </si>
  <si>
    <t>R. Asaoka, H. Murata, A. Iwase and M. Araie</t>
  </si>
  <si>
    <t>Ophthalmology</t>
  </si>
  <si>
    <t>10.1016/j.artmed.2019.07.009</t>
  </si>
  <si>
    <t>Deep learning based computer-aided diagnosis systems for diabetic retinopathy: A survey</t>
  </si>
  <si>
    <t>Diabetic retinopathy (DR) results in vision loss if not treated early. A computer-aided diagnosis (CAD) system based on retinal fundus images is an efficient and effective method for early DR diagnosis and assisting experts. A computer-aided diagnosis (CAD) system involves various stages like detection, segmentation and classification of lesions in fundus images. Many traditional machine-learning (ML) techniques based on hand-engineered features have been introduced. The recent emergence of deep learning (DL) and its decisive victory over traditional ML methods for various applications motivated the researchers to employ it for DR diagnosis, and many deep-learning-based methods have been introduced. In this paper, we review these methods, highlighting their pros and cons. In addition, we point out the challenges to be addressed in designing and learning about efficient, effective and robust deep-learning algorithms for various problems in DR diagnosis and draw attention to directions for future research.</t>
  </si>
  <si>
    <t>Extraction of the cardiac waveform from simultaneous multislice fMRI data using slice sorted averaging and a deep learning reconstruction filter</t>
  </si>
  <si>
    <t>Cardiac signal contamination has long confounded the analysis of blood-oxygenation-level-dependent (BOLD) functional magnetic resonance imaging (fMRI). Cardiac pulsation results in significant BOLD signal changes, especially in and around blood vessels. Until the advent of simultaneous multislice echo-planar imaging (EPI) acquisition, the time resolution of whole brain EPI was insufficient to avoid cardiac aliasing (and acquisitions with repetition times (TRs) under 400-500 ms are still uncommon). As a result, direct detection and removal of the cardiac signal with spectral filters is generally not possible. Modelling methods have been developed to mitigate cardiac contamination, and recently developed techniques permit the visualization of cardiac signal propagation through the brain in undersampled data (e.g., TRs &gt; 1s), which is useful in its own right for finding blood vessels. However, both of these techniques require data from which to estimate cardiac phase, which is generally not available for the data in many large databases of existing imaging data, and even now is not routinely recorded in many fMRI experiments. Here we present a method to estimate the cardiac waveform directly from a multislice fMRI dataset, without additional physiological measurements, such as plethysmograms. The pervasive spatial extent and temporal structure of the cardiac contamination signal across the brain offers an opportunity to exploit the nature of multislice imaging to extract this signal from the fMRI data itself. While any particular slice is recorded at the TR of the imaging experiment, slices are recorded much more quickly - typically from 10 to 20 Hz - sufficiently fast to fully sample the cardiac signal. Using the fairly permissive assumptions that the cardiac signal is a) pseudoperiodic b) somewhat coherent within any given slice, and c) is similarly shaped throughout the brain, we can extract a good estimate of the cardiac phase as a function of time from fMRI data alone. If we make further assumptions about the shape and consistency of cardiac waveforms, we can develop a deep learning filter to greatly improve our estimate of the cardiac waveform.</t>
  </si>
  <si>
    <t>10.1007/s42979-020-00383-w</t>
  </si>
  <si>
    <t>Deep Learning Applications to Combat Novel Coronavirus (COVID-19) Pandemic</t>
  </si>
  <si>
    <t>During this global pandemic, researchers around the world are trying to find out innovative technology for a smart healthcare system to combat coronavirus. The evidence of deep learning applications on the past epidemic inspires the experts by giving a new direction to control this outbreak. The aim of this paper is to discuss the contributions of deep learning at several scales including medical imaging, disease tracing, analysis of protein structure, drug discovery, and virus severity and infectivity to control the ongoing outbreak. A progressive search of the database related to the applications of deep learning was executed on COVID-19. Further, a comprehensive review is done using selective information by assessing the different perspectives of deep learning. This paper attempts to explore and discuss the overall applications of deep learning on multiple dimensions to control novel coronavirus (COVID-19). Though various studies are conducted using deep learning algorithms, there are still some constraints and challenges while applying for real-world problems. The ongoing progress in deep learning contributes to handle coronavirus infection and plays an effective role to develop appropriate solutions. It is expected that this paper would be a great help for the researchers who would like to contribute to the development of remedies for this current pandemic in this area.</t>
  </si>
  <si>
    <t>SN Comput Sci</t>
  </si>
  <si>
    <t>Towards safe and efficient preoperative planning of transcatheter mitral valve interventions</t>
  </si>
  <si>
    <t>OBJECTIVE OF THE STUDY: Transcatheter mitral valve interventions are emerging as a viable alternative for patients at high risk. Two key aspects are crucial during the preoperative planning: left ventricular outflow tract assessment and anatomical analysis. Given that the manual anatomical analysis is time-consuming, an automated approach may introduce efficiency during preoperative planning. In this study, we present an automatic method to detect the mitral valve annulus and discuss possible implementation of this method in clinical practice. PATIENTS: This retrospective study used the data of 71 patients collected from multiple centra. The mean age of this cohort was 74.2±13.1 years, and 56.1% of the patients were female and 43.9% male. MATERIALS AND METHODS: We trained three deep learning models to segment the area around the mitral valve annulus. In a post-processing step, we extracted the mitral valve annulus from this segmentation. As a final step, clinically relevant measurements such as 2D perimeter, trigone-to-trigone (TT) distance, septal-to-lateral (SL) distance and commissure-to-commissure (IC) distance were derived from the predicted mitral valve annulus. The method was cross-validated with k-folding. RESULTS: The predicted measurements showed excellent correlation with the manually obtained clinical measurements: 2D perimeter: R(2)=0.93, TT-distance: R(2)=0.86, SL-distance: R(2)=0.86 and IC-distance: R(2)=0.90. The total analysis time per patient of the automatic method was less than 1 second, which is an enormous speed-up as compared to the manual process (25minutes). CONCLUSION: The efficiency and accuracy of the proposed method give the confidence to move towards implementation of this technology in clinical practice. We propose a possible implementation of this method in clinical practice, which, in our opinion, will facilitate safe and efficient preoperative planning of transcatheter mitral valve interventions.</t>
  </si>
  <si>
    <t>Morphologie</t>
  </si>
  <si>
    <t>Enabling Automated Device Size Selection for Transcatheter Aortic Valve Implantation</t>
  </si>
  <si>
    <t>The number of transcatheter aortic valve implantation (TAVI) procedures is expected to increase significantly in the coming years. Improving efficiency will become essential for experienced operators performing large TAVI volumes, while new operators will require training and may benefit from accurate support. In this work, we present a fast deep learning method that can predict aortic annulus perimeter and area automatically from aortic annular plane images. We propose a method combining two deep convolutional neural networks followed by a postprocessing step. The models were trained with 355 patients using modern deep learning techniques, and the method was evaluated on another 118 patients. The method was validated against an interoperator variability study of the same 118 patients. The differences between the manually obtained aortic annulus measurements and the automatic predictions were similar to the differences between two independent observers (paired diff. of 3.3 ± 16.8 mm(2) vs. 1.3 ± 21.1 mm(2) for the area and a paired diff. of 0.6 ± 1.7 mm vs. 0.2 ± 2.5 mm for the perimeter). The area and perimeter were used to retrieve the suggested prosthesis sizes for the Edwards Sapien 3 and the Medtronic Evolut device retrospectively. The automatically obtained device size selections accorded well with the device sizes selected by operator 1. The total analysis time from aortic annular plane to prosthesis size was below one second. This study showed that automated TAVI device size selection using the proposed method is fast, accurate, and reproducible. Comparison with the interobserver variability has shown the reliability of the strategy, and embedding this tool based on deep learning in the preoperative planning routine has the potential to increase the efficiency while ensuring accuracy.</t>
  </si>
  <si>
    <t>J Interv Cardiol</t>
  </si>
  <si>
    <t>Automatic Detection of the Aortic Annular Plane and Coronary Ostia from Multidetector Computed Tomography</t>
  </si>
  <si>
    <t>Anatomic landmark detection is crucial during preoperative planning of transcatheter aortic valve implantation (TAVI) to select the proper device size and assess the risk of complications. The detection is currently a time-consuming manual process influenced by the image quality and subject to operator variability. In this work, we propose a novel automatic method to detect the relevant aortic landmarks from MDCT images using deep learning techniques. We trained three convolutional neural networks (CNNs) with 344 multidetector computed tomography (MDCT) acquisitions to detect five anatomical landmarks relevant for TAVI planning: the three basal attachment points of the aortic valve leaflets and the left and right coronary ostia. The detection strategy used these three CNN models to analyse a single MDCT image and yield three segmentation volumes as output. These segmentation volumes were averaged into one final segmentation volume, and the final predicted landmarks were obtained during a postprocessing step. Finally, we constructed the aortic annular plane, defined by the three predicted hinge points, and measured the distances from this plane to the predicted coronary ostia (i.e., coronary height). The methodology was validated on 100 patients. The automatic landmark detection was able to detect all the landmarks and showed high accuracy as the median distance between the ground truth and predictions is lower than the interobserver variations (1.5 mm [1.1-2.1], 2.0 mm [1.3-2.8] with a paired difference -0.5 ± 1.3 mm and p value &lt;0.001). Furthermore, a high correlation is observed between predicted and manually measured coronary heights (for both R (2) = 0.8). The image analysis time per patient was below one second. The proposed method is accurate, fast, and reproducible. Embedding this tool based on deep learning in the preoperative planning routine may have an impact in the TAVI environments by reducing the time and cost and improving accuracy.</t>
  </si>
  <si>
    <t>Fast and Precise Hippocampus Segmentation Through Deep Convolutional Neural Network Ensembles and Transfer Learning</t>
  </si>
  <si>
    <t>Automatic segmentation of the hippocampus from 3D magnetic resonance imaging mostly relied on multi-atlas registration methods. In this work, we exploit recent advances in deep learning to design and implement a fully automatic segmentation method, offering both superior accuracy and fast result. The proposed method is based on deep Convolutional Neural Networks (CNNs) and incorporates distinct segmentation and error correction steps. Segmentation masks are produced by an ensemble of three independent models, operating with orthogonal slices of the input volume, while erroneous labels are subsequently corrected by a combination of Replace and Refine networks. We explore different training approaches and demonstrate how, in CNN-based segmentation, multiple datasets can be effectively combined through transfer learning techniques, allowing for improved segmentation quality. The proposed method was evaluated using two different public datasets and compared favorably to existing methodologies. In the EADC-ADNI HarP dataset, the correspondence between the method's output and the available ground truth manual tracings yielded a mean Dice value of 0.9015, while the required segmentation time for an entire MRI volume was 14.8 seconds. In the MICCAI dataset, the mean Dice value increased to 0.8835 through transfer learning from the larger EADC-ADNI HarP dataset.</t>
  </si>
  <si>
    <t>Neuroinformatics</t>
  </si>
  <si>
    <t>10.1016/j.crad.2019.04.017</t>
  </si>
  <si>
    <t>Artificial intelligence and radiomics in pulmonary nodule management: current status and future applications</t>
  </si>
  <si>
    <t>Artificial intelligence (AI) has been present in some guise within the field of radiology for over 50 years. The first studies investigating computer-aided diagnosis in thoracic radiology date back to the 1960s, and in the subsequent years, the main application of these techniques has been the detection and classification of pulmonary nodules. In addition, there have been other less intensely researched applications, such as the diagnosis of interstitial lung disease, chronic obstructive pulmonary disease, and the detection of pulmonary emboli. Despite extensive literature on the use of convolutional neural networks in thoracic imaging over the last few decades, we are yet to see these systems in use in clinical practice. The article reviews current state-of-the-art applications of AI and in detection, classification, and follow-up of pulmonary nodules and how deep-learning techniques might influence these going forward. Finally, we postulate the impact of these advancements on the role of radiologists and the importance of radiologists in the development and evaluation of these techniques.</t>
  </si>
  <si>
    <t>A Novel Deep Learning Algorithm for the Automatic Detection of High-Grade Gliomas on T2-Weighted Magnetic Resonance Images: A Preliminary Machine Learning Study</t>
  </si>
  <si>
    <t>AIM: To propose a convolutional neural network (CNN) for the automatic detection of high-grade gliomas (HGGs) on T2-weighted magnetic resonance imaging (MRI) scans. MATERIAL AND METHODS: A total of 3580 images obtained from 179 individuals were used for training and validation. After random rotation and vertical flip, training data was augmented by factor of 10 in each iteration. In order to increase data processing time, every single image converted into a Jpeg image which has a resolution of 320x320. Accuracy, precision and recall rates were calculated after training of the algorithm. RESULTS: Following training, CNN achieved acceptable performance ratios of 0.854 to 0.944 for accuracy, 0.812 to 0.980 for precision and 0.738 to 0.907 for recall. Also, CNN was able to detect HGG cases even though there is no apparent mass lesion in the given image. CONCLUSION: Our preliminary findings demonstrate; currently proposed CNN model achieves acceptable performance results for the automatic detection of HGGs on T2-weighted images.</t>
  </si>
  <si>
    <t>Turk Neurosurg</t>
  </si>
  <si>
    <t>10.1016/j.copbio.2018.06.002</t>
  </si>
  <si>
    <t>Uncovering the hidden half of plants using new advances in root phenotyping</t>
  </si>
  <si>
    <t>Major increases in crop yield are required to keep pace with population growth and climate change. Improvements to the architecture of crop roots promise to deliver increases in water and nutrient use efficiency but profiling the root phenome (i.e. its structure and function) represents a major bottleneck. We describe how advances in imaging and sensor technologies are making root phenomic studies possible. However, methodological advances in acquisition, handling and processing of the resulting 'big-data' is becoming increasingly important. Advances in automated image analysis approaches such as Deep Learning promise to transform the root phenotyping landscape. Collectively, these innovations are helping drive the selection of the next-generation of crops to deliver real world impact for ongoing global food security efforts.</t>
  </si>
  <si>
    <t>Curr Opin Biotechnol</t>
  </si>
  <si>
    <t>SegAE: Unsupervised white matter lesion segmentation from brain MRIs using a CNN autoencoder</t>
  </si>
  <si>
    <t>White matter hyperintensities (WMHs) of presumed vascular origin are frequently observed in magnetic resonance images (MRIs) of the elderly. Detection and quantification of WMHs is important to help doctors make diagnoses and evaluate prognosis of their elderly patients, and once quantified, these can act as biomarkers in clinical research studies. Manual delineation of WMHs can be both time-consuming and inconsistent, hence, automatic segmentation methods are often preferred. However, fully automatic methods can be challenging to construct due to the variability in lesion load, placement of lesions, and voxel intensities. Several state-of-the-art lesion segmentation methods based on supervised Convolutional Neural Networks (CNNs) have been proposed. These approaches require manually delineated lesions for training the parameters of the network. Here we present a novel approach for WMH segmentation using a CNN trained in an unsupervised manner, by reconstructing multiple MRI sequences as weighted sums of segmentations of WMHs and tissues present in the images. After training, our method can be used to segment new images that are not part of the training set to provide fast and robust segmentation of WMHs in a matter of seconds per subject. Comparisons with state-of-the-art WMH segmentation methods evaluated on ground truth manual labels from two distinct data sets and six different scanners indicate that the proposed method works well at generating accurate WMH segmentations without the need for manual delineations.</t>
  </si>
  <si>
    <t>Quantitative CMR population imaging on 20,000 subjects of the UK Biobank imaging study: LV/RV quantification pipeline and its evaluation</t>
  </si>
  <si>
    <t>Population imaging studies generate data for developing and implementing personalised health strategies to prevent, or more effectively treat disease. Large prospective epidemiological studies acquire imaging for pre-symptomatic populations. These studies enable the early discovery of alterations due to impending disease, and enable early identification of individuals at risk. Such studies pose new challenges requiring automatic image analysis. To date, few large-scale population-level cardiac imaging studies have been conducted. One such study stands out for its sheer size, careful implementation, and availability of top quality expert annotation; the UK Biobank (UKB). The resulting massive imaging datasets (targeting ca. 100,000 subjects) has put published approaches for cardiac image quantification to the test. In this paper, we present and evaluate a cardiac magnetic resonance (CMR) image analysis pipeline that properly scales up and can provide a fully automatic analysis of the UKB CMR study. Without manual user interactions, our pipeline performs end-to-end image analytics from multi-view cine CMR images all the way to anatomical and functional bi-ventricular quantification. All this, while maintaining relevant quality controls of the CMR input images, and resulting image segmentations. To the best of our knowledge, this is the first published attempt to fully automate the extraction of global and regional reference ranges of all key functional cardiovascular indexes, from both left and right cardiac ventricles, for a population of 20,000 subjects imaged at 50 time frames per subject, for a total of one million CMR volumes. In addition, our pipeline provides 3D anatomical bi-ventricular models of the heart. These models enable the extraction of detailed information of the morphodynamics of the two ventricles for subsequent association to genetic, omics, lifestyle habits, exposure information, and other information provided in population imaging studies. We validated our proposed CMR analytics pipeline against manual expert readings on a reference cohort of 4620 subjects with contour delineations and corresponding clinical indexes. Our results show broad significant agreement between the manually obtained reference indexes, and those automatically computed via our framework. 80.67% of subjects were processed with mean contour distance of less than 1 pixel, and 17.50% with mean contour distance between 1 and 2 pixels. Finally, we compare our pipeline with a recently published approach reporting on UKB data, and based on deep learning. Our comparison shows similar performance in terms of segmentation accuracy with respect to human experts.</t>
  </si>
  <si>
    <t>Prospective validation of a deep learning electrocardiogram algorithm for the detection of left ventricular systolic dysfunction</t>
  </si>
  <si>
    <t>OBJECTIVES: We sought to validate a deep learning algorithm designed to predict an ejection fraction (EF) less than or equal to 35% based on the 12-lead electrocardiogram (ECG) in a large prospective cohort. BACKGROUND: Patients undergoing routine ECG may have undetected left ventricular (LV) dysfunction that warrants further echocardiographic assessment. However, identification of these patients can be challenging. METHODS: We applied the algorithm to all ECGs interpreted by the Mayo Clinic ECG laboratory in September 2018. The performance of the algorithm was tested among patients with recent echocardiographic assessments of LV function. We also applied the algorithm in patients with no recent echocardiographic assessments of LV function to determine the rate of new positive screens. RESULTS: Among 16 056 adult patients who underwent routine ECG, 8600 (age 67.1 ± 15.2 years, 45.6% male), had a transthoracic echocardiogram (TTE) and 3874 patients had a TTE and ECG less than 1 month apart. Among these patients, the algorithm was able to detect an EF less than or equal to 35% with 86.8% specificity, 82.5% sensitivity, and 86.5% accuracy, (area under the curve, 0.918). Among 474 false-positives screens, 189 (39.8%) had an EF of 36% to 50%. Among patients with no prior TTE, the algorithm identified 3.5% of the patients with suspected EF less than or equal to 35%. Exploratory analysis suggests false positives could be reduced by assessing NT-pro-BNP after the initial positive screen. CONCLUSIONS: A deep learning algorithm detected depressed LV function with good accuracy in routine practice. Further studies are needed to validate the algorithm in patients with no prior echocardiogram and to assess the impact on echocardiography utilization, cost, and clinical outcomes.</t>
  </si>
  <si>
    <t>J Cardiovasc Electrophysiol</t>
  </si>
  <si>
    <t>Automatic Classification of Cancerous Tissue in Laserendomicroscopy Images of the Oral Cavity using Deep Learning</t>
  </si>
  <si>
    <t>Oral Squamous Cell Carcinoma (OSCC) is a common type of cancer of the oral epithelium. Despite their high impact on mortality, sufficient screening methods for early diagnosis of OSCC often lack accuracy and thus OSCCs are mostly diagnosed at a late stage. Early detection and accurate outline estimation of OSCCs would lead to a better curative outcome and a reduction in recurrence rates after surgical treatment. Confocal Laser Endomicroscopy (CLE) records sub-surface micro-anatomical images for in vivo cell structure analysis. Recent CLE studies showed great prospects for a reliable, real-time ultrastructural imaging of OSCC in situ. We present and evaluate a novel automatic approach for OSCC diagnosis using deep learning technologies on CLE images. The method is compared against textural feature-based machine learning approaches that represent the current state of the art. For this work, CLE image sequences (7894 images) from patients diagnosed with OSCC were obtained from 4 specific locations in the oral cavity, including the OSCC lesion. The present approach is found to outperform the state of the art in CLE image recognition with an area under the curve (AUC) of 0.96 and a mean accuracy of 88.3% (sensitivity 86.6%, specificity 90%).</t>
  </si>
  <si>
    <t>M. Aubreville, C. Knipfer, N. Oetter, C. Jaremenko, E. Rodner, J. Denzler, C. Bohr, H. Neumann, F. Stelzle and A. Maier</t>
  </si>
  <si>
    <t>Deep learning-based detection of motion artifacts in probe-based confocal laser endomicroscopy images</t>
  </si>
  <si>
    <t>PURPOSE: Probe-based confocal laser endomicroscopy (pCLE) is a subcellular in vivo imaging technique capable of producing images that enable diagnosis of malign structural modifications in epithelial tissue. Images acquired with pCLE are, however, often tainted by significant artifacts that impair diagnosis. This is especially detrimental for automated image analysis, which is why said images are often excluded from recognition pipelines. METHODS: We present an approach for the automatic detection of motion artifacts in pCLE images and apply this methodology to a data set of 15 thousand images of epithelial tissue acquired in the oral cavity and the vocal folds. The approach is based on transfer learning from intermediate endpoints within a pre-trained Inception v3 network with tailored preprocessing. For detection within the non-rectangular pCLE images, we perform pooling within the activation maps of the network and evaluate this at different network depths. RESULTS: We achieved area under the ROC curve values of 0.92 with the proposed method, compared to 0.80 for the best feature-based machine learning approach. Our overall accuracy with the presented approach is 94.8%. CONCLUSION: Over traditional machine learning approaches with state-of-the-art features, we achieved significantly improved overall performance.</t>
  </si>
  <si>
    <t>M. Aubreville, M. Stoeve, N. Oetter, M. Goncalves, C. Knipfer, H. Neumann, C. Bohr, F. Stelzle and A. Maier</t>
  </si>
  <si>
    <t>nanoTRON: a Picasso module for MLP-based classification of super-resolution data</t>
  </si>
  <si>
    <t>MOTIVATION: Classification of images is an essential task in higher-level analysis of biological data. By bypassing the diffraction limit of light, super-resolution microscopy opened up a new way to look at molecular details using light microscopy, producing large amounts of data with exquisite spatial detail. Statistical exploration of data usually needs initial classification, which is up to now often performed manually. RESULTS: We introduce nanoTRON, an interactive open-source tool, which allows super-resolution data classification based on image recognition. It extends the software package Picasso with the first deep learning tool with a graphic user interface. AVAILABILITY AND IMPLEMENTATION: nanoTRON is written in Python and freely available under the MIT license as a part of the software collection Picasso on GitHub (http://www.github.com/jungmannlab/picasso). All raw data can be obtained from the authors upon reasonable request. CONTACT: jungmann@biochem.mpg.de. SUPPLEMENTARY INFORMATION: Supplementary data are available at Bioinformatics online.</t>
  </si>
  <si>
    <t>Bioinformatics</t>
  </si>
  <si>
    <t>Artificial Intelligence in Cardiothoracic Radiology</t>
  </si>
  <si>
    <t>OBJECTIVE: The goal of this article is to examine some of the current cardiothoracic radiology applications of artificial intelligence in general and deep learning in particular. CONCLUSION: Artificial intelligence has been used for the analysis of medical images for decades. Recent advances in computer algorithms and hardware, coupled with the availability of larger labeled datasets, have brought about rapid advances in this field. Many of the more notable recent advances have been in the artificial intelligence subfield of deep learning.</t>
  </si>
  <si>
    <t>AJR Am J Roentgenol</t>
  </si>
  <si>
    <t>10.1007/s00066-020-01625-9</t>
  </si>
  <si>
    <t>Radiomics and deep learning in lung cancer</t>
  </si>
  <si>
    <t>Lung malignancies have been extensively characterized through radiomics and deep learning. By providing a three-dimensional characterization of the lesion, models based on radiomic features from computed tomography (CT) and positron-emission tomography (PET) have been developed to detect nodules, distinguish malignant from benign lesions, characterize their histology, stage, and genotype. Deep learning models have been applied to automatically segment organs at risk in lung cancer radiotherapy, stratify patients according to the risk for local and distant recurrence, and identify patients candidate for molecular targeted therapy and immunotherapy. Moreover, radiomics has also been applied successfully to predict side effects such as radiation- and immunotherapy-induced pneumonitis and differentiate lung injury from recurrence. Radiomics could also untap the potential for further use of the cone beam CT acquired for treatment image guidance, four-dimensional CT, and dose-volume data from radiotherapy treatment plans. Radiomics is expected to increasingly affect the clinical practice of treatment of lung tumors, optimizing the end-to-end diagnosis-treatment-follow-up chain. The main goal of this article is to provide an update on the current status of lung cancer radiomics.</t>
  </si>
  <si>
    <t>Strahlenther Onkol</t>
  </si>
  <si>
    <t>A combined deep-learning and deformable-model approach to fully automatic segmentation of the left ventricle in cardiac MRI</t>
  </si>
  <si>
    <t>Segmentation of the left ventricle (LV) from cardiac magnetic resonance imaging (MRI) datasets is an essential step for calculation of clinical indices such as ventricular volume and ejection fraction. In this work, we employ deep learning algorithms combined with deformable models to develop and evaluate a fully automatic LV segmentation tool from short-axis cardiac MRI datasets. The method employs deep learning algorithms to learn the segmentation task from the ground true data. Convolutional networks are employed to automatically detect the LV chamber in MRI dataset. Stacked autoencoders are used to infer the LV shape. The inferred shape is incorporated into deformable models to improve the accuracy and robustness of the segmentation. We validated our method using 45 cardiac MR datasets from the MICCAI 2009 LV segmentation challenge and showed that it outperforms the state-of-the art methods. Excellent agreement with the ground truth was achieved. Validation metrics, percentage of good contours, Dice metric, average perpendicular distance and conformity, were computed as 96.69%, 0.94, 1.81 mm and 0.86, versus those of 79.2-95.62%, 0.87-0.9, 1.76-2.97 mm and 0.67-0.78, obtained by other methods, respectively.</t>
  </si>
  <si>
    <t>M. R. Avendi, A. Kheradvar and H. Jafarkhani</t>
  </si>
  <si>
    <t>Automatic segmentation of the right ventricle from cardiac MRI using a learning-based approach</t>
  </si>
  <si>
    <t>PURPOSE: This study aims to accurately segment the right ventricle (RV) from cardiac MRI using a fully automatic learning-based method. METHODS: The proposed method uses deep learning algorithms, i.e., convolutional neural networks and stacked autoencoders, for automatic detection and initial segmentation of the RV chamber. The initial segmentation is then combined with the deformable models to improve the accuracy and robustness of the process. We trained our algorithm using 16 cardiac MRI datasets of the MICCAI 2012 RV Segmentation Challenge database and validated our technique using the rest of the dataset (32 subjects). RESULTS: An average Dice metric of 82.5% along with an average Hausdorff distance of 7.85 mm were achieved for all the studied subjects. Furthermore, a high correlation and level of agreement with the ground truth contours for end-diastolic volume (0.98), end-systolic volume (0.99), and ejection fraction (0.93) were observed. CONCLUSION: Our results show that deep learning algorithms can be effectively used for automatic segmentation of the RV. Computed quantitative metrics of our method outperformed that of the existing techniques participated in the MICCAI 2012 challenge, as reported by the challenge organizers. Magn Reson Med 78:2439-2448, 2017. © 2017 International Society for Magnetic Resonance in Medicine.</t>
  </si>
  <si>
    <t>Coarse-Fine Convolutional Deep-Learning Strategy for Human Activity Recognition</t>
  </si>
  <si>
    <t>In the last decade, deep learning techniques have further improved human activity recognition (HAR) performance on several benchmark datasets. This paper presents a novel framework to classify and analyze human activities. A new convolutional neural network (CNN) strategy is applied to a single user movement recognition using a smartphone. Three parallel CNNs are used for local feature extraction, and latter they are fused in the classification task stage. The whole CNN scheme is based on a feature fusion of a fine-CNN, a medium-CNN, and a coarse-CNN. A tri-axial accelerometer and a tri-axial gyroscope sensor embedded in a smartphone are used to record the acceleration and angle signals. Six human activities successfully classified are walking, walking-upstairs, walking-downstairs, sitting, standing and laying. Performance evaluation is presented for the proposed CNN.</t>
  </si>
  <si>
    <t>Sliding to predict: vision-based beating heart motion estimation by modeling temporal interactions</t>
  </si>
  <si>
    <t>PURPOSE: Technical advancements have been part of modern medical solutions as they promote better surgical alternatives that serve to the benefit of patients. Particularly with cardiovascular surgeries, robotic surgical systems enable surgeons to perform delicate procedures on a beating heart, avoiding the complications of cardiac arrest. This advantage comes with the price of having to deal with a dynamic target which presents technical challenges for the surgical system. In this work, we propose a solution for cardiac motion estimation. METHODS: Our estimation approach uses a variational framework that guarantees preservation of the complex anatomy of the heart. An advantage of our approach is that it takes into account different disturbances, such as specular reflections and occlusion events. This is achieved by performing a preprocessing step that eliminates the specular highlights and a predicting step, based on a conditional restricted Boltzmann machine, that recovers missing information caused by partial occlusions. RESULTS: We carried out exhaustive experimentations on two datasets, one from a phantom and the other from an in vivo procedure. The results show that our visual approach reaches an average minima in the order of magnitude of [Formula: see text] while preserving the heart's anatomical structure and providing stable values for the Jacobian determinant ranging from 0.917 to 1.015. We also show that our specular elimination approach reaches an accuracy of 99% compared to a ground truth. In terms of prediction, our approach compared favorably against two well-known predictors, NARX and EKF, giving the lowest average RMSE of 0.071. CONCLUSION: Our approach avoids the risks of using mechanical stabilizers and can also be effective for acquiring the motion of organs other than the heart, such as the lung or other deformable objects.</t>
  </si>
  <si>
    <t>A. I. Aviles-Rivero, S. M. Alsaleh and A. Casals</t>
  </si>
  <si>
    <t>Deep Learning for Validating and Estimating Resolution of Cryo-Electron Microscopy Density Maps (†)</t>
  </si>
  <si>
    <t>Cryo-electron microscopy (cryo-EM) is becoming the imaging method of choice for determining protein structures. Many atomic structures have been resolved based on an exponentially growing number of published three-dimensional (3D) high resolution cryo-EM density maps. However, the resolution value claimed for the reconstructed 3D density map has been the topic of scientific debate for many years. The Fourier Shell Correlation (FSC) is the currently accepted cryo-EM resolution measure, but it can be subjective, manipulated, and has its own limitations. In this study, we first propose supervised deep learning methods to extract representative 3D features at high, medium and low resolutions from simulated protein density maps and build classification models that objectively validate resolutions of experimental 3D cryo-EM maps. Specifically, we build classification models based on dense artificial neural network (DNN) and 3D convolutional neural network (3D CNN) architectures. The trained models can classify a given 3D cryo-EM density map into one of three resolution levels: high, medium, low. The preliminary DNN and 3D CNN models achieved 92.73% accuracy and 99.75% accuracy on simulated test maps, respectively. Applying the DNN and 3D CNN models to thirty experimental cryo-EM maps achieved an agreement of 60.0% and 56.7%, respectively, with the author published resolution value of the density maps. We further augment these previous techniques and present preliminary results of a 3D U-Net model for local resolution classification. The model was trained to perform voxel-wise classification of 3D cryo-EM density maps into one of ten resolution classes, instead of a single global resolution value. The U-Net model achieved 88.3% and 94.7% accuracy when evaluated on experimental maps with local resolutions determined by MonoRes and ResMap methods, respectively. Our results suggest deep learning can potentially improve the resolution evaluation process of experimental cryo-EM maps.</t>
  </si>
  <si>
    <t>T. K. Avramov, D. Vyenielo, J. Gomez-Blanco, S. Adinarayanan, J. Vargas and D. Si</t>
  </si>
  <si>
    <t>Molecules</t>
  </si>
  <si>
    <t>Deep learning with convolutional neural networks for identification of liver masses and hepatocellular carcinoma: A systematic review</t>
  </si>
  <si>
    <t>BACKGROUND: Artificial intelligence, such as convolutional neural networks (CNNs), has been used in the interpretation of images and the diagnosis of hepatocellular cancer (HCC) and liver masses. CNN, a machine-learning algorithm similar to deep learning, has demonstrated its capability to recognise specific features that can detect pathological lesions. AIM: To assess the use of CNNs in examining HCC and liver masses images in the diagnosis of cancer and evaluating the accuracy level of CNNs and their performance. METHODS: The databases PubMed, EMBASE, and the Web of Science and research books were systematically searched using related keywords. Studies analysing pathological anatomy, cellular, and radiological images on HCC or liver masses using CNNs were identified according to the study protocol to detect cancer, differentiating cancer from other lesions, or staging the lesion. The data were extracted as per a predefined extraction. The accuracy level and performance of the CNNs in detecting cancer or early stages of cancer were analysed. The primary outcomes of the study were analysing the type of cancer or liver mass and identifying the type of images that showed optimum accuracy in cancer detection. RESULTS: A total of 11 studies that met the selection criteria and were consistent with the aims of the study were identified. The studies demonstrated the ability to differentiate liver masses or differentiate HCC from other lesions (n = 6), HCC from cirrhosis or development of new tumours (n = 3), and HCC nuclei grading or segmentation (n = 2). The CNNs showed satisfactory levels of accuracy. The studies aimed at detecting lesions (n = 4), classification (n = 5), and segmentation (n = 2). Several methods were used to assess the accuracy of CNN models used. CONCLUSION: The role of CNNs in analysing images and as tools in early detection of HCC or liver masses has been demonstrated in these studies. While a few limitations have been identified in these studies, overall there was an optimal level of accuracy of the CNNs used in segmentation and classification of liver cancers images.</t>
  </si>
  <si>
    <t>S. A. Azer</t>
  </si>
  <si>
    <t>World J Gastrointest Oncol</t>
  </si>
  <si>
    <t>A deep spatiotemporal graph learning architecture for brain connectivity analysis</t>
  </si>
  <si>
    <t>In recent years, the conceptualisation of the brain as a connectome as summary measures derived from graph theory analyses, has become increasingly popular. Still, such approaches are inherently limited by the need to condense and simplify temporal fMRI dynamics and architecture into a purely spatial representation. We formulate a novel architecture based on Geometric Deep Learning which is specifically tailored to the one-step integration of spatial relationship between nodes and single-node temporal dynamics. We compare different spatiotemporal modelling mechanisms and demonstrate the effectiveness of our architecture in a binary prediction task based on a large homogeneous fMRI dataset made publicly available by the Human Connectome Project (HCP). As the idea of e.g. a dynamical network connectivity is beginning to make its way into the more mainstream toolset which neuroscientists commonly employ with neuroimaging data, our model can contribute to laying the groundwork for explicitly incorporating spatiotemporal information into every association and prediction problem in neuroscience.</t>
  </si>
  <si>
    <t>Deep Recurrent Neural Networks for Prostate Cancer Detection: Analysis of Temporal Enhanced Ultrasound</t>
  </si>
  <si>
    <t>Temporal enhanced ultrasound (TeUS), comprising the analysis of variations in backscattered signals from a tissue over a sequence of ultrasound frames, has been previously proposed as a new paradigm for tissue characterization. In this paper, we propose to use deep recurrent neural networks (RNN) to explicitly model the temporal information in TeUS. By investigating several RNN models, we demonstrate that long short-term memory (LSTM) networks achieve the highest accuracy in separating cancer from benign tissue in the prostate. We also present algorithms for in-depth analysis of LSTM networks. Our in vivo study includes data from 255 prostate biopsy cores of 157 patients. We achieve area under the curve, sensitivity, specificity, and accuracy of 0.96, 0.76, 0.98, and 0.93, respectively. Our result suggests that temporal modeling of TeUS using RNN can significantly improve cancer detection accuracy over previously presented works.</t>
  </si>
  <si>
    <t>S. Azizi, S. Bayat, P. Yan, A. Tahmasebi, J. T. Kwak, S. Xu, B. Turkbey, P. Choyke, P. Pinto, B. Wood, P. Mousavi and P. Abolmaesumi</t>
  </si>
  <si>
    <t>Detection and grading of prostate cancer using temporal enhanced ultrasound: combining deep neural networks and tissue mimicking simulations</t>
  </si>
  <si>
    <t>PURPOSE  : Temporal Enhanced Ultrasound (TeUS) has been proposed as a new paradigm for tissue characterization based on a sequence of ultrasound radio frequency (RF) data. We previously used TeUS to successfully address the problem of prostate cancer detection in the fusion biopsies. METHODS  : In this paper, we use TeUS to address the problem of grading prostate cancer in a clinical study of 197 biopsy cores from 132 patients. Our method involves capturing high-level latent features of TeUS with a deep learning approach followed by distribution learning to cluster aggressive cancer in a biopsy core. In this hypothesis-generating study, we utilize deep learning based feature visualization as a means to obtain insight into the physical phenomenon governing the interaction of temporal ultrasound with tissue. RESULTS  : Based on the evidence derived from our feature visualization, and the structure of tissue from digital pathology, we build a simulation framework for studying the physical phenomenon underlying TeUS-based tissue characterization. CONCLUSION  : Results from simulation and feature visualization corroborated with the hypothesis that micro-vibrations of tissue microstructure, captured by low-frequency spectral features of TeUS, can be used for detection of prostate cancer.</t>
  </si>
  <si>
    <t>S. Azizi, S. Bayat, P. Yan, A. Tahmasebi, G. Nir, J. T. Kwak, S. Xu, S. Wilson, K. A. Iczkowski, M. S. Lucia, L. Goldenberg, S. E. Salcudean, P. A. Pinto, B. Wood, P. Abolmaesumi and P. Mousavi</t>
  </si>
  <si>
    <t>Detection of prostate cancer using temporal sequences of ultrasound data: a large clinical feasibility study</t>
  </si>
  <si>
    <t>PURPOSE: This paper presents the results of a large study involving fusion prostate biopsies to demonstrate that temporal ultrasound can be used to accurately classify tissue labels identified in multi-parametric magnetic resonance imaging (mp-MRI) as suspicious for cancer. METHODS: We use deep learning to analyze temporal ultrasound data obtained from 255 cancer foci identified in mp-MRI. Each target is sampled in axial and sagittal planes. A deep belief network is trained to automatically learn the high-level latent features of temporal ultrasound data. A support vector machine classifier is then applied to differentiate cancerous versus benign tissue, verified by histopathology. Data from 32 targets are used for the training, while the remaining 223 targets are used for testing. RESULTS: Our results indicate that the distance between the biopsy target and the prostate boundary, and the agreement between axial and sagittal histopathology of each target impact the classification accuracy. In 84 test cores that are 5 mm or farther to the prostate boundary, and have consistent pathology outcomes in axial and sagittal biopsy planes, we achieve an area under the curve of 0.80. In contrast, all of these targets were labeled as moderately suspicious in mp-MR. CONCLUSION: Using temporal ultrasound data in a fusion prostate biopsy study, we achieved a high classification accuracy specifically for moderately scored mp-MRI targets. These targets are clinically common and contribute to the high false-positive rates associated with mp-MRI for prostate cancer detection. Temporal ultrasound data combined with mp-MRI have the potential to reduce the number of unnecessary biopsies in fusion biopsy settings.</t>
  </si>
  <si>
    <t>S. Azizi, F. Imani, S. Ghavidel, A. Tahmasebi, J. T. Kwak, S. Xu, B. Turkbey, P. Choyke, P. Pinto, B. Wood, P. Mousavi and P. Abolmaesumi</t>
  </si>
  <si>
    <t>Transfer learning from RF to B-mode temporal enhanced ultrasound features for prostate cancer detection</t>
  </si>
  <si>
    <t>PURPOSE: We present a method for prostate cancer (PCa) detection using temporal enhanced ultrasound (TeUS) data obtained either from radiofrequency (RF) ultrasound signals or B-mode images. METHODS: For the first time, we demonstrate that by applying domain adaptation and transfer learning methods, a tissue classification model trained on TeUS RF data (source domain) can be deployed for classification using TeUS B-mode data alone (target domain), where both data are obtained on the same ultrasound scanner. This is a critical step for clinical translation of tissue classification techniques that primarily rely on accessing RF data, since this imaging modality is not readily available on all commercial scanners in clinics. Proof of concept is provided for in vivo characterization of PCa using TeUS B-mode data, where different nonlinear processing filters in the pipeline of the RF to B-mode conversion result in a distribution shift between the two domains. RESULTS: Our in vivo study includes data obtained in MRI-guided targeted procedure for prostate biopsy. We achieve comparable area under the curve using TeUS RF and B-mode data for medium to large cancer tumor sizes in biopsy cores (&gt;4 mm). CONCLUSION: Our result suggests that the proposed adaptation technique is successful in reducing the divergence between TeUS RF and B-mode data.</t>
  </si>
  <si>
    <t>S. Azizi, P. Mousavi, P. Yan, A. Tahmasebi, J. T. Kwak, S. Xu, B. Turkbey, P. Choyke, P. Pinto, B. Wood and P. Abolmaesumi</t>
  </si>
  <si>
    <t>Toward a real-time system for temporal enhanced ultrasound-guided prostate biopsy</t>
  </si>
  <si>
    <t>PURPOSE: We have previously proposed temporal enhanced ultrasound (TeUS) as a new paradigm for tissue characterization. TeUS is based on analyzing a sequence of ultrasound data with deep learning and has been demonstrated to be successful for detection of cancer in ultrasound-guided prostate biopsy. Our aim is to enable the dissemination of this technology to the community for large-scale clinical validation. METHODS: In this paper, we present a unified software framework demonstrating near-real-time analysis of ultrasound data stream using a deep learning solution. The system integrates ultrasound imaging hardware, visualization and a deep learning back-end to build an accessible, flexible and robust platform. A client-server approach is used in order to run computationally expensive algorithms in parallel. We demonstrate the efficacy of the framework using two applications as case studies. First, we show that prostate cancer detection using near-real-time analysis of RF and B-mode TeUS data and deep learning is feasible. Second, we present real-time segmentation of ultrasound prostate data using an integrated deep learning solution. RESULTS: The system is evaluated for cancer detection accuracy on ultrasound data obtained from a large clinical study with 255 biopsy cores from 157 subjects. It is further assessed with an independent dataset with 21 biopsy targets from six subjects. In the first study, we achieve area under the curve, sensitivity, specificity and accuracy of 0.94, 0.77, 0.94 and 0.92, respectively, for the detection of prostate cancer. In the second study, we achieve an AUC of 0.85. CONCLUSION: Our results suggest that TeUS-guided biopsy can be potentially effective for the detection of prostate cancer.</t>
  </si>
  <si>
    <t>S. Azizi, N. Van Woudenberg, S. Sojoudi, M. Li, S. Xu, E. M. Abu Anas, P. Yan, A. Tahmasebi, J. T. Kwak, B. Turkbey, P. Choyke, P. Pinto, B. Wood, P. Mousavi and P. Abolmaesumi</t>
  </si>
  <si>
    <t>Spotlight on Neurotechnology: Reading Networks</t>
  </si>
  <si>
    <t>B. M. Babayan, R. Sarnaik and M. Zirlinger</t>
  </si>
  <si>
    <t>Neuron</t>
  </si>
  <si>
    <t>Knowledge-based automated planning with three-dimensional generative adversarial networks</t>
  </si>
  <si>
    <t>PURPOSE: To develop a knowledge-based automated planning pipeline that generates treatment plans without feature engineering, using deep neural network architectures for predicting three-dimensional (3D) dose. METHODS: Our knowledge-based automated planning (KBAP) pipeline consisted of a knowledge-based planning (KBP) method that predicts dose for a contoured computed tomography (CT) image followed by two optimization models that learn objective function weights and generate fluence-based plans, respectively. We developed a novel generative adversarial network (GAN)-based KBP approach, a 3D GAN model, which predicts dose for the full 3D CT image at once and accounts for correlations between adjacent CT slices. Baseline comparisons were made against two state-of-the-art deep learning-based KBP methods from the literature. We also developed an additional benchmark, a two-dimensional (2D) GAN model which predicts dose to each axial slice independently. For all models, we investigated the impact of multiplicatively scaling the predictions before optimization, such that the predicted dose distributions achieved all target clinical criteria. Each KBP model was trained on 130 previously delivered oropharyngeal treatment plans. Performance was tested on 87 out-of-sample previously delivered treatment plans. All KBAP plans were evaluated using clinical planning criteria and compared to their corresponding clinical plans. KBP prediction quality was assessed using dose-volume histogram (DVH) differences from the corresponding clinical plans. RESULTS: The best performing KBAP plans were generated using predictions from the 3D GAN model that were multiplicatively scaled. These plans satisfied 77% of all clinical criteria, compared to the clinical plans, which satisfied 67% of all criteria. In general, multiplicatively scaling predictions prior to optimization increased the fraction of clinical criteria satisfaction by 11% relative to the plans generated with nonscaled predictions. Additionally, these KBAP plans satisfied the same criteria as the clinical plans 84% and 8% more frequently as compared to the two benchmark methods, respectively. CONCLUSIONS: We developed the first knowledge-based automated planning framework using a 3D generative adversarial network for prediction. Our results, based on 217 oropharyngeal cancer treatment plans, demonstrated superior performance in satisfying clinical criteria and generated more realistic plans as compared to the previous state-of-the-art approaches.</t>
  </si>
  <si>
    <t>Deep Learning Natural Language Processing Successfully Predicts the Cerebrovascular Cause of Transient Ischemic Attack-Like Presentations</t>
  </si>
  <si>
    <t>Background and Purpose- Triaging of referrals to transient ischemic attack (TIA) clinics is aided by risk stratification. Deep learning-based natural language processing, a type of machine learning, may be able to assist with the prediction of cerebrovascular cause of TIA-like presentations from free-text information. Methods- Consecutive TIA clinic notes were retrieved from existing databases. Texts associated with cerebrovascular and noncerebrovascular diagnoses were preprocessed before classification experiments, using a variety of classifier models, based on only the free-text description of the history of presenting complaint. The primary outcome was area under the curve (AUC) of the receiver operator curve. The model with the greatest AUC was then used in classification experiments in which it was provided with additional clinical information. Results- Of the classifier models trialed on the history of presenting complaint, the convolutional neural network achieved the greatest predictive capability (AUC±SD; 81.9±2.0). The effects of additional clinical information on AUC were variable. The greatest AUC was achieved when the convolutional neural network was provided with the history of presenting complaint and magnetic resonance imaging report (88.3±3.6). Conclusions- Deep learning-based natural language processing, in particular convolutional neural networks, based on medical free-text, may prove effective in prediction of the cause of TIA-like presentations. Future research investigating the role of the application of deep learning-based natural language processing to the automated triaging of clinic referrals in TIA, and potentially other specialty areas, is indicated.</t>
  </si>
  <si>
    <t>S. Bacchi, L. Oakden-Rayner, T. Zerner, T. Kleinig, S. Patel and J. Jannes</t>
  </si>
  <si>
    <t>Stroke</t>
  </si>
  <si>
    <t>Deep learning in the detection of high-grade glioma recurrence using multiple MRI sequences: A pilot study</t>
  </si>
  <si>
    <t>The identification of high-grade glioma (HGG) progression may pose a diagnostic dilemma due to similar appearances of treatment-related changes (TRC) (e.g. pseudoprogression or radionecrosis). Deep learning (DL) may be able to assist with this task. MRI scans from consecutive patients with histologically confirmed HGG (grade 3 or 4) were reviewed. Scans for which recurrence or TRC was queried were followed up to determine whether the cases indicated recurrence/progression or TRC. Identified cases were randomly split into training and testing sets (80%/20%). Following development on the training set, classification experiments using convolutional neural networks (CNN) were then conducted using models based on each of diffusion weighted imaging (DWI - isotropic diffusion map), apparent diffusion coefficient (ADC), FLAIR and post-contrast T1 sequences. The sequence that achieved the highest accuracy on the test set was then used to develop DL models in which multiple sequences were combined. MRI scans from 55 patients were included in the study (70.1% progression/recurrence). 54.5% of the randomly allocated test set had progression/recurrence. Based upon DWI sequences the CNN achieved an accuracy of 0.73 (F1 score = 0.67). The model based on the DWI+FLAIR sequences in combination achieved an accuracy of 0.82 (F1 score = 0.86). The results of this study support similar studies that have shown that machine learning, in particular DL, may be useful in distinguishing progression/recurrence from TRC. Further studies examining the accuracy of DL models, including magnetic resonance perfusion (MRP) and magnetic resonance spectroscopy (MRS), with larger sample sizes may be beneficial.</t>
  </si>
  <si>
    <t>J Clin Neurosci</t>
  </si>
  <si>
    <t>Fully automated 3D segmentation and separation of multiple cervical vertebrae in CT images using a 2D convolutional neural network</t>
  </si>
  <si>
    <t>BACKGROUND AND OBJECTIVE: We investigated a novel method using a 2D convolutional neural network (CNN) to identify superior and inferior vertebrae in a single slice of CT images, and a post-processing for 3D segmentation and separation of cervical vertebrae. METHODS: The cervical spines of patients (N == 17, 1684 slices) from Severance and Gangnam Severance Hospitals (S/GSH) and healthy controls (N == 24, 3490 slices) from Seoul National University Bundang Hospital (SNUBH) were scanned by using various volumetric CT protocols. To prepare gold standard masks of cervical spine in CT images, each spine was segmented by using conventional image-processing methods and manually corrected by an expert. The gold standard masks were preprocessed and labeled into superior and inferior cervical vertebrae separately in the axial slices. The 2D U-Net model was trained by using the disease dataset (S/GSH) and additional validation was performed by using the healthy control dataset (SNUBH), and then the training and validation were repeated by switching the two datasets. RESULTS: In case of the model was trained with the disease dataset (S/GSH) and validated with the healthy control (SNUBH), the mean and standard deviation (SD) of the Dice similarity coefficient (DSC), Jaccard similarity coefficient (JSC), mean surface distance (MSD), and Hausdorff surface distance (HSD) were 94.37%% ± 1.45%, 89.47%% ± 2.55%, 0.33 ± 0.12 mm and 20.89 ± 3.98 mm, and 88.67%% ± 5.82%, 80.83%% ± 8.09%, 1.05 ± 0.63 mm and 29.17 ± 19.74 mm, respectively. In case of the model was trained with the healthy control (SNUBH) and validated with the disease dataset (S/GSH), the mean and SD of DSC, JSC, MSD, and HSD were 96.23%% ± 1.55%, 92.95%% ± 2.58%, 0.39 ± 0.20 mm and 16.23 ± 6.72 mm, and 93.15%% ± 3.09%, 87.54%% ± 5.11%, 0.38 ± 0.17 mm and 20.85 ± 7.11 mm, respectively. CONCLUSIONS: The results demonstrated that our fully automated method achieved comparable accuracies with inter- and intra-observer variabilities of manual segmentation by human experts, which is time consuming.</t>
  </si>
  <si>
    <t>A Perlin Noise-Based Augmentation Strategy for Deep Learning with Small Data Samples of HRCT Images</t>
  </si>
  <si>
    <t>Deep learning is now widely used as an efficient tool for medical image classification and segmentation. However, conventional machine learning techniques are still more accurate than deep learning when only a small dataset is available. In this study, we present a general data augmentation strategy using Perlin noise, applying it to pixel-by-pixel image classification and quantification of various kinds of image patterns of diffuse interstitial lung disease (DILD). Using retrospectively obtained high-resolution computed tomography (HRCT) images from 106 patients, 100 regions-of-interest (ROIs) for each of six classes of image patterns (normal, ground-glass opacity, reticular opacity, honeycombing, emphysema, and consolidation) were selected for deep learning classification by experienced thoracic radiologists. For extra-validation, the deep learning quantification of the six classification patterns was evaluated for 92 HRCT whole lung images for which hand-labeled segmentation masks created by two experienced radiologists were available. FusionNet, a convolutional neural network (CNN), was used for training, test, and extra-validation on classifications of DILD image patterns. The accuracy of FusionNet with data augmentation using Perlin noise (89.5%, 49.8%, and 55.0% for ROI-based classification and whole lung quantifications by two radiologists, respectively) was significantly higher than that with conventional data augmentation (82.1%, 45.7%, and 49.9%, respectively). This data augmentation strategy using Perlin noise could be widely applied to deep learning studies for image classification and segmentation, especially in cases with relatively small datasets.</t>
  </si>
  <si>
    <t>H. J. Bae, C. W. Kim, N. Kim, B. Park, N. Kim, J. B. Seo and S. M. Lee</t>
  </si>
  <si>
    <t>Robust performance of deep learning for distinguishing glioblastoma from single brain metastasis using radiomic features: model development and validation</t>
  </si>
  <si>
    <t>We evaluated the diagnostic performance and generalizability of traditional machine learning and deep learning models for distinguishing glioblastoma from single brain metastasis using radiomics. The training and external validation cohorts comprised 166 (109 glioblastomas and 57 metastases) and 82 (50 glioblastomas and 32 metastases) patients, respectively. Two-hundred-and-sixty-five radiomic features were extracted from semiautomatically segmented regions on contrast-enhancing and peritumoral T2 hyperintense masks and used as input data. For each of a deep neural network (DNN) and seven traditional machine learning classifiers combined with one of five feature selection methods, hyperparameters were optimized through tenfold cross-validation in the training cohort. The diagnostic performance of the optimized models and two neuroradiologists was tested in the validation cohort for distinguishing glioblastoma from metastasis. In the external validation, DNN showed the highest diagnostic performance, with an area under receiver operating characteristic curve (AUC), sensitivity, specificity, and accuracy of 0.956 (95% confidence interval [CI], 0.918-0.990), 90.6% (95% CI, 80.5-100), 88.0% (95% CI, 79.0-97.0), and 89.0% (95% CI, 82.3-95.8), respectively, compared to the best-performing traditional machine learning model (adaptive boosting combined with tree-based feature selection; AUC, 0.890 (95% CI, 0.823-0.947)) and human readers (AUC, 0.774 [95% CI, 0.685-0.852] and 0.904 [95% CI, 0.852-0.951]). The results demonstrated deep learning using radiomic features can be useful for distinguishing glioblastoma from metastasis with good generalizability.</t>
  </si>
  <si>
    <t>Deep segmentation networks predict survival of non-small cell lung cancer</t>
  </si>
  <si>
    <t>Non-small-cell lung cancer (NSCLC) represents approximately 80-85% of lung cancer diagnoses and is the leading cause of cancer-related death worldwide. Recent studies indicate that image-based radiomics features from positron emission tomography/computed tomography (PET/CT) images have predictive power for NSCLC outcomes. To this end, easily calculated functional features such as the maximum and the mean of standard uptake value (SUV) and total lesion glycolysis (TLG) are most commonly used for NSCLC prognostication, but their prognostic value remains controversial. Meanwhile, convolutional neural networks (CNN) are rapidly emerging as a new method for cancer image analysis, with significantly enhanced predictive power compared to hand-crafted radiomics features. Here we show that CNNs trained to perform the tumor segmentation task, with no other information than physician contours, identify a rich set of survival-related image features with remarkable prognostic value. In a retrospective study on pre-treatment PET-CT images of 96 NSCLC patients before stereotactic-body radiotherapy (SBRT), we found that the CNN segmentation algorithm (U-Net) trained for tumor segmentation in PET and CT images, contained features having strong correlation with 2- and 5-year overall and disease-specific survivals. The U-Net algorithm has not seen any other clinical information (e.g. survival, age, smoking history, etc.) than the images and the corresponding tumor contours provided by physicians. In addition, we observed the same trend by validating the U-Net features against an extramural data set provided by Stanford Cancer Institute. Furthermore, through visualization of the U-Net, we also found convincing evidence that the regions of metastasis and recurrence appear to match with the regions where the U-Net features identified patterns that predicted higher likelihoods of death. We anticipate our findings will be a starting point for more sophisticated non-intrusive patient specific cancer prognosis determination. For example, the deep learned PET/CT features can not only predict survival but also visualize high-risk regions within or adjacent to the primary tumor and hence potentially impact therapeutic outcomes by optimal selection of therapeutic strategy or first-line therapy adjustment.</t>
  </si>
  <si>
    <t>Automated differentiation of benign renal oncocytoma and chromophobe renal cell carcinoma on computed tomography using deep learning</t>
  </si>
  <si>
    <t>OBJECTIVES: To develop and evaluate the feasibility of an objective method using artificial intelligence (AI) and image processing in a semi-automated fashion for tumour-to-cortex peak early-phase enhancement ratio (PEER) in order to differentiate CD117(+) oncocytoma from the chromophobe subtype of renal cell carcinoma (ChRCC) using convolutional neural networks (CNNs) on computed tomography imaging. METHODS: The CNN was trained and validated to identify the kidney + tumour areas in images from 192 patients. The tumour type was differentiated through automated measurement of PEER after manual segmentation of tumours. The performance of this diagnostic model was compared with that of manual expert identification and tumour pathology with regard to accuracy, sensitivity and specificity, along with the root-mean-square error (RMSE), for the remaining 20 patients with CD117(+) oncocytoma or ChRCC. RESULTS: The mean ± sd Dice similarity score for segmentation was 0.66 ± 0.14 for the CNN model to identify the kidney + tumour areas. PEER evaluation achieved accuracy of 95% in tumour type classification (100% sensitivity and 89% specificity) compared with the final pathology results (RMSE of 0.15 for PEER ratio). CONCLUSIONS: We have shown that deep learning could help to produce reliable discrimination of CD117(+) benign oncocytoma and malignant ChRCC through PEER measurements obtained by computer vision.</t>
  </si>
  <si>
    <t>BJU Int</t>
  </si>
  <si>
    <t>Technical and Clinical Factors Affecting Success Rate of a Deep Learning Method for Pancreas Segmentation on CT</t>
  </si>
  <si>
    <t>PURPOSE: Accurate pancreas segmentation has application in surgical planning, assessment of diabetes, and detection and analysis of pancreatic tumors. Factors that affect pancreas segmentation accuracy have not been previously reported. The purpose of this study is to identify technical and clinical factors that adversely affect the accuracy of pancreas segmentation on CT. METHOD AND MATERIALS: In this IRB and HIPAA compliant study, a deep convolutional neural network was used for pancreas segmentation in a publicly available archive of 82 portal-venous phase abdominal CT scans of 53 men and 29 women. The accuracies of the segmentations were evaluated by the Dice similarity coefficient (DSC). The DSC was then correlated with demographic and clinical data (age, gender, height, weight, body mass index), CT technical factors (image pixel size, slice thickness, presence or absence of oral contrast), and CT imaging findings (volume and attenuation of pancreas, visceral abdominal fat, and CT attenuation of the structures within a 5 mm neighborhood of the pancreas). RESULTS: The average DSC was 78% ± 8%. Factors that were statistically significantly correlated with DSC included body mass index (r = 0.34, p &lt; 0.01), visceral abdominal fat (r = 0.51, p &lt; 0.0001), volume of the pancreas (r = 0.41, p = 0.001), standard deviation of CT attenuation within the pancreas (r = 0.30, p = 0.01), and median and average CT attenuation in the immediate neighborhood of the pancreas (r = -0.53, p &lt; 0.0001 and r = -0.52, p &lt; 0.0001). There were no significant correlations between the DSC and the height, gender, or mean CT attenuation of the pancreas. CONCLUSION: Increased visceral abdominal fat and accumulation of fat within or around the pancreas are major factors associated with more accurate segmentation of the pancreas. Potential applications of our findings include assessment of pancreas segmentation difficulty of a particular scan or dataset and identification of methods that work better for more challenging pancreas segmentations.</t>
  </si>
  <si>
    <t>Acad Radiol</t>
  </si>
  <si>
    <t>Artificial intelligence and amniotic fluid multiomics: prediction of perinatal outcome in asymptomatic women with short cervix</t>
  </si>
  <si>
    <t>OBJECTIVE: To evaluate the application of artificial intelligence (AI), i.e. deep learning and other machine-learning techniques, to amniotic fluid (AF) metabolomics and proteomics, alone and in combination with sonographic, clinical and demographic factors, in the prediction of perinatal outcome in asymptomatic pregnant women with short cervical length (CL). METHODS: AF samples, which had been obtained in the second trimester from asymptomatic women with short CL (&lt; 15 mm) identified on transvaginal ultrasound, were analyzed. CL, funneling and the presence of AF 'sludge' were assessed in all cases close to the time of amniocentesis. A combination of liquid chromatography coupled with mass spectrometry and proton nuclear magnetic resonance spectroscopy-based metabolomics, as well as targeted proteomics analysis, including chemokines, cytokines and growth factors, was performed on the AF samples. To determine the robustness of the markers, we used six different machine-learning techniques, including deep learning, to predict preterm delivery &lt; 34 weeks, latency period prior to delivery &lt; 28 days after amniocentesis and requirement for admission to a neonatal intensive care unit (NICU). Omics biomarkers were evaluated alone and in combination with standard sonographic, clinical and demographic factors to predict outcome. Predictive accuracy was assessed using the area under the receiver-operating characteristics curve (AUC) with 95% CI, sensitivity and specificity. RESULTS: Of the 32 patients included in the study, complete omics, demographic and clinical data and outcome information were available for 26. Of these, 11 (42.3%) patients delivered ≥ 34 weeks, while 15 (57.7%) delivered &lt; 34 weeks. There was no statistically significant difference in CL between these two groups (mean ± SD, 11.2 ± 4.4 mm vs 8.9 ± 5.3 mm, P = 0.31). Using combined omics, demographic and clinical data, deep learning displayed good to excellent performance, with an AUC (95% CI) of 0.890 (0.810-0.970) for delivery &lt; 34 weeks' gestation, 0.890 (0.790-0.990) for delivery &lt; 28 days post-amniocentesis and 0.792 (0.689-0.894) for NICU admission. These values were higher overall than for the other five machine-learning methods, although each individual machine-learning technique yielded statistically significant prediction of the different perinatal outcomes. CONCLUSIONS: This is the first study to report use of AI with AF proteomics and metabolomics and ultrasound assessment in pregnancy. Machine learning, particularly deep learning, achieved good to excellent prediction of perinatal outcome in asymptomatic pregnant women with short CL in the second trimester. Copyright © 2018 ISUOG. Published by John Wiley &amp; Sons Ltd.</t>
  </si>
  <si>
    <t>Ultrasound Obstet Gynecol</t>
  </si>
  <si>
    <t>Automated selection of myocardial inversion time with a convolutional neural network: Spatial temporal ensemble myocardium inversion network (STEMI-NET)</t>
  </si>
  <si>
    <t>PURPOSE: Delayed enhancement imaging is an essential component of cardiac MRI, which is used widely for the evaluation of myocardial scar and viability. The selection of an optimal inversion time (TI) or null point (TI(NP) ) to suppress the background myocardial signal is required. The purpose of this study was to assess the feasibility of automated selection of TI(NP) using a convolutional neural network (CNN). We hypothesized that a CNN may use spatial and temporal imaging characteristics from an inversion-recovery scout to select TI(NP) , without the aid of a human observer. METHODS: We retrospectively collected 425 clinically acquired cardiac MRI exams performed at 1.5 T that included inversion-recovery scout acquisitions. We developed a VGG19 classifier ensembled with long short-term memory to identify the TI(NP) . We compared the performance of the ensemble CNN in predicting TI(NP) against ground truth, using linear regression analysis. Ground truth was defined as the expert physician annotation of the optimal TI. In a backtrack approach, saliency maps were generated to interpret the classification outcome and to increase the model's transparency. RESULTS: Prediction of TI(NP) from our ensemble VGG19 long short-term memory closely matched with expert annotation (ρ = 0.88). Ninety-four percent of the predicted TI(NP) were within ±36 ms, and 83% were at or after expert TI selection. CONCLUSION: In this study, we show that a CNN is capable of automated prediction of myocardial TI from an inversion-recovery experiment. Merging the spatial and temporal characteristics of the VGG-19 and long short-term-memory CNN structures appears to be sufficient to predict myocardial TI from TI scout.</t>
  </si>
  <si>
    <t>Automated cardiovascular magnetic resonance image analysis with fully convolutional networks</t>
  </si>
  <si>
    <t>BACKGROUND: Cardiovascular resonance (CMR) imaging is a standard imaging modality for assessing cardiovascular diseases (CVDs), the leading cause of death globally. CMR enables accurate quantification of the cardiac chamber volume, ejection fraction and myocardial mass, providing information for diagnosis and monitoring of CVDs. However, for years, clinicians have been relying on manual approaches for CMR image analysis, which is time consuming and prone to subjective errors. It is a major clinical challenge to automatically derive quantitative and clinically relevant information from CMR images. METHODS: Deep neural networks have shown a great potential in image pattern recognition and segmentation for a variety of tasks. Here we demonstrate an automated analysis method for CMR images, which is based on a fully convolutional network (FCN). The network is trained and evaluated on a large-scale dataset from the UK Biobank, consisting of 4,875 subjects with 93,500 pixelwise annotated images. The performance of the method has been evaluated using a number of technical metrics, including the Dice metric, mean contour distance and Hausdorff distance, as well as clinically relevant measures, including left ventricle (LV) end-diastolic volume (LVEDV) and end-systolic volume (LVESV), LV mass (LVM); right ventricle (RV) end-diastolic volume (RVEDV) and end-systolic volume (RVESV). RESULTS: By combining FCN with a large-scale annotated dataset, the proposed automated method achieves a high performance in segmenting the LV and RV on short-axis CMR images and the left atrium (LA) and right atrium (RA) on long-axis CMR images. On a short-axis image test set of 600 subjects, it achieves an average Dice metric of 0.94 for the LV cavity, 0.88 for the LV myocardium and 0.90 for the RV cavity. The mean absolute difference between automated measurement and manual measurement is 6.1 mL for LVEDV, 5.3 mL for LVESV, 6.9 gram for LVM, 8.5 mL for RVEDV and 7.2 mL for RVESV. On long-axis image test sets, the average Dice metric is 0.93 for the LA cavity (2-chamber view), 0.95 for the LA cavity (4-chamber view) and 0.96 for the RA cavity (4-chamber view). The performance is comparable to human inter-observer variability. CONCLUSIONS: We show that an automated method achieves a performance on par with human experts in analysing CMR images and deriving clinically relevant measures.</t>
  </si>
  <si>
    <t>W. Bai, M. Sinclair, G. Tarroni, O. Oktay, M. Rajchl, G. Vaillant, A. M. Lee, N. Aung, E. Lukaschuk, M. M. Sanghvi, F. Zemrak, K. Fung, J. M. Paiva, V. Carapella, Y. J. Kim, H. Suzuki, B. Kainz, P. M. Matthews, S. E. Petersen, S. K. Piechnik, S. Neubauer, B. Glocker and D. Rueckert</t>
  </si>
  <si>
    <t>J Cardiovasc Magn Reson</t>
  </si>
  <si>
    <t>Deep Learning Approaches Towards Skin Lesion Segmentation and Classification from Dermoscopic Images - A Review</t>
  </si>
  <si>
    <t>BACKGROUND: Automated intelligent systems for unbiased diagnosis are primary requirement for the pigment lesion analysis. It has gained the attention of researchers in the last few decades. These systems involve multiple phases such as pre-processing, feature extraction, segmentation, classification and post processing. It is crucial to accurately localize and segment the skin lesion. It is observed that recent enhancements in machine learning algorithms and dermoscopic techniques reduced the misclassification rate therefore, the focus towards computer aided systems increased exponentially in recent years. Computer aided diagnostic systems are reliable source for dermatologists to analyze the type of cancer, but it is widely acknowledged that even higher accuracy is needed for computer aided diagnostic systems to be adopted practically in the diagnostic process of life threatening diseases. INTRODUCTION: Skin cancer is one of the most threatening cancers. It occurs by the abnormal multiplication of cells. The core three types of skin cells are: Squamous, Basal and Melanocytes. There are two wide classes of skin cancer; Melanocytic and non-Melanocytic. It is difficult to differentiate between benign and malignant melanoma, therefore dermatologists sometimes misclassify the benign and malignant melanoma. Melanoma is estimated as 19th most frequent cancer, it is riskier than the Basel and Squamous carcinoma because it rapidly spreads throughout the body. Hence, to lower the death risk, it is critical to diagnose the correct type of cancer in early rudimentary phases. It can occur on any part of body, but it has higher probability to occur on chest, back and legs. METHODS: The paper presents a review of segmentation and classification techniques for skin lesion detection. Dermoscopy and its features are discussed briefly. After that Image pre-processing techniques are described. A thorough review of segmentation and classification phases of skin lesion detection using deep learning techniques is presented Literature is discussed and a comparative analysis of discussed methods is presented. CONCLUSION: In this paper, we have presented the survey of more than 100 papers and comparative analysis of state of the art techniques, model and methodologies. Malignant melanoma is one of the most threating and deadliest cancers. Since the last few decades, researchers are putting extra attention and effort in accurate diagnosis of melanoma. The main challenges of dermoscopic skin lesion images are: low contrasts, multiple lesions, irregular and fuzzy borders, blood vessels, regression, hairs, bubbles, variegated coloring and other kinds of distortions. The lack of large training dataset makes these problems even more challenging. Due to recent advancement in the paradigm of deep learning, and specially the outstanding performance in medical imaging, it has become important to review the deep learning algorithms performance in skin lesion segmentation. Here, we have discussed the results of different techniques on the basis of different evaluation parameters such as Jaccard coefficient, sensitivity, specificity and accuracy. And the paper listed down the major achievements in this domain with the detailed discussion of the techniques. In future, it is expected to improve results by utilizing the capabilities of deep learning frameworks with other pre and post processing techniques so reliable and accurate diagnostic systems can be built.</t>
  </si>
  <si>
    <t>Two-stage framework for optic disc localization and glaucoma classification in retinal fundus images using deep learning</t>
  </si>
  <si>
    <t>BACKGROUND: With the advancement of powerful image processing and machine learning techniques, Computer Aided Diagnosis has become ever more prevalent in all fields of medicine including ophthalmology. These methods continue to provide reliable and standardized large scale screening of various image modalities to assist clinicians in identifying diseases. Since optic disc is the most important part of retinal fundus image for glaucoma detection, this paper proposes a two-stage framework that first detects and localizes optic disc and then classifies it into healthy or glaucomatous. METHODS: The first stage is based on Regions with Convolutional Neural Network (RCNN) and is responsible for localizing and extracting optic disc from a retinal fundus image while the second stage uses Deep Convolutional Neural Network to classify the extracted disc into healthy or glaucomatous. Unfortunately, none of the publicly available retinal fundus image datasets provides any bounding box ground truth required for disc localization. Therefore, in addition to the proposed solution, we also developed a rule-based semi-automatic ground truth generation method that provides necessary annotations for training RCNN based model for automated disc localization. RESULTS: The proposed method is evaluated on seven publicly available datasets for disc localization and on ORIGA dataset, which is the largest publicly available dataset with healthy and glaucoma labels, for glaucoma classification. The results of automatic localization mark new state-of-the-art on six datasets with accuracy reaching 100% on four of them. For glaucoma classification we achieved Area Under the Receiver Operating Characteristic Curve equal to 0.874 which is 2.7% relative improvement over the state-of-the-art results previously obtained for classification on ORIGA dataset. CONCLUSION: Once trained on carefully annotated data, Deep Learning based methods for optic disc detection and localization are not only robust, accurate and fully automated but also eliminates the need for dataset-dependent heuristic algorithms. Our empirical evaluation of glaucoma classification on ORIGA reveals that reporting only Area Under the Curve, for datasets with class imbalance and without pre-defined train and test splits, does not portray true picture of the classifier's performance and calls for additional performance metrics to substantiate the results.</t>
  </si>
  <si>
    <t>M. N. Bajwa, M. I. Malik, S. A. Siddiqui, A. Dengel, F. Shafait, W. Neumeier and S. Ahmed</t>
  </si>
  <si>
    <t>BMC Med Inform Decis Mak</t>
  </si>
  <si>
    <t>Automated markerless pose estimation in freely moving macaques with OpenMonkeyStudio</t>
  </si>
  <si>
    <t>The rhesus macaque is an important model species in several branches of science, including neuroscience, psychology, ethology, and medicine. The utility of the macaque model would be greatly enhanced by the ability to precisely measure behavior in freely moving conditions. Existing approaches do not provide sufficient tracking. Here, we describe OpenMonkeyStudio, a deep learning-based markerless motion capture system for estimating 3D pose in freely moving macaques in large unconstrained environments. Our system makes use of 62 machine vision cameras that encircle an open 2.45 m × 2.45 m × 2.75 m enclosure. The resulting multiview image streams allow for data augmentation via 3D-reconstruction of annotated images to train a robust view-invariant deep neural network. This view invariance represents an important advance over previous markerless 2D tracking approaches, and allows fully automatic pose inference on unconstrained natural motion. We show that OpenMonkeyStudio can be used to accurately recognize actions and track social interactions.</t>
  </si>
  <si>
    <t>Nat Commun</t>
  </si>
  <si>
    <t>Accounting for data variability in multi-institutional distributed deep learning for medical imaging</t>
  </si>
  <si>
    <t>OBJECTIVES: Sharing patient data across institutions to train generalizable deep learning models is challenging due to regulatory and technical hurdles. Distributed learning, where model weights are shared instead of patient data, presents an attractive alternative. Cyclical weight transfer (CWT) has recently been demonstrated as an effective distributed learning method for medical imaging with homogeneous data across institutions. In this study, we optimize CWT to overcome performance losses from variability in training sample sizes and label distributions across institutions. MATERIALS AND METHODS: Optimizations included proportional local training iterations, cyclical learning rate, locally weighted minibatch sampling, and cyclically weighted loss. We evaluated our optimizations on simulated distributed diabetic retinopathy detection and chest radiograph classification. RESULTS: Proportional local training iteration mitigated performance losses from sample size variability, achieving 98.6% of the accuracy attained by centrally hosting in the diabetic retinopathy dataset split with highest sample size variance across institutions. Locally weighted minibatch sampling and cyclically weighted loss both mitigated performance losses from label distribution variability, achieving 98.6% and 99.1%, respectively, of the accuracy attained by centrally hosting in the diabetic retinopathy dataset split with highest label distribution variability across institutions. DISCUSSION: Our optimizations to CWT improve its capability of handling data variability across institutions. Compared to CWT without optimizations, CWT with optimizations achieved performance significantly closer to performance from centrally hosting. CONCLUSION: Our work is the first to identify and address challenges of sample size and label distribution variability in simulated distributed deep learning for medical imaging. Future work is needed to address other sources of real-world data variability.</t>
  </si>
  <si>
    <t>N. Balachandar, K. Chang, J. Kalpathy-Cramer and D. L. Rubin</t>
  </si>
  <si>
    <t>J Am Med Inform Assoc</t>
  </si>
  <si>
    <t>Corrigendum to: Accounting for data variability in multi-institutional distributed deep learning for medical imaging</t>
  </si>
  <si>
    <t>Fully automated organ segmentation in male pelvic CT images</t>
  </si>
  <si>
    <t>Accurate segmentation of prostate and surrounding organs at risk is important for prostate cancer radiotherapy treatment planning. We present a fully automated workflow for male pelvic CT image segmentation using deep learning. The architecture consists of a 2D organ volume localization network followed by a 3D segmentation network for volumetric segmentation of prostate, bladder, rectum, and femoral heads. We used a multi-channel 2D U-Net followed by a 3D U-Net with encoding arm modified with aggregated residual networks, known as ResNeXt. The models were trained and tested on a pelvic CT image dataset comprising 136 patients. Test results show that 3D U-Net based segmentation achieves mean (±SD) Dice coefficient values of 90 (±2.0)%, 96 (±3.0)%, 95 (±1.3)%, 95 (±1.5)%, and 84 (±3.7)% for prostate, left femoral head, right femoral head, bladder, and rectum, respectively, using the proposed fully automated segmentation method.</t>
  </si>
  <si>
    <t>A. Balagopal, S. Kazemifar, D. Nguyen, M. H. Lin, R. Hannan, A. Owrangi and S. Jiang</t>
  </si>
  <si>
    <t>AdaEn-Net: An ensemble of adaptive 2D-3D Fully Convolutional Networks for medical image segmentation</t>
  </si>
  <si>
    <t>Fully Convolutional Networks (FCNs) have emerged as powerful segmentation models but are usually designed manually, which requires extensive time and can result in large and complex architectures. There is a growing interest to automatically design efficient architectures that can accurately segment 3D medical images. However, most approaches either do not fully exploit volumetric information or do not optimize the model's size. To address these problems, we propose a self-adaptive 2D-3D ensemble of FCNs called AdaEn-Net for 3D medical image segmentation that incorporates volumetric data and adapts to a particular dataset by optimizing both the model's performance and size. The AdaEn-Net consists of a 2D FCN that extracts intra-slice information and a 3D FCN that exploits inter-slice information. The architecture and hyperparameters of the 2D and 3D architectures are found through a multiobjective evolutionary based algorithm that maximizes the expected segmentation accuracy and minimizes the number of parameters in the network. The main contribution of this work is a model that fully exploits volumetric information and automatically searches for a high-performing and efficient architecture. The AdaEn-Net was evaluated for prostate segmentation on the PROMISE12 Grand Challenge and for cardiac segmentation on the MICCAI ACDC challenge. In the first challenge, the AdaEn-Net ranks 9 out of 297 submissions and surpasses the performance of an automatically-generated segmentation network while producing an architecture with 13× fewer parameters. In the second challenge, the proposed model is ranked within the top 8 submissions and outperforms an architecture designed with reinforcement learning while having 1.25× fewer parameters.</t>
  </si>
  <si>
    <t>A Deep Learning Framework for Design and Analysis of Surgical Bioprosthetic Heart Valves</t>
  </si>
  <si>
    <t>Bioprosthetic heart valves (BHVs) are commonly used as heart valve replacements but they are prone to fatigue failure; estimating their remaining life directly from medical images is difficult. Analyzing the valve performance can provide better guidance for personalized valve design. However, such analyses are often computationally intensive. In this work, we introduce the concept of deep learning (DL) based finite element analysis (DLFEA) to learn the deformation biomechanics of bioprosthetic aortic valves directly from simulations. The proposed DL framework can eliminate the time-consuming biomechanics simulations, while predicting valve deformations with the same fidelity. We present statistical results that demonstrate the high performance of the DLFEA framework and the applicability of the framework to predict bioprosthetic aortic valve deformations. With further development, such a tool can provide fast decision support for designing surgical bioprosthetic aortic valves. Ultimately, this framework could be extended to other BHVs and improve patient care.</t>
  </si>
  <si>
    <t>Detection of mass regions in mammograms by bilateral analysis adapted to breast density using similarity indexes and convolutional neural networks</t>
  </si>
  <si>
    <t>BACKGROUND AND OBJECTIVE: The processing of medical image is an important tool to assist in minimizing the degree of uncertainty of the specialist, while providing specialists with an additional source of detect and diagnosis information. Breast cancer is the most common type of cancer that affects the female population around the world. It is also the most deadly type of cancer among women. It is the second most common type of cancer among all others. The most common examination to diagnose breast cancer early is mammography. In the last decades, computational techniques have been developed with the purpose of automatically detecting structures that maybe associated with tumors in mammography examination. This work presents a computational methodology to automatically detection of mass regions in mammography by using a convolutional neural network. METHODS: The materials used in this work is the DDSM database. The method proposed consists of two phases: training phase and test phase. The training phase has 2 main steps: (1) create a model to classify breast tissue into dense and non-dense (2) create a model to classify regions of breast into mass and non-mass. The test phase has 7 step: (1) preprocessing; (2) registration; (3) segmentation; (4) first reduction of false positives; (5) preprocessing of regions segmented; (6) density tissue classification (7) second reduction of false positives where regions will be classified into mass and non-mass. RESULTS: The proposed method achieved 95.6% of accuracy in classify non-dense breasts tissue and 97,72% accuracy in classify dense breasts. To detect regions of mass in non-dense breast, the method achieved a sensitivity value of 91.5%, and specificity value of 90.7%, with 91% accuracy. To detect regions in dense breasts, our method achieved 90.4% of sensitivity and 96.4% of specificity, with accuracy of 94.8%. CONCLUSIONS: According to the results achieved by CNN, we demonstrate the feasibility of using convolutional neural networks on medical image processing techniques for classification of breast tissue and mass detection.</t>
  </si>
  <si>
    <t>J. O. Bandeira Diniz, P. H. Bandeira Diniz, T. L. Azevedo Valente, A. Corrêa Silva, A. C. de Paiva and M. Gattass</t>
  </si>
  <si>
    <t>Automatic inference of BI-RADS final assessment categories from narrative mammography report findings</t>
  </si>
  <si>
    <t>We propose an efficient natural language processing approach for inferring the BI-RADS final assessment categories by analyzing only the mammogram findings reported by the mammographer in narrative form. The proposed hybrid method integrates semantic term embedding with distributional semantics, producing a context-aware vector representation of unstructured mammography reports. A large corpus of unannotated mammography reports (300,000) was used to learn the context of the key-terms using a distributional semantics approach, and the trained model was applied to generate context-aware vector representations of the reports annotated with BI-RADS category (22,091). The vectorized reports were utilized to train a supervised classifier to derive the BI-RADS assessment class. Even though the majority of the proposed embedding pipeline is unsupervised, the classifier was able to recognize substantial semantic information for deriving the BI-RADS categorization not only on a holdout internal testset and also on an external validation set (1900 reports). Our proposed method outperforms a recently published domain-specific rule-based system and could be relevant for evaluating concordance between radiologists. With minimal requirement for task specific customization, the proposed method can be easily transferable to a different domain to support large scale text mining or derivation of patient phenotype.</t>
  </si>
  <si>
    <t>J Biomed Inform</t>
  </si>
  <si>
    <t>Transfer learning on fused multiparametric MR images for classifying histopathological subtypes of rhabdomyosarcoma</t>
  </si>
  <si>
    <t>This paper presents a deep-learning-based CADx for the differential diagnosis of embryonal (ERMS) and alveolar (ARMS) subtypes of rhabdomysarcoma (RMS) solely by analyzing multiparametric MR images. We formulated an automated pipeline that creates a comprehensive representation of tumor by performing a fusion of diffusion-weighted MR scans (DWI) and gadolinium chelate-enhanced T1-weighted MR scans (MRI). Finally, we adapted transfer learning approach where a pre-trained deep convolutional neural network has been fine-tuned based on the fused images for performing classification of the two RMS subtypes. We achieved 85% cross validation prediction accuracy from the fine-tuned deep CNN model. Our system can be exploited to provide a fast, efficient and reproducible diagnosis of RMS subtypes with less human interaction. The framework offers an efficient integration between advanced image processing methods and cutting-edge deep learning techniques which can be extended to deal with other clinical domains that involve multimodal imaging for disease diagnosis.</t>
  </si>
  <si>
    <t>I. Banerjee, A. Crawley, M. Bhethanabotla, H. E. Daldrup-Link and D. L. Rubin</t>
  </si>
  <si>
    <t>Prediction of age-related macular degeneration disease using a sequential deep learning approach on longitudinal SD-OCT imaging biomarkers</t>
  </si>
  <si>
    <t>We propose a hybrid sequential prediction model called Deep Sequence, integrating radiomics-engineered imaging features, demographic, and visual factors, with a recursive neural network (RNN) model in the same platform to predict the risk of exudation within a future time-frame in non-exudative AMD eyes. The proposed model provides scores associated with risk of exudation in the short term (within 3 months) and long term (within 21 months), handling challenges related to variability of OCT scan characteristics and the size of the training cohort. We used a retrospective clinical trial dataset that includes 671 AMD fellow eyes with 13,954 observations before any signs of exudation for training and validation in a tenfold cross validation setting. Deep Sequence achieved high performance for the prediction of exudation within 3 months (0.96 ± 0.02 AUCROC) and within 21 months (0.97 ± 0.02 AUCROC) on cross-validation. Training the proposed model on this clinical trial dataset and testing it on an external real-world clinical dataset showed high performance for the prediction within 3-months (0.82 AUCROC) but a clear decrease in performance for the prediction within 21-months (0.68 AUCROC). While performance differences at longer time intervals may be derived from dataset differences, we believe that the high performance and generalizability achieved in short-term predictions may have a high clinical impact allowing for optimal patient follow-up, adding the possibility of more frequent, detailed screening and tailored treatments for those patients with imminent risk of exudation.</t>
  </si>
  <si>
    <t>Comparative effectiveness of convolutional neural network (CNN) and recurrent neural network (RNN) architectures for radiology text report classification</t>
  </si>
  <si>
    <t>This paper explores cutting-edge deep learning methods for information extraction from medical imaging free text reports at a multi-institutional scale and compares them to the state-of-the-art domain-specific rule-based system - PEFinder and traditional machine learning methods - SVM and Adaboost. We proposed two distinct deep learning models - (i) CNN Word - Glove, and (ii) Domain phrase attention-based hierarchical recurrent neural network (DPA-HNN), for synthesizing information on pulmonary emboli (PE) from over 7370 clinical thoracic computed tomography (CT) free-text radiology reports collected from four major healthcare centers. Our proposed DPA-HNN model encodes domain-dependent phrases into an attention mechanism and represents a radiology report through a hierarchical RNN structure composed of word-level, sentence-level and document-level representations. Experimental results suggest that the performance of the deep learning models that are trained on a single institutional dataset, are better than rule-based PEFinder on our multi-institutional test sets. The best F1 score for the presence of PE in an adult patient population was 0.99 (DPA-HNN) and for a pediatrics population was 0.99 (HNN) which shows that the deep learning models being trained on adult data, demonstrated generalizability to pediatrics population with comparable accuracy. Our work suggests feasibility of broader usage of neural network models in automated classification of multi-institutional imaging text reports for a variety of applications including evaluation of imaging utilization, imaging yield, clinical decision support tools, and as part of automated classification of large corpus for medical imaging deep learning work.</t>
  </si>
  <si>
    <t>I. Banerjee, Y. Ling, M. C. Chen, S. A. Hasan, C. P. Langlotz, N. Moradzadeh, B. Chapman, T. Amrhein, D. Mong, D. L. Rubin, O. Farri and M. P. Lungren</t>
  </si>
  <si>
    <t>A novel fully automated MRI-based deep-learning method for classification of IDH mutation status in brain gliomas</t>
  </si>
  <si>
    <t>BACKGROUND: Isocitrate dehydrogenase (IDH) mutation status has emerged as an important prognostic marker in gliomas. Currently, reliable IDH mutation determination requires invasive surgical procedures. The purpose of this study was to develop a highly accurate, MRI-based, voxelwise deep-learning IDH classification network using T2-weighted (T2w) MR images and compare its performance to a multicontrast network. METHODS: Multiparametric brain MRI data and corresponding genomic information were obtained for 214 subjects (94 IDH-mutated, 120 IDH wild-type) from The Cancer Imaging Archive and The Cancer Genome Atlas. Two separate networks were developed, including a T2w image-only network (T2-net) and a multicontrast (T2w, fluid attenuated inversion recovery, and T1 postcontrast) network (TS-net) to perform IDH classification and simultaneous single label tumor segmentation. The networks were trained using 3D Dense-UNets. Three-fold cross-validation was performed to generalize the networks' performance. Receiver operating characteristic analysis was also performed. Dice scores were computed to determine tumor segmentation accuracy. RESULTS: T2-net demonstrated a mean cross-validation accuracy of 97.14% ± 0.04 in predicting IDH mutation status, with a sensitivity of 0.97 ± 0.03, specificity of 0.98 ± 0.01, and an area under the curve (AUC) of 0.98 ± 0.01. TS-net achieved a mean cross-validation accuracy of 97.12% ± 0.09, with a sensitivity of 0.98 ± 0.02, specificity of 0.97 ± 0.001, and an AUC of 0.99 ± 0.01. The mean whole tumor segmentation Dice scores were 0.85 ± 0.009 for T2-net and 0.89 ± 0.006 for TS-net. CONCLUSION: We demonstrate high IDH classification accuracy using only T2-weighted MR images. This represents an important milestone toward clinical translation.</t>
  </si>
  <si>
    <t>Neuro Oncol</t>
  </si>
  <si>
    <t>The temporal evolution of conceptual object representations revealed through models of behavior, semantics and deep neural networks</t>
  </si>
  <si>
    <t>Visual object representations are commonly thought to emerge rapidly, yet it has remained unclear to what extent early brain responses reflect purely low-level visual features of these objects and how strongly those features contribute to later categorical or conceptual representations. Here, we aimed to estimate a lower temporal bound for the emergence of conceptual representations by defining two criteria that characterize such representations: 1) conceptual object representations should generalize across different exemplars of the same object, and 2) these representations should reflect high-level behavioral judgments. To test these criteria, we compared magnetoencephalography (MEG) recordings between two groups of participants (n = 16 per group) exposed to different exemplar images of the same object concepts. Further, we disentangled low-level from high-level MEG responses by estimating the unique and shared contribution of models of behavioral judgments, semantics, and different layers of deep neural networks of visual object processing. We find that 1) both generalization across exemplars as well as generalization of object-related signals across time increase after 150 ms, peaking around 230 ms; 2) representations specific to behavioral judgments emerged rapidly, peaking around 160 ms. Collectively, these results suggest a lower bound for the emergence of conceptual object representations around 150 ms following stimulus onset.</t>
  </si>
  <si>
    <t>B. B. Bankson, M. N. Hebart, I. I. A. Groen and C. I. Baker</t>
  </si>
  <si>
    <t>A methodological approach for deep learning to distinguish between meningiomas and gliomas on canine MR-images</t>
  </si>
  <si>
    <t>BACKGROUND: Distinguishing between meningeal-based and intra-axial lesions by means of magnetic resonance (MR) imaging findings may occasionally be challenging. Meningiomas and gliomas account for most of the total primary brain neoplasms in dogs, and differentiating between these two forms is mandatory in choosing the correct therapy. The aims of the present study are: 1) to determine the accuracy of a deep convolutional neural network (CNN, GoogleNet) in discriminating between meningiomas and gliomas in pre- and post-contrast T1 images and T2 images; 2) to develop an image classifier, based on the combination of CNN and MRI sequence displaying the highest accuracy, to predict whether a lesion is a meningioma or a glioma. RESULTS: Eighty cases with a final diagnosis of meningioma (n = 56) and glioma (n = 24) from two different institutions were included in the study. A pre-trained CNN was retrained on our data through a process called transfer learning. To evaluate CNN accuracy in the different imaging sequences, the dataset was divided into a training, a validation and a test set. The accuracy of the CNN was calculated on the test set. The combination between post-contrast T1 images and CNN was chosen in developing the image classifier (trCNN). Ten images from challenging cases were excluded from the database in order to test trCNN accuracy; the trCNN was trained on the remainder of the dataset of post-contrast T1 images, and correctly classified all the selected images. To compensate for the imbalance between meningiomas and gliomas in the dataset, the Matthews correlation coefficient (MCC) was also calculated. The trCNN showed an accuracy of 94% (MCC = 0.88) on post-contrast T1 images, 91% (MCC = 0.81) on pre-contrast T1-images and 90% (MCC = 0.8) on T2 images. CONCLUSIONS: The developed trCNN could be a reliable tool in distinguishing between different meningiomas and gliomas from MR images.</t>
  </si>
  <si>
    <t>T. Banzato, M. Bernardini, G. B. Cherubini and A. Zotti</t>
  </si>
  <si>
    <t>BMC Vet Res</t>
  </si>
  <si>
    <t>Accuracy of deep learning to differentiate the histopathological grading of meningiomas on MR images: A preliminary study</t>
  </si>
  <si>
    <t>BACKGROUND: Grading of meningiomas is important in the choice of the most effective treatment for each patient. PURPOSE: To determine the diagnostic accuracy of a deep convolutional neural network (DCNN) in the differentiation of the histopathological grading of meningiomas from MR images. STUDY TYPE: Retrospective. POPULATION: In all, 117 meningioma-affected patients, 79 World Health Organization [WHO] Grade I, 32 WHO Grade II, and 6 WHO Grade III. FIELD STRENGTH/SEQUENCE: 1.5 T, 3.0 T postcontrast enhanced T(1) W (PCT(1) W), apparent diffusion coefficient (ADC) maps (b values of 0, 500, and 1000 s/mm(2) ). ASSESSMENT: WHO Grade II and WHO Grade III meningiomas were considered a single category. The diagnostic accuracy of the pretrained Inception-V3 and AlexNet DCNNs was tested on ADC maps and PCT(1) W images separately. Receiver operating characteristic curves (ROC) and area under the curve (AUC) were used to asses DCNN performance. STATISTICAL TEST: Leave-one-out cross-validation. RESULTS: The application of the Inception-V3 DCNN on ADC maps provided the best diagnostic accuracy results, with an AUC of 0.94 (95% confidence interval [CI], 0.88-0.98). Remarkably, only 1/38 WHO Grade II-III and 7/79 WHO Grade I lesions were misclassified by this model. The application of AlexNet on ADC maps had a low discriminating accuracy, with an AUC of 0.68 (95% CI, 0.59-0.76) and a high misclassification rate on both WHO Grade I and WHO Grade II-III cases. The discriminating accuracy of both DCNNs on postcontrast T(1) W images was low, with Inception-V3 displaying an AUC of 0.68 (95% CI, 0.59-0.76) and AlexNet displaying an AUC of 0.55 (95% CI, 0.45-0.64). DATA CONCLUSION: DCNNs can accurately discriminate between benign and atypical/anaplastic meningiomas from ADC maps but not from PCT(1) W images. LEVEL OF EVIDENCE: 2 Technical Efficacy: Stage 2 J. Magn. Reson. Imaging 2019;50:1152-1159.</t>
  </si>
  <si>
    <t>J Magn Reson Imaging</t>
  </si>
  <si>
    <t>Convolutional Sparse Coding for Compressed Sensing CT Reconstruction</t>
  </si>
  <si>
    <t>Over the past few years, dictionary learning (DL)-based methods have been successfully used in various image reconstruction problems. However, the traditional DL-based computed tomography (CT) reconstruction methods are patch-based and ignore the consistency of pixels in overlapped patches. In addition, the features learned by these methods always contain shifted versions of the same features. In recent years, convolutional sparse coding (CSC) has been developed to address these problems. In this paper, inspired by several successful applications of CSC in the field of signal processing, we explore the potential of CSC in sparse-view CT reconstruction. By directly working on the whole image, without the necessity of dividing the image into overlapped patches in DL-based methods, the proposed methods can maintain more details and avoid artifacts caused by patch aggregation. With predetermined filters, an alternating scheme is developed to optimize the objective function. Extensive experiments with simulated and real CT data were performed to validate the effectiveness of the proposed methods. The qualitative and quantitative results demonstrate that the proposed methods achieve better performance than the several existing state-of-the-art methods.</t>
  </si>
  <si>
    <t>3D Randomized Connection Network with Graph-based Label Inference</t>
  </si>
  <si>
    <t>In this paper, a novel 3D deep learning network is proposed for brain MR image segmentation with randomized connection, which can decrease the dependency between layers and increase the network capacity. The convolutional LSTM and 3D convolution are employed as network units to capture the long-term and short-term 3D properties respectively. To assemble these two kinds of spatial-temporal information and refine the deep learning outcomes, we further introduce an efficient graph-based node selection and label inference method. Experiments have been carried out on two publicly available databases and results demonstrate that the proposed method can obtain competitive performances as compared with other state-of-the-art methods.</t>
  </si>
  <si>
    <t>S. Bao, P. Wang, T. C. W. Mok and A. C. S. Chung</t>
  </si>
  <si>
    <t>IEEE Trans Image Process</t>
  </si>
  <si>
    <t>SpeckleGAN: a generative adversarial network with an adaptive speckle layer to augment limited training data for ultrasound image processing</t>
  </si>
  <si>
    <t>PURPOSE: In the field of medical image analysis, deep learning methods gained huge attention over the last years. This can be explained by their often improved performance compared to classic explicit algorithms. In order to work well, they need large amounts of annotated data for supervised learning, but these are often not available in the case of medical image data. One way to overcome this limitation is to generate synthetic training data, e.g., by performing simulations to artificially augment the dataset. However, simulations require domain knowledge and are limited by the complexity of the underlying physical model. Another method to perform data augmentation is the generation of images by means of neural networks. METHODS: We developed a new algorithm for generation of synthetic medical images exhibiting speckle noise via generative adversarial networks (GANs). Key ingredient is a speckle layer, which can be incorporated into a neural network in order to add realistic and domain-dependent speckle. We call the resulting GAN architecture SpeckleGAN. RESULTS: We compared our new approach to an equivalent GAN without speckle layer. SpeckleGAN was able to generate ultrasound images with very crisp speckle patterns in contrast to the baseline GAN, even for small datasets of 50 images. SpeckleGAN outperformed the baseline GAN by up to 165 % with respect to the Fréchet Inception distance. For artery layer and lumen segmentation, a performance improvement of up to 4 % was obtained for small datasets, when these were augmented with images by SpeckleGAN. CONCLUSION: SpeckleGAN facilitates the generation of realistic synthetic ultrasound images to augment small training sets for deep learning based image processing. Its application is not restricted to ultrasound images but could be used for every imaging methodology that produces images with speckle such as optical coherence tomography or radar.</t>
  </si>
  <si>
    <t>Deep Synthesis of Realistic Medical Images: A Novel Tool in Clinical Research and Training</t>
  </si>
  <si>
    <t>Making clinical decisions based on medical images is fundamentally an exercise in statistical decision-making. This is because in this case, the decision-maker must distinguish between image features that are clinically diagnostic (i.e., signal) from a large amount of non-diagnostic features. (i.e., noise). To perform this task, the decision-maker must have learned the underlying statistical distributions of the signal and noise to begin with. The same is true for machine learning algorithms that perform a given diagnostic task. In order to train and test human experts or expert machine systems in any diagnostic or analytical task, it is advisable to use large sets of images, so as to capture the underlying statistical distributions adequately. Large numbers of images are also useful in clinical and scientific research about the underlying diagnostic process, which remains poorly understood. Unfortunately, it is often difficult to obtain medical images of given specific descriptions in sufficiently large numbers. This represents a significant barrier to progress in the arenas of clinical care, education, and research. Here we describe a novel methodology that helps overcome this barrier. This method leverages the burgeoning technologies of deep learning (DL) and deep synthesis (DS) to synthesize medical images de novo. We provide a proof-of-principle of this approach using mammograms as an illustrative case. During the initial, prerequisite DL phase of the study, we trained a publicly available deep learning neural network (DNN), using open-sourced, radiologically vetted mammograms as labeled examples. During the subsequent DS phase of the study, the fully trained DNN was made to synthesize, de novo, images that capture the image statistics of a given input image. The resulting images indicated that our DNN was able to faithfully capture the image statistics of visually diverse sets of mammograms. We also briefly outline rigorous psychophysical testing methods to measure the extent to which synthesized mammography were sufficiently alike their original counterparts to human experts. These tests reveal that mammography experts fail to distinguish synthesized mammograms from their original counterparts at a statistically significant level, suggesting that the synthesized images were sufficiently realistic. Taken together, these results demonstrate that deep synthesis has the potential to be impactful in all fields in which medical images play a key role, most notably in radiology and pathology.</t>
  </si>
  <si>
    <t>E. Bart and J. Hegdé</t>
  </si>
  <si>
    <t>Front Neuroinform</t>
  </si>
  <si>
    <t>[Digital Image Processing and Deep Neural Networks in Ophthalmology - Current Trends]</t>
  </si>
  <si>
    <t>The use of deep neural networks (deep learning) creates new possibilities in digital image processing. This approach has been widely applied and successfully used for the evaluation of image data in ophthalmology. In this article, the methodological approach of deep learning is examined and compared to the classical approach for digital image processing. The differences between the approaches are discussed and the increasingly important role of training data for model generation is explained. Furthermore, the approach of transfer learning for deep learning is presented with a representative data set from the field of corneal confocal microscopy. In this context, the advantages of the method and the specific problems when dealing with medical microscope data will be discussed.</t>
  </si>
  <si>
    <t>Klin Monbl Augenheilkd</t>
  </si>
  <si>
    <t>Automated classification of Alzheimer's disease and mild cognitive impairment using a single MRI and deep neural networks</t>
  </si>
  <si>
    <t>We built and validated a deep learning algorithm predicting the individual diagnosis of Alzheimer's disease (AD) and mild cognitive impairment who will convert to AD (c-MCI) based on a single cross-sectional brain structural MRI scan. Convolutional neural networks (CNNs) were applied on 3D T1-weighted images from ADNI and subjects recruited at our Institute (407 healthy controls [HC], 418 AD, 280 c-MCI, 533 stable MCI [s-MCI]). CNN performance was tested in distinguishing AD, c-MCI and s-MCI. High levels of accuracy were achieved in all the classifications, with the highest rates achieved in the AD vs HC classification tests using both the ADNI dataset only (99%) and the combined ADNI + non-ADNI dataset (98%). CNNs discriminated c-MCI from s-MCI patients with an accuracy up to 75% and no difference between ADNI and non-ADNI images. CNNs provide a powerful tool for the automatic individual patient diagnosis along the AD continuum. Our method performed well without any prior feature engineering and regardless the variability of imaging protocols and scanners, demonstrating that it is exploitable by not-trained operators and likely to be generalizable to unseen patient data. CNNs may accelerate the adoption of structural MRI in routine practice to help assessment and management of patients.</t>
  </si>
  <si>
    <t>S. Basaia, F. Agosta, L. Wagner, E. Canu, G. Magnani, R. Santangelo and M. Filippi</t>
  </si>
  <si>
    <t>Opening the black box of machine learning in radiology: can the proximity of annotated cases be a way?</t>
  </si>
  <si>
    <t>Machine learning (ML) and deep learning (DL) systems, currently employed in medical image analysis, are data-driven models often considered as black boxes. However, improved transparency is needed to translate automated decision-making to clinical practice. To this aim, we propose a strategy to open the black box by presenting to the radiologist the annotated cases (ACs) proximal to the current case (CC), making decision rationale and uncertainty more explicit. The ACs, used for training, validation, and testing in supervised methods and for validation and testing in the unsupervised ones, could be provided as support of the ML/DL tool. If the CC is localised in a classification space and proximal ACs are selected by proper metrics, the latter ones could be shown in their original form of images, enriched with annotation to radiologists, thus allowing immediate interpretation of the CC classification. Moreover, the density of ACs in the CC neighbourhood, their image saliency maps, classification confidence, demographics, and clinical information would be available to radiologists. Thus, encrypted information could be transmitted to radiologists, who will know model output (what) and salient image regions (where) enriched by ACs, providing classification rationale (why). Summarising, if a classifier is data-driven, let us make its interpretation data-driven too.</t>
  </si>
  <si>
    <t>Eur Radiol Exp</t>
  </si>
  <si>
    <t>Convolution neural network-based Alzheimer's disease classification using hybrid enhanced independent component analysis based segmented gray matter of T2 weighted magnetic resonance imaging with clinical valuation</t>
  </si>
  <si>
    <t>In recent times, accurate and early diagnosis of Alzheimer's disease (AD) plays a vital role in patient care and further treatment. Predicting AD from mild cognitive impairment (MCI) and cognitive normal (CN) has become popular. Neuroimaging and computer-aided diagnosis techniques are used for classification of AD by physicians in the early stage. Most of the previous machine learning techniques work on handpicked features. In the recent days, deep learning has been applied for many medical image applications. Existing deep learning systems work on raw magnetic resonance imaging (MRI) images and cortical surface as an input to the convolution neural network (CNN) to perform classification of AD. AD affects the brain volume and changes the gray matter texture. In our work, we used 1820 T2-weighted brain magnetic resonance volumes including 635 AD MRIs, 548 MCI MRIs, and 637 CN MRIs, sliced into 18,017 voxels. We proposed an approach to extract the gray matter from brain voxels and perform the classification using the CNN. A Gaussian filter is used to enhance the voxels, and skull stripping algorithm is used to remove the irrelevant tissues from enhanced voxels. Then, those voxels are segmented by hybrid enhanced independent component analysis. Segmented gray matter is used as an input to the CNN. We performed clinical valuation using our proposed approach and achieved 90.47% accuracy, 86.66% of recall, and 92.59% precision.</t>
  </si>
  <si>
    <t>S. Basheera and M. S. Sai Ram</t>
  </si>
  <si>
    <t>Alzheimers Dement (N Y)</t>
  </si>
  <si>
    <t>MRI signatures of brain age and disease over the lifespan based on a deep brain network and 14 468 individuals worldwide</t>
  </si>
  <si>
    <t>Deep learning has emerged as a powerful approach to constructing imaging signatures of normal brain ageing as well as of various neuropathological processes associated with brain diseases. In particular, MRI-derived brain age has been used as a comprehensive biomarker of brain health that can identify both advanced and resilient ageing individuals via deviations from typical brain ageing. Imaging signatures of various brain diseases, including schizophrenia and Alzheimer's disease, have also been identified using machine learning. Prior efforts to derive these indices have been hampered by the need for sophisticated and not easily reproducible processing steps, by insufficiently powered or diversified samples from which typical brain ageing trajectories were derived, and by limited reproducibility across populations and MRI scanners. Herein, we develop and test a sophisticated deep brain network (DeepBrainNet) using a large (n = 11 729) set of MRI scans from a highly diversified cohort spanning different studies, scanners, ages and geographic locations around the world. Tests using both cross-validation and a separate replication cohort of 2739 individuals indicate that DeepBrainNet obtains robust brain-age estimates from these diverse datasets without the need for specialized image data preparation and processing. Furthermore, we show evidence that moderately fit brain ageing models may provide brain age estimates that are most discriminant of individuals with pathologies. This is not unexpected as tightly-fitting brain age models naturally produce brain-age estimates that offer little information beyond age, and loosely fitting models may contain a lot of noise. Our results offer some experimental evidence against commonly pursued tightly-fitting models. We show that the moderately fitting brain age models obtain significantly higher differentiation compared to tightly-fitting models in two of the four disease groups tested. Critically, we demonstrate that leveraging DeepBrainNet, along with transfer learning, allows us to construct more accurate classifiers of several brain diseases, compared to directly training classifiers on patient versus healthy control datasets or using common imaging databases such as ImageNet. We, therefore, derive a domain-specific deep network likely to reduce the need for application-specific adaptation and tuning of generic deep learning networks. We made the DeepBrainNet model freely available to the community for MRI-based evaluation of brain health in the general population and over the lifespan.</t>
  </si>
  <si>
    <t>Brain</t>
  </si>
  <si>
    <t>Automatic segmentation of multiple cardiovascular structures from cardiac computed tomography angiography images using deep learning</t>
  </si>
  <si>
    <t>OBJECTIVES: To develop, demonstrate and evaluate an automated deep learning method for multiple cardiovascular structure segmentation. BACKGROUND: Segmentation of cardiovascular images is resource-intensive. We design an automated deep learning method for the segmentation of multiple structures from Coronary Computed Tomography Angiography (CCTA) images. METHODS: Images from a multicenter registry of patients that underwent clinically-indicated CCTA were used. The proximal ascending and descending aorta (PAA, DA), superior and inferior vena cavae (SVC, IVC), pulmonary artery (PA), coronary sinus (CS), right ventricular wall (RVW) and left atrial wall (LAW) were annotated as ground truth. The U-net-derived deep learning model was trained, validated and tested in a 70:20:10 split. RESULTS: The dataset comprised 206 patients, with 5.130 billion pixels. Mean age was 59.9 ± 9.4 yrs., and was 42.7% female. An overall median Dice score of 0.820 (0.782, 0.843) was achieved. Median Dice scores for PAA, DA, SVC, IVC, PA, CS, RVW and LAW were 0.969 (0.979, 0.988), 0.953 (0.955, 0.983), 0.937 (0.934, 0.965), 0.903 (0.897, 0.948), 0.775 (0.724, 0.925), 0.720 (0.642, 0.809), 0.685 (0.631, 0.761) and 0.625 (0.596, 0.749) respectively. Apart from the CS, there were no significant differences in performance between sexes or age groups. CONCLUSIONS: An automated deep learning model demonstrated segmentation of multiple cardiovascular structures from CCTA images with reasonable overall accuracy when evaluated on a pixel level.</t>
  </si>
  <si>
    <t>Identification and Quantification of Cardiovascular Structures From CCTA: An End-to-End, Rapid, Pixel-Wise, Deep-Learning Method</t>
  </si>
  <si>
    <t>OBJECTIVES: This study designed and evaluated an end-to-end deep learning solution for cardiac segmentation and quantification. BACKGROUND: Segmentation of cardiac structures from coronary computed tomography angiography (CCTA) images is laborious. We designed an end-to-end deep-learning solution. METHODS: Scans were obtained from multicenter registries of 166 patients who underwent clinically indicated CCTA. Left ventricular volume (LVV) and right ventricular volume (RVV), left atrial volume (LAV) and right atrial volume (RAV), and left ventricular myocardial mass (LVM) were manually annotated as ground truth. A U-Net-inspired, deep-learning model was trained, validated, and tested in a 70:20:10 split. RESULTS: Mean age was 61.1 ± 8.4 years, and 49% were women. A combined overall median Dice score of 0.9246 (interquartile range: 0.8870 to 0.9475) was achieved. The median Dice scores for LVV, RVV, LAV, RAV, and LVM were 0.938 (interquartile range: 0.887 to 0.958), 0.927 (interquartile range: 0.916 to 0.946), 0.934 (interquartile range: 0.899 to 0.950), 0.915 (interquartile range: 0.890 to 0.920), and 0.920 (interquartile range: 0.811 to 0.944), respectively. Model prediction correlated and agreed well with manual annotation for LVV (r = 0.98), RVV (r = 0.97), LAV (r = 0.78), RAV (r = 0.97), and LVM (r = 0.94) (p &lt; 0.05 for all). Mean difference and limits of agreement for LVV, RVV, LAV, RAV, and LVM were 1.20 ml (95% CI: -7.12 to 9.51), -0.78 ml (95% CI: -10.08 to 8.52), -3.75 ml (95% CI: -21.53 to 14.03), 0.97 ml (95% CI: -6.14 to 8.09), and 6.41 g (95% CI: -8.71 to 21.52), respectively. CONCLUSIONS: A deep-learning model rapidly segmented and quantified cardiac structures. This was done with high accuracy on a pixel level, with good agreement with manual annotation, facilitating its expansion into areas of research and clinical import.</t>
  </si>
  <si>
    <t>JACC Cardiovasc Imaging</t>
  </si>
  <si>
    <t>10.1007/s11892-020-01353-5</t>
  </si>
  <si>
    <t>Use of Machine Learning Approaches in Clinical Epidemiological Research of Diabetes</t>
  </si>
  <si>
    <t>PURPOSE OF REVIEW: Machine learning approaches-which seek to predict outcomes or classify patient features by recognizing patterns in large datasets-are increasingly applied to clinical epidemiology research on diabetes. Given its novelty and emergence in fields outside of biomedical research, machine learning terminology, techniques, and research findings may be unfamiliar to diabetes researchers. Our aim was to present the use of machine learning approaches in an approachable way, drawing from clinical epidemiological research in diabetes published from 1 Jan 2017 to 1 June 2020. RECENT FINDINGS: Machine learning approaches using tree-based learners-which produce decision trees to help guide clinical interventions-frequently have higher sensitivity and specificity than traditional regression models for risk prediction. Machine learning approaches using neural networking and deep learning can be applied to medical image data, particularly for the identification and staging of diabetic retinopathy and skin ulcers. Among the machine learning approaches reviewed, researchers identified new strategies to develop standard datasets for rigorous comparisons across older and newer approaches, methods to illustrate how a machine learner was treating underlying data, and approaches to improve the transparency of the machine learning process. Machine learning approaches have the potential to improve risk stratification and outcome prediction for clinical epidemiology applications. Achieving this potential would be facilitated by use of universal open-source datasets for fair comparisons. More work remains in the application of strategies to communicate how the machine learners are generating their predictions.</t>
  </si>
  <si>
    <t>Curr Diab Rep</t>
  </si>
  <si>
    <t>Classification of white blood cells using capsule networks</t>
  </si>
  <si>
    <t>BACKGROUND: While the number and structural features of white blood cells (WBC) can provide important information about the health status of human beings, the ratio of sub-types of these cells and the deformations that can be observed serve as a good indicator in the diagnosis process of some diseases. Hence, correct identification and classification of the WBC types is of great importance. In addition, the fact that the diagnostic process that is carried out manually is slow, and the success is directly proportional to the expert's skills makes this problem an excellent field of application for computer-aided diagnostic systems. Unfortunately, both the ethical reasons and the cost of image acquisition process is one of the biggest obstacles to the fact that researchers working with medical images are able to collect enough data to produce a stable model. For that reasons, researchers who want to perform a successful analysis with small data sets using classical machine learning methods need to undergo their data a long and error-prone pre-process, while those using deep learning methods need to increase the data size using augmentation techniques. As a result, there is a need for a model that does not need pre-processing and can perform a successful classification in small data sets. METHODS: WBCs were classified under five categories using a small data set via capsule networks, a new deep learning method. We improved the model using many techniques and compared the results with the most known deep learning methods. RESULTS: Both the above-mentioned problems were overcame and higher success rates were obtained compared to other deep learning models. While, convolutional neural networks (CNN) and transfer learning (TL) models suffered from over-fitting, capsule networks learned well training data and achieved a high accuracy on test data (96.86%). CONCLUSION: In this study, we briefly discussed the abilities of capsule networks in a case study. We showed that capsule networks are a quite successful alternative for deep learning and medical data analysis when the sample size is limited.</t>
  </si>
  <si>
    <t>Detection of tuberculosis patterns in digital photographs of chest X-ray images using Deep Learning: feasibility study</t>
  </si>
  <si>
    <t>OBJECTIVE: To evaluate the feasibility of Deep Learning-based detection and classification of pathological patterns in a set of digital photographs of chest X-ray (CXR) images of tuberculosis (TB) patients. MATERIALS AND METHODS: In this prospective, observational study, patients with previously diagnosed TB were enrolled. Photographs of their CXRs were taken using a consumer-grade digital still camera. The images were stratified by pathological patterns into classes: cavity, consolidation, effusion, interstitial changes, miliary pattern or normal examination. Image analysis was performed with commercially available Deep Learning software in two steps. Pathological areas were first localised; detected areas were then classified. Detection was assessed using receiver operating characteristics (ROC) analysis, and classification using a confusion matrix. RESULTS: The study cohort was 138 patients with human immunodeficiency virus (HIV) and TB co-infection (median age 34 years, IQR 28-40); 54 patients were female. Localisation of pathological areas was excellent (area under the ROC curve 0.82). The software could perfectly distinguish pleural effusions from intraparenchymal changes. The most frequent misclassifications were consolidations as cavitations, and miliary patterns as interstitial patterns (and vice versa). CONCLUSION: Deep Learning analysis of CXR photographs is a promising tool. Further efforts are needed to build larger, high-quality data sets to achieve better diagnostic performance.</t>
  </si>
  <si>
    <t>A. S. Becker, C. Blüthgen, V. D. Phi van, C. Sekaggya-Wiltshire, B. Castelnuovo, A. Kambugu, J. Fehr and T. Frauenfelder</t>
  </si>
  <si>
    <t>Int J Tuberc Lung Dis</t>
  </si>
  <si>
    <t>Deep Learning in Mammography: Diagnostic Accuracy of a Multipurpose Image Analysis Software in the Detection of Breast Cancer</t>
  </si>
  <si>
    <t>OBJECTIVES: The aim of this study was to evaluate the diagnostic accuracy of a multipurpose image analysis software based on deep learning with artificial neural networks for the detection of breast cancer in an independent, dual-center mammography data set. MATERIALS AND METHODS: In this retrospective, Health Insurance Portability and Accountability Act-compliant study, all patients undergoing mammography in 2012 at our institution were reviewed (n = 3228). All of their prior and follow-up mammographies from a time span of 7 years (2008-2015) were considered as a reference for clinical diagnosis. After applying exclusion criteria (missing reference standard, prior procedures or therapies), patients with the first diagnosis of a malignoma or borderline lesion were selected (n = 143). Histology or clinical long-term follow-up served as reference standard. In a first step, a breast density-and age-matched control cohort was selected (n = 143) from the remaining patients with more than 2 years follow-up (n = 1003). The neural network was trained with this data set. From the publicly available Breast Cancer Digital Repository data set, patients with cancer and a matched control cohort were selected (n = 35 × 2). The performance of the trained neural network was also tested with this external data set. Three radiologists (3, 5, and 10 years of experience) evaluated the test data set. In a second step, the neural network was trained with all cases from January to September and tested with cases from October to December 2012 (screening-like cohort). The radiologists also evaluated this second test data set. The areas under the receiver operating characteristic curve between readers and the neural network were compared. A Bonferroni-corrected P value of less than 0.016 was considered statistically significant. RESULTS: Mean age of patients with lesion was 59.6 years (range, 35-88 years) and in controls, 59.1 years (35-83 years). Breast density distribution (A/B/C/D) was 21/59/42/21 and 22/60/41/20, respectively. Histologic diagnoses were invasive ductal carcinoma in 90, ductal in situ carcinoma in 13, invasive lobular carcinoma in 13, mucinous carcinoma in 3, and borderline lesion in 12 patients. In the first step, the area under the receiver operating characteristic curve of the trained neural network was 0.81 and comparable on the test cases 0.79 (P = 0.63). One of the radiologists showed almost equal performance (0.83, P = 0.17), whereas 2 were significantly better (0.91 and 0.94, P &lt; 0.016). In the second step, performance of the neural network (0.82) was not significantly different from the human performance (0.77-0.87, P &gt; 0.016); however, radiologists were consistently less sensitive and more specific than the neural network. CONCLUSIONS: Current state-of-the-art artificial neural networks for general image analysis are able to detect cancer in mammographies with similar accuracy to radiologists, even in a screening-like cohort with low breast cancer prevalence.</t>
  </si>
  <si>
    <t>A. S. Becker, M. Marcon, S. Ghafoor, M. C. Wurnig, T. Frauenfelder and A. Boss</t>
  </si>
  <si>
    <t>Invest Radiol</t>
  </si>
  <si>
    <t>Classification of breast cancer in ultrasound imaging using a generic deep learning analysis software: a pilot study</t>
  </si>
  <si>
    <t>OBJECTIVE: To train a generic deep learning software (DLS) to classify breast cancer on ultrasound images and to compare its performance to human readers with variable breast imaging experience. METHODS: In this retrospective study, all breast ultrasound examinations from January 1, 2014 to December 31, 2014 at our institution were reviewed. Patients with post-surgical scars, initially indeterminate, or malignant lesions with histological diagnoses or 2-year follow-up were included. The DLS was trained with 70% of the images, and the remaining 30% were used to validate the performance. Three readers with variable expertise also evaluated the validation set (radiologist, resident, medical student). Diagnostic accuracy was assessed with a receiver operating characteristic analysis. RESULTS: 82 patients with malignant and 550 with benign lesions were included. Time needed for training was 7 min (DLS). Evaluation time for the test data set were 3.7 s (DLS) and 28, 22 and 25 min for human readers (decreasing experience). Receiver operating characteristic analysis revealed non-significant differences (p-values 0.45-0.47) in the area under the curve of 0.84 (DLS), 0.88 (experienced and intermediate readers) and 0.79 (inexperienced reader). CONCLUSION: DLS may aid diagnosing cancer on breast ultrasound images with an accuracy comparable to radiologists, and learns better and faster than a human reader with no prior experience. Further clinical trials with dedicated algorithms are warranted. Advances in knowledge: DLS can be trained classify cancer on breast ultrasound images high accuracy even with comparably few training cases. The fast evaluation speed makes real-time image analysis feasible.</t>
  </si>
  <si>
    <t>A. S. Becker, M. Mueller, E. Stoffel, M. Marcon, S. Ghafoor and A. Boss</t>
  </si>
  <si>
    <t>Br J Radiol</t>
  </si>
  <si>
    <t>10.1097/wco.0000000000000569</t>
  </si>
  <si>
    <t>The changing landscape of motor neuron disease imaging: the transition from descriptive studies to precision clinical tools</t>
  </si>
  <si>
    <t>PURPOSE OF REVIEW: Neuroimaging in motor neuron disease (MND) has traditionally been seen as an academic tool with limited direct relevance to individualized patient care. This has changed radically in recent years as computational imaging has emerged as a viable clinical tool with true biomarker potential. This transition is not only fuelled by technological advances but also by important conceptual developments. RECENT FINDINGS: The natural history of MND is now evaluated by presymptomatic, postmortem and multi-timepoint longitudinal imaging studies. The anatomical spectrum of MND imaging has also been expanded from an overwhelmingly cerebral focus to innovative spinal and muscle applications. In contrast to the group-comparisons of previous studies, machine-learning and deep-learning approaches are increasingly utilized to model real-life diagnostic dilemmas and aid prognostic classification. The focus from evaluating focal structural changes has shifted to the appraisal of network integrity by connectivity-based approaches. The armamentarium of MND imaging has also been complemented by novel PET-ligands, spinal toolboxes and the availability of magnetoencephalography and high-field magnetic resonance (MR) imaging platforms. SUMMARY: In addition to the technological and conceptual advances, collaborative multicentre research efforts have also gained considerable momentum. This opinion-piece reviews emerging trends in MND imaging and their implications to clinical care and drug development.</t>
  </si>
  <si>
    <t>Receptive Field Size as a Key Design Parameter for Ultrasound Image Segmentation with U-Net</t>
  </si>
  <si>
    <t>Automatic and accurate segmentation of medical images is an important task due to the direct impact of this procedure on both disease diagnosis and treatment. Segmentation of ultrasound (US) imaging is particularly challenging due to the presence of speckle noise. Recent deep learning approaches have demonstrated remarkable findings in image segmentation tasks, including segmentation of US images. However, many of the newly proposed structures are either task specific and suffer from poor generalization, or are computationally expensive. In this paper, we show that the receptive field plays a more significant role in the network's performance compared to the network's depth or the number of parameters. We further show that by controlling the size of the receptive field, a deep network can instead be replaced by a shallow network.</t>
  </si>
  <si>
    <t>Ultrasound segmentation using U-Net: learning from simulated data and testing on real data</t>
  </si>
  <si>
    <t>Segmentation of ultrasound images is an essential task in both diagnosis and image-guided interventions given the ease-of-use and low cost of this imaging modality. As manual segmentation is tedious and time consuming, a growing body of research has focused on the development of automatic segmentation algorithms. Deep learning algorithms have shown remarkable achievements in this regard; however, they need large training datasets. Unfortunately, preparing large labeled datasets in ultrasound images is prohibitively difficult. Therefore, in this study, we propose the use of simulated ultrasound (US) images for training the U-Net deep learning segmentation architecture and test on tissue-mimicking phantom data collected by an ultrasound machine. We demonstrate that the trained architecture on the simulated data is transferrable to real data, and therefore, simulated data can be considered as an alternative training dataset when real datasets are not available. The second contribution of this paper is that we train our U-Net network on envelope and B-mode images of the simulated dataset, and test the trained network on real envelope and B-mode images of phantom, respectively. We show that test results are superior for the envelope data compared to B-mode image.</t>
  </si>
  <si>
    <t>Deep learning, reusable and problem-based architectures for detection of consolidation on chest X-ray images</t>
  </si>
  <si>
    <t>BACKGROUND AND OBJECTIVE: In most patients presenting with respiratory symptoms, the findings of chest radiography play a key role in the diagnosis, management, and follow-up of the disease. Consolidation is a common term in radiology, which indicates focally increased lung density. When the alveolar structures become filled with pus, fluid, blood cells or protein subsequent to a pulmonary pathological process, it may result in different types of lung opacity in chest radiograph. This study aims at detecting consolidations in chest x-ray radiographs, with a certain precision, using artificial intelligence and especially Deep Convolutional Neural Networks to assist radiologist for better diagnosis. METHODS: Medical image datasets usually are relatively small to be used for training a Deep Convolutional Neural Network (DCNN), so transfer learning technique with well-known DCNNs pre-trained with ImageNet dataset are used to improve the accuracy of the models. ImageNet feature space is different from medical images and in the other side, the well-known DCNNs are designed to achieve the best performance on ImageNet. Therefore, they cannot show their best performance on medical images. To overcome this problem, we designed a problem-based architecture which preserves the information of images for detecting consolidation in Pediatric Chest X-ray dataset. We proposed a three-step pre-processing approach to enhance generalization of the models. To demonstrate the correctness of numerical results, an occlusion test is applied to visualize outputs of the model and localize the detected appropriate area. A different dataset as an extra validation is used in order to investigate the generalization of the proposed model. RESULTS: The best accuracy to detect consolidation is 94.67% obtained by our problem based architecture for the understudy dataset which outperforms the previous works and the other architectures. CONCLUSIONS: The designed models can be employed as computer aided diagnosis tools in real practice. We critically discussed the datasets and the previous works based on them and show that without some considerations the results of them may be misleading. We believe, the output of AI should be only interpreted as focal consolidation. The clinical significance of the finding can not be interpreted without integration of clinical data.</t>
  </si>
  <si>
    <t>H. Behzadi-Khormouji, H. Rostami, S. Salehi, T. Derakhshande-Rishehri, M. Masoumi, S. Salemi, A. Keshavarz, A. Gholamrezanezhad, M. Assadi and A. Batouli</t>
  </si>
  <si>
    <t>Spotting L3 slice in CT scans using deep convolutional network and transfer learning</t>
  </si>
  <si>
    <t>In this article, we present a complete automated system for spotting a particular slice in a complete 3D Computed Tomography exam (CT scan). Our approach does not require any assumptions on which part of the patient's body is covered by the scan. It relies on an original machine learning regression approach. Our models are learned using the transfer learning trick by exploiting deep architectures that have been pre-trained on imageNet database, and therefore it requires very little annotation for its training. The whole pipeline consists of three steps: i) conversion of the CT scans into Maximum Intensity Projection (MIP) images, ii) prediction from a Convolutional Neural Network (CNN) applied in a sliding window fashion over the MIP image, and iii) robust analysis of the prediction sequence to predict the height of the desired slice within the whole CT scan. Our approach is applied to the detection of the third lumbar vertebra (L3) slice that has been found to be representative to the whole body composition. Our system is evaluated on a database collected in our clinical center, containing 642 CT scans from different patients. We obtained an average localization error of 1.91±2.69 slices (less than 5 mm) in an average time of less than 2.5 s/CT scan, allowing integration of the proposed system into daily clinical routines.</t>
  </si>
  <si>
    <t>S. Belharbi, C. Chatelain, R. Hérault, S. Adam, S. Thureau, M. Chastan and R. Modzelewski</t>
  </si>
  <si>
    <t>Artificial intelligence using deep learning to screen for referable and vision-threatening diabetic retinopathy in Africa: a clinical validation study</t>
  </si>
  <si>
    <t>BACKGROUND: Radical measures are required to identify and reduce blindness due to diabetes to achieve the Sustainable Development Goals by 2030. Therefore, we evaluated the accuracy of an artificial intelligence (AI) model using deep learning in a population-based diabetic retinopathy screening programme in Zambia, a lower-middle-income country. METHODS: We adopted an ensemble AI model consisting of a combination of two convolutional neural networks (an adapted VGGNet architecture and a residual neural network architecture) for classifying retinal colour fundus images. We trained our model on 76 370 retinal fundus images from 13 099 patients with diabetes who had participated in the Singapore Integrated Diabetic Retinopathy Program, between 2010 and 2013, which has been published previously. In this clinical validation study, we included all patients with a diagnosis of diabetes that attended a mobile screening unit in five urban centres in the Copperbelt province of Zambia from Feb 1 to June 31, 2012. In our model, referable diabetic retinopathy was defined as moderate non-proliferative diabetic retinopathy or worse, diabetic macular oedema, and ungradable images. Vision-threatening diabetic retinopathy comprised severe non-proliferative and proliferative diabetic retinopathy. We calculated the area under the curve (AUC), sensitivity, and specificity for referable diabetic retinopathy, and sensitivities of vision-threatening diabetic retinopathy and diabetic macular oedema compared with the grading by retinal specialists. We did a multivariate analysis for systemic risk factors and referable diabetic retinopathy between AI and human graders. FINDINGS: A total of 4504 retinal fundus images from 3093 eyes of 1574 Zambians with diabetes were prospectively recruited. Referable diabetic retinopathy was found in 697 (22·5%) eyes, vision-threatening diabetic retinopathy in 171 (5·5%) eyes, and diabetic macular oedema in 249 (8·1%) eyes. The AUC of the AI system for referable diabetic retinopathy was 0·973 (95% CI 0·969-0·978), with corresponding sensitivity of 92·25% (90·10-94·12) and specificity of 89·04% (87·85-90·28). Vision-threatening diabetic retinopathy sensitivity was 99·42% (99·15-99·68) and diabetic macular oedema sensitivity was 97·19% (96·61-97·77). The AI model and human graders showed similar outcomes in referable diabetic retinopathy prevalence detection and systemic risk factors associations. Both the AI model and human graders identified longer duration of diabetes, higher level of glycated haemoglobin, and increased systolic blood pressure as risk factors associated with referable diabetic retinopathy. INTERPRETATION: An AI system shows clinically acceptable performance in detecting referable diabetic retinopathy, vision-threatening diabetic retinopathy, and diabetic macular oedema in population-based diabetic retinopathy screening. This shows the potential application and adoption of such AI technology in an under-resourced African population to reduce the incidence of preventable blindness, even when the model is trained in a different population. FUNDING: National Medical Research Council Health Service Research Grant, Large Collaborative Grant, Ministry of Health, Singapore; the SingHealth Foundation; and the Tanoto Foundation.</t>
  </si>
  <si>
    <t>Lancet Digit Health</t>
  </si>
  <si>
    <t>Automated Microscopic Analysis of Metal Sulfide Colonization by Acidophilic Microorganisms</t>
  </si>
  <si>
    <t>Industrial biomining processes are currently focused on metal sulfides and their dissolution, which is catalyzed by acidophilic iron(II)- and/or sulfur-oxidizing microorganisms. Cell attachment on metal sulfides is important for this process. Biofilm formation is necessary for seeding and persistence of the active microbial community in industrial biomining heaps and tank reactors, and it enhances metal release. In this study, we used a method for direct quantification of the mineral-attached cell population on pyrite or chalcopyrite particles in bioleaching experiments by coupling high-throughput, automated epifluorescence microscopy imaging of mineral particles with algorithms for image analysis and cell quantification, thus avoiding human bias in cell counting. The method was validated by quantifying cell attachment on pyrite and chalcopyrite surfaces with axenic cultures of Acidithiobacillus caldus, Leptospirillum ferriphilum, and Sulfobacillus thermosulfidooxidans. The method confirmed the high affinity of L. ferriphilum cells to colonize pyrite and chalcopyrite surfaces and indicated that biofilm dispersal occurs in mature pyrite batch cultures of this species. Deep neural networks were also applied to analyze biofilms of different microbial consortia. Recent analysis of the L. ferriphilum genome revealed the presence of a diffusible soluble factor (DSF) family quorum sensing system. The respective signal compounds are known as biofilm dispersal agents. Biofilm dispersal was confirmed to occur in batch cultures of L. ferriphilum and S. thermosulfidooxidans upon the addition of DSF family signal compounds.IMPORTANCE The presented method for the assessment of mineral colonization allows accurate relative comparisons of the microbial colonization of metal sulfide concentrate particles in a time-resolved manner. Quantitative assessment of the mineral colonization development is important for the compilation of improved mathematical models for metal sulfide dissolution. In addition, deep-learning algorithms proved that axenic or mixed cultures of the three species exhibited characteristic biofilm patterns and predicted the biofilm species composition. The method may be extended to the assessment of microbial colonization on other solid particles and may serve in the optimization of bioleaching processes in laboratory scale experiments with industrially relevant metal sulfide concentrates. Furthermore, the method was used to demonstrate that DSF quorum sensing signals directly influence colonization and dissolution of metal sulfides by mineral-oxidizing bacteria, such as L. ferriphilum and S. thermosulfidooxidans.</t>
  </si>
  <si>
    <t>S. Bellenberg, A. Buetti-Dinh, V. Galli, O. Ilie, M. Herold, S. Christel, M. Boretska, I. V. Pivkin, P. Wilmes, W. Sand, M. Vera and M. Dopson</t>
  </si>
  <si>
    <t>Appl Environ Microbiol</t>
  </si>
  <si>
    <t>Deep learning cardiac motion analysis for human survival prediction</t>
  </si>
  <si>
    <t>Motion analysis is used in computer vision to understand the behaviour of moving objects in sequences of images. Optimising the interpretation of dynamic biological systems requires accurate and precise motion tracking as well as efficient representations of high-dimensional motion trajectories so that these can be used for prediction tasks. Here we use image sequences of the heart, acquired using cardiac magnetic resonance imaging, to create time-resolved three-dimensional segmentations using a fully convolutional network trained on anatomical shape priors. This dense motion model formed the input to a supervised denoising autoencoder (4Dsurvival), which is a hybrid network consisting of an autoencoder that learns a task-specific latent code representation trained on observed outcome data, yielding a latent representation optimised for survival prediction. To handle right-censored survival outcomes, our network used a Cox partial likelihood loss function. In a study of 302 patients the predictive accuracy (quantified by Harrell's C-index) was significantly higher (p = .0012) for our model C=0.75 (95% CI: 0.70 - 0.79) than the human benchmark of C=0.59 (95% CI: 0.53 - 0.65). This work demonstrates how a complex computer vision task using high-dimensional medical image data can efficiently predict human survival.</t>
  </si>
  <si>
    <t>G. A. Bello, T. J. W. Dawes, J. Duan, C. Biffi, A. de Marvao, L. Howard, J. S. R. Gibbs, M. R. Wilkins, S. A. Cook, D. Rueckert and D. P. O'Regan</t>
  </si>
  <si>
    <t>Nat Mach Intell</t>
  </si>
  <si>
    <t>Aggressive Posterior Retinopathy of Prematurity: Clinical and Quantitative Imaging Features in a Large North American Cohort</t>
  </si>
  <si>
    <t>PURPOSE: Aggressive posterior retinopathy of prematurity (AP-ROP) is a vision-threatening disease with a significant rate of progression to retinal detachment. The purpose of this study was to characterize AP-ROP quantitatively by demographics, rate of disease progression, and a deep learning-based vascular severity score. DESIGN: Retrospective analysis. PARTICIPANTS: The Imaging and Informatics in ROP cohort from 8 North American centers, consisting of 947 patients and 5945 clinical eye examinations with fundus images, was used. Pretreatment eyes were categorized by disease severity: none, mild, type 2 or pre-plus, treatment-requiring (TR) without AP-ROP, TR with AP-ROP. Analyses compared TR with AP-ROP and TR without AP-ROP to investigate differences between AP-ROP and other TR disease. METHODS: A reference standard diagnosis was generated for each eye examination using previously published methods combining 3 independent image-based gradings and 1 ophthalmoscopic grading. All fundus images were analyzed using a previously published deep learning system and were assigned a score from 1 through 9. MAIN OUTCOME MEASURES: Birth weight, gestational age, postmenstrual age, and vascular severity score. RESULTS: Infants who demonstrated AP-ROP were more premature by birth weight (617 g vs. 679 g; P = 0.01) and gestational age (24.3 weeks vs. 25.0 weeks; P &lt; 0.01) and reached peak severity at an earlier postmenstrual age (34.7 weeks vs. 36.9 weeks; P &lt; 0.001) compared with infants with TR without AP-ROP. The mean vascular severity score was greatest in TR with AP-ROP infants compared with TR without AP-ROP infants (8.79 vs. 7.19; P &lt; 0.001). Analyzing the severity score over time, the rate of progression was fastest in infants with AP-ROP (P &lt; 0.002 at 30-32 weeks). CONCLUSIONS: Premature infants in North America with AP-ROP are born younger and demonstrate disease earlier than infants with less severe ROP. Disease severity is quantifiable with a deep learning-based score, which correlates with clinically identified categories of disease, including AP-ROP. The rate of progression to peak disease is greatest in eyes that demonstrate AP-ROP compared with other treatment-requiring eyes. Analysis of quantitative characteristics of AP-ROP may help improve diagnosis and treatment of an aggressive, vision-threatening form of ROP.</t>
  </si>
  <si>
    <t>10.1038/s41592-019-0458-z</t>
  </si>
  <si>
    <t>Applications, promises, and pitfalls of deep learning for fluorescence image reconstruction</t>
  </si>
  <si>
    <t>Deep learning is becoming an increasingly important tool for image reconstruction in fluorescence microscopy. We review state-of-the-art applications such as image restoration and super-resolution imaging, and discuss how the latest deep learning research could be applied to other image reconstruction tasks. Despite its successes, deep learning also poses substantial challenges and has limits. We discuss key questions, including how to obtain training data, whether discovery of unknown structures is possible, and the danger of inferring unsubstantiated image details.</t>
  </si>
  <si>
    <t>Nat Methods</t>
  </si>
  <si>
    <t>10.3760/cma.j.cn501120-20190403-00162</t>
  </si>
  <si>
    <t>[Advances in the research of artificial intelligence technology assisting the diagnosis of burn depth]</t>
  </si>
  <si>
    <t>The early accurate diagnosis of burn depth is of great significance in determining the corresponding clinical intervention methods and judging the prognosis quality of burn patients. However, the current diagnostic method of burn depth still relies mainly on the empirical subjective judgment of clinicians, with low diagnostic accuracy. Especially for deep partial-thickness burn wounds, the error of early diagnosis is pretty big. In recent years, with the rapid development of artificial intelligence technology, deep learning algorithm combined with image analysis technology can better identify and analyze the information of medical images. This article reviews the research progress of artificial intelligence technology in the diagnosis of burn depth.</t>
  </si>
  <si>
    <t>Zhonghua Shao Shang Za Zhi</t>
  </si>
  <si>
    <t>CT Image-based Decision Support System for Categorization of Liver Metastases Into Primary Cancer Sites: Initial Results</t>
  </si>
  <si>
    <t>RATIONALE AND OBJECTIVES: This study aimed to provide decision support for the human expert, to categorize liver metastases into their primary cancer sites. Currently, once a liver metastasis is detected, the process of finding the primary site is challenging, time-consuming, and requires multiple examinations. The proposed system can support the human expert in localizing the search for the cancer source by prioritizing the examinations to probable cancer sites. MATERIALS AND METHODS: The suggested method is a learning-based approach, using computed tomography (CT) data as the input source. Each metastasis is circumscribed by a radiologist in portal phase and in non-contrast CT images. Visual features are computed from these images, combined into feature vectors, and classified using support vector machine classification. A variety of different features were explored and tested. A leave-one-out cross-validation technique was conducted for classification evaluation. The methods were developed on a set of 50 lesion cases taken from 29 patients. RESULTS: Experiments were conducted on a separate set of 142 lesion cases taken from 71 patients with four different primary sites. Multiclass categorization results (four classes) achieved low accuracy results. However, the proposed system was found to provide promising results of 83% and 99% for top-2 and top-3 classification tasks, respectively. Moreover, when compared to the experts' ability to distinguish the different metastases, the system shows improved results. CONCLUSIONS: Automated systems, such as the one proposed, show promising new results and demonstrate new capabilities that, in the future, will be able to provide decision and treatment support for radiologists and oncologists, toward more efficient detection and treatment of cancer.</t>
  </si>
  <si>
    <t>A. Ben-Cohen, E. Klang, I. Diamant, N. Rozendorn, S. P. Raskin, E. Konen, M. M. Amitai and H. Greenspan</t>
  </si>
  <si>
    <t>Spatio-temporal deep learning methods for motion estimation using 4D OCT image data</t>
  </si>
  <si>
    <t>PURPOSE: Localizing structures and estimating the motion of a specific target region are common problems for navigation during surgical interventions. Optical coherence tomography (OCT) is an imaging modality with a high spatial and temporal resolution that has been used for intraoperative imaging and also for motion estimation, for example, in the context of ophthalmic surgery or cochleostomy. Recently, motion estimation between a template and a moving OCT image has been studied with deep learning methods to overcome the shortcomings of conventional, feature-based methods. METHODS: We investigate whether using a temporal stream of OCT image volumes can improve deep learning-based motion estimation performance. For this purpose, we design and evaluate several 3D and 4D deep learning methods and we propose a new deep learning approach. Also, we propose a temporal regularization strategy at the model output. RESULTS: Using a tissue dataset without additional markers, our deep learning methods using 4D data outperform previous approaches. The best performing 4D architecture achieves an correlation coefficient (aCC) of 98.58% compared to 85.0% of a previous 3D deep learning method. Also, our temporal regularization strategy at the output further improves 4D model performance to an aCC of 99.06%. In particular, our 4D method works well for larger motion and is robust toward image rotations and motion distortions. CONCLUSIONS: We propose 4D spatio-temporal deep learning for OCT-based motion estimation. On a tissue dataset, we find that using 4D information for the model input improves performance while maintaining reasonable inference times. Our regularization strategy demonstrates that additional temporal information is also beneficial at the model output.</t>
  </si>
  <si>
    <t>10.1007/s00117-019-00615-y</t>
  </si>
  <si>
    <t>[Artificial intelligence in the diagnosis of breast cancer : Yesterday, today and tomorrow]</t>
  </si>
  <si>
    <t>BACKGROUND: Artificial intelligence (AI) is increasingly applied in the field of breast imaging. OBJECTIVES: What are the main areas where AI is applied in breast imaging and what AI and computer-aided diagnosis (CAD) systems are already available? MATERIALS AND METHODS: Basic literature and vendor-supplied information are screened for relevant information, which is then pooled, structured and discussed from the perspective of breast imaging. RESULTS: Original CAD systems in mammography date almost 25 years back. They are much more widely applied in the United States than in Europe. The initial CAD systems exhibited limited diagnostic abilities and disproportionally high rates of false positive results. Since 2012, deep learning mechanisms have been applied and expand the application possibilities of AI. CONCLUSION: To date there is no algorithm that has beyond doubt been proven to outperform double reporting by two certified breast radiologists. AI could, however, in the foreseeable future, take over the following tasks: preselection of abnormal examinations to substantially reduce workload of the radiologists by either excluding normal findings from human review or by replacing the double reader in screening. Furthermore, the establishment of radio-patho-genomic correlations and their translation into clinical practice is hardly conceivable without AI.</t>
  </si>
  <si>
    <t>Radiologe</t>
  </si>
  <si>
    <t>Validation of deep-learning image reconstruction for coronary computed tomography angiography: Impact on noise, image quality and diagnostic accuracy</t>
  </si>
  <si>
    <t>BACKGROUND: Advances in image reconstruction are necessary to decrease radiation exposure from coronary CT angiography (CCTA) further, but iterative reconstruction has been shown to degrade image quality at high levels. Deep-learning image reconstruction (DLIR) offers unique opportunities to overcome these limitations. The present study compared the impact of DLIR and adaptive statistical iterative reconstruction-Veo (ASiR-V) on quantitative and qualitative image parameters and the diagnostic accuracy of CCTA using invasive coronary angiography (ICA) as the standard of reference. METHODS: This retrospective study includes 43 patients who underwent clinically indicated CCTA and ICA. Datasets were reconstructed with ASiR-V 70% (using standard [SD] and high-definition [HD] kernels) and with DLIR at different levels (i.e., medium [M] and high [H]). Image noise, image quality, and coronary luminal narrowing were evaluated by three blinded readers. Diagnostic accuracy was compared against ICA. RESULTS: Noise did not significantly differ between ASiR-V SD and DLIR-M (37 vs. 37 HU, p = 1.000), but was significantly lower in DLIR-H (30 HU, p &lt; 0.001) and higher in ASiR-V HD (53 HU, p &lt; 0.001). Image quality was higher for DLIR-M and DLIR-H (3.4-3.8 and 4.2-4.6) compared to ASiR-V SD and HD (2.1-2.7 and 1.8-2.2; p &lt; 0.001), with DLIR-H yielding the highest image quality. Consistently across readers, no significant differences in sensitivity (88% vs. 92%; p = 0.453), specificity (73% vs. 73%; p = 0.583) and diagnostic accuracy (80% vs. 82%; p = 0.366) were found between ASiR-V HD and DLIR-H. CONCLUSION: DLIR significantly reduces noise in CCTA compared to ASiR-V, while yielding superior image quality at equal diagnostic accuracy.</t>
  </si>
  <si>
    <t>J Cardiovasc Comput Tomogr</t>
  </si>
  <si>
    <t>Topaz-Denoise: general deep denoising models for cryoEM and cryoET</t>
  </si>
  <si>
    <t>Cryo-electron microscopy (cryoEM) is becoming the preferred method for resolving protein structures. Low signal-to-noise ratio (SNR) in cryoEM images reduces the confidence and throughput of structure determination during several steps of data processing, resulting in impediments such as missing particle orientations. Denoising cryoEM images can not only improve downstream analysis but also accelerate the time-consuming data collection process by allowing lower electron dose micrographs to be used for analysis. Here, we present Topaz-Denoise, a deep learning method for reliably and rapidly increasing the SNR of cryoEM images and cryoET tomograms. By training on a dataset composed of thousands of micrographs collected across a wide range of imaging conditions, we are able to learn models capturing the complexity of the cryoEM image formation process. The general model we present is able to denoise new datasets without additional training. Denoising with this model improves micrograph interpretability and allows us to solve 3D single particle structures of clustered protocadherin, an elongated particle with previously elusive views. We then show that low dose collection, enabled by Topaz-Denoise, improves downstream analysis in addition to reducing data collection time. We also present a general 3D denoising model for cryoET. Topaz-Denoise and pre-trained general models are now included in Topaz. We expect that Topaz-Denoise will be of broad utility to the cryoEM community for improving micrograph and tomogram interpretability and accelerating analysis.</t>
  </si>
  <si>
    <t>Anatomical context improves deep learning on the brain age estimation task</t>
  </si>
  <si>
    <t>Deep learning has shown remarkable improvements in the analysis of medical images without the need for engineered features. In this work, we hypothesize that deep learning is complementary to traditional feature estimation. We propose a network design to include traditional structural imaging features alongside deep convolutional ones and illustrate this approach on the task of imaging-based age prediction in two separate contexts: T1-weighted brain magnetic resonance imaging (MRI) (N = 5121, ages 4-96, healthy controls) and computed tomography (CT) of the head (N = 1313, ages 1-97, healthy controls). In brain MRI, we can predict age with a mean absolute error of 4.08 years by combining raw images along with engineered structural features, compared to 5.00 years using image-derived features alone and 8.23 years using structural features alone. In head CT, we can predict age with a median absolute error of 9.99 years combining features, compared to 11.02 years with image-derived features alone and 13.28 years with structural features alone. These results show that we can complement traditional feature estimation using deep learning to improve prediction tasks. As the field of medical image processing continues to integrate deep learning, it will be important to use the new techniques to complement traditional imaging features instead of fully displacing them.</t>
  </si>
  <si>
    <t>C. Bermudez, A. J. Plassard, S. Chaganti, Y. Huo, K. S. Aboud, L. E. Cutting, S. M. Resnick and B. A. Landman</t>
  </si>
  <si>
    <t>Deep Learning Techniques for Automatic MRI Cardiac Multi-Structures Segmentation and Diagnosis: Is the Problem Solved?</t>
  </si>
  <si>
    <t>Delineation of the left ventricular cavity, myocardium, and right ventricle from cardiac magnetic resonance images (multi-slice 2-D cine MRI) is a common clinical task to establish diagnosis. The automation of the corresponding tasks has thus been the subject of intense research over the past decades. In this paper, we introduce the Automatic Cardiac Diagnosis Challenge dataset (ACDC), the largest publicly available and fully annotated dataset for the purpose of cardiac MRI (CMR) assessment. The dataset contains data from 150 multi-equipments CMRI recordings with reference measurements and classification from two medical experts. The overarching objective of this paper is to measure how far state-of-the-art deep learning methods can go at assessing CMRI, i.e., segmenting the myocardium and the two ventricles as well as classifying pathologies. In the wake of the 2017 MICCAI-ACDC challenge, we report results from deep learning methods provided by nine research groups for the segmentation task and four groups for the classification task. Results show that the best methods faithfully reproduce the expert analysis, leading to a mean value of 0.97 correlation score for the automatic extraction of clinical indices and an accuracy of 0.96 for automatic diagnosis. These results clearly open the door to highly accurate and fully automatic analysis of cardiac CMRI. We also identify scenarios for which deep learning methods are still failing. Both the dataset and detailed results are publicly available online, while the platform will remain open for new submissions.</t>
  </si>
  <si>
    <t>O. Bernard, A. Lalande, C. Zotti, F. Cervenansky, X. Yang, P. A. Heng, I. Cetin, K. Lekadir, O. Camara, M. A. Gonzalez Ballester, G. Sanroma, S. Napel, S. Petersen, G. Tziritas, E. Grinias, M. Khened, V. A. Kollerathu, G. Krishnamurthi, M. M. Rohe, X. Pennec, M. Sermesant, F. Isensee, P. Jager, K. H. Maier-Hein, P. M. Full, I. Wolf, S. Engelhardt, C. F. Baumgartner, L. M. Koch, J. M. Wolterink, I. Isgum, Y. Jang, Y. Hong, J. Patravali, S. Jain, O. Humbert and P. M. Jodoin</t>
  </si>
  <si>
    <t>A photometric stereo-based 3D imaging system using computer vision and deep learning for tracking plant growth</t>
  </si>
  <si>
    <t>BACKGROUND: Tracking and predicting the growth performance of plants in different environments is critical for predicting the impact of global climate change. Automated approaches for image capture and analysis have allowed for substantial increases in the throughput of quantitative growth trait measurements compared with manual assessments. Recent work has focused on adopting computer vision and machine learning approaches to improve the accuracy of automated plant phenotyping. Here we present PS-Plant, a low-cost and portable 3D plant phenotyping platform based on an imaging technique novel to plant phenotyping called photometric stereo (PS). RESULTS: We calibrated PS-Plant to track the model plant Arabidopsis thaliana throughout the day-night (diel) cycle and investigated growth architecture under a variety of conditions to illustrate the dramatic effect of the environment on plant phenotype. We developed bespoke computer vision algorithms and assessed available deep neural network architectures to automate the segmentation of rosettes and individual leaves, and extract basic and more advanced traits from PS-derived data, including the tracking of 3D plant growth and diel leaf hyponastic movement. Furthermore, we have produced the first PS training data set, which includes 221 manually annotated Arabidopsis rosettes that were used for training and data analysis (1,768 images in total). A full protocol is provided, including all software components and an additional test data set. CONCLUSIONS: PS-Plant is a powerful new phenotyping tool for plant research that provides robust data at high temporal and spatial resolutions. The system is well-suited for small- and large-scale research and will help to accelerate bridging of the phenotype-to-genotype gap.</t>
  </si>
  <si>
    <t>Gigascience</t>
  </si>
  <si>
    <t>10.1016/j.jcmg.2018.01.020</t>
  </si>
  <si>
    <t>Deep Learning for Prediction of Obstructive Disease From Fast Myocardial Perfusion SPECT: A Multicenter Study</t>
  </si>
  <si>
    <t>OBJECTIVES: The study evaluated the automatic prediction of obstructive disease from myocardial perfusion imaging (MPI) by deep learning as compared with total perfusion deficit (TPD). BACKGROUND: Deep convolutional neural networks trained with a large multicenter population may provide improved prediction of per-patient and per-vessel coronary artery disease from single-photon emission computed tomography MPI. METHODS: A total of 1,638 patients (67% men) without known coronary artery disease, undergoing stress (99m)Tc-sestamibi or tetrofosmin MPI with new generation solid-state scanners in 9 different sites, with invasive coronary angiography performed within 6 months of MPI, were studied. Obstructive disease was defined as ≥70% narrowing of coronary arteries (≥50% for left main artery). Left ventricular myocardium was segmented using clinical nuclear cardiology software and verified by an expert reader. Stress TPD was computed using sex- and camera-specific normal limits. Deep learning was trained using raw and quantitative polar maps and evaluated for prediction of obstructive stenosis in a stratified 10-fold cross-validation procedure. RESULTS: A total of 1,018 (62%) patients and 1,797 of 4,914 (37%) arteries had obstructive disease. Area under the receiver-operating characteristic curve for disease prediction by deep learning was higher than for TPD (per patient: 0.80 vs. 0.78; per vessel: 0.76 vs. 0.73: p &lt; 0.01). With deep learning threshold set to the same specificity as TPD, per-patient sensitivity improved from 79.8% (TPD) to 82.3% (deep learning) (p &lt; 0.05), and per-vessel sensitivity improved from 64.4% (TPD) to 69.8% (deep learning) (p &lt; 0.01). CONCLUSIONS: Deep learning has the potential to improve automatic interpretation of MPI as compared with current clinical methods.</t>
  </si>
  <si>
    <t>Deep Learning Analysis of Upright-Supine High-Efficiency SPECT Myocardial Perfusion Imaging for Prediction of Obstructive Coronary Artery Disease: A Multicenter Study</t>
  </si>
  <si>
    <t>Combined analysis of SPECT myocardial perfusion imaging (MPI) performed with a solid-state camera on patients in 2 positions (semiupright, supine) is routinely used to mitigate attenuation artifacts. We evaluated the prediction of obstructive disease from combined analysis of semiupright and supine stress MPI by deep learning (DL) as compared with standard combined total perfusion deficit (TPD). Methods: 1,160 patients without known coronary artery disease (64% male) were studied. Patients underwent stress (99m)Tc-sestamibi MPI with new-generation solid-state SPECT scanners in 4 different centers. All patients had on-site clinical reads and invasive coronary angiography correlations within 6 mo of MPI. Obstructive disease was defined as at least 70% narrowing of the 3 major coronary arteries and at least 50% for the left main coronary artery. Images were quantified at Cedars-Sinai. The left ventricular myocardium was segmented using standard clinical nuclear cardiology software. The contour placement was verified by an experienced technologist. Combined stress TPD was computed using sex- and camera-specific normal limits. DL was trained using polar distributions of normalized radiotracer counts, hypoperfusion defects, and hypoperfusion severities and was evaluated for prediction of obstructive disease in a novel leave-one-center-out cross-validation procedure equivalent to external validation. During the validation procedure, 4 DL models were trained using data from 3 centers and then evaluated on the 1 center left aside. Predictions for each center were merged to have an overall estimation of the multicenter performance. Results: 718 (62%) patients and 1,272 of 3,480 (37%) arteries had obstructive disease. The area under the receiver operating characteristics curve for prediction of disease on a per-patient and per-vessel basis by DL was higher than for combined TPD (per-patient, 0.81 vs. 0.78; per-vessel, 0.77 vs. 0.73; P &lt; 0.001). With the DL cutoff set to exhibit the same specificity as the standard cutoff for combined TPD, per-patient sensitivity improved from 61.8% (TPD) to 65.6% (DL) (P &lt; 0.05), and per-vessel sensitivity improved from 54.6% (TPD) to 59.1% (DL) (P &lt; 0.01). With the threshold matched to the specificity of a normal clinical read (56.3%), DL had a sensitivity of 84.8%, versus 82.6% for an on-site clinical read (P = 0.3). Conclusion: DL improves automatic interpretation of MPI as compared with current quantitative methods.</t>
  </si>
  <si>
    <t>J Nucl Med</t>
  </si>
  <si>
    <t>A comparison between two semantic deep learning frameworks for the autosomal dominant polycystic kidney disease segmentation based on magnetic resonance images</t>
  </si>
  <si>
    <t>BACKGROUND: The automatic segmentation of kidneys in medical images is not a trivial task when the subjects undergoing the medical examination are affected by Autosomal Dominant Polycystic Kidney Disease (ADPKD). Several works dealing with the segmentation of Computed Tomography images from pathological subjects were proposed, showing high invasiveness of the examination or requiring interaction by the user for performing the segmentation of the images. In this work, we propose a fully-automated approach for the segmentation of Magnetic Resonance images, both reducing the invasiveness of the acquisition device and not requiring any interaction by the users for the segmentation of the images. METHODS: Two different approaches are proposed based on Deep Learning architectures using Convolutional Neural Networks (CNN) for the semantic segmentation of images, without needing to extract any hand-crafted features. In details, the first approach performs the automatic segmentation of images without any procedure for pre-processing the input. Conversely, the second approach performs a two-steps classification strategy: a first CNN automatically detects Regions Of Interest (ROIs); a subsequent classifier performs the semantic segmentation on the ROIs previously extracted. RESULTS: Results show that even though the detection of ROIs shows an overall high number of false positives, the subsequent semantic segmentation on the extracted ROIs allows achieving high performance in terms of mean Accuracy. However, the segmentation of the entire images input to the network remains the most accurate and reliable approach showing better performance than the previous approach. CONCLUSION: The obtained results show that both the investigated approaches are reliable for the semantic segmentation of polycystic kidneys since both the strategies reach an Accuracy higher than 85%. Also, both the investigated methodologies show performances comparable and consistent with other approaches found in literature working on images from different sources, reducing both the invasiveness of the analyses and the interaction needed by the users for performing the segmentation task.</t>
  </si>
  <si>
    <t>V. Bevilacqua, A. Brunetti, G. D. Cascarano, A. Guerriero, F. Pesce, M. Moschetta and L. Gesualdo</t>
  </si>
  <si>
    <t>Artificial intelligence for sex determination of skeletal remains: Application of a deep learning artificial neural network to human skulls</t>
  </si>
  <si>
    <t>A deep learning artificial neural network was adapted to the task of sex determination of skeletal remains. The neural network was trained on images of 900 skulls virtually reconstructed from hospital CT scans. When tested on previously unseen images of skulls, the artificial neural network showed 95% accuracy at sex determination. Artificial intelligence methods require no significant expertise to implement once trained, are rapid to use, and have the potential to eliminate human bias from sex estimation of skeletal remains.</t>
  </si>
  <si>
    <t>J. Bewes, A. Low, A. Morphett, F. D. Pate and M. Henneberg</t>
  </si>
  <si>
    <t>J Forensic Leg Med</t>
  </si>
  <si>
    <t>A brief history of artificial intelligence and robotic surgery in orthopedics &amp; traumatology and future expectations</t>
  </si>
  <si>
    <t>Recently, the rate of the production and renewal of information makes it almost impossible to be updated. It is quite difficult to process and interpret large amounts of data by human beings. Unlimited memory capacities, learning abilities, artificial intelligence (AI) applications, and robotic surgery techniques cause orthopedic surgeons to be concerned about losing their jobs. The idea of AI, which was first introduced in 1956, has evolved over time by revealing deep learning and evolutionary plexus that can mimic the human neuron cell. Image processing is the leading improvement in developed algorithms. Theoretically, these algorithms appear to be quite successful in interpreting medical images and orthopedic decision support systems for preoperative evaluation. Robotic surgeons have emerged as significant competitors in carrying out the taken decisions. The first robotic applications of orthopedic surgery started in 1992 with the ROBODOC system. Applications started with hip arthroplasty continued with knee arthroplasty. Publications indicate that problems such as blood loss and infection caused by the long operation time in the early stages have been overcome in time with the help of learning systems. Comparative studies conducted with humans indicate that robots are better than humans in providing limb lengthening, patient satisfaction, and cost. As in all new technologies, the developments in both AI applications and robotics surgery indicate that technology is in favor in terms of cost/benefit analyses. Although studies indicate that new technologies are more successful than humans, the replacement of technology with experience and long-term results with traditional methods will not be observed in the near future.</t>
  </si>
  <si>
    <t>S. Beyaz</t>
  </si>
  <si>
    <t>Jt Dis Relat Surg</t>
  </si>
  <si>
    <t>Femoral neck fracture detection in X-ray images using deep learning and genetic algorithm approaches</t>
  </si>
  <si>
    <t>OBJECTIVES: This study aims to detect frontal pelvic radiograph femoral neck fracture using deep learning techniques. PATIENTS AND METHODS: This retrospective study was conducted between January 2013 and January 2018. A total of 234 frontal pelvic X-ray images collected from 65 patients (32 males, 33 females; mean age 74.9 years; range, 33 to 89 years) were augmented to 2106 images to achieve a satisfactory dataset. A total of 1,341 images were fractured femoral necks while 765 were non-fractured ones. The proposed convolutional neural network (CNN) architecture contained five blocks, each containing a convolutional layer, batch normalization layer, rectified linear unit, and maximum pooling layer. After the last block, a dropout layer existed with a probability of 0.5. The last three layers of the architecture were a fully connected layer of two classes, a softmax layer and a classification layer that computes cross entropy loss. The training process was terminated after 50 epochs and an Adam Optimizer was used. Learning rate was dropped by a factor of 0.5 on every five epochs. To reduce overfitting, regularization term was added to the weights of the loss function. The training process was repeated for pixel sizes 50x50, 100x100, 200x200, and 400x400. The genetic algorithm (GA) approach was employed to optimize the hyperparameters of the CNN architecture and to minimize the error after testing the model created by the CNN architecture in the training phase. RESULTS: Performance in terms of sensitivity, specificity, accuracy, F1 score, and Cohen's kappa coefficient were evaluated using five- fold cross validation tests. Best performance was obtained when cropped images were rescaled to 50x50 pixels. The kappa metric showed more reliable classifier performance when 50x50 pixels image size was used to feed the CNN. The classifier performance was more reliable according to other image sizes. Sensitivity and specificity rates were computed to be 83% and 73%, respectively. With the inclusion of the GA, this rate increased by 1.6%. The detection rate of fractured bones was found to be 83%. A kappa coefficient of 55% was obtained, indicating an acceptable agreement. CONCLUSION: This experimental study utilized deep learning techniques in the detection of bone fractures in radiography. Although the dataset was unbalanced, the results can be considered promising. It was observed that use of smaller image size decreases computational cost and provides better results according to evaluation metrics.</t>
  </si>
  <si>
    <t>10.1016/j.compbiomed.2018.09.008</t>
  </si>
  <si>
    <t>Parkinson's disease: Cause factors, measurable indicators, and early diagnosis</t>
  </si>
  <si>
    <t>Parkinson's disease (PD) is a neurodegenerative disease of the central nervous system caused due to the loss of dopaminergic neurons. It is classified under movement disorder as patients with PD present with tremor, rigidity, postural changes, and a decrease in spontaneous movements. Comorbidities including anxiety, depression, fatigue, and sleep disorders are observed prior to the diagnosis of PD. Gene mutations, exposure to toxic substances, and aging are considered as the causative factors of PD even though its genesis is unknown. This paper reviews PD etiologies, progression, and in particular measurable indicators of PD such as neuroimaging and electrophysiology modalities. In addition to gene therapy, neuroprotective, pharmacological, and neural transplantation treatments, researchers are actively aiming at identifying biological markers of PD with the goal of early diagnosis. Neuroimaging modalities used together with advanced machine learning techniques offer a promising path for the early detection and intervention in PD patients.</t>
  </si>
  <si>
    <t>10.1164/rccm.201807-1351SO</t>
  </si>
  <si>
    <t>The Genetic Epidemiology of Chronic Obstructive Pulmonary Disease (COPDGene) study, which began in 2007, is an ongoing multicenter observational cohort study of more than 10,000 current and former smokers. The study is aimed at understanding the etiology, progression, and heterogeneity of chronic obstructive pulmonary disease (COPD). In addition to genetic analysis, the participants have been extensively characterized by clinical questionnaires, spirometry, volumetric inspiratory and expiratory computed tomography, and longitudinal follow-up, including follow-up computed tomography at 5 years after enrollment. The purpose of this state-of-the-art review is to summarize the major advances in our understanding of COPD resulting from the imaging findings in the COPDGene study. Imaging features that are associated with adverse clinical outcomes include early interstitial lung abnormalities, visual presence and pattern of emphysema, the ratio of pulmonary artery to ascending aortic diameter, quantitative evaluation of emphysema, airway wall thickness, and expiratory gas trapping. COPD is characterized by the early involvement of the small conducting airways, and the addition of expiratory scans has enabled measurement of small airway disease. Computational advances have enabled indirect measurement of nonemphysematous gas trapping. These metrics have provided insights into the pathogenesis and prognosis of COPD and have aided early identification of disease. Important quantifiable extrapulmonary findings include coronary artery calcification, cardiac morphology, intrathoracic and extrathoracic fat, and osteoporosis. Current active research includes identification of novel quantitative measures for emphysema and airway disease, evaluation of dose reduction techniques, and use of deep learning for phenotyping COPD.</t>
  </si>
  <si>
    <t>Am J Respir Crit Care Med</t>
  </si>
  <si>
    <t>Deep learning and medical image processing for coronavirus (COVID-19) pandemic: A survey</t>
  </si>
  <si>
    <t>Since December 2019, the coronavirus disease (COVID-19) outbreak has caused many death cases and affected all sectors of human life. With gradual progression of time, COVID-19 was declared by the world health organization (WHO) as an outbreak, which has imposed a heavy burden on almost all countries, especially ones with weaker health systems and ones with slow responses. In the field of healthcare, deep learning has been implemented in many applications, e.g., diabetic retinopathy detection, lung nodule classification, fetal localization, and thyroid diagnosis. Numerous sources of medical images (e.g., X-ray, CT, and MRI) make deep learning a great technique to combat the COVID-19 outbreak. Motivated by this fact, a large number of research works have been proposed and developed for the initial months of 2020. In this paper, we first focus on summarizing the state-of-the-art research works related to deep learning applications for COVID-19 medical image processing. Then, we provide an overview of deep learning and its applications to healthcare found in the last decade. Next, three use cases in China, Korea, and Canada are also presented to show deep learning applications for COVID-19 medical image processing. Finally, we discuss several challenges and issues related to deep learning implementations for COVID-19 medical image processing, which are expected to drive further studies in controlling the outbreak and controlling the crisis, which results in smart healthy cities.</t>
  </si>
  <si>
    <t>Sustain Cities Soc</t>
  </si>
  <si>
    <t>10.3322/caac.21552</t>
  </si>
  <si>
    <t>Artificial intelligence in cancer imaging: Clinical challenges and applications</t>
  </si>
  <si>
    <t>Judgement, as one of the core tenets of medicine, relies upon the integration of multilayered data with nuanced decision making. Cancer offers a unique context for medical decisions given not only its variegated forms with evolution of disease but also the need to take into account the individual condition of patients, their ability to receive treatment, and their responses to treatment. Challenges remain in the accurate detection, characterization, and monitoring of cancers despite improved technologies. Radiographic assessment of disease most commonly relies upon visual evaluations, the interpretations of which may be augmented by advanced computational analyses. In particular, artificial intelligence (AI) promises to make great strides in the qualitative interpretation of cancer imaging by expert clinicians, including volumetric delineation of tumors over time, extrapolation of the tumor genotype and biological course from its radiographic phenotype, prediction of clinical outcome, and assessment of the impact of disease and treatment on adjacent organs. AI may automate processes in the initial interpretation of images and shift the clinical workflow of radiographic detection, management decisions on whether or not to administer an intervention, and subsequent observation to a yet to be envisioned paradigm. Here, the authors review the current state of AI as applied to medical imaging of cancer and describe advances in 4 tumor types (lung, brain, breast, and prostate) to illustrate how common clinical problems are being addressed. Although most studies evaluating AI applications in oncology to date have not been vigorously validated for reproducibility and generalizability, the results do highlight increasingly concerted efforts in pushing AI technology to clinical use and to impact future directions in cancer care.</t>
  </si>
  <si>
    <t>CA Cancer J Clin</t>
  </si>
  <si>
    <t>Uncertainty-aware domain alignment for anatomical structure segmentation</t>
  </si>
  <si>
    <t>Automatic and accurate segmentation of anatomical structures on medical images is crucial for detecting various potential diseases. However, the segmentation performance of established deep neural networks may degenerate on different modalities or devices owing to the significant difference across the domains, a problem known as domain shift. In this work, we propose an uncertainty-aware domain alignment framework to address the domain shift problem in the cross-domain Unsupervised Domain Adaptation (UDA) task. Specifically, we design an Uncertainty Estimation and Segmentation Module (UESM) to obtain the uncertainty map estimation. Then, a novel Uncertainty-aware Cross Entropy (UCE) loss is proposed to leverage the uncertainty information to boost the segmentation performance on highly uncertain regions. To further improve the performance in the UDA task, an Uncertainty-aware Self-Training (UST) strategy is developed to choose the optimal target samples by uncertainty guidance. In addition, the Uncertainty Feature Recalibration Module (UFRM) is applied to enforce the framework to minimize the cross-domain discrepancy. The proposed framework is evaluated on a private cross-device Optical Coherence Tomography (OCT) dataset and a public cross-modality cardiac dataset released by MMWHS 2017. Extensive experiments indicate that the proposed UESM is both efficient and effective for the uncertainty estimation in the UDA task, achieving state-of-the-art performance on both cross-modality and cross-device datasets.</t>
  </si>
  <si>
    <t>10.1016/j.canrad.2020.01.011</t>
  </si>
  <si>
    <t>Radiomics: A primer for the radiation oncologist</t>
  </si>
  <si>
    <t>PURPOSE: Radiomics are a set of methods used to leverage medical imaging and extract quantitative features that can characterize a patient's phenotype. All modalities can be used with several different software packages. Specific informatics methods can then be used to create meaningful predictive models. In this review, we will explain the major steps of a radiomics analysis pipeline and then present the studies published in the context of radiation therapy. METHODS: A literature review was performed on Medline using the search engine PubMed. The search strategy included the search terms radiotherapy, radiation oncology and radiomics. The search was conducted in July 2019 and reference lists of selected articles were hand searched for relevance to this review. RESULTS: A typical radiomics workflow always includes five steps: imaging and segmenting, data curation and preparation, feature extraction, exploration and selection and finally modeling. In radiation oncology, radiomics studies have been published to explore different clinical outcome in lung (n=5), head and neck (n=5), esophageal (n=3), rectal (n=3), pancreatic (n=2) cancer and brain metastases (n=2). The quality of these retrospective studies is heterogeneous and their results have not been translated to the clinic. CONCLUSION: Radiomics has a great potential to predict clinical outcome and better personalize treatment. But the field is still young and constantly evolving. Improvement in bias reduction techniques and multicenter studies will hopefully allow more robust and generalizable models.</t>
  </si>
  <si>
    <t>Cancer Radiother</t>
  </si>
  <si>
    <t>IoMT-Based Automated Detection and Classification of Leukemia Using Deep Learning</t>
  </si>
  <si>
    <t>For the last few years, computer-aided diagnosis (CAD) has been increasing rapidly. Numerous machine learning algorithms have been developed to identify different diseases, e.g., leukemia. Leukemia is a white blood cells- (WBC-) related illness affecting the bone marrow and/or blood. A quick, safe, and accurate early-stage diagnosis of leukemia plays a key role in curing and saving patients' lives. Based on developments, leukemia consists of two primary forms, i.e., acute and chronic leukemia. Each form can be subcategorized as myeloid and lymphoid. There are, therefore, four leukemia subtypes. Various approaches have been developed to identify leukemia with respect to its subtypes. However, in terms of effectiveness, learning process, and performance, these methods require improvements. This study provides an Internet of Medical Things- (IoMT-) based framework to enhance and provide a quick and safe identification of leukemia. In the proposed IoMT system, with the help of cloud computing, clinical gadgets are linked to network resources. The system allows real-time coordination for testing, diagnosis, and treatment of leukemia among patients and healthcare professionals, which may save both time and efforts of patients and clinicians. Moreover, the presented framework is also helpful for resolving the problems of patients with critical condition in pandemics such as COVID-19. The methods used for the identification of leukemia subtypes in the suggested framework are Dense Convolutional Neural Network (DenseNet-121) and Residual Convolutional Neural Network (ResNet-34). Two publicly available datasets for leukemia, i.e., ALL-IDB and ASH image bank, are used in this study. The results demonstrated that the suggested models supersede the other well-known machine learning algorithms used for healthy-versus-leukemia-subtypes identification.</t>
  </si>
  <si>
    <t>Deep-learning-assisted diagnosis for knee magnetic resonance imaging: Development and retrospective validation of MRNet</t>
  </si>
  <si>
    <t>BACKGROUND: Magnetic resonance imaging (MRI) of the knee is the preferred method for diagnosing knee injuries. However, interpretation of knee MRI is time-intensive and subject to diagnostic error and variability. An automated system for interpreting knee MRI could prioritize high-risk patients and assist clinicians in making diagnoses. Deep learning methods, in being able to automatically learn layers of features, are well suited for modeling the complex relationships between medical images and their interpretations. In this study we developed a deep learning model for detecting general abnormalities and specific diagnoses (anterior cruciate ligament [ACL] tears and meniscal tears) on knee MRI exams. We then measured the effect of providing the model's predictions to clinical experts during interpretation. METHODS AND FINDINGS: Our dataset consisted of 1,370 knee MRI exams performed at Stanford University Medical Center between January 1, 2001, and December 31, 2012 (mean age 38.0 years; 569 [41.5%] female patients). The majority vote of 3 musculoskeletal radiologists established reference standard labels on an internal validation set of 120 exams. We developed MRNet, a convolutional neural network for classifying MRI series and combined predictions from 3 series per exam using logistic regression. In detecting abnormalities, ACL tears, and meniscal tears, this model achieved area under the receiver operating characteristic curve (AUC) values of 0.937 (95% CI 0.895, 0.980), 0.965 (95% CI 0.938, 0.993), and 0.847 (95% CI 0.780, 0.914), respectively, on the internal validation set. We also obtained a public dataset of 917 exams with sagittal T1-weighted series and labels for ACL injury from Clinical Hospital Centre Rijeka, Croatia. On the external validation set of 183 exams, the MRNet trained on Stanford sagittal T2-weighted series achieved an AUC of 0.824 (95% CI 0.757, 0.892) in the detection of ACL injuries with no additional training, while an MRNet trained on the rest of the external data achieved an AUC of 0.911 (95% CI 0.864, 0.958). We additionally measured the specificity, sensitivity, and accuracy of 9 clinical experts (7 board-certified general radiologists and 2 orthopedic surgeons) on the internal validation set both with and without model assistance. Using a 2-sided Pearson's chi-squared test with adjustment for multiple comparisons, we found no significant differences between the performance of the model and that of unassisted general radiologists in detecting abnormalities. General radiologists achieved significantly higher sensitivity in detecting ACL tears (p-value = 0.002; q-value = 0.019) and significantly higher specificity in detecting meniscal tears (p-value = 0.003; q-value = 0.019). Using a 1-tailed t test on the change in performance metrics, we found that providing model predictions significantly increased clinical experts' specificity in identifying ACL tears (p-value &lt; 0.001; q-value = 0.006). The primary limitations of our study include lack of surgical ground truth and the small size of the panel of clinical experts. CONCLUSIONS: Our deep learning model can rapidly generate accurate clinical pathology classifications of knee MRI exams from both internal and external datasets. Moreover, our results support the assertion that deep learning models can improve the performance of clinical experts during medical imaging interpretation. Further research is needed to validate the model prospectively and to determine its utility in the clinical setting.</t>
  </si>
  <si>
    <t>N. Bien, P. Rajpurkar, R. L. Ball, J. Irvin, A. Park, E. Jones, M. Bereket, B. N. Patel, K. W. Yeom, K. Shpanskaya, S. Halabi, E. Zucker, G. Fanton, D. F. Amanatullah, C. F. Beaulieu, G. M. Riley, R. J. Stewart, F. G. Blankenberg, D. B. Larson, R. H. Jones, C. P. Langlotz, A. Y. Ng and M. P. Lungren</t>
  </si>
  <si>
    <t>PLoS Med</t>
  </si>
  <si>
    <t>Explainable Anatomical Shape Analysis Through Deep Hierarchical Generative Models</t>
  </si>
  <si>
    <t>Quantification of anatomical shape changes currently relies on scalar global indexes which are largely insensitive to regional or asymmetric modifications. Accurate assessment of pathology-driven anatomical remodeling is a crucial step for the diagnosis and treatment of many conditions. Deep learning approaches have recently achieved wide success in the analysis of medical images, but they lack interpretability in the feature extraction and decision processes. In this work, we propose a new interpretable deep learning model for shape analysis. In particular, we exploit deep generative networks to model a population of anatomical segmentations through a hierarchy of conditional latent variables. At the highest level of this hierarchy, a two-dimensional latent space is simultaneously optimised to discriminate distinct clinical conditions, enabling the direct visualisation of the classification space. Moreover, the anatomical variability encoded by this discriminative latent space can be visualised in the segmentation space thanks to the generative properties of the model, making the classification task transparent. This approach yielded high accuracy in the categorisation of healthy and remodelled left ventricles when tested on unseen segmentations from our own multi-centre dataset as well as in an external validation set, and on hippocampi from healthy controls and patients with Alzheimer's disease when tested on ADNI data. More importantly, it enabled the visualisation in three-dimensions of both global and regional anatomical features which better discriminate between the conditions under exam. The proposed approach scales effectively to large populations, facilitating high-throughput analysis of normal anatomy and pathology in large-scale studies of volumetric imaging.</t>
  </si>
  <si>
    <t>Highly accelerated multishot echo planar imaging through synergistic machine learning and joint reconstruction</t>
  </si>
  <si>
    <t>PURPOSE: To introduce a combined machine learning (ML)- and physics-based image reconstruction framework that enables navigator-free, highly accelerated multishot echo planar imaging (msEPI) and demonstrate its application in high-resolution structural and diffusion imaging. METHODS: Single-shot EPI is an efficient encoding technique, but does not lend itself well to high-resolution imaging because of severe distortion artifacts and blurring. Although msEPI can mitigate these artifacts, high-quality msEPI has been elusive because of phase mismatch arising from shot-to-shot variations which preclude the combination of the multiple-shot data into a single image. We utilize deep learning to obtain an interim image with minimal artifacts, which permits estimation of image phase variations attributed to shot-to-shot changes. These variations are then included in a joint virtual coil sensitivity encoding (JVC-SENSE) reconstruction to utilize data from all shots and improve upon the ML solution. RESULTS: Our combined ML + physics approach enabled R(inplane) × multiband (MB) = 8- × 2-fold acceleration using 2 EPI shots for multiecho imaging, so that whole-brain T(2) and T(2) * parameter maps could be derived from an 8.3-second acquisition at 1 × 1 × 3-mm(3) resolution. This has also allowed high-resolution diffusion imaging with high geometrical fidelity using 5 shots at R(inplane) × MB = 9- × 2-fold acceleration. To make these possible, we extended the state-of-the-art MUSSELS reconstruction technique to simultaneous multislice encoding and used it as an input to our ML network. CONCLUSION: Combination of ML and JVC-SENSE enabled navigator-free msEPI at higher accelerations than previously possible while using fewer shots, with reduced vulnerability to poor generalizability and poor acceptance of end-to-end ML approaches.</t>
  </si>
  <si>
    <t>Optic Disc Classification by Deep Learning versus Expert Neuro-Ophthalmologists</t>
  </si>
  <si>
    <t>OBJECTIVE: To compare the diagnostic performance of an artificial intelligence deep learning system with that of expert neuro-ophthalmologists in classifying optic disc appearance. METHODS: The deep learning system was previously trained and validated on 14,341 ocular fundus photographs from 19 international centers. The performance of the system was evaluated on 800 new fundus photographs (400 normal optic discs, 201 papilledema [disc edema from elevated intracranial pressure], 199 other optic disc abnormalities) and compared with that of 2 expert neuro-ophthalmologists who independently reviewed the same randomly presented images without clinical information. Area under the receiver operating characteristic curve, accuracy, sensitivity, and specificity were calculated. RESULTS: The system correctly classified 678 of 800 (84.7%) photographs, compared with 675 of 800 (84.4%) for Expert 1 and 641 of 800 (80.1%) for Expert 2. The system yielded areas under the receiver operating characteristic curve of 0.97 (95% confidence interval [CI] = 0.96-0.98), 0.96 (95% CI = 0.94-0.97), and 0.89 (95% CI = 0.87-0.92) for the detection of normal discs, papilledema, and other disc abnormalities, respectively. The accuracy, sensitivity, and specificity of the system's classification of optic discs were similar to or better than the 2 experts. Intergrader agreement at the eye level was 0.71 (95% CI = 0.67-0.76) between Expert 1 and Expert 2, 0.72 (95% CI = 0.68-0.76) between the system and Expert 1, and 0.65 (95% CI = 0.61-0.70) between the system and Expert 2. INTERPRETATION: The performance of this deep learning system at classifying optic disc abnormalities was at least as good as 2 expert neuro-ophthalmologists. Future prospective studies are needed to validate this system as a diagnostic aid in relevant clinical settings. ANN NEUROL 2020;88:785-795.</t>
  </si>
  <si>
    <t>Ann Neurol</t>
  </si>
  <si>
    <t>10.3390/genes10070493</t>
  </si>
  <si>
    <t>Super-Resolution Microscopy of Chromatin</t>
  </si>
  <si>
    <t>Since the advent of super-resolution microscopy, countless approaches and studies have been published contributing significantly to our understanding of cellular processes. With the aid of chromatin-specific fluorescence labeling techniques, we are gaining increasing insight into gene regulation and chromatin organization. Combined with super-resolution imaging and data analysis, these labeling techniques enable direct assessment not only of chromatin interactions but also of the function of specific chromatin conformational states.</t>
  </si>
  <si>
    <t>U. J. Birk</t>
  </si>
  <si>
    <t>Genes (Basel)</t>
  </si>
  <si>
    <t>Deep learning strategy for accurate carotid intima-media thickness measurement: An ultrasound study on Japanese diabetic cohort</t>
  </si>
  <si>
    <t>MOTIVATION: The carotid intima-media thickness (cIMT) is an important biomarker for cardiovascular diseases and stroke monitoring. This study presents an intelligence-based, novel, robust, and clinically-strong strategy that uses a combination of deep-learning (DL) and machine-learning (ML) paradigms. METHODOLOGY: A two-stage DL-based system (a class of AtheroEdge™ systems) was proposed for cIMT measurements. Stage I consisted of a convolution layer-based encoder for feature extraction and a fully convolutional network-based decoder for image segmentation. This stage generated the raw inner lumen borders and raw outer interadventitial borders. To smooth these borders, the DL system used a cascaded stage II that consisted of ML-based regression. The final outputs were the far wall lumen-intima (LI) and media-adventitia (MA) borders which were used for cIMT measurements. There were two sets of gold standards during the DL design, therefore two sets of DL systems (DL1 and DL2) were derived. RESULTS: A total of 396 B-mode ultrasound images of the right and left common carotid artery were used from 203 patients (Institutional Review Board approved, Toho University, Japan). For the test set, the cIMT error for the DL1 and DL2 systems with respect to the gold standard was 0.126 ± 0.134 and 0.124 ± 0.100 mm, respectively. The corresponding LI error for the DL1 and DL2 systems was 0.077 ± 0.057 and 0.077 ± 0.049 mm, respectively, while the corresponding MA error for DL1 and DL2 was 0.113 ± 0.105 and 0.109 ± 0.088 mm, respectively. The results showed up to 20% improvement in cIMT readings for the DL system compared to the sonographer's readings. Four statistical tests were conducted to evaluate reliability, stability, and statistical significance. CONCLUSION: The results showed that the performance of the DL-based approach was superior to the nonintelligence-based conventional methods that use spatial intensities alone. The DL system can be used for stroke risk assessment during routine or clinical trial modes.</t>
  </si>
  <si>
    <t>M. Biswas, V. Kuppili, T. Araki, D. R. Edla, E. C. Godia, L. Saba, H. S. Suri, T. Omerzu, J. R. Laird, N. N. Khanna, A. Nicolaides and J. S. Suri</t>
  </si>
  <si>
    <t>Symtosis: A liver ultrasound tissue characterization and risk stratification in optimized deep learning paradigm</t>
  </si>
  <si>
    <t>Background and Objective Fatty Liver Disease (FLD) - a disease caused by deposition of fat in liver cells, is predecessor to terminal diseases such as liver cancer. The machine learning (ML) techniques applied for FLD detection and risk stratification using ultrasound (US) have limitations in computing tissue characterization features, thereby limiting the accuracy. Methods Under the class of Symtosis for FLD detection and risk stratification, this study presents a Deep Learning (DL)-based paradigm that computes nearly seven million weights per image when passed through a 22 layered neural network during the cross-validation (training and testing) paradigm. The DL architecture consists of cascaded layers of operations such as: convolution, pooling, rectified linear unit, dropout and a special block called inception model that provides speed and efficiency. All data analysis is performed in optimized tissue region, obtained by removing background information. We benchmark the DL system against the conventional ML protocols: support vector machine (SVM) and extreme learning machine (ELM). Results The liver US data consists of 63 patients (27 normal/36 abnormal). Using the K10 cross-validation protocol (90% training and 10% testing), the detection and risk stratification accuracies are: 82%, 92% and 100% for SVM, ELM and DL systems, respectively. The corresponding area under the curve is: 0.79, 0.92 and 1.0, respectively. We further validate our DL system using two class biometric facial data that yields an accuracy of 99%. Conclusion DL system shows a superior performance for liver detection and risk stratification compared to conventional machine learning systems: SVM and ELM.</t>
  </si>
  <si>
    <t>M. Biswas, V. Kuppili, D. R. Edla, H. S. Suri, L. Saba, R. T. Marinhoe, J. M. Sanches and J. S. Suri</t>
  </si>
  <si>
    <t>State-of-the-art review on deep learning in medical imaging</t>
  </si>
  <si>
    <t>Deep learning (DL) is affecting each and every sphere of public and private lives and becoming a tool for daily use. The power of DL lies in the fact that it tries to imitate the activities of neurons in the neocortex of human brain where the thought process takes place. Therefore, like the brain, it tries to learn and recognize patterns in the form of digital images. This power is built on the depth of many layers of computing neurons backed by high power processors and graphics processing units (GPUs) easily available today. In the current scenario, we have provided detailed survey of various types of DL systems available today, and specifically, we have concentrated our efforts on current applications of DL in medical imaging. We have also focused our efforts on explaining the readers the rapid transition of technology from machine learning to DL and have tried our best in reasoning this paradigm shift. Further, a detailed analysis of complexities involved in this shift and possible benefits accrued by the users and developers.</t>
  </si>
  <si>
    <t>Front Biosci (Landmark Ed)</t>
  </si>
  <si>
    <t>Deep learning fully convolution network for lumen characterization in diabetic patients using carotid ultrasound: a tool for stroke risk</t>
  </si>
  <si>
    <t>Manual ultrasound (US)-based methods are adapted for lumen diameter (LD) measurement to estimate the risk of stroke but they are tedious, error prone, and subjective causing variability. We propose an automated deep learning (DL)-based system for lumen detection. The system consists of a combination of two DL systems: encoder and decoder for lumen segmentation. The encoder employs a 13-layer convolution neural network model (CNN) for rich feature extraction. The decoder employs three up-sample layers of fully convolution network (FCN) for lumen segmentation. Three sets of manual tracings were used during the training paradigm leading to the design of three DL systems. Cross-validation protocol was implemented for all three DL systems. Using the polyline distance metric, the precision of merit for three DL systems over 407 US scans was 99.61%, 97.75%, and 99.89%, respectively. The Jaccard index and Dice similarity of DL lumen segmented region against three ground truth (GT) regions were 0.94, 0.94, and 0.93 and 0.97, 0.97, and 0.97, respectively. The corresponding AUC for three DL systems was 0.95, 0.91, and 0.93. The experimental results demonstrated superior performance of proposed deep learning system over conventional methods in literature. Graphical abstract ᅟ.</t>
  </si>
  <si>
    <t>M. Biswas, V. Kuppili, L. Saba, D. R. Edla, H. S. Suri, A. Sharma, E. Cuadrado-Godia, J. R. Laird, A. Nicolaides and J. S. Suri</t>
  </si>
  <si>
    <t>Dynamic MRI using model-based deep learning and SToRM priors: MoDL-SToRM</t>
  </si>
  <si>
    <t>PURPOSE: To introduce a novel framework to combine deep-learned priors along with complementary image regularization penalties to reconstruct free breathing &amp; ungated cardiac MRI data from highly undersampled multi-channel measurements. METHODS: Image recovery is formulated as an optimization problem, where the cost function is the sum of data consistency term, convolutional neural network (CNN) denoising prior, and SmooThness regularization on manifolds (SToRM) prior that exploits the manifold structure of images in the dataset. An iterative algorithm, which alternates between denoizing of the image data using CNN and SToRM, and conjugate gradients (CG) step that minimizes the data consistency cost is introduced. Unrolling the iterative algorithm yields a deep network, which is trained using exemplar data. RESULTS: The experimental results demonstrate that the proposed framework can offer fast recovery of free breathing and ungated cardiac MRI data from less than 8.2s of acquisition time per slice. The reconstructions are comparable in image quality to SToRM reconstructions from 42s of acquisition time, offering a fivefold reduction in scan time. CONCLUSIONS: The results show the benefit in combining deep learned CNN priors with complementary image regularization penalties. Specifically, this work demonstrates the benefit in combining the CNN prior that exploits local and population generalizable redundancies together with SToRM, which capitalizes on patient-specific information including cardiac and respiratory patterns. The synergistic combination is facilitated by the proposed framework.</t>
  </si>
  <si>
    <t>A large-scale optical microscopy image dataset of potato tuber for deep learning based plant cell assessment</t>
  </si>
  <si>
    <t>We present a new large-scale three-fold annotated microscopy image dataset, aiming to advance the plant cell biology research by exploring different cell microstructures including cell size and shape, cell wall thickness, intercellular space, etc. in deep learning (DL) framework. This dataset includes 9,811 unstained and 6,127 stained (safranin-o, toluidine blue-o, and lugol's-iodine) images with three-fold annotation including physical, morphological, and tissue grading based on weight, different section area, and tissue zone respectively. In addition, we prepared ground truth segmentation labels for three different tuber weights. We have validated the pertinence of annotations by performing multi-label cell classification, employing convolutional neural network (CNN), VGG16, for unstained and stained images. The accuracy has been achieved up to 0.94, while, F2-score reaches to 0.92. Furthermore, the ground truth labels have been verified by semantic segmentation algorithm using UNet architecture which presents the mean intersection of union up to 0.70. Hence, the overall results show that the data are very much efficient and could enrich the domain of microscopy plant cell analysis for DL-framework.</t>
  </si>
  <si>
    <t>Sci Data</t>
  </si>
  <si>
    <t>10.1016/j.biopha.2018.07.175</t>
  </si>
  <si>
    <t>Algorithms for red lesion detection in Diabetic Retinopathy: A review</t>
  </si>
  <si>
    <t>Diabetic Retinopathy (DR) is an outcome of prolonged diabetes which directly or indirectly affect the human vision. DR is asymptomatic in its early stages and the late diagnosis lead to undeviating loss of vision. The computer aided diagnosis with the assistance of medical images helps in timely and accurate treatment. Microaneurysms (MA) mark the onset of DR, thus a vital point in screening of this disease. This review discuses various state of the art methods available till date for automated computer aided analysis of microaneurysms and haemorrhages. The paper also highlights qualitative and quantitative comparison of the existing literature with limitations for analysis of microaneurysms and haemorrhages. It is an attempt to systematize the available algorithms for an easy gathering and guidance to researchers working in this domain for future research.</t>
  </si>
  <si>
    <t>Biomed Pharmacother</t>
  </si>
  <si>
    <t>Evaluating reproducibility of AI algorithms in digital pathology with DAPPER</t>
  </si>
  <si>
    <t>Artificial Intelligence is exponentially increasing its impact on healthcare. As deep learning is mastering computer vision tasks, its application to digital pathology is natural, with the promise of aiding in routine reporting and standardizing results across trials. Deep learning features inferred from digital pathology scans can improve validity and robustness of current clinico-pathological features, up to identifying novel histological patterns, e.g., from tumor infiltrating lymphocytes. In this study, we examine the issue of evaluating accuracy of predictive models from deep learning features in digital pathology, as an hallmark of reproducibility. We introduce the DAPPER framework for validation based on a rigorous Data Analysis Plan derived from the FDA's MAQC project, designed to analyze causes of variability in predictive biomarkers. We apply the framework on models that identify tissue of origin on 787 Whole Slide Images from the Genotype-Tissue Expression (GTEx) project. We test three different deep learning architectures (VGG, ResNet, Inception) as feature extractors and three classifiers (a fully connected multilayer, Support Vector Machine and Random Forests) and work with four datasets (5, 10, 20 or 30 classes), for a total of 53, 000 tiles at 512 × 512 resolution. We analyze accuracy and feature stability of the machine learning classifiers, also demonstrating the need for diagnostic tests (e.g., random labels) to identify selection bias and risks for reproducibility. Further, we use the deep features from the VGG model from GTEx on the KIMIA24 dataset for identification of slide of origin (24 classes) to train a classifier on 1, 060 annotated tiles and validated on 265 unseen ones. The DAPPER software, including its deep learning pipeline and the Histological Imaging-Newsy Tiles (HINT) benchmark dataset derived from GTEx, is released as a basis for standardization and validation initiatives in AI for digital pathology.</t>
  </si>
  <si>
    <t>A. Bizzego, N. Bussola, M. Chierici, V. Maggio, M. Francescatto, L. Cima, M. Cristoforetti, G. Jurman and C. Furlanello</t>
  </si>
  <si>
    <t>PLoS Comput Biol</t>
  </si>
  <si>
    <t>Deep learning computer vision algorithm for detecting kidney stone composition</t>
  </si>
  <si>
    <t>OBJECTIVES: To assess the recall of a deep learning (DL) method to automatically detect kidney stones composition from digital photographs of stones. MATERIALS AND METHODS: A total of 63 human kidney stones of varied compositions were obtained from a stone laboratory including calcium oxalate monohydrate (COM), uric acid (UA), magnesium ammonium phosphate hexahydrate (MAPH/struvite), calcium hydrogen phosphate dihydrate (CHPD/brushite), and cystine stones. At least two images of the stones, both surface and inner core, were captured on a digital camera for all stones. A deep convolutional neural network (CNN), ResNet-101 (ResNet, Microsoft), was applied as a multi-class classification model, to each image. This model was assessed using leave-one-out cross-validation with the primary outcome being network prediction recall. RESULTS: The composition prediction recall for each composition was as follows: UA 94% (n = 17), COM 90% (n = 21), MAPH/struvite 86% (n = 7), cystine 75% (n = 4), CHPD/brushite 71% (n = 14). The overall weighted recall of the CNNs composition analysis was 85% for the entire cohort. Specificity and precision for each stone type were as follows: UA (97.83%, 94.12%), COM (97.62%, 95%), struvite (91.84%, 71.43%), cystine (98.31%, 75%), and brushite (96.43%, 75%). CONCLUSION: Deep CNNs can be used to identify kidney stone composition from digital photographs with good recall. Future work is needed to see if DL can be used for detecting stone composition during digital endoscopy. This technology may enable integrated endoscopic and laser systems that automatically provide laser settings based on stone composition recognition with the goal to improve surgical efficiency.</t>
  </si>
  <si>
    <t>Are Convolutional Neural Networks Trained on ImageNet Images Wearing Rose-Colored Glasses?: A Quantitative Comparison of ImageNet, Computed Tomographic, Magnetic Resonance, Chest X-Ray, and Point-of-Care Ultrasound Images for Quality</t>
  </si>
  <si>
    <t>OBJECTIVES: Deep learning for medical imaging analysis uses convolutional neural networks pretrained on ImageNet (Stanford Vision Lab, Stanford, CA). Little is known about how such color- and scene-rich standard training images compare quantitatively to medical images. We sought to quantitatively compare ImageNet images to point-of-care ultrasound (POCUS), computed tomographic (CT), magnetic resonance (MR), and chest x-ray (CXR) images. METHODS: Using a quantitative image quality assessment technique (Blind/Referenceless Image Spatial Quality Evaluator), we compared images based on pixel complexity, relationships, variation, and distinguishing features. We compared 5500 ImageNet images to 2700 CXR, 2300 CT, 1800 MR, and 18,000 POCUS images. Image quality results ranged from 0 to 100 (worst). A 1-way analysis of variance was performed, and the standardized mean-difference effect size value (d) was calculated. RESULTS: ImageNet images showed the best image quality rating of 21.7 (95% confidence interval [CI], 0.41) except for CXR at 13.2 (95% CI, 0.28), followed by CT at 35.1 (95% CI, 0.79), MR at 31.6 (95% CI, 0.75), and POCUS at 56.6 (95% CI, 0.21). The differences between ImageNet and all of the medical images were statistically significant (P ≤ .000001). The greatest difference in image quality was between ImageNet and POCUS (d = 2.38). CONCLUSIONS: Point-of-care ultrasound (US) quality is significantly different from that of ImageNet and other medical images. This brings considerable implications for convolutional neural network training with medical images for various applications, which may be even more significant in the case of US images. Ultrasound deep learning developers should consider pretraining networks from scratch on US images, as training techniques used for CT, CXR, and MR images may not apply to US.</t>
  </si>
  <si>
    <t>J Ultrasound Med</t>
  </si>
  <si>
    <t>10.1016/j.pnmrs.2018.11.001</t>
  </si>
  <si>
    <t>MR approaches in neurodegenerative disorders</t>
  </si>
  <si>
    <t>Neurodegenerative disease is the umbrella term which refers to a range of clinical conditions causing degeneration of neurons within the central nervous system leading to loss of brain function and eventual death. The most prevalent of these is Alzheimer's disease (AD), which affects approximately 50 million people worldwide and is predicted to reach 75 million by 2030. Neurodegenerative diseases can only be fully diagnosed at post mortem by neuropathological assessment of the type and distribution of protein deposits which characterise each different condition, but there is a clear role for imaging technologies in aiding patient diagnoses in life. Magnetic resonance imaging (MRI) and spectroscopy (MRS) techniques have been applied to study these conditions for many years. In this review, we consider the range of MR-based measurements and describe the findings in AD, but also contrast these with the second most common dementia, dementia with Lewy bodies (DLB). The most definitive observation is the major structural brain changes seen in AD using conventional T1-weighted (T1w) MRI, where medial temporal lobe structures are notably atrophied in most symptomatic patients with AD, but often preserved in DLB. Indeed these findings are sufficiently robust to have been incorporated into clinical diagnostic criteria. Diffusion tensor imaging (DTI) reveals widespread changes in tissue microstructure, with increased mean diffusivity and decreased fractional anisotropy reflecting the degeneration of the white matter structures. There are suggestions that there are subtle differences between AD and DLB populations. At the metabolic level, atrophy-corrected MRS demonstrates reduced density of healthy neurons in brain areas with altered perfusion and in regions known to show higher deposits of pathogenic proteins. As studies have moved from patients with advanced disease and clear dysfunction to patients with earlier presentation such as with mild cognitive impairment (MCI), which in some represents the first signs of their ensuing dementia, the ability of MRI to detect differences has been weaker and further work is still required, ideally in much larger cohorts than previously studied. The vast majority of imaging research in dementia populations has been univariate with respect to the MR-derived parameters considered. To date, none of these measurements has uniquely replicated the patterns of tissue involvement seen by neuropathology, and the ability of MR techniques to deliver a non-invasive diagnosis eludes us. Future opportunities may lie in combining MR and nuclear medicine approaches (position emission tomography, PET) to provide a more complete view of structural and metabolic changes. Such developments will require multi-variate analyses, possibly combined with artificial intelligence or deep learning algorithms, to enhance our ability to combine the array of image-derived information, genetic, gender and lifestyle factors.</t>
  </si>
  <si>
    <t>A. M. Blamire</t>
  </si>
  <si>
    <t>Prog Nucl Magn Reson Spectrosc</t>
  </si>
  <si>
    <t>Prognostic value of anthropometric measures extracted from whole-body CT using deep learning in patients with non-small-cell lung cancer</t>
  </si>
  <si>
    <t>INTRODUCTION: The aim of the study was to extract anthropometric measures from CT by deep learning and to evaluate their prognostic value in patients with non-small-cell lung cancer (NSCLC). METHODS: A convolutional neural network was trained to perform automatic segmentation of subcutaneous adipose tissue (SAT), visceral adipose tissue (VAT), and muscular body mass (MBM) from low-dose CT images in 189 patients with NSCLC who underwent pretherapy PET/CT. After a fivefold cross-validation in a subset of 35 patients, anthropometric measures extracted by deep learning were normalized to the body surface area (BSA) to control the various patient morphologies. VAT/SAT ratio and clinical parameters were included in a Cox proportional-hazards model for progression-free survival (PFS) and overall survival (OS). RESULTS: Inference time for a whole volume was about 3 s. Mean Dice similarity coefficients in the validation set were 0.95, 0.93, and 0.91 for SAT, VAT, and MBM, respectively. For PFS prediction, T-stage, N-stage, chemotherapy, radiation therapy, and VAT/SAT ratio were associated with disease progression on univariate analysis. On multivariate analysis, only N-stage (HR = 1.7 [1.2-2.4]; p = 0.006), radiation therapy (HR = 2.4 [1.0-5.4]; p = 0.04), and VAT/SAT ratio (HR = 10.0 [2.7-37.9]; p &lt; 0.001) remained significant prognosticators. For OS, male gender, smoking status, N-stage, a lower SAT/BSA ratio, and a higher VAT/SAT ratio were associated with mortality on univariate analysis. On multivariate analysis, male gender (HR = 2.8 [1.2-6.7]; p = 0.02), N-stage (HR = 2.1 [1.5-2.9]; p &lt; 0.001), and the VAT/SAT ratio (HR = 7.9 [1.7-37.1]; p &lt; 0.001) remained significant prognosticators. CONCLUSION: The BSA-normalized VAT/SAT ratio is an independent predictor of both PFS and OS in NSCLC patients. KEY POINTS: • Deep learning will make CT-derived anthropometric measures clinically usable as they are currently too time-consuming to calculate in routine practice. • Whole-body CT-derived anthropometrics in non-small-cell lung cancer are associated with progression-free survival and overall survival. • A priori medical knowledge can be implemented in the neural network loss function calculation.</t>
  </si>
  <si>
    <t>Multimodal 3D medical image registration guided by shape encoder-decoder networks</t>
  </si>
  <si>
    <t>PURPOSE: Nonlinear multimodal image registration, for example, the fusion of computed tomography (CT) and magnetic resonance imaging (MRI), fundamentally depends on a definition of image similarity. Previous methods that derived modality-invariant representations focused on either global statistical grayscale relations or local structural similarity, both of which are prone to local optima. In contrast to most learning-based methods that rely on strong supervision of aligned multimodal image pairs, we aim to overcome this limitation for further practical use cases. METHODS: We propose a new concept that exploits anatomical shape information and requires only segmentation labels for both modalities individually. First, a shape-constrained encoder-decoder segmentation network without skip connections is jointly trained on labeled CT and MRI inputs. Second, an iterative energy-based minimization scheme is introduced that relies on the capability of the network to generate intermediate nonlinear shape representations. This further eases the multimodal alignment in the case of large deformations. RESULTS: Our novel approach robustly and accurately aligns 3D scans from the multimodal whole-heart segmentation dataset, outperforming classical unsupervised frameworks. Since both parts of our method rely on (stochastic) gradient optimization, it can be easily integrated in deep learning frameworks and executed on GPUs. CONCLUSIONS: We present an integrated approach for weakly supervised multimodal image registration. Achieving promising results due to the exploration of intermediate shape features as registration guidance encourages further research in this direction.</t>
  </si>
  <si>
    <t>M. Blendowski, N. Bouteldja and M. P. Heinrich</t>
  </si>
  <si>
    <t>Weakly-supervised learning of multi-modal features for regularised iterative descent in 3D image registration</t>
  </si>
  <si>
    <t>Methods for deep learning based medical image registration have only recently approached the quality of classical model-based image alignment. The dual challenge of both a very large trainable parameter space and often insufficient availability of expert supervised correspondence annotations has led to slower progress compared to other domains such as image segmentation. Yet, image registration could also more directly benefit from an iterative solution than segmentation. We therefore believe that significant improvements, in particular for multi-modal registration, can be achieved by disentangling appearance-based feature learning and deformation estimation. In this work, we examine an end-to-end trainable, weakly-supervised deep learning-based feature extraction approach that is able to map the complex appearance to a common space. Our results on thoracoabdominal CT and MRI image registration show that the proposed method compares favourably well to state-of-the-art hand-crafted multi-modal features, Mutual Information-based approaches and fully-integrated CNN-based methods - and handles even the limitation of small and only weakly-labeled training data sets.</t>
  </si>
  <si>
    <t>Combining MRF-based deformable registration and deep binary 3D-CNN descriptors for large lung motion estimation in COPD patients</t>
  </si>
  <si>
    <t>PURPOSE: Deep convolutional neural networks in their various forms are currently achieving or outperforming state-of-the-art results on several medical imaging tasks. We aim to make these developments available to the so far unsolved task of accurate correspondence finding-especially with regard to image registration. METHODS: We propose a two-step hybrid approach to make deep learned features accessible to a discrete optimization-based registration method. In a first step, in order to extract expressive binary local descriptors, we train a deep network architecture on a patch-based landmark retrieval problem as auxiliary task. As second step at runtime within a MRF-regularised dense displacement sampling, their binary nature enables highly efficient similarity computations, thus making them an ideal candidate to replace the so far used handcrafted local feature descriptors during the registration process. RESULTS: We evaluate our approach on finding correspondences between highly non-rigidly deformed lung CT scans from different breathing states. Although the CNN-based descriptors excell at an auxiliary learning task for finding keypoint correspondences, self-similarity-based descriptors yield more accurate registration results. However, a combination of both approaches turns out to generate the most robust features for registration. CONCLUSION: We present a three-dimensional framework for large lung motion estimation based on the combination of CNN-based and handcrafted descriptors efficiently employed in a discrete registration method. Achieving best results by combining learned and handcrafted features encourages further research in this direction.</t>
  </si>
  <si>
    <t>M. Blendowski and M. P. Heinrich</t>
  </si>
  <si>
    <t>Detection and localization of distal radius fractures: Deep learning system versus radiologists</t>
  </si>
  <si>
    <t>PURPOSE: To evaluate a deep learning based image analysis software for the detection and localization of distal radius fractures. METHOD: A deep learning system (DLS) was trained on 524 wrist radiographs (166 showing fractures). Performance was tested on internal (100 radiographs, 42 showing fractures) and external test sets (200 radiographs, 100 showing fractures). Single and combined views of the radiographs were shown to DLS and three readers. Readers were asked to indicate fracture location with regions of interest (ROI). The DLS yielded scores (range 0-1) and a heatmap. Detection performance was expressed as AUC, sensitivity and specificity at the optimal threshold and compared to radiologists' performance. Heatmaps were compared to radiologists' ROIs. RESULTS: The DLS showed excellent performance on the internal test set (AUC 0.93 (95% confidence interval (CI) 0.82-0.98) - 0.96 (0.87-1.00), sensitivity 0.81 (0.58-0.95) - 0.90 (0.70-0.99), specificity 0.86 (0.68-0.96) - 1.0 (0.88-1.0)). DLS performance decreased on the external test set (AUC 0.80 (0.71-0.88) - 0.89 (0.81-0.94), sensitivity 0.64 (0.49-0.77) - 0.92 (0.81-0.98), specificity 0.60 (0.45-0.74) - 0.90 (0.78-0.97)). Radiologists' performance was comparable on internal data (sensitivity 0.71 (0.48-0.89) - 0.95 (0.76-1.0), specificity 0.52 (0.32-0.71) - 0.97 (0.82-1.0)) and better on external data (sensitivity 0.88 (0.76-0.96) - 0.98 (0.89-1.0), specificities 0.66 (0.51-0.79) - 1.0 (0.93-1.0), p &lt; 0.05). In over 90%, the areas of peak activation aligned with radiologists' annotations. CONCLUSIONS: The DLS was able to detect and localize wrist fractures with a performance comparable to radiologists, using only a small dataset for training.</t>
  </si>
  <si>
    <t>Eur J Radiol</t>
  </si>
  <si>
    <t>Radiomics: a critical step towards integrated healthcare</t>
  </si>
  <si>
    <t>Medical imaging is a vital part of the clinical decision-making process, especially in an oncological setting. Radiology has experienced a great wave of change, and the advent of quantitative imaging has provided a unique opportunity to analyse patient images objectively. Leveraging radiomics and deep learning, there is increased potential for synergy between physicians and computer networks-via computer-aided diagnosis (CAD), computer-aided prediction of response (CARP), and computer-aided biological profiling (CABP). The ongoing digitalization of other specialties further opens the door for even greater multidisciplinary integration. We envision the development of an integrated system composed of an aggregation of sub-systems interoperating with the aim of achieving an overarching functionality (in this case' better CAD, CARP, and CABP). This will require close multidisciplinary cooperation among the clinicians, biomedical scientists, and (bio)engineers as well as an administrative framework where the departments will operate not in isolation but in successful harmony. KEY POINTS: • The advent of quantitative imaging provides a unique opportunity to analyse patient images objectively. • Radiomics and deep learning allow for a more detailed overview of the tumour (i.e., CAD, CARP, and CABP) from many different perspectives. • As it currently stands, different medical disciplines have developed different stratification methods, primarily based on their own field-often to the exclusion of other departments. • The digitalization of other specialties further opens the door for multidisciplinary integration. • The long-term vision for precision medicine should focus on the development of integration strategies, wherein data derived from the patients themselves (via multiple disciplines) can be used to guide clinical decisions.</t>
  </si>
  <si>
    <t>Z. Bodalal, S. Trebeschi and R. Beets-Tan</t>
  </si>
  <si>
    <t>Insights Imaging</t>
  </si>
  <si>
    <t>Interactive 3D U-net for the segmentation of the pancreas in computed tomography scans</t>
  </si>
  <si>
    <t>The increasing incidence of pancreatic cancer will make it the second deadliest cancer in 2030. Imaging based early diagnosis and image guided treatment are emerging potential solutions. Artificial intelligence (AI) can help provide and improve widespread diagnostic expertise and accurate interventional image interpretation. Accurate segmentation of the pancreas is essential to create annotated data sets to train AI, and for computer assisted interventional guidance. Automated deep learning segmentation performance in pancreas computed tomography (CT) imaging is low due to poor grey value contrast and complex anatomy. A good solution seemed a recent interactive deep learning segmentation framework for brain CT that helped strongly improve initial automated segmentation with minimal user input. This method yielded no satisfactory results for pancreas CT, possibly due to a sub-optimal neural network architecture. We hypothesize that a state-of-the-art U-net neural network architecture is better because it can produce a better initial segmentation and is likely to be extended to work in a similar interactive approach. We implemented the existing interactive method, iFCN, and developed an interactive version of U-net method we call iUnet. The iUnet is fully trained to produce the best possible initial segmentation. In interactive mode it is additionally trained on a partial set of layers on user generated scribbles. We compare initial segmentation performance of iFCN and iUnet on a 100CT dataset using dice similarity coefficient analysis. Secondly, we assessed the performance gain in interactive use with three observers on segmentation quality and time. Average automated baseline performance was 78% (iUnet) versus 72% (FCN). Manual and semi-automatic segmentation performance was: 87% in 15 min. for manual, and 86% in 8 min. for iUNet. We conclude that iUnet provides a better baseline than iFCN and can reach expert manual performance significantly faster than manual segmentation in case of pancreas CT. Our novel iUnet architecture is modality and organ agnostic and can be a potential novel solution for semi-automatic medical imaging segmentation in general.</t>
  </si>
  <si>
    <t>Privacy-preserving distributed learning of radiomics to predict overall survival and HPV status in head and neck cancer</t>
  </si>
  <si>
    <t>A major challenge in radiomics is assembling data from multiple centers. Sharing data between hospitals is restricted by legal and ethical regulations. Distributed learning is a technique, enabling training models on multicenter data without data leaving the hospitals (privacy-preserving distributed learning). This study tested feasibility of distributed learning of radiomics data for prediction of two year overall survival and HPV status in head and neck cancer (HNC) patients. Pretreatment CT images were collected from 1174 HNC patients in 6 different cohorts. 981 radiomic features were extracted using Z-Rad software implementation. Hierarchical clustering was performed to preselect features. Classification was done using logistic regression. In the validation dataset, the receiver operating characteristics (ROC) were compared between the models trained in the centralized and distributed manner. No difference in ROC was observed with respect to feature selection. The logistic regression coefficients were identical between the methods (absolute difference &lt;10(-7)). In comparison of the full workflow (feature selection and classification), no significant difference in ROC was found between centralized and distributed models for both studied endpoints (DeLong p &gt; 0.05). In conclusion, both feature selection and classification are feasible in a distributed manner using radiomics data, which opens new possibility for training more reliable radiomics models.</t>
  </si>
  <si>
    <t>RETOUCH: The Retinal OCT Fluid Detection and Segmentation Benchmark and Challenge</t>
  </si>
  <si>
    <t>Retinal swelling due to the accumulation of fluid is associated with the most vision-threatening retinal diseases. Optical coherence tomography (OCT) is the current standard of care in assessing the presence and quantity of retinal fluid and image-guided treatment management. Deep learning methods have made their impact across medical imaging, and many retinal OCT analysis methods have been proposed. However, it is currently not clear how successful they are in interpreting the retinal fluid on OCT, which is due to the lack of standardized benchmarks. To address this, we organized a challenge RETOUCH in conjunction with MICCAI 2017, with eight teams participating. The challenge consisted of two tasks: fluid detection and fluid segmentation. It featured for the first time: all three retinal fluid types, with annotated images provided by two clinical centers, which were acquired with the three most common OCT device vendors from patients with two different retinal diseases. The analysis revealed that in the detection task, the performance on the automated fluid detection was within the inter-grader variability. However, in the segmentation task, fusing the automated methods produced segmentations that were superior to all individual methods, indicating the need for further improvements in the segmentation performance.</t>
  </si>
  <si>
    <t>H. Bogunovic, F. Venhuizen, S. Klimscha, S. Apostolopoulos, A. Bab-Hadiashar, U. Bagci, M. F. Beg, L. Bekalo, Q. Chen, C. Ciller, K. Gopinath, A. K. Gostar, K. Jeon, Z. Ji, S. H. Kang, D. D. Koozekanani, D. Lu, D. Morley, K. K. Parhi, H. S. Park, A. Rashno, M. Sarunic, S. Shaikh, J. Sivaswamy, R. Tennakoon, S. Yadav, S. De Zanet, S. M. Waldstein, B. S. Gerendas, C. Klaver, C. I. Sanchez and U. Schmidt-Erfurth</t>
  </si>
  <si>
    <t>Layer-Wise Relevance Propagation for Explaining Deep Neural Network Decisions in MRI-Based Alzheimer's Disease Classification</t>
  </si>
  <si>
    <t>Deep neural networks have led to state-of-the-art results in many medical imaging tasks including Alzheimer's disease (AD) detection based on structural magnetic resonance imaging (MRI) data. However, the network decisions are often perceived as being highly non-transparent, making it difficult to apply these algorithms in clinical routine. In this study, we propose using layer-wise relevance propagation (LRP) to visualize convolutional neural network decisions for AD based on MRI data. Similarly to other visualization methods, LRP produces a heatmap in the input space indicating the importance/relevance of each voxel contributing to the final classification outcome. In contrast to susceptibility maps produced by guided backpropagation (Which change in voxels would change the outcome most?), the LRP method is able to directly highlight positive contributions to the network classification in the input space. In particular, we show that (1) the LRP method is very specific for individuals (Why does this person have AD?) with high inter-patient variability, (2) there is very little relevance for AD in healthy controls and (3) areas that exhibit a lot of relevance correlate well with what is known from literature. To quantify the latter, we compute size-corrected metrics of the summed relevance per brain area, e.g., relevance density or relevance gain. Although these metrics produce very individual fingerprints of relevance patterns for AD patients, a lot of importance is put on areas in the temporal lobe including the hippocampus. After discussing several limitations such as sensitivity toward the underlying model and computation parameters, we conclude that LRP might have a high potential to assist clinicians in explaining neural network decisions for diagnosing AD (and potentially other diseases) based on structural MRI data.</t>
  </si>
  <si>
    <t>M. Böhle, F. Eitel, M. Weygandt and K. Ritter</t>
  </si>
  <si>
    <t>Front Aging Neurosci</t>
  </si>
  <si>
    <t>10.1007/s11883-018-0736-8</t>
  </si>
  <si>
    <t>A Survey on Coronary Atherosclerotic Plaque Tissue Characterization in Intravascular Optical Coherence Tomography</t>
  </si>
  <si>
    <t>PURPOSE OF REVIEW: Atherosclerotic plaque deposition within the coronary vessel wall leads to arterial stenosis and severe catastrophic events over time. Identification of these atherosclerotic plaque components is essential to pre-estimate the risk of cardiovascular disease (CVD) and stratify them as a high or low risk. The characterization and quantification of coronary plaque components are not only vital but also a challenging task which can be possible using high-resolution imaging techniques. RECENT FINDING: Atherosclerotic plaque components such as thin cap fibroatheroma (TCFA), fibrous cap, macrophage infiltration, large necrotic core, and thrombus are the microstructural plaque components that can be detected with only high-resolution imaging modalities such as intravascular ultrasound (IVUS) and optical coherence tomography (OCT). Light-based OCT provides better visualization of plaque tissue layers of coronary vessel walls as compared to IVUS. Three dominant paradigms have been identified to characterize atherosclerotic plaque components based on optical attenuation coefficients, machine learning algorithms, and deep learning techniques. This review (condensation of 126 papers after downloading 150 articles) presents a detailed comparison among various methodologies utilized for plaque tissue characterization, classification, and arterial measurements in OCT. Furthermore, this review presents the different ways to predict and stratify the risk associated with the CVD based on plaque characterization and measurements in OCT. Moreover, this review discovers three different paradigms for plaque characterization and their pros and cons. Among all of the techniques, a combination of machine learning and deep learning techniques is a best possible solution that provides improved OCT-based risk stratification.</t>
  </si>
  <si>
    <t>Curr Atheroscler Rep</t>
  </si>
  <si>
    <t>Artificial intelligence evaluating primary thoracic lesions has an overall lower error rate compared to veterinarians or veterinarians in conjunction with the artificial intelligence</t>
  </si>
  <si>
    <t>To date, deep learning technologies have provided powerful decision support systems to radiologists in human medicine. The aims of this retrospective, exploratory study were to develop and describe an artificial intelligence able to screen thoracic radiographs for primary thoracic lesions in feline and canine patients. Three deep learning networks using three different pretraining strategies to predict 15 types of primary thoracic lesions were created (including tracheal collapse, left atrial enlargement, alveolar pattern, pneumothorax, and pulmonary mass). Upon completion of pretraining, the algorithms were provided with over 22 000 thoracic veterinary radiographs for specific training. All radiographs had a report created by a board-certified veterinary radiologist used as the gold standard. The performances of all three networks were compared to one another. An additional 120 radiographs were then evaluated by three types of observers: the best performing network, veterinarians, and veterinarians aided by the network. The error rates for each of the observers was calculated as an overall and for the 15 labels and were compared using a McNemar's test. The overall error rate of the network was significantly better than the overall error rate of the veterinarians or the veterinarians aided by the network (10.7% vs 16.8% vs17.2%, P = .001). The network's error rate was significantly better to detect cardiac enlargement and for bronchial pattern. The current network only provides help in detecting various lesion types and does not provide a diagnosis. Based on its overall very good performance, this could be used as an aid to general practitioners while waiting for the radiologist's report.</t>
  </si>
  <si>
    <t>Vet Radiol Ultrasound</t>
  </si>
  <si>
    <t>SHARQnet - Sophisticated harmonic artifact reduction in quantitative susceptibility mapping using a deep convolutional neural network</t>
  </si>
  <si>
    <t>Quantitative susceptibility mapping (QSM) reveals pathological changes in widespread diseases such as Parkinson's disease, Multiple Sclerosis, or hepatic iron overload. QSM requires multiple processing steps after the acquisition of magnetic resonance imaging (MRI) phase measurements such as unwrapping, background field removal and the solution of an ill-posed field-to-source-inversion. Current techniques utilize iterative optimization procedures to solve the inversion and background field correction, which are computationally expensive and lead to suboptimal or over-regularized solutions requiring a careful choice of parameters that make a clinical application of QSM challenging. We have previously demonstrated that a deep convolutional neural network can invert the magnetic dipole kernel with a very efficient feed forward multiplication not requiring iterative optimization or the choice of regularization parameters. In this work, we extended this approach to remove background fields in QSM. The prototype method, called SHARQnet, was trained on simulated background fields and tested on 3T and 7T brain datasets. We show that SHARQnet outperforms current background field removal procedures and generalizes to a wide range of input data without requiring any parameter adjustments. In summary, we demonstrate that the solution of ill-posed problems in QSM can be achieved by learning the underlying physics causing the artifacts and removing them in an efficient and reliable manner and thereby will help to bring QSM towards clinical applications.</t>
  </si>
  <si>
    <t>S. Bollmann, M. H. Kristensen, M. S. Larsen, M. V. Olsen, M. J. Pedersen, L. R. Østergaard, K. O'Brien, C. Langkammer, A. Fazlollahi and M. Barth</t>
  </si>
  <si>
    <t>Z Med Phys</t>
  </si>
  <si>
    <t>DeepQSM - using deep learning to solve the dipole inversion for quantitative susceptibility mapping</t>
  </si>
  <si>
    <t>Quantitative susceptibility mapping (QSM) is based on magnetic resonance imaging (MRI) phase measurements and has gained broad interest because it yields relevant information on biological tissue properties, predominantly myelin, iron and calcium in vivo. Thereby, QSM can also reveal pathological changes of these key components in widespread diseases such as Parkinson's disease, Multiple Sclerosis, or hepatic iron overload. While the ill-posed field-to-source-inversion problem underlying QSM is conventionally assessed by the means of regularization techniques, we trained a fully convolutional deep neural network - DeepQSM - to directly invert the magnetic dipole kernel convolution. DeepQSM learned the physical forward problem using purely synthetic data and is capable of solving the ill-posed field-to-source inversion on in vivo MRI phase data. The magnetic susceptibility maps reconstructed by DeepQSM enable identification of deep brain substructures and provide information on their respective magnetic tissue properties. In summary, DeepQSM can invert the magnetic dipole kernel convolution and delivers robust solutions to this ill-posed problem.</t>
  </si>
  <si>
    <t>S. Bollmann, K. G. B. Rasmussen, M. Kristensen, R. G. Blendal, L. R. Østergaard, M. Plocharski, K. O'Brien, C. Langkammer, A. Janke and M. Barth</t>
  </si>
  <si>
    <t>Detecting total hip replacement prosthesis design on plain radiographs using deep convolutional neural network</t>
  </si>
  <si>
    <t>Identifying the design of a failed implant is a key step in the preoperative planning of revision total joint arthroplasty. Manual identification of the implant design from radiographic images is time-consuming and prone to error. Failure to identify the implant design preoperatively can lead to increased operating room time, more complex surgery, increased blood loss, increased bone loss, increased recovery time, and overall increased healthcare costs. In this study, we present a novel, fully automatic and interpretable approach to identify the design of total hip replacement (THR) implants from plain radiographs using deep convolutional neural network (CNN). CNN achieved 100% accuracy in the identification of three commonly used THR implant designs. Such CNN can be used to automatically identify the design of a failed THR implant preoperatively in just a few seconds, saving time and improving the identification accuracy. This can potentially improve patient outcomes, free practitioners' time, and reduce healthcare costs.</t>
  </si>
  <si>
    <t>J Orthop Res</t>
  </si>
  <si>
    <t>Consistency and objectivity of automated embryo assessments using deep neural networks</t>
  </si>
  <si>
    <t>OBJECTIVE: To evaluate the consistency and objectivity of deep neural networks in embryo scoring and making disposition decisions for biopsy and cryopreservation in comparison to grading by highly trained embryologists. DESIGN: Prospective double-blind study using retrospective data. SETTING: U.S.-based large academic fertility center. PATIENTS: Not applicable. INTERVENTION(S): Embryo images (748 recorded at 70 hours postinsemination [hpi]) and 742 at 113 hpi) were used to evaluate embryologists and neural networks in embryo grading. The performance of 10 embryologists and a neural network were also evaluated in disposition decision making using 56 embryos. MAIN OUTCOME MEASURES: Coefficients of variation (%CV) and measures of consistencies were compared. RESULTS: Embryologists exhibited a high degree of variability (%CV averages: 82.84% for 70 hpi and 44.98% for 113 hpi) in grading embryo. When selecting blastocysts for biopsy or cryopreservation, embryologists had an average consistency of 52.14% and 57.68%, respectively. The neural network outperformed the embryologists in selecting blastocysts for biopsy and cryopreservation with a consistency of 83.92%. Cronbach's α analysis revealed an α coefficient of 0.60 for the embryologists and 1.00 for the network. CONCLUSIONS: The results of our study show a high degree of interembryologist and intraembryologist variability in scoring embryos, likely due to the subjective nature of traditional morphology grading. This may ultimately lead to less precise disposition decisions and discarding of viable embryos. The application of a deep neural network, as shown in our study, can introduce improved reliability and high consistency during the process of embryo selection and disposition, potentially improving outcomes in an embryology laboratory.</t>
  </si>
  <si>
    <t>10.1259/bjr.20200113</t>
  </si>
  <si>
    <t>A half-century of innovation in technology-preparing MRI for the 21st century</t>
  </si>
  <si>
    <t>MRI developed during the last half-century from a very basic concept to an indispensable non-ionising medical imaging technique that has found broad application in diagnostics, therapy control and far beyond. Due to its excellent soft-tissue contrast and the huge variety of accessible tissue- and physiological-parameters, MRI is often preferred to other existing modalities. In the course of its development, MRI underwent many substantial transformations. From the beginning, starting as a proof of concept, much effort was expended to develop the appropriate basic scanning technology and methodology, and to establish the many clinical contrasts (e.g., T(1), T(2), flow, diffusion, water/fat, etc.) that MRI is famous for today. Beyond that, additional prominent innovations to the field have been parallel imaging and compressed sensing, leading to significant scanning time reductions, and the move towards higher static magnetic field strengths, which led to increased sensitivity and improved image quality. Improvements in workflow and the use of artificial intelligence are among many current trends seen in this field, paving the way for a broad use of MRI. The 125th anniversary of the BJR is a good point to reflect on all these changes and developments and to offer some slightly speculative ideas as to what the future may bring.</t>
  </si>
  <si>
    <t>Fully automated quantification of left ventricular volumes and function in cardiac MRI: clinical evaluation of a deep learning-based algorithm</t>
  </si>
  <si>
    <t>To investigate the performance of a deep learning-based algorithm for fully automated quantification of left ventricular (LV) volumes and function in cardiac MRI. We retrospectively analysed MR examinations of 50 patients (74% men, median age 57 years). The most common indications were known or suspected ischemic heart disease, cardiomyopathies or myocarditis. Fully automated analysis of LV volumes and function was performed using a deep learning-based algorithm. The analysis was subsequently corrected by a senior cardiovascular radiologist. Manual volumetric analysis was performed by two radiology trainees. Volumetric results were compared using Bland-Altman statistics and intra-class correlation coefficient. The frequency of clinically relevant differences was analysed using re-classification rates. The fully automated volumetric analysis was completed in a median of 8 s. With expert review and corrections, the analysis required a median of 110 s. Median time required for manual analysis was 3.5 min for a cardiovascular imaging fellow and 9 min for a radiology resident (p &lt; 0.0001 for all comparisons). The correlation between fully automated results and expert-corrected results was very strong with intra-class correlation coefficients of 0.998 for end-diastolic volume, 0.997 for end-systolic volume, 0.899 for stroke volume, 0.972 for ejection fraction and 0.991 for myocardial mass (all p &lt; 0.001). Clinically meaningful differences between fully automated and expert corrected results occurred in 18% of cases, comparable to the rate between the two manual readers (20%). Deep learning-based fully automated analysis of LV volumes and function is feasible, time-efficient and highly accurate. Clinically relevant corrections are required in a minority of cases.</t>
  </si>
  <si>
    <t>Int J Cardiovasc Imaging</t>
  </si>
  <si>
    <t>Deep convolutional neural networks for automated segmentation of brain metastases trained on clinical data</t>
  </si>
  <si>
    <t>INTRODUCTION: Deep learning-based algorithms have demonstrated enormous performance in segmentation of medical images. We collected a dataset of multiparametric MRI and contour data acquired for use in radiosurgery, to evaluate the performance of deep convolutional neural networks (DCNN) in automatic segmentation of brain metastases (BM). METHODS: A conventional U-Net (cU-Net), a modified U-Net (moU-Net) and a U-Net trained only on BM smaller than 0.4 ml (sU-Net) were implemented. Performance was assessed on a separate test set employing sensitivity, specificity, average false positive rate (AFPR), the dice similarity coefficient (DSC), Bland-Altman analysis and the concordance correlation coefficient (CCC). RESULTS: A dataset of 509 patients (1223 BM) was split into a training set (469 pts) and a test set (40 pts). A combination of all trained networks was the most sensitive (0.82) while maintaining a specificity 0.83. The same model achieved a sensitivity of 0.97 and a specificity of 0.94 when considering only lesions larger than 0.06 ml (75% of all lesions). Type of primary cancer had no significant influence on the mean DSC per lesion (p = 0.60). Agreement between manually and automatically assessed tumor volumes as quantified by a CCC of 0.87 (95% CI, 0.77-0.93), was excellent. CONCLUSION: Using a dataset which properly captured the variation in imaging appearance observed in clinical practice, we were able to conclude that DCNNs reach clinically relevant performance for most lesions. Clinical applicability is currently limited by the size of the target lesion. Further studies should address if small targets are accurately represented in the test data.</t>
  </si>
  <si>
    <t>Noninvasive In Vivo Quantification of Adeno-Associated Virus Serotype 9-Mediated Expression of the Sodium/Iodide Symporter Under Hindlimb Ischemia and Neuraminidase Desialylation in Skeletal Muscle Using Single-Photon Emission Computed Tomography/Computed Tomography</t>
  </si>
  <si>
    <t>BACKGROUND: We propose micro single-photon emission computed tomography/computed tomography imaging of the hNIS (human sodium/iodide symporter) to noninvasively quantify adeno-associated virus 9 (AAV9)-mediated gene expression in a murine model of peripheral artery disease. METHODS: AAV9-hNIS (2×10(11) viral genome particles) was injected into nonischemic or ischemic gastrocnemius muscles of C57Bl/6J mice following unilateral hindlimb ischemia ± the α-sialidase NA (neuraminidase). Control nonischemic limbs were injected with phosphate buffered saline or remained noninjected. Twelve mice underwent micro single-photon emission computed tomography/computed tomography imaging after serial injection of pertechnetate ((99m)TcO(4)(-)), a NIS substrate, up to 28 days after AAV9-hNIS injection. Twenty four animals were euthanized at selected times over 1 month for ex vivo validation. Forty-two animals were imaged with (99m)TcO(4)(-) ± the selective NIS inhibitor perchlorate on day 10, to ascertain specificity of radiotracer uptake. Tissue was harvested for ex vivo validation. A modified version of the U-Net deep learning algorithm was used for image quantification. RESULTS: As quantitated by standardized uptake value, there was a gradual temporal increase in (99m)TcO(4)(-) uptake in muscles treated with AAV9-hNIS. Hindlimb ischemia, NA, and hindlimb ischemia plus NA increased the magnitude of (99m)TcO(4)(-) uptake by 4- to 5-fold compared with nonischemic muscle treated with only AAV9-hNIS. Perchlorate treatment significantly reduced (99m)TcO(4)(-) uptake in AAV9-hNIS-treated muscles, demonstrating uptake specificity. The imaging results correlated well with ex vivo well counting (r(2)=0.9375; P&lt;0.0001) and immunoblot analysis of NIS protein (r(2)=0.65; P&lt;0.0001). CONCLUSIONS: Micro single-photon emission computed tomography/computed tomography imaging of hNIS-mediated (99m)TcO(4)(-) uptake allows for accurate in vivo quantification of AAV9-driven gene expression, which increases under ischemic conditions or neuraminidase desialylation in skeletal muscle.</t>
  </si>
  <si>
    <t>Circ Cardiovasc Imaging</t>
  </si>
  <si>
    <t>Local cellular neighborhood controls proliferation in cell competition</t>
  </si>
  <si>
    <t>Cell competition is a quality-control mechanism through which tissues eliminate unfit cells. Cell competition can result from short-range biochemical inductions or long-range mechanical cues. However, little is known about how cell-scale interactions give rise to population shifts in tissues, due to the lack of experimental and computational tools to efficiently characterize interactions at the single-cell level. Here, we address these challenges by combining long-term automated microscopy with deep-learning image analysis to decipher how single-cell behavior determines tissue makeup during competition. Using our high-throughput analysis pipeline, we show that competitive interactions between MDCK wild-type cells and cells depleted of the polarity protein scribble are governed by differential sensitivity to local density and the cell type of each cell's neighbors. We find that local density has a dramatic effect on the rate of division and apoptosis under competitive conditions. Strikingly, our analysis reveals that proliferation of the winner cells is up-regulated in neighborhoods mostly populated by loser cells. These data suggest that tissue-scale population shifts are strongly affected by cellular-scale tissue organization. We present a quantitative mathematical model that demonstrates the effect of neighbor cell-type dependence of apoptosis and division in determining the fitness of competing cell lines.</t>
  </si>
  <si>
    <t>A. Bove, D. Gradeci, Y. Fujita, S. Banerjee, G. Charras and A. R. Lowe</t>
  </si>
  <si>
    <t>Mol Biol Cell</t>
  </si>
  <si>
    <t>A Neural Network Approach to Quantify Blood Flow from Retinal OCT Intensity Time-Series Measurements</t>
  </si>
  <si>
    <t>Many diseases of the eye are associated with alterations in the retinal vasculature that are possibly preceded by undetected changes in blood flow. In this work, a robust blood flow quantification framework is presented based on optical coherence tomography (OCT) angiography imaging and deep learning. The analysis used a forward signal model to simulate OCT blood flow data for training of a neural network (NN). The NN was combined with pre- and post-processing steps to create an analysis framework for measuring flow rates from individual blood vessels. The framework's accuracy was validated using both blood flow phantoms and human subject imaging, and across flow speed, vessel angle, hematocrit levels, and signal-to-noise ratio. The reported flow rate of the calibrated NN framework was measured to be largely independent of vessel angle, hematocrit levels, and measurement signal-to-noise ratio. In vivo retinal flow rate measurements were self-consistent across vascular branch points, and approximately followed a predicted power-law dependence on the vessel diameter. The presented OCT-based NN flow rate estimation framework addresses the need for a robust, deployable, and label-free quantitative retinal blood flow mapping technique.</t>
  </si>
  <si>
    <t>Why Radiologists Have Nothing to Fear From Deep Learning</t>
  </si>
  <si>
    <t>A. Bratt</t>
  </si>
  <si>
    <t>Machine learning derived segmentation of phase velocity encoded cardiovascular magnetic resonance for fully automated aortic flow quantification</t>
  </si>
  <si>
    <t>BACKGROUND: Phase contrast (PC) cardiovascular magnetic resonance (CMR) is widely employed for flow quantification, but analysis typically requires time consuming manual segmentation which can require human correction. Advances in machine learning have markedly improved automated processing, but have yet to be applied to PC-CMR. This study tested a novel machine learning model for fully automated analysis of PC-CMR aortic flow. METHODS: A machine learning model was designed to track aortic valve borders based on neural network approaches. The model was trained in a derivation cohort encompassing 150 patients who underwent clinical PC-CMR then compared to manual and commercially-available automated segmentation in a prospective validation cohort. Further validation testing was performed in an external cohort acquired from a different site/CMR vendor. RESULTS: Among 190 coronary artery disease patients prospectively undergoing CMR on commercial scanners (84% 1.5T, 16% 3T), machine learning segmentation was uniformly successful, requiring no human intervention: Segmentation time was &lt; 0.01 min/case (1.2 min for entire dataset); manual segmentation required 3.96 ± 0.36 min/case (12.5 h for entire dataset). Correlations between machine learning and manual segmentation-derived flow approached unity (r = 0.99, p &lt; 0.001). Machine learning yielded smaller absolute differences with manual segmentation than did commercial automation (1.85 ± 1.80 vs. 3.33 ± 3.18 mL, p &lt; 0.01): Nearly all (98%) of cases differed by ≤5 mL between machine learning and manual methods. Among patients without advanced mitral regurgitation, machine learning correlated well (r = 0.63, p &lt; 0.001) and yielded small differences with cine-CMR stroke volume (∆ 1.3 ± 17.7 mL, p = 0.36). Among advanced mitral regurgitation patients, machine learning yielded lower stroke volume than did volumetric cine-CMR (∆ 12.6 ± 20.9 mL, p = 0.005), further supporting validity of this method. Among the external validation cohort (n = 80) acquired using a different CMR vendor, the algorithm yielded equivalently small differences (∆ 1.39 ± 1.77 mL, p = 0.4) and high correlations (r = 0.99, p &lt; 0.001) with manual segmentation, including similar results in 20 patients with bicuspid or stenotic aortic valve pathology (∆ 1.71 ± 2.25 mL, p = 0.25). CONCLUSION: Fully automated machine learning PC-CMR segmentation performs robustly for aortic flow quantification - yielding rapid segmentation, small differences with manual segmentation, and identification of differential forward/left ventricular volumetric stroke volume in context of concomitant mitral regurgitation. Findings support use of machine learning for analysis of large scale CMR datasets.</t>
  </si>
  <si>
    <t>A. Bratt, J. Kim, M. Pollie, A. N. Beecy, N. H. Tehrani, N. Codella, R. Perez-Johnston, M. C. Palumbo, J. Alakbarli, W. Colizza, I. R. Drexler, C. F. Azevedo, R. J. Kim, R. B. Devereux and J. W. Weinsaft</t>
  </si>
  <si>
    <t>10.1007/s00261-018-1517-0</t>
  </si>
  <si>
    <t>Machine learning for medical ultrasound: status, methods, and future opportunities</t>
  </si>
  <si>
    <t>Ultrasound (US) imaging is the most commonly performed cross-sectional diagnostic imaging modality in the practice of medicine. It is low-cost, non-ionizing, portable, and capable of real-time image acquisition and display. US is a rapidly evolving technology with significant challenges and opportunities. Challenges include high inter- and intra-operator variability and limited image quality control. Tremendous opportunities have arisen in the last decade as a result of exponential growth in available computational power coupled with progressive miniaturization of US devices. As US devices become smaller, enhanced computational capability can contribute significantly to decreasing variability through advanced image processing. In this paper, we review leading machine learning (ML) approaches and research directions in US, with an emphasis on recent ML advances. We also present our outlook on future opportunities for ML techniques to further improve clinical workflow and US-based disease diagnosis and characterization.</t>
  </si>
  <si>
    <t>Abdom Radiol (NY)</t>
  </si>
  <si>
    <t>Comparison of Deep-Learning and Conventional Machine-Learning Methods for the Automatic Recognition of the Hepatocellular Carcinoma Areas from Ultrasound Images</t>
  </si>
  <si>
    <t>The emergence of deep-learning methods in different computer vision tasks has proved to offer increased detection, recognition or segmentation accuracy when large annotated image datasets are available. In the case of medical image processing and computer-aided diagnosis within ultrasound images, where the amount of available annotated data is smaller, a natural question arises: are deep-learning methods better than conventional machine-learning methods? How do the conventional machine-learning methods behave in comparison with deep-learning methods on the same dataset? Based on the study of various deep-learning architectures, a lightweight multi-resolution Convolutional Neural Network (CNN) architecture is proposed. It is suitable for differentiating, within ultrasound images, between the Hepatocellular Carcinoma (HCC), respectively the cirrhotic parenchyma (PAR) on which HCC had evolved. The proposed deep-learning model is compared with other CNN architectures that have been adapted by transfer learning for the ultrasound binary classification task, but also with conventional machine-learning (ML) solutions trained on textural features. The achieved results show that the deep-learning approach overcomes classical machine-learning solutions, by providing a higher classification performance.</t>
  </si>
  <si>
    <t>Intraoperative stent segmentation in X-ray fluoroscopy for endovascular aortic repair</t>
  </si>
  <si>
    <t>PURPOSE: Fusion of preoperative data with intraoperative X-ray images has proven the potential to reduce radiation exposure and contrast agent, especially for complex endovascular aortic repair (EVAR). Due to patient movement and introduced devices that deform the vasculature, the fusion can become inaccurate. This is usually detected by comparing the preoperative information with the contrasted vessel. To avoid repeated use of iodine, comparison with an implanted stent can be used to adjust the fusion. However, detecting the stent automatically without the use of contrast is challenging as only thin stent wires are visible. METHOD: We propose a fast, learning-based method to segment aortic stents in single uncontrasted X-ray images. To this end, we employ a fully convolutional network with residual units. Additionally, we investigate whether incorporation of prior knowledge improves the segmentation. RESULTS: We use 36 X-ray images acquired during EVAR for training and evaluate the segmentation on 27 additional images. We achieve a Dice coefficient of 0.933 (AUC 0.996) when using X-ray alone, and 0.918 (AUC 0.993) and 0.888 (AUC 0.99) when adding the preoperative model, and information about the expected wire width, respectively. CONCLUSION: The proposed method is fully automatic, fast and segments aortic stent grafts in fluoroscopic images with high accuracy. The quality and performance of the segmentation will allow for an intraoperative comparison with the preoperative information to assess the accuracy of the fusion.</t>
  </si>
  <si>
    <t>K. Breininger, S. Albarqouni, T. Kurzendorfer, M. Pfister, M. Kowarschik and A. Maier</t>
  </si>
  <si>
    <t>Deep learning to predict microscope images</t>
  </si>
  <si>
    <t>A species of neural network first described in 2015 can be trained to translate between images of the same field of view acquired by different modalities. Trained networks can use information inherent in grayscale images of cells to predict fluorescent signals.</t>
  </si>
  <si>
    <t>Comparing different deep learning architectures for classification of chest radiographs</t>
  </si>
  <si>
    <t>Chest radiographs are among the most frequently acquired images in radiology and are often the subject of computer vision research. However, most of the models used to classify chest radiographs are derived from openly available deep neural networks, trained on large image datasets. These datasets differ from chest radiographs in that they are mostly color images and have substantially more labels. Therefore, very deep convolutional neural networks (CNN) designed for ImageNet and often representing more complex relationships, might not be required for the comparably simpler task of classifying medical image data. Sixteen different architectures of CNN were compared regarding the classification performance on two openly available datasets, the CheXpert and COVID-19 Image Data Collection. Areas under the receiver operating characteristics curves (AUROC) between 0.83 and 0.89 could be achieved on the CheXpert dataset. On the COVID-19 Image Data Collection, all models showed an excellent ability to detect COVID-19 and non-COVID pneumonia with AUROC values between 0.983 and 0.998. It could be observed, that more shallow networks may achieve results comparable to their deeper and more complex counterparts with shorter training times, enabling classification performances on medical image data close to the state-of-the-art methods even when using limited hardware.</t>
  </si>
  <si>
    <t>Addressing class imbalance in deep learning for small lesion detection on medical images</t>
  </si>
  <si>
    <t>Deep learning methods utilizing Convolutional Neural Networks (CNNs) have led to dramatic advances in automated understanding of medical images. However, in many medical image classification tasks, lesions occupy only a few pixels of the image. This results in a significant class imbalance between lesion and background. From recent literature, it is known that class imbalance may negatively affect the performance of CNN classification. However, very few research exists in the context of lesion detection. In this work, we propose a two-stage deep learning framework able to deal with the high class imbalance encountered during training of small lesion detectors. First, we train a deep cascade (DC) of long sequences of decision trees with an algorithm designed to handle unbalanced data that also drastically reduces the number of background samples reaching the final stage. The remaining samples are fed to a CNN, whose training benefits from both rebalance and hard mining done by the DC. We evaluated DC-CNN on two severely unbalanced classification problems: microcalcification detection and microaneurysm detection. In both cases, DC-CNN outperformed the CNNs trained with commonly used methods for addressing class imbalance such as oversampling, undersampling, hard mining, cost sensitive learning, and one-class classification. The DC-CNN was also ∼10x faster than CNN at test time.</t>
  </si>
  <si>
    <t>Introducing the GEV Activation Function for Highly Unbalanced Data to Develop COVID-19 Diagnostic Models</t>
  </si>
  <si>
    <t>Fast and accurate diagnosis is essential for the efficient and effective control of the COVID-19 pandemic that is currently disrupting the whole world. Despite the prevalence of the COVID-19 outbreak, relatively few diagnostic images are openly available to develop automatic diagnosis algorithms. Traditional deep learning methods often struggle when data is highly unbalanced with many cases in one class and only a few cases in another; new methods must be developed to overcome this challenge. We propose a novel activation function based on the generalized extreme value (GEV) distribution from extreme value theory, which improves performance over the traditional sigmoid activation function when one class significantly outweighs the other. We demonstrate the proposed activation function on a publicly available dataset and externally validate on a dataset consisting of 1,909 healthy chest X-rays and 84 COVID-19 X-rays. The proposed method achieves an improved area under the receiver operating characteristic (DeLong's p-value &lt; 0.05) compared to the sigmoid activation. Our method is also demonstrated on a dataset of healthy and pneumonia vs. COVID-19 X-rays and a set of computerized tomography images, achieving improved sensitivity. The proposed GEV activation function significantly improves upon the previously used sigmoid activation for binary classification. This new paradigm is expected to play a significant role in the fight against COVID-19 and other diseases, with relatively few training cases available.</t>
  </si>
  <si>
    <t>Artificial Intelligence in Medicine: Today and Tomorrow</t>
  </si>
  <si>
    <t>Artificial intelligence-powered medical technologies are rapidly evolving into applicable solutions for clinical practice. Deep learning algorithms can deal with increasing amounts of data provided by wearables, smartphones, and other mobile monitoring sensors in different areas of medicine. Currently, only very specific settings in clinical practice benefit from the application of artificial intelligence, such as the detection of atrial fibrillation, epilepsy seizures, and hypoglycemia, or the diagnosis of disease based on histopathological examination or medical imaging. The implementation of augmented medicine is long-awaited by patients because it allows for a greater autonomy and a more personalized treatment, however, it is met with resistance from physicians which were not prepared for such an evolution of clinical practice. This phenomenon also creates the need to validate these modern tools with traditional clinical trials, debate the educational upgrade of the medical curriculum in light of digital medicine as well as ethical consideration of the ongoing connected monitoring. The aim of this paper is to discuss recent scientific literature and provide a perspective on the benefits, future opportunities and risks of established artificial intelligence applications in clinical practice on physicians, healthcare institutions, medical education, and bioethics.</t>
  </si>
  <si>
    <t>Front Med (Lausanne)</t>
  </si>
  <si>
    <t>Deep neural networks are superior to dermatologists in melanoma image classification</t>
  </si>
  <si>
    <t>BACKGROUND: Melanoma is the most dangerous type of skin cancer but is curable if detected early. Recent publications demonstrated that artificial intelligence is capable in classifying images of benign nevi and melanoma with dermatologist-level precision. However, a statistically significant improvement compared with dermatologist classification has not been reported to date. METHODS: For this comparative study, 4204 biopsy-proven images of melanoma and nevi (1:1) were used for the training of a convolutional neural network (CNN). New techniques of deep learning were integrated. For the experiment, an additional 804 biopsy-proven dermoscopic images of melanoma and nevi (1:1) were randomly presented to dermatologists of nine German university hospitals, who evaluated the quality of each image and stated their recommended treatment (19,296 recommendations in total). Three McNemar's tests comparing the results of the CNN's test runs in terms of sensitivity, specificity and overall correctness were predefined as the main outcomes. FINDINGS: The respective sensitivity and specificity of lesion classification by the dermatologists were 67.2% (95% confidence interval [CI]: 62.6%-71.7%) and 62.2% (95% CI: 57.6%-66.9%). In comparison, the trained CNN achieved a higher sensitivity of 82.3% (95% CI: 78.3%-85.7%) and a higher specificity of 77.9% (95% CI: 73.8%-81.8%). The three McNemar's tests in 2 × 2 tables all reached a significance level of p &lt; 0.001. This significance level was sustained for both subgroups. INTERPRETATION: For the first time, automated dermoscopic melanoma image classification was shown to be significantly superior to both junior and board-certified dermatologists (p &lt; 0.001).</t>
  </si>
  <si>
    <t>Eur J Cancer</t>
  </si>
  <si>
    <t>A convolutional neural network trained with dermoscopic images performed on par with 145 dermatologists in a clinical melanoma image classification task</t>
  </si>
  <si>
    <t>BACKGROUND: Recent studies have demonstrated the use of convolutional neural networks (CNNs) to classify images of melanoma with accuracies comparable to those achieved by board-certified dermatologists. However, the performance of a CNN exclusively trained with dermoscopic images in a clinical image classification task in direct competition with a large number of dermatologists has not been measured to date. This study compares the performance of a convolutional neuronal network trained with dermoscopic images exclusively for identifying melanoma in clinical photographs with the manual grading of the same images by dermatologists. METHODS: We compared automatic digital melanoma classification with the performance of 145 dermatologists of 12 German university hospitals. We used methods from enhanced deep learning to train a CNN with 12,378 open-source dermoscopic images. We used 100 clinical images to compare the performance of the CNN to that of the dermatologists. Dermatologists were compared with the deep neural network in terms of sensitivity, specificity and receiver operating characteristics. FINDINGS: The mean sensitivity and specificity achieved by the dermatologists with clinical images was 89.4% (range: 55.0%-100%) and 64.4% (range: 22.5%-92.5%). At the same sensitivity, the CNN exhibited a mean specificity of 68.2% (range 47.5%-86.25%). Among the dermatologists, the attendings showed the highest mean sensitivity of 92.8% at a mean specificity of 57.7%. With the same high sensitivity of 92.8%, the CNN had a mean specificity of 61.1%. INTERPRETATION: For the first time, dermatologist-level image classification was achieved on a clinical image classification task without training on clinical images. The CNN had a smaller variance of results indicating a higher robustness of computer vision compared with human assessment for dermatologic image classification tasks.</t>
  </si>
  <si>
    <t>Deep learning outperformed 136 of 157 dermatologists in a head-to-head dermoscopic melanoma image classification task</t>
  </si>
  <si>
    <t>BACKGROUND: Recent studies have successfully demonstrated the use of deep-learning algorithms for dermatologist-level classification of suspicious lesions by the use of excessive proprietary image databases and limited numbers of dermatologists. For the first time, the performance of a deep-learning algorithm trained by open-source images exclusively is compared to a large number of dermatologists covering all levels within the clinical hierarchy. METHODS: We used methods from enhanced deep learning to train a convolutional neural network (CNN) with 12,378 open-source dermoscopic images. We used 100 images to compare the performance of the CNN to that of the 157 dermatologists from 12 university hospitals in Germany. Outperformance of dermatologists by the deep neural network was measured in terms of sensitivity, specificity and receiver operating characteristics. FINDINGS: The mean sensitivity and specificity achieved by the dermatologists with dermoscopic images was 74.1% (range 40.0%-100%) and 60% (range 21.3%-91.3%), respectively. At a mean sensitivity of 74.1%, the CNN exhibited a mean specificity of 86.5% (range 70.8%-91.3%). At a mean specificity of 60%, a mean sensitivity of 87.5% (range 80%-95%) was achieved by our algorithm. Among the dermatologists, the chief physicians showed the highest mean specificity of 69.2% at a mean sensitivity of 73.3%. With the same high specificity of 69.2%, the CNN had a mean sensitivity of 84.5%. INTERPRETATION: A CNN trained by open-source images exclusively outperformed 136 of the 157 dermatologists and all the different levels of experience (from junior to chief physicians) in terms of average specificity and sensitivity.</t>
  </si>
  <si>
    <t>Enhanced classifier training to improve precision of a convolutional neural network to identify images of skin lesions</t>
  </si>
  <si>
    <t>BACKGROUND: In recent months, multiple publications have demonstrated the use of convolutional neural networks (CNN) to classify images of skin cancer as precisely as dermatologists. However, these CNNs failed to outperform the International Symposium on Biomedical Imaging (ISBI) 2016 challenge which ranked the average precision for classification of dermoscopic melanoma images. Accordingly, the technical progress represented by these studies is limited. In addition, the available reports are impossible to reproduce, due to incomplete descriptions of training procedures and the use of proprietary image databases or non-disclosure of used images. These factors prevent the comparison of various CNN classifiers in equal terms. OBJECTIVE: To demonstrate the training of an image-classifier CNN that outperforms the winner of the ISBI 2016 CNNs challenge by using open source images exclusively. METHODS: A detailed description of the training procedure is reported while the used images and test sets are disclosed fully, to insure the reproducibility of our work. RESULTS: Our CNN classifier outperforms all recent attempts to classify the original ISBI 2016 challenge test data (full set of 379 test images), with an average precision of 0.709 (vs. 0.637 of the ISBI winner) and with an area under the receiver operating curve of 0.85. CONCLUSION: This work illustrates the potential for improving skin cancer classification with enhanced training procedures for CNNs, while avoiding the use of costly equipment or proprietary image data.</t>
  </si>
  <si>
    <t>Manifold learning of brain MRIs by deep learning</t>
  </si>
  <si>
    <t>Manifold learning of medical images plays a potentially important role for modeling anatomical variability within a population with pplications that include segmentation, registration, and prediction of clinical parameters. This paper describes a novel method for learning the manifold of 3D brain images that, unlike most existing manifold learning methods, does not require the manifold space to be locally linear, and does not require a predefined similarity measure or a prebuilt proximity graph. Our manifold learning method is based on deep learning, a machine learning approach that uses layered networks (called deep belief networks, or DBNs) and has received much attention recently in the computer vision field due to their success in object recognition tasks. DBNs have traditionally been too computationally expensive for application to 3D images due to the large number of trainable parameters. Our primary contributions are (1) a much more computationally efficient training method for DBNs that makes training on 3D medical images with a resolution of up to 128 x 128 x 128 practical, and (2) the demonstration that DBNs can learn a low-dimensional manifold of brain volumes that detects modes of variations that correlate to demographic and disease parameters.</t>
  </si>
  <si>
    <t>T. Brosch and R. Tam</t>
  </si>
  <si>
    <t>2013</t>
  </si>
  <si>
    <t>Med Image Comput Comput Assist Interv</t>
  </si>
  <si>
    <t>Efficient training of convolutional deep belief networks in the frequency domain for application to high-resolution 2D and 3D images</t>
  </si>
  <si>
    <t>Deep learning has traditionally been computationally expensive, and advances in training methods have been the prerequisite for improving its efficiency in order to expand its application to a variety of image classification problems. In this letter, we address the problem of efficient training of convolutional deep belief networks by learning the weights in the frequency domain, which eliminates the time-consuming calculation of convolutions. An essential consideration in the design of the algorithm is to minimize the number of transformations to and from frequency space. We have evaluated the running time improvements using two standard benchmark data sets, showing a speed-up of up to 8 times on 2D images and up to 200 times on 3D volumes. Our training algorithm makes training of convolutional deep belief networks on 3D medical images with a resolution of up to 128×128×128 voxels practical, which opens new directions for using deep learning for medical image analysis.</t>
  </si>
  <si>
    <t>2015</t>
  </si>
  <si>
    <t>Neural Comput</t>
  </si>
  <si>
    <t>Modeling the variability in brain morphology and lesion distribution in multiple sclerosis by deep learning</t>
  </si>
  <si>
    <t>Changes in brain morphology and white matter lesions are two hallmarks of multiple sclerosis (MS) pathology, but their variability beyond volumetrics is poorly characterized. To further our understanding of complex MS pathology, we aim to build a statistical model of brain images that can automatically discover spatial patterns of variability in brain morphology and lesion distribution. We propose building such a model using a deep belief network (DBN), a layered network whose parameters can be learned from training images. In contrast to other manifold learning algorithms, the DBN approach does not require a prebuilt proximity graph, which is particularly advantageous for modeling lesions, because their sparse and random nature makes defining a suitable distance measure between lesion images challenging. Our model consists of a morphology DBN, a lesion DBN, and a joint DBN that models concurring morphological and lesion patterns. Our results show that this model can automatically discover the classic patterns of MS pathology, as well as more subtle ones, and that the parameters computed have strong relationships to MS clinical scores.</t>
  </si>
  <si>
    <t>T. Brosch, Y. Yoo, D. K. Li, A. Traboulsee and R. Tam</t>
  </si>
  <si>
    <t>2014</t>
  </si>
  <si>
    <t>Automated Diagnosis of Plus Disease in Retinopathy of Prematurity Using Deep Convolutional Neural Networks</t>
  </si>
  <si>
    <t>IMPORTANCE: Retinopathy of prematurity (ROP) is a leading cause of childhood blindness worldwide. The decision to treat is primarily based on the presence of plus disease, defined as dilation and tortuosity of retinal vessels. However, clinical diagnosis of plus disease is highly subjective and variable. OBJECTIVE: To implement and validate an algorithm based on deep learning to automatically diagnose plus disease from retinal photographs. DESIGN, SETTING, AND PARTICIPANTS: A deep convolutional neural network was trained using a data set of 5511 retinal photographs. Each image was previously assigned a reference standard diagnosis (RSD) based on consensus of image grading by 3 experts and clinical diagnosis by 1 expert (ie, normal, pre-plus disease, or plus disease). The algorithm was evaluated by 5-fold cross-validation and tested on an independent set of 100 images. Images were collected from 8 academic institutions participating in the Imaging and Informatics in ROP (i-ROP) cohort study. The deep learning algorithm was tested against 8 ROP experts, each of whom had more than 10 years of clinical experience and more than 5 peer-reviewed publications about ROP. Data were collected from July 2011 to December 2016. Data were analyzed from December 2016 to September 2017. EXPOSURES: A deep learning algorithm trained on retinal photographs. MAIN OUTCOMES AND MEASURES: Receiver operating characteristic analysis was performed to evaluate performance of the algorithm against the RSD. Quadratic-weighted κ coefficients were calculated for ternary classification (ie, normal, pre-plus disease, and plus disease) to measure agreement with the RSD and 8 independent experts. RESULTS: Of the 5511 included retinal photographs, 4535 (82.3%) were graded as normal, 805 (14.6%) as pre-plus disease, and 172 (3.1%) as plus disease, based on the RSD. Mean (SD) area under the receiver operating characteristic curve statistics were 0.94 (0.01) for the diagnosis of normal (vs pre-plus disease or plus disease) and 0.98 (0.01) for the diagnosis of plus disease (vs normal or pre-plus disease). For diagnosis of plus disease in an independent test set of 100 retinal images, the algorithm achieved a sensitivity of 93% with 94% specificity. For detection of pre-plus disease or worse, the sensitivity and specificity were 100% and 94%, respectively. On the same test set, the algorithm achieved a quadratic-weighted κ coefficient of 0.92 compared with the RSD, outperforming 6 of 8 ROP experts. CONCLUSIONS AND RELEVANCE: This fully automated algorithm diagnosed plus disease in ROP with comparable or better accuracy than human experts. This has potential applications in disease detection, monitoring, and prognosis in infants at risk of ROP.</t>
  </si>
  <si>
    <t>J. M. Brown, J. P. Campbell, A. Beers, K. Chang, S. Ostmo, R. V. P. Chan, J. Dy, D. Erdogmus, S. Ioannidis, J. Kalpathy-Cramer and M. F. Chiang</t>
  </si>
  <si>
    <t>JAMA Ophthalmol</t>
  </si>
  <si>
    <t>Explainable Deep Learning for Pulmonary Disease and Coronavirus COVID-19 Detection from X-rays</t>
  </si>
  <si>
    <t>BACKGROUND AND OBJECTIVE: Coronavirus disease (COVID-19) is an infectious disease caused by a new virus never identified before in humans. This virus causes respiratory disease (for instance, flu) with symptoms such as cough, fever and, in severe cases, pneumonia. The test to detect the presence of this virus in humans is performed on sputum or blood samples and the outcome is generally available within a few hours or, at most, days. Analysing biomedical imaging the patient shows signs of pneumonia. In this paper, with the aim of providing a fully automatic and faster diagnosis, we propose the adoption of deep learning for COVID-19 detection from X-rays. METHOD: In particular, we propose an approach composed by three phases: the first one to detect if in a chest X-ray there is the presence of a pneumonia. The second one to discern between COVID-19 and pneumonia. The last step is aimed to localise the areas in the X-ray symptomatic of the COVID-19 presence. RESULTS AND CONCLUSION: Experimental analysis on 6,523 chest X-rays belonging to different institutions demonstrated the effectiveness of the proposed approach, with an average time for COVID-19 detection of approximately 2.5 seconds and an average accuracy equal to 0.97.</t>
  </si>
  <si>
    <t>Shape Information Improves the Cross-Cohort Performance of Deep Learning-Based Segmentation of the Hippocampus</t>
  </si>
  <si>
    <t>Performing an accurate segmentation of the hippocampus from brain magnetic resonance images is a crucial task in neuroimaging research, since its structural integrity is strongly related to several neurodegenerative disorders, including Alzheimer's disease (AD). Some automatic segmentation tools are already being used, but, in recent years, new deep learning (DL)-based methods have been proven to be much more accurate in various medical image segmentation tasks. In this work, we propose a DL-based hippocampus segmentation framework that embeds statistical shape of the hippocampus as context information into the deep neural network (DNN). The inclusion of shape information is achieved with three main steps: (1) a U-Net-based segmentation, (2) a shape model estimation, and (3) a second U-Net-based segmentation which uses both the original input data and the fitted shape model. The trained DL architectures were tested on image data of three diagnostic groups [AD patients, subjects with mild cognitive impairment (MCI) and controls] from two cohorts (ADNI and AddNeuroMed). Both intra-cohort validation and cross-cohort validation were performed and compared with the conventional U-net architecture and some variations with other types of context information (i.e., autocontext and tissue-class context). Our results suggest that adding shape information can improve the segmentation accuracy in cross-cohort validation, i.e., when DNNs are trained on one cohort and applied to another. However, no significant benefit is observed in intra-cohort validation, i.e., training and testing DNNs on images from the same cohort. Moreover, compared to other types of context information, the use of shape context was shown to be the most successful in increasing the accuracy, while keeping the computational time in the order of a few minutes.</t>
  </si>
  <si>
    <t>Front Neurosci</t>
  </si>
  <si>
    <t>10.1016/bs.mcb.2019.05.001</t>
  </si>
  <si>
    <t>Content-aware image restoration for electron microscopy</t>
  </si>
  <si>
    <t>Multiple approaches to use deep neural networks for image restoration have recently been proposed. Training such networks requires well registered pairs of high and low-quality images. While this is easily achievable for many imaging modalities, e.g., fluorescence light microscopy, for others it is not. Here we summarize on a number of recent developments in the fast-paced field of Content-Aware Image Restoration (CARE), in particular, and the associated area of neural network training, more in general. We then give specific examples how electron microscopy data can benefit from these new technologies.</t>
  </si>
  <si>
    <t>Methods Cell Biol</t>
  </si>
  <si>
    <t>Management of Thyroid Nodules Seen on US Images: Deep Learning May Match Performance of Radiologists</t>
  </si>
  <si>
    <t>BackgroundManagement of thyroid nodules may be inconsistent between different observers and time consuming for radiologists. An artificial intelligence system that uses deep learning may improve radiology workflow for management of thyroid nodules.PurposeTo develop a deep learning algorithm that uses thyroid US images to decide whether a thyroid nodule should undergo a biopsy and to compare the performance of the algorithm with the performance of radiologists who adhere to American College of Radiology (ACR) Thyroid Imaging Reporting and Data System (TI-RADS).Materials and MethodsIn this retrospective analysis, studies in patients referred for US with subsequent fine-needle aspiration or with surgical histologic analysis used as the standard were evaluated. The study period was from August 2006 to May 2010. A multitask deep convolutional neural network was trained to provide biopsy recommendations for thyroid nodules on the basis of two orthogonal US images as the input. In the training phase, the deep learning algorithm was first evaluated by using 10-fold cross-validation. Internal validation was then performed on an independent set of 99 consecutive nodules. The sensitivity and specificity of the algorithm were compared with a consensus of three ACR TI-RADS committee experts and nine other radiologists, all of whom interpreted thyroid US images in clinical practice.ResultsIncluded were 1377 thyroid nodules in 1230 patients with complete imaging data and conclusive cytologic or histologic diagnoses. For the 99 test nodules, the proposed deep learning algorithm achieved 13 of 15 (87%: 95% confidence interval [CI]: 67%, 100%) sensitivity, the same as expert consensus (P &gt; .99) and higher than five of nine radiologists. The specificity of the deep learning algorithm was 44 of 84 (52%; 95% CI: 42%, 62%), which was similar to expert consensus (43 of 84; 51%; 95% CI: 41%, 62%; P = .91) and higher than seven of nine other radiologists. The mean sensitivity and specificity for the nine radiologists was 83% (95% CI: 64%, 98%) and 48% (95% CI: 37%, 59%), respectively.ConclusionSensitivity and specificity of a deep learning algorithm for thyroid nodule biopsy recommendations was similar to that of expert radiologists who used American College of Radiology Thyroid Imaging and Reporting Data System guidelines.© RSNA, 2019Online supplemental material is available for this article.</t>
  </si>
  <si>
    <t>Cascaded deep convolutional encoder-decoder neural networks for efficient liver tumor segmentation</t>
  </si>
  <si>
    <t>Liver and hepatic tumor segmentation remains a challenging problem in Computer Tomography (CT) images analysis due to its shape variation and vague boundary. The general hypothesis says that deep learning methods produce improved results on medical image segmentation. This paper formulates the segmentation of liver tumor in CT abdominal images as a classification problem, and then solves it using a cascaded classifier framework based on deep convolutional neural networks. Two deep encoder-decoder convolutional neural networks (EDCNN) were constructed and trained to cascade segments of both the liver and lesions in CT images with limited image quantity. In other words, an EDCNN segments the liver image as the input for the training of a second EDCNN. The second EDCNN then segments the tumor regions within the liver ROI regions as predicted by the first EDCNN. Segmenting the hepatic tumor inside the liver ROI also significantly reduces false-positives. The proposed model was then tested using a public dataset (3DIRCADb), and several metrics were used in order to quantitatively evaluate its performance. The proposed method produced an average DICE score of 95.22% for the test set of CT images. The proposed method was then compared with some of the existing methods. The experimental results demonstrated that the proposed EDCNN achieved improved performance in segmentation accuracy over some existing methods.</t>
  </si>
  <si>
    <t>Ü. Budak, Y. Guo, E. Tanyildizi and A. Şengür</t>
  </si>
  <si>
    <t>Med Hypotheses</t>
  </si>
  <si>
    <t>Prospective identification of hematopoietic lineage choice by deep learning</t>
  </si>
  <si>
    <t>Differentiation alters molecular properties of stem and progenitor cells, leading to changes in their shape and movement characteristics. We present a deep neural network that prospectively predicts lineage choice in differentiating primary hematopoietic progenitors using image patches from brightfield microscopy and cellular movement. Surprisingly, lineage choice can be detected up to three generations before conventional molecular markers are observable. Our approach allows identification of cells with differentially expressed lineage-specifying genes without molecular labeling.</t>
  </si>
  <si>
    <t>F. Buggenthin, F. Buettner, P. S. Hoppe, M. Endele, M. Kroiss, M. Strasser, M. Schwarzfischer, D. Loeffler, K. D. Kokkaliaris, O. Hilsenbeck, T. Schroeder, F. J. Theis and C. Marr</t>
  </si>
  <si>
    <t>Incorporated region detection and classification using deep convolutional networks for bone age assessment</t>
  </si>
  <si>
    <t>Bone age assessment plays an important role in the endocrinology and genetic investigation of patients. In this paper, we proposed a deep learning-based approach for bone age assessment by integration of the Tanner-Whitehouse (TW3) methods and deep convolution networks based on extracted regions of interest (ROI)-detection and classification using Faster-RCNN and Inception-v4 networks, respectively. The proposed method allows exploration of expert knowledge from TW3 and features engineering from deep convolution networks to enhance the accuracy of bone age assessment. The experimental results showed a mean absolute error of about 0.59 years between expert radiologists and the proposed method, which is the best performance among state-of-the-art methods.</t>
  </si>
  <si>
    <t>Automated deep-learning system for Gleason grading of prostate cancer using biopsies: a diagnostic study</t>
  </si>
  <si>
    <t>BACKGROUND: The Gleason score is the strongest correlating predictor of recurrence for prostate cancer, but has substantial inter-observer variability, limiting its usefulness for individual patients. Specialised urological pathologists have greater concordance; however, such expertise is not widely available. Prostate cancer diagnostics could thus benefit from robust, reproducible Gleason grading. We aimed to investigate the potential of deep learning to perform automated Gleason grading of prostate biopsies. METHODS: In this retrospective study, we developed a deep-learning system to grade prostate biopsies following the Gleason grading standard. The system was developed using randomly selected biopsies, sampled by the biopsy Gleason score, from patients at the Radboud University Medical Center (pathology report dated between Jan 1, 2012, and Dec 31, 2017). A semi-automatic labelling technique was used to circumvent the need for manual annotations by pathologists, using pathologists' reports as the reference standard during training. The system was developed to delineate individual glands, assign Gleason growth patterns, and determine the biopsy-level grade. For validation of the method, a consensus reference standard was set by three expert urological pathologists on an independent test set of 550 biopsies. Of these 550, 100 were used in an observer experiment, in which the system, 13 pathologists, and two pathologists in training were compared with respect to the reference standard. The system was also compared to an external test dataset of 886 cores, which contained 245 cores from a different centre that were independently graded by two pathologists. FINDINGS: We collected 5759 biopsies from 1243 patients. The developed system achieved a high agreement with the reference standard (quadratic Cohen's kappa 0·918, 95% CI 0·891-0·941) and scored highly at clinical decision thresholds: benign versus malignant (area under the curve 0·990, 95% CI 0·982-0·996), grade group of 2 or more (0·978, 0·966-0·988), and grade group of 3 or more (0·974, 0·962-0·984). In an observer experiment, the deep-learning system scored higher (kappa 0·854) than the panel (median kappa 0·819), outperforming 10 of 15 pathologist observers. On the external test dataset, the system obtained a high agreement with the reference standard set independently by two pathologists (quadratic Cohen's kappa 0·723 and 0·707) and within inter-observer variability (kappa 0·71). INTERPRETATION: Our automated deep-learning system achieved a performance similar to pathologists for Gleason grading and could potentially contribute to prostate cancer diagnosis. The system could potentially assist pathologists by screening biopsies, providing second opinions on grade group, and presenting quantitative measurements of volume percentages. FUNDING: Dutch Cancer Society.</t>
  </si>
  <si>
    <t>Lancet Oncol</t>
  </si>
  <si>
    <t>10.1007/s10278-017-0026-y</t>
  </si>
  <si>
    <t>Rethinking Skin Lesion Segmentation in a Convolutional Classifier</t>
  </si>
  <si>
    <t>Melanoma is a fatal form of skin cancer when left undiagnosed. Computer-aided diagnosis systems powered by convolutional neural networks (CNNs) can improve diagnostic accuracy and save lives. CNNs have been successfully used in both skin lesion segmentation and classification. For reasons heretofore unclear, previous works have found image segmentation to be, conflictingly, both detrimental and beneficial to skin lesion classification. We investigate the effect of expanding the segmentation border to include pixels surrounding the target lesion. Ostensibly, segmenting a target skin lesion will remove inessential information, non-lesion skin, and artifacts to aid in classification. Our results indicate that segmentation border enlargement produces, to a certain degree, better results across all metrics of interest when using a convolutional based classifier built using the transfer learning paradigm. Consequently, preprocessing methods which produce borders larger than the actual lesion can potentially improve classifier performance, more than both perfect segmentation, using dermatologist created ground truth masks, and no segmentation altogether.</t>
  </si>
  <si>
    <t>Deep learning for brain disorders: from data processing to disease treatment</t>
  </si>
  <si>
    <t>In order to reach precision medicine and improve patients' quality of life, machine learning is increasingly used in medicine. Brain disorders are often complex and heterogeneous, and several modalities such as demographic, clinical, imaging, genetics and environmental data have been studied to improve their understanding. Deep learning, a subpart of machine learning, provides complex algorithms that can learn from such various data. It has become state of the art in numerous fields, including computer vision and natural language processing, and is also growingly applied in medicine. In this article, we review the use of deep learning for brain disorders. More specifically, we identify the main applications, the concerned disorders and the types of architectures and data used. Finally, we provide guidelines to bridge the gap between research studies and clinical routine.</t>
  </si>
  <si>
    <t>Brief Bioinform</t>
  </si>
  <si>
    <t>Evaluation of deep convolutional neural networks for automatic classification of common maternal fetal ultrasound planes</t>
  </si>
  <si>
    <t>The goal of this study was to evaluate the maturity of current Deep Learning classification techniques for their application in a real maternal-fetal clinical environment. A large dataset of routinely acquired maternal-fetal screening ultrasound images (which will be made publicly available) was collected from two different hospitals by several operators and ultrasound machines. All images were manually labeled by an expert maternal fetal clinician. Images were divided into 6 classes: four of the most widely used fetal anatomical planes (Abdomen, Brain, Femur and Thorax), the mother's cervix (widely used for prematurity screening) and a general category to include any other less common image plane. Fetal brain images were further categorized into the 3 most common fetal brain planes (Trans-thalamic, Trans-cerebellum, Trans-ventricular) to judge fine grain categorization performance. The final dataset is comprised of over 12,400 images from 1,792 patients, making it the largest ultrasound dataset to date. We then evaluated a wide variety of state-of-the-art deep Convolutional Neural Networks on this dataset and analyzed results in depth, comparing the computational models to research technicians, which are the ones currently performing the task daily. Results indicate for the first time that computational models have similar performance compared to humans when classifying common planes in human fetal examination. However, the dataset leaves the door open on future research to further improve results, especially on fine-grained plane categorization.</t>
  </si>
  <si>
    <t>Evaluation of an improved tool for non-invasive prediction of neonatal respiratory morbidity based on fully automated fetal lung ultrasound analysis</t>
  </si>
  <si>
    <t>The objective of this study was to evaluate the performance of a new version of quantusFLM®, a software tool for prediction of neonatal respiratory morbidity (NRM) by ultrasound, which incorporates a fully automated fetal lung delineation based on Deep Learning techniques. A set of 790 fetal lung ultrasound images obtained at 24 + 0-38 + 6 weeks' gestation was evaluated. Perinatal outcomes and the occurrence of NRM were recorded. quantusFLM® version 3.0 was applied to all images to automatically delineate the fetal lung and predict NRM risk. The test was compared with the same technology but using a manual delineation of the fetal lung, and with a scenario where only gestational age was available. The software predicted NRM with a sensitivity, specificity, and positive and negative predictive value of 71.0%, 94.7%, 67.9%, and 95.4%, respectively, with an accuracy of 91.5%. The accuracy for predicting NRM obtained with the same texture analysis but using a manual delineation of the lung was 90.3%, and using only gestational age was 75.6%. To sum up, automated and non-invasive software predicted NRM with a performance similar to that reported for tests based on amniotic fluid analysis and much greater than that of gestational age alone.</t>
  </si>
  <si>
    <t>Automated diagnosis of myositis from muscle ultrasound: Exploring the use of machine learning and deep learning methods</t>
  </si>
  <si>
    <t>OBJECTIVE: To evaluate the use of ultrasound coupled with machine learning (ML) and deep learning (DL) techniques for automated or semi-automated classification of myositis. METHODS: Eighty subjects comprised of 19 with inclusion body myositis (IBM), 14 with polymyositis (PM), 14 with dermatomyositis (DM), and 33 normal (N) subjects were included in this study, where 3214 muscle ultrasound images of 7 muscles (observed bilaterally) were acquired. We considered three problems of classification including (A) normal vs. affected (DM, PM, IBM); (B) normal vs. IBM patients; and (C) IBM vs. other types of myositis (DM or PM). We studied the use of an automated DL method using deep convolutional neural networks (DL-DCNNs) for diagnostic classification and compared it with a semi-automated conventional ML method based on random forests (ML-RF) and engineered features. We used the known clinical diagnosis as the gold standard for evaluating performance of muscle classification. RESULTS: The performance of the DL-DCNN method resulted in accuracies ± standard deviation of 76.2% ± 3.1% for problem (A), 86.6% ± 2.4% for (B) and 74.8% ± 3.9% for (C), while the ML-RF method led to accuracies of 72.3% ± 3.3% for problem (A), 84.3% ± 2.3% for (B) and 68.9% ± 2.5% for (C). CONCLUSIONS: This study demonstrates the application of machine learning methods for automatically or semi-automatically classifying inflammatory muscle disease using muscle ultrasound. Compared to the conventional random forest machine learning method used here, which has the drawback of requiring manual delineation of muscle/fat boundaries, DCNN-based classification by and large improved the accuracies in all classification problems while providing a fully automated approach to classification.</t>
  </si>
  <si>
    <t>P. Burlina, S. Billings, N. Joshi and J. Albayda</t>
  </si>
  <si>
    <t>Deep embeddings for novelty detection in myopathy</t>
  </si>
  <si>
    <t>We address the challenge of finding anomalies in ultrasound images via deep learning, specifically applying this to screening for myopathies and finding rare presentations of myopathic disease. Among myopathic diseases, this study focuses on the use case of myositis given the spectrum of muscle involvement seen in these inflammatory muscle diseases, as well as the potential for treatment. For this study, we have developed a fully annotated dataset (called Myositis3K) which includes 3586 images of eighty-nine individuals (35 control and 54 with myositis) acquired with informed consent. We approach this challenge as one of performing unsupervised novelty detection (ND), and use tools leveraging deep embeddings combined with several novelty scoring methods. We evaluated these various ND algorithms and compared their performance against human clinician performance, against other methods including supervised binary classification approaches, and against unsupervised novelty detection approaches using generative methods. Our best performing approach resulted in a (ROC) AUC (and 95% CI error margin) of 0.7192 (0.0164), which is a promising baseline for developing future clinical tools for unsupervised prescreening of myopathies.</t>
  </si>
  <si>
    <t>Comparing humans and deep learning performance for grading AMD: A study in using universal deep features and transfer learning for automated AMD analysis</t>
  </si>
  <si>
    <t>BACKGROUND: When left untreated, age-related macular degeneration (AMD) is the leading cause of vision loss in people over fifty in the US. Currently it is estimated that about eight million US individuals have the intermediate stage of AMD that is often asymptomatic with regard to visual deficit. These individuals are at high risk for progressing to the advanced stage where the often treatable choroidal neovascular form of AMD can occur. Careful monitoring to detect the onset and prompt treatment of the neovascular form as well as dietary supplementation can reduce the risk of vision loss from AMD, therefore, preferred practice patterns recommend identifying individuals with the intermediate stage in a timely manner. METHODS: Past automated retinal image analysis (ARIA) methods applied on fundus imagery have relied on engineered and hand-designed visual features. We instead detail the novel application of a machine learning approach using deep learning for the problem of ARIA and AMD analysis. We use transfer learning and universal features derived from deep convolutional neural networks (DCNN). We address clinically relevant 4-class, 3-class, and 2-class AMD severity classification problems. RESULTS: Using 5664 color fundus images from the NIH AREDS dataset and DCNN universal features, we obtain values for accuracy for the (4-, 3-, 2-) class classification problem of (79.4%, 81.5%, 93.4%) for machine vs. (75.8%, 85.0%, 95.2%) for physician grading. DISCUSSION: This study demonstrates the efficacy of machine grading based on deep universal features/transfer learning when applied to ARIA and is a promising step in providing a pre-screener to identify individuals with intermediate AMD and also as a tool that can facilitate identifying such individuals for clinical studies aimed at developing improved therapies. It also demonstrates comparable performance between computer and physician grading.</t>
  </si>
  <si>
    <t>P. Burlina, K. D. Pacheco, N. Joshi, D. E. Freund and N. M. Bressler</t>
  </si>
  <si>
    <t>A Machine Learning Algorithm to Estimate Sarcopenia on Abdominal CT</t>
  </si>
  <si>
    <t>RATIONALE AND OBJECTIVES: To assess whether a fully-automated deep learning system can accurately detect and analyze truncal musculature at multiple lumbar vertebral levels and muscle groupings on abdominal CT for potential use in the detection of central sarcopenia. MATERIALS AND METHODS: A computer system for automated segmentation of truncal musculature groups was designed and created. Abdominal CT scans of 102 sequential patients (mean age 68 years, range 59-81 years; 53 women, 49 men) conducted between January 2015 and February 2015 were assembled as a data set. Truncal musculature was manually segmented on axial CT images at multiple lumbar vertebral levels as reference standard data, divided into training and testing subsets, and analyzed by the system. Dice similarity coefficients were calculated to evaluate system performance. IRB approval was obtained, with waiver of informed consent in this retrospective study. RESULTS: System performance as gauged by the Dice coefficients, for detecting the total abdominal muscle cross-section at the level of the third and fourth lumbar vertebrae, were, respectively, 0.953 ± 0.015 and 0.953 ± 0.011 for the training set, and 0.938 ± 0.028 and 0.940 ± 0.026 for the testing set. Dice coefficients for detecting total psoas muscle cross-section at the level of the third and fourth lumbar vertebrae, were, respectively, 0.942 ± 0.040 and 0.951 ± 0.037 for the training set, and 0.939 ± 0.028 and 0.946 ± 0.032 for the testing set. CONCLUSION: This system fully-automatically and accurately segments multiple muscle groups at all lumbar spine levels on abdominal CT for detection of sarcopenia.</t>
  </si>
  <si>
    <t>10.1002/jbmr.3849</t>
  </si>
  <si>
    <t>Artificial Intelligence in Musculoskeletal Imaging: A Paradigm Shift</t>
  </si>
  <si>
    <t>Artificial intelligence is upending many of our assumptions about the ability of computers to detect and diagnose diseases on medical images. Deep learning, a recent innovation in artificial intelligence, has shown the ability to interpret medical images with sensitivities and specificities at or near that of skilled clinicians for some applications. In this review, we summarize the history of artificial intelligence, present some recent research advances, and speculate about the potential revolutionary clinical impact of the latest computer techniques for bone and muscle imaging. © 2019 American Society for Bone and Mineral Research. Published 2019. This article is a U.S. Government work and is in the public domain in the USA.</t>
  </si>
  <si>
    <t>J Bone Miner Res</t>
  </si>
  <si>
    <t>10.1259/bjr.20170545</t>
  </si>
  <si>
    <t>Deep learning beyond cats and dogs: recent advances in diagnosing breast cancer with deep neural networks</t>
  </si>
  <si>
    <t>Deep learning has demonstrated tremendous revolutionary changes in the computing industry and its effects in radiology and imaging sciences have begun to dramatically change screening paradigms. Specifically, these advances have influenced the development of computer-aided detection and diagnosis (CAD) systems. These technologies have long been thought of as second-opinion tools for radiologists and clinicians. However, with significant improvements in deep neural networks, the diagnostic capabilities of learning algorithms are approaching levels of human expertise (radiologists, clinicians etc.), shifting the CAD paradigm from a second opinion tool to a more collaborative utility. This paper reviews recently developed CAD systems based on deep learning technologies for breast cancer diagnosis, explains their superiorities with respect to previously established systems, defines the methodologies behind the improved achievements including algorithmic developments, and describes remaining challenges in breast cancer screening and diagnosis. We also discuss possible future directions for new CAD models that continue to change as artificial intelligence algorithms evolve.</t>
  </si>
  <si>
    <t>Use of deep learning to detect cardiomegaly on thoracic radiographs in dogs</t>
  </si>
  <si>
    <t>The purpose of this study was to develop a computer-aided detection (CAD) device based on convolutional neural networks (CNNs) to detect cardiomegaly from plain radiographs in dogs. Right lateral chest radiographs (n = 1465) were retrospectively selected from archives. The radiographs were classified as having a normal cardiac silhouette (No-vertebral heart scale [VHS]-Cardiomegaly) or an enlarged cardiac silhouette (VHS-Cardiomegaly) based on the breed-specific VHS. The database was divided into a training set (1153 images) and a test set (315 images). The diagnostic accuracy of four different CNN models in the detection of cardiomegaly was calculated using the test set. All tested models had an area under the curve &gt;0.9, demonstrating high diagnostic accuracy. There was a statistically significant difference between Model C and the remainder models (Model A vs. Model C, P = 0.0298; Model B vs. Model C, P = 0.003; Model C vs. Model D, P = 0.0018), but there were no significant differences between other combinations of models (Model A vs. Model B, P = 0.395; Model A vs. Model D, P = 0.128; Model B vs. Model D, P = 0.373). Convolutional neural networks could therefore assist veterinarians in detecting cardiomegaly in dogs from plain radiographs.</t>
  </si>
  <si>
    <t>Vet J</t>
  </si>
  <si>
    <t>High spatially sensitive quantitative phase imaging assisted with deep neural network for classification of human spermatozoa under stressed condition</t>
  </si>
  <si>
    <t>Sperm cell motility and morphology observed under the bright field microscopy are the only criteria for selecting a particular sperm cell during Intracytoplasmic Sperm Injection (ICSI) procedure of Assisted Reproductive Technology (ART). Several factors such as oxidative stress, cryopreservation, heat, smoking and alcohol consumption, are negatively associated with the quality of sperm cell and fertilization potential due to the changing of subcellular structures and functions which are overlooked. However, bright field imaging contrast is insufficient to distinguish tiniest morphological cell features that might influence the fertilizing ability of sperm cell. We developed a partially spatially coherent digital holographic microscope (PSC-DHM) for quantitative phase imaging (QPI) in order to distinguish normal sperm cells from sperm cells under different stress conditions such as cryopreservation, exposure to hydrogen peroxide and ethanol. Phase maps of total 10,163 sperm cells (2,400 control cells, 2,750 spermatozoa after cryopreservation, 2,515 and 2,498 cells under hydrogen peroxide and ethanol respectively) are reconstructed using the data acquired from the PSC-DHM system. Total of seven feedforward deep neural networks (DNN) are employed for the classification of the phase maps for normal and stress affected sperm cells. When validated against the test dataset, the DNN provided an average sensitivity, specificity and accuracy of 85.5%, 94.7% and 85.6%, respectively. The current QPI + DNN framework is applicable for further improving ICSI procedure and the diagnostic efficiency for the classification of semen quality in regard to their fertilization potential and other biomedical applications in general.</t>
  </si>
  <si>
    <t>Deep learning based tissue analysis predicts outcome in colorectal cancer</t>
  </si>
  <si>
    <t>Image-based machine learning and deep learning in particular has recently shown expert-level accuracy in medical image classification. In this study, we combine convolutional and recurrent architectures to train a deep network to predict colorectal cancer outcome based on images of tumour tissue samples. The novelty of our approach is that we directly predict patient outcome, without any intermediate tissue classification. We evaluate a set of digitized haematoxylin-eosin-stained tumour tissue microarray (TMA) samples from 420 colorectal cancer patients with clinicopathological and outcome data available. The results show that deep learning-based outcome prediction with only small tissue areas as input outperforms (hazard ratio 2.3; CI 95% 1.79-3.03; AUC 0.69) visual histological assessment performed by human experts on both TMA spot (HR 1.67; CI 95% 1.28-2.19; AUC 0.58) and whole-slide level (HR 1.65; CI 95% 1.30-2.15; AUC 0.57) in the stratification into low- and high-risk patients. Our results suggest that state-of-the-art deep learning techniques can extract more prognostic information from the tissue morphology of colorectal cancer than an experienced human observer.</t>
  </si>
  <si>
    <t>D. Bychkov, N. Linder, R. Turkki, S. Nordling, P. E. Kovanen, C. Verrill, M. Walliander, M. Lundin, C. Haglund and J. Lundin</t>
  </si>
  <si>
    <t>Breast mass classification in sonography with transfer learning using a deep convolutional neural network and color conversion</t>
  </si>
  <si>
    <t>PURPOSE: We propose a deep learning-based approach to breast mass classification in sonography and compare it with the assessment of four experienced radiologists employing breast imaging reporting and data system 4th edition lexicon and assessment protocol. METHODS: Several transfer learning techniques are employed to develop classifiers based on a set of 882 ultrasound images of breast masses. Additionally, we introduce the concept of a matching layer. The aim of this layer is to rescale pixel intensities of the grayscale ultrasound images and convert those images to red, green, blue (RGB) to more efficiently utilize the discriminative power of the convolutional neural network pretrained on the ImageNet dataset. We present how this conversion can be determined during fine-tuning using back-propagation. Next, we compare the performance of the transfer learning techniques with and without the color conversion. To show the usefulness of our approach, we additionally evaluate it using two publicly available datasets. RESULTS: Color conversion increased the areas under the receiver operating curve for each transfer learning method. For the better-performing approach utilizing the fine-tuning and the matching layer, the area under the curve was equal to 0.936 on a test set of 150 cases. The areas under the curves for the radiologists reading the same set of cases ranged from 0.806 to 0.882. In the case of the two separate datasets, utilizing the proposed approach we achieved areas under the curve of around 0.890. CONCLUSIONS: The concept of the matching layer is generalizable and can be used to improve the overall performance of the transfer learning techniques using deep convolutional neural networks. When fully developed as a clinical tool, the methods proposed in this paper have the potential to help radiologists with breast mass classification in ultrasound.</t>
  </si>
  <si>
    <t>M. Byra, M. Galperin, H. Ojeda-Fournier, L. Olson, M. O'Boyle, C. Comstock and M. Andre</t>
  </si>
  <si>
    <t>Transfer learning with deep convolutional neural network for liver steatosis assessment in ultrasound images</t>
  </si>
  <si>
    <t>PURPOSE: The nonalcoholic fatty liver disease is the most common liver abnormality. Up to date, liver biopsy is the reference standard for direct liver steatosis quantification in hepatic tissue samples. In this paper we propose a neural network-based approach for nonalcoholic fatty liver disease assessment in ultrasound. METHODS: We used the Inception-ResNet-v2 deep convolutional neural network pre-trained on the ImageNet dataset to extract high-level features in liver B-mode ultrasound image sequences. The steatosis level of each liver was graded by wedge biopsy. The proposed approach was compared with the hepatorenal index technique and the gray-level co-occurrence matrix algorithm. After the feature extraction, we applied the support vector machine algorithm to classify images containing fatty liver. Based on liver biopsy, the fatty liver was defined to have more than 5% of hepatocytes with steatosis. Next, we used the features and the Lasso regression method to assess the steatosis level. RESULTS: The area under the receiver operating characteristics curve obtained using the proposed approach was equal to 0.977, being higher than the one obtained with the hepatorenal index method, 0.959, and much higher than in the case of the gray-level co-occurrence matrix algorithm, 0.893. For regression the Spearman correlation coefficients between the steatosis level and the proposed approach, the hepatorenal index and the gray-level co-occurrence matrix algorithm were equal to 0.78, 0.80 and 0.39, respectively. CONCLUSIONS: The proposed approach may help the sonographers automatically diagnose the amount of fat in the liver. The presented approach is efficient and in comparison with other methods does not require the sonographers to select the region of interest.</t>
  </si>
  <si>
    <t>M. Byra, G. Styczynski, C. Szmigielski, P. Kalinowski, Ł. Michałowski, R. Paluszkiewicz, B. Ziarkiewicz-Wróblewska, K. Zieniewicz, P. Sobieraj and A. Nowicki</t>
  </si>
  <si>
    <t>Real-time differentiation of adenomatous and hyperplastic diminutive colorectal polyps during analysis of unaltered videos of standard colonoscopy using a deep learning model</t>
  </si>
  <si>
    <t>BACKGROUND: In general, academic but not community endoscopists have demonstrated adequate endoscopic differentiation accuracy to make the 'resect and discard' paradigm for diminutive colorectal polyps workable. Computer analysis of video could potentially eliminate the obstacle of interobserver variability in endoscopic polyp interpretation and enable widespread acceptance of 'resect and discard'. STUDY DESIGN AND METHODS: We developed an artificial intelligence (AI) model for real-time assessment of endoscopic video images of colorectal polyps. A deep convolutional neural network model was used. Only narrow band imaging video frames were used, split equally between relevant multiclasses. Unaltered videos from routine exams not specifically designed or adapted for AI classification were used to train and validate the model. The model was tested on a separate series of 125 videos of consecutively encountered diminutive polyps that were proven to be adenomas or hyperplastic polyps. RESULTS: The AI model works with a confidence mechanism and did not generate sufficient confidence to predict the histology of 19 polyps in the test set, representing 15% of the polyps. For the remaining 106 diminutive polyps, the accuracy of the model was 94% (95% CI 86% to 97%), the sensitivity for identification of adenomas was 98% (95% CI 92% to 100%), specificity was 83% (95% CI 67% to 93%), negative predictive value 97% and positive predictive value 90%. CONCLUSIONS: An AI model trained on endoscopic video can differentiate diminutive adenomas from hyperplastic polyps with high accuracy. Additional study of this programme in a live patient clinical trial setting to address resect and discard is planned.</t>
  </si>
  <si>
    <t>M. F. Byrne, N. Chapados, F. Soudan, C. Oertel, M. Linares Pérez, R. Kelly, N. Iqbal, F. Chandelier and D. K. Rex</t>
  </si>
  <si>
    <t>Gut</t>
  </si>
  <si>
    <t>Volumetric Choroidal Segmentation Using Sequential Deep Learning Approach in High Myopia Subjects</t>
  </si>
  <si>
    <t>Many ocular diseases are associated with choroidal changes. Therefore, it is crucial to be able to segment the choroid to study its properties. Previous methods for choroidal segmentation have focused on single cross-sectional scans. Volumetric choroidal segmentation has yet to be widely reported. In this paper, we propose a sequential segmentation approach using a variation of U-Net with a bidirectional C-LSTM(Convolutional Long Short Term Memory) module in the bottleneck region. The model is evaluated on volumetric scans from 40 high myopia subjects, obtained using SS-OCT(Swept Source Optical Coherence Tomography). A comparison with other U-Net-based variants is also presented. The results demonstrate that volumetric segmentation of the choroid can be achieved with an accuracy of IoU(Intersection over Union) 0.92.Clinical relevance- This deep learning approach can automatically segment the choroidal volume, which can enable better evaluation and monitoring at ocular diseases.</t>
  </si>
  <si>
    <t>Single-shot T(2) mapping using overlapping-echo detachment planar imaging and a deep convolutional neural network</t>
  </si>
  <si>
    <t>PURPOSE: An end-to-end deep convolutional neural network (CNN) based on deep residual network (ResNet) was proposed to efficiently reconstruct reliable T(2) mapping from single-shot overlapping-echo detachment (OLED) planar imaging. METHODS: The training dataset was obtained from simulations that were carried out on SPROM (Simulation with PRoduct Operator Matrix) software developed by our group. The relationship between the original OLED image containing two echo signals and the corresponding T(2) mapping was learned by ResNet training. After the ResNet was trained, it was applied to reconstruct the T(2) mapping from simulation and in vivo human brain data. RESULTS: Although the ResNet was trained entirely on simulated data, the trained network was generalized well to real human brain data. The results from simulation and in vivo human brain experiments show that the proposed method significantly outperforms the echo-detachment-based method. Reliable T(2) mapping with higher accuracy is achieved within 30 ms after the network has been trained, while the echo-detachment-based OLED reconstruction method took approximately 2 min. CONCLUSION: The proposed method will facilitate real-time dynamic and quantitative MR imaging via OLED sequence, and deep convolutional neural network has the potential to reconstruct maps from complex MRI sequences efficiently.</t>
  </si>
  <si>
    <t>C. Cai, C. Wang, Y. Zeng, S. Cai, D. Liang, Y. Wu, Z. Chen, X. Ding and J. Zhong</t>
  </si>
  <si>
    <t>Breast Microcalcification Diagnosis Using Deep Convolutional Neural Network from Digital Mammograms</t>
  </si>
  <si>
    <t>Mammography is successfully used as an effective screening tool for cancer diagnosis. A calcification cluster on mammography is a primary sign of cancer. Early researches have proved the diagnostic value of the calcification, yet their performance is highly dependent on handcrafted image descriptors. Characterizing the calcification mammography in an automatic and robust way remains a challenge. In this paper, the calcification was characterized by descriptors obtained from deep learning and handcrafted descriptors. We compared the performances of different image feature sets on digital mammograms. The feature sets included the deep features alone, the handcrafted features, their combination, and the filtered deep features. Experimental results have demonstrated that the deep features outperform handcrafted features, but the handcrafted features can provide complementary information for deep features. We achieved a classification precision of 89.32% and sensitivity of 86.89% using the filtered deep features, which is the best performance among all the feature sets.</t>
  </si>
  <si>
    <t>H. Cai, Q. Huang, W. Rong, Y. Song, J. Li, J. Wang, J. Chen and L. Li</t>
  </si>
  <si>
    <t>Comput Math Methods Med</t>
  </si>
  <si>
    <t>10.21037/atm.2020.02.44</t>
  </si>
  <si>
    <t>A review of the application of deep learning in medical image classification and segmentation</t>
  </si>
  <si>
    <t>Big medical data mainly include electronic health record data, medical image data, gene information data, etc. Among them, medical image data account for the vast majority of medical data at this stage. How to apply big medical data to clinical practice? This is an issue of great concern to medical and computer researchers, and intelligent imaging and deep learning provide a good answer. This review introduces the application of intelligent imaging and deep learning in the field of big data analysis and early diagnosis of diseases, combining the latest research progress of big data analysis of medical images and the work of our team in the field of big data analysis of medical imagec, especially the classification and segmentation of medical images.</t>
  </si>
  <si>
    <t>Ann Transl Med</t>
  </si>
  <si>
    <t>A model based on CT radiomic features for predicting RT-PCR becoming negative in coronavirus disease 2019 (COVID-19) patients</t>
  </si>
  <si>
    <t>BACKGROUND: Coronavirus disease 2019 (COVID-19) has emerged as a global pandemic. According to the diagnosis and treatment guidelines of China, negative reverse transcription-polymerase chain reaction (RT-PCR) is the key criterion for discharging COVID-19 patients. However, repeated RT-PCR tests lead to medical waste and prolonged hospital stays for COVID-19 patients during the recovery period. Our purpose is to assess a model based on chest computed tomography (CT) radiomic features and clinical characteristics to predict RT-PCR negativity during clinical treatment. METHODS: From February 10 to March 10, 2020, 203 mild COVID-19 patients in Fangcang Shelter Hospital were retrospectively included (training: n = 141; testing: n = 62), and clinical characteristics were collected. Lung abnormalities on chest CT images were segmented with a deep learning algorithm. CT quantitative features and radiomic features were automatically extracted. Clinical characteristics and CT quantitative features were compared between RT-PCR-negative and RT-PCR-positive groups. Univariate logistic regression and Spearman correlation analyses identified the strongest features associated with RT-PCR negativity, and a multivariate logistic regression model was established. The diagnostic performance was evaluated for both cohorts. RESULTS: The RT-PCR-negative group had a longer time interval from symptom onset to CT exams than the RT-PCR-positive group (median 23 vs. 16 days, p &lt; 0.001). There was no significant difference in the other clinical characteristics or CT quantitative features. In addition to the time interval from symptom onset to CT exams, nine CT radiomic features were selected for the model. ROC curve analysis revealed AUCs of 0.811 and 0.812 for differentiating the RT-PCR-negative group, with sensitivity/specificity of 0.765/0.625 and 0.784/0.600 in the training and testing datasets, respectively. CONCLUSION: The model combining CT radiomic features and clinical data helped predict RT-PCR negativity during clinical treatment, indicating the proper time for RT-PCR retesting.</t>
  </si>
  <si>
    <t>BMC Med Imaging</t>
  </si>
  <si>
    <t>Using a deep learning system in endoscopy for screening of early esophageal squamous cell carcinoma (with video)</t>
  </si>
  <si>
    <t>BACKGROUND AND AIMS: Few artificial intelligence-based technologies have been developed to improve the efficiency of screening for esophageal squamous cell carcinoma (ESCC). Here, we developed and validated a novel system of computer-aided detection (CAD) using a deep neural network (DNN) to localize and identify early ESCC under conventional endoscopic white-light imaging. METHODS: We collected 2428 (1332 abnormal, 1096 normal) esophagoscopic images from 746 patients to set up a novel DNN-CAD system in 2 centers and prepared a validation dataset containing 187 images from 52 patients. Sixteen endoscopists (senior, mid-level, and junior) were asked to review the images of the validation set. The diagnostic results, including accuracy, sensitivity, specificity, positive predictive value (PPV), and negative predictive value (NPV), were compared between the DNN-CAD system and endoscopists. RESULTS: The receiver operating characteristic curve for DNN-CAD showed that the area under the curve was &gt;96%. For the validation dataset, DNN-CAD had a sensitivity, specificity, accuracy, PPV, and NPV of 97.8%, 85.4%, 91.4%, 86.4%, and 97.6%, respectively. The senior group achieved an average diagnostic accuracy of 88.8%, whereas the junior group had a lower value of 77.2%. After referring to the results of DNN-CAD, the average diagnostic ability of the endoscopists improved, especially in terms of sensitivity (74.2% vs 89.2%), accuracy (81.7% vs 91.1%), and NPV (79.3% vs 90.4%). CONCLUSIONS: The novel DNN-CAD system used for screening of early ESCC has high accuracy and sensitivity, and can help endoscopists to detect lesions previously ignored under white-light imaging.</t>
  </si>
  <si>
    <t>Gastrointest Endosc</t>
  </si>
  <si>
    <t>Concussion classification via deep learning using whole-brain white matter fiber strains</t>
  </si>
  <si>
    <t>Developing an accurate and reliable injury predictor is central to the biomechanical studies of traumatic brain injury. State-of-the-art efforts continue to rely on empirical, scalar metrics based on kinematics or model-estimated tissue responses explicitly pre-defined in a specific brain region of interest. They could suffer from loss of information. A single training dataset has also been used to evaluate performance but without cross-validation. In this study, we developed a deep learning approach for concussion classification using implicit features of the entire voxel-wise white matter fiber strains. Using reconstructed American National Football League (NFL) injury cases, leave-one-out cross-validation was employed to objectively compare injury prediction performances against two baseline machine learning classifiers (support vector machine (SVM) and random forest (RF)) and four scalar metrics via univariate logistic regression (Brain Injury Criterion (BrIC), cumulative strain damage measure of the whole brain (CSDM-WB) and the corpus callosum (CSDM-CC), and peak fiber strain in the CC). Feature-based machine learning classifiers including deep learning, SVM, and RF consistently outperformed all scalar injury metrics across all performance categories (e.g., leave-one-out accuracy of 0.828-0.862 vs. 0.690-0.776, and .632+ error of 0.148-0.176 vs. 0.207-0.292). Further, deep learning achieved the best cross-validation accuracy, sensitivity, AUC, and .632+ error. These findings demonstrate the superior performances of deep learning in concussion prediction and suggest its promise for future applications in biomechanical investigations of traumatic brain injury.</t>
  </si>
  <si>
    <t>Y. Cai, S. Wu, W. Zhao, Z. Li, Z. Wu and S. Ji</t>
  </si>
  <si>
    <t>Nucleus segmentation across imaging experiments: the 2018 Data Science Bowl</t>
  </si>
  <si>
    <t>Segmenting the nuclei of cells in microscopy images is often the first step in the quantitative analysis of imaging data for biological and biomedical applications. Many bioimage analysis tools can segment nuclei in images but need to be selected and configured for every experiment. The 2018 Data Science Bowl attracted 3,891 teams worldwide to make the first attempt to build a segmentation method that could be applied to any two-dimensional light microscopy image of stained nuclei across experiments, with no human interaction. Top participants in the challenge succeeded in this task, developing deep-learning-based models that identified cell nuclei across many image types and experimental conditions without the need to manually adjust segmentation parameters. This represents an important step toward configuration-free bioimage analysis software tools.</t>
  </si>
  <si>
    <t>Evaluation of Deep Learning Strategies for Nucleus Segmentation in Fluorescence Images</t>
  </si>
  <si>
    <t>Identifying nuclei is often a critical first step in analyzing microscopy images of cells and classical image processing algorithms are most commonly used for this task. Recent developments in deep learning can yield superior accuracy, but typical evaluation metrics for nucleus segmentation do not satisfactorily capture error modes that are relevant in cellular images. We present an evaluation framework to measure accuracy, types of errors, and computational efficiency; and use it to compare deep learning strategies and classical approaches. We publicly release a set of 23,165 manually annotated nuclei and source code to reproduce experiments and run the proposed evaluation methodology. Our evaluation framework shows that deep learning improves accuracy and can reduce the number of biologically relevant errors by half. © 2019 The Authors. Cytometry Part A published by Wiley Periodicals, Inc. on behalf of International Society for Advancement of Cytometry.</t>
  </si>
  <si>
    <t>Cytometry A</t>
  </si>
  <si>
    <t>A fully automated artificial intelligence method for non-invasive, imaging-based identification of genetic alterations in glioblastomas</t>
  </si>
  <si>
    <t>Glioblastoma is the most common malignant brain parenchymal tumor yet remains challenging to treat. The current standard of care-resection and chemoradiation-is limited in part due to the genetic heterogeneity of glioblastoma. Previous studies have identified several tumor genetic biomarkers that are frequently present in glioblastoma and can alter clinical management. Currently, genetic biomarker status is confirmed with tissue sampling, which is costly and only available after tumor resection or biopsy. The purpose of this study was to evaluate a fully automated artificial intelligence approach for predicting the status of several common glioblastoma genetic biomarkers on preoperative MRI. We retrospectively analyzed multisequence preoperative brain MRI from 199 adult patients with glioblastoma who subsequently underwent tumor resection and genetic testing. Radiomics features extracted from fully automated deep learning-based tumor segmentations were used to predict nine common glioblastoma genetic biomarkers with random forest regression. The proposed fully automated method was useful for predicting IDH mutations (sensitivity = 0.93, specificity = 0.88), ATRX mutations (sensitivity = 0.94, specificity = 0.92), chromosome 7/10 aneuploidies (sensitivity = 0.90, specificity = 0.88), and CDKN2 family mutations (sensitivity = 0.76, specificity = 0.86).</t>
  </si>
  <si>
    <t>Limits on transfer learning from photographic image data to X-ray threat detection</t>
  </si>
  <si>
    <t>BACKGROUND: X-ray imaging is a crucial and ubiquitous tool for detecting threats to transport security, but interpretation of the images presents a logistical bottleneck. Recent advances in Deep Learning image classification offer hope of improving throughput through automation. However, Deep Learning methods require large quantities of labelled training data. While photographic data is cheap and plentiful, comparable training sets are seldom available for the X-ray domain. OBJECTIVE: To determine whether and to what extent it is feasible to exploit the availability of photo data to supplement the training of X-ray threat detectors. METHODS: A new dataset was collected, consisting of 1901 matched pairs of photo &amp; X-ray images of 501 common objects. Of these, 258 pairs were of 69 objects considered threats in the context of aviation. This data was used to test a variety of transfer learning approaches. A simple model of threat cue availability was developed to understand the limits of this transferability. RESULTS: Appearance features learned from photos provide a useful basis for training classifiers. Some transfer from the photo to the X-ray domain is possible as ∼40% of danger cues are shared between the modalities, but the effectiveness of this transfer is limited since ∼60% of cues are not. CONCLUSIONS: Transfer learning is beneficial when X-ray data is very scarce-of the order of tens of training images in our experiments-but provides no significant benefit when hundreds or thousands of X-ray images are available.</t>
  </si>
  <si>
    <t>A spectrum of sharing: maximization of information content for brain imaging data</t>
  </si>
  <si>
    <t>Efforts to expand sharing of neuroimaging data have been growing exponentially in recent years. There are several different types of data sharing which can be considered to fall along a spectrum, ranging from simpler and less informative to more complex and more informative. In this paper we consider this spectrum for three domains: data capture, data density, and data analysis. Here the focus is on the right end of the spectrum, that is, how to maximize the information content while addressing the challenges. A summary of associated challenges of and possible solutions is presented in this review and includes: 1) a discussion of tools to monitor quality of data as it is collected and encourage adoption of data mapping standards; 2) sharing of time-series data (not just summary maps or regions); and 3) the use of analytic approaches which maximize sharing potential as much as possible. Examples of existing solutions for each of these points, which we developed in our lab, are also discussed including the use of a comprehensive beginning-to-end neuroinformatics platform and the use of flexible analytic approaches, such as independent component analysis and multivariate classification approaches, such as deep learning.</t>
  </si>
  <si>
    <t>V. D. Calhoun</t>
  </si>
  <si>
    <t>Automated Bolus Detection in Videofluoroscopic Images of Swallowing Using Mask-RCNN</t>
  </si>
  <si>
    <t>Tracking a liquid or food bolus in videofluoroscopic images during X-ray based diagnostic swallowing examinations is a dominant clinical approach to assess human swallowing function during oral, pharyngeal and esophageal stages of swallowing. This tracking represents a highly challenging problem for clinicians as swallowing is a rapid action. Therefore, we developed a computer-aided method to automate bolus detection and tracking in order to alleviate issues associated with human factors. Specifically, we applied a stateof-the-art deep learning model called Mask-RCNN to detect and segment the bolus in videofluoroscopic image sequences. We trained the algorithm with 450 swallow videos and evaluated with an independent dataset of 50 videos. The algorithm was able to detect and segment the bolus with a mean average precision of 0.49 and an intersection of union of 0.71. The proposed method indicated robust detection results that can help to improve the speed and accuracy of a clinical decisionmaking process.</t>
  </si>
  <si>
    <t>Towards machine learned quality control: A benchmark for sharpness quantification in digital pathology</t>
  </si>
  <si>
    <t>Pathology is on the verge of a profound change from an analog and qualitative to a digital and quantitative discipline. This change is mostly driven by the high-throughput scanning of microscope slides in modern pathology departments, reaching tens of thousands of digital slides per month. The resulting vast digital archives form the basis of clinical use in digital pathology and allow large scale machine learning in computational pathology. One of the most crucial bottlenecks of high-throughput scanning is quality control (QC). Currently, digital slides are screened manually to detected out-of-focus regions, to compensate for the limitations of scanner software. We present a solution to this problem by introducing a benchmark dataset for blur detection, an in-depth comparison of state-of-the art sharpness descriptors and their prediction performance within a random forest framework. Furthermore, we show that convolution neural networks, like residual networks, can be used to train blur detectors from scratch. We thoroughly evaluate the accuracy of feature based and deep learning based approaches for sharpness classification (99.74% accuracy) and regression (MSE 0.004) and additionally compare them to domain experts in a comprehensive human perception study. Our pipeline outputs spacial heatmaps enabling to quantify and localize blurred areas on a slide. Finally, we tested the proposed framework in the clinical setting and demonstrate superior performance over the state-of-the-art QC pipeline comprising commercial software and human expert inspection by reducing the error rate from 17% to 4.7%.</t>
  </si>
  <si>
    <t>G. Campanella, A. R. Rajanna, L. Corsale, P. J. Schüffler, Y. Yagi and T. J. Fuchs</t>
  </si>
  <si>
    <t>Pharmacologically informed machine learning approach for identifying pathological states of unconsciousness via resting-state fMRI</t>
  </si>
  <si>
    <t>Determining the level of consciousness in patients with disorders of consciousness (DOC) remains challenging. To address this challenge, resting-state fMRI (rs-fMRI) has been widely used for detecting the local, regional, and network activity differences between DOC patients and healthy controls. Although substantial progress has been made towards this endeavor, the identification of robust rs-fMRI-based biomarkers for level of consciousness is still lacking. Recent developments in machine learning show promise as a tool to augment the discrimination between different states of consciousness in clinical practice. Here, we investigated whether machine learning models trained to make a binary distinction between conscious wakefulness and anesthetic-induced unconsciousness would then be capable of reliably identifying pathologically induced unconsciousness. We did so by extracting rs-fMRI-based features associated with local activity, regional homogeneity, and interregional functional activity in 44 subjects during wakefulness, light sedation, and unresponsiveness (deep sedation and general anesthesia), and subsequently using those features to train three distinct candidate machine learning classifiers: support vector machine, Extra Trees, artificial neural network. First, we show that all three classifiers achieve reliable performance within-dataset (via nested cross-validation), with a mean area under the receiver operating characteristic curve (AUC) of 0.95, 0.92, and 0.94, respectively. Additionally, we observed comparable cross-dataset performance (making predictions on the DOC data) as the anesthesia-trained classifiers demonstrated a consistent ability to discriminate between unresponsive wakefulness syndrome (UWS/VS) patients and healthy controls with mean AUC's of 0.99, 0.94, 0.98, respectively. Lastly, we explored the potential of applying the aforementioned classifiers towards discriminating intermediate states of consciousness, specifically, subjects under light anesthetic sedation and patients diagnosed as having a minimally conscious state (MCS). Our findings demonstrate that machine learning classifiers trained on rs-fMRI features derived from participants under anesthesia have potential to aid the discrimination between degrees of pathological unconsciousness in clinical patients.</t>
  </si>
  <si>
    <t>10.1007/s11548-019-01917-1</t>
  </si>
  <si>
    <t>A review on lung boundary detection in chest X-rays</t>
  </si>
  <si>
    <t>PURPOSE: Chest radiography is the most common imaging modality for pulmonary diseases. Due to its wide usage, there is a rich literature addressing automated detection of cardiopulmonary diseases in digital chest X-rays (CXRs). One of the essential steps for automated analysis of CXRs is localizing the relevant region of interest, i.e., isolating lung region from other less relevant parts, for applying decision-making algorithms there. This article provides an overview of the recent literature on lung boundary detection in CXR images. METHODS: We review the leading lung segmentation algorithms proposed in period 2006-2017. First, we present a review of articles for posterior-anterior view CXRs. Then, we mention studies which operate on lateral views. We pay particular attention to works that focus their efforts on deformed lungs and pediatric cases. We also highlight the radiographic measures extracted from lung boundary and their use in automatically detecting cardiopulmonary abnormalities. Finally, we identify challenges in dataset curation and expert delineation process, and we listed publicly available CXR datasets. RESULTS: (1) We classified algorithms into four categories: rule-based, pixel classification-based, model-based, hybrid, and deep learning-based algorithms. Based on the reviewed articles, hybrid methods and deep learning-based methods surpass the algorithms in other classes and have segmentation performance as good as inter-observer performance. However, they require long training process and pose high computational complexity. (2) We found that most of the algorithms in the literature are evaluated on posterior-anterior view adult CXRs with a healthy lung anatomy appearance without considering challenges in abnormal CXRs. (3) We also found that there are limited studies for pediatric CXRs. The lung appearance in pediatrics, especially in infant cases, deviates from adult lung appearance due to the pediatric development stages. Moreover, pediatric CXRs are noisier than adult CXRs due to interference by other objects, such as someone holding the child's arms or the child's body, and irregular body pose. Therefore, lung boundary detection algorithms developed on adult CXRs may not perform accurately in pediatric cases and need additional constraints suitable for pediatric CXR imaging characteristics. (4) We have also stated that one of the main challenges in medical image analysis is accessing the suitable datasets. We listed benchmark CXR datasets for developing and evaluating the lung boundary algorithms. However, the number of CXR images with reference boundaries is limited due to the cumbersome but necessary process of expert boundary delineation. CONCLUSIONS: A reliable computer-aided diagnosis system would need to support a greater variety of lung and background appearance. To our knowledge, algorithms in the literature are evaluated on posterior-anterior view adult CXRs with a healthy lung anatomy appearance, without considering ambiguous lung silhouettes due to pathological deformities, anatomical alterations due to misaligned body positioning, patient's development stage and gross background noises such as holding hands, jewelry, patient's head and legs in CXR. Considering all the challenges which are not very well addressed in the literature, developing lung boundary detection algorithms that are robust to such interference remains a challenging task. We believe that a broad review of lung region detection algorithms would be useful for researchers working in the field of automated detection/diagnosis algorithms for lung/heart pathologies in CXRs.</t>
  </si>
  <si>
    <t>Biomarker Localization From Deep Learning Regression Networks</t>
  </si>
  <si>
    <t>Biomarker estimation methods from medical images have traditionally followed a segment-and-measure strategy. Deep-learning regression networks have changed such a paradigm, enabling the direct estimation of biomarkers in databases where segmentation masks are not present. While such methods achieve high performance, they operate as a black-box. In this work, we present a novel deep learning network structure that, when trained with only the value of the biomarker, can perform biomarker regression and the generation of an accurate localization mask simultaneously, thus enabling a qualitative assessment of the image locus that relates to the quantitative result. We showcase the proposed method with three different network structures and compare their performance against direct regression networks in four different problems: pectoralis muscle area (PMA), subcutaneous fat area (SFA), liver mass area in single slice computed tomography (CT), and Agatston score estimated from non-contrast thoracic CT images (CAC). Our results show that the proposed method improves the performance with respect to direct biomarker regression methods (correlation coefficient of 0.978, 0.998, and 0.950 for the proposed method in comparison to 0.971, 0.982, and 0.936 for the reference regression methods on PMA, SFA and CAC respectively) while achieving good localization (DICE coefficients of 0.875, 0.914 for PMA and SFA respectively, p &lt; 0.05 for all pairs). We observe the same improvement in regression results comparing the proposed method with those obtained by quantify the outputs using an U-Net segmentation network (0.989 and 0.951 respectively). We, therefore, conclude that it is possible to obtain simultaneously good biomarker regression and localization when training biomarker regression networks using only the biomarker value.</t>
  </si>
  <si>
    <t>LOCALIZING IMAGE-BASED BIOMARKER REGRESSION WITHOUT TRAINING MASKS: A NEW APPROACH TO BIOMARKER DISCOVERY</t>
  </si>
  <si>
    <t>Biomarker inference from biomedical images is one of the main tasks of medical image analysis. Standard techniques follow a segmentation-and-measure strategy, where the structure is first segmented and then the measurement is performed. Recent work has shown that such strategy could be replaced by a direct regression of the biomarker value in using regression networks. While achieving high correlation coefficients, such techniques operate as a 'black-box', not offering quality-control images. We present a methodology to regress the biomarker from the image while simultaneously computing the quality control image. Our proposed methodology does not require segmentation masks for training, but infers the segmentations directly from the pixels that used to compute the biomarker value. The network proposed consists of two steps: a segmentation method to an unknown reference and a summation method for the biomarker estimation. The network is optimized using a dual loss function, L2 for the biomarkers and an L1 to enforce sparsity. We showcase our methodology in the problem of pectoralis muscle area (PMA) and subcutaneous fat area (SFA) inference in a single slice from chest-CT images. We use a database of 7000 cases to which only the value of the biomarker is known for training and a test set of 3000 cases with both, biomarkers and segmentations. We achieve a correlation coefficient of 0.97 for PMA and 0.98 for SFA with respect to the reference standard. The average DICE coefficient is of 0.88 (PMA) and 0.89 (SFA). Comparing with standard segment-and-measure techniques, we achieve the same correlation for the biomarkers but smaller DICE coefficients in segmentation. Such is of little surprise, since segmentation networks are the upper limit of performance achievable, and we are not using segmentation masks for training. We can conclude that it is possible to infer segmentation masks from biomarker regression networks.</t>
  </si>
  <si>
    <t>Proc IEEE Int Symp Biomed Imaging</t>
  </si>
  <si>
    <t>10.1016/j.gpb.2017.07.003</t>
  </si>
  <si>
    <t>Deep Learning and Its Applications in Biomedicine</t>
  </si>
  <si>
    <t>Advances in biological and medical technologies have been providing us explosive volumes of biological and physiological data, such as medical images, electroencephalography, genomic and protein sequences. Learning from these data facilitates the understanding of human health and disease. Developed from artificial neural networks, deep learning-based algorithms show great promise in extracting features and learning patterns from complex data. The aim of this paper is to provide an overview of deep learning techniques and some of the state-of-the-art applications in the biomedical field. We first introduce the development of artificial neural network and deep learning. We then describe two main components of deep learning, i.e., deep learning architectures and model optimization. Subsequently, some examples are demonstrated for deep learning applications, including medical image classification, genomic sequence analysis, as well as protein structure classification and prediction. Finally, we offer our perspectives for the future directions in the field of deep learning.</t>
  </si>
  <si>
    <t>Genomics Proteomics Bioinformatics</t>
  </si>
  <si>
    <t>Establishment of a morphological atlas of the Caenorhabditis elegans embryo using deep-learning-based 4D segmentation</t>
  </si>
  <si>
    <t>The invariant development and transparent body of the nematode Caenorhabditis elegans enables complete delineation of cell lineages throughout development. Despite extensive studies of cell division, cell migration and cell fate differentiation, cell morphology during development has not yet been systematically characterized in any metazoan, including C. elegans. This knowledge gap substantially hampers many studies in both developmental and cell biology. Here we report an automatic pipeline, CShaper, which combines automated segmentation of fluorescently labeled membranes with automated cell lineage tracing. We apply this pipeline to quantify morphological parameters of densely packed cells in 17 developing C. elegans embryos. Consequently, we generate a time-lapse 3D atlas of cell morphology for the C. elegans embryo from the 4- to 350-cell stages, including cell shape, volume, surface area, migration, nucleus position and cell-cell contact with resolved cell identities. We anticipate that CShaper and the morphological atlas will stimulate and enhance further studies in the fields of developmental biology, cell biology and biomechanics.</t>
  </si>
  <si>
    <t>Fully automatic segmentation of type B aortic dissection from CTA images enabled by deep learning</t>
  </si>
  <si>
    <t>PURPOSE: This study sought to establish a robust and fully automated Type B aortic dissection (TBAD) segmentation method by leveraging the emerging deep learning techniques. METHODS: Preoperative CTA images of 276 patients with TBAD were retrospectively collected from January 2011 to December 2018. Using a reproducible manual segmentation protocol of three labels (whole aorta, true lumen (TL), and false lumen (FL)), a ground truth database (n = 276) was established and randomly divided into training and testing sets in a rough 8:1 ratio. Three convolutional neural network (CNN) models were developed on the training set (n = 246): single one-task (CNN1), single multi-task (CNN2), and serial multi-task (CNN3) models. Performance was evaluated using the Dice coefficient score (DCS) and lumen volume accuracy on the testing set (n = 30). Pearson correlation, Intra-class correlation coefficients and Bland-Altman plots were used to evaluate the inter-observer measurement agreement. RESULTS: CNN3 performed the best, with mean DCSs of 0.93 ± 0.01, 0.93 ± 0.01 and 0.91 ± 0.02 for the whole aorta, TL, and FL, respectively (p &lt; 0.05). Each label volume from CNN3 showed excellent agreement with the ground truth, with mean volume differences of -31.05 (-82.76 to 20.65) ml, 4.79 (-11.04 to 20.63) ml, and 8.67(-11.40 to 28.74) ml for the whole aorta, TL, and FL, respectively. The segmentation speed of CNN3 was 0.038 ± 0.006 s/image. CONCLUSION: Deep learning-based model provides a promising approach for accurate and efficient segmentation of TBAD and makes it possible for automated measurements of TBAD anatomical features.</t>
  </si>
  <si>
    <t>Development of fast deep learning quantification for magnetic resonance fingerprinting in vivo</t>
  </si>
  <si>
    <t>PURPOSE: A deep neural network was developed for magnetic resonance fingerprinting (MRF) quantification. This study aimed at extending previous studies of deep learning MRF to in vivo applications, allowing sub-second computation time for large-scale data. METHODS: We applied the deep learning methodology based on our previously published multi-layer perceptron. The number of layers was four, which was optimized to balance the model capacity and noise robustness. The training sets were obtained from MRF dictionaries with 9000 to 28,000 atoms, depending on the desired T1 and T2 ranges. The simulated MRF undersampling artifact based on the k-space acquisition scheme and noise were both added to the training data to reduce the error in estimates. RESULTS: The neural network achieved high fidelity (R2 _ 0.98) as compared to the T1 and T2 values of the ISMRM standardized phantom. In brain MRF experiment, the model trained with simulated artifacts and noise showed less error compared to that without. The in vivo application of our neural network for liver and prostate were also demonstrated. For an MRF slice with 256 _ 256 image resolution, the computation time of our neural network was 0.12 s, compared with the _ 28 s-pre-slice for the conventional dictionary matching method. CONCLUSION: Our neural network achieved fast computation speed for MRF quantification. The model trained with simulated artifacts and noise showed less error and achieved optimal performance for phantom experiment and in vivo normal brain and liver, and prostate cancer patient.</t>
  </si>
  <si>
    <t>Super-resolution technology to simultaneously improve optical &amp; digital resolution of optical coherence tomography via deep learning</t>
  </si>
  <si>
    <t>Optical coherence tomography (OCT) has stimulated a wide range of medical image-based diagnosis and treatment. In cardiac imaging, OCT has been used in assessing plaques before and after stenting. While needed in many scenarios, high resolution comes at the costs of demanding optical design and data storage/transmission. In OCT, there are two types of resolutions to characterize image quality: optical and digital resolutions. Although multiple existing works have heavily emphasized on improving the digital resolution, the studies on improving optical resolution or both resolutions remain scarce. In this paper, we focus on improving both resolutions. In particular, we investigate a deep learning method to address the problem of generating a high-resolution (HR) OCT image from a low optical and low digital resolution (L(2)R) image. To this end, we have modified the existing super-resolution generative adversarial network (SR-GAN) for OCT image reconstruction. Experimental results from the human coronary OCT images have demonstrated that the reconstructed images from highly compressed data could achieve high structural similarity and accuracy in comparison with the HR images. Besides, our method has obtained better denoising performance than the block-matching and 3D filtering (BM3D) and Denoising Convolutional Neural Networks (DnCNN) denoising method.</t>
  </si>
  <si>
    <t>Application of Deep Learning in Quantitative Analysis of 2-Dimensional Ultrasound Imaging of Nonalcoholic Fatty Liver Disease</t>
  </si>
  <si>
    <t>OBJECTIVES: To verify the value of deep learning in diagnosing nonalcoholic fatty liver disease (NAFLD) by comparing 3 image-processing techniques. METHODS: A total of 240 participants were recruited and divided into 4 groups (normal, mild, moderate, and severe NAFLD groups), according to the definition and the ultrasound scoring system for NAFLD. Two-dimensional hepatic imaging was analyzed by the envelope signal, grayscale signal, and deep-learning index obtained by 3 image-processing techniques. The values of the 3 methods ranged from 0 to 65,535, 0 to 255, and 0 to 4, respectively. We compared the values among the 4 groups, draw receiver operating characteristic curves, and compared the area under the curve (AUC) values to identify the best image-processing technique. RESULTS: The envelope signal value, grayscale value, and deep-learning index had a significant difference between groups and increased with the severity of NAFLD (P &lt; .05). The 3 methods showed good ability (AUC &gt; 0.7) to identify NAFLD. Meanwhile, the deep-learning index showed the superior diagnostic ability in distinguishing moderate and severe NAFLD (AUC = 0.958). CONCLUSIONS: The envelope signal and grayscale values were vital parameters in the diagnosis of NAFLD. Furthermore, deep learning had the best sensitivity and specificity in assessing the severity of NAFLD.</t>
  </si>
  <si>
    <t>Microaneurysm Detection Using Principal Component Analysis and Machine Learning Methods</t>
  </si>
  <si>
    <t>Diabetic retinopathy (DR) is an eye abnormality caused by long-term diabetes and it is the most common cause of blindness before the age of 50. Microaneurysms (MAs), resulting from leakage from retinal blood vessels, are early indicators of DR. In this paper, we analyzed MA detectability using small 25 by 25 pixel patches extracted from fundus images in the DIAbetic RETinopathy DataBase - Calibration Level 1 (DIARETDB1). Raw pixel intensities of extracted patches served directly as inputs into the following classifiers: random forest (RF), neural network, and support vector machine. We also explored the use of two techniques (principal component analysis and RF feature importance) for reducing input dimensionality. With traditional machine learning methods and leave-10-patients-out cross validation, our method outperformed a deep learning-based MA detection method, with AUC performance improved from 0.962 to 0.985 and F-measure improved from 0.913 to 0.926, using the same DIARETDB1 database. Furthermore, we validated our method on a different dataset-retinopathy online challenge (ROC) data set. The performance of the three classifiers and the pattern with different percentage of principal components are consistent on the two data sets. Especially, we trained the RF on DIARETDB1 and applied it to ROC; the performance is very similar to that of the RF trained and tested using cross validation on ROC data set. This result indicates that our method has the potential to generalize to different datasets.</t>
  </si>
  <si>
    <t>W. Cao, N. Czarnek, J. Shan and L. Li</t>
  </si>
  <si>
    <t>IEEE Trans Nanobioscience</t>
  </si>
  <si>
    <t>10.1186/s42492-019-0032-7</t>
  </si>
  <si>
    <t>Multi-scale characterizations of colon polyps via computed tomographic colonography</t>
  </si>
  <si>
    <t>Texture features have played an essential role in the field of medical imaging for computer-aided diagnosis. The gray-level co-occurrence matrix (GLCM)-based texture descriptor has emerged to become one of the most successful feature sets for these applications. This study aims to increase the potential of these features by introducing multi-scale analysis into the construction of GLCM texture descriptor. In this study, we first introduce a new parameter - stride, to explore the definition of GLCM. Then we propose three multi-scaling GLCM models according to its three parameters, (1) learning model by multiple displacements, (2) learning model by multiple strides (LMS), and (3) learning model by multiple angles. These models increase the texture information by introducing more texture patterns and mitigate direction sparsity and dense sampling problems presented in the traditional Haralick model. To further analyze the three parameters, we test the three models by performing classification on a dataset of 63 large polyp masses obtained from computed tomography colonoscopy consisting of 32 adenocarcinomas and 31 benign adenomas. Finally, the proposed methods are compared to several typical GLCM-texture descriptors and one deep learning model. LMS obtains the highest performance and enhances the prediction power to 0.9450 with standard deviation 0.0285 by area under the curve of receiver operating characteristics score which is a significant improvement.</t>
  </si>
  <si>
    <t>Vis Comput Ind Biomed Art</t>
  </si>
  <si>
    <t>Deformable Image Registration Using a Cue-Aware Deep Regression Network</t>
  </si>
  <si>
    <t>SIGNIFICANCE: Analysis of modern large-scale, multicenter or diseased data requires deformable registration algorithms that can cope with data of diverse nature. OBJECTIVE: We propose a novel deformable registration method, which is based on a cue-aware deep regression network, to deal with multiple databases with minimal parameter tuning. METHODS: Our method learns and predicts the deformation field between a reference image and a subject image. Specifically, given a set of training images, our method learns the displacement vector associated with a pair of reference-subject patches. To achieve this, we first introduce a key-point truncated-balanced sampling strategy to facilitate accurate learning from the image database of limited size. Then, we design a cue-aware deep regression network, where we propose to employ the contextual cue, i.e., the scale-adaptive local similarity, to more apparently guide the learning process. The deep regression network is aware of the contextual cue for accurate prediction of local deformation. RESULTS AND CONCLUSION: Our experiments show that the proposed method can tackle various registration tasks on different databases, giving consistent good performance without the need of manual parameter tuning, which could be applicable to various clinical applications.</t>
  </si>
  <si>
    <t>X. Cao, J. Yang, J. Zhang, Q. Wang, P. T. Yap and D. Shen</t>
  </si>
  <si>
    <t>IEEE Trans Biomed Eng</t>
  </si>
  <si>
    <t>Medical Image Retrieval: A Multimodal Approach</t>
  </si>
  <si>
    <t>Medical imaging is becoming a vital component of war on cancer. Tremendous amounts of medical image data are captured and recorded in a digital format during cancer care and cancer research. Facing such an unprecedented volume of image data with heterogeneous image modalities, it is necessary to develop effective and efficient content-based medical image retrieval systems for cancer clinical practice and research. While substantial progress has been made in different areas of content-based image retrieval (CBIR) research, direct applications of existing CBIR techniques to the medical images produced unsatisfactory results, because of the unique characteristics of medical images. In this paper, we develop a new multimodal medical image retrieval approach based on the recent advances in the statistical graphic model and deep learning. Specifically, we first investigate a new extended probabilistic Latent Semantic Analysis model to integrate the visual and textual information from medical images to bridge the semantic gap. We then develop a new deep Boltzmann machine-based multimodal learning model to learn the joint density model from multimodal information in order to derive the missing modality. Experimental results with large volume of real-world medical images have shown that our new approach is a promising solution for the next-generation medical imaging indexing and retrieval system.</t>
  </si>
  <si>
    <t>Y. Cao, S. Steffey, J. He, D. Xiao, C. Tao, P. Chen and H. Müller</t>
  </si>
  <si>
    <t>Cancer Inform</t>
  </si>
  <si>
    <t>Automatic detection and segmentation of multiple brain metastases on magnetic resonance image using asymmetric UNet architecture</t>
  </si>
  <si>
    <t>Detection of brain metastases is a paramount task in cancer management due both to the number of high-risk patients and the difficulty of achieving consistent detection. In this study, we aim to improve the accuracy of automated brain metastasis (BM) detection methods using a novel asymmetric UNet (asym-UNet) architecture. An end-to-end asymmetric 3D-UNet architecture, with two down-sampling arms and one up-sampling arm, was constructed to capture the imaging features. The two down-sampling arms were trained using two different kernels (3×3×3 and 1×1×3, respectively) with the kernel (1×1×3) dominating the learning. As a comparison, vanilla single 3D UNets were trained with different kernels and evaluated using the same datasets. Voxel-based dice similarity coefficient (DSCv), sensitivity (Sv), precision (Pv), BM-based sensitivity (SBM), and false detection rate (FBM) were used to evaluate model performance. Contrast-enhanced T1 MR images from 195 patients with a total of 1034 BMs were solicited from our institutional stereotactic radiosurgery (SRS) database. The patient cohort was split into training (160 patients, 809 lesions), validation (20 patients, 136 lesions), and testing (15 patients, 89 lesions) datasets. The lesions in the testing dataset were further divided into 2 subgroups based on the diameters (small S=1-10mm, large L=11-26mm). In the testing dataset, there were 72 and 17 BMs in the S and L sub-groups, respectively. Among all trained networks, asym-UNet achieved the highest DSCv of 0.84 and lowest FBM of 0.24. Although vanilla 3D-UNet with a single 1x1x3 kernel achieved the highest sensitivities for the S group, it resulted in the lowest precision and highest false detection rate. Asym-UNet was shown to balance sensitivity and false detection rate as well as keep the segmentation accuracy high. The novel asym-UNet segmentation network showed overall competitive segmentation performance and more pronounced improvement in hard-to-detect small BMs comparing to the vanilla single 3D UNet.</t>
  </si>
  <si>
    <t>An experimental study on breast lesion detection and classification from ultrasound images using deep learning architectures</t>
  </si>
  <si>
    <t>BACKGROUND: Computer-aided diagnosis (CAD) in the medical field has received more and more attention in recent years. One important CAD application is to detect and classify breast lesions in ultrasound images. Traditionally, the process of CAD for breast lesions classification is mainly composed of two separated steps: i) locate the lesion region of interests (ROI); ii) classify the located region of interests (ROI) to see if they are benign or not. However, due to the complex structure of breast and the existence of noise in the ultrasound images, traditional handcrafted feature based methods usually can not achieve satisfactory result. METHODS: With the recent advance of deep learning, the performance of object detection and classification has been boosted to a great extent. In this paper, we aim to systematically evaluate the performance of several existing state-of-the-art object detection and classification methods for breast lesions CAD. To achieve that, we have collected a new dataset consisting of 579 benign and 464 malignant lesion cases with the corresponding ultrasound images manually annotated by experienced clinicians. We evaluate different deep learning architectures and conduct comprehensive experiments on our newly collected dataset. RESULTS: For the lesion regions detecting task, Single Shot MultiBox Detector with the input size as 300×300 (SSD300) achieves the best performance in terms of average precision rate (APR), average recall rate (ARR) and F(1) score. For the classification task, DenseNet is more suitable for our problems. CONCLUSIONS: Our experiments reveal that better and more efficient detection and convolutional neural network (CNN) frameworks is one important factor for better performance of detecting and classification task of the breast lesion. Another significant factor for improving the performance of detecting and classification task, which is transfer learning from the large-scale annotated ImageNet to classify breast lesion.</t>
  </si>
  <si>
    <t>Breast tumor classification through learning from noisy labeled ultrasound images</t>
  </si>
  <si>
    <t>PURPOSE: To train deep learning models to differentiate benign and malignant breast tumors in ultrasound images, we need to collect many training samples with clear labels. In general, biopsy results can be used as benign/malignant labels. However, most clinical samples generally do not have biopsy results. Previous works have proposed generating benign/malignant labels according to Breast Imaging, Reporting and Data System (BI-RADS) ratings. However, this approach will cause noisy labels, which means that the benign/malignant labels produced from BI-RADS diagnoses may be inconsistent with the ground truths. Consequently, deep models will overfit the noisy labels and hence obtain poor generalization performance. In this work, we mainly focus on how to reduce the negative effect of noisy labels when they are used to train breast tumor classification models. METHODS: We propose an effective approach called noise filter network (NF-Net) to address the problem of noisy labels when training breast tumor classification models. Specifically, to prevent deep models from overfitting the noisy labels, we propose incorporating two softmax layers for classification. Additionally, to strengthen the effect of clean labels, we design a teacher-student module for distilling the knowledge of clean labels. RESULTS: We conduct extensive comparisons with the existing works on addressing noisy labels. Our method achieves a classification accuracy of 73%, with a precision of 69%, recall of 80%, and F1-score of 0.74. This result is significantly better than those of the existing state-of-the-art works on addressing noisy labels. CONCLUSIONS: This work provides a means to overcome the label shortage problem in training breast tumor classification models. Specifically, we can generate benign/malignant labels according to the BI-RADS ratings. Although this approach will cause noisy labels, the design of NF-Net can effectively reduce the negative effect of such labels.</t>
  </si>
  <si>
    <t>Radiomics at a Glance: A Few Lessons Learned from Learning Approaches</t>
  </si>
  <si>
    <t>Processing and modeling medical images have traditionally represented complex tasks requiring multidisciplinary collaboration. The advent of radiomics has assigned a central role to quantitative data analytics targeting medical image features algorithmically extracted from large volumes of images. Apart from the ultimate goal of supporting diagnostic, prognostic, and therapeutic decisions, radiomics is computationally attractive due to specific strengths: scalability, efficiency, and precision. Optimization is achieved by highly sophisticated statistical and machine learning algorithms, but it is especially deep learning that stands out as the leading inference approach. Various types of hybrid learning can be considered when building complex integrative approaches aimed to deliver gains in accuracy for both classification and prediction tasks. This perspective reviews some selected learning methods by focusing on both their significance for radiomics and their unveiled potential.</t>
  </si>
  <si>
    <t>Cancers (Basel)</t>
  </si>
  <si>
    <t>10.1016/j.semradonc.2019.02.001</t>
  </si>
  <si>
    <t>Advances in Auto-Segmentation</t>
  </si>
  <si>
    <t>Manual image segmentation is a time-consuming task routinely performed in radiotherapy to identify each patient's targets and anatomical structures. The efficacy and safety of the radiotherapy plan requires accurate segmentations as these regions of interest are generally used to optimize and assess the quality of the plan. However, reports have shown that this process can be subject to significant inter- and intraobserver variability. Furthermore, the quality of the radiotherapy treatment, and subsequent analyses (ie, radiomics, dosimetric), can be subject to the accuracy of these manual segmentations. Automatic segmentation (or auto-segmentation) of targets and normal tissues is, therefore, preferable as it would address these challenges. Previously, auto-segmentation techniques have been clustered into 3 generations of algorithms, with multiatlas based and hybrid techniques (third generation) being considered the state-of-the-art. More recently, however, the field of medical image segmentation has seen accelerated growth driven by advances in computer vision, particularly through the application of deep learning algorithms, suggesting we have entered the fourth generation of auto-segmentation algorithm development. In this paper, the authors review traditional (nondeep learning) algorithms particularly relevant for applications in radiotherapy. Concepts from deep learning are introduced focusing on convolutional neural networks and fully-convolutional networks which are generally used for segmentation tasks. Furthermore, the authors provide a summary of deep learning auto-segmentation radiotherapy applications reported in the literature. Lastly, considerations for clinical deployment (commissioning and QA) of auto-segmentation software are provided.</t>
  </si>
  <si>
    <t>Semin Radiat Oncol</t>
  </si>
  <si>
    <t>10.1016/j.breast.2019.11.006</t>
  </si>
  <si>
    <t>Evolution, current challenges, and future possibilities in the objective assessment of aesthetic outcome of breast cancer locoregional treatment</t>
  </si>
  <si>
    <t>The Breast Cancer overall survival rate has raised impressively in the last 20 years mainly due to improved screening and effectiveness of treatments. This increase in survival paralleled the awareness over the long-lasting impact of the side effects of treatments on patient quality of life, emphasizing the motto a longer but better life for breast cancer patients. In breast cancer more strikingly than in other cancers, besides the side effects of systemic treatments, there is the visible impact of surgery and radiotherapy on patients' body image. This has sparked interest on the development of tools for the aesthetic evaluation of Breast Cancer locoregional treatments, which evolved from manual, subjective approaches to computerized, automated solutions. However, although studied for almost four decades, past solutions were not mature enough to become a standard. Recent advancements in machine learning have inspired trends toward deep-learning-based medical image analysis, also bringing new promises to the field of aesthetic assessment of locoregional treatments. In this paper, a review and discussion of the previous state-of-the-art methods in the field is conducted and the extracted knowledge is used to understand the evolution and current challenges. The aim of this paper is to delve into the current opportunities as well as motivate and guide future research in the aesthetic assessment of Breast Cancer locoregional treatments.</t>
  </si>
  <si>
    <t>Breast</t>
  </si>
  <si>
    <t>On Deep Learning for Medical Image Analysis</t>
  </si>
  <si>
    <t>L. Carin and M. J. Pencina</t>
  </si>
  <si>
    <t>Jama</t>
  </si>
  <si>
    <t>Deployment of artificial intelligence for radiographic diagnosis of COVID-19 pneumonia in the emergency department</t>
  </si>
  <si>
    <t>OBJECTIVE: The coronavirus disease 2019 pandemic has inspired new innovations in diagnosing, treating, and dispositioning patients during high census conditions with constrained resources. Our objective is to describe first experiences of physician interaction with a novel artificial intelligence (AI) algorithm designed to enhance physician abilities to identify ground-glass opacities and consolidation on chest radiographs. METHODS: During the first wave of the pandemic, we deployed a previously developed and validated deep-learning AI algorithm for assisted interpretation of chest radiographs for use by physicians at an academic health system in Southern California. The algorithm overlays radiographs with heat maps that indicate pneumonia probability alongside standard chest radiographs at the point of care. Physicians were surveyed in real time regarding ease of use and impact on clinical decisionmaking. RESULTS: Of the 5125 total visits and 1960 chest radiographs obtained in the emergency department (ED) during the study period, 1855 were analyzed by the algorithm. Among these, emergency physicians were surveyed for their experiences on 202 radiographs. Overall, 86% either strongly agreed or somewhat agreed that the intervention was easy to use in their workflow. Of the respondents, 20% reported that the algorithm impacted clinical decisionmaking. CONCLUSIONS: To our knowledge, this is the first published literature evaluating the impact of medical imaging AI on clinical decisionmaking in the emergency department setting. Urgent deployment of a previously validated AI algorithm clinically was easy to use and was found to have an impact on clinical decision making during the predicted surge period of a global pandemic.</t>
  </si>
  <si>
    <t>J Am Coll Emerg Physicians Open</t>
  </si>
  <si>
    <t>Automated Analysis of Unregistered Multi-View Mammograms With Deep Learning</t>
  </si>
  <si>
    <t>We describe an automated methodology for the analysis of unregistered cranio-caudal (CC) and medio-lateral oblique (MLO) mammography views in order to estimate the patient's risk of developing breast cancer. The main innovation behind this methodology lies in the use of deep learning models for the problem of jointly classifying unregistered mammogram views and respective segmentation maps of breast lesions (i.e., masses and micro-calcifications). This is a holistic methodology that can classify a whole mammographic exam, containing the CC and MLO views and the segmentation maps, as opposed to the classification of individual lesions, which is the dominant approach in the field. We also demonstrate that the proposed system is capable of using the segmentation maps generated by automated mass and micro-calcification detection systems, and still producing accurate results. The semi-automated approach (using manually defined mass and micro-calcification segmentation maps) is tested on two publicly available data sets (INbreast and DDSM), and results show that the volume under ROC surface (VUS) for a 3-class problem (normal tissue, benign, and malignant) is over 0.9, the area under ROC curve (AUC) for the 2-class benign versus malignant problem is over 0.9, and for the 2-class breast screening problem (malignancy versus normal/benign) is also over 0.9. For the fully automated approach, the VUS results on INbreast is over 0.7, and the AUC for the 2-class benign versus malignant problem is over 0.78, and the AUC for the 2-class breast screening is 0.86.</t>
  </si>
  <si>
    <t>G. Carneiro, J. Nascimento and A. P. Bradley</t>
  </si>
  <si>
    <t>Combining multiple dynamic models and deep learning architectures for tracking the left ventricle endocardium in ultrasound data</t>
  </si>
  <si>
    <t>We present a new statistical pattern recognition approach for the problem of left ventricle endocardium tracking in ultrasound data. The problem is formulated as a sequential importance resampling algorithm such that the expected segmentation of the current time step is estimated based on the appearance, shape, and motion models that take into account all previous and current images and previous segmentation contours produced by the method. The new appearance and shape models decouple the affine and nonrigid segmentations of the left ventricle to reduce the running time complexity. The proposed motion model combines the systole and diastole motion patterns and an observation distribution built by a deep neural network. The functionality of our approach is evaluated using a dataset of diseased cases containing 16 sequences and another dataset of normal cases comprised of four sequences, where both sets present long axis views of the left ventricle. Using a training set comprised of diseased and healthy cases, we show that our approach produces more accurate results than current state-of-the-art endocardium tracking methods in two test sequences from healthy subjects. Using three test sequences containing different types of cardiopathies, we show that our method correlates well with interuser statistics produced by four cardiologists.</t>
  </si>
  <si>
    <t>G. Carneiro and J. C. Nascimento</t>
  </si>
  <si>
    <t>IEEE Trans Pattern Anal Mach Intell</t>
  </si>
  <si>
    <t>The segmentation of the left ventricle of the heart from ultrasound data using deep learning architectures and derivative-based search methods</t>
  </si>
  <si>
    <t>We present a new supervised learning model designed for the automatic segmentation of the left ventricle (LV) of the heart in ultrasound images. We address the following problems inherent to supervised learning models: 1) the need of a large set of training images; 2) robustness to imaging conditions not present in the training data; and 3) complex search process. The innovations of our approach reside in a formulation that decouples the rigid and nonrigid detections, deep learning methods that model the appearance of the LV, and efficient derivative-based search algorithms. The functionality of our approach is evaluated using a data set of diseased cases containing 400 annotated images (from 12 sequences) and another data set of normal cases comprising 80 annotated images (from two sequences), where both sets present long axis views of the LV. Using several error measures to compute the degree of similarity between the manual and automatic segmentations, we show that our method not only has high sensitivity and specificity but also presents variations with respect to a gold standard (computed from the manual annotations of two experts) within interuser variability on a subset of the diseased cases. We also compare the segmentations produced by our approach and by two state-of-the-art LV segmentation models on the data set of normal cases, and the results show that our approach produces segmentations that are comparable to these two approaches using only 20 training images and increasing the training set to 400 images causes our approach to be generally more accurate. Finally, we show that efficient search methods reduce up to tenfold the complexity of the method while still producing competitive segmentations. In the future, we plan to include a dynamical model to improve the performance of the algorithm, to use semisupervised learning methods to reduce even more the dependence on rich and large training sets, and to design a shape model less dependent on the training set.</t>
  </si>
  <si>
    <t>G. Carneiro, J. C. Nascimento and A. Freitas</t>
  </si>
  <si>
    <t>2012</t>
  </si>
  <si>
    <t>Deep learning uncertainty and confidence calibration for the five-class polyp classification from colonoscopy</t>
  </si>
  <si>
    <t>There are two challenges associated with the interpretability of deep learning models in medical image analysis applications that need to be addressed: confidence calibration and classification uncertainty. Confidence calibration associates the classification probability with the likelihood that it is actually correct - hence, a sample that is classified with confidence X% has a chance of X% of being correctly classified. Classification uncertainty estimates the noise present in the classification process, where such noise estimate can be used to assess the reliability of a particular classification result. Both confidence calibration and classification uncertainty are considered to be helpful in the interpretation of a classification result produced by a deep learning model, but it is unclear how much they affect classification accuracy and calibration, and how they interact. In this paper, we study the roles of confidence calibration (via post-process temperature scaling) and classification uncertainty (computed either from classification entropy or the predicted variance produced by Bayesian methods) in deep learning models. Results suggest that calibration and uncertainty improve classification interpretation and accuracy. This motivates us to propose a new Bayesian deep learning method that relies both on calibration and uncertainty to improve classification accuracy and model interpretability. Experiments are conducted on a recently proposed five-class polyp classification problem, using a data set containing 940 high-quality images of colorectal polyps, and results indicate that our proposed method holds the state-of-the-art results in terms of confidence calibration and classification accuracy.</t>
  </si>
  <si>
    <t>Use of Machine Learning to Identify Follow-Up Recommendations in Radiology Reports</t>
  </si>
  <si>
    <t>PURPOSE: The aims of this study were to assess follow-up recommendations in radiology reports, develop and assess traditional machine learning (TML) and deep learning (DL) models in identifying follow-up, and benchmark them against a natural language processing (NLP) system. METHODS: This HIPAA-compliant, institutional review board-approved study was performed at an academic medical center generating &gt;500,000 radiology reports annually. One thousand randomly selected ultrasound, radiography, CT, and MRI reports generated in 2016 were manually reviewed and annotated for follow-up recommendations. TML (support vector machines, random forest, logistic regression) and DL (recurrent neural nets) algorithms were constructed and trained on 850 reports (training data), with subsequent optimization of model architectures and parameters. Precision, recall, and F1 score were calculated on the remaining 150 reports (test data). A previously developed and validated NLP system (iSCOUT) was also applied to the test data, with equivalent metrics calculated. RESULTS: Follow-up recommendations were present in 12.7% of reports. The TML algorithms achieved F1 scores of 0.75 (random forest), 0.83 (logistic regression), and 0.85 (support vector machine) on the test data. DL recurrent neural nets had an F1 score of 0.71; iSCOUT also had an F1 score of 0.71. Performance of both TML and DL methods by F1 scores appeared to plateau after 500 to 700 samples while training. CONCLUSIONS: TML and DL are feasible methods to identify follow-up recommendations. These methods have great potential for near real-time monitoring of follow-up recommendations in radiology reports.</t>
  </si>
  <si>
    <t>E. Carrodeguas, R. Lacson, W. Swanson and R. Khorasani</t>
  </si>
  <si>
    <t>Classification of Background Parenchymal Uptake on Molecular Breast Imaging Using a Convolutional Neural Network</t>
  </si>
  <si>
    <t>PURPOSE: Background parenchymal uptake (BPU), which describes the level of radiotracer uptake in normal fibroglandular tissue on molecular breast imaging (MBI), has been identified as a breast cancer risk factor. Our objective was to develop and validate a deep learning model using image convolution to automatically categorize BPU on MBI. METHODS: MBI examinations obtained for clinical and research purposes from 2004 to 2015 were reviewed to classify the BPU pattern using a standardized five-category scale. Two expert radiologists provided interpretations that were used as the reference standard for modeling. The modeling consisted of training and validating a convolutional neural network to predict BPU. Model performance was summarized in data reserved to test the performance of the algorithm at the per-image and per-breast levels. RESULTS: Training was performed on 24,639 images from 3,133 unique patients. The model performance on the withheld testing data (6,172 images; 786 patients) was evaluated. Using direct matching on the predicted classification resulted in an accuracy of 69.4% (95% CI, 67.4% to 71.3%), and if prediction within one category was considered, accuracy increased to 96.0% (95% CI, 95.2% to 96.7%). When considering the breast-level prediction of BPU, the accuracy remained strong, with 70.3% (95% CI, 68.0% to 72.6%) and 96.2% (95% CI, 95.3% to 97.2%) for the direct match and allowance for one category, respectively. CONCLUSION: BPU provided a robust target for training a convolutional neural network. A validated computer algorithm will allow for objective, reproducible encoding of BPU to foster its integration into risk-stratification algorithms.</t>
  </si>
  <si>
    <t>JCO Clin Cancer Inform</t>
  </si>
  <si>
    <t>Caries Detection with Near-Infrared Transillumination Using Deep Learning</t>
  </si>
  <si>
    <t>Dental caries is the most prevalent chronic condition worldwide. Early detection can significantly improve treatment outcomes and reduce the need for invasive procedures. Recently, near-infrared transillumination (TI) imaging has been shown to be effective for the detection of early stage lesions. In this work, we present a deep learning model for the automated detection and localization of dental lesions in TI images. Our method is based on a convolutional neural network (CNN) trained on a semantic segmentation task. We use various strategies to mitigate issues related to training data scarcity, class imbalance, and overfitting. With only 185 training samples, our model achieved an overall mean intersection-over-union (IOU) score of 72.7% on a 5-class segmentation task and specifically an IOU score of 49.5% and 49.0% for proximal and occlusal carious lesions, respectively. In addition, we constructed a simplified task, in which regions of interest were evaluated for the binary presence or absence of carious lesions. For this task, our model achieved an area under the receiver operating characteristic curve of 83.6% and 85.6% for occlusal and proximal lesions, respectively. Our work demonstrates that a deep learning approach for the analysis of dental images holds promise for increasing the speed and accuracy of caries detection, supporting the diagnoses of dental practitioners, and improving patient outcomes.</t>
  </si>
  <si>
    <t>J Dent Res</t>
  </si>
  <si>
    <t>Patient 3D body pose estimation from pressure imaging</t>
  </si>
  <si>
    <t>PURPOSE: In-bed motion monitoring has become of great interest for a variety of clinical applications. Image-based approaches could be seen as a natural non-intrusive approach for this purpose; however, video devices require special challenging settings for a clinical environment. We propose to estimate the patient's posture from pressure sensors' data mapped to images. METHODS: We introduce a deep learning method to retrieve human poses from pressure sensors data. In addition, we present a second approach that is based on a hashing content-retrieval approach. RESULTS: Our results show good performance with both presented methods even in poses where the subject has minimal contact with the sensors. Moreover, we show that deep learning approaches could be used in this medical application despite the limited amount of available training data. Our ConvNet approach provides an overall posture even when the patient has less contact with the mattress surface. In addition, we show that both methods could be used in real-time patient monitoring. CONCLUSIONS: We have provided two methods to successfully perform real-time in-bed patient pose estimation, which is robust to different sizes of patient and activities. Furthermore, it can provide an overall posture even when the patient has less contact with the mattress surface.</t>
  </si>
  <si>
    <t>Inter-foetus Membrane Segmentation for TTTS Using Adversarial Networks</t>
  </si>
  <si>
    <t>Twin-to-Twin Transfusion Syndrome is commonly treated with minimally invasive laser surgery in fetoscopy. The inter-foetal membrane is used as a reference to find abnormal anastomoses. Membrane identification is a challenging task due to small field of view of the camera, presence of amniotic liquid, foetus movement, illumination changes and noise. This paper aims at providing automatic and fast membrane segmentation in fetoscopic images. We implemented an adversarial network consisting of two Fully-Convolutional Neural Networks. The former (the segmentor) is a segmentation network inspired by U-Net and integrated with residual blocks, whereas the latter acts as critic and is made only of the encoding path of the segmentor. A dataset of 900 images acquired in 6 surgical cases was collected and labelled to validate the proposed approach. The adversarial networks achieved a median Dice similarity coefficient of 91.91% with Inter-Quartile Range (IQR) of 4.63%, overcoming approaches based on U-Net (82.98%-IQR: 14.41%) and U-Net with residual blocks (86.13%-IQR: 13.63%). Results proved that the proposed architecture could be a valuable and robust solution to assist surgeons in providing membrane identification while performing fetoscopic surgery.</t>
  </si>
  <si>
    <t>Ann Biomed Eng</t>
  </si>
  <si>
    <t>Early detection of ankylosing spondylitis using texture features and statistical machine learning, and deep learning, with some patient age analysis</t>
  </si>
  <si>
    <t>Ankylosing spondylitis (AS) is an arthritis with symptoms visible in medical imagery. This paper proposes, to the authors' best knowledge, the first use of statistical machine learning- and deep learning-based classifiers to detect erosion, an early AS symptom, via analysis of computed tomography (CT) imagery, giving some consideration to patient age in so doing. We used gray-level co-occurrence matrices and local binary patterns to generate input features to machine learning algorithms, specifically k-nearest neighbors (k-NN) and random forest. Deep learning solutions based on a modified InceptionV3 architecture were designed and tested, with one classifier produced by training with a cross-entropy loss function and another produced by additionally seeking to minimize validation loss. We found that the random forest classifiers outperform the k-NN classifiers and achieve an eightfold cross-validation average accuracy, recall, and area under receiver operator characteristic curve (ROC AUC) of 96.0%, 92.9%, and 0.97, respectively, for erosion vs. young control patients, and 82.4%, 80.6%, and 0.91, respectively, for erosion vs. old control patients. We found that the deep learning classifier trained without minimizing validation loss was best and achieves an eightfold cross-validation accuracy, recall, and ROC AUC of 99.0%, 97.5%, and 0.97, respectively, for erosion vs. all (combined young and old) control patients; this classifier outperforms a musculoskeletal radiologist with 9 years of experience in raw sensitivity and specificity by 8.4% and 9.5%, respectively. Despite the relatively small dataset on which we trained and cross-validated, our results indicate the potential of machine and deep learning to aid AS diagnosis, and further research using larger datasets should be conducted.</t>
  </si>
  <si>
    <t>The Dawn of a New Era in Low-Dose PET Imaging</t>
  </si>
  <si>
    <t>C. Catana</t>
  </si>
  <si>
    <t>Attenuation correction for human PET/MRI studies</t>
  </si>
  <si>
    <t>Attenuation correction has been one of the main methodological challenges in the integrated positron emission tomography and magnetic resonance imaging (PET/MRI) field. As standard transmission or computed tomography approaches are not available in integrated PET/MRI scanners, MR-based attenuation correction approaches had to be developed. Aspects that have to be considered for implementing accurate methods include the need to account for attenuation in bone tissue, normal and pathological lung and the MR hardware present in the PET field-of-view, to reduce the impact of subject motion, to minimize truncation and susceptibility artifacts, and to address issues related to the data acquisition and processing both on the PET and MRI sides. The standard MR-based attenuation correction techniques implemented by the PET/MRI equipment manufacturers and their impact on clinical and research PET data interpretation and quantification are first discussed. Next, the more advanced methods, including the latest generation deep learning-based approaches that have been proposed for further minimizing the attenuation correction related bias are described. Finally, a future perspective focused on the needed developments in the field is given.</t>
  </si>
  <si>
    <t>Highly accurate model for prediction of lung nodule malignancy with CT scans</t>
  </si>
  <si>
    <t>Computed tomography (CT) examinations are commonly used to predict lung nodule malignancy in patients, which are shown to improve noninvasive early diagnosis of lung cancer. It remains challenging for computational approaches to achieve performance comparable to experienced radiologists. Here we present NoduleX, a systematic approach to predict lung nodule malignancy from CT data, based on deep learning convolutional neural networks (CNN). For training and validation, we analyze &gt;1000 lung nodules in images from the LIDC/IDRI cohort. All nodules were identified and classified by four experienced thoracic radiologists who participated in the LIDC project. NoduleX achieves high accuracy for nodule malignancy classification, with an AUC of ~0.99. This is commensurate with the analysis of the dataset by experienced radiologists. Our approach, NoduleX, provides an effective framework for highly accurate nodule malignancy prediction with the model trained on a large patient population. Our results are replicable with software available at http://bioinformatics.astate.edu/NoduleX .</t>
  </si>
  <si>
    <t>J. L. Causey, J. Zhang, S. Ma, B. Jiang, J. A. Qualls, D. G. Politte, F. Prior, S. Zhang and X. Huang</t>
  </si>
  <si>
    <t>10.1016/j.media.2019.04.002</t>
  </si>
  <si>
    <t>Computational anatomy for multi-organ analysis in medical imaging: A review</t>
  </si>
  <si>
    <t>The medical image analysis field has traditionally been focused on the development of organ-, and disease-specific methods. Recently, the interest in the development of more comprehensive computational anatomical models has grown, leading to the creation of multi-organ models. Multi-organ approaches, unlike traditional organ-specific strategies, incorporate inter-organ relations into the model, thus leading to a more accurate representation of the complex human anatomy. Inter-organ relations are not only spatial, but also functional and physiological. Over the years, the strategies proposed to efficiently model multi-organ structures have evolved from the simple global modeling, to more sophisticated approaches such as sequential, hierarchical, or machine learning-based models. In this paper, we present a review of the state of the art on multi-organ analysis and associated computation anatomy methodology. The manuscript follows a methodology-based classification of the different techniques available for the analysis of multi-organs and multi-anatomical structures, from techniques using point distribution models to the most recent deep learning-based approaches. With more than 300 papers included in this review, we reflect on the trends and challenges of the field of computational anatomy, the particularities of each anatomical region, and the potential of multi-organ analysis to increase the impact of medical imaging applications on the future of healthcare.</t>
  </si>
  <si>
    <t>Stacked sparse autoencoder networks and statistical shape models for automatic staging of distal femur trochlear dysplasia</t>
  </si>
  <si>
    <t>BACKGROUND: The quantitative morphological analysis of the trochlear region in the distal femur and the precise staging of the potential dysplastic condition constitute a key point for the use of personalized treatment options for the patella-femoral joint. In this paper, we integrated statistical shape models (SSM), able to represent the individual morphology of the trochlea by means of a set of parameters and stacked sparse autoencoder (SSPA) networks, which exploit the parameters to discriminate among different levels of abnormalities. METHODS: Two datasets of distal femur reconstructions were obtained from CT scans, including pathologic and physiologic shapes. Both of them were processed to compute SSM of healthy and dysplastic trochlear regions. The parameters obtained by the 3D-3D reconstruction of a femur shape were fed into a trained SSPA classifier to automatically establish the membership to one of three clinical conditions, namely, healthy, mild dysplasia, and severe dysplasia of the trochlea. The validation was performed on a subset of the shapes not used in the construction of the SSM, by verifying the occurrence of a correct classification. RESULTS: A major finding of the work is that SSM are able to represent anomalies of the trochlear geometry by means of specific eigenmodes of variation and to model the interplay between morphologic features related to dysplasia. Exploiting the patient-specific morphing parameters of SSM, computed by means of a 3D-3D reconstruction, SSPA is demonstrated to outperform traditional discriminant analysis in classifying healthy, mild, and severe trochlear dysplasia providing 99%, 97%, and 98% accuracy for each of the three classes, respectively (discriminant analysis accuracy: 85%, 89%, and 77%). CONCLUSIONS: From a clinical point of view, this paper contributes to support the increasing role of SSM, integrated with deep learning techniques, in diagnostics and therapy definition as quantitative and advanced visualization tools.</t>
  </si>
  <si>
    <t>P. Cerveri, A. Belfatto, G. Baroni and A. Manzotti</t>
  </si>
  <si>
    <t>Int J Med Robot</t>
  </si>
  <si>
    <t>A computational framework for the detection of subcortical brain dysmaturation in neonatal MRI using 3D Convolutional Neural Networks</t>
  </si>
  <si>
    <t>Deep neural networks are increasingly being used in both supervised learning for classification tasks and unsupervised learning to derive complex patterns from the input data. However, the successful implementation of deep neural networks using neuroimaging datasets requires adequate sample size for training and well-defined signal intensity based structural differentiation. There is a lack of effective automated diagnostic tools for the reliable detection of brain dysmaturation in the neonatal period, related to small sample size and complex undifferentiated brain structures, despite both translational research and clinical importance. Volumetric information alone is insufficient for diagnosis. In this study, we developed a computational framework for the automated classification of brain dysmaturation from neonatal MRI, by combining a specific deep neural network implementation with neonatal structural brain segmentation as a method for both clinical pattern recognition and data-driven inference into the underlying structural morphology. We implemented three-dimensional convolution neural networks (3D-CNNs) to specifically classify dysplastic cerebelli, a subset of surface-based subcortical brain dysmaturation, in term infants born with congenital heart disease. We obtained a 0.985 ± 0. 0241-classification accuracy of subtle cerebellar dysplasia in CHD using 10-fold cross-validation. Furthermore, the hidden layer activations and class activation maps depicted regional vulnerability of the superior surface of the cerebellum, (composed of mostly the posterior lobe and the midline vermis), in regards to differentiating the dysplastic process from normal tissue. The posterior lobe and the midline vermis provide regional differentiation that is relevant to not only to the clinical diagnosis of cerebellar dysplasia, but also genetic mechanisms and neurodevelopmental outcome correlates. These findings not only contribute to the detection and classification of a subset of neonatal brain dysmaturation, but also provide insight to the pathogenesis of cerebellar dysplasia in CHD. In addition, this is one of the first examples of the application of deep learning to a neuroimaging dataset, in which the hidden layer activation revealed diagnostically and biologically relevant features about the clinical pathogenesis. The code developed for this project is open source, published under the BSD License, and designed to be generalizable to applications both within and beyond neonatal brain imaging.</t>
  </si>
  <si>
    <t>R. Ceschin, A. Zahner, W. Reynolds, J. Gaesser, G. Zuccoli, C. W. Lo, V. Gopalakrishnan and A. Panigrahy</t>
  </si>
  <si>
    <t>Bladder Cancer Treatment Response Assessment in CT using Radiomics with Deep-Learning</t>
  </si>
  <si>
    <t>Cross-sectional X-ray imaging has become the standard for staging most solid organ malignancies. However, for some malignancies such as urinary bladder cancer, the ability to accurately assess local extent of the disease and understand response to systemic chemotherapy is limited with current imaging approaches. In this study, we explored the feasibility that radiomics-based predictive models using pre- and post-treatment computed tomography (CT) images might be able to distinguish between bladder cancers with and without complete chemotherapy responses. We assessed three unique radiomics-based predictive models, each of which employed different fundamental design principles ranging from a pattern recognition method via deep-learning convolution neural network (DL-CNN), to a more deterministic radiomics feature-based approach and then a bridging method between the two, utilizing a system which extracts radiomics features from the image patterns. Our study indicates that the computerized assessment using radiomics information from the pre- and post-treatment CT of bladder cancer patients has the potential to assist in assessment of treatment response.</t>
  </si>
  <si>
    <t>K. H. Cha, L. Hadjiiski, H. P. Chan, A. Z. Weizer, A. Alva, R. H. Cohan, E. M. Caoili, C. Paramagul and R. K. Samala</t>
  </si>
  <si>
    <t>Urinary bladder segmentation in CT urography using deep-learning convolutional neural network and level sets</t>
  </si>
  <si>
    <t>PURPOSE: The authors are developing a computerized system for bladder segmentation in CT urography (CTU) as a critical component for computer-aided detection of bladder cancer. METHODS: A deep-learning convolutional neural network (DL-CNN) was trained to distinguish between the inside and the outside of the bladder using 160 000 regions of interest (ROI) from CTU images. The trained DL-CNN was used to estimate the likelihood of an ROI being inside the bladder for ROIs centered at each voxel in a CTU case, resulting in a likelihood map. Thresholding and hole-filling were applied to the map to generate the initial contour for the bladder, which was then refined by 3D and 2D level sets. The segmentation performance was evaluated using 173 cases: 81 cases in the training set (42 lesions, 21 wall thickenings, and 18 normal bladders) and 92 cases in the test set (43 lesions, 36 wall thickenings, and 13 normal bladders). The computerized segmentation accuracy using the DL likelihood map was compared to that using a likelihood map generated by Haar features and a random forest classifier, and that using our previous conjoint level set analysis and segmentation system (CLASS) without using a likelihood map. All methods were evaluated relative to the 3D hand-segmented reference contours. RESULTS: With DL-CNN-based likelihood map and level sets, the average volume intersection ratio, average percent volume error, average absolute volume error, average minimum distance, and the Jaccard index for the test set were 81.9% ± 12.1%, 10.2% ± 16.2%, 14.0% ± 13.0%, 3.6 ± 2.0 mm, and 76.2% ± 11.8%, respectively. With the Haar-feature-based likelihood map and level sets, the corresponding values were 74.3% ± 12.7%, 13.0% ± 22.3%, 20.5% ± 15.7%, 5.7 ± 2.6 mm, and 66.7% ± 12.6%, respectively. With our previous CLASS with local contour refinement (LCR) method, the corresponding values were 78.0% ± 14.7%, 16.5% ± 16.8%, 18.2% ± 15.0%, 3.8 ± 2.3 mm, and 73.9% ± 13.5%, respectively. CONCLUSIONS: The authors demonstrated that the DL-CNN can overcome the strong boundary between two regions that have large difference in gray levels and provides a seamless mask to guide level set segmentation, which has been a problem for many gradient-based segmentation methods. Compared to our previous CLASS with LCR method, which required two user inputs to initialize the segmentation, DL-CNN with level sets achieved better segmentation performance while using a single user input. Compared to the Haar-feature-based likelihood map, the DL-CNN-based likelihood map could guide the level sets to achieve better segmentation. The results demonstrate the feasibility of our new approach of using DL-CNN in combination with level sets for segmentation of the bladder.</t>
  </si>
  <si>
    <t>K. H. Cha, L. Hadjiiski, R. K. Samala, H. P. Chan, E. M. Caoili and R. H. Cohan</t>
  </si>
  <si>
    <t>Diagnostic Accuracy of CT for Prediction of Bladder Cancer Treatment Response with and without Computerized Decision Support</t>
  </si>
  <si>
    <t>RATIONALE AND OBJECTIVES: To evaluate whether a computed tomography (CT)-based computerized decision-support system for muscle-invasive bladder cancer treatment response assessment (CDSS-T) can improve identification of patients who have responded completely to neoadjuvant chemotherapy. MATERIALS AND METHODS: Following Institutional Review Board approval, pre-chemotherapy and post-chemotherapy CT scans of 123 subjects with 157 muscle-invasive bladder cancer foci were collected retrospectively. CT data were analyzed with a CDSS-T that uses a combination of deep-learning convolutional neural network and radiomic features to distinguish muscle-invasive bladder cancers that have fully responded to neoadjuvant treatment from those that have not. Leave-one-case-out cross-validation was used to minimize overfitting. Five attending abdominal radiologists, four diagnostic radiology residents, two attending oncologists, and one attending urologist estimated the likelihood of pathologic T0 disease (complete response) by viewing paired pre/post-treatment CT scans placed side-by-side on an internally-developed graphical user interface. The observers provided an estimate without use of CDSS-T and then were permitted to revise their estimate after a CDSS-T-derived likelihood score was displayed. Observer estimates were analyzed with multi-reader, multi-case receiver operating characteristic methodology. The area under the curve (AUC) and the statistical significance of the difference were estimated. RESULTS: The mean AUCs for assessment of pathologic T0 disease were 0.80 for CDSS-T alone, 0.74 for physicians not using CDSS-T, and 0.77 for physicians using CDSS-T. The increase in the physicians' performance was statistically significant (P &lt; .05). CONCLUSION: CDSS-T improves physician performance for identifying complete response of muscle-invasive bladder cancer to neoadjuvant chemotherapy.</t>
  </si>
  <si>
    <t>Performance of Deep Learning Model in Detecting Operable Lung Cancer With Chest Radiographs</t>
  </si>
  <si>
    <t>PURPOSE: The aim of this study was to evaluate the diagnostic performance of a trained deep convolutional neural network (DCNN) model for detecting operable lung cancer with chest radiographs (CXRs). MATERIALS AND METHODS: The institutional review board approved this study. A deep learning model (DLM) based on DCNN was trained with 17,211 CXRs (5700 CT-confirmed lung nodules in 3500 CXRs and 13,711 normal CXRs), finally augmented to 600,000 images. For validation, a trained DLM was tested with 1483 CXRs with surgically resected lung cancer, marked and scored by 2 radiologists. Furthermore, diagnostic performances of DLM and 6 human observers were compared with 500 cases (200 visible T1 lung cancer on CXR and 300 normal CXRs) and analyzed using free-response receiver-operating characteristics curve (FROC) analysis. RESULTS: The overall detection rate of DLM for resected lung cancers (27.2±14.6 mm) was a sensitivity of 76.8% (1139/1483) with a false positive per image (FPPI) of 0.3 and area under the FROC curve (AUC) of 0.732. In the comparison with human readers, DLM demonstrated a sensitivity of 86.5% at 0.1 FPPI and a sensitivity of 92% at 0.3 FPPI with AUC of 0.899 at an FPPI range of 0.03 to 0.44 for detecting visible T1 lung cancers, which were superior to the average of 6 human readers [mean sensitivity; 78% (range, 71.6% to 82.6%) at an FPPI of 0.1% and 85% (range, 80.2% to 89.2%) at an FPPI of 0.3, AUC of 0.819 (range, 0.754 to 0.862) at an FPPI of 0.03 to 0.44). CONCLUSIONS: A DLM has high diagnostic performance in detecting operable lung cancer with CXR, demonstrating a potential of playing a pivotal role for lung cancer screening.</t>
  </si>
  <si>
    <t>M. J. Cha, M. J. Chung, J. H. Lee and K. S. Lee</t>
  </si>
  <si>
    <t>J Thorac Imaging</t>
  </si>
  <si>
    <t>Deep Learning for the Classification of Small (≤2 cm) Pulmonary Nodules on CT Imaging: A Preliminary Study</t>
  </si>
  <si>
    <t>RATIONALE AND OBJECTIVES: We aimed to present a deep learning-based malignancy prediction model (CT-lungNET) that is simpler and faster to use in the diagnosis of small (≤2 cm) pulmonary nodules on nonenhanced chest CT and to preliminarily evaluate its performance and usefulness for human reviewers. MATERIALS AND METHODS: A total of 173 whole nonenhanced chest CT images containing 208 pulmonary nodules (94 malignant and 11 benign nodules) ranging in size from 5 mm to 20 mm were collected. Pathologically confirmed nodules or nodules that remained unchanged for more than 1 year were included, and 30 benign and 30 malignant nodules were randomly assigned into the test set. We designed CT-lungNET to include three convolutional layers followed by two fully-connected layers and compared its diagnostic performance and processing time with those of AlexNET by using the area under the receiver operating curve (AUROC). An observer performance test was conducted involving eight human reviewers of four different groups (medical students, physicians, radiologic residents, and thoracic radiologists) at test 1 and test 2, referring to the CT-lungNET's malignancy prediction rate with pairwise comparison receiver operating curve analysis. RESULTS: CT-lungNET showed an improved AUROC (0.85; 95% confidence interval: 0.74-0.93), compared to that of the AlexNET (0.82; 95% confidence interval: 0.71-0.91). The processing speed per one image slice for CT-lungNET was about 10 times faster than that for AlexNET (0.90 vs. 8.79 seconds). During the observer performance test, the classification performance of nonradiologists was increased with the aid of CTlungNET, (mean AUC improvement: 0.13; range: 0.03-0.19) but not significantly so in the radiologists group (mean AUC improvement: 0.02; range: -0.02 to 0.07). CONCLUSION: CT-lungNET was able to provide better classification results with a significantly shorter amount of processing time as compared to AlexNET in the diagnosis of small pulmonary nodules on nonenhanced chest CT. In this preliminary observer performance test, CT-lungNET may have a role acting as a second reviewer for less experienced reviewers, resulting in enhanced performance in the diagnosis of early lung cancer.</t>
  </si>
  <si>
    <t>Semi-supervised task-driven data augmentation for medical image segmentation</t>
  </si>
  <si>
    <t>Supervised learning-based segmentation methods typically require a large number of annotated training data to generalize well at test time. In medical applications, curating such datasets is not a favourable option because acquiring a large number of annotated samples from experts is time-consuming and expensive. Consequently, numerous methods have been proposed in the literature for learning with limited annotated examples. Unfortunately, the proposed approaches in the literature have not yet yielded significant gains over random data augmentation for image segmentation, where random augmentations themselves do not yield high accuracy. In this work, we propose a novel task-driven data augmentation method for learning with limited labeled data where the synthetic data generator, is optimized for the segmentation task. The generator of the proposed method models intensity and shape variations using two sets of transformations, as additive intensity transformations and deformation fields. Both transformations are optimized using labeled as well as unlabeled examples in a semi-supervised framework. Our experiments on three medical datasets, namely cardiac, prostate and pancreas, show that the proposed approach significantly outperforms standard augmentation and semi-supervised approaches for image segmentation in the limited annotation setting. The code is made publicly available at https://github.com/krishnabits001/task_driven_data_augmentation.</t>
  </si>
  <si>
    <t>ManifoldNet: A Deep Neural Network for Manifold-valued Data with Applications</t>
  </si>
  <si>
    <t>Geometric deep learning is a relatively nascent field that has attracted significant attention in the recent past. This is partly due to the ready availability of manifold-valued data. In this paper we present a novel theoretical framework for developing deep neural networks to cope with manifold-valued fields as inputs. We also present a novel architecture to realize this theory and call it a ManifoldNet. Analogous to convolutions in vector spaces which are equivalent to computing weighted sums, manifold-valued data 'convolutions' can be defined using the weighted Frechet Mean (wFM), an intrinsic operation. The hidden layers of ManifoldNet compute wFM of their inputs, where the weights are to be learnt. Since wFM is an intrinsic operation, the processed data remain on the manifold as they propagate through the hidden layers. To reduce the computational burden, we present a provably convergent recursive algorithm for wFM computation. Additionaly, for non-constant curvature manifolds, we prove that each wFM layer is non-collapsible and a contraction mapping. We also prove that the wFM is equivariant to the symmetry group action admitted by the manifold on which the data reside. To showcase the performance of ManifoldNet, we present several experiments from vision and medical imaging.</t>
  </si>
  <si>
    <t>RACE-Net: A Recurrent Neural Network for Biomedical Image Segmentation</t>
  </si>
  <si>
    <t>The level set based deformable models (LDM) are commonly used for medical image segmentation. However, they rely on a handcrafted curve evolution velocity that needs to be adapted for each segmentation task. The Convolutional Neural Networks (CNN) address this issue by learning robust features in a supervised end-to-end manner. However, CNNs employ millions of network parameters, which require a large amount of data during training to prevent over-fitting and increases the memory requirement and computation time during testing. Moreover, since CNNs pose segmentation as a region-based pixel labeling, they cannot explicitly model the high-level dependencies between the points on the object boundary to preserve its overall shape, smoothness or the regional homogeneity within and outside the boundary. We present a Recurrent Neural Network based solution called the RACE-net to address the above issues. RACE-net models a generalized LDM evolving under a constant and mean curvature velocity. At each time-step, the curve evolution velocities are approximated using a feed-forward architecture inspired by the multiscale image pyramid. RACE-net allows the curve evolution velocities to be learned in an end-to-end manner while minimizing the number of network parameters, computation time, and memory requirements. The RACE-net was validated on three different segmentation tasks: optic disc and cup in color fundus images, cell nuclei in histopathological images, and the left atrium in cardiac MRI volumes. Assessment on public datasets was seen to yield high Dice values between 0.87 and 0.97, which illustrates its utility as a generic, off-the-shelf architecture for biomedical segmentation.</t>
  </si>
  <si>
    <t>Fusing Results of Several Deep Learning Architectures for Automatic Classification of Normal and Diabetic Macular Edema in Optical Coherence Tomography</t>
  </si>
  <si>
    <t>Diabetic Macular Edema (DME) is a severe eye disease that can lead to irreversible blindness if it is left untreated. DME diagnosis still relies on manual evaluation from opthalmologists, thus the process is time consuming and diagnosis may be subjective. This paper presents two novel DME detection frameworks: (1) combining features from three pre-trained Convolutional Neural Networks: AlexNet, VggNet and GoogleNet and performing feature space reduction using Principal Component Analysis and (2) a majority voting scheme based on a plurality rule between classifications from AlexNet, VggNet and GoogleNet. Experiments were conducted using Optical Coherence Tomography datasets retrieved from the Singapore Eye Research Institute and the Chinese University Hong Kong. The results are evaluated using a Leave-Two-Patients-Out Cross Validation at the volume level. This method improves DME classification with an accuracy of 93.75%, which is similar to the best algorithms so far on the same data sets.</t>
  </si>
  <si>
    <t>G. C. Y. Chan, R. Kamble, H. Muller, S. A. A. Shah, T. B. Tang and F. Meriaudeau</t>
  </si>
  <si>
    <t>10.1259/bjr.20190580</t>
  </si>
  <si>
    <t>CAD and AI for breast cancer-recent development and challenges</t>
  </si>
  <si>
    <t>Computer-aided diagnosis (CAD) has been a popular area of research and development in the past few decades. In CAD, machine learning methods and multidisciplinary knowledge and techniques are used to analyze the patient information and the results can be used to assist clinicians in their decision making process. CAD may analyze imaging information alone or in combination with other clinical data. It may provide the analyzed information directly to the clinician or correlate the analyzed results with the likelihood of certain diseases based on statistical modeling of the past cases in the population. CAD systems can be developed to provide decision support for many applications in the patient care processes, such as lesion detection, characterization, cancer staging, treatment planning and response assessment, recurrence and prognosis prediction. The new state-of-the-art machine learning technique, known as deep learning (DL), has revolutionized speech and text recognition as well as computer vision. The potential of major breakthrough by DL in medical image analysis and other CAD applications for patient care has brought about unprecedented excitement of applying CAD, or artificial intelligence (AI), to medicine in general and to radiology in particular. In this paper, we will provide an overview of the recent developments of CAD using DL in breast imaging and discuss some challenges and practical issues that may impact the advancement of artificial intelligence and its integration into clinical workflow.</t>
  </si>
  <si>
    <t>10.1007/978-3-030-33128-3_1</t>
  </si>
  <si>
    <t>Deep Learning in Medical Image Analysis</t>
  </si>
  <si>
    <t>Deep learning is the state-of-the-art machine learning approach. The success of deep learning in many pattern recognition applications has brought excitement and high expectations that deep learning, or artificial intelligence (AI), can bring revolutionary changes in health care. Early studies of deep learning applied to lesion detection or classification have reported superior performance compared to those by conventional techniques or even better than radiologists in some tasks. The potential of applying deep-learning-based medical image analysis to computer-aided diagnosis (CAD), thus providing decision support to clinicians and improving the accuracy and efficiency of various diagnostic and treatment processes, has spurred new research and development efforts in CAD. Despite the optimism in this new era of machine learning, the development and implementation of CAD or AI tools in clinical practice face many challenges. In this chapter, we will discuss some of these issues and efforts needed to develop robust deep-learning-based CAD tools and integrate these tools into the clinical workflow, thereby advancing towards the goal of providing reliable intelligent aids for patient care.</t>
  </si>
  <si>
    <t>A convolutional neural network algorithm for automatic segmentation of head and neck organs at risk using deep lifelong learning</t>
  </si>
  <si>
    <t>PURPOSE: This study suggests a lifelong learning-based convolutional neural network (LL-CNN) algorithm as a superior alternative to single-task learning approaches for automatic segmentation of head and neck (OARs) organs at risk. METHODS AND MATERIALS: Lifelong learning-based convolutional neural network was trained on twelve head and neck OARs simultaneously using a multitask learning framework. Once the weights of the shared network were established, the final multitask convolutional layer was replaced by a single-task convolutional layer. The single-task transfer learning network was trained on each OAR separately with early stoppage. The accuracy of LL-CNN was assessed based on Dice score and root-mean-square error (RMSE) compared to manually delineated contours set as the gold standard. LL-CNN was compared with 2D-UNet, 3D-UNet, a single-task CNN (ST-CNN), and a pure multitask CNN (MT-CNN). Training, validation, and testing followed Kaggle competition rules, where 160 patients were used for training, 20 were used for internal validation, and 20 in a separate test set were used to report final prediction accuracies. RESULTS: On average contours generated with LL-CNN had higher Dice coefficients and lower RMSE than 2D-UNet, 3D-Unet, ST- CNN, and MT-CNN. LL-CNN required ~72 hrs to train using a distributed learning framework on 2 Nvidia 1080Ti graphics processing units. LL-CNN required 20 s to predict all 12 OARs, which was approximately as fast as the fastest alternative methods with the exception of MT-CNN. CONCLUSIONS: This study demonstrated that for head and neck organs at risk, LL-CNN achieves a prediction accuracy superior to all alternative algorithms.</t>
  </si>
  <si>
    <t>J. W. Chan, V. Kearney, S. Haaf, S. Wu, M. Bogdanov, M. Reddick, N. Dixit, A. Sudhyadhom, J. Chen, S. S. Yom and T. D. Solberg</t>
  </si>
  <si>
    <t>Will machine learning end the viability of radiology as a thriving medical specialty?</t>
  </si>
  <si>
    <t>There have been tremendous advances in artificial intelligence (AI) and machine learning (ML) within the past decade, especially in the application of deep learning to various challenges. These include advanced competitive games (such as Chess and Go), self-driving cars, speech recognition, and intelligent personal assistants. Rapid advances in computer vision for recognition of objects in pictures have led some individuals, including computer science experts and health care system experts in machine learning, to make predictions that ML algorithms will soon lead to the replacement of the radiologist. However, there are complex technological, regulatory, and medicolegal obstacles facing the implementation of machine learning in radiology that will definitely preclude replacement of the radiologist by these algorithms within the next two decades and beyond. While not a comprehensive review of machine learning, this article is intended to highlight specific features of machine learning which face significant technological and health care systems challenges. Rather than replacing radiologists, machine learning will provide quantitative tools that will increase the value of diagnostic imaging as a biomarker, increase image quality with decreased acquisition times, and improve workflow, communication, and patient safety. In the foreseeable future, we predict that today's generation of radiologists will be replaced not by ML algorithms, but by a new breed of data science-savvy radiologists who have embraced and harnessed the incredible potential that machine learning has to advance our ability to care for our patients. In this way, radiology will remain a viable medical specialty for years to come.</t>
  </si>
  <si>
    <t>Assessment of knee pain from MR imaging using a convolutional Siamese network</t>
  </si>
  <si>
    <t>OBJECTIVES: It remains difficult to characterize the source of pain in knee joints either using radiographs or magnetic resonance imaging (MRI). We sought to determine if advanced machine learning methods such as deep neural networks could distinguish knees with pain from those without it and identify the structural features that are associated with knee pain. METHODS: We constructed a convolutional Siamese network to associate MRI scans obtained on subjects from the Osteoarthritis Initiative (OAI) with frequent unilateral knee pain comparing the knee with frequent pain to the contralateral knee without pain. The Siamese network architecture enabled pairwise learning of information from two-dimensional (2D) sagittal intermediate-weighted turbo spin echo slices obtained from similar locations on both knees. Class activation mapping (CAM) was utilized to create saliency maps, which highlighted the regions most associated with knee pain. The MRI scans and the CAMs of each subject were reviewed by an expert radiologist to identify the presence of abnormalities within the model-predicted regions of high association. RESULTS: Using 10-fold cross-validation, our model achieved an area under curve (AUC) value of 0.808. When individuals whose knee WOMAC pain scores were not discordant were excluded, model performance increased to 0.853. The radiologist review revealed that about 86% of the cases that were predicted correctly had effusion-synovitis within the regions that were most associated with pain. CONCLUSIONS: This study demonstrates a proof of principle that deep learning can be applied to assess knee pain from MRI scans. KEY POINTS: • Our article is the first to leverage a deep learning framework to associate MR images of the knee with knee pain. • We developed a convolutional Siamese network that had the ability to fuse information from multiple two-dimensional (2D) MRI slices from the knee with pain and the contralateral knee of the same individual without pain to predict unilateral knee pain. • Our model achieved an area under curve (AUC) value of 0.808. When individuals who had WOMAC pain scores that were not discordant for knees (pain discordance &lt; 3) were excluded, model performance increased to 0.853.</t>
  </si>
  <si>
    <t>Unsupervised Transfer Learning via Multi-Scale Convolutional Sparse Coding for Biomedical Applications</t>
  </si>
  <si>
    <t>The capabilities of (I) learning transferable knowledge across domains; and (II) fine-tuning the pre-learned base knowledge towards tasks with considerably smaller data scale are extremely important. Many of the existing transfer learning techniques are supervised approaches, among which deep learning has the demonstrated power of learning domain transferrable knowledge with large scale network trained on massive amounts of labeled data. However, in many biomedical tasks, both the data and the corresponding label can be very limited, where the unsupervised transfer learning capability is urgently needed. In this paper, we proposed a novel multi-scale convolutional sparse coding (MSCSC) method, that (I) automatically learns filter banks at different scales in a joint fashion with enforced scale-specificity of learned patterns; and (II) provides an unsupervised solution for learning transferable base knowledge and fine-tuning it towards target tasks. Extensive experimental evaluation of MSCSC demonstrates the effectiveness of the proposed MSCSC in both regular and transfer learning tasks in various biomedical domains.</t>
  </si>
  <si>
    <t>H. Chang, J. Han, C. Zhong, A. M. Snijders and J. H. Mao</t>
  </si>
  <si>
    <t>Association of Cardiovascular Mortality and Deep Learning-Funduscopic Atherosclerosis Score derived from Retinal Fundus Images</t>
  </si>
  <si>
    <t>PURPOSE: The prediction of atherosclerosis using retinal fundus images and deep learning has not been shown possible. The purpose of this study was to develop a deep learning model which predicted atherosclerosis by using retinal fundus images and to verify its clinical implications by conducting a retrospective cohort analysis. DESIGN: Retrospective cohort study. METHODS: The database at the Health Promotion Center of Seoul National University Hospital (HPC-SNUH) was used. The deep learning model was trained using 15,408 images to predict carotid artery atherosclerosis, which was named the deep-learning funduscopic atherosclerosis score (DL-FAS). A retrospective cohort was constructed of participants 30-80 years old who had completed elective health examinations at HPC-SNUH. Using DL-FAS as the main exposure, participants were followed for the primary outcome of death due to CVD until Dec. 31, 2017. RESULTS: For predicting carotid artery atherosclerosis among subjects, the model achieved an area under receiver operating curve (AUROC) and area under the precision-recall curve (AUPRC), accuracy, sensitivity, specificity, positive and negative predictive values of 0.713, 0.569, 0.583, 0.891, 0.404, 0.465, and 0.865 respectively. The cohort consisted of 32,227 participants, 78 cardiovascular disease (CVD) deaths, and 7.6-year median follow-up visits. Those with DL-FAS greater than 0.66 had an increased risk of CVD deaths compared to those with DL-FAS &lt;0.33 (hazard ratio: 8.33; 95% confidence interval [CI], 3.16-24.7). Risk association was significant among intermediate and high Framingham risk score (FRS) subgroups. The DL-FAS improved the concordance by 0.0266 (95% CI, 0.0043-0.0489) over the FRS-only model. The relative integrated discrimination index was 20.45% and net reclassification index was 29.5%. CONCLUSIONS: A deep learning model was developed which could predict atherosclerosis from retinal fundus images. The resulting DL-FAS was an independent predictor of CVD deaths when adjusted for FRS and added predictive value over FRS.</t>
  </si>
  <si>
    <t>Residual Convolutional Neural Network for the Determination of IDH Status in Low- and High-Grade Gliomas from MR Imaging</t>
  </si>
  <si>
    <t>Purpose: Isocitrate dehydrogenase (IDH) mutations in glioma patients confer longer survival and may guide treatment decision making. We aimed to predict the IDH status of gliomas from MR imaging by applying a residual convolutional neural network to preoperative radiographic data.Experimental Design: Preoperative imaging was acquired for 201 patients from the Hospital of University of Pennsylvania (HUP), 157 patients from Brigham and Women's Hospital (BWH), and 138 patients from The Cancer Imaging Archive (TCIA) and divided into training, validation, and testing sets. We trained a residual convolutional neural network for each MR sequence (FLAIR, T2, T1 precontrast, and T1 postcontrast) and built a predictive model from the outputs. To increase the size of the training set and prevent overfitting, we augmented the training set images by introducing random rotations, translations, flips, shearing, and zooming.Results: With our neural network model, we achieved IDH prediction accuracies of 82.8% (AUC = 0.90), 83.0% (AUC = 0.93), and 85.7% (AUC = 0.94) within training, validation, and testing sets, respectively. When age at diagnosis was incorporated into the model, the training, validation, and testing accuracies increased to 87.3% (AUC = 0.93), 87.6% (AUC = 0.95), and 89.1% (AUC = 0.95), respectively.Conclusions: We developed a deep learning technique to noninvasively predict IDH genotype in grade II-IV glioma using conventional MR imaging using a multi-institutional data set. Clin Cancer Res; 24(5); 1073-81. ©2017 AACR.</t>
  </si>
  <si>
    <t>K. Chang, H. X. Bai, H. Zhou, C. Su, W. L. Bi, E. Agbodza, V. K. Kavouridis, J. T. Senders, A. Boaro, A. Beers, B. Zhang, A. Capellini, W. Liao, Q. Shen, X. Li, B. Xiao, J. Cryan, S. Ramkissoon, L. Ramkissoon, K. Ligon, P. Y. Wen, R. S. Bindra, J. Woo, O. Arnaout, E. R. Gerstner, P. J. Zhang, B. R. Rosen, L. Yang, R. Y. Huang and J. Kalpathy-Cramer</t>
  </si>
  <si>
    <t>Distributed deep learning networks among institutions for medical imaging</t>
  </si>
  <si>
    <t>OBJECTIVE: Deep learning has become a promising approach for automated support for clinical diagnosis. When medical data samples are limited, collaboration among multiple institutions is necessary to achieve high algorithm performance. However, sharing patient data often has limitations due to technical, legal, or ethical concerns. In this study, we propose methods of distributing deep learning models as an attractive alternative to sharing patient data. METHODS: We simulate the distribution of deep learning models across 4 institutions using various training heuristics and compare the results with a deep learning model trained on centrally hosted patient data. The training heuristics investigated include ensembling single institution models, single weight transfer, and cyclical weight transfer. We evaluated these approaches for image classification in 3 independent image collections (retinal fundus photos, mammography, and ImageNet). RESULTS: We find that cyclical weight transfer resulted in a performance that was comparable to that of centrally hosted patient data. We also found that there is an improvement in the performance of cyclical weight transfer heuristic with a high frequency of weight transfer. CONCLUSIONS: We show that distributing deep learning models is an effective alternative to sharing patient data. This finding has implications for any collaborative deep learning study.</t>
  </si>
  <si>
    <t>K. Chang, N. Balachandar, C. Lam, D. Yi, J. Brown, A. Beers, B. Rosen, D. L. Rubin and J. Kalpathy-Cramer</t>
  </si>
  <si>
    <t>Automatic assessment of glioma burden: a deep learning algorithm for fully automated volumetric and bidimensional measurement</t>
  </si>
  <si>
    <t>BACKGROUND: Longitudinal measurement of glioma burden with MRI is the basis for treatment response assessment. In this study, we developed a deep learning algorithm that automatically segments abnormal fluid attenuated inversion recovery (FLAIR) hyperintensity and contrast-enhancing tumor, quantitating tumor volumes as well as the product of maximum bidimensional diameters according to the Response Assessment in Neuro-Oncology (RANO) criteria (AutoRANO). METHODS: Two cohorts of patients were used for this study. One consisted of 843 preoperative MRIs from 843 patients with low- or high-grade gliomas from 4 institutions and the second consisted of 713 longitudinal postoperative MRI visits from 54 patients with newly diagnosed glioblastomas (each with 2 pretreatment baseline MRIs) from 1 institution. RESULTS: The automatically generated FLAIR hyperintensity volume, contrast-enhancing tumor volume, and AutoRANO were highly repeatable for the double-baseline visits, with an intraclass correlation coefficient (ICC) of 0.986, 0.991, and 0.977, respectively, on the cohort of postoperative GBM patients. Furthermore, there was high agreement between manually and automatically measured tumor volumes, with ICC values of 0.915, 0.924, and 0.965 for preoperative FLAIR hyperintensity, postoperative FLAIR hyperintensity, and postoperative contrast-enhancing tumor volumes, respectively. Lastly, the ICCs for comparing manually and automatically derived longitudinal changes in tumor burden were 0.917, 0.966, and 0.850 for FLAIR hyperintensity volume, contrast-enhancing tumor volume, and RANO measures, respectively. CONCLUSIONS: Our automated algorithm demonstrates potential utility for evaluating tumor burden in complex posttreatment settings, although further validation in multicenter clinical trials will be needed prior to widespread implementation.</t>
  </si>
  <si>
    <t>Hybrid 3D/2D Convolutional Neural Network for Hemorrhage Evaluation on Head CT</t>
  </si>
  <si>
    <t>BACKGROUND AND PURPOSE: Convolutional neural networks are a powerful technology for image recognition. This study evaluates a convolutional neural network optimized for the detection and quantification of intraparenchymal, epidural/subdural, and subarachnoid hemorrhages on noncontrast CT. MATERIALS AND METHODS: This study was performed in 2 phases. First, a training cohort of all NCCTs acquired at a single institution between January 1, 2017, and July 31, 2017, was used to develop and cross-validate a custom hybrid 3D/2D mask ROI-based convolutional neural network architecture for hemorrhage evaluation. Second, the trained network was applied prospectively to all NCCTs ordered from the emergency department between February 1, 2018, and February 28, 2018, in an automated inference pipeline. Hemorrhage-detection accuracy, area under the curve, sensitivity, specificity, positive predictive value, and negative predictive value were assessed for full and balanced datasets and were further stratified by hemorrhage type and size. Quantification was assessed by the Dice score coefficient and the Pearson correlation. RESULTS: A 10,159-examination training cohort (512,598 images; 901/8.1% hemorrhages) and an 862-examination test cohort (23,668 images; 82/12% hemorrhages) were used in this study. Accuracy, area under the curve, sensitivity, specificity, positive predictive value, and negative-predictive value for hemorrhage detection were 0.975, 0.983, 0.971, 0.975, 0.793, and 0.997 on training cohort cross-validation and 0.970, 0.981, 0.951, 0.973, 0.829, and 0.993 for the prospective test set. Dice scores for intraparenchymal hemorrhage, epidural/subdural hemorrhage, and SAH were 0.931, 0.863, and 0.772, respectively. CONCLUSIONS: A customized deep learning tool is accurate in the detection and quantification of hemorrhage on NCCT. Demonstrated high performance on prospective NCCTs ordered from the emergency department suggests the clinical viability of the proposed deep learning tool.</t>
  </si>
  <si>
    <t>P. D. Chang, E. Kuoy, J. Grinband, B. D. Weinberg, M. Thompson, R. Homo, J. Chen, H. Abcede, M. Shafie, L. Sugrue, C. G. Filippi, M. Y. Su, W. Yu, C. Hess and D. Chow</t>
  </si>
  <si>
    <t>AJNR Am J Neuroradiol</t>
  </si>
  <si>
    <t>With a Little Help from Machine Learning, Precision Radiology Can Be Feasible</t>
  </si>
  <si>
    <t>P. J. Chang</t>
  </si>
  <si>
    <t>10.1016/j.ucl.2020.09.004</t>
  </si>
  <si>
    <t>Current Trends in Artificial Intelligence Application for Endourology and Robotic Surgery</t>
  </si>
  <si>
    <t>With the advent of electronic medical records and digitalization of health care over the past 2 decades, artificial intelligence (AI) has emerged as an enabling tool to manage complex datasets and deliver streamlined data-driven patient care. AI algorithms have the ability to extract meaningful signal from complex datasets through an iterative process akin to human learning. Through advancements over the past decade in deep learning, AI-driven innovations have accelerated applications in health care. Herein, the authors explore the development of these emerging AI technologies, focusing on the application of AI to endourology and robotic surgery.</t>
  </si>
  <si>
    <t>Urol Clin North Am</t>
  </si>
  <si>
    <t>Will AI Improve Tumor Delineation Accuracy for Radiation Therapy?</t>
  </si>
  <si>
    <t>Z. Chang</t>
  </si>
  <si>
    <t>Colony analysis and deep learning uncover 5-hydroxyindole as an inhibitor of gliding motility and iridescence in Cellulophaga lytica</t>
  </si>
  <si>
    <t>Iridescence is an original type of colouration that is relatively widespread in nature but has been either incompletely described or entirely neglected in prokaryotes. Recently, we reported a brilliant 'pointillistic' iridescence in agar-grown colony biofilms of Cellulophaga lytica and some other marine Flavobacteria that exhibit gliding motility. Bacterial iridescence is created by a unique self-organization of sub-communities of cells, but the mechanisms underlying such living photonic crystals are unknown. In this study, we used Petri dish assays to screen a large panel of potential activators or inhibitors of C. lytica's iridescence. Derivatives potentially interfering with quorum-sensing and other communication or biofilm formation processes were tested, as well as metabolic poisons or algal exoproducts. We identified an indole derivative, 5-hydroxyindole (5HI, 250 µM) which inhibited both gliding and iridescence at the colonial level. 5HI did not affect growth or cell respiration. At the microscopic level, phase-contrast imaging confirmed that 5HI inhibits the gliding motility of cells. Moreover, the lack of iridescence correlated with a perturbation of self-organization of the cell sub-communities in both the WT and a gliding-negative mutant. This effect was proved using recent advances in machine learning (deep neuronal networks). In addition to its effect on colony biofilms, 5HI was found to stimulate biofilm formation in microplates. Our data are compatible with possible roles of 5HI or marine analogues in the eco-biology of iridescent bacteria.</t>
  </si>
  <si>
    <t>M. Chapelais-Baron, I. Goubet, R. Péteri, M. F. Pereira, T. Mignot, A. Jabveneau and E. Rosenfeld</t>
  </si>
  <si>
    <t>Microbiology (Reading)</t>
  </si>
  <si>
    <t>Deep learning segmentation of hyperautofluorescent fleck lesions in Stargardt disease</t>
  </si>
  <si>
    <t>Stargardt disease is one of the most common forms of inherited retinal disease and leads to permanent vision loss. A diagnostic feature of the disease is retinal flecks, which appear hyperautofluorescent in fundus autofluorescence (FAF) imaging. The size and number of these flecks increase with disease progression. Manual segmentation of flecks allows monitoring of disease, but is time-consuming. Herein, we have developed and validated a deep learning approach for segmenting these Stargardt flecks (1750 training and 100 validation FAF patches from 37 eyes with Stargardt disease). Testing was done in 10 separate Stargardt FAF images and we observed a good overall agreement between manual and deep learning in both fleck count and fleck area. Longitudinal data were available in both eyes from 6 patients (average total follow-up time 4.2 years), with both manual and deep learning segmentation performed on all (n = 82) images. Both methods detected a similar upward trend in fleck number and area over time. In conclusion, we demonstrated the feasibility of utilizing deep learning to segment and quantify FAF lesions, laying the foundation for future studies using fleck parameters as a trial endpoint.</t>
  </si>
  <si>
    <t>Automatic detection and segmentation of brain metastases on multimodal MR images with a deep convolutional neural network</t>
  </si>
  <si>
    <t>Stereotactic treatments are today the reference techniques for the irradiation of brain metastases in radiotherapy. The dose per fraction is very high, and delivered in small volumes (diameter &lt;1 cm). As part of these treatments, effective detection and precise segmentation of lesions are imperative. Many methods based on deep-learning approaches have been developed for the automatic segmentation of gliomas, but very little for that of brain metastases. We adapted an existing 3D convolutional neural network (DeepMedic) to detect and segment brain metastases on MRI. At first, we sought to adapt the network parameters to brain metastases. We then explored the single or combined use of different MRI modalities, by evaluating network performance in terms of detection and segmentation. We also studied the interest of increasing the database with virtual patients or of using an additional database in which the active parts of the metastases are separated from the necrotic parts. Our results indicated that a deep network approach is promising for the detection and the segmentation of brain metastases on multimodal MRI.</t>
  </si>
  <si>
    <t>O. Charron, A. Lallement, D. Jarnet, V. Noblet, J. B. Clavier and P. Meyer</t>
  </si>
  <si>
    <t>10.1148/rg.2017170077</t>
  </si>
  <si>
    <t>Deep Learning: A Primer for Radiologists</t>
  </si>
  <si>
    <t>Deep learning is a class of machine learning methods that are gaining success and attracting interest in many domains, including computer vision, speech recognition, natural language processing, and playing games. Deep learning methods produce a mapping from raw inputs to desired outputs (eg, image classes). Unlike traditional machine learning methods, which require hand-engineered feature extraction from inputs, deep learning methods learn these features directly from data. With the advent of large datasets and increased computing power, these methods can produce models with exceptional performance. These models are multilayer artificial neural networks, loosely inspired by biologic neural systems. Weighted connections between nodes (neurons) in the network are iteratively adjusted based on example pairs of inputs and target outputs by back-propagating a corrective error signal through the network. For computer vision tasks, convolutional neural networks (CNNs) have proven to be effective. Recently, several clinical applications of CNNs have been proposed and studied in radiology for classification, detection, and segmentation tasks. This article reviews the key concepts of deep learning for clinical radiologists, discusses technical requirements, describes emerging applications in clinical radiology, and outlines limitations and future directions in this field. Radiologists should become familiar with the principles and potential applications of deep learning in medical imaging. (©)RSNA, 2017.</t>
  </si>
  <si>
    <t>Radiographics</t>
  </si>
  <si>
    <t>10.1007/s00330-019-06564-3</t>
  </si>
  <si>
    <t>Deep learning: definition and perspectives for thoracic imaging</t>
  </si>
  <si>
    <t>Relevance and penetration of machine learning in clinical practice is a recent phenomenon with multiple applications being currently under development. Deep learning-and especially convolutional neural networks (CNNs)-is a subset of machine learning, which has recently entered the field of thoracic imaging. The structure of neural networks, organized in multiple layers, allows them to address complex tasks. For several clinical situations, CNNs have demonstrated superior performance as compared with classical machine learning algorithms and in some cases achieved comparable or better performance than clinical experts. Chest radiography, a high-volume procedure, is a natural application domain because of the large amount of stored images and reports facilitating the training of deep learning algorithms. Several algorithms for automated reporting have been developed. The training of deep learning algorithm CT images is more complex due to the dimension, variability, and complexity of the 3D signal. The role of these methods is likely to increase in clinical practice as a complement of the radiologist's expertise. The objective of this review is to provide definitions for understanding the methods and their potential applications for thoracic imaging. KEY POINTS: • Deep learning outperforms other machine learning techniques for number of tasks in radiology. • Convolutional neural network is the most popular deep learning architecture in medical imaging. • Numerous deep learning algorithms are being currently developed; some of them may become part of clinical routine in the near future.</t>
  </si>
  <si>
    <t>AI-driven quantification, staging and outcome prediction of COVID-19 pneumonia</t>
  </si>
  <si>
    <t>Coronavirus disease 2019 (COVID-19) emerged in 2019 and disseminated around the world rapidly. Computed tomography (CT) imaging has been proven to be an important tool for screening, disease quantification and staging. The latter is of extreme importance for organizational anticipation (availability of intensive care unit beds, patient management planning) as well as to accelerate drug development through rapid, reproducible and quantified assessment of treatment response. Even if currently there are no specific guidelines for the staging of the patients, CT together with some clinical and biological biomarkers are used. In this study, we collected a multi-center cohort and we investigated the use of medical imaging and artificial intelligence for disease quantification, staging and outcome prediction. Our approach relies on automatic deep learning-based disease quantification using an ensemble of architectures, and a data-driven consensus for the staging and outcome prediction of the patients fusing imaging biomarkers with clinical and biological attributes. Highly promising results on multiple external/independent evaluation cohorts as well as comparisons with expert human readers demonstrate the potentials of our approach.</t>
  </si>
  <si>
    <t>10.1016/j.ejrad.2019.108774</t>
  </si>
  <si>
    <t>Artificial intelligence applications for thoracic imaging</t>
  </si>
  <si>
    <t>Artificial intelligence is a hot topic in medical imaging. The development of deep learning methods and in particular the use of convolutional neural networks (CNNs), have led to substantial performance gain over the classic machine learning techniques. Multiple usages are currently being evaluated, especially for thoracic imaging, such as such as lung nodule evaluation, tuberculosis or pneumonia detection or quantification of diffuse lung diseases. Chest radiography is a near perfect domain for the development of deep learning algorithms for automatic interpretation, requiring large annotated datasets, in view of the high number of procedures and increasing data availability. Current algorithms are able to detect up to 14 common anomalies, when present as isolated findings. Chest computed tomography is another major field of application for artificial intelligence, especially in the perspective of large scale lung cancer screening. It is important for radiologists to apprehend, contribute actively and lead this new era of radiology powered by artificial intelligence. Such a perspective requires understanding new terms and concepts associated with machine learning. The objective of this paper is to provide useful definitions for understanding the methods used and their possibilities, and report current and future developments for thoracic imaging. Prospective validation of AI tools will be required before reaching routine clinical implementation.</t>
  </si>
  <si>
    <t>Super-resolution musculoskeletal MRI using deep learning</t>
  </si>
  <si>
    <t>PURPOSE: To develop a super-resolution technique using convolutional neural networks for generating thin-slice knee MR images from thicker input slices, and compare this method with alternative through-plane interpolation methods. METHODS: We implemented a 3D convolutional neural network entitled DeepResolve to learn residual-based transformations between high-resolution thin-slice images and lower-resolution thick-slice images at the same center locations. DeepResolve was trained using 124 double echo in steady-state (DESS) data sets with 0.7-mm slice thickness and tested on 17 patients. Ground-truth images were compared with DeepResolve, clinically used tricubic interpolation, and Fourier interpolation methods, along with state-of-the-art single-image sparse-coding super-resolution. Comparisons were performed using structural similarity, peak SNR, and RMS error image quality metrics for a multitude of thin-slice downsampling factors. Two musculoskeletal radiologists ranked the 3 data sets and reviewed the diagnostic quality of the DeepResolve, tricubic interpolation, and ground-truth images for sharpness, contrast, artifacts, SNR, and overall diagnostic quality. Mann-Whitney U tests evaluated differences among the quantitative image metrics, reader scores, and rankings. Cohen's Kappa (κ) evaluated interreader reliability. RESULTS: DeepResolve had significantly better structural similarity, peak SNR, and RMS error than tricubic interpolation, Fourier interpolation, and sparse-coding super-resolution for all downsampling factors (p &lt; .05, except 4 × and 8 × sparse-coding super-resolution downsampling factors). In the reader study, DeepResolve significantly outperformed (p &lt; .01) tricubic interpolation in all image quality categories and overall image ranking. Both readers had substantial scoring agreement (κ = 0.73). CONCLUSION: DeepResolve was capable of resolving high-resolution thin-slice knee MRI from lower-resolution thicker slices, achieving superior quantitative and qualitative diagnostic performance to both conventionally used and state-of-the-art methods.</t>
  </si>
  <si>
    <t>A. S. Chaudhari, Z. Fang, F. Kogan, J. Wood, K. J. Stevens, E. K. Gibbons, J. H. Lee, G. E. Gold and B. A. Hargreaves</t>
  </si>
  <si>
    <t>10.1007/s00256-019-03284-z</t>
  </si>
  <si>
    <t>Current applications and future directions of deep learning in musculoskeletal radiology</t>
  </si>
  <si>
    <t>Deep learning with convolutional neural networks (CNN) is a rapidly advancing subset of artificial intelligence that is ideally suited to solving image-based problems. There are an increasing number of musculoskeletal applications of deep learning, which can be conceptually divided into the categories of lesion detection, classification, segmentation, and non-interpretive tasks. Numerous examples of deep learning achieving expert-level performance in specific tasks in all four categories have been demonstrated in the past few years, although comprehensive interpretation of imaging examinations has not yet been achieved. It is important for the practicing musculoskeletal radiologist to understand the current scope of deep learning as it relates to musculoskeletal radiology. Interest in deep learning from researchers, radiology leadership, and industry continues to increase, and it is likely that these developments will impact the daily practice of musculoskeletal radiology in the near future.</t>
  </si>
  <si>
    <t>Skeletal Radiol</t>
  </si>
  <si>
    <t>Classification for liver ultrasound tomography by posterior attenuation correction with a phantom study</t>
  </si>
  <si>
    <t>The B-mode ultrasound usually contains scattering speckle noise which reduces the detailed resolution of the target and is regarded as an intrinsic noise that interferes with diagnostic precision. The aim of this study was to classify hepatic steatosis through applying attenuation correction with a phantom to reduce speckle noise in liver ultrasound tomography in patients. This retrospective study applied three randomized groups signifying different liver statuses. A total of 114 patients' effective liver ultrasound images-30 normal, 44 fatty, and 40 cancerous-were included. The proposed depth attenuation correction method was first applied to images. Three regions of interest were manually drawn on the images. Next, five feature values for the regions of interest were calculated. Finally, the hybrid method of logistic regression and support vector machine was employed to classify the ultrasound images with 10-fold cross-validation. The accuracy, kappa statistic, and mean absolute error of the proposed hybrid method were 87.5%, 0.812, and 0.119, respectively, which were higher than those of the logistic regression method-75.0%, 0.548, and 0.280-or those of the support vector machine method-75.7%, 0.637, and 0.293-respectively. Therefore, the hybrid method has been proven to be more accurate and have better performance and less error than either single method. The hybrid method provided acceptable accuracy of classification in three liver ultrasound image groups after depth attenuation correction. In the future, the deep learning approaches may be considered for the application in classifying liver ultrasound images.</t>
  </si>
  <si>
    <t>Proc Inst Mech Eng H</t>
  </si>
  <si>
    <t>10.1002/chem.202000246</t>
  </si>
  <si>
    <t>Review and Prospect: Deep Learning in Nuclear Magnetic Resonance Spectroscopy</t>
  </si>
  <si>
    <t>Since the concept of deep learning (DL) was formally proposed in 2006, it has had a major impact on academic research and industry. Nowadays, DL provides an unprecedented way to analyze and process data with demonstrated great results in computer vision, medical imaging, natural language processing, and so forth. Herein, applications of DL in NMR spectroscopy are summarized, and a perspective for DL as an entirely new approach that is likely to transform NMR spectroscopy into a much more efficient and powerful technique in chemistry and life sciences is outlined.</t>
  </si>
  <si>
    <t>Chemistry</t>
  </si>
  <si>
    <t>Predicting PET Cerebrovascular Reserve with Deep Learning by Using Baseline MRI: A Pilot Investigation of a Drug-Free Brain Stress Test</t>
  </si>
  <si>
    <t>Background Cerebrovascular reserve (CVR) may be measured by using an acetazolamide test to clinically evaluate patients with cerebrovascular disease. However, acetazolamide use may be contraindicated and/or undesirable in certain clinical settings. Purpose To predict CVR images generated from acetazolamide vasodilation with a deep learning network by using only images before acetazolamide administration. Materials and Methods Simultaneous oxygen 15 ((15)O)-labeled water PET/MRI before and after acetazolamide injection were retrospectively analyzed for patients with Moyamoya disease and healthy control participants from April 2017 to May 2019. Inputs to deep learning models were perfusion-based images (arterial spin labeling [ASL]), structural scans (T2 fluid-attenuated inversion-recovery, T1), and brain location. Two models, that is, (15)O-labeled water PET cerebral blood flow (CBF) and MRI (PET-plus-MRI model) before acetazolamide administration and only MRI (MRI-only model) before acetazolamide administration, were trained and tested with sixfold cross-validation. The models learned to predict a voxelwise relative CBF change (rΔCBF) map by using rΔCBF measured with PET due to acetazolamide as ground truth. Quantitative analysis included image quality metrics (peak signal-to-noise ratio, root mean square error, and structural similarity index), as well as comparison between the various methods by using correlation and Bland-Altman analyses. Identification of vascular territories with impaired rΔCBF was evaluated by using receiver operating characteristic metrics. Results Thirty-six participants were included: 24 patients with Moyamoya disease (mean age ± standard deviation, 41 years ± 12; 17 women) and 12 age-matched healthy control participants (mean age, 39 years ± 16; nine women). The rΔCBF maps predicted by both deep learning models demonstrated better image quality metrics than did ASL (all P &lt; .001 in patients) and higher correlation coefficient with PET than with ASL (PET-plus-MRI model, 0.704; MRI-only model, 0.690 vs ASL, 0.432; both P &lt; .001 in patients). Both models also achieved high diagnostic performance in identifying territories with impaired rΔCBF (area under receiver operating characteristic curve, 0.95 for PET-plus-MRI model [95% confidence interval: 0.90, 0.99] and 0.95 for MRI-only model [95% confidence interval: 0.91, 0.98]). Conclusion By using only images before acetazolamide administration, PET-plus-MRI and MRI-only deep learning models predicted cerebrovascular reserve images without the need for vasodilator injection. © RSNA, 2020 Online supplemental material is available for this article.</t>
  </si>
  <si>
    <t>Three-Dimensional Feature-Enhanced Network for Automatic Femur Segmentation</t>
  </si>
  <si>
    <t>Automatic femur segmentation from computed tomography volume is a crucial but challenging task for computer-aided diagnosis in orthopedic surgeries. The main obstacles are weak bone boundaries, narrowness of joint space, variations in femur density and shape, as well as diverse leg postures. In this paper, we presented a novel 3-D feature-enhanced network to address these challenges. The novelty of our approach lies in two feature enhancement modules, including the edge detection task and the multi-scale features fusion. First, the edge detection task was embedded into femur segmentation from computed tomography volume to solve the problems of narrow joint space and weak femur boundary. Crucially, a task-specific edge detector was used to optimize the performance of femur segmentation in an end-to-end trainable system. Second, the multi-scale features fusion provided both local and global contexts to handle the problems of large variations in leg postures as well as femur shape and density. The results demonstrated that accurate 3-D femur segmentation with a high Dice similarity coefficient of 96.88% was achieved using the developed method, and the segmentation of computed tomography volume took 0.93 s on an average.</t>
  </si>
  <si>
    <t>F. Chen, J. Liu, Z. Zhao, M. Zhu and H. Liao</t>
  </si>
  <si>
    <t>Variable-Density Single-Shot Fast Spin-Echo MRI with Deep Learning Reconstruction by Using Variational Networks</t>
  </si>
  <si>
    <t>Purpose To develop a deep learning reconstruction approach to improve the reconstruction speed and quality of highly undersampled variable-density single-shot fast spin-echo imaging by using a variational network (VN), and to clinically evaluate the feasibility of this approach. Materials and Methods Imaging was performed with a 3.0-T imager with a coronal variable-density single-shot fast spin-echo sequence at 3.25 times acceleration in 157 patients referred for abdominal imaging (mean age, 11 years; range, 1-34 years; 72 males [mean age, 10 years; range, 1-26 years] and 85 females [mean age, 12 years; range, 1-34 years]) between March 2016 and April 2017. A VN was trained based on the parallel imaging and compressed sensing (PICS) reconstruction of 130 patients. The remaining 27 patients were used for evaluation. Image quality was evaluated in an independent blinded fashion by three radiologists in terms of overall image quality, perceived signal-to-noise ratio, image contrast, sharpness, and residual artifacts with scores ranging from 1 (nondiagnostic) to 5 (excellent). Wilcoxon tests were performed to test the hypothesis that there was no significant difference between VN and PICS. Results VN achieved improved perceived signal-to-noise ratio (P = .01) and improved sharpness (P &lt; .001), with no difference in image contrast (P = .24) and residual artifacts (P = .07). In terms of overall image quality, VN performed better than did PICS (P = .02). Average reconstruction time ± standard deviation was 5.60 seconds ± 1.30 per section for PICS and 0.19 second ± 0.04 per section for VN. Conclusion Compared with the conventional parallel imaging and compressed sensing reconstruction (PICS), the variational network (VN) approach accelerates the reconstruction of variable-density single-shot fast spin-echo sequences and achieves improved overall image quality with higher perceived signal-to-noise ratio and sharpness. © RSNA, 2018 Online supplemental material is available for this article.</t>
  </si>
  <si>
    <t>F. Chen, V. Taviani, I. Malkiel, J. Y. Cheng, J. I. Tamir, J. Shaikh, S. T. Chang, C. J. Hardy, J. M. Pauly and S. S. Vasanawala</t>
  </si>
  <si>
    <t>Identification of pulmonary nodules via CT images with hierarchical fully convolutional networks</t>
  </si>
  <si>
    <t>Lung cancer is one of the most diagnosable forms of cancer worldwide. The early diagnoses of pulmonary nodules in computed tomography (CT) chest scans are crucial for potential patients. Recent researches have showed that the methods based on deep learning have made a significant progress for the medical diagnoses. However, the achievements on identification of pulmonary nodules are not yet satisfactory enough to be adopted in clinical practice. It is largely caused by either the existence of many false positives or the heavy time of processing. With the development of fully convolutional networks (FCNs), in this study, we proposed a new method of identifying the pulmonary nodules. The method segments the suspected nodules from their environments and then removes the false positives. Especially, it optimizes the network architecture for the identification of nodules rapidly and accurately. In order to remove the false positives, the suspected nodules are reduced using the 2D models. Furthermore, according to the significant differences between nodules and non-nodules in 3D shapes, the false positives are eliminated by integrating into the 3D models and classified via 3D CNNs. The experiments on 1000 patients indicate that our proposed method achieved 97.78% sensitivity rate for segmentation and 90.1% accuracy rate for detection. The maximum response time was less than 30 s and the average time was about 15 s. Graphical Abstract This paper has proposed a new method of identifying the pulmonary nodules. The method segments the suspected nodules from CT images and removes the false positives. As shown in the above, the proposed approach consists of three stages. In stage I, raw data are filtered and normalized. The clean normalized data are then segmented in stage II to extract the suspected nodular lesions through 2D FCNs. Stage III is to remove some false positives generated at stage II via 3D CNNs and outputs the final results. The experiments on 1000 patients indicate that our proposed method has achieved 97.78% sensitivity rate for segmentation and 90.1% accuracy rate for detection. The maximum response time was less than 30 s and the average time was about 15 s.</t>
  </si>
  <si>
    <t>4D-AirNet: a temporally-resolved CBCT slice reconstruction method synergizing analytical and iterative method with deep learning</t>
  </si>
  <si>
    <t>Four-dimensional (4D) cone-beam CT (CBCT) reconstructs temporally-resolved phases of 3D volumes often with the same amount of projection data that are meant for reconstructing a single 3D volume. 4D CBCT is a sparse-data problem that is very challenging for high-quality 4D CBCT image reconstruction. Here we develop a new method, namely 4D-AirNet, that synergizes analytical and iterative method with deep learning for high-quality temporally-resolved CBCT slice reconstruction. 4D-AirNet is an unrolling method using the optimization framework of fused analytical and iterative reconstruction (AIR), which is based on proximal forward-backward splitting (PFBS). Three different strategies are developed for 4D-AirNet: random-phase (RP), prior-guided (PG), and all-phase (AP). RP-AirNet and PG-AirNet utilize phase-by-phase training and reconstruction, while PG-AirNet also uses a prior image reconstructed with all-phase projection data. Dense connectivity is built into 4D-AirNet networks for improved reconstruction quality. In contrast, AP-AirNet trains and reconstructs all phases simultaneously. In addition, the joint regularization method of DL and conventional spatiotemporal total variation (TV) is investigated. 4D-AirNet methods were evaluated in comparison with conventional iterative (TV) and deep learning (LEARN) methods, using simulated 2D-t CBCT scans from a lung dataset with various sparse-data levels. The reconstruction results suggest 4D-AirNet methods outperform TV and LEARN, and AP-AirNet provides the best reconstruction quality overall.</t>
  </si>
  <si>
    <t>Depression Scale Prediction with Cross-Sample Entropy and Deep Learning</t>
  </si>
  <si>
    <t>A two-stage deep learning-based scheme is presented to predict the Hamilton Depression Scale (HAM-D) in this study. First, the cross-sample entropy (CSE) that allows assessing the degree of similarity of two data series are evaluated for the 90 brain regions of interest partitioned according to Automated Anatomical Labeling. The obtained CSE maps are then converted to 3D CSE volumes to serve as the inputs to the deep learning network models for the HAM-D scale level classification and prediction. The efficacy of the proposed scheme was illustrated by the resting-state functional magnetic resonance imaging data from 38 patients. From the results, the root mean square errors for the HAM-D scale prediction obtained during training, validation, and testing were 2.73, 2.66, and 2.18, which were less than those of a scheme having only a regression stage.</t>
  </si>
  <si>
    <t>10.1016/j.neuroimage.2017.04.041</t>
  </si>
  <si>
    <t>VoxResNet: Deep voxelwise residual networks for brain segmentation from 3D MR images</t>
  </si>
  <si>
    <t>Segmentation of key brain tissues from 3D medical images is of great significance for brain disease diagnosis, progression assessment and monitoring of neurologic conditions. While manual segmentation is time-consuming, laborious, and subjective, automated segmentation is quite challenging due to the complicated anatomical environment of brain and the large variations of brain tissues. We propose a novel voxelwise residual network (VoxResNet) with a set of effective training schemes to cope with this challenging problem. The main merit of residual learning is that it can alleviate the degradation problem when training a deep network so that the performance gains achieved by increasing the network depth can be fully leveraged. With this technique, our VoxResNet is built with 25 layers, and hence can generate more representative features to deal with the large variations of brain tissues than its rivals using hand-crafted features or shallower networks. In order to effectively train such a deep network with limited training data for brain segmentation, we seamlessly integrate multi-modality and multi-level contextual information into our network, so that the complementary information of different modalities can be harnessed and features of different scales can be exploited. Furthermore, an auto-context version of the VoxResNet is proposed by combining the low-level image appearance features, implicit shape information, and high-level context together for further improving the segmentation performance. Extensive experiments on the well-known benchmark (i.e., MRBrainS) of brain segmentation from 3D magnetic resonance (MR) images corroborated the efficacy of the proposed VoxResNet. Our method achieved the first place in the challenge out of 37 competitors including several state-of-the-art brain segmentation methods. Our method is inherently general and can be readily applied as a powerful tool to many brain-related studies, where accurate segmentation of brain structures is critical.</t>
  </si>
  <si>
    <t>10.1016/j.drudis.2018.01.039</t>
  </si>
  <si>
    <t>The rise of deep learning in drug discovery</t>
  </si>
  <si>
    <t>Over the past decade, deep learning has achieved remarkable success in various artificial intelligence research areas. Evolved from the previous research on artificial neural networks, this technology has shown superior performance to other machine learning algorithms in areas such as image and voice recognition, natural language processing, among others. The first wave of applications of deep learning in pharmaceutical research has emerged in recent years, and its utility has gone beyond bioactivity predictions and has shown promise in addressing diverse problems in drug discovery. Examples will be discussed covering bioactivity prediction, de novo molecular design, synthesis prediction and biological image analysis.</t>
  </si>
  <si>
    <t>Drug Discov Today</t>
  </si>
  <si>
    <t>A deep learning approach to automatic teeth detection and numbering based on object detection in dental periapical films</t>
  </si>
  <si>
    <t>We propose using faster regions with convolutional neural network features (faster R-CNN) in the TensorFlow tool package to detect and number teeth in dental periapical films. To improve detection precisions, we propose three post-processing techniques to supplement the baseline faster R-CNN according to certain prior domain knowledge. First, a filtering algorithm is constructed to delete overlapping boxes detected by faster R-CNN associated with the same tooth. Next, a neural network model is implemented to detect missing teeth. Finally, a rule-base module based on a teeth numbering system is proposed to match labels of detected teeth boxes to modify detected results that violate certain intuitive rules. The intersection-over-union (IOU) value between detected and ground truth boxes are calculated to obtain precisions and recalls on a test dataset. Results demonstrate that both precisions and recalls exceed 90% and the mean value of the IOU between detected boxes and ground truths also reaches 91%. Moreover, three dentists are also invited to manually annotate the test dataset (independently), which are then compared to labels obtained by our proposed algorithms. The results indicate that machines already perform close to the level of a junior dentist.</t>
  </si>
  <si>
    <t>LEARN: Learned Experts' Assessment-Based Reconstruction Network for Sparse-Data CT</t>
  </si>
  <si>
    <t>Compressive sensing (CS) has proved effective for tomographic reconstruction from sparsely collected data or under-sampled measurements, which are practically important for few-view computed tomography (CT), tomosynthesis, interior tomography, and so on. To perform sparse-data CT, the iterative reconstruction commonly uses regularizers in the CS framework. Currently, how to choose the parameters adaptively for regularization is a major open problem. In this paper, inspired by the idea of machine learning especially deep learning, we unfold the state-of-the-art fields of experts-based iterative reconstruction scheme up to a number of iterations for data-driven training, construct a learned experts' assessment-based reconstruction network (LEARN) for sparse-data CT, and demonstrate the feasibility and merits of our LEARN network. The experimental results with our proposed LEARN network produces a superior performance with the well-known Mayo Clinic low-dose challenge data set relative to the several state-of-the-art methods, in terms of artifact reduction, feature preservation, and computational speed. This is consistent to our insight that because all the regularization terms and parameters used in the iterative reconstruction are now learned from the training data, our LEARN network utilizes application-oriented knowledge more effectively and recovers underlying images more favorably than competing algorithms. Also, the number of layers in the LEARN network is only 50, reducing the computational complexity of typical iterative algorithms by orders of magnitude.</t>
  </si>
  <si>
    <t>H. Chen, Y. Zhang, Y. Chen, J. Zhang, W. Zhang, H. Sun, Y. Lv, P. Liao, J. Zhou and G. Wang</t>
  </si>
  <si>
    <t>Low-Dose CT With a Residual Encoder-Decoder Convolutional Neural Network</t>
  </si>
  <si>
    <t>Given the potential risk of X-ray radiation to the patient, low-dose CT has attracted a considerable interest in the medical imaging field. Currently, the main stream low-dose CT methods include vendor-specific sinogram domain filtration and iterative reconstruction algorithms, but they need to access raw data, whose formats are not transparent to most users. Due to the difficulty of modeling the statistical characteristics in the image domain, the existing methods for directly processing reconstructed images cannot eliminate image noise very well while keeping structural details. Inspired by the idea of deep learning, here we combine the autoencoder, deconvolution network, and shortcut connections into the residual encoder-decoder convolutional neural network (RED-CNN) for low-dose CT imaging. After patch-based training, the proposed RED-CNN achieves a competitive performance relative to the-state-of-art methods in both simulated and clinical cases. Especially, our method has been favorably evaluated in terms of noise suppression, structural preservation, and lesion detection.</t>
  </si>
  <si>
    <t>H. Chen, Y. Zhang, M. K. Kalra, F. Lin, Y. Chen, P. Liao, J. Zhou and G. Wang</t>
  </si>
  <si>
    <t>Generating anthropomorphic phantoms using fully unsupervised deformable image registration with convolutional neural networks</t>
  </si>
  <si>
    <t>PURPOSE: Computerized phantoms have been widely used in nuclear medicine imaging for imaging system optimization and validation. Although the existing computerized phantoms can model anatomical variations through organ and phantom scaling, they do not provide a way to fully reproduce the anatomical variations and details seen in humans. In this work, we present a novel registration-based method for creating highly anatomically detailed computerized phantoms. We experimentally show substantially improved image similarity of the generated phantom to a patient image. METHODS: We propose a deep-learning-based unsupervised registration method to generate a highly anatomically detailed computerized phantom by warping an XCAT phantom to a patient computed tomography (CT) scan. We implemented and evaluated the proposed method using the NURBS-based XCAT phantom and a publicly available low-dose CT dataset from TCIA. A rigorous tradeoff analysis between image similarity and deformation regularization was conducted to select the loss function and regularization term for the proposed method. A novel SSIM-based unsupervised objective function was proposed. Finally, ablation studies were conducted to evaluate the performance of the proposed method (using the optimal regularization and loss function) and the current state-of-the-art unsupervised registration methods. RESULTS: The proposed method outperformed the state-of-the-art registration methods, such as SyN and VoxelMorph, by more than 8%, measured by the SSIM and less than 30%, by the MSE. The phantom generated by the proposed method was highly detailed and was almost identical in appearance to a patient image. CONCLUSIONS: A deep-learning-based unsupervised registration method was developed to create anthropomorphic phantoms with anatomies labels that can be used as the basis for modeling organ properties. Experimental results demonstrate the effectiveness of the proposed method. The resulting anthropomorphic phantom is highly realistic. Combined with realistic simulations of the image formation process, the generated phantoms could serve in many applications of medical imaging research.</t>
  </si>
  <si>
    <t>Medical image segmentation and reconstruction of prostate tumor based on 3D AlexNet</t>
  </si>
  <si>
    <t>BACKGROUND: Prostate cancer is a disease with a high incidence of tumors in men. Due to the long incubation time and insidious condition, early diagnosis is difficult; especially imaging diagnosis is more difficult. In actual clinical practice, the method of manual segmentation by medical experts is mainly used, which is time-consuming and labor-intensive and relies heavily on the experience and ability of medical experts. The rapid, accurate and repeatable segmentation of the prostate area is still a challenging problem. It is important to explore the automated segmentation of prostate images based on the 3D AlexNet network. METHOD: Taking the medical image of prostate cancer as the entry point, the three-dimensional data is introduced into the deep learning convolutional neural network. This paper proposes a 3D AlexNet method for the automatic segmentation of prostate cancer magnetic resonance images, and the general network ResNet 50, Inception -V4 compares network performance. RESULTS: Based on the training samples of magnetic resonance images of 500 prostate cancer patients, a set of 3D AlexNet with simple structure and excellent performance was established through adaptive improvement on the basis of classic AlexNet. The accuracy rate was as high as 0.921, the specificity was 0.896, and the sensitivity It is 0.902 and the area under the receiver operating characteristic curve (AUC) is 0.964. The Mean Absolute Distance (MAD) between the segmentation result and the medical expert's gold standard is 0.356 mm, and the Hausdorff distance (HD) is 1.024 mm, the Dice similarity coefficient is 0.9768. CONCLUSION: The improved 3D AlexNet can automatically complete the structured segmentation of prostate magnetic resonance images. Compared with traditional segmentation methods and depth segmentation methods, the performance of the 3D AlexNet network is superior in terms of training time and parameter amount, or network performance evaluation. Compared with the algorithm, it proves the effectiveness of this method.</t>
  </si>
  <si>
    <t>Deep learning-based model for detecting 2019 novel coronavirus pneumonia on high-resolution computed tomography</t>
  </si>
  <si>
    <t>Computed tomography (CT) is the preferred imaging method for diagnosing 2019 novel coronavirus (COVID19) pneumonia. We aimed to construct a system based on deep learning for detecting COVID-19 pneumonia on high resolution CT. For model development and validation, 46,096 anonymous images from 106 admitted patients, including 51 patients of laboratory confirmed COVID-19 pneumonia and 55 control patients of other diseases in Renmin Hospital of Wuhan University were retrospectively collected. Twenty-seven prospective consecutive patients in Renmin Hospital of Wuhan University were collected to evaluate the efficiency of radiologists against 2019-CoV pneumonia with that of the model. An external test was conducted in Qianjiang Central Hospital to estimate the system's robustness. The model achieved a per-patient accuracy of 95.24% and a per-image accuracy of 98.85% in internal retrospective dataset. For 27 internal prospective patients, the system achieved a comparable performance to that of expert radiologist. In external dataset, it achieved an accuracy of 96%. With the assistance of the model, the reading time of radiologists was greatly decreased by 65%. The deep learning model showed a comparable performance with expert radiologist, and greatly improved the efficiency of radiologists in clinical practice.</t>
  </si>
  <si>
    <t>10.1016/j.cmpb.2020.105329</t>
  </si>
  <si>
    <t>A review of thyroid gland segmentation and thyroid nodule segmentation methods for medical ultrasound images</t>
  </si>
  <si>
    <t>Background and objective Thyroid image segmentation is an indispensable part in computer-aided diagnosis systems and medical image diagnoses of thyroid diseases. There have been dozens of studies on thyroid gland segmentation and thyroid nodule segmentation in ultrasound images. The aim of this work is to categorize and review the thyroid gland segmentation and thyroid nodule segmentation methods in medical ultrasound. Methods This work proposes a categorization approach of thyroid gland segmentation and thyroid nodule segmentation methods according to the theoretical bases of segmentation methods. The segmentation methods are categorized into four groups, including contour and shape based methods, region based methods, machine and deep learning methods and hybrid methods. The representative articles are reviewed with detailed descriptions of methods and analyses of correlations between methods. The evaluation metrics for the reviewed segmentation methods are named uniformly in this work. The segmentation performance results using the uniformly named evaluation metrics are compared. Results After careful investigation, 28 representative papers are selected for comprehensive analyses and comparisons in this review. The dominant thyroid gland segmentation methods are machine and deep learning methods. The training of massive data makes these models have better segmentation performance and robustness. But deep learning models usually require plenty of marked training data and long training time. For thyroid nodule segmentation, the most common methods are contour and shape based methods, which have good segmentation performance. However, most of them are tested on small datasets. Conclusions Based on the comprehensive consideration of application scenario, image features, method practicability and segmentation performance, the appropriate segmentation method for specific situation can be selected. Furthermore, several limitations of current thyroid ultrasound image segmentation methods are presented, which may be overcome in future studies, such as the segmentation of pathological or abnormal thyroid glands, identification of the specific nodular diseases, and the standard thyroid ultrasound image datasets.</t>
  </si>
  <si>
    <t>Ultra-Low-Dose (18)F-Florbetaben Amyloid PET Imaging Using Deep Learning with Multi-Contrast MRI Inputs</t>
  </si>
  <si>
    <t>Purpose To reduce radiotracer requirements for amyloid PET/MRI without sacrificing diagnostic quality by using deep learning methods. Materials and Methods Forty data sets from 39 patients (mean age ± standard deviation [SD], 67 years ± 8), including 16 male patients and 23 female patients (mean age, 66 years ± 6 and 68 years ± 9, respectively), who underwent simultaneous amyloid (fluorine 18 [(18)F]-florbetaben) PET/MRI examinations were acquired from March 2016 through October 2017 and retrospectively analyzed. One hundredth of the raw list-mode PET data were randomly chosen to simulate a low-dose (1%) acquisition. Convolutional neural networks were implemented with low-dose PET and multiple MR images (PET-plus-MR model) or with low-dose PET alone (PET-only) as inputs to predict full-dose PET images. Quality of the synthesized images was evaluated while Bland-Altman plots assessed the agreement of regional standard uptake value ratios (SUVRs) between image types. Two readers scored image quality on a five-point scale (5 = excellent) and determined amyloid status (positive or negative). Statistical analyses were carried out to assess the difference of image quality metrics and reader agreement and to determine confidence intervals (CIs) for reading results. Results The synthesized images (especially from the PET-plus-MR model) showed marked improvement on all quality metrics compared with the low-dose image. All PET-plus-MR images scored 3 or higher, with proportions of images rated greater than 3 similar to those for the full-dose images (-10% difference [eight of 80 readings], 95% CI: -15%, -5%). Accuracy for amyloid status was high (71 of 80 readings [89%]) and similar to intrareader reproducibility of full-dose images (73 of 80 [91%]). The PET-plus-MR model also had the smallest mean and variance for SUVR difference to full-dose images. Conclusion Simultaneously acquired MRI and ultra-low-dose PET data can be used to synthesize full-dose-like amyloid PET images. © RSNA, 2018 Online supplemental material is available for this article. See also the editorial by Catana in this issue.</t>
  </si>
  <si>
    <t>K. T. Chen, E. Gong, F. B. de Carvalho Macruz, J. Xu, A. Boumis, M. Khalighi, K. L. Poston, S. J. Sha, M. D. Greicius, E. Mormino, J. M. Pauly, S. Srinivas and G. Zaharchuk</t>
  </si>
  <si>
    <t>Deep-learning-based human motion tracking for rehabilitation applications using 3D image features</t>
  </si>
  <si>
    <t>Motion rehabilitation is increasingly required owing to an aging population and suffering of stroke, which means human motion analysis must be valued. Based on the concept mentioned above, a deep-learning-based system is proposed to track human motion based on three-dimensional (3D) images in this work; meanwhile, the features of traditional red green blue (RGB) images, known as two-dimensional (2D) images, were used as a comparison. The results indicate that 3D images have an advantage over 2D images due to the information of spatial relationships, which implies that the proposed system can be a potential technology for human motion analysis applications.</t>
  </si>
  <si>
    <t>Self-supervised learning for medical image analysis using image context restoration</t>
  </si>
  <si>
    <t>Machine learning, particularly deep learning has boosted medical image analysis over the past years. Training a good model based on deep learning requires large amount of labelled data. However, it is often difficult to obtain a sufficient number of labelled images for training. In many scenarios the dataset in question consists of more unlabelled images than labelled ones. Therefore, boosting the performance of machine learning models by using unlabelled as well as labelled data is an important but challenging problem. Self-supervised learning presents one possible solution to this problem. However, existing self-supervised learning strategies applicable to medical images cannot result in significant performance improvement. Therefore, they often lead to only marginal improvements. In this paper, we propose a novel self-supervised learning strategy based on context restoration in order to better exploit unlabelled images. The context restoration strategy has three major features: 1) it learns semantic image features; 2) these image features are useful for different types of subsequent image analysis tasks; and 3) its implementation is simple. We validate the context restoration strategy in three common problems in medical imaging: classification, localization, and segmentation. For classification, we apply and test it to scan plane detection in fetal 2D ultrasound images; to localise abdominal organs in CT images; and to segment brain tumours in multi-modal MR images. In all three cases, self-supervised learning based on context restoration learns useful semantic features and lead to improved machine learning models for the above tasks.</t>
  </si>
  <si>
    <t>Fully automatic acute ischemic lesion segmentation in DWI using convolutional neural networks</t>
  </si>
  <si>
    <t>Stroke is an acute cerebral vascular disease, which is likely to cause long-term disabilities and death. Acute ischemic lesions occur in most stroke patients. These lesions are treatable under accurate diagnosis and treatments. Although diffusion-weighted MR imaging (DWI) is sensitive to these lesions, localizing and quantifying them manually is costly and challenging for clinicians. In this paper, we propose a novel framework to automatically segment stroke lesions in DWI. Our framework consists of two convolutional neural networks (CNNs): one is an ensemble of two DeconvNets (Noh et al., 2015), which is the EDD Net; the second CNN is the multi-scale convolutional label evaluation net (MUSCLE Net), which aims to evaluate the lesions detected by the EDD Net in order to remove potential false positives. To the best of our knowledge, it is the first attempt to solve this problem and using both CNNs achieves very good results. Furthermore, we study the network architectures and key configurations in detail to ensure the best performance. It is validated on a large dataset comprising clinical acquired DW images from 741 subjects. A mean accuracy of Dice coefficient obtained is 0.67 in total. The mean Dice scores based on subjects with only small and large lesions are 0.61 and 0.83, respectively. The lesion detection rate achieved is 0.94.</t>
  </si>
  <si>
    <t>L. Chen, P. Bentley and D. Rueckert</t>
  </si>
  <si>
    <t>Synthetic CT generation from CBCT images via deep learning</t>
  </si>
  <si>
    <t>PURPOSE: Cone-beam computed tomography (CBCT) scanning is used daily or weekly (i.e., on-treatment CBCT) for accurate patient setup in image-guided radiotherapy. However, inaccuracy of CT numbers prevents CBCT from performing advanced tasks such as dose calculation and treatment planning. Motivated by the promising performance of deep learning in medical imaging, we propose a deep U-net-based approach that synthesizes CT-like images with accurate numbers from planning CT, while keeping the same anatomical structure as on-treatment CBCT. METHODS: We formulated the CT synthesis problem under a deep learning framework, where a deep U-net architecture was used to take advantage of the anatomical structure of on-treatment CBCT and image intensity information of planning CT. U-net was chosen because it exploits both global and local features in the image spatial domain, matching our task to suppress global scattering artifacts and local artifacts such as noise in CBCT. To train the synthetic CT generation U-net (sCTU-net), we include on-treatment CBCT and initial planning CT of 37 patients (30 for training, seven for validation) as the input. Additional replanning CT images acquired on the same day as CBCT after deformable registration are utilized as the corresponding reference. To demonstrate the effectiveness of the proposed sCTU-net, we use another seven independent patient cases (560 slices) for testing. RESULTS: We quantitatively compared the resulting synthetic CT (sCT) with the original CBCT image using deformed same-day pCT images as reference. The averaged accuracy measured by mean absolute error (MAE) between sCT and reference CT (rCT) on testing data is 18.98 HU, while MAE between CBCT and rCT is 44.38 HU. CONCLUSIONS: The proposed sCTU-net can synthesize CT-quality images with accurate CT numbers from on-treatment CBCT and planning CT. This potentially enables advanced CBCT applications for adaptive treatment planning.</t>
  </si>
  <si>
    <t>L. Chen, X. Liang, C. Shen, S. Jiang and J. Wang</t>
  </si>
  <si>
    <t>Automatic PET cervical tumor segmentation by combining deep learning and anatomic prior</t>
  </si>
  <si>
    <t>Cervical tumor segmentation on 3D (18)FDG PET images is a challenging task because of the proximity between cervix and bladder, both of which can uptake (18)FDG tracers. This problem makes traditional segmentation based on intensity variation methods ineffective and reduces overall accuracy. Based on anatomy knowledge, including 'roundness' of the cervical tumor and relative positioning between the bladder and cervix, we propose a supervised machine learning method that integrates convolutional neural network (CNN) with this prior information to segment cervical tumors. First, we constructed a spatial information embedded CNN model (S-CNN) that maps the PET image to its corresponding label map, in which bladder, other normal tissue, and cervical tumor pixels are labeled as  -1, 0, and 1, respectively. Then, we obtained the final segmentation from the output of the network by a prior information constrained (PIC) thresholding method. We evaluated the performance of the PIC-S-CNN method on PET images from 50 cervical cancer patients. The PIC-S-CNN method achieved a mean Dice similarity coefficient (DSC) of 0.84 while region-growing, Chan-Vese, graph-cut, fully convolutional neural networks (FCN) based FCN-8 stride, and FCN-2 stride, and U-net achieved 0.55, 0.64, 0.67, 0.71, 0.77, and 0.80 mean DSC, respectively. The proposed PIC-S-CNN provides a more accurate way for segmenting cervical tumors on 3D PET images. Our results suggest that combining deep learning and anatomic prior information may improve segmentation accuracy for cervical tumors.</t>
  </si>
  <si>
    <t>A trusted medical image super-resolution method based on feedback adaptive weighted dense network</t>
  </si>
  <si>
    <t>High-resolution (HR) medical images are preferred in clinical diagnoses and subsequent analysis. However, the acquisition of HR medical images is easily affected by hardware devices. As an effective and trusted alternative method, the super-resolution (SR) technology is introduced to improve the image resolution. Compared with traditional SR methods, the deep learning-based SR methods can obtain more clear and trusted HR images. In this paper, we propose a trusted deep convolutional neural network-based SR method named feedback adaptive weighted dense network (FAWDN) for HR medical image reconstruction. Specifically, the proposed FAWDN can transmit the information of the output image to the low-level features by a feedback connection. To explore advanced feature representation and reduce the feature redundancy in dense blocks, an adaptive weighted dense block (AWDB) is introduced to adaptively select the informative features. Experimental results demonstrate that our FAWDN outperforms the state-of-the-art image SR methods and can obtain more clear and trusted medical images than comparative methods.</t>
  </si>
  <si>
    <t>[Development of a Deep Learning Algorithm for Classification of Neuroblastoma]</t>
  </si>
  <si>
    <t>In this paper, the classification and location of neuroblastoma in NMR images are realized by using Deep Neural Network(CNN) algorithm as the core technology. The module is integrated to realize the development of computer-aided diagnostic software. It is used to make up for the gap in the field of intelligent identification and accurate positioning of neuroblastoma in the current nuclear magnetic resonance detection technology, effectively reduce the work intensity of doctors reading films, and further promote the clinical application and technical development of nuclear magnetic resonance detection technology in the diagnosis of neuroblastoma.</t>
  </si>
  <si>
    <t>Zhongguo Yi Liao Qi Xie Za Zhi</t>
  </si>
  <si>
    <t>Combining many-objective radiomics and 3D convolutional neural network through evidential reasoning to predict lymph node metastasis in head and neck cancer</t>
  </si>
  <si>
    <t>Lymph node metastasis (LNM) is a significant prognostic factor in patients with head and neck cancer, and the ability to predict it accurately is essential to optimizing treatment. Positron emission tomography (PET) and computed tomography (CT) imaging are routinely used to identify LNM. Although large or highly active lymph nodes (LNs) have a high probability of being positive, identifying small or less reactive LNs is challenging. The accuracy of LNM identification strongly depends on the physician's experience, so an automatic prediction model for LNM based on CT and PET images is warranted to assist LMN identification across care providers and facilities. Radiomics and deep learning are the two promising imaging-based strategies for node malignancy prediction. Radiomics models are built based on handcrafted features, while deep learning learns the features automatically. To build a more reliable model, we proposed a hybrid predictive model that takes advantages of both radiomics and deep learning based strategies. We designed a new many-objective radiomics (MaO-radiomics) model and a 3D convolutional neural network (3D-CNN) that fully utilizes spatial contextual information, and we fused their outputs through an evidential reasoning (ER) approach. We evaluated the performance of the hybrid method for classifying normal, suspicious and involved LNs. The hybrid method achieves an accuracy (ACC) of 0.88 while XmasNet and Radiomics methods achieve 0.81 and 0.75, respectively. The hybrid method provides a more accurate way for predicting LNM using PET and CT.</t>
  </si>
  <si>
    <t>Diagnostic performance of deep learning-based vascular extraction and stenosis detection technique for coronary artery disease</t>
  </si>
  <si>
    <t>OBJECTIVE: To investigate the diagnostic performance of deep learning (DL)-based vascular extraction and stenosis detection technology in assessing coronary artery disease (CAD). METHODS: The diagnostic performance of DL technology was evaluated by retrospective analysis of coronary computed tomography angiography in 124 suspected CAD patients, using invasive coronary angiography as reference standard. Lumen diameter stenosis ≥50% was considered obstructive, and the diagnostic performances were evaluated at per-patient, per-vessel and per-segment levels. The diagnostic performances between DL model and reader model were compared by the areas under the receiver operating characteristics curves (AUCs). RESULTS: In patient-based analysis, AUC of 0.78 was obtained by DL model to detect obstructive CAD [sensitivity of 94%, specificity of 63%, positive predictive value of 94%, and negative predictive value of 59%], While AUC by reader model was 0.74 (sensitivity of 97%, specificity of 50%, positive predictive value of 93%, negative predictive value of 73%). In vessel-based analysis, the AUCs of DL model and reader model were 0.87 and 0.89 respectively. In segment-based analysis, the AUCs of 0.84 and 0.89 were obtained by DL model and reader model respectively. It took 0.47 min to analyze all segments per patient by DL model, which is significantly less than reader model (29.65 min) (p &lt; 0.001). CONCLUSION: The DL technology can accurately and effectively identify obstructive CAD, with less time-consuming, and it could be a reliable diagnostic tool to detect CAD. ADVANCES IN KNOWLEDGE: The DL technology has valuable prospect with the diagnostic ability to detect CAD.</t>
  </si>
  <si>
    <t>Deep Learning to Classify Radiology Free-Text Reports</t>
  </si>
  <si>
    <t>Purpose To evaluate the performance of a deep learning convolutional neural network (CNN) model compared with a traditional natural language processing (NLP) model in extracting pulmonary embolism (PE) findings from thoracic computed tomography (CT) reports from two institutions. Materials and Methods Contrast material-enhanced CT examinations of the chest performed between January 1, 1998, and January 1, 2016, were selected. Annotations by two human radiologists were made for three categories: the presence, chronicity, and location of PE. Classification of performance of a CNN model with an unsupervised learning algorithm for obtaining vector representations of words was compared with the open-source application PeFinder. Sensitivity, specificity, accuracy, and F1 scores for both the CNN model and PeFinder in the internal and external validation sets were determined. Results The CNN model demonstrated an accuracy of 99% and an area under the curve value of 0.97. For internal validation report data, the CNN model had a statistically significant larger F1 score (0.938) than did PeFinder (0.867) when classifying findings as either PE positive or PE negative, but no significant difference in sensitivity, specificity, or accuracy was found. For external validation report data, no statistical difference between the performance of the CNN model and PeFinder was found. Conclusion A deep learning CNN model can classify radiology free-text reports with accuracy equivalent to or beyond that of an existing traditional NLP model. (©) RSNA, 2017 Online supplemental material is available for this article.</t>
  </si>
  <si>
    <t>M. C. Chen, R. L. Ball, L. Yang, N. Moradzadeh, B. E. Chapman, D. B. Larson, C. P. Langlotz, T. J. Amrhein and M. P. Lungren</t>
  </si>
  <si>
    <t>10.1016/j.acra.2019.08.010</t>
  </si>
  <si>
    <t>Essential Elements of Natural Language Processing: What the Radiologist Should Know</t>
  </si>
  <si>
    <t>Natural language is ubiquitous in the workflow of medical imaging. Radiologists create and consume free text in their daily work, some of which can be amenable to enhancements through automatic processing. Recent advancements in deep learning and artificial intelligence have had a significant positive impact on natural language processing (NLP). This article discusses the history of how researchers have extracted data and encoded natural language information for analytical processing, starting from NLP's humble origins in hand-curated, linguistic rules. The evolution of medical NLP including vectorization, word embedding, classification, as well as its use in automated speech recognition, are also explored. Finally, the article will discuss the role of machine learning and neural networks in the context of significant, if incremental, improvements in NLP.</t>
  </si>
  <si>
    <t>P. H. Chen</t>
  </si>
  <si>
    <t>Accurate Classification of Diminutive Colorectal Polyps Using Computer-Aided Analysis</t>
  </si>
  <si>
    <t>BACKGROUND &amp; AIMS: Narrow-band imaging is an image-enhanced form of endoscopy used to observed microstructures and capillaries of the mucosal epithelium which allows for real-time prediction of histologic features of colorectal polyps. However, narrow-band imaging expertise is required to differentiate hyperplastic from neoplastic polyps with high levels of accuracy. We developed and tested a system of computer-aided diagnosis with a deep neural network (DNN-CAD) to analyze narrow-band images of diminutive colorectal polyps. METHODS: We collected 1476 images of neoplastic polyps and 681 images of hyperplastic polyps, obtained from the picture archiving and communications system database in a tertiary hospital in Taiwan. Histologic findings from the polyps were also collected and used as the reference standard. The images and data were used to train the DNN. A test set of images (96 hyperplastic and 188 neoplastic polyps, smaller than 5 mm), obtained from patients who underwent colonoscopies from March 2017 through August 2017, was then used to test the diagnostic ability of the DNN-CAD vs endoscopists (2 expert and 4 novice), who were asked to classify the images of the test set as neoplastic or hyperplastic. Their classifications were compared with findings from histologic analysis. The primary outcome measures were diagnostic accuracy, sensitivity, specificity, positive predictive value (PPV), negative predictive value (NPV), and diagnostic time. The accuracy, sensitivity, specificity, PPV, NPV, and diagnostic time were compared among DNN-CAD, the novice endoscopists, and the expert endoscopists. The study was designed to detect a difference of 10% in accuracy by a 2-sided McNemar test. RESULTS: In the test set, the DNN-CAD identified neoplastic or hyperplastic polyps with 96.3% sensitivity, 78.1% specificity, a PPV of 89.6%, and a NPV of 91.5%. Fewer than half of the novice endoscopists classified polyps with a NPV of 90% (their NPVs ranged from 73.9% to 84.0%). DNN-CAD classified polyps as neoplastic or hyperplastic in 0.45 ± 0.07 seconds-shorter than the time required by experts (1.54 ± 1.30 seconds) and nonexperts (1.77 ± 1.37 seconds) (both P &lt; .001). DNN-CAD classified polyps with perfect intra-observer agreement (kappa score of 1). There was a low level of intra-observer and inter-observer agreement in classification among endoscopists. CONCLUSIONS: We developed a system called DNN-CAD to identify neoplastic or hyperplastic colorectal polyps less than 5 mm. The system classified polyps with a PPV of 89.6%, and a NPV of 91.5%, and in a shorter time than endoscopists. This deep-learning model has potential for not only endoscopic image recognition but for other forms of medical image analysis, including sonography, computed tomography, and magnetic resonance images.</t>
  </si>
  <si>
    <t>P. J. Chen, M. C. Lin, M. J. Lai, J. C. Lin, H. H. Lu and V. S. Tseng</t>
  </si>
  <si>
    <t>Gastroenterology</t>
  </si>
  <si>
    <t>A Transfer Learning Approach for Malignant Prostate Lesion Detection on Multiparametric MRI</t>
  </si>
  <si>
    <t>PURPOSE: In prostate focal therapy, it is important to accurately localize malignant lesions in order to increase biological effect of the tumor region while achieving a reduction in dose to noncancerous tissue. In this work, we proposed a transfer learning-based deep learning approach, for classification of prostate lesions in multiparametric magnetic resonance imaging images. METHODS: Magnetic resonance imaging images were preprocessed to remove bias artifact and normalize the data. Two state-of-the-art deep convolutional neural network models, InceptionV3 and VGG-16, were pretrained on ImageNet data set and retuned on the multiparametric magnetic resonance imaging data set. As lesion appearances differ by the prostate zone that it resides in, separate models were trained. Ensembling was performed on each prostate zone to improve area under the curve. In addition, the predictions from lesions on each prostate zone were scaled separately to increase the area under the curve for all lesions combined. RESULTS: The models were tuned to produce the highest area under the curve on validation data set. When it was applied to the unseen test data set, the transferred InceptionV3 model achieved an area under the curve of 0.81 and the transferred VGG-16 model achieved an area under the curve of 0.83. This was the third best score among the 72 methods from 33 participating groups in ProstateX competition. CONCLUSION: The transfer learning approach is a promising method for prostate cancer detection on multiparametric magnetic resonance imaging images. Features learned from ImageNet data set can be useful for medical images.</t>
  </si>
  <si>
    <t>Q. Chen, S. Hu, P. Long, F. Lu, Y. Shi and Y. Li</t>
  </si>
  <si>
    <t>Technol Cancer Res Treat</t>
  </si>
  <si>
    <t>A Deep Learning-Based Model for Classification of Different Subtypes of Subcortical Vascular Cognitive Impairment With FLAIR</t>
  </si>
  <si>
    <t>Deep learning methods have shown their great capability of extracting high-level features from image and have been used for effective medical imaging classification recently. However, training samples of medical images are restricted by the amount of patients as well as medical ethics issues, making it hard to train the neural networks. In this paper, we propose a novel end-to-end three-dimensional (3D) attention-based residual neural network (ResNet) architecture to classify different subtypes of subcortical vascular cognitive impairment (SVCI) with single-shot T2-weighted fluid-attenuated inversion recovery (FLAIR) sequence. Our aim is to develop a convolutional neural network to provide a convenient and effective way to assist doctors in the diagnosis and early treatment of the different subtypes of SVCI. The experiment data in this paper are collected from 242 patients from the Neurology Department of Renji Hospital, including 78 amnestic mild cognitive impairment (a-MCI), 70 nonamnestic MCI (na-MCI), and 94 no cognitive impairment (NCI). The accuracy of our proposed model has reached 98.6% on a training set and 97.3% on a validation set. The test accuracy on an untrained testing set reaches 93.8% with robustness. Our proposed method can provide a convenient and effective way to assist doctors in the diagnosis and early treatment.</t>
  </si>
  <si>
    <t>10.7507/1001-5515.201609047</t>
  </si>
  <si>
    <t>[Research progress of computer-aided diagnosis in cancer based on deep learning and medical imaging]</t>
  </si>
  <si>
    <t>The dramatically increasing high-resolution medical images provide a great deal of useful information for cancer diagnosis, and play an essential role in assisting radiologists by offering more objective decisions. In order to utilize the information accurately and efficiently, researchers are focusing on computer-aided diagnosis (CAD) in cancer imaging. In recent years, deep learning as a state-of-the-art machine learning technique has contributed to a great progress in this field. This review covers the reports about deep learning based CAD systems in cancer imaging. We found that deep learning has outperformed conventional machine learning techniques in both tumor segmentation and classification, and that the technique may bring about a breakthrough in CAD of cancer with great prospect in the future clinical practice.</t>
  </si>
  <si>
    <t>Sheng Wu Yi Xue Gong Cheng Xue Za Zhi</t>
  </si>
  <si>
    <t>Technical Note: U-net-generated synthetic CT images for magnetic resonance imaging-only prostate intensity-modulated radiation therapy treatment planning</t>
  </si>
  <si>
    <t>PURPOSE: Clinical implementation of magnetic resonance imaging (MRI)-only radiotherapy requires a method to derive synthetic CT image (S-CT) for dose calculation. This study investigated the feasibility of building a deep convolutional neural network for MRI-based S-CT generation and evaluated the dosimetric accuracy on prostate IMRT planning. METHODS: A paired CT and T2-weighted MR images were acquired from each of 51 prostate cancer patients. Fifteen pairs were randomly chosen as tested set and the remaining 36 pairs as training set. The training subjects were augmented by applying artificial deformations and feed to a two-dimensional U-net which contains 23 convolutional layers and 25.29 million trainable parameters. The U-net represents a nonlinear function with input an MR slice and output the corresponding S-CT slice. The mean absolute error (MAE) of Hounsfield unit (HU) between the true CT and S-CT images was used to evaluate the HU estimation accuracy. IMRT plans with dose 79.2 Gy prescribed to the PTV were applied using the true CT images. The true CT images then were replaced by the S-CT images and the dose matrices were recalculated on the same plan and compared to the one obtained from the true CT using gamma index analysis and absolute point dose discrepancy. RESULTS: The U-net was trained from scratch in 58.67 h using a GP100-GPU. The computation time for generating a new S-CT volume image was 3.84-7.65 s. Within body, the (mean ± SD) of MAE was (29.96 ± 4.87) HU. The 1%/1 mm and 2%/2 mm gamma pass rates were over 98.03% and 99.36% respectively. The DVH parameters discrepancy was less than 0.87% and the maximum point dose discrepancy within PTV was less than 1.01% respect to the prescription. CONCLUSION: The U-net can generate S-CT images from conventional MR image within seconds with high dosimetric accuracy for prostate IMRT plan.</t>
  </si>
  <si>
    <t>S. Chen, A. Qin, D. Zhou and D. Yan</t>
  </si>
  <si>
    <t>Automatic multi-organ segmentation in dual-energy CT (DECT) with dedicated 3D fully convolutional DECT networks</t>
  </si>
  <si>
    <t>PURPOSE: Dual-energy computed tomography (DECT) has shown great potential in many clinical applications. By incorporating the information from two different energy spectra, DECT provides higher contrast and reveals more material differences of tissues compared to conventional single-energy CT (SECT). Recent research shows that automatic multi-organ segmentation of DECT data can improve DECT clinical applications. However, most segmentation methods are designed for SECT, while DECT has been significantly less pronounced in research. Therefore, a novel approach is required that is able to take full advantage of the extra information provided by DECT. METHODS: In the scope of this work, we proposed four three-dimensional (3D) fully convolutional neural network algorithms for the automatic segmentation of DECT data. We incorporated the extra energy information differently and embedded the fusion of information in each of the network architectures. RESULTS: Quantitative evaluation using 45 thorax/abdomen DECT datasets acquired with a clinical dual-source CT system was investigated. The segmentation of six thoracic and abdominal organs (left and right lungs, liver, spleen, and left and right kidneys) were evaluated using a fivefold cross-validation strategy. In all of the tests, we achieved the best average Dice coefficients of 98% for the right lung, 98% for the left lung, 96% for the liver, 92% for the spleen, 95% for the right kidney, 93% for the left kidney, respectively. The network architectures exploit dual-energy spectra and outperform deep learning for SECT. CONCLUSIONS: The results of the cross-validation show that our methods are feasible and promising. Successful tests on special clinical cases reveal that our methods have high adaptability in the practical application.</t>
  </si>
  <si>
    <t>10.1109/rbme.2018.2798701</t>
  </si>
  <si>
    <t>A Survey of Graph Cuts/Graph Search Based Medical Image Segmentation</t>
  </si>
  <si>
    <t>Medical image segmentation is a fundamental and challenging problem for analyzing medical images. Among different existing medical image segmentation methods, graph-based approaches are relatively new and show good features in clinical applications. In the graph-based method, pixels or regions in the original image are interpreted into nodes in a graph. By considering Markov random field to model the contexture information of the image, the medical image segmentation problem can be transformed into a graph-based energy minimization problem. This problem can be solved by the use of minimum s-t cut/ maximum flow algorithm. This review is devoted to cut-based medical segmentation methods, including graph cuts and graph search for region and surface segmentation. Different varieties of cut-based methods, including graph-cuts-based methods, model integrated graph cuts methods, graph-search-based methods, and graph search/graph cuts based methods, are systematically reviewed. Graph cuts and graph search with deep learning technique are also discussed.</t>
  </si>
  <si>
    <t>Deep learning for the determination of myometrial invasion depth and automatic lesion identification in endometrial cancer MR imaging: a preliminary study in a single institution</t>
  </si>
  <si>
    <t>OBJECTIVE: To determine the diagnostic performance of a deep learning (DL) model in evaluating myometrial invasion (MI) depth on T2-weighted imaging (T2WI)-based endometrial cancer (EC) MR imaging (ECM). METHODS: We retrospectively enrolled 530 patients with pathologically proven EC at our institution between January 1, 2013, and December 31, 2017. All imaging data were reviewed on picture archiving and communication systems (PACS) server. Both sagittal and coronal T2WI-based MR images were used for lesion area determination. All MR images were divided into two groups: deep (more than 50%) and shallow (less than 50%) MI based on their pathological diagnosis. We trained a detection model based on YOLOv3 algorithm to locate the lesion area on ECM. Then, the detected regions were fed into a classification model based on DL network to identify MI depth automatically. RESULTS: In the testing dataset, the trained model detected lesion regions with an average precision rate of 77.14% and 86.67% in both sagittal and coronal images, respectively. The classification model yielded an accuracy of 84.78%, a sensitivity of 66.67%, a specificity of 87.50%, a positive predictive value of 44.44%, and a negative predictive value of 94.59% in determining deep MI. The radiologists and trained network model together yielded an accuracy of 86.2%, a sensitivity of 77.8%, a specificity of 87.5%, a positive predictive value of 48.3%, and a negative predictive value of 96.3%. CONCLUSION: In this study, the DL network model derived from MR imaging provided a competitive, time-efficient diagnostic performance in MI depth identification. KEY POINTS: • The models established with the deep learning method could help improve the diagnostic confidence and performance of MI identification based on endometrial cancer MR imaging. • The models enabled the classification of endometrial cancer MR images to the two categories with a sensitivity of 0.67, a specificity of 0.88, and an accuracy of 0.85. • Using the detected lesion region to evaluate myometrial invasion depth could remove redundant information in the image and provide more effective features.</t>
  </si>
  <si>
    <t>Automatic Tracking of Muscle Cross-Sectional Area Using Convolutional Neural Networks with Ultrasound</t>
  </si>
  <si>
    <t>OBJECTIVES: The purpose of this study was to develop an automatic tracking method for the muscle cross-sectional area (CSA) on ultrasound (US) images using a convolutional neural network (CNN). The performance of the proposed method was evaluated and compared with that of the state-of-the art muscle segmentation method. METHODS: A real-time US image sequence was obtained from the rectus femoris muscle during voluntary contraction. A CNN was built to segment the rectus femoris muscle and calculate the CSA in each US frame. This network consisted of 2 stages: feature extraction and score map reconstruction. The training of the network was divided into 3 steps with output score map resolutions of one-fourth, one-half, and all of the original image. We evaluated the segmentation performance of our method with 5-fold cross-validation. The mean precision, recall, and dice similarity score were calculated. RESULTS: The mean precision, recall, and Dice's coefficient (DSC) ± SD were 0.936 ± 0.029, 0.882 ± 0.045, and 0.907 ± 0.023, respectively. Compared with the state-of-the-art muscle segmentation method (constrained mutual-information-based free-form deformation), the proposed method using CNN showed high performance. CONCLUSIONS: The automated method proposed in this study provides an accurate and efficient approach to the estimation of the muscle CSA during muscle contraction.</t>
  </si>
  <si>
    <t>Automatic Prediction of MGMT Status in Glioblastoma via Deep Learning-Based MR Image Analysis</t>
  </si>
  <si>
    <t>Methylation of the O(6)-methylguanine methyltransferase (MGMT) gene promoter is correlated with the effectiveness of the current standard of care in glioblastoma patients. In this study, a deep learning pipeline is designed for automatic prediction of MGMT status in 87 glioblastoma patients with contrast-enhanced T1W images and 66 with fluid-attenuated inversion recovery(FLAIR) images. The end-to-end pipeline completes both tumor segmentation and status classification. The better tumor segmentation performance comes from FLAIR images (Dice score, 0.897 ± 0.007) compared to contrast-enhanced T1WI (Dice score, 0.828 ± 0.108), and the better status prediction is also from the FLAIR images (accuracy, 0.827 ± 0.056; recall, 0.852 ± 0.080; precision, 0.821 ± 0.022; and F (1) score, 0.836 ± 0.072). This proposed pipeline not only saves the time in tumor annotation and avoids interrater variability in glioma segmentation but also achieves good prediction of MGMT methylation status. It would help find molecular biomarkers from routine medical images and further facilitate treatment planning.</t>
  </si>
  <si>
    <t>Biomed Res Int</t>
  </si>
  <si>
    <t>High-resolution 3D MR Fingerprinting using parallel imaging and deep learning</t>
  </si>
  <si>
    <t>MR Fingerprinting (MRF) is a relatively new imaging framework capable of providing accurate and simultaneous quantification of multiple tissue properties for improved tissue characterization and disease diagnosis. While 2D MRF has been widely available, extending the method to 3D MRF has been an actively pursued area of research as a 3D approach can provide a higher spatial resolution and better tissue characterization with an inherently higher signal-to-noise ratio. However, 3D MRF with a high spatial resolution requires lengthy acquisition times, especially for a large volume, making it impractical for most clinical applications. In this study, a high-resolution 3D MR Fingerprinting technique, combining parallel imaging and deep learning, was developed for rapid and simultaneous quantification of T(1) and T(2) relaxation times. Parallel imaging was first applied along the partition-encoding direction to reduce the amount of acquired data. An advanced convolutional neural network was then integrated with the MRF framework to extract features from the MRF signal evolution for improved tissue characterization and accelerated mapping. A modified 3D-MRF sequence was also developed in the study to acquire data to train the deep learning model that can be directly applied to prospectively accelerate 3D MRF scans. Our results of quantitative T(1) and T(2) maps demonstrate that improved tissue characterization can be achieved using the proposed method as compared to prior methods. With the integration of parallel imaging and deep learning techniques, whole-brain (26 × 26 × 18 cm(3)) quantitative T(1) and T(2) mapping with 1-mm isotropic resolution were achieved in ~7 min. In addition, a ~7-fold improvement in processing time to extract tissue properties was also accomplished with the deep learning approach as compared to the standard template matching method. All of these improvements make high-resolution whole-brain quantitative MR imaging feasible for clinical applications.</t>
  </si>
  <si>
    <t>Vertebrae Identification and Localization Utilizing Fully Convolutional Networks and a Hidden Markov Model</t>
  </si>
  <si>
    <t>Automated identification and localization of vertebrae in spinal computed tomography (CT) imaging is a complicated hybrid task. This task requires detecting and indexing a long sequence in a 3-D image, and both image feature extraction and sequence modeling are needed to address the problem. In this paper, the powerful fully convolutional neural network (FCN) technique performs both of these tasks simultaneously because FCNs directly encode and decode the spatial interdependence of different components in images. The key module of our proposed framework is a 3-D FCN trained in an end-to-end manner at the spine level to capture the long-range contextual information in CT volumes. The large increase in the calculation due to the full-size image inputs is alleviated by the scale-down of the inputs and the use of an auxiliary FCN to compensate for the loss of details. The composite network pipeline design enables the integration of local image details and global image patterns. Furthermore, explicit spatial and sequential constraints are imposed by the hidden Markov model (HMM) for a higher robustness and a clearer interpretation of network outputs. The proposed framework is quantitatively evaluated on the public dataset from the MICCAI 2014 Computational Challenge on Vertebrae Localization and Identification and demonstrates an identification rate (within 20 mm) of 94.67%, a mean identification rate of 87.97%, and a mean error distance of 2.56 mm on the test set, thus achieving the highest performance reported on this dataset.</t>
  </si>
  <si>
    <t>Quantitative Assessment of the Effects of Compression on Deep Learning in Digital Pathology Image Analysis</t>
  </si>
  <si>
    <t>PURPOSE: Deep learning (DL), a class of approaches involving self-learned discriminative features, is increasingly being applied to digital pathology (DP) images for tasks such as disease identification and segmentation of tissue primitives (eg, nuclei, glands, lymphocytes). One application of DP is in telepathology, which involves digitally transmitting DP slides over the Internet for secondary diagnosis by an expert at a remote location. Unfortunately, the places benefiting most from telepathology often have poor Internet quality, resulting in prohibitive transmission times of DP images. Image compression may help, but the degree to which image compression affects performance of DL algorithms has been largely unexplored. METHODS: We investigated the effects of image compression on the performance of DL strategies in the context of 3 representative use cases involving segmentation of nuclei (n = 137), segmentation of lymph node metastasis (n = 380), and lymphocyte detection (n = 100). For each use case, test images at various levels of compression (JPEG compression quality score ranging from 1-100 and JPEG2000 compression peak signal-to-noise ratio ranging from 18-100 dB) were evaluated by a DL classifier. Performance metrics including F1 score and area under the receiver operating characteristic curve were computed at the various compression levels. RESULTS: Our results suggest that DP images can be compressed by 85% while still maintaining the performance of the DL algorithms at 95% of what is achievable without any compression. Interestingly, the maximum compression level sustainable by DL algorithms is similar to where pathologists also reported difficulties in providing accurate interpretations. CONCLUSION: Our findings seem to suggest that in low-resource settings, DP images can be significantly compressed before transmission for DL-based telepathology applications.</t>
  </si>
  <si>
    <t>Computer aided diagnosis of thyroid nodules based on the devised small-datasets multi-view ensemble learning</t>
  </si>
  <si>
    <t>With the development of deep learning, its application in diagnosis of benign and malignant thyroid nodules has been widely concerned. However, it is difficult to obtain medical images, resulting in insufficient number of data, which contradicts the large amount of data required for acquiring effective deep learning diagnostic models. A multi-view ensemble learning based on voting mechanism is proposed herein to boost the performance of the models trained by small-dataset thyroid nodule ultrasound images. The method integrates three kinds of diagnosis results which are obtained from 3-view dataset which is composed of thyroid nodule ultrasound images, medical features extracted based on U-Net output and useful features selected by mRMR from the statistical features and texture features. To obtain preliminary diagnosis results, the images are utilized for training GoogleNet. For improving the results, supplementary methods were proposed based on the medical features and the selected features. To analyze the contribution of these features and acquire two groups of diagnosis results, the designed Xgboost classifier is utilized for obtaining two groups of features respectively. Subsequently, the boosting final results are obtained through majority voting mechanism. Furthermore, the proposed method is utilized to diagnose sequence images (the images extracted by frame from videos) to solve the poor results caused by slight differences. Finally, better final results are obtained for both of the normal dataset and the sequence dataset (consisting of sequence images). Compared with the accuracies obtained by only training deep learning models with small datasets, the diagnostic accuracies of the above two datasets are improved to 92.11% and 92.54% respectively by utilizing the proposed method.</t>
  </si>
  <si>
    <t>ADHD classification by dual subspace learning using resting-state functional connectivity</t>
  </si>
  <si>
    <t>As one of the most common neurobehavioral diseases in school-age children, Attention Deficit Hyperactivity Disorder (ADHD) has been increasingly studied in recent years. But it is still a challenge problem to accurately identify ADHD patients from healthy persons. To address this issue, we propose a dual subspace classification algorithm by using individual resting-state Functional Connectivity (FC). In detail, two subspaces respectively containing ADHD and healthy control features, called as dual subspaces, are learned with several subspace measures, wherein a modified graph embedding measure is employed to enhance the intra-class relationship of these features. Therefore, given a subject (used as test data) with its FCs, the basic classification principle is to compare its projected component energy of FCs on each subspace and then predict the ADHD or control label according to the subspace with larger energy. However, this principle in practice works with low efficiency, since the dual subspaces are unstably obtained from ADHD databases of small size. Thereby, we present an ADHD classification framework by a binary hypothesis testing of test data. Here, the FCs of test data with its ADHD or control label hypothesis are employed in the discriminative FC selection of training data to promote the stability of dual subspaces. For each hypothesis, the dual subspaces are learned from the selected FCs of training data. The total projected energy of these FCs is also calculated on the subspaces. Sequentially, the energy comparison is carried out under the binary hypotheses. The ADHD or control label is finally predicted for test data with the hypothesis of larger total energy. In the experiments on ADHD-200 dataset, our method achieves a significant classification performance compared with several state-of-the-art machine learning and deep learning methods, where our accuracy is about 90 % for most of ADHD databases in the leave-one-out cross-validation test.</t>
  </si>
  <si>
    <t>Toward Automatic Detection of Radiation-Induced Cerebral Microbleeds Using a 3D Deep Residual Network</t>
  </si>
  <si>
    <t>Cerebral microbleeds, which are small focal hemorrhages in the brain that are prevalent in many diseases, are gaining increasing attention due to their potential as surrogate markers of disease burden, clinical outcomes, and delayed effects of therapy. Manual detection is laborious and automatic detection and labeling of these lesions is challenging using traditional algorithms. Inspired by recent successes of deep convolutional neural networks in computer vision, we developed a 3D deep residual network that can distinguish true microbleeds from false positive mimics of a previously developed technique based on traditional algorithms. A dataset of 73 patients with radiation-induced cerebral microbleeds scanned at 7 T with susceptibility-weighted imaging was used to train and evaluate our model. With the resulting network, we maintained 95% of the true microbleeds in 12 test patients and the average number of false positives was reduced by 89%, achieving a detection precision of 71.9%, higher than existing published methods. The likelihood score predicted by the network was also evaluated by comparing to a neuroradiologist's rating, and good correlation was observed.</t>
  </si>
  <si>
    <t>Deep multi-scale feature fusion for pancreas segmentation from CT images</t>
  </si>
  <si>
    <t>PURPOSE: Pancreas segmentation from computed tomography (CT) images is an important step in surgical procedures such as cancer detection and radiation treatment. While manual segmentation is time-consuming and operator-dependent, current computer-assisted segmentation methods are facing challenges posed by varying shapes and sizes. To address these challenges, this paper presents a multi-scale feature fusion (MsFF) model for accurate pancreas segmentation from CT images. METHODS: The proposed MsFF is built upon the well-recognized encoder-decoder framework. Firstly, in the encoder stage, the squeeze-and-excitation module is incorporated to enhance the learning of features by exploiting channel-wise independence. Secondly, a hierarchical fusion module is introduced to better utilize both low-level and high-level features to retain boundary information and make final predictions. RESULTS: The proposed MsFF is evaluated on the NIH pancreas dataset and outperforms the current state-of-the-art methods, by achieving a mean of 87.26% and 22.67% under the Dice Sorensen Coefficient and Volumetric Overlap Error, respectively. CONCLUSION: The experimental results confirm that the incorporation of squeeze-and-excitation and hierarchical fusion modules contributes to a net gain in the performance of our proposed MsFF.</t>
  </si>
  <si>
    <t>Artificial intelligence-based education assists medical students' interpretation of hip fracture</t>
  </si>
  <si>
    <t>BACKGROUND: With recent transformations in medical education, the integration of technology to improve medical students' abilities has become feasible. Artificial intelligence (AI) has impacted several aspects of healthcare. However, few studies have focused on medical education. We performed an AI-assisted education study and confirmed that AI can accelerate trainees' medical image learning. MATERIALS: We developed an AI-based medical image learning system to highlight hip fracture on a plain pelvic film. Thirty medical students were divided into a conventional (CL) group and an AI-assisted learning (AIL) group. In the CL group, the participants received a prelearning test and a postlearning test. In the AIL group, the participants received another test with AI-assisted education before the postlearning test. Then, we analyzed changes in diagnostic accuracy. RESULTS: The prelearning performance was comparable in both groups. In the CL group, postlearning accuracy (78.66 ± 14.53) was higher than prelearning accuracy (75.86 ± 11.36) with no significant difference (p = .264). The AIL group showed remarkable improvement. The WithAI score (88.87 ± 5.51) was significantly higher than the prelearning score (75.73 ± 10.58, p &lt; 0.01). Moreover, the postlearning score (84.93 ± 14.53) was better than the prelearning score (p &lt; 0.01). The increase in accuracy was significantly higher in the AIL group than in the CL group. CONCLUSION: The study demonstrated the viability of AI for augmenting medical education. Integrating AI into medical education requires dynamic collaboration from research, clinical, and educational perspectives.</t>
  </si>
  <si>
    <t>Application of a deep learning algorithm for detection and visualization of hip fractures on plain pelvic radiographs</t>
  </si>
  <si>
    <t>OBJECTIVE: To identify the feasibility of using a deep convolutional neural network (DCNN) for the detection and localization of hip fractures on plain frontal pelvic radiographs (PXRs). Hip fracture is a leading worldwide health problem for the elderly. A missed diagnosis of hip fracture on radiography leads to a dismal prognosis. The application of a DCNN to PXRs can potentially improve the accuracy and efficiency of hip fracture diagnosis. METHODS: A DCNN was pretrained using 25,505 limb radiographs between January 2012 and December 2017. It was retrained using 3605 PXRs between August 2008 and December 2016. The accuracy, sensitivity, false-negative rate, and area under the receiver operating characteristic curve (AUC) were evaluated on 100 independent PXRs acquired during 2017. The authors also used the visualization algorithm gradient-weighted class activation mapping (Grad-CAM) to confirm the validity of the model. RESULTS: The algorithm achieved an accuracy of 91%, a sensitivity of 98%, a false-negative rate of 2%, and an AUC of 0.98 for identifying hip fractures. The visualization algorithm showed an accuracy of 95.9% for lesion identification. CONCLUSIONS: A DCNN not only detected hip fractures on PXRs with a low false-negative rate but also had high accuracy for localizing fracture lesions. The DCNN might be an efficient and economical model to help clinicians make a diagnosis without interrupting the current clinical pathway. KEY POINTS: • Automated detection of hip fractures on frontal pelvic radiographs may facilitate emergent screening and evaluation efforts for primary physicians. • Good visualization of the fracture site by Grad-CAM enables the rapid integration of this tool into the current medical system. • The feasibility and efficiency of utilizing a deep neural network have been confirmed for the screening of hip fractures.</t>
  </si>
  <si>
    <t>C. T. Cheng, T. Y. Ho, T. Y. Lee, C. C. Chang, C. C. Chou, C. C. Chen, I. F. Chung and C. H. Liao</t>
  </si>
  <si>
    <t>Structure-Preserving Guided Retinal Image Filtering and Its Application for Optic Disk Analysis</t>
  </si>
  <si>
    <t>Retinal fundus photographs have been used in the diagnosis of many ocular diseases such as glaucoma, pathological myopia, age-related macular degeneration, and diabetic retinopathy. With the development of computer science, computer aided diagnosis has been developed to process and analyze the retinal images automatically. One of the challenges in the analysis is that the quality of the retinal image is often degraded. For example, a cataract in human lens will attenuate the retinal image, just as a cloudy camera lens which reduces the quality of a photograph. It often obscures the details in the retinal images and posts challenges in retinal image processing and analyzing tasks. In this paper, we approximate the degradation of the retinal images as a combination of human-lens attenuation and scattering. A novel structure-preserving guided retinal image filtering (SGRIF) is then proposed to restore images based on the attenuation and scattering model. The proposed SGRIF consists of a step of global structure transferring and a step of global edge-preserving smoothing. Our results show that the proposed SGRIF method is able to improve the contrast of retinal images, measured by histogram flatness measure, histogram spread, and variability of local luminosity. In addition, we further explored the benefits of SGRIF for subsequent retinal image processing and analyzing tasks. In the two applications of deep learning-based optic cup segmentation and sparse learning-based cup-to-disk ratio (CDR) computation, our results show that we are able to achieve more accurate optic cup segmentation and CDR measurements from images processed by SGRIF.</t>
  </si>
  <si>
    <t>J. Cheng, Z. Li, Z. Gu, H. Fu, D. W. K. Wong and J. Liu</t>
  </si>
  <si>
    <t>Computer-Aided Diagnosis with Deep Learning Architecture: Applications to Breast Lesions in US Images and Pulmonary Nodules in CT Scans</t>
  </si>
  <si>
    <t>This paper performs a comprehensive study on the deep-learning-based computer-aided diagnosis (CADx) for the differential diagnosis of benign and malignant nodules/lesions by avoiding the potential errors caused by inaccurate image processing results (e.g., boundary segmentation), as well as the classification bias resulting from a less robust feature set, as involved in most conventional CADx algorithms. Specifically, the stacked denoising auto-encoder (SDAE) is exploited on the two CADx applications for the differentiation of breast ultrasound lesions and lung CT nodules. The SDAE architecture is well equipped with the automatic feature exploration mechanism and noise tolerance advantage, and hence may be suitable to deal with the intrinsically noisy property of medical image data from various imaging modalities. To show the outperformance of SDAE-based CADx over the conventional scheme, two latest conventional CADx algorithms are implemented for comparison. 10 times of 10-fold cross-validations are conducted to illustrate the efficacy of the SDAE-based CADx algorithm. The experimental results show the significant performance boost by the SDAE-based CADx algorithm over the two conventional methods, suggesting that deep learning techniques can potentially change the design paradigm of the CADx systems without the need of explicit design and selection of problem-oriented features.</t>
  </si>
  <si>
    <t>J. Z. Cheng, D. Ni, Y. H. Chou, J. Qin, C. M. Tiu, Y. C. Chang, C. S. Huang, D. Shen and C. M. Chen</t>
  </si>
  <si>
    <t>Transfer Learning with Convolutional Neural Networks for Classification of Abdominal Ultrasound Images</t>
  </si>
  <si>
    <t>The purpose of this study is to evaluate transfer learning with deep convolutional neural networks for the classification of abdominal ultrasound images. Grayscale images from 185 consecutive clinical abdominal ultrasound studies were categorized into 11 categories based on the text annotation specified by the technologist for the image. Cropped images were rescaled to 256 × 256 resolution and randomized, with 4094 images from 136 studies constituting the training set, and 1423 images from 49 studies constituting the test set. The fully connected layers of two convolutional neural networks based on CaffeNet and VGGNet, previously trained on the 2012 Large Scale Visual Recognition Challenge data set, were retrained on the training set. Weights in the convolutional layers of each network were frozen to serve as fixed feature extractors. Accuracy on the test set was evaluated for each network. A radiologist experienced in abdominal ultrasound also independently classified the images in the test set into the same 11 categories. The CaffeNet network classified 77.3% of the test set images accurately (1100/1423 images), with a top-2 accuracy of 90.4% (1287/1423 images). The larger VGGNet network classified 77.9% of the test set accurately (1109/1423 images), with a top-2 accuracy of VGGNet was 89.7% (1276/1423 images). The radiologist classified 71.7% of the test set images correctly (1020/1423 images). The differences in classification accuracies between both neural networks and the radiologist were statistically significant (p &lt; 0.001). The results demonstrate that transfer learning with convolutional neural networks may be used to construct effective classifiers for abdominal ultrasound images.</t>
  </si>
  <si>
    <t>P. M. Cheng and H. S. Malhi</t>
  </si>
  <si>
    <t>Detection of high-grade small bowel obstruction on conventional radiography with convolutional neural networks</t>
  </si>
  <si>
    <t>The purpose of this pilot study is to determine whether a deep convolutional neural network can be trained with limited image data to detect high-grade small bowel obstruction patterns on supine abdominal radiographs. Grayscale images from 3663 clinical supine abdominal radiographs were categorized into obstructive and non-obstructive categories independently by three abdominal radiologists, and the majority classification was used as ground truth; 74 images were found to be consistent with small bowel obstruction. Images were rescaled and randomized, with 2210 images constituting the training set (39 with small bowel obstruction) and 1453 images constituting the test set (35 with small bowel obstruction). Weight parameters for the final classification layer of the Inception v3 convolutional neural network, previously trained on the 2014 Large Scale Visual Recognition Challenge dataset, were retrained on the training set. After training, the neural network achieved an AUC of 0.84 on the test set (95% CI 0.78-0.89). At the maximum Youden index (sensitivity + specificity-1), the sensitivity of the system for small bowel obstruction is 83.8%, with a specificity of 68.1%. The results demonstrate that transfer learning with convolutional neural networks, even with limited training data, may be used to train a detector for high-grade small bowel obstruction gas patterns on supine radiographs.</t>
  </si>
  <si>
    <t>P. M. Cheng, T. K. Tejura, K. N. Tran and G. Whang</t>
  </si>
  <si>
    <t>Refining Convolutional Neural Network Detection of Small-Bowel Obstruction in Conventional Radiography</t>
  </si>
  <si>
    <t>OBJECTIVE: The purpose of this study was to evaluate improvement of convolutional neural network detection of high-grade small-bowel obstruction on conventional radiographs with increased training set size. MATERIALS AND METHODS: A set of 2210 abdominal radiographs from one institution (image set 1) had been previously classified into obstructive and nonobstructive categories by consensus judgments of three abdominal radiologists. The images were used to fine-tune an initial convolutional neural network classifier (stage 1). An additional set of 13,935 clinical images from the same institution was reduced to 5558 radiographs (image set 2) primarily by retaining only images classified positive for bowel obstruction by the initial classifier. These images were classified into obstructive and nonobstructive categories by an abdominal radiologist. The combined 7768 radiographs were used to train additional classifiers (stage 2 training). The best classifiers from stage 1 and stage 2 training were evaluated on a held-out test set of 1453 abdominal radiographs from image set 1. RESULTS: The ROC AUC for the neural network trained on image set 1 was 0.803; after stage 2, the ROC AUC of the best model was 0.971. By use of an operating point based on maximizing the validation set Youden J index, the stage 2-trained model had a test set sensitivity of 91.4% and specificity of 91.9%. Classification performance increased with training set size, reaching a plateau with over 200 positive training examples. CONCLUSION: Accuracy of detection of high-grade small-bowel obstruction with a convolutional neural network improves significantly with the number of positive training radiographs.</t>
  </si>
  <si>
    <t>P. M. Cheng, K. N. Tran, G. Whang and T. K. Tejura</t>
  </si>
  <si>
    <t>The Use of Deep Learning to Predict Stroke Patient Mortality</t>
  </si>
  <si>
    <t>The increase in stroke incidence with the aging of the Korean population will rapidly impose an economic burden on society. Timely treatment can improve stroke prognosis. Awareness of stroke warning signs and appropriate actions in the event of a stroke improve outcomes. Medical service use and health behavior data are easier to collect than medical imaging data. Here, we used a deep neural network to detect stroke using medical service use and health behavior data; we identified 15,099 patients with stroke. Principal component analysis (PCA) featuring quantile scaling was used to extract relevant background features from medical records; we used these to predict stroke. We compared our method (a scaled PCA/deep neural network [DNN] approach) to five other machine-learning methods. The area under the curve (AUC) value of our method was 83.48%; hence; it can be used by both patients and doctors to prescreen for possible stroke.</t>
  </si>
  <si>
    <t>S. Cheon, J. Kim and J. Lim</t>
  </si>
  <si>
    <t>Int J Environ Res Public Health</t>
  </si>
  <si>
    <t>Artificial Intelligence in Diabetic Eye Disease Screening</t>
  </si>
  <si>
    <t>Systematic or national screening programs for diabetic retinopathy (DR) and diabetic macular edema (DME), using digital fundus photography and optical coherence tomography (OCT), are currently implemented at primary care level, aiming to provide timely referral for vision-threatening DR and DME to ophthalmologists for timely treatment and vision loss prevention. However, interpretation of retinal images requires specialized knowledge and expertise in diabetic eye disease. Furthermore, current DR screening programs are capital- and labor-intensive, which makes it difficult to rapidly scale up and expand diabetic eye screening to meet the needs of this growing global epidemic. Deep learning (DL), a new branch of machine learning technology under the broad term of artificial intelligence (AI), has made remarkable breakthrough in medical imaging in particular for pattern recognition and image classification. In ophthalmology, AI and DL technology has been developed from big image datasets in assessment of retinal photographs for detection and screening of DR as well as the segmentation and assessment of OCT images for diagnosis and screening of DME. This review aimed to summarize the current progress and the development of using AI and DL technology for diabetic eye disease screening as well as current challenges in the actual implementation of DL in screening programs, and translating DL research into direct clinical applications of screening in a community setting.</t>
  </si>
  <si>
    <t>C. Y. Cheung, F. Tang, D. S. W. Ting, G. S. W. Tan and T. Y. Wong</t>
  </si>
  <si>
    <t>Asia Pac J Ophthalmol (Phila)</t>
  </si>
  <si>
    <t>Thyroid Nodule Classification in Ultrasound Images by Fine-Tuning Deep Convolutional Neural Network</t>
  </si>
  <si>
    <t>With many thyroid nodules being incidentally detected, it is important to identify as many malignant nodules as possible while excluding those that are highly likely to be benign from fine needle aspiration (FNA) biopsies or surgeries. This paper presents a computer-aided diagnosis (CAD) system for classifying thyroid nodules in ultrasound images. We use deep learning approach to extract features from thyroid ultrasound images. Ultrasound images are pre-processed to calibrate their scale and remove the artifacts. A pre-trained GoogLeNet model is then fine-tuned using the pre-processed image samples which leads to superior feature extraction. The extracted features of the thyroid ultrasound images are sent to a Cost-sensitive Random Forest classifier to classify the images into malignant and benign cases. The experimental results show the proposed fine-tuned GoogLeNet model achieves excellent classification performance, attaining 98.29% classification accuracy, 99.10% sensitivity and 93.90% specificity for the images in an open access database (Pedraza et al. 16), while 96.34% classification accuracy, 86% sensitivity and 99% specificity for the images in our local health region database.</t>
  </si>
  <si>
    <t>J. Chi, E. Walia, P. Babyn, J. Wang, G. Groot and M. Eramian</t>
  </si>
  <si>
    <t>Deep learning based medical image segmentation with limited labels</t>
  </si>
  <si>
    <t>Deep learning (DL) based auto-segmentation has the potential for accurate organ delineation in radiotherapy applications but requires large amounts of clean labeled data to train a robust model. However, annotating medical images is extremely time-consuming and requires clinical expertise, especially for segmentation that demands voxel-wise labels. On the other hand, medical images without annotations are abundant and highly accessible. To alleviate the influence of the limited number of clean labels, we propose a weakly-supervised DL training approach using deformable image registration (DIR)-based annotations, leveraging the abundance of unlabeled data. We generate pseudo-contours by utilizing DIR to propagate atlas contours onto abundant unlabeled images and train a robust DL-based segmentation model. With 10 labeled TCIA dataset and 50 unlabeled CT scans from our institution, our model achieved Dice similarity coefficient of 87.9%, 73.4%, 73.4%, 63.2% and 61.0% on mandible, left &amp; right parotid glands and left &amp; right submandibular glands of TCIA test set and competitive performance on our institutional clinical dataset and a third party (PDDCA) dataset. Experimental results demonstrated the proposed method outperformed traditional multi-atlas DIR methods and fully-supervised limited data training and is promising for DL-based medical image segmentation application with limited annotated data.</t>
  </si>
  <si>
    <t>Detection and classification the breast tumors using mask R-CNN on sonograms</t>
  </si>
  <si>
    <t>Breast cancer is one of the most harmful diseases for women with the highest morbidity. An efficient way to decrease its mortality is to diagnose cancer earlier by screening. Clinically, the best approach of screening for Asian women is ultrasound images combined with biopsies. However, biopsy is invasive and it gets incomprehensive information of the lesion. The aim of this study is to build a model for automatic detection, segmentation, and classification of breast lesions with ultrasound images. Based on deep learning, a technique using Mask regions with convolutional neural network was developed for lesion detection and differentiation between benign and malignant. The mean average precision was 0.75 for the detection and segmentation. The overall accuracy of benign/malignant classification was 85%. The proposed method provides a comprehensive and noninvasive way to detect and classify breast lesions.</t>
  </si>
  <si>
    <t>J. Y. Chiao, K. Y. Chen, K. Y. Liao, P. H. Hsieh, G. Zhang and T. C. Huang</t>
  </si>
  <si>
    <t>Deep learning for hybrid EEG-fNIRS brain-computer interface: application to motor imagery classification</t>
  </si>
  <si>
    <t>OBJECTIVE: Brain-computer interface (BCI) refers to procedures that link the central nervous system to a device. BCI was historically performed using electroencephalography (EEG). In the last years, encouraging results were obtained by combining EEG with other neuroimaging technologies, such as functional near infrared spectroscopy (fNIRS). A crucial step of BCI is brain state classification from recorded signal features. Deep artificial neural networks (DNNs) recently reached unprecedented complex classification outcomes. These performances were achieved through increased computational power, efficient learning algorithms, valuable activation functions, and restricted or back-fed neurons connections. By expecting significant overall BCI performances, we investigated the capabilities of combining EEG and fNIRS recordings with state-of-the-art deep learning procedures. APPROACH: We performed a guided left and right hand motor imagery task on 15 subjects with a fixed classification response time of 1 s and overall experiment length of 10 min. Left versus right classification accuracy of a DNN in the multi-modal recording modality was estimated and it was compared to standalone EEG and fNIRS and other classifiers. MAIN RESULTS: At a group level we obtained significant increase in performance when considering multi-modal recordings and DNN classifier with synergistic effect. SIGNIFICANCE: BCI performances can be significantly improved by employing multi-modal recordings that provide electrical and hemodynamic brain activity information, in combination with advanced non-linear deep learning classification procedures.</t>
  </si>
  <si>
    <t>A. M. Chiarelli, P. Croce, A. Merla and F. Zappasodi</t>
  </si>
  <si>
    <t>J Neural Eng</t>
  </si>
  <si>
    <t>Deep learning algorithms for detection of critical findings in head CT scans: a retrospective study</t>
  </si>
  <si>
    <t>BACKGROUND: Non-contrast head CT scan is the current standard for initial imaging of patients with head trauma or stroke symptoms. We aimed to develop and validate a set of deep learning algorithms for automated detection of the following key findings from these scans: intracranial haemorrhage and its types (ie, intraparenchymal, intraventricular, subdural, extradural, and subarachnoid); calvarial fractures; midline shift; and mass effect. METHODS: We retrospectively collected a dataset containing 313 318 head CT scans together with their clinical reports from around 20 centres in India between Jan 1, 2011, and June 1, 2017. A randomly selected part of this dataset (Qure25k dataset) was used for validation and the rest was used to develop algorithms. An additional validation dataset (CQ500 dataset) was collected in two batches from centres that were different from those used for the development and Qure25k datasets. We excluded postoperative scans and scans of patients younger than 7 years. The original clinical radiology report and consensus of three independent radiologists were considered as gold standard for the Qure25k and CQ500 datasets, respectively. Areas under the receiver operating characteristic curves (AUCs) were primarily used to assess the algorithms. FINDINGS: The Qure25k dataset contained 21 095 scans (mean age 43 years; 9030 [43%] female patients), and the CQ500 dataset consisted of 214 scans in the first batch (mean age 43 years; 94 [44%] female patients) and 277 scans in the second batch (mean age 52 years; 84 [30%] female patients). On the Qure25k dataset, the algorithms achieved an AUC of 0·92 (95% CI 0·91-0·93) for detecting intracranial haemorrhage (0·90 [0·89-0·91] for intraparenchymal, 0·96 [0·94-0·97] for intraventricular, 0·92 [0·90-0·93] for subdural, 0·93 [0·91-0·95] for extradural, and 0·90 [0·89-0·92] for subarachnoid). On the CQ500 dataset, AUC was 0·94 (0·92-0·97) for intracranial haemorrhage (0·95 [0·93-0·98], 0·93 [0·87-1·00], 0·95 [0·91-0·99], 0·97 [0·91-1·00], and 0·96 [0·92-0·99], respectively). AUCs on the Qure25k dataset were 0·92 (0·91-0·94) for calvarial fractures, 0·93 (0·91-0·94) for midline shift, and 0·86 (0·85-0·87) for mass effect, while AUCs on the CQ500 dataset were 0·96 (0·92-1·00), 0·97 (0·94-1·00), and 0·92 (0·89-0·95), respectively. INTERPRETATION: Our results show that deep learning algorithms can accurately identify head CT scan abnormalities requiring urgent attention, opening up the possibility to use these algorithms to automate the triage process. FUNDING: Qure.ai.</t>
  </si>
  <si>
    <t>S. Chilamkurthy, R. Ghosh, S. Tanamala, M. Biviji, N. G. Campeau, V. K. Venugopal, V. Mahajan, P. Rao and P. Warier</t>
  </si>
  <si>
    <t>Lancet</t>
  </si>
  <si>
    <t>Divide and Conquer-Based 1D CNN Human Activity Recognition Using Test Data Sharpening</t>
  </si>
  <si>
    <t>Human Activity Recognition (HAR) aims to identify the actions performed by humans using signals collected from various sensors embedded in mobile devices. In recent years, deep learning techniques have further improved HAR performance on several benchmark datasets. In this paper, we propose one-dimensional Convolutional Neural Network (1D CNN) for HAR that employs a divide and conquer-based classifier learning coupled with test data sharpening. Our approach leverages a two-stage learning of multiple 1D CNN models; we first build a binary classifier for recognizing abstract activities, and then build two multi-class 1D CNN models for recognizing individual activities. We then introduce test data sharpening during prediction phase to further improve the activity recognition accuracy. While there have been numerous researches exploring the benefits of activity signal denoising for HAR, few researches have examined the effect of test data sharpening for HAR. We evaluate the effectiveness of our approach on two popular HAR benchmark datasets, and show that our approach outperforms both the two-stage 1D CNN-only method and other state of the art approaches.</t>
  </si>
  <si>
    <t>Improving Sensitivity on Identification and Delineation of Intracranial Hemorrhage Lesion Using Cascaded Deep Learning Models</t>
  </si>
  <si>
    <t>Highly accurate detection of the intracranial hemorrhage without delay is a critical clinical issue for the diagnostic decision and treatment in an emergency room. In the context of a study on diagnostic accuracy, there is a tradeoff between sensitivity and specificity. In order to improve sensitivity while preserving specificity, we propose a cascade deep learning model constructed using two convolutional neural networks (CNNs) and dual fully convolutional networks (FCNs). The cascade CNN model is built for identifying bleeding; hereafter the dual FCN is to detect five different subtypes of intracranial hemorrhage and to delineate their lesions. Using a total of 135,974 CT images including 33,391 images labeled as bleeding, each of CNN/FCN models was trained separately on image data preprocessed by two different settings of window level/width. One is a default window (50/100[level/width]) and the other is a stroke window setting (40/40). By combining them, we obtained a better outcome on both binary classification and segmentation of hemorrhagic lesions compared to a single CNN and FCN model. In determining whether it is bleeding or not, there was around 1% improvement in sensitivity (97.91% [± 0.47]) while retaining specificity (98.76% [± 0.10]). For delineation of bleeding lesions, we obtained overall segmentation performance at 80.19% in precision and 82.15% in recall which is 3.44% improvement compared to using a single FCN model.</t>
  </si>
  <si>
    <t>Brain Metastasis Detection using Machine Learning: A Systematic Review and Meta-analysis</t>
  </si>
  <si>
    <t>BACKGROUND: Accurate detection of brain metastasis (BM) is important for cancer patients. We aimed to systematically review the performance and quality of machine-learning-based BM detection on MRI in the relevant literature. METHODS: A systematic literature search was performed for relevant studies reported before April 27, 2020. We assessed the quality of the studies using modified tailored questionnaires of the Quality Assessment of Diagnostic Accuracy Studies-2 (QUADAS-2) criteria and the Checklist for Artificial Intelligence in Medical Imaging. Pooled detectability was calculated using an inverse-variance weighting model. RESULTS: A total of 12 studies were included, which showed a clear transition from classical machine learning (cML) to deep learning (DL) after 2018. The studies on DL used a larger sample size than those on cML. The cML and DL groups also differed in the composition of the data set, and technical details such as data augmentation. The pooled proportion of detectability of BM were 88.7% (95% CI, 84-93%) and 90.1% (95% CI, 84-95%) in the cML and DL groups, respectively. The false-positive rate per person was lower in the DL group than the cML group (10 vs. 135, P &lt; 0.001). In the patient selection domain of QUADAS-2, three studies (25%) were designated as high risk due to non-consecutive enrollment and arbitrary exclusion of nodules. CONCLUSION: A comparable detectability of BM with a low false-positive rate per person was found in the DL group compared to the cML group. Improvements are required in terms of quality and study design.</t>
  </si>
  <si>
    <t>Comparison of Convolutional Neural Network Models for Determination of Vocal Fold Normality in Laryngoscopic Images</t>
  </si>
  <si>
    <t>OBJECTIVES: Deep learning using convolutional neural networks (CNNs) is widely used in medical imaging research. This study was performed to investigate if vocal fold normality in laryngoscopic images can be determined by CNN-based deep learning and to compare accuracy of CNN models and explore the feasibility of application of deep learning on laryngoscopy. METHODS: Laryngoscopy videos were screen-captured and each image was cropped to include abducted vocal fold regions. A total of 2216 image (899 normal, 1317 abnormal) were allocated to training, validation, and test sets. Augmentation of training sets was used to train a constructed CNN model with six layers (CNN6), VGG16, Inception V3, and Xception models. Trained models were applied to the test set; for each model, receiver operating characteristic curves and cutoff values were obtained. Sensitivity, specificity, positive predictive value, negative predictive value, and accuracy were calculated. The best model was employed in video-streams and localization of features was attempted using Grad-CAM. RESULTS: All of the trained models showed high area under the receiver operating characteristic curve and the most discriminative cutoff levels of probability of normality were determined to be 35.6%, 61.8%, 13.5%, 39.7% for CNN6, VGG16, Inception V3, and Xception models, respectively. Accuracy of the CNN models selecting normal and abnormal vocal folds in the test set was 82.3%, 99.7%, 99.1%, and 83.8%, respectively. CONCLUSION: All four models showed acceptable diagnostic accuracy. Performance of VGG16 and Inception V3 was better than the simple CNN6 model and the recently published Xception model. Real-time classification with a combination of the VGG16 model, OpenCV, and Grad-CAM on a video stream showed the potential clinical applications of the deep learning model in laryngoscopy.</t>
  </si>
  <si>
    <t>J Voice</t>
  </si>
  <si>
    <t>Automated measurement of hydrops ratio from MRI in patients with Ménière's disease using CNN-based segmentation</t>
  </si>
  <si>
    <t>Ménière's Disease (MD) is difficult to diagnose and evaluate objectively over the course of treatment. Recently, several studies have reported MD diagnoses by MRI-based endolymphatic hydrops (EH) analysis. However, this method is time-consuming and complicated. Therefore, a fast, objective, and accurate evaluation tool is necessary. The purpose of this study was to develop an algorithm that can accurately analyze EH on intravenous (IV) gadolinium (Gd)-enhanced inner-ear MRI using artificial intelligence (AI) with deep learning. In this study, we developed a convolutional neural network (CNN)-based deep-learning model named INHEARIT (INner ear Hydrops Estimation via ARtificial InTelligence) for the automatic segmentation of the cochlea and vestibule, and calculation of the EH ratio in the segmented region. Measurement of the EH ratio was performed manually by a neuro-otologist and neuro-radiologist and by estimation with the INHEARIT model and were highly consistent (intraclass correlation coefficient = 0.971). This is the first study to demonstrate that automated EH ratio measurements are possible, which is important in the current clinical context where the usefulness of IV-Gd inner-ear MRI for MD diagnosis is increasing.</t>
  </si>
  <si>
    <t>Deep Learning-based Image Conversion of CT Reconstruction Kernels Improves Radiomics Reproducibility for Pulmonary Nodules or Masses</t>
  </si>
  <si>
    <t>Background Intratumor heterogeneity in lung cancer may influence outcomes. CT radiomics seeks to assess tumor features to provide detailed imaging features. However, CT radiomic features vary according to the reconstruction kernel used for image generation. Purpose To investigate the effect of different reconstruction kernels on radiomic features and assess whether image conversion using a convolutional neural network (CNN) could improve reproducibility of radiomic features between different kernels. Materials and Methods In this retrospective analysis, patients underwent non-contrast material-enhanced and contrast material-enhanced axial chest CT with soft kernel (B30f) and sharp kernel (B50f) reconstruction using a single CT scanner from April to June 2017. To convert different kernels without sinogram, the CNN model was developed using residual learning and an end-to-end way. Kernel-converted images were generated, from B30f to B50f and from B50f to B30f. Pulmonary nodules or masses were semiautomatically segmented and 702 radiomic features (tumor intensity, texture, and wavelet features) were extracted. Measurement variability in radiomic features was evaluated using the concordance correlation coefficient (CCC). Results A total of 104 patients were studied, including 54 women and 50 men, with pulmonary nodules or masses (mean age, 63.2 years ± 10.5). The CCC between two readers using the same kernel was 0.92, and 592 of 702 (84.3%) of the radiomic features were reproducible (CCC ≥ 0.85); using different kernels, the CCC was 0.38 and only 107 of 702 (15.2%) of the radiomic features were reliable. Texture features and wavelet features were predominantly affected by reconstruction kernel (CCC, from 0.88 to 0.61 for texture features and from 0.92 to 0.35 for wavelet features). After applying image conversion, CCC improved to 0.84 and 403 of 702 (57.4%) radiomic features were reproducible (CCC, 0.85 for texture features and 0.84 for wavelet features). Conclusion Chest CT image conversion using a convolutional neural network effectively reduced the effect of two different reconstruction kernels and may improve the reproducibility of radiomic features in pulmonary nodules or masses. © RSNA, 2019 Online supplemental material is available for this article. See also the editorial by Park in this issue.</t>
  </si>
  <si>
    <t>Refining diagnosis of Parkinson's disease with deep learning-based interpretation of dopamine transporter imaging</t>
  </si>
  <si>
    <t>Dopaminergic degeneration is a pathologic hallmark of Parkinson's disease (PD), which can be assessed by dopamine transporter imaging such as FP-CIT SPECT. Until now, imaging has been routinely interpreted by human though it can show interobserver variability and result in inconsistent diagnosis. In this study, we developed a deep learning-based FP-CIT SPECT interpretation system to refine the imaging diagnosis of Parkinson's disease. This system trained by SPECT images of PD patients and normal controls shows high classification accuracy comparable with the experts' evaluation referring quantification results. Its high accuracy was validated in an independent cohort composed of patients with PD and nonparkinsonian tremor. In addition, we showed that some patients clinically diagnosed as PD who have scans without evidence of dopaminergic deficit (SWEDD), an atypical subgroup of PD, could be reclassified by our automated system. Our results suggested that the deep learning-based model could accurately interpret FP-CIT SPECT and overcome variability of human evaluation. It could help imaging diagnosis of patients with uncertain Parkinsonism and provide objective patient group classification, particularly for SWEDD, in further clinical studies.</t>
  </si>
  <si>
    <t>H. Choi, S. Ha, H. J. Im, S. H. Paek and D. S. Lee</t>
  </si>
  <si>
    <t>Deep learning only by normal brain PET identify unheralded brain anomalies</t>
  </si>
  <si>
    <t>BACKGROUND: Recent deep learning models have shown remarkable accuracy for the diagnostic classification. However, they have limitations in clinical application due to the gap between the training cohorts and real-world data. We aimed to develop a model trained only by normal brain PET data with an unsupervised manner to identify an abnormality in various disorders as imaging data of the clinical routine. METHODS: Using variational autoencoder, a type of unsupervised learning, Abnormality Score was defined as how far a given brain image is from the normal data. The model was applied to FDG PET data of Alzheimer's disease (AD) and mild cognitive impairment (MCI) and clinical routine FDG PET data for assessing behavioral abnormality and seizures. Accuracy was measured by the area under curve (AUC) of receiver-operating-characteristic (ROC) curve. We investigated whether deep learning has additional benefits with experts' visual interpretation to identify abnormal patterns. FINDINGS: The AUC of the ROC curve for differentiating AD was 0.90. The changes in cognitive scores from baseline to 2-year follow-up were significantly correlated with Abnormality Score at baseline. The AUC of the ROC curve for discriminating patients with various disorders from controls was 0.74. Experts' visual interpretation was helped by the deep learning model to identify abnormal patterns in 60% of cases initially not identified without the model. INTERPRETATION: We suggest that deep learning model trained only by normal data was applicable for identifying wide-range of abnormalities in brain diseases, even uncommon ones, proposing its possible use for interpreting real-world clinical data.</t>
  </si>
  <si>
    <t>H. Choi, S. Ha, H. Kang, H. Lee and D. S. Lee</t>
  </si>
  <si>
    <t>EBioMedicine</t>
  </si>
  <si>
    <t>Fast and robust segmentation of the striatum using deep convolutional neural networks</t>
  </si>
  <si>
    <t>BACKGROUND: Automated segmentation of brain structures is an important task in structural and functional image analysis. We developed a fast and accurate method for the striatum segmentation using deep convolutional neural networks (CNN). NEW METHOD: T1 magnetic resonance (MR) images were used for our CNN-based segmentation, which require neither image feature extraction nor nonlinear transformation. We employed two serial CNN, Global and Local CNN: The Global CNN determined approximate locations of the striatum. It performed a regression of input MR images fitted to smoothed segmentation maps of the striatum. From the output volume of Global CNN, cropped MR volumes which included the striatum were extracted. The cropped MR volumes and the output volumes of Global CNN were used for inputs of Local CNN. Local CNN predicted the accurate label of all voxels. Segmentation results were compared with a widely used segmentation method, FreeSurfer. RESULTS: Our method showed higher Dice Similarity Coefficient (DSC) (0.893±0.017 vs. 0.786±0.015) and precision score (0.905±0.018 vs. 0.690±0.022) than FreeSurfer-based striatum segmentation (p=0.06). Our approach was also tested using another independent dataset, which showed high DSC (0.826±0.038) comparable with that of FreeSurfer. Comparison with existing method Segmentation performance of our proposed method was comparable with that of FreeSurfer. The running time of our approach was approximately three seconds. CONCLUSION: We suggested a fast and accurate deep CNN-based segmentation for small brain structures which can be widely applied to brain image analysis.</t>
  </si>
  <si>
    <t>H. Choi and K. H. Jin</t>
  </si>
  <si>
    <t>Predicting cognitive decline with deep learning of brain metabolism and amyloid imaging</t>
  </si>
  <si>
    <t>For effective treatment of Alzheimer's disease (AD), it is important to identify subjects who are most likely to exhibit rapid cognitive decline. We aimed to develop an automatic image interpretation system based on a deep convolutional neural network (CNN) which can accurately predict future cognitive decline in mild cognitive impairment (MCI) patients using flurodeoxyglucose and florbetapir positron emission tomography (PET). PET images of 139 patients with AD, 171 patients with MCI and 182 normal subjects obtained from Alzheimer's Disease Neuroimaging Initiative database were used. Deep CNN was trained using 3-dimensional PET volumes of AD and normal controls as inputs. Manually defined image feature extraction such as quantification using predefined region-of-interests was unnecessary for our approach. Furthermore, it used minimally processed images without spatial normalization which has been commonly used in conventional quantitative analyses. Cognitive outcome of MCI subjects was predicted using this network. The prediction accuracy of the conversion of mild cognitive impairment to AD was compared with the conventional feature-based quantification approach. Accuracy of prediction (84.2%) for conversion to AD in MCI patients outperformed conventional feature-based quantification approaches. ROC analyses revealed that performance of CNN-based approach was significantly higher than that of the conventional quantification methods (p &lt; 0.05). Output scores of the network were strongly correlated with the longitudinal change in cognitive measurements (p &lt; 0.05). These results show the feasibility of deep learning as a practical tool for developing predictive neuroimaging biomarker.</t>
  </si>
  <si>
    <t>Behav Brain Res</t>
  </si>
  <si>
    <t>Generation of Structural MR Images from Amyloid PET: Application to MR-Less Quantification</t>
  </si>
  <si>
    <t>Structural MR images concomitantly acquired with PET images can provide crucial anatomic information for precise quantitative analysis. However, in the clinical setting, not all the subjects have corresponding MR images. Here, we developed a model to generate structural MR images from amyloid PET using deep generative networks. We applied our model to quantification of cortical amyloid load without structural MR. Methods: We used florbetapir PET and structural MR data from the Alzheimer Disease Neuroimaging Initiative database. The generative network was trained to generate realistic structural MR images from florbetapir PET images. After the training, the model was applied to the quantification of cortical amyloid load. PET images were spatially normalized to the template space using the generated MR, and then SUV ratio (SUVR) of the target regions was measured by predefined regions of interest. A real MR-based quantification was used as the gold standard to measure the accuracy of our approach. Other MR-less methods-a normal PET template-based, a multiatlas PET template-based, and a PET segmentation-based normalization/quantification-were also tested. We compared the performance of quantification methods using generated MR with that of MR-based and MR-less quantification methods. Results: Generated MR images from florbetapir PET showed signal patterns that were visually similar to the real MR. The structural similarity index between real and generated MR was 0.91 ± 0.04. The mean absolute error of SUVR of cortical composite regions estimated by the generated MR-based method was 0.04 ± 0.03, which was significantly smaller than other MR-less methods (0.29 ± 0.12 for the normal PET template, 0.12 ± 0.07 for the multiatlas PET template, and 0.08 ± 0.06 for the PET segmentation-based methods). Bland-Altman plots revealed that the generated MR-based SUVR quantification was the closest to the SUVRs estimated by the real MR-based method. Conclusion: Structural MR images were successfully generated from amyloid PET images using deep generative networks. Generated MR images could be used as templates for accurate and precise amyloid quantification. This generative method might be used to generate multimodal images of various organs for further quantitative analyses.</t>
  </si>
  <si>
    <t>H. Choi and D. S. Lee</t>
  </si>
  <si>
    <t>Development of integrated prompt gamma imaging and positron emission tomography system for in vivo 3-D dose verification: a Monte Carlo study</t>
  </si>
  <si>
    <t>An accurate knowledge of in vivo proton dose distribution is key to fully utilizing the potential advantages of proton therapy. Two representative indirect methods for in vivo range verification, namely, prompt gamma (PG) imaging and positron emission tomography (PET), are available. This study proposes a PG-PET system that combines the advantages of these two methods and presents detector geometry and background reduction techniques optimized for the PG-PET system. The characteristics of the secondary radiations emitted by a water phantom by interaction with a 150 MeV proton beam were analysed using Geant4.10.00, and the 2-D PG distributions were obtained and assessed for different detector geometries. In addition, the energy window (EW), depth-of-interaction (DOI), and time-of-flight (TOF) techniques are proposed as the background reduction techniques. To evaluate the performance of the PG-PET system, the 3-D dose distribution in the water phantom caused by two proton beams of energies 80 MeV and 100 MeV was verified using 16 optimal detectors. The thickness of the parallel-hole tungsten collimator of pitch 8 mm and width 7 mm was determined as 200 mm, and that of the GAGG scintillator was determined as 30 mm, by an optimization study. Further, 3-7 MeV and 2-7 MeV were obtained as the optimal EWs when the DOI and both the DOI and TOF techniques were applied for data processing, respectively; the detector performances were improved by about 38% and 167%, respectively, compared with that when applying only the 3-5 MeV EW. In this study, we confirmed that the PG distribution can be obtained by simply combining the 2-D parallel hole collimator and the PET detector module. In the future, we will develop an accurate 3-D dose evaluation technique using deep learning algorithms based on the image sets of dose, PG, and PET distributions for various proton energies.</t>
  </si>
  <si>
    <t>Effect of a Deep Learning Framework-Based Computer-Aided Diagnosis System on the Diagnostic Performance of Radiologists in Differentiating between Malignant and Benign Masses on Breast Ultrasonography</t>
  </si>
  <si>
    <t>OBJECTIVE: To investigate whether a computer-aided diagnosis (CAD) system based on a deep learning framework (deep learning-based CAD) improves the diagnostic performance of radiologists in differentiating between malignant and benign masses on breast ultrasound (US). MATERIALS AND METHODS: B-mode US images were prospectively obtained for 253 breast masses (173 benign, 80 malignant) in 226 consecutive patients. Breast mass US findings were retrospectively analyzed by deep learning-based CAD and four radiologists. In predicting malignancy, the CAD results were dichotomized (possibly benign vs. possibly malignant). The radiologists independently assessed Breast Imaging Reporting and Data System final assessments for two datasets (US images alone or with CAD). For each dataset, the radiologists' final assessments were classified as positive (category 4a or higher) and negative (category 3 or lower). The diagnostic performances of the radiologists for the two datasets (US alone vs. US with CAD) were compared. RESULTS: When the CAD results were added to the US images, the radiologists showed significant improvement in specificity (range of all radiologists for US alone vs. US with CAD: 72.8-92.5% vs. 82.1-93.1%; p &lt; 0.001), accuracy (77.9-88.9% vs. 86.2-90.9%; p = 0.038), and positive predictive value (PPV) (60.2-83.3% vs. 70.4-85.2%; p = 0.001). However, there were no significant changes in sensitivity (81.3-88.8% vs. 86.3-95.0%; p = 0.120) and negative predictive value (91.4-93.5% vs. 92.9-97.3%; p = 0.259). CONCLUSION: Deep learning-based CAD could improve radiologists' diagnostic performance by increasing their specificity, accuracy, and PPV in differentiating between malignant and benign masses on breast US.</t>
  </si>
  <si>
    <t>Using a Dual-Input Convolutional Neural Network for Automated Detection of Pediatric Supracondylar Fracture on Conventional Radiography</t>
  </si>
  <si>
    <t>OBJECTIVES: This study aimed to develop a dual-input convolutional neural network (CNN)-based deep-learning algorithm that utilizes both anteroposterior (AP) and lateral elbow radiographs for the automated detection of pediatric supracondylar fracture in conventional radiography, and assess its feasibility and diagnostic performance. MATERIALS AND METHODS: To develop the deep-learning model, 1266 pairs of AP and lateral elbow radiographs examined between January 2013 and December 2017 at a single institution were split into a training set (1012 pairs, 79.9%) and a validation set (254 pairs, 20.1%). We performed external tests using 2 types of distinct datasets: one temporally and the other geographically separated from the model development. We used 258 pairs of radiographs examined in 2018 at the same institution as a temporal test set and 95 examined between January 2016 and December 2018 at another hospital as a geographic test set. Images underwent preprocessing, including cropping and histogram equalization, and were input into a dual-input neural network constructed by merging 2 ResNet models. An observer study was performed by radiologists on the geographic test set. The area under the receiver operating characteristic curve (AUC), sensitivity, specificity, positive predictive value (PPV), and negative predictive value (NPV) of the model and human readers were calculated and compared. RESULTS: Our trained model showed an AUC of 0.976 in the validation set, 0.985 in the temporal test set, and 0.992 in the geographic test set. In AUC comparison, the model showed comparable results to the human readers in the geographic test set; the AUCs of human readers were in the range of 0.977 to 0.997 (P's &gt; 0.05). The model had a sensitivity of 93.9%, a specificity of 92.2%, a PPV of 80.5%, and an NPV of 97.8% in the temporal test set, and a sensitivity of 100%, a specificity of 86.1%, a PPV of 69.7%, and an NPV of 100% in the geographic test set. Compared with the developed deep-learning model, all 3 human readers showed a significant difference (P's &lt; 0.05) using the McNemar test, with lower specificity and PPV in the model. On the other hand, there was no significant difference (P's &gt; 0.05) in sensitivity and NPV between all 3 human readers and the proposed model. CONCLUSIONS: The proposed dual-input deep-learning model that interprets both AP and lateral elbow radiographs provided an accurate diagnosis of pediatric supracondylar fracture comparable to radiologists.</t>
  </si>
  <si>
    <t>Multi-categorical deep learning neural network to classify retinal images: A pilot study employing small database</t>
  </si>
  <si>
    <t>Deep learning emerges as a powerful tool for analyzing medical images. Retinal disease detection by using computer-aided diagnosis from fundus image has emerged as a new method. We applied deep learning convolutional neural network by using MatConvNet for an automated detection of multiple retinal diseases with fundus photographs involved in STructured Analysis of the REtina (STARE) database. Dataset was built by expanding data on 10 categories, including normal retina and nine retinal diseases. The optimal outcomes were acquired by using a random forest transfer learning based on VGG-19 architecture. The classification results depended greatly on the number of categories. As the number of categories increased, the performance of deep learning models was diminished. When all 10 categories were included, we obtained results with an accuracy of 30.5%, relative classifier information (RCI) of 0.052, and Cohen's kappa of 0.224. Considering three integrated normal, background diabetic retinopathy, and dry age-related macular degeneration, the multi-categorical classifier showed accuracy of 72.8%, 0.283 RCI, and 0.577 kappa. In addition, several ensemble classifiers enhanced the multi-categorical classification performance. The transfer learning incorporated with ensemble classifier of clustering and voting approach presented the best performance with accuracy of 36.7%, 0.053 RCI, and 0.225 kappa in the 10 retinal diseases classification problem. First, due to the small size of datasets, the deep learning techniques in this study were ineffective to be applied in clinics where numerous patients suffering from various types of retinal disorders visit for diagnosis and treatment. Second, we found that the transfer learning incorporated with ensemble classifiers can improve the classification performance in order to detect multi-categorical retinal diseases. Further studies should confirm the effectiveness of algorithms with large datasets obtained from hospitals.</t>
  </si>
  <si>
    <t>J. Y. Choi, T. K. Yoo, J. G. Seo, J. Kwak, T. T. Um and T. H. Rim</t>
  </si>
  <si>
    <t>Statistical Image Restoration for Low-Dose CT using Convolutional Neural Networks()</t>
  </si>
  <si>
    <t>Deep learning has recently attracted widespread interest as a means of reducing noise in low-dose CT (LDCT) images. Deep convolutional neural networks (CNNs) are typically trained to transfer high-quality image features of normal-dose CT (NDCT) images to LDCT images. However, existing deep learning approaches for denoising LDCT images often overlook the statistical property of CT images. In this paper, we propose an approach to statistical image restoration for LDCT using deep learning (StatCNN). We introduce a loss function to incorporate the noise property in the image domain derived from the noise statistics in the sinogram domain. In order to capture the spatially-varying statistics of axial CT images, we increase the receptive fields of the proposed network to cover full-size CT slices. In addition, the proposed network utilizes z-directional correlation by taking multiple consecutive CT slices as input. For performance evaluation, the proposed network was thoroughly trained and tested by leave-one-out cross-validation with a dataset consisting of LDCT-NDCT image pairs. The experimental results showed that the denoising networks successfully reduced the noise level and restored the image details without adding artifacts. This study demonstrates that the statistical deep learning approach can transfer the image style from NDCT images to LDCT images without loss of anatomical information.</t>
  </si>
  <si>
    <t>Semi-Supervised Learning for Low-Dose CT Image Restoration with Hierarchical Deep Generative Adversarial Network (HD-GAN)</t>
  </si>
  <si>
    <t>In the absence of duplicate high-dose CT data, it is challenging to restore high-quality images based on deep learning with only low-dose CT (LDCT) data. When different reconstruction algorithms and settings are adopted to prepare high-quality images, LDCT datasets for deep learning can be unpaired. To address this problem, we propose hierarchical deep generative adversarial networks (HD-GANs) for semi-supervised learning with the unpaired datasets. We first cluster each patient's CT images into multiple categories, and then collect the images in the same categories across different patients to build an imageset for denoising. Each imageset is fed into a generative adversarial network that consists of a denoising network and a following classification network. The denoising network efficiently reuses feature maps from the lower layers for end-to-end learning with full-size images. The classifier is trained to distinguish between the denoised images and the high-quality images. Evaluated with a clinical LDCT dataset, the proposed semi-supervised learning approach efficiently reduces the noise level of LDCT images without loss of information, thereby addressing the major shortcomings of IR such as computation time and anatomical inaccuracy.</t>
  </si>
  <si>
    <t>Development and Validation of a Deep Learning System for Staging Liver Fibrosis by Using Contrast Agent-enhanced CT Images in the Liver</t>
  </si>
  <si>
    <t>Purpose To develop and validate a deep learning system (DLS) for staging liver fibrosis by using CT images in the liver. Materials and Methods DLS for CT-based staging of liver fibrosis was created by using a development data set that included portal venous phase CT images in 7461 patients with pathologically confirmed liver fibrosis. The diagnostic performance of the DLS was evaluated in separate test data sets for 891 patients. The influence of patient characteristics and CT techniques on the staging accuracy of the DLS was evaluated by logistic regression analysis. In a subset of 421 patients, the diagnostic performance of the DLS was compared with that of the radiologist's assessment, aminotransferase-to-platelet ratio index (APRI), and fibrosis-4 index by using the area under the receiver operating characteristic curve (AUROC) and Obuchowski index. Results In the test data sets, the DLS had a staging accuracy of 79.4% (707 of 891) and an AUROC of 0.96, 0.97, and 0.95 for diagnosing significant fibrosis (F2-4), advanced fibrosis (F3-4), and cirrhosis (F4), respectively. At multivariable analysis, only pathologic fibrosis stage significantly affected the staging accuracy of the DLS (P = .016 and .013 for F1 and F2, respectively, compared with F4), whereas etiology of liver disease and CT technique did not. The DLS (Obuchowski index, 0.94) outperformed the radiologist's interpretation, APRI, and fibrosis-4 index (Obuchowski index range, 0.71-0.81; P ˂ .001) for staging liver fibrosis. Conclusion The deep learning system allows for accurate staging of liver fibrosis by using CT images. © RSNA, 2018 Online supplemental material is available for this article.</t>
  </si>
  <si>
    <t>K. J. Choi, J. K. Jang, S. S. Lee, Y. S. Sung, W. H. Shim, H. S. Kim, J. Yun, J. Y. Choi, Y. Lee, B. K. Kang, J. H. Kim, S. Y. Kim and E. S. Yu</t>
  </si>
  <si>
    <t>Prediction of IDH genotype in gliomas with dynamic susceptibility contrast perfusion MR imaging using an explainable recurrent neural network</t>
  </si>
  <si>
    <t>BACKGROUND: The aim of this study was to predict isocitrate dehydrogenase (IDH) genotypes of gliomas using an interpretable deep learning application for dynamic susceptibility contrast (DSC) perfusion MRI. METHODS: Four hundred sixty-three patients with gliomas who underwent preoperative MRI were enrolled in the study. All the patients had immunohistopathologic diagnoses of either IDH-wildtype or IDH-mutant gliomas. Tumor subregions were segmented using a convolutional neural network followed by manual correction. DSC perfusion MRI was performed to obtain T2* susceptibility signal intensity-time curves from each subregion of the tumors: enhancing tumor, non-enhancing tumor, peritumoral edema, and whole tumor. These, with arterial input functions, were fed into a neural network as multidimensional inputs. A convolutional long short-term memory model with an attention mechanism was developed to predict IDH genotypes. Receiver operating characteristics analysis was performed to evaluate the model. RESULTS: The IDH genotype predictions had an accuracy, sensitivity, and specificity of 92.8%, 92.6%, and 93.1%, respectively, in the validation set (area under the curve [AUC], 0.98; 95% confidence interval [CI], 0.969-0.991) and 91.7%, 92.1%, and 91.5%, respectively, in the test set (AUC, 0.95; 95% CI, 0.898-0.982). In temporal feature analysis, T2* susceptibility signal intensity-time curves obtained from DSC perfusion MRI with attention weights demonstrated high attention on the combination of the end of the pre-contrast baseline, up/downslopes of signal drops, and/or post-bolus plateaus for the curves used to predict IDH genotype. CONCLUSIONS: We developed an explainable recurrent neural network model based on DSC perfusion MRI to predict IDH genotypes in gliomas.</t>
  </si>
  <si>
    <t>Improving the Reliability of Pharmacokinetic Parameters at Dynamic Contrast-enhanced MRI in Astrocytomas: A Deep Learning Approach</t>
  </si>
  <si>
    <t>Background Pharmacokinetic (PK) parameters obtained from dynamic contrast agent-enhanced (DCE) MRI evaluates the microcirculation permeability of astrocytomas, but the unreliability from arterial input function (AIF) remains a challenge. Purpose To develop a deep learning model that improves the reliability of AIF for DCE MRI and to validate the reliability and diagnostic performance of PK parameters by using improved AIF in grading astrocytomas. Materials and Methods This retrospective study included 386 patients (mean age, 52 years ± 16 [standard deviation]; 226 men) with astrocytomas diagnosed with histopathologic analysis who underwent dynamic susceptibility contrast (DSC)-enhanced and DCE MRI preoperatively from April 2010 to January 2018. The AIF was obtained from each sequence: AIF obtained from DSC-enhanced MRI (AIF(DSC)) and AIF measured at DCE MRI (AIF(DCE)). The model was trained to translate AIF(DCE) into AIF(DSC), and after training, outputted neural-network-generated AIF (AIF(generated DSC)) with input AIF(DCE). By using the three different AIFs, volume transfer constant (K(trans)), fractional volume of extravascular extracellular space (V(e)), and vascular plasma space (V(p)) were averaged from the tumor areas in the DCE MRI. To validate the model, intraclass correlation coefficients and areas under the receiver operating characteristic curve (AUCs) of the PK parameters in grading astrocytomas were compared by using different AIFs. Results The AIF-generated, DSC-derived PK parameters showed higher AUCs in grading astrocytomas than those derived from AIF(DCE) (mean K(trans), 0.88 [95% confidence interval {CI}: 0.81, 0.93] vs 0.72 [95% CI: 0.63, 0.79], P = .04; mean V(e), 0.87 [95% CI: 0.79, 0.92] vs 0.70 [95% CI: 0.61, 0.77], P = .049, respectively). K(trans) and V(e) showed higher intraclass correlation coefficients for AIF(generated DSC) than for AIF(DCE) (0.91 vs 0.38, P &lt; .001; and 0.86 vs 0.60, P &lt; .001, respectively). In AIF analysis, baseline signal intensity (SI), maximal SI, and wash-in slope showed higher intraclass correlation coefficients with AIF(generated DSC) than AIF(DCE) (0.77 vs 0.29, P &lt; .001; 0.68 vs 0.42, P = .003; and 0.66 vs 0.45, P = .01, respectively. Conclusion A deep learning algorithm improved both reliability and diagnostic performance of MRI pharmacokinetic parameters for differentiating astrocytoma grades. © RSNA, 2020 Online supplemental material is available for this article.</t>
  </si>
  <si>
    <t>IDH1 mutation prediction using MR-based radiomics in glioblastoma: comparison between manual and fully automated deep learning-based approach of tumor segmentation</t>
  </si>
  <si>
    <t>PURPOSE: This study aimed to determine whether MR-based radiomics of glioblastoma can predict the isocitrate dehydrogenase-1 (IDH1) mutation status and compare predictive performances between manual and fully automatic deep-learning segmentations. METHOD: Forty-five glioblastoma patients with pretreatment T2-weighted MRIs were retrospectively evaluated. Manual segmentations of glioblastoma and peri-tumoral edema were trained via a deep neural network (V-Net). An independent external cohort of 137 glioblastoma patients from the Cancer Imaging Archive was also included (test set 1, n = 46; test set 2, n = 91). Test set 1-without known IDH1 status-was used to calculate dice similarity coefficients (DSC) between the two segmentation methods (manual &amp; V-Net). From test set 2, all-relevant radiomic features were selected via a random forest-based wrapper algorithm for IDH1 prediction. Receiver operating characteristics (ROC) curves with areas under the curve (AUC) were plotted as performance metrics for both methods. RESULTS: Among 136 patients (45 and 91 patients from our institution and test set 2, respectively), 17 patients (11.2 %) had IDH1 mutations. The mean DSC of test set 1 was 0.78 ± 0.14 (range, 0.34-0.94). A subset of 9 all-relevant features (8.4 %, 9/107) was selected. V-Net segmentation of the test set 2 yielded similar performance in predicting IDH1 mutation as compared to manual segmentation (V-Net AUC = 0.86 vs. manual AUC = 0.90). The optimal cut-point threshold of AUC yielded 86.8 % accuracy for manual segmentation and 75.8 % for V-Net segmentation. CONCLUSIONS: V-Net showed robust segmentation capability of glioblastoma on T2-weighted MRI. All-relevant radiomics features from both segmentation methods yielded a similar performance in IDH1 prediction.</t>
  </si>
  <si>
    <t>Advancing Medical Imaging Informatics by Deep Learning-Based Domain Adaptation</t>
  </si>
  <si>
    <t>INTRODUCTION: There has been a rapid development of deep learning (DL) models for medical imaging. However, DL requires a large labeled dataset for training the models. Getting large-scale labeled data remains a challenge, and multi-center datasets suffer from heterogeneity due to patient diversity and varying imaging protocols. Domain adaptation (DA) has been developed to transfer the knowledge from a labeled data domain to a related but unlabeled domain in either image space or feature space. DA is a type of transfer learning (TL) that can improve the performance of models when applied to multiple different datasets. OBJECTIVE: In this survey, we review the state-of-the-art DL-based DA methods for medical imaging. We aim to summarize recent advances, highlighting the motivation, challenges, and opportunities, and to discuss promising directions for future work in DA for medical imaging. METHODS: We surveyed peer-reviewed publications from leading biomedical journals and conferences between 2017-2020, that reported the use of DA in medical imaging applications, grouping them by methodology, image modality, and learning scenarios. RESULTS: We mainly focused on pathology and radiology as application areas. Among various DA approaches, we discussed domain transformation (DT) and latent feature-space transformation (LFST). We highlighted the role of unsupervised DA in image segmentation and described opportunities for future development. CONCLUSION: DA has emerged as a promising solution to deal with the lack of annotated training data. Using adversarial techniques, unsupervised DA has achieved good performance, especially for segmentation tasks. Opportunities include domain transferability, multi-modal DA, and applications that benefit from synthetic data.</t>
  </si>
  <si>
    <t>Deep Convolutional Neural Networks for breast cancer screening</t>
  </si>
  <si>
    <t>BACKGROUND AND OBJECTIVE: Radiologists often have a hard time classifying mammography mass lesions which leads to unnecessary breast biopsies to remove suspicions and this ends up adding exorbitant expenses to an already burdened patient and health care system. METHODS: In this paper we developed a Computer-aided Diagnosis (CAD) system based on deep Convolutional Neural Networks (CNN) that aims to help the radiologist classify mammography mass lesions. Deep learning usually requires large datasets to train networks of a certain depth from scratch. Transfer learning is an effective method to deal with relatively small datasets as in the case of medical images, although it can be tricky as we can easily start overfitting. RESULTS: In this work, we explore the importance of transfer learning and we experimentally determine the best fine-tuning strategy to adopt when training a CNN model. We were able to successfully fine-tune some of the recent, most powerful CNNs and achieved better results compared to other state-of-the-art methods which classified the same public datasets. For instance we achieved 97.35% accuracy and 0.98 AUC on the DDSM database, 95.50% accuracy and 0.97 AUC on the INbreast database and 96.67% accuracy and 0.96 AUC on the BCDR database. Furthermore, after pre-processing and normalizing all the extracted Regions of Interest (ROIs) from the full mammograms, we merged all the datasets to build one large set of images and used it to fine-tune our CNNs. The CNN model which achieved the best results, a 98.94% accuracy, was used as a baseline to build the Breast Cancer Screening Framework. To evaluate the proposed CAD system and its efficiency to classify new images, we tested it on an independent database (MIAS) and got 98.23% accuracy and 0.99 AUC. CONCLUSION: The results obtained demonstrate that the proposed framework is performant and can indeed be used to predict if the mass lesions are benign or malignant.</t>
  </si>
  <si>
    <t>H. Chougrad, H. Zouaki and O. Alheyane</t>
  </si>
  <si>
    <t>Computer-Aided Diagnosis of Pulmonary Fibrosis Using Deep Learning and CT Images</t>
  </si>
  <si>
    <t>OBJECTIVES: The objective of this study is to assess the performance of a computer-aided diagnosis (CAD) system (INTACT system) for the automatic classification of high-resolution computed tomography images into 4 radiological diagnostic categories and to compare this with the performance of radiologists on the same task. MATERIALS AND METHODS: For the comparison, a total of 105 cases of pulmonary fibrosis were studied (54 cases of nonspecific interstitial pneumonia and 51 cases of usual interstitial pneumonia). All diagnoses were interstitial lung disease board consensus diagnoses (radiologically or histologically proven cases) and were retrospectively selected from our database. Two subspecialized chest radiologists made a consensual ground truth radiological diagnosis, according to the Fleischner Society recommendations. A comparison analysis was performed between the INTACT system and 2 other radiologists with different years of experience (readers 1 and 2). The INTACT system consists of a sequential pipeline in which first the anatomical structures of the lung are segmented, then the various types of pathological lung tissue are identified and characterized, and this information is then fed to a random forest classifier able to recommend a radiological diagnosis. RESULTS: Reader 1, reader 2, and INTACT achieved similar accuracy for classifying pulmonary fibrosis into the original 4 categories: 0.6, 0.54, and 0.56, respectively, with P &gt; 0.45. The INTACT system achieved an F-score (harmonic mean for precision and recall) of 0.56, whereas the 2 readers, on average, achieved 0.57 (P = 0.991). For the pooled classification (2 groups, with and without the need for biopsy), reader 1, reader 2, and CAD had similar accuracies of 0.81, 0.70, and 0.81, respectively. The F-score was again similar for the CAD system and the radiologists. The CAD system and the average reader reached F-scores of 0.80 and 0.79 (P = 0.898). CONCLUSIONS: We found that a computer-aided detection algorithm based on machine learning was able to classify idiopathic pulmonary fibrosis with similar accuracy to a human reader.</t>
  </si>
  <si>
    <t>In Silico Labeling: Predicting Fluorescent Labels in Unlabeled Images</t>
  </si>
  <si>
    <t>Microscopy is a central method in life sciences. Many popular methods, such as antibody labeling, are used to add physical fluorescent labels to specific cellular constituents. However, these approaches have significant drawbacks, including inconsistency; limitations in the number of simultaneous labels because of spectral overlap; and necessary perturbations of the experiment, such as fixing the cells, to generate the measurement. Here, we show that a computational machine-learning approach, which we call in silico labeling (ISL), reliably predicts some fluorescent labels from transmitted-light images of unlabeled fixed or live biological samples. ISL predicts a range of labels, such as those for nuclei, cell type (e.g., neural), and cell state (e.g., cell death). Because prediction happens in silico, the method is consistent, is not limited by spectral overlap, and does not disturb the experiment. ISL generates biological measurements that would otherwise be problematic or impossible to acquire.</t>
  </si>
  <si>
    <t>Cell</t>
  </si>
  <si>
    <t>Application of Deep Learning to Pancreatic Cancer Detection: Lessons Learned From Our Initial Experience</t>
  </si>
  <si>
    <t>L. C. Chu, S. Park, S. Kawamoto, Y. Wang, Y. Zhou, W. Shen, Z. Zhu, Y. Xia, L. Xie, F. Liu, Q. Yu, D. F. Fouladi, S. Shayesteh, E. Zinreich, J. S. Graves, K. M. Horton, A. L. Yuille, R. H. Hruban, K. W. Kinzler, B. Vogelstein and E. K. Fishman</t>
  </si>
  <si>
    <t>MRI super-resolution reconstruction for MRI-guided adaptive radiotherapy using cascaded deep learning: In the presence of limited training data and unknown translation model</t>
  </si>
  <si>
    <t>PURPOSE: Deep learning (DL)-based super-resolution (SR) reconstruction for magnetic resonance imaging (MRI) has recently been receiving attention due to the significant improvement in spatial resolution compared to conventional SR techniques. Challenges hindering the widespread implementation of these approaches remain, however. Low-resolution (LR) MRIs captured in the clinic exhibit complex tissue structures obfuscated by noise that are difficult for a simple DL framework to handle. Moreover, training a robust network for a SR task requires abundant, perfectly matched pairs of LR and high-resolution (HR) images that are often unavailable or difficult to collect. The purpose of this study is to develop a novel SR technique for MRI based on the concept of cascaded DL that allows for the reconstruction of high-quality SR images in the presence of insufficient training data, an unknown translation model, and noise. METHODS: The proposed framework, based on the concept named cascaded deep learning, consists of three components: (a) a denoising autoencoder (DAE) trained using clinical LR noisy MRI scans that have been processed with a nonlocal means filter that generates denoised LR data; (b) a down-sampling network (DSN) trained with a small amount of paired LR/HR data from volunteers that allows for the generation of perfectly paired LR/HR data for the training of a generative model; and (c) the proposed SR generative model (p-SRG) trained with data generated by the DSN that maps from LR inputs to HR outputs. After training, LR clinical images may be fed through the DAE and p-SRG to yield SR reconstructions of the LR input. The application of this framework was explored in two settings: 3D breath-hold MRI axial SR reconstruction from LR axial scans (&lt;3 sec/vol) and in the enhancement of the spatial resolution of LR 4D-MRI acquisitions (0.5 sec/vol). RESULTS: The DSN produces LR scans from HR inputs with a higher fidelity to true, LR clinical scans compared to conventional k-space down-sampling methods based on the metrics of root mean square error (RMSE) and structural similarity index (SSIM). Furthermore, HR outputs generated by the p-SRG exhibit improved scores in the peak signal-to-noise ratio, normalized RMSE, SSIM, and in the blind/reference-less image spatial quality evaluator assessment compared to conventional approaches to MRI SR. CONCLUSIONS: The robust, SR reconstruction method for MRI based on the novel cascaded deep learning framework is an end-to-end method for producing detail-preserving SR reconstructions from noisy, LR clinical MRI scans. Fourfold enhancements in spatial resolution facilitate target delineation and motion management during radiation therapy, enabling precise MRI-guided radiation therapy with 3D LR breath-hold MRI and 4D-MRI in a clinically feasible time frame.</t>
  </si>
  <si>
    <t>Sensor Data Acquisition and Multimodal Sensor Fusion for Human Activity Recognition Using Deep Learning</t>
  </si>
  <si>
    <t>In this paper, we perform a systematic study about the on-body sensor positioning and data acquisition details for Human Activity Recognition (HAR) systems. We build a testbed that consists of eight body-worn Inertial Measurement Units (IMU) sensors and an Android mobile device for activity data collection. We develop a Long Short-Term Memory (LSTM) network framework to support training of a deep learning model on human activity data, which is acquired in both real-world and controlled environments. From the experiment results, we identify that activity data with sampling rate as low as 10 Hz from four sensors at both sides of wrists, right ankle, and waist is sufficient in recognizing Activities of Daily Living (ADLs) including eating and driving activity. We adopt a two-level ensemble model to combine class-probabilities of multiple sensor modalities, and demonstrate that a classifier-level sensor fusion technique can improve the classification performance. By analyzing the accuracy of each sensor on different types of activity, we elaborate custom weights for multimodal sensor fusion that reflect the characteristic of individual activities.</t>
  </si>
  <si>
    <t>Automated detection and classification of the proximal humerus fracture by using deep learning algorithm</t>
  </si>
  <si>
    <t>Background and purpose - We aimed to evaluate the ability of artificial intelligence (a deep learning algorithm) to detect and classify proximal humerus fractures using plain anteroposterior shoulder radiographs. Patients and methods - 1,891 images (1 image per person) of normal shoulders (n = 515) and 4 proximal humerus fracture types (greater tuberosity, 346; surgical neck, 514; 3-part, 269; 4-part, 247) classified by 3 specialists were evaluated. We trained a deep convolutional neural network (CNN) after augmentation of a training dataset. The ability of the CNN, as measured by top-1 accuracy, area under receiver operating characteristics curve (AUC), sensitivity/specificity, and Youden index, in comparison with humans (28 general physicians, 11 general orthopedists, and 19 orthopedists specialized in the shoulder) to detect and classify proximal humerus fractures was evaluated. Results - The CNN showed a high performance of 96% top-1 accuracy, 1.00 AUC, 0.99/0.97 sensitivity/specificity, and 0.97 Youden index for distinguishing normal shoulders from proximal humerus fractures. In addition, the CNN showed promising results with 65-86% top-1 accuracy, 0.90-0.98 AUC, 0.88/0.83-0.97/0.94 sensitivity/specificity, and 0.71-0.90 Youden index for classifying fracture type. When compared with the human groups, the CNN showed superior performance to that of general physicians and orthopedists, similar performance to orthopedists specialized in the shoulder, and the superior performance of the CNN was more marked in complex 3- and 4-part fractures. Interpretation - The use of artificial intelligence can accurately detect and classify proximal humerus fractures on plain shoulder AP radiographs. Further studies are necessary to determine the feasibility of applying artificial intelligence in the clinic and whether its use could improve care and outcomes compared with current orthopedic assessments.</t>
  </si>
  <si>
    <t>S. W. Chung, S. S. Han, J. W. Lee, K. S. Oh, N. R. Kim, J. P. Yoon, J. Y. Kim, S. H. Moon, J. Kwon, H. J. Lee, Y. M. Noh and Y. Kim</t>
  </si>
  <si>
    <t>Acta Orthop</t>
  </si>
  <si>
    <t>Towards automatic pulmonary nodule management in lung cancer screening with deep learning</t>
  </si>
  <si>
    <t>The introduction of lung cancer screening programs will produce an unprecedented amount of chest CT scans in the near future, which radiologists will have to read in order to decide on a patient follow-up strategy. According to the current guidelines, the workup of screen-detected nodules strongly relies on nodule size and nodule type. In this paper, we present a deep learning system based on multi-stream multi-scale convolutional networks, which automatically classifies all nodule types relevant for nodule workup. The system processes raw CT data containing a nodule without the need for any additional information such as nodule segmentation or nodule size and learns a representation of 3D data by analyzing an arbitrary number of 2D views of a given nodule. The deep learning system was trained with data from the Italian MILD screening trial and validated on an independent set of data from the Danish DLCST screening trial. We analyze the advantage of processing nodules at multiple scales with a multi-stream convolutional network architecture, and we show that the proposed deep learning system achieves performance at classifying nodule type that surpasses the one of classical machine learning approaches and is within the inter-observer variability among four experienced human observers.</t>
  </si>
  <si>
    <t>F. Ciompi, K. Chung, S. J. van Riel, A. A. A. Setio, P. K. Gerke, C. Jacobs, E. T. Scholten, C. Schaefer-Prokop, M. M. W. Wille, A. Marchianò, U. Pastorino, M. Prokop and B. van Ginneken</t>
  </si>
  <si>
    <t>Automatic classification of pulmonary peri-fissural nodules in computed tomography using an ensemble of 2D views and a convolutional neural network out-of-the-box</t>
  </si>
  <si>
    <t>In this paper, we tackle the problem of automatic classification of pulmonary peri-fissural nodules (PFNs). The classification problem is formulated as a machine learning approach, where detected nodule candidates are classified as PFNs or non-PFNs. Supervised learning is used, where a classifier is trained to label the detected nodule. The classification of the nodule in 3D is formulated as an ensemble of classifiers trained to recognize PFNs based on 2D views of the nodule. In order to describe nodule morphology in 2D views, we use the output of a pre-trained convolutional neural network known as OverFeat. We compare our approach with a recently presented descriptor of pulmonary nodule morphology, namely Bag of Frequencies, and illustrate the advantages offered by the two strategies, achieving performance of AUC = 0.868, which is close to the one of human experts.</t>
  </si>
  <si>
    <t>F. Ciompi, B. de Hoop, S. J. van Riel, K. Chung, E. T. Scholten, M. Oudkerk, P. A. de Jong, M. Prokop and B. van Ginneken</t>
  </si>
  <si>
    <t>Determination of mammographic breast density using a deep convolutional neural network</t>
  </si>
  <si>
    <t>OBJECTIVE: High breast density is a risk factor for breast cancer. The aim of this study was to develop a deep convolutional neural network (dCNN) for the automatic classification of breast density based on the mammographic appearance of the tissue according to the American College of Radiology Breast Imaging Reporting and Data System (ACR BI-RADS) Atlas. METHODS: In this study, 20,578 mammography single views from 5221 different patients (58.3 ± 11.5 years) were downloaded from the picture archiving and communications system of our institution and automatically sorted according to the ACR density (a-d) provided by the corresponding radiological reports. A dCNN with 11 convolutional layers and 3 fully connected layers was trained and validated on an augmented dataset. The model was finally tested on two different datasets against: i) the radiological reports and ii) the consensus decision of two human readers. None of the test datasets was part of the dataset used for the training and validation of the algorithm. RESULTS: The optimal number of epochs was 91 for medio-lateral oblique (MLO) projections and 94 for cranio-caudal projections (CC), respectively. Accuracy for MLO projections obtained on the validation dataset was 90.9% (CC: 90.1%). Tested on the first test dataset of mammographies (850 MLO and 880 CC), the algorithm showed an accordance with the corresponding radiological reports of 71.7% for MLO and of 71.0% for CC. The agreement with the radiological reports improved in the differentiation between dense and fatty breast for both projections (MLO = 88.6% and CC = 89.9%). In the second test dataset of 200 mammographies, a good accordance was found between the consensus decision of the two readers on both, the MLO-model (92.2%) and the right craniocaudal-model (87.4%). In the differentiation between fatty (ACR A/B) and dense breasts (ACR C/D), the agreement reached 99% for the MLO and 96% for the CC projections, respectively. CONCLUSIONS: The dCNN allows for accurate classification of breast density based on the ACR BI-RADS system. The proposed technique may allow accurate, standardized, and observer independent breast density evaluation of mammographies. ADVANCES IN KNOWLEDGE: Standardized classification of mammographies by a dCNN could lead to a reduction of falsely classified breast densities, thereby allowing for a more accurate breast cancer risk assessment for the individual patient and a more reliable decision, whether additional ultrasound is recommended.</t>
  </si>
  <si>
    <t>Deep Learning Pre-training Strategy for Mammogram Image Classification: an Evaluation Study</t>
  </si>
  <si>
    <t>In this work, we assess how pre-training strategy affects deep learning performance for the task of distinguishing false-recall from malignancy and normal (benign) findings in digital mammography images. A cohort of 1303 breast cancer screening patients (4935 digital mammogram images in total) was retrospectively analyzed as the target dataset for this study. We assessed six different convolutional neural network model structures utilizing four different imaging datasets (total &gt; 1.4 million images (including ImageNet); medical images different in terms of scale, modality, organ, and source) for pre-training on six classification tasks to assess how the performance of CNN models varies based on training strategy. Representative pre-training strategies included transfer learning with medical and non-medical datasets, layer freezing, varied network structure, and multi-view input for both binary and triple-class classification of mammogram images. The area under the receiver operating characteristic curve (AUC) was used as the model performance metric. The best performing model out of all experimental settings was an AlexNet model incrementally pre-trained on ImageNet and a large Breast Density dataset. The AUC for the six classification tasks using this model ranged from 0.68 to 0.77. In the case of distinguishing recalled-benign mammograms from others, four out of five pre-training strategies tested produced significant performance differences from the baseline model. This study suggests that pre-training strategy influences significant performance differences, especially in the case of distinguishing recalled- benign from malignant and benign screening patients.</t>
  </si>
  <si>
    <t>Acute ischemic stroke lesion core segmentation in CT perfusion images using fully convolutional neural networks</t>
  </si>
  <si>
    <t>The use of Computed Tomography (CT) imaging for patients with stroke symptoms is an essential step for triaging and diagnosis in many hospitals. However, the subtle expression of ischemia in acute CT images has made it hard for automated methods to extract potentially quantifiable information. In this work, we present and evaluate an automated deep learning tool for acute stroke lesion core segmentation from CT and CT perfusion images. For evaluation, the Ischemic Stroke Lesion Segmentation (ISLES) 2018 challenge dataset is used that includes 94 cases for training and 62 for testing. The presented method is an improved version of our workshop challenge approach that was ranked among the workshop challenge finalists. The introduced contributions include a more regularized network training procedure, symmetric modality augmentation and uncertainty filtering. Each of these steps is quantitatively evaluated by cross-validation on the training set. Moreover, our proposal is evaluated against other state-of-the-art methods with a blind testing set evaluation using the challenge website, which maintains an ongoing leaderboard for fair and direct method comparison. The tool reaches competitive performance ranking among the top performing methods of the ISLES 2018 testing leaderboard with an average Dice similarity coefficient of 49%. In the clinical setting, this method can provide an estimate of lesion core size and location without performing time costly magnetic resonance imaging. The presented tool is made publicly available for the research community.</t>
  </si>
  <si>
    <t>Diagnostic Accuracy of a Machine-Learning Approach to Coronary Computed Tomographic Angiography-Based Fractional Flow Reserve: Result From the MACHINE Consortium</t>
  </si>
  <si>
    <t>BACKGROUND: Coronary computed tomographic angiography (CTA) is a reliable modality to detect coronary artery disease. However, CTA generally overestimates stenosis severity compared with invasive angiography, and angiographic stenosis does not necessarily imply hemodynamic relevance when fractional flow reserve (FFR) is used as reference. CTA-based FFR (CT-FFR), using computational fluid dynamics (CFD), improves the correlation with invasive FFR results but is computationally demanding. More recently, a new machine-learning (ML) CT-FFR algorithm has been developed based on a deep learning model, which can be performed on a regular workstation. In this large multicenter cohort, the diagnostic performance ML-based CT-FFR was compared with CTA and CFD-based CT-FFR for detection of functionally obstructive coronary artery disease. METHODS AND RESULTS: At 5 centers in Europe, Asia, and the United States, 351 patients, including 525 vessels with invasive FFR comparison, were included. ML-based and CFD-based CT-FFR were performed on the CTA data, and diagnostic performance was evaluated using invasive FFR as reference. Correlation between ML-based and CFD-based CT-FFR was excellent (R=0.997). ML-based (area under curve, 0.84) and CFD-based CT-FFR (0.84) outperformed visual CTA (0.69; P&lt;0.0001). On a per-vessel basis, diagnostic accuracy improved from 58% (95% confidence interval, 54%-63%) by CTA to 78% (75%-82%) by ML-based CT-FFR. The per-patient accuracy improved from 71% (66%-76%) by CTA to 85% (81%-89%) by adding ML-based CT-FFR as 62 of 85 (73%) false-positive CTA results could be correctly reclassified by adding ML-based CT-FFR. CONCLUSIONS: On-site CT-FFR based on ML improves the performance of CTA by correctly reclassifying hemodynamically nonsignificant stenosis and performs equally well as CFD-based CT-FFR.</t>
  </si>
  <si>
    <t>A. Coenen, Y. H. Kim, M. Kruk, C. Tesche, J. De Geer, A. Kurata, M. L. Lubbers, J. Daemen, L. Itu, S. Rapaka, P. Sharma, C. Schwemmer, A. Persson, U. J. Schoepf, C. Kepka, D. Hyun Yang and K. Nieman</t>
  </si>
  <si>
    <t>MAPGI: Accurate identification of anatomical landmarks and diseased tissue in gastrointestinal tract using deep learning</t>
  </si>
  <si>
    <t>Automatic detection of anatomical landmarks and diseases in medical images is a challenging task which could greatly aid medical diagnosis and reduce the cost and time of investigational procedures. Also, two particular challenges of digital image processing in medical applications are the sparsity of annotated medical images and the lack of uniformity across images and image classes. This paper presents methodologies for maximizing classification accuracy on a small medical image dataset, the Kvasir dataset, by performing robust image preprocessing and applying state-of-the-art deep learning. Images are classified as being or involving an anatomical landmark (pylorus, z-line, cecum), a diseased state (esophagitis, ulcerative colitis, polyps), or a medical procedure (dyed lifted polyps, dyed resection margins). A framework for modular and automatic preprocessing of gastrointestinal tract images (MAPGI) is proposed, which applies edge removal, contrast enhancement, filtering, color mapping and scaling to each image in the dataset. Gamma correction values are automatically calculated for individual images such that the mean pixel value for each image is normalized to 90 ± 1 in a 0-255 pixel value range. Three state-of-the-art neural networks architectures, Inception-ResNet-v2, Inception-v4, and NASNet, are trained on the Kvasir dataset, and their classification performance is juxtaposed on validation data. In each case, 85% of the images from the Kvasir dataset are used for training, while the other 15% are reserved for validation. The resulting accuracies achieved using Inception-v4, Inception-ResNet-v2, and NASNet were 0.9845, 0.9848, and 0.9735, respectively. In addition, Inception-v4 achieved an average of 0.938 precision, 0.939 recall, 0.991 specificity, 0.938 F1 score, and 0.929 Matthews correlation coefficient (MCC). Bootstrapping provided NASNet, the worst performing model, a lower bound of 0.9723 accuracy on the 95% confidence interval.</t>
  </si>
  <si>
    <t>T. Cogan, M. Cogan and L. Tamil</t>
  </si>
  <si>
    <t>RAMS: Remote and automatic mammogram screening</t>
  </si>
  <si>
    <t>About one in eight women in the U.S. will develop invasive breast cancer at some point in life. Breast cancer is the most common cancer found in women and if it is identified at an early stage by the use of mammograms, x-ray images of the breast, then the chances of successful treatment can be high. Typically, mammograms are screened by radiologists who determine whether a biopsy is necessary to ascertain the presence of cancer. Although historical screening methods have been effective, recent advances in computer vision and web technologies may be able to improve the accuracy, speed, cost, and accessibility of mammogram screenings. We propose a total screening solution comprised of three main components: a web service for uploading images and reviewing results, a machine learning algorithm for accepting or rejecting images as valid mammograms, and an artificial neural network for locating potential malignancies. Once an image is uploaded to our web service, an image acceptor determines whether or not the image is a mammogram. The image acceptor is primarily a one-class SVM built on features derived with a variational autoencoder. If an image is accepted as a mammogram, the malignancy identifier, a ResNet-101 Faster R-CNN, will locate tumors within the mammogram. On test data, the image acceptor had only 2 misclassifications out of 410 mammograms and 2 misclassifications out of 1,640 non-mammograms while the malignancy identifier achieved 0.951 AUROC when tested on BI-RADS 1, 5, and 6 images from the INbreast dataset.</t>
  </si>
  <si>
    <t>Deep Understanding of Breast Density Classification</t>
  </si>
  <si>
    <t>We have developed a deep learning architecture, DualViewNet, for mammogram density classification as well as a novel metric for quantifying network preference of mediolateral oblique (MLO) versus craniocaudal (CC) views in density classification. Also, we have provided thorough analysis and visualization to better understand the behavior of deep neural networks in density classification. Our proposed architecture, DualViewNet, simultaneously examines and classifies both MLO and CC views corresponding to the same breast, and shows best performance with a macro average AUC of 0.8970 and macro average 95% confidence interval of 0.8239-0.9450 obtained via bootstrapping 1000 test sets. By leveraging DualViewNet we provide a novel algorithm and quantitative comparison of MLO versus CC views for classification and find that MLO provides stronger influence in 1,187 out of 1,323 breasts.</t>
  </si>
  <si>
    <t>MR fingerprinting Deep RecOnstruction NEtwork (DRONE)</t>
  </si>
  <si>
    <t>PURPOSE: Demonstrate a novel fast method for reconstruction of multi-dimensional MR Fingerprinting (MRF) data using Deep Learning methods. METHODS: A neural network (NN) is defined using the TensorFlow framework and trained on simulated MRF data computed with the Extended Phase Graph formalism. The NN reconstruction accuracy for noiseless and noisy data is compared to conventional MRF template matching as a function of training data size, and quantified in simulated numerical brain phantom data and ISMRM/NIST phantom data measured on 1.5T and 3T scanners with an optimized MRF EPI and MRF FISP sequences with spiral readout. The utility of the method is demonstrated in a healthy subject in vivo at 1.5 T. RESULTS: Network training required 10 to 74 minutes and once trained, data reconstruction required approximately 10 ms for the MRF EPI and 76 ms for the MRF FISP sequence. Reconstruction of simulated, noiseless brain data using the NN resulted in a root-mean-square error (RMSE) of 2.6 ms for T(1) and 1.9 ms for T(2). The reconstruction error in the presence of noise was less than 10% for both T(1) and T(2) for signal-to-noise greater than 25 dB. Phantom measurements yielded good agreement (R(2)=0.99/0.99 for MRF EPI T(1)/T(2) and 0.94/0.98 for MRF FISP T(1)/T(2)) between the T(1) and T(2) estimated by the NN and reference values from the ISMRM/NIST phantom. CONCLUSION: Reconstruction of MRF data with a NN is accurate, 300–5000 fold faster and more robust to noise and undersampling than conventional MRF dictionary matching.</t>
  </si>
  <si>
    <t>O. Cohen, B. Zhu and M. S. Rosen</t>
  </si>
  <si>
    <t>The fate of medicine in the time of AI</t>
  </si>
  <si>
    <t>E. Coiera</t>
  </si>
  <si>
    <t>10.1016/j.tins.2017.10.001</t>
  </si>
  <si>
    <t>Predicting Age Using Neuroimaging: Innovative Brain Ageing Biomarkers</t>
  </si>
  <si>
    <t>The brain changes as we age and these changes are associated with functional deterioration and neurodegenerative disease. It is vital that we better understand individual differences in the brain ageing process; hence, techniques for making individualised predictions of brain ageing have been developed. We present evidence supporting the use of neuroimaging-based 'brain age' as a biomarker of an individual's brain health. Increasingly, research is showing how brain disease or poor physical health negatively impacts brain age. Importantly, recent evidence shows that having an 'older'-appearing brain relates to advanced physiological and cognitive ageing and the risk of mortality. We discuss controversies surrounding brain age and highlight emerging trends such as the use of multimodality neuroimaging and the employment of 'deep learning' methods.</t>
  </si>
  <si>
    <t>Trends Neurosci</t>
  </si>
  <si>
    <t>Predicting brain age with deep learning from raw imaging data results in a reliable and heritable biomarker</t>
  </si>
  <si>
    <t>Machine learning analysis of neuroimaging data can accurately predict chronological age in healthy people. Deviations from healthy brain ageing have been associated with cognitive impairment and disease. Here we sought to further establish the credentials of 'brain-predicted age' as a biomarker of individual differences in the brain ageing process, using a predictive modelling approach based on deep learning, and specifically convolutional neural networks (CNN), and applied to both pre-processed and raw T1-weighted MRI data. Firstly, we aimed to demonstrate the accuracy of CNN brain-predicted age using a large dataset of healthy adults (N = 2001). Next, we sought to establish the heritability of brain-predicted age using a sample of monozygotic and dizygotic female twins (N = 62). Thirdly, we examined the test-retest and multi-centre reliability of brain-predicted age using two samples (within-scanner N = 20; between-scanner N = 11). CNN brain-predicted ages were generated and compared to a Gaussian Process Regression (GPR) approach, on all datasets. Input data were grey matter (GM) or white matter (WM) volumetric maps generated by Statistical Parametric Mapping (SPM) or raw data. CNN accurately predicted chronological age using GM (correlation between brain-predicted age and chronological age r = 0.96, mean absolute error [MAE] = 4.16 years) and raw (r = 0.94, MAE = 4.65 years) data. This was comparable to GPR brain-predicted age using GM data (r = 0.95, MAE = 4.66 years). Brain-predicted age was a heritable phenotype for all models and input data (h(2) ≥ 0.5). Brain-predicted age showed high test-retest reliability (intraclass correlation coefficient [ICC] = 0.90-0.99). Multi-centre reliability was more variable within high ICCs for GM (0.83-0.96) and poor-moderate levels for WM and raw data (0.51-0.77). Brain-predicted age represents an accurate, highly reliable and genetically-influenced phenotype, that has potential to be used as a biomarker of brain ageing. Moreover, age predictions can be accurately generated on raw T1-MRI data, substantially reducing computation time for novel data, bringing the process closer to giving real-time information on brain health in clinical settings.</t>
  </si>
  <si>
    <t>J. H. Cole, R. P. K. Poudel, D. Tsagkrasoulis, M. W. A. Caan, C. Steves, T. D. Spector and G. Montana</t>
  </si>
  <si>
    <t>Deep Learning for Quantification of Epicardial and Thoracic Adipose Tissue From Non-Contrast CT</t>
  </si>
  <si>
    <t>Epicardial adipose tissue (EAT) is a visceral fat deposit related to coronary artery disease. Fully automated quantification of EAT volume in clinical routine could be a timesaving and reliable tool for cardiovascular risk assessment. We propose a new fully automated deep learning framework for EAT and thoracic adipose tissue (TAT) quantification from non-contrast coronary artery calcium computed tomography (CT) scans. The first multi-task convolutional neural network (ConvNet) is used to determine heart limits and perform segmentation of heart and adipose tissues. The second ConvNet, combined with a statistical shape model, allows for pericardium detection. EAT and TAT segmentations are then obtained from outputs of both ConvNets. We evaluate the performance of the method on CT data sets from 250 asymptomatic individuals. Strong agreement between automatic and expert manual quantification is obtained for both EAT and TAT with median Dice score coefficients of 0.823 (inter-quartile range (IQR): 0.779-0.860) and 0.905 (IQR: 0.862-0.928), respectively; with excellent correlations of 0.924 and 0.945 for EAT and TAT volumes. Computations are performed in &lt;6 s on a standard personal computer for one CT scan. Therefore, the proposed method represents a tool for rapid fully automated quantification of adipose tissue and may improve cardiovascular risk stratification in patients referred for routine CT calcium scans.</t>
  </si>
  <si>
    <t>F. Commandeur, M. Goeller, J. Betancur, S. Cadet, M. Doris, X. Chen, D. S. Berman, P. J. Slomka, B. K. Tamarappoo and D. Dey</t>
  </si>
  <si>
    <t>Objective Evaluation of Multiple Sclerosis Lesion Segmentation using a Data Management and Processing Infrastructure</t>
  </si>
  <si>
    <t>We present a study of multiple sclerosis segmentation algorithms conducted at the international MICCAI 2016 challenge. This challenge was operated using a new open-science computing infrastructure. This allowed for the automatic and independent evaluation of a large range of algorithms in a fair and completely automatic manner. This computing infrastructure was used to evaluate thirteen methods of MS lesions segmentation, exploring a broad range of state-of-theart algorithms, against a high-quality database of 53 MS cases coming from four centers following a common definition of the acquisition protocol. Each case was annotated manually by an unprecedented number of seven different experts. Results of the challenge highlighted that automatic algorithms, including the recent machine learning methods (random forests, deep learning, …), are still trailing human expertise on both detection and delineation criteria. In addition, we demonstrate that computing a statistically robust consensus of the algorithms performs closer to human expertise on one score (segmentation) although still trailing on detection scores.</t>
  </si>
  <si>
    <t>O. Commowick, A. Istace, M. Kain, B. Laurent, F. Leray, M. Simon, S. C. Pop, P. Girard, R. Améli, J. C. Ferré, A. Kerbrat, T. Tourdias, F. Cervenansky, T. Glatard, J. Beaumont, S. Doyle, F. Forbes, J. Knight, A. Khademi, A. Mahbod, C. Wang, R. McKinley, F. Wagner, J. Muschelli, E. Sweeney, E. Roura, X. Lladó, M. M. Santos, W. P. Santos, A. G. Silva-Filho, X. Tomas-Fernandez, H. Urien, I. Bloch, S. Valverde, M. Cabezas, F. J. Vera-Olmos, N. Malpica, C. Guttmann, S. Vukusic, G. Edan, M. Dojat, M. Styner, S. K. Warfield, F. Cotton and C. Barillot</t>
  </si>
  <si>
    <t>10.1007/s00259-019-04370-z</t>
  </si>
  <si>
    <t>What can artificial intelligence teach us about the molecular mechanisms underlying disease?</t>
  </si>
  <si>
    <t>While molecular imaging with positron emission tomography or single-photon emission computed tomography already reports on tumour molecular mechanisms on a macroscopic scale, there is increasing evidence that there are multiple additional features within medical images that can further improve tumour characterization, treatment prediction and prognostication. Early reports have already revealed the power of radiomics to personalize and improve patient management and outcomes. What remains unclear is how these additional metrics relate to underlying molecular mechanisms of disease. Furthermore, the ability to deal with increasingly large amounts of data from medical images and beyond in a rapid, reproducible and transparent manner is essential for future clinical practice. Here, artificial intelligence (AI) may have an impact. AI encompasses a broad range of 'intelligent' functions performed by computers, including language processing, knowledge representation, problem solving and planning. While rule-based algorithms, e.g. computer-aided diagnosis, have been in use for medical imaging since the 1990s, the resurgent interest in AI is related to improvements in computing power and advances in machine learning (ML). In this review we consider why molecular and cellular processes are of interest and which processes have already been exposed to AI and ML methods as reported in the literature. Non-small-cell lung cancer is used as an exemplar and the focus of this review as the most common tumour type in which AI and ML approaches have been tested and to illustrate some of the concepts.</t>
  </si>
  <si>
    <t>10.1053/j.semnuclmed.2020.05.002</t>
  </si>
  <si>
    <t>A Role for FDG PET Radiomics in Personalized Medicine?</t>
  </si>
  <si>
    <t>Radiomics describes the extraction of multiple features from medical images, including molecular imaging modalities, that with bioinformatic approaches, provide additional clinically relevant information that may be invisible to the human eye. This information may complement standard radiological interpretation with data that may better characterize a disease or that may provide predictive or prognostic information. Progressing from predefined image features, often describing heterogeneity of voxel intensities within a volume of interest, there is increasing use of machine learning to classify disease characteristics and deep learning methods based on artificial neural networks that can learn features without a priori definition and without the need for preprocessing of images. There have been advances in standardization and harmonization of methods to a level that should support multicenter studies. However, in this relatively early phase of research in the field, there are limited aspects that have been adopted into routine practice. Most of the reports in the molecular imaging field describe radiomic approaches in cancer using (18)F-fluorodeoxyglucose positron emission tomography ((18)F-FDG-PET). In this review, we will describe radiomics in molecular imaging and summarize the pertinent literature in lung cancer where reports are most prevalent and mature.</t>
  </si>
  <si>
    <t>Semin Nucl Med</t>
  </si>
  <si>
    <t>Fusion of multiple segmentations of medical images using OV(2)ASSION and Deep Learning methods: Application to CT-Scans for tumoral kidney</t>
  </si>
  <si>
    <t>Nephroblastoma is the most common kidney tumour in children. Its diagnosis is based on imagery. In the SAIAD project, we have designed a platform for optimizing the segmentation of deformed kidney and tumour with a small dataset, using Artificial Intelligence methods. These patient's structures segmented by separate tools and processes must then be fused to obtain a unique numerical 3D representation. However, when aggregating these structures into a final segmentation, conflicting pixels may appear. These conflicts can be solved by IA techniques. This paper presents a synthesis of our segmentation contribution in the SAIAD project and a new fusion method. The segmentation method uses the FCN-8s network with the OV(2)ASSION training method, which allows segmentation by patient and overcomes the limited dataset. This new fusion method combines the segmentations of the previously performed structures, using a simple and efficient network combined with the OV(2)ASSION training method as well, in order to manage eventual conflicting pixels. These segmentation and fusion methods were evaluated on pathological kidney and tumour structures of 14 patients affected by nephroblastoma, included in the final dataset of the SAIAD project. They are compared with other methods adapted from the literature. The results demonstrate the effectiveness of our training method coupled with the FCN-8s network in the segmentation process with more patients, and in the case of the fusion process, its effectiveness coupled with a common network, in resolving the conflicting pixels and its ability to improve the resulting segmentations.</t>
  </si>
  <si>
    <t>Quantitative Ultrasound Image Analysis of Axillary Lymph Nodes to Diagnose Metastatic Involvement in Breast Cancer</t>
  </si>
  <si>
    <t>This study aimed to assess the potential of state-of-the-art ultrasound analysis techniques to non-invasively diagnose axillary lymph nodes involvement in breast cancer. After exclusion criteria, 105 patients were selected from two different hospitals. The 118 lymph node ultrasound images taken from these patients were divided into 53 cases and 65 controls, which made up the study series. The clinical outcome of each node was verified by ultrasound-guided fine needle aspiration, core needle biopsy or surgical biopsy. The achieved accuracy of the proposed method was 86.4%, with 84.9% sensitivity and 87.7% specificity. When tested on breast cancer patients only, the proposed method improved the accuracy of the sonographic assessment of axillary lymph nodes performed by expert radiologists by 9% (87.0% vs 77.9%). In conclusion, the results demonstrate the potential of ultrasound image analysis to detect the microstructural and compositional changes that occur in lymph nodes because of metastatic involvement.</t>
  </si>
  <si>
    <t>Ultrasound Med Biol</t>
  </si>
  <si>
    <t>Deep Learning to Classify Intraductal Papillary Mucinous Neoplasms Using Magnetic Resonance Imaging</t>
  </si>
  <si>
    <t>OBJECTIVE: This study aimed to evaluate a deep learning protocol to identify neoplasia in intraductal papillary mucinous neoplasia (IPMN) in comparison to current radiographic criteria. METHODS: A computer-aided framework was designed using convolutional neural networks to classify IPMN. The protocol was applied to magnetic resonance images of the pancreas. Features of IPMN were classified according to American Gastroenterology Association guidelines, Fukuoka guidelines, and the new deep learning protocol. Sensitivity and specificity were calculated using surgically resected cystic lesions or healthy controls. RESULTS: Of 139 cases, 58 (42%) were male; mean (standard deviation) age was 65.3 (11.9) years. Twenty-two percent had normal pancreas; 34%, low-grade dysplasia; 14%, high-grade dysplasia; and 29%, adenocarcinoma. The deep learning protocol sensitivity and specificity to detect dysplasia were 92% and 52%, respectively. Sensitivity and specificity to identify high-grade dysplasia or cancer were 75% and 78%, respectively. Diagnostic performance was similar to radiologic criteria. Areas under the receiver operating curves (95% confidence interval) were 0.76 (0.70-0.84) for American Gastroenterology Association, 0.77 (0.70-0.85) for Fukuoka, and 0.78 (0.71-0.85) for the deep learning protocol (P = 0.90). CONCLUSIONS: The deep learning protocol showed accuracy comparable to current radiographic criteria. Computer-aided frameworks could be implemented as aids for radiologists to identify high-risk IPMN.</t>
  </si>
  <si>
    <t>Pancreas</t>
  </si>
  <si>
    <t>Deep learning and radiomics: the utility of Google TensorFlow™ Inception in classifying clear cell renal cell carcinoma and oncocytoma on multiphasic CT</t>
  </si>
  <si>
    <t>PURPOSE: Currently, all solid enhancing renal masses without microscopic fat are considered malignant until proven otherwise and there is substantial overlap in the imaging findings of benign and malignant renal masses, particularly between clear cell RCC (ccRCC) and benign oncocytoma (ONC). Radiomics has attracted increased attention for its utility in pre-operative work-up on routine clinical images. Radiomics based approaches have converted medical images into mineable data and identified prognostic imaging signatures that machine learning algorithms can use to construct predictive models by learning the decision boundaries of the underlying data distribution. The TensorFlow™ framework from Google is a state-of-the-art open-source software library that can be used for training deep learning neural networks for performing machine learning tasks. The purpose of this study was to investigate the diagnostic value and feasibility of a deep learning-based renal lesion classifier using open-source Google TensorFlow™ Inception in differentiating ccRCC from ONC on routine four-phase MDCT in patients with pathologically confirmed renal masses. METHODS: With institutional review board approval for this 1996 Health Insurance Portability and Accountability Act compliant retrospective study and a waiver of informed consent, we queried our institution's pathology, clinical, and radiology databases for histologically proven cases of ccRCC and ONC obtained between January 2000 and January 2016 scanned with a an intravenous contrast-enhanced four-phase renal mass protocol (unenhanced (UN), corticomedullary (CM), nephrographic (NP), and excretory (EX) phases). To extract features to be used for the machine learning model, the entire renal mass was contoured in the axial plane in each of the four phases, resulting in a 3D volume of interest (VOI) representative of the entire renal mass. We investigated thirteen different approaches to convert the acquired VOI data into a set of images that adequately represented each tumor which was used to train the final layer of the neural network model. Training was performed over 4000 iterations. In each iteration, 90% of the data were designated as training data and the remaining 10% served as validation data and a leave-one-out cross-validation scheme was implemented. Accuracy, sensitivity, specificity, positive (PPV) and negative predictive (NPV) values, and CIs were calculated for the classification of the thirteen processing modes. RESULTS: We analyzed 179 consecutive patients with 179 lesions (128 ccRCC and 51 ONC). The ccRCC cohort had a mean size of 3.8 cm (range 0.8-14.6 cm) and the ONC cohort had a mean lesion size of 3.9 cm (range 1.0-13.1 cm). The highest specificity and PPV (52.9% and 80.3%, respectively) were achieved in the EX phase when we analyzed the single mid-slice of the tumor in the axial, coronal and sagittal plane, and when we increased the number of mid-slices of the tumor to three, with an accuracy of 75.4%, which also increased the sensitivity to 88.3% and the PPV to 79.6%. Using the entire tumor volume also showed that classification performance was best in the EX phase with an accuracy of 74.4%, a sensitivity of 85.8% and a PPV of 80.1%. When the entire tumor volume, plus mid-slices from all phases and all planes presented as tiled images, were submitted to the final layer of the neural network we achieved a PPV of 82.5%. CONCLUSIONS: The best classification result was obtained in the EX phase among the thirteen classification methods tested. Our proof of concept study is the first step towards understanding the utility of machine learning in the differentiation of ccRCC from ONC on routine CT images. We hope this could lead to future investigation into the development of a multivariate machine learning model which may augment our ability to accurately predict renal lesion histology on imaging.</t>
  </si>
  <si>
    <t>H. Coy, K. Hsieh, W. Wu, M. B. Nagarajan, J. R. Young, M. L. Douek, M. S. Brown, F. Scalzo and S. S. Raman</t>
  </si>
  <si>
    <t>Using deep learning to generate synthetic B-mode musculoskeletal ultrasound images</t>
  </si>
  <si>
    <t>BACKGROUND AND OBJECTIVE: Deep learning approaches are common in image processing, but often rely on supervised learning, which requires a large volume of training images, usually accompanied by hand-crafted labels. As labelled data are often not available, it would be desirable to develop methods that allow such data to be compiled automatically. In this study, we used a Generative Adversarial Network (GAN) to generate realistic B-mode musculoskeletal ultrasound images, and tested the suitability of two automated labelling approaches. METHODS: We used a model including two GANs each trained to transfer an image from one domain to another. The two inputs were a set of 100 longitudinal images of the gastrocnemius medialis muscle, and a set of 100 synthetic segmented masks that featured two aponeuroses and a random number of 'fascicles'. The model output a set of synthetic ultrasound images and an automated segmentation of each real input image. This automated segmentation process was one of the two approaches we assessed. The second approach involved synthesising ultrasound images and then feeding these images into an ImageJ/Fiji-based automated algorithm, to determine whether it could detect the aponeuroses and muscle fascicles. RESULTS: Histogram distributions were similar between real and synthetic images, but synthetic images displayed less variation between samples and a narrower range. Mean entropy values were statistically similar (real: 6.97, synthetic: 7.03; p = 0.218), but the range was much narrower for synthetic images (6.91 - 7.11 versus 6.30 - 7.62). When comparing GAN-derived and manually labelled segmentations, intersection-over-union values- denoting the degree of overlap between aponeurosis labels- varied between 0.0280 - 0.612 (mean ± SD: 0.312 ± 0.159), and pennation angles were higher for the GAN-derived segmentations (25.1° vs. 19.3°; p &lt; 0.001). For the second segmentation approach, the algorithm generally performed equally well on synthetic and real images, yielding pennation angles within the physiological range (13.8-20°). CONCLUSIONS: We used a GAN to generate realistic B-mode ultrasound images, and extracted muscle architectural parameters from these images automatically. This approach could enable generation of large labelled datasets for image segmentation tasks, and may also be useful for data sharing. Automatic generation and labelling of ultrasound images minimises user input and overcomes several limitations associated with manual analysis.</t>
  </si>
  <si>
    <t>Deep convolutional neural networks in the classification of dual-energy thoracic radiographic views for efficient workflow: analysis on over 6500 clinical radiographs</t>
  </si>
  <si>
    <t>DICOM header information is frequently used to classify medical image types; however, if a header is missing fields or contains incorrect data, the utility is limited. To expedite image classification, we trained convolutional neural networks (CNNs) in two classification tasks for thoracic radiographic views obtained from dual-energy studies: (a) distinguishing between frontal, lateral, soft tissue, and bone images and (b) distinguishing between posteroanterior (PA) or anteroposterior (AP) chest radiographs. CNNs with AlexNet architecture were trained from scratch. 1910 manually classified radiographs were used for training the network to accomplish task (a), then tested with an independent test set (3757 images). Frontal radiographs from the two datasets were combined to train a network to accomplish task (b); tested using an independent test set of 1000 radiographs. ROC analysis was performed for each trained CNN with area under the curve (AUC) as a performance metric. Classification between frontal images (AP/PA) and other image types yielded an AUC of 0.997 [95% confidence interval (CI): 0.996, 0.998]. Classification between PA and AP radiographs resulted in an AUC of 0.973 (95% CI: 0.961, 0.981). CNNs were able to rapidly classify thoracic radiographs with high accuracy, thus potentially contributing to effective and efficient workflow.</t>
  </si>
  <si>
    <t>Accurate and reproducible invasive breast cancer detection in whole-slide images: A Deep Learning approach for quantifying tumor extent</t>
  </si>
  <si>
    <t>With the increasing ability to routinely and rapidly digitize whole slide images with slide scanners, there has been interest in developing computerized image analysis algorithms for automated detection of disease extent from digital pathology images. The manual identification of presence and extent of breast cancer by a pathologist is critical for patient management for tumor staging and assessing treatment response. However, this process is tedious and subject to inter- and intra-reader variability. For computerized methods to be useful as decision support tools, they need to be resilient to data acquired from different sources, different staining and cutting protocols and different scanners. The objective of this study was to evaluate the accuracy and robustness of a deep learning-based method to automatically identify the extent of invasive tumor on digitized images. Here, we present a new method that employs a convolutional neural network for detecting presence of invasive tumor on whole slide images. Our approach involves training the classifier on nearly 400 exemplars from multiple different sites, and scanners, and then independently validating on almost 200 cases from The Cancer Genome Atlas. Our approach yielded a Dice coefficient of 75.86%, a positive predictive value of 71.62% and a negative predictive value of 96.77% in terms of pixel-by-pixel evaluation compared to manually annotated regions of invasive ductal carcinoma.</t>
  </si>
  <si>
    <t>A. Cruz-Roa, H. Gilmore, A. Basavanhally, M. Feldman, S. Ganesan, N. N. C. Shih, J. Tomaszewski, F. A. González and A. Madabhushi</t>
  </si>
  <si>
    <t>A deep learning architecture for image representation, visual interpretability and automated basal-cell carcinoma cancer detection</t>
  </si>
  <si>
    <t>This paper presents and evaluates a deep learning architecture for automated basal cell carcinoma cancer detection that integrates (1) image representation learning, (2) image classification and (3) result interpretability. A novel characteristic of this approach is that it extends the deep learning architecture to also include an interpretable layer that highlights the visual patterns that contribute to discriminate between cancerous and normal tissues patterns, working akin to a digital staining which spotlights image regions important for diagnostic decisions. Experimental evaluation was performed on set of 1,417 images from 308 regions of interest of skin histopathology slides, where the presence of absence of basal cell carcinoma needs to be determined. Different image representation strategies, including bag of features (BOF), canonical (discrete cosine transform (DCT) and Haar-based wavelet transform (Haar)) and proposed learned-from-data representations, were evaluated for comparison. Experimental results show that the representation learned from a large histology image data set has the best overall performance (89.4% in F-measure and 91.4% in balanced accuracy), which represents an improvement of around 7% over canonical representations and 3% over the best equivalent BOF representation.</t>
  </si>
  <si>
    <t>A. A. Cruz-Roa, J. E. Arevalo Ovalle, A. Madabhushi and F. A. González Osorio</t>
  </si>
  <si>
    <t>Deep Learning Classification for Diabetic Foot Thermograms</t>
  </si>
  <si>
    <t>According to the World Health Organization (WHO), Diabetes Mellitus (DM) is one of the most prevalent diseases in the world. It is also associated with a high mortality index. Diabetic foot is one of its main complications, and it comprises the development of plantar ulcers that could result in an amputation. Several works report that thermography is useful to detect changes in the plantar temperature, which could give rise to a higher risk of ulceration. However, the plantar temperature distribution does not follow a particular pattern in diabetic patients, thereby making it difficult to measure the changes. Thus, there is an interest in improving the success of the analysis and classification methods that help to detect abnormal changes in the plantar temperature. All this leads to the use of computer-aided systems, such as those involved in artificial intelligence (AI), which operate with highly complex data structures. This paper compares machine learning-based techniques with Deep Learning (DL) structures. We tested common structures in the mode of transfer learning, including AlexNet and GoogleNet. Moreover, we designed a new DL-structure, which is trained from scratch and is able to reach higher values in terms of accuracy and other quality measures. The main goal of this work is to analyze the use of AI and DL for the classification of diabetic foot thermograms, highlighting their advantages and limitations. To the best of our knowledge, this is the first proposal of DL networks applied to the classification of diabetic foot thermograms. The experiments are conducted over thermograms of DM and control groups. After that, a multi-level classification is performed based on a previously reported thermal change index. The high accuracy obtained shows the usefulness of AI and DL as auxiliary tools to aid during the medical diagnosis.</t>
  </si>
  <si>
    <t>PET image denoising using unsupervised deep learning</t>
  </si>
  <si>
    <t>PURPOSE: Image quality of positron emission tomography (PET) is limited by various physical degradation factors. Our study aims to perform PET image denoising by utilizing prior information from the same patient. The proposed method is based on unsupervised deep learning, where no training pairs are needed. METHODS: In this method, the prior high-quality image from the patient was employed as the network input and the noisy PET image itself was treated as the training label. Constrained by the network structure and the prior image input, the network was trained to learn the intrinsic structure information from the noisy image and output a restored PET image. To validate the performance of the proposed method, a computer simulation study based on the BrainWeb phantom was first performed. A (68)Ga-PRGD2 PET/CT dataset containing 10 patients and a (18)F-FDG PET/MR dataset containing 30 patients were later on used for clinical data evaluation. The Gaussian, non-local mean (NLM) using CT/MR image as priors, BM4D, and Deep Decoder methods were included as reference methods. The contrast-to-noise ratio (CNR) improvements were used to rank different methods based on Wilcoxon signed-rank test. RESULTS: For the simulation study, contrast recovery coefficient (CRC) vs. standard deviation (STD) curves showed that the proposed method achieved the best performance regarding the bias-variance tradeoff. For the clinical PET/CT dataset, the proposed method achieved the highest CNR improvement ratio (53.35% ± 21.78%), compared with the Gaussian (12.64% ± 6.15%, P = 0.002), NLM guided by CT (24.35% ± 16.30%, P = 0.002), BM4D (38.31% ± 20.26%, P = 0.002), and Deep Decoder (41.67% ± 22.28%, P = 0.002) methods. For the clinical PET/MR dataset, the CNR improvement ratio of the proposed method achieved 46.80% ± 25.23%, higher than the Gaussian (18.16% ± 10.02%, P &lt; 0.0001), NLM guided by MR (25.36% ± 19.48%, P &lt; 0.0001), BM4D (37.02% ± 21.38%, P &lt; 0.0001), and Deep Decoder (30.03% ± 20.64%, P &lt; 0.0001) methods. Restored images for all the datasets demonstrate that the proposed method can effectively smooth out the noise while recovering image details. CONCLUSION: The proposed unsupervised deep learning framework provides excellent image restoration effects, outperforming the Gaussian, NLM methods, BM4D, and Deep Decoder methods.</t>
  </si>
  <si>
    <t>Deep reconstruction model for dynamic PET images</t>
  </si>
  <si>
    <t>Accurate and robust tomographic reconstruction from dynamic positron emission tomography (PET) acquired data is a difficult problem. Conventional methods, such as the maximum likelihood expectation maximization (MLEM) algorithm for reconstructing the activity distribution-based on individual frames, may lead to inaccurate results due to the checkerboard effect and limitation of photon counts. In this paper, we propose a stacked sparse auto-encoder based reconstruction framework for dynamic PET imaging. The dynamic reconstruction problem is formulated in a deep learning representation, where the encoding layers extract the prototype features, such as edges, so that, in the decoding layers, the reconstructed results are obtained through a combination of those features. The qualitative and quantitative results of the procedure, including the data based on a Monte Carlo simulation and real patient data demonstrates the effectiveness of our method.</t>
  </si>
  <si>
    <t>J. Cui, X. Liu, Y. Wang and H. Liu</t>
  </si>
  <si>
    <t>Hippocampus Analysis by Combination of 3-D DenseNet and Shapes for Alzheimer's Disease Diagnosis</t>
  </si>
  <si>
    <t>Hippocampus is one of the first involved regions in Alzheimer's disease (AD) and mild cognitive impairment (MCI), a prodromal stage of AD. Hippocampal atrophy is a validated, easily accessible, and widely used biomarker for AD diagnosis. Most of existing methods compute the shape and volume features for hippocampus analysis using structural magnetic resonance images (MRI). However, the regions adjacent to hippocampus may be relevant to AD, and the visual features of the hippocampal region are important for disease diagnosis. In this paper, we have proposed a new hippocampus analysis method to combine the global and local features of hippocampus by three-dimensional densely connected convolutional networks and shape analysis for AD diagnosis. The proposed method can make use of the local visual and global shape features to enhance the classification. Tissue segmentation and nonlinear registration are not required in the proposed method. Our method is evaluated with the T1-weighted structural MRIs from 811 subjects including 192 AD, 396 MCI (231 stable MCI and 165 progressive MCI), and 223 normal control in Alzheimer's disease neuroimaging initiative database. Experimental results show the proposed method achieves a classification accuracy of 92.29% and area under the ROC curve of 96.95% for AD diagnosis. Results comparison demonstrates the proposed method performs better than other methods.</t>
  </si>
  <si>
    <t>10.1155/2018/4940593</t>
  </si>
  <si>
    <t>Automatic Semantic Segmentation of Brain Gliomas from MRI Images Using a Deep Cascaded Neural Network</t>
  </si>
  <si>
    <t>Brain tumors can appear anywhere in the brain and have vastly different sizes and morphology. Additionally, these tumors are often diffused and poorly contrasted. Consequently, the segmentation of brain tumor and intratumor subregions using magnetic resonance imaging (MRI) data with minimal human interventions remains a challenging task. In this paper, we present a novel fully automatic segmentation method from MRI data containing in vivo brain gliomas. This approach can not only localize the entire tumor region but can also accurately segment the intratumor structure. The proposed work was based on a cascaded deep learning convolutional neural network consisting of two subnetworks: (1) a tumor localization network (TLN) and (2) an intratumor classification network (ITCN). The TLN, a fully convolutional network (FCN) in conjunction with the transfer learning technology, was used to first process MRI data. The goal of the first subnetwork was to define the tumor region from an MRI slice. Then, the ITCN was used to label the defined tumor region into multiple subregions. Particularly, ITCN exploited a convolutional neural network (CNN) with deeper architecture and smaller kernel. The proposed approach was validated on multimodal brain tumor segmentation (BRATS 2015) datasets, which contain 220 high-grade glioma (HGG) and 54 low-grade glioma (LGG) cases. Dice similarity coefficient (DSC), positive predictive value (PPV), and sensitivity were used as evaluation metrics. Our experimental results indicated that our method could obtain the promising segmentation results and had a faster segmentation speed. More specifically, the proposed method obtained comparable and overall better DSC values (0.89, 0.77, and 0.80) on the combined (HGG + LGG) testing set, as compared to other methods reported in the literature. Additionally, the proposed approach was able to complete a segmentation task at a rate of 1.54 seconds per slice.</t>
  </si>
  <si>
    <t>Development and clinical application of deep learning model for lung nodules screening on CT images</t>
  </si>
  <si>
    <t>Lung cancer screening based on low-dose CT (LDCT) has now been widely applied because of its effectiveness and ease of performance. Radiologists who evaluate a large LDCT screening images face enormous challenges, including mechanical repetition and boring work, the easy omission of small nodules, lack of consistent criteria, etc. It requires an efficient method for helping radiologists improve nodule detection accuracy with efficiency and cost-effectiveness. Many novel deep neural network-based systems have demonstrated the potential for use in the proposed technique to detect lung nodules. However, the effectiveness of clinical practice has not been fully recognized or proven. Therefore, the aim of this study to develop and assess a deep learning (DL) algorithm in identifying pulmonary nodules (PNs) on LDCT and investigate the prevalence of the PNs in China. Radiologists and algorithm performance were assessed using the FROC score, ROC-AUC, and average time consumption. Agreement between the reference standard and the DL algorithm in detecting positive nodules was assessed per-study by Bland-Altman analysis. The Lung Nodule Analysis (LUNA) public database was used as the external test. The prevalence of NCPNs was investigated as well as other detailed information regarding the number of pulmonary nodules, their location, and characteristics, as interpreted by two radiologists.</t>
  </si>
  <si>
    <t>10.1016/j.jaad.2019.06.042</t>
  </si>
  <si>
    <t>Assessing the effectiveness of artificial intelligence methods for melanoma: A retrospective review</t>
  </si>
  <si>
    <t>BACKGROUND: Artificial intelligence methods for the classification of melanoma have been studied extensively. However, few studies compare these methods under the same standards. OBJECTIVE: To seek the best artificial intelligence method for diagnosis of melanoma. METHODS: The contrast test used 2200 dermoscopic images. Image segmentations, feature extractions, and classifications were performed in sequence for evaluation of traditional machine learning algorithms. The recent popular convolutional neural network frameworks were used for transfer learning training classification. RESULTS: The region growing algorithm has the best segmentation performance, with an intersection over union of 70.06% and a false-positive rate of 17.67%. Classification performance was better with logistic regression, with a sensitivity of 76.36% and a specificity of 87.04%. The Inception V3 model (Google, Mountain View, CA) worked best in deep learning algorithms: the accuracy was 93.74%, the sensitivity was 94.36%, and the specificity was 85.64%. LIMITATIONS: There was no division in the severity of melanoma samples used in this experiment. The data set was relatively small for deep learning. CONCLUSION: The performance of traditional machine learning is satisfactory for the small data set of melanoma dermoscopic images, and the potential for deep learning in the future big data era is enormous.</t>
  </si>
  <si>
    <t>J Am Acad Dermatol</t>
  </si>
  <si>
    <t>10.1016/j.canlet.2020.03.032</t>
  </si>
  <si>
    <t>Machine Learning in oncology: A clinical appraisal</t>
  </si>
  <si>
    <t>Machine learning (ML) is a branch of artificial intelligence centered on algorithms which do not need explicit prior programming to function but automatically learn from available data, creating decision models to complete tasks. ML-based tools have numerous promising applications in several fields of medicine. Its use has grown following the increased availability of patient data due to technological advances such as digital health records and high-volume information extraction from medical images. Multiple ML algorithms have been proposed for applications in oncology. For instance, they have been employed for oncological risk assessment, automated segmentation, lesion detection, characterization, grading and staging, prediction of prognosis and therapy response. In the near future, ML could become essential part of every step of oncological screening strategies and patients' management thus leading to precision medicine.</t>
  </si>
  <si>
    <t>Cancer Lett</t>
  </si>
  <si>
    <t>10.1186/s41747-019-0109-2</t>
  </si>
  <si>
    <t>Machine learning applications in prostate cancer magnetic resonance imaging</t>
  </si>
  <si>
    <t>With this review, we aimed to provide a synopsis of recently proposed applications of machine learning (ML) in radiology focusing on prostate magnetic resonance imaging (MRI). After defining the difference between ML and classical rule-based algorithms and the distinction among supervised, unsupervised and reinforcement learning, we explain the characteristic of deep learning (DL), a particular new type of ML, including its structure mimicking human neural networks and its 'black box' nature. Differences in the pipeline for applying ML and DL to prostate MRI are highlighted. The following potential clinical applications in different settings are outlined, many of them based only on MRI-unenhanced sequences: gland segmentation; assessment of lesion aggressiveness to distinguish between clinically significant and indolent cancers, allowing for active surveillance; cancer detection/diagnosis and localisation (transition versus peripheral zone, use of prostate imaging reporting and data system (PI-RADS) version 2), reading reproducibility, differentiation of cancers from prostatitis benign hyperplasia; local staging and pre-treatment assessment (detection of extraprostatic disease extension, planning of radiation therapy); and prediction of biochemical recurrence. Results are promising, but clinical applicability still requires more robust validation across scanner vendors, field strengths and institutions.</t>
  </si>
  <si>
    <t>Automatic quantification of the LV function and mass: A deep learning approach for cardiovascular MRI</t>
  </si>
  <si>
    <t>OBJECTIVE: This paper proposes a novel approach for automatic left ventricle (LV) quantification using convolutional neural networks (CNN). METHODS: The general framework consists of one CNN for detecting the LV, and another for tissue classification. Also, three new deep learning architectures were proposed for LV quantification. These new CNNs introduce the ideas of sparsity and depthwise separable convolution into the U-net architecture, as well as, a residual learning strategy level-to-level. To this end, we extend the classical U-net architecture and use the generalized Jaccard distance as optimization objective function. RESULTS: The CNNs were trained and evaluated with 140 patients from two public cardiovascular magnetic resonance datasets (Sunnybrook and Cardiac Atlas Project) by using a 5-fold cross-validation strategy. Our results demonstrate a suitable accuracy for myocardial segmentation ( ∼ 0.9 Dice's coefficient), and a strong correlation with the most relevant physiological measures: 0.99 for end-diastolic and end-systolic volume, 0.97 for the left myocardial mass, 0.95 for the ejection fraction and 0.93 for the stroke volume and cardiac output. CONCLUSION: Our simulation and clinical evaluation results demonstrate the capability and merits of the proposed CNN to estimate different structural and functional features such as LV mass and EF which are commonly used for both diagnosis and treatment of different pathologies. SIGNIFICANCE: This paper suggests a new approach for automatic LV quantification based on deep learning where errors are comparable to the inter- and intra-operator ranges for manual contouring.</t>
  </si>
  <si>
    <t>A. H. Curiale, F. D. Colavecchia and G. Mato</t>
  </si>
  <si>
    <t>10.2967/jnmt.119.232470</t>
  </si>
  <si>
    <t>Intelligent Imaging: Anatomy of Machine Learning and Deep Learning</t>
  </si>
  <si>
    <t>The emergence of artificial intelligence (AI) in nuclear medicine and radiology has been accompanied by AI commentators and experts predicting that AI would make radiologists, in particular, extinct. More realistic perspectives suggest significant changes will occur in medical practice. There is no escaping the disruptive technology associated with AI, neural networks, and deep learning, the most significant perhaps since the early days of Roentgen, Becquerel, and Curie. AI is an omen, but it need not be foreshadowing a negative event; rather, it is heralding great opportunity. The key to sustainability lies not in resisting AI but in having a deep understanding and exploiting the capabilities of AI in nuclear medicine while mastering those capabilities unique to the human resources.</t>
  </si>
  <si>
    <t>G. Currie</t>
  </si>
  <si>
    <t>J Nucl Med Technol</t>
  </si>
  <si>
    <t>10.1053/j.semnuclmed.2020.08.001</t>
  </si>
  <si>
    <t>Ethical and Legal Challenges of Artificial Intelligence in Nuclear Medicine</t>
  </si>
  <si>
    <t>Artificial intelligence (AI) in nuclear medicine has gained significant traction and promises to be a disruptive, but innovative, technology. Recent developments in artificial neural networks, machine learning, and deep learning have ignited debate with respect to ethical and legal challenges associated with the use of AI in healthcare and medicine. While AI in nuclear medicine has the potential to improve workflow and productivity, and enhance clinical and research capabilities, there remains a professional responsibility to the profession and to patients: ethical, social, and legal. Enthusiasm to embrace new technology should not displace responsibilities for the ethical, social, and legal application of technology. This is especially true in relation to data usage, the algorithms applied, and how algorithms are used in practice. Governance of software and algorithms used for detection (segmentation) and/or diagnosis (classification) of disease using medical images requires rigorous evidence-based regulation. A number of frameworks have been developed for ethical application of AI generally in society and in radiology. For nuclear medicine, consideration needs to be given to beneficence, nonmaleficence, fairness and justice, safety, reliability, data security, privacy and confidentiality, mitigation of bias, transparency, explainability, and autonomy. AI is merely a tool, how it is utilised is a human choice. There is potential for AI applications to enhance clinical and research practice in nuclear medicine and concurrently produce deeper, more meaningful interactions between the physicians and the patient. Nonetheless ethical, legal, and social challenges demand careful attention and formulation of standards/guidelines for nuclear medicine.</t>
  </si>
  <si>
    <t>10.1016/j.jmir.2019.09.005</t>
  </si>
  <si>
    <t>Machine Learning and Deep Learning in Medical Imaging: Intelligent Imaging</t>
  </si>
  <si>
    <t>Artificial intelligence (AI) in medical imaging is a potentially disruptive technology. An understanding of the principles and application of radiomics, artificial neural networks, machine learning, and deep learning is an essential foundation to weave design solutions that accommodate ethical and regulatory requirements, and to craft AI-based algorithms that enhance outcomes, quality, and efficiency. Moreover, a more holistic perspective of applications, opportunities, and challenges from a programmatic perspective contributes to ethical and sustainable implementation of AI solutions.</t>
  </si>
  <si>
    <t>J Med Imaging Radiat Sci</t>
  </si>
  <si>
    <t>10.2967/jnmt.119.232462</t>
  </si>
  <si>
    <t>Intelligent Imaging: Artificial Intelligence Augmented Nuclear Medicine</t>
  </si>
  <si>
    <t>Artificial intelligence (AI) in nuclear medicine and radiology represents a significant disruptive technology. Although there has been much debate about the impact of AI on the careers of radiologists, the opportunities in nuclear medicine enhance the capability of the physician and at the same time have an impact on the responsibilities of physicists and technologists. This transformative technology requires insight into the principles and opportunities for seamless assimilation into practice without the associated displacement of human resources. This article introduces the current clinical applications of machine learning and deep learning.</t>
  </si>
  <si>
    <t>G. M. Currie</t>
  </si>
  <si>
    <t>Cytokit: a single-cell analysis toolkit for high dimensional fluorescent microscopy imaging</t>
  </si>
  <si>
    <t>BACKGROUND: Multiplexed in-situ fluorescent imaging offers several advantages over single-cell assays that do not preserve the spatial characteristics of biological samples. This spatial information, in addition to morphological properties and extensive intracellular or surface marker profiling, comprise promising avenues for rapid advancements in the understanding of disease progression and diagnosis. As protocols for conducting such imaging experiments continue to improve, it is the intent of this study to provide and validate software for processing the large quantity of associated data in kind. RESULTS: Cytokit offers (i) an end-to-end, GPU-accelerated image processing pipeline; (ii) efficient input/output (I/O) strategies for operations specific to high dimensional microscopy; and (iii) an interactive user interface for cross filtering of spatial, graphical, expression, and morphological cell properties within the 100+ GB image datasets common to multiplexed immunofluorescence. Image processing operations supported in Cytokit are generally sourced from existing deep learning models or are at least in part adapted from open source packages to run in a single or multi-GPU environment. The efficacy of these operations is demonstrated through several imaging experiments that pair Cytokit results with those from an independent but comparable assay. A further validation also demonstrates that previously published results can be reproduced from a publicly available multiplexed image dataset. CONCLUSION: Cytokit is a collection of open source tools for quantifying and analyzing properties of individual cells in large fluorescent microscopy datasets that are often, but not necessarily, generated from multiplexed antibody labeling protocols over many fields of view or time periods. This project is best suited to bioinformaticians or other technical users that wish to analyze such data in a batch-oriented, high-throughput setting. All source code, documentation, and data generated for this article are available under the Apache License 2.0 at https://github.com/hammerlab/cytokit .</t>
  </si>
  <si>
    <t>Dive Into Deep Learning</t>
  </si>
  <si>
    <t>J. M. Czum</t>
  </si>
  <si>
    <t>Superpixel-based deep convolutional neural networks and active contour model for automatic prostate segmentation on 3D MRI scans</t>
  </si>
  <si>
    <t>Automatic and reliable prostate segmentation is an essential prerequisite for assisting the diagnosis and treatment, such as guiding biopsy procedure and radiation therapy. Nonetheless, automatic segmentation is challenging due to the lack of clear prostate boundaries owing to the similar appearance of prostate and surrounding tissues and the wide variation in size and shape among different patients ascribed to pathological changes or different resolutions of images. In this regard, the state-of-the-art includes methods based on a probabilistic atlas, active contour models, and deep learning techniques. However, these techniques have limitations that need to be addressed, such as MRI scans with the same spatial resolution, initialization of the prostate region with well-defined contours and a set of hyperparameters of deep learning techniques determined manually, respectively. Therefore, this paper proposes an automatic and novel coarse-to-fine segmentation method for prostate 3D MRI scans. The coarse segmentation step combines local texture and spatial information using the Intrinsic Manifold Simple Linear Iterative Clustering algorithm and probabilistic atlas in a deep convolutional neural networks model jointly with the particle swarm optimization algorithm to classify prostate and non-prostate tissues. Then, the fine segmentation uses the 3D Chan-Vese active contour model to obtain the final prostate surface. The proposed method has been evaluated on the Prostate 3T and PROMISE12 databases presenting a dice similarity coefficient of 84.86%, relative volume difference of 14.53%, sensitivity of 90.73%, specificity of 99.46%, and accuracy of 99.11%. Experimental results demonstrate the high performance potential of the proposed method compared to those previously published.</t>
  </si>
  <si>
    <t>Convolutional neural network-based PSO for lung nodule false positive reduction on CT images</t>
  </si>
  <si>
    <t>BACKGROUND AND OBJECTIVE: Detection of lung nodules is critical in CAD systems; this is because of their similar contrast with other structures and low density, which result in the generation of numerous false positives (FPs). Therefore, this study proposes a methodology to reduce the FP number using a deep learning technique in conjunction with an evolutionary technique. METHOD: The particle swarm optimization (PSO) algorithm was used to optimize the network hyperparameters in the convolutional neural network (CNN) in order to enhance the network performance and eliminate the requirement of manual search. RESULTS: The methodology was tested on computed tomography (CT) scans from the Lung Image Database Consortium and Image Database Resource Initiative (LIDC-IDRI) with the highest accuracy of 97.62%, sensitivity of 92.20%, specificity of 98.64%, and area under the receiver operating characteristic (ROC) curve of 0.955. CONCLUSION: The results demonstrate the high performance-potential of the PSO algorithm in the identification of optimal CNN hyperparameters for lung nodule candidate classification into nodules and non-nodules, increasing the sensitivity rates in the FP reduction step of CAD systems.</t>
  </si>
  <si>
    <t>G. L. F. da Silva, T. L. A. Valente, A. C. Silva, A. C. de Paiva and M. Gattass</t>
  </si>
  <si>
    <t>Clinical Report Guided Retinal Microaneurysm Detection With Multi-Sieving Deep Learning</t>
  </si>
  <si>
    <t>Timely detection and treatment of microaneurysms is a critical step to prevent the development of vision-threatening eye diseases such as diabetic retinopathy. However, detecting microaneurysms in fundus images is a highly challenging task due to the low image contrast, misleading cues of other red lesions, and the large variation of imaging conditions. Existing methods tend to fail in face of the large intra-class variation and small inter-class variations for microaneurysm detection in fundus images. Recently, hybrid text/image mining computer-aided diagnosis systems have emerged to offer a promise of bridging the semantic gap between images and diagnostic information. In this paper, we focus on developing an interleaved deep mining technique to cope intelligently with the unbalanced microaneurysm detection problem. Specifically, we present a clinical report guided multi-sieving convolutional neural network, which leverages a small amount of supervised information in clinical reports to identify the potential microaneurysm regions via the image-to-text mapping in the feature space. These potential microaneurysm regions are then interleaved with fundus image information for multi-sieving deep mining in a highly unbalanced classification problem. Critically, the clinical reports are employed to bridge the semantic gap between low-level image features and high-level diagnostic information. We build an efficient microaneurysm detection framework based on the hybrid text/image interleaving and validate its performance on challenging clinical data sets acquired from diabetic retinopathy patients. Extensive evaluations are carried out in terms of fundus detection and classification. Experimental results show that our framework achieves 99.7% precision and 87.8% recall, comparing favorably with the state-of-the-art algorithms. Integration of expert domain knowledge and image information demonstrates the feasibility of reducing the difficulty of training classifiers under extremely unbalanced data distributions.</t>
  </si>
  <si>
    <t>Post-processing radio-frequency signal based on deep learning method for ultrasonic microbubble imaging</t>
  </si>
  <si>
    <t>BACKGROUND: Improving imaging quality is a fundamental problem in ultrasound contrast agent imaging (UCAI) research. Plane wave imaging (PWI) has been deemed as a potential method for UCAI due to its' high frame rate and low mechanical index. High frame rate can improve the temporal resolution of UCAI. Meanwhile, low mechanical index is essential to UCAI since microbubbles can be easily broken under high mechanical index conditions. However, the clinical practice of ultrasound contrast agent plane wave imaging (UCPWI) is still limited by poor imaging quality for lack of transmit focus. The purpose of this study was to propose and validate a new post-processing method that combined with deep learning to improve the imaging quality of UCPWI. The proposed method consists of three stages: (1) first, a deep learning approach based on U-net was trained to differentiate the microbubble and tissue radio frequency (RF) signals; (2) then, to eliminate the remaining tissue RF signals, the bubble approximated wavelet transform (BAWT) combined with maximum eigenvalue threshold was employed. BAWT can enhance the UCA area brightness, and eigenvalue threshold can be set to eliminate the interference areas due to the large difference of maximum eigenvalue between UCA and tissue areas; (3) finally, the accurate microbubble imaging were obtained through eigenspace-based minimum variance (ESBMV). RESULTS: The proposed method was validated by both phantom and in vivo rabbit experiment results. Compared with UCPWI based on delay and sum (DAS), the imaging contrast-to-tissue ratio (CTR) and contrast-to-noise ratio (CNR) was improved by 21.3 dB and 10.4 dB in the phantom experiment, and the corresponding improvements were 22.3 dB and 42.8 dB in the rabbit experiment. CONCLUSIONS: Our method illustrates superior imaging performance and high reproducibility, and thus is promising in improving the contrast image quality and the clinical value of UCPWI.</t>
  </si>
  <si>
    <t>Biomed Eng Online</t>
  </si>
  <si>
    <t>Deep learning for automated cerebral aneurysm detection on computed tomography images</t>
  </si>
  <si>
    <t>PURPOSE: Cerebrovascular aneurysms are being observed with rapidly increasing incidence. Therefore, tools are needed for accurate and efficient detection of aneurysms. We used deep learning techniques with CT angiography acquired from multiple medical centers and different machines to develop and evaluate an automatic detection model. METHODS: In this study, we have introduced a deep learning model, the faster RCNN model, in order to develop a tool for automatic detection of aneurysms from medical images. The inputs of the model were 2D nearby projection (NP) images from 3D CTA, which were made by the NP method proposed in this study. This method made aneurysms clearly visible on images and improved the model's performance. The study included 311 patients with 352 aneurysms, selected from three hospitals, and 208 and 103 of these patients, respectively, were randomly selected to train and test the models. RESULTS: The sensitivity of the trained model was 91.8%. For aneurysm sizes larger than 3 mm, the sensitivity of successful aneurysm detection was 96.7%. We achieved state-of-the-art sensitivity for &gt; 3 mm aneurysms. The sensitivities also indicated that there was no significant difference among aneurysms at different locations in the body. Computing time for the detection process was less than 25 s per case. CONCLUSIONS: We successfully developed a deep learning model that can automatically detect aneurysms. The model performed well for aneurysms of different sizes or in different locations. This finding indicates that the deep learning model has the potential to vastly improve clinician performance by providing automated aneurysm detection.</t>
  </si>
  <si>
    <t>Multimodal MRI synthesis using unified generative adversarial networks</t>
  </si>
  <si>
    <t>PURPOSE: Complementary information obtained from multiple contrasts of tissue facilitates physicians assessing, diagnosing and planning treatment of a variety of diseases. However, acquiring multiple contrasts magnetic resonance images (MRI) for every patient using multiple pulse sequences is time-consuming and expensive, where, medical image synthesis has been demonstrated as an effective alternative. The purpose of this study is to develop a unified framework for multimodal MR image synthesis. METHODS: A unified generative adversarial network consisting of only a single generator and a single discriminator was developed to learn the mappings among images of four different modalities. The generator took an image and its modality label as inputs and learned to synthesize the image in the target modality, while the discriminator was trained to distinguish between real and synthesized images and classify them to their corresponding modalities. The network was trained and tested using multimodal brain MRI consisting of four different contrasts which are T1-weighted (T1), T1-weighted and contrast-enhanced (T1c), T2-weighted (T2), and fluid-attenuated inversion recovery (Flair). Quantitative assessments of our proposed method were made through computing normalized mean absolute error (NMAE), peak signal-to-noise ratio (PSNR), structural similarity index measurement (SSIM), visual information fidelity (VIF), and naturalness image quality evaluator (NIQE). RESULTS: The proposed model was trained and tested on a cohort of 274 glioma patients with well-aligned multi-types of MRI scans. After the model was trained, tests were conducted by using each of T1, T1c, T2, Flair as a single input modality to generate its respective rest modalities. Our proposed method shows high accuracy and robustness for image synthesis with arbitrary MRI modality that is available in the database as input. For example, with T1 as input modality, the NMAEs for the generated T1c, T2, Flair respectively are 0.034 ± 0.005, 0.041 ± 0.006, and 0.041 ± 0.006, the PSNRs respectively are 32.353 ± 2.525 dB, 30.016 ± 2.577 dB, and 29.091 ± 2.795 dB, the SSIMs are 0.974 ± 0.059, 0.969 ± 0.059, and 0.959 ± 0.059, the VIF are 0.750 ± 0.087, 0.706 ± 0.097, and 0.654 ± 0.062, and NIQE are 1.396 ± 0.401, 1.511 ± 0.460, and 1.259 ± 0.358, respectively. CONCLUSIONS: We proposed a novel multimodal MR image synthesis method based on a unified generative adversarial network. The network takes an image and its modality label as inputs and synthesizes multimodal images in a single forward pass. The results demonstrate that the proposed method is able to accurately synthesize multimodal MR images from a single MR image.</t>
  </si>
  <si>
    <t>Intensity non-uniformity correction in MR imaging using residual cycle generative adversarial network</t>
  </si>
  <si>
    <t>Correcting or reducing the effects of voxel intensity non-uniformity (INU) within a given tissue type is a crucial issue for quantitative magnetic resonance (MR) image analysis in daily clinical practice. Although having no severe impact on visual diagnosis, the INU can highly degrade the performance of automatic quantitative analysis such as segmentation, registration, feature extraction and radiomics. In this study, we present an advanced deep learning based INU correction algorithm called residual cycle generative adversarial network (res-cycle GAN), which integrates the residual block concept into a cycle-consistent GAN (cycle-GAN). In cycle-GAN, an inverse transformation was implemented between the INU uncorrected and corrected magnetic resonance imaging (MRI) images to constrain the model through forcing the calculation of both an INU corrected MRI and a synthetic corrected MRI. A fully convolution neural network integrating residual blocks was applied in the generator of cycle-GAN to enhance end-to-end raw MRI to INU corrected MRI transformation. A cohort of 55 abdominal patients with T1-weighted MR INU images and their corrections with a clinically established and commonly used method, namely, N4ITK were used as a pair to evaluate the proposed res-cycle GAN based INU correction algorithm. Quantitatively comparisons of normalized mean absolute error (NMAE), peak signal-to-noise ratio (PSNR), normalized cross-correlation (NCC) indices, and spatial non-uniformity (SNU) were made among the proposed method and other approaches. Our res-cycle GAN based method achieved an NMAE of 0.011 ± 0.002, a PSNR of 28.0 ± 1.9 dB, an NCC of 0.970 ± 0.017, and a SNU of 0.298 ± 0.085. Our proposed method has significant improvements (p &lt; 0.05) in NMAE, PSNR, NCC and SNU over other algorithms including conventional GAN and U-net. Once the model is well trained, our approach can automatically generate the corrected MR images in a few minutes, eliminating the need for manual setting of parameters.</t>
  </si>
  <si>
    <t>[Automatic segmentation of head and neck organs at risk based on three-dimensional U-NET deep convolutional neural network]</t>
  </si>
  <si>
    <t>The segmentation of organs at risk is an important part of radiotherapy. The current method of manual segmentation depends on the knowledge and experience of physicians, which is very time-consuming and difficult to ensure the accuracy, consistency and repeatability. Therefore, a deep convolutional neural network (DCNN) is proposed for the automatic and accurate segmentation of head and neck organs at risk. The data of 496 patients with nasopharyngeal carcinoma were reviewed. Among them, 376 cases were randomly selected for training set, 60 cases for validation set and 60 cases for test set. Using the three-dimensional (3D) U-NET DCNN, combined with two loss functions of Dice Loss and Generalized Dice Loss, the automatic segmentation neural network model for the head and neck organs at risk was trained. The evaluation parameters are Dice similarity coefficient and Jaccard distance. The average Dice Similarity coefficient of the 19 organs at risk was 0.91, and the Jaccard distance was 0.15. The results demonstrate that 3D U-NET DCNN combined with Dice Loss function can be better applied to automatic segmentation of head and neck organs at risk.</t>
  </si>
  <si>
    <t>Incorporating automatically learned pulmonary nodule attributes into a convolutional neural network to improve accuracy of benign-malignant nodule classification</t>
  </si>
  <si>
    <t>Existing deep-learning-based pulmonary nodule classification models usually use images and benign-malignant labels as inputs for training. Image attributes of the nodules, as human-nameable high-level semantic labels, are rarely used to build a convolutional neural network (CNN). In this paper, a new method is proposed to combine the advantages of two classifications, which are pulmonary nodule benign-malignant classification and pulmonary nodule image attributes classification, into a deep learning network to improve the accuracy of pulmonary nodule classification. For this purpose, a unique 3D CNN is built to learn image attribute and benign-malignant classification simultaneously. A novel loss function is designed to balance the influence of two different kinds of classifications. The CNN is trained by a publicly available lung image database consortium (LIDC) dataset and is tested by a cross-validation method to predict the risk of a pulmonary nodule being malignant. This proposed method generates the accuracy of 91.47%, which is better than many existing models. Experimental findings show that if the CNN is built properly, the nodule attributes classification and benign-malignant classification can benefit from each other. By using nodule attribute learning as a control factor in a deep learning scheme, the accuracy of pulmonary nodule classification can be significantly improved by using a deep learning scheme.</t>
  </si>
  <si>
    <t>Y. Dai, S. Yan, B. Zheng and C. Song</t>
  </si>
  <si>
    <t>Compressed sensing MRI via a multi-scale dilated residual convolution network</t>
  </si>
  <si>
    <t>Magnetic resonance imaging (MRI) reconstruction is an active inverse problem which can be addressed by conventional compressed sensing (CS) MRI algorithms that exploit the sparse nature of MRI in an iterative optimization-based manner. However, two main drawbacks of iterative optimization-based CSMRI methods are time-consuming and are limited in model capacity. Meanwhile, one main challenge for recent deep learning-based CSMRI is the trade-off between model performance and network size. To address the above issues, we develop a new multi-scale dilated network for MRI reconstruction with high speed and outstanding performance. Comparing to convolutional kernels with same receptive fields, dilated convolutions reduce network parameters with smaller kernels and expand receptive fields of kernels to obtain almost same information. To maintain the abundance of features, we present global and local residual learnings to extract more image edges and details. Then we utilize concatenation layers to fuse multi-scale features and residual learnings for better reconstruction. Compared with several non-deep and deep learning CSMRI algorithms, the proposed method yields better reconstruction accuracy and noticeable visual improvements. In addition, we perform the noisy setting to verify the model stability, and then extend the proposed model on a MRI super-resolution task.</t>
  </si>
  <si>
    <t>Age Assessment of Youth and Young Adults Using Magnetic Resonance Imaging of the Knee: A Deep Learning Approach</t>
  </si>
  <si>
    <t>BACKGROUND: Bone age assessment (BAA) is an important tool for diagnosis and in determining the time of treatment in a number of pediatric clinical scenarios, as well as in legal settings where it is used to estimate the chronological age of an individual where valid documents are lacking. Traditional methods for BAA suffer from drawbacks, such as exposing juveniles to radiation, intra- and interrater variability, and the time spent on the assessment. The employment of automated methods such as deep learning and the use of magnetic resonance imaging (MRI) can address these drawbacks and improve the assessment of age. OBJECTIVE: The aim of this paper is to propose an automated approach for age assessment of youth and young adults in the age range when the length growth ceases and growth zones are closed (14-21 years of age) by employing deep learning using MRI of the knee. METHODS: This study carried out MRI examinations of the knee of 402 volunteer subjects-221 males (55.0%) and 181 (45.0%) females-aged 14-21 years. The method comprised two convolutional neural network (CNN) models: the first one selected the most informative images of an MRI sequence, concerning age-assessment purposes; these were then used in the second module, which was responsible for the age estimation. Different CNN architectures were tested, both training from scratch and employing transfer learning. RESULTS: The CNN architecture that provided the best results was GoogLeNet pretrained on the ImageNet database. The proposed method was able to assess the age of male subjects in the range of 14-20.5 years, with a mean absolute error (MAE) of 0.793 years, and of female subjects in the range of 14-19.5 years, with an MAE of 0.988 years. Regarding the classification of minors-with the threshold of 18 years of age-an accuracy of 98.1% for male subjects and 95.0% for female subjects was achieved. CONCLUSIONS: The proposed method was able to assess the age of youth and young adults from 14 to 20.5 years of age for male subjects and 14 to 19.5 years of age for female subjects in a fully automated manner, without the use of ionizing radiation, addressing the drawbacks of traditional methods.</t>
  </si>
  <si>
    <t>JMIR Med Inform</t>
  </si>
  <si>
    <t>Artificial Intelligence-Based Classification of Breast Lesions Imaged With a Multiparametric Breast MRI Protocol With Ultrafast DCE-MRI, T2, and DWI</t>
  </si>
  <si>
    <t>OBJECTIVES: We investigated artificial intelligence (AI)-based classification of benign and malignant breast lesions imaged with a multiparametric breast magnetic resonance imaging (MRI) protocol with ultrafast dynamic contrast-enhanced MRI, T2-weighted, and diffusion-weighted imaging with apparent diffusion coefficient mapping. MATERIALS AND METHODS: We analyzed 576 lesions imaged with MRI, including a consecutive set of biopsied malignant (368) and benign (149) lesions, and an additional set of 59 benign lesions proven by follow-up. We used deep learning methods to interpret ultrafast dynamic contrast-enhanced MRI and T2-weighted information. A random forests classifier combined the output with patient information (PI; age and BRCA status) and apparent diffusion coefficient values obtained from diffusion-weighted imaging to perform the final lesion classification. We used receiver operating characteristic (ROC) analysis to evaluate our results. Sensitivity and specificity were compared with the results of the prospective clinical evaluation by radiologists. RESULTS: The area under the ROC curve was 0.811 when only ultrafast dynamics was used. The final AI system that combined all imaging information with PI resulted in an area under the ROC curve of 0.852, significantly higher than the ultrafast dynamics alone (P = 0.002). When operating at the same sensitivity level of radiologists in this dataset, this system produced 19 less false-positives than the number of biopsied benign lesions in our dataset. CONCLUSIONS: Use of adjunct imaging and PI has a significant contribution in diagnostic performance of ultrafast breast MRI. The developed AI system for interpretation of multiparametric ultrafast breast MRI may improve specificity.</t>
  </si>
  <si>
    <t>M. U. Dalmiş, A. Gubern-Mérida, S. Vreemann, P. Bult, N. Karssemeijer, R. Mann and J. Teuwen</t>
  </si>
  <si>
    <t>Using deep learning to segment breast and fibroglandular tissue in MRI volumes</t>
  </si>
  <si>
    <t>PURPOSE: Automated segmentation of breast and fibroglandular tissue (FGT) is required for various computer-aided applications of breast MRI. Traditional image analysis and computer vision techniques, such atlas, template matching, or, edge and surface detection, have been applied to solve this task. However, applicability of these methods is usually limited by the characteristics of the images used in the study datasets, while breast MRI varies with respect to the different MRI protocols used, in addition to the variability in breast shapes. All this variability, in addition to various MRI artifacts, makes it a challenging task to develop a robust breast and FGT segmentation method using traditional approaches. Therefore, in this study, we investigated the use of a deep-learning approach known as U-net. MATERIALS AND METHODS: We used a dataset of 66 breast MRI's randomly selected from our scientific archive, which includes five different MRI acquisition protocols and breasts from four breast density categories in a balanced distribution. To prepare reference segmentations, we manually segmented breast and FGT for all images using an in-house developed workstation. We experimented with the application of U-net in two different ways for breast and FGT segmentation. In the first method, following the same pipeline used in traditional approaches, we trained two consecutive (2C) U-nets: first for segmenting the breast in the whole MRI volume and the second for segmenting FGT inside the segmented breast. In the second method, we used a single 3-class (3C) U-net, which performs both tasks simultaneously by segmenting the volume into three regions: nonbreast, fat inside the breast, and FGT inside the breast. For comparison, we applied two existing and published methods to our dataset: an atlas-based method and a sheetness-based method. We used Dice Similarity Coefficient (DSC) to measure the performances of the automated methods, with respect to the manual segmentations. Additionally, we computed Pearson's correlation between the breast density values computed based on manual and automated segmentations. RESULTS: The average DSC values for breast segmentation were 0.933, 0.944, 0.863, and 0.848 obtained from 3C U-net, 2C U-nets, atlas-based method, and sheetness-based method, respectively. The average DSC values for FGT segmentation obtained from 3C U-net, 2C U-nets, and atlas-based methods were 0.850, 0.811, and 0.671, respectively. The correlation between breast density values based on 3C U-net and manual segmentations was 0.974. This value was significantly higher than 0.957 as obtained from 2C U-nets (P &lt; 0.0001, Steiger's Z-test with Bonferoni correction) and 0.938 as obtained from atlas-based method (P = 0.0016). CONCLUSIONS: In conclusion, we applied a deep-learning method, U-net, for segmenting breast and FGT in MRI in a dataset that includes a variety of MRI protocols and breast densities. Our results showed that U-net-based methods significantly outperformed the existing algorithms and resulted in significantly more accurate breast density computation.</t>
  </si>
  <si>
    <t>M. U. Dalmış, G. Litjens, K. Holland, A. Setio, R. Mann, N. Karssemeijer and A. Gubern-Mérida</t>
  </si>
  <si>
    <t>Fully Convolutional DenseNets for Segmentation of Microvessels in Two-photon Microscopy</t>
  </si>
  <si>
    <t>Segmentation of microvessels measured using two-photon microscopy has been studied in the literature with limited success due to uneven intensities associated with optical imaging and shadowing effects. In this work, we address this problem using a customized version of a recently developed fully convolutional neural network, namely, FC-DensNets. To train and validate the network, manual annotations of 8 angiograms from two-photon microscopy was used. Segmentation results are then compared with that of a state-of-the-art scheme that was developed for the same purpose and also based on deep learning. Experimental results show improved performance of used FC-DenseNet in providing accurate and yet end-to-end segmentation of microvessels in two-photon microscopy.</t>
  </si>
  <si>
    <t>R. Damseh, F. Cheriet and F. Lesage</t>
  </si>
  <si>
    <t>Automatic Graph-Based Modeling of Brain Microvessels Captured With Two-Photon Microscopy</t>
  </si>
  <si>
    <t>Graph models of cerebral vasculature derived from two-photon microscopy have shown to be relevant to study brain microphysiology. Automatic graphing of these microvessels remain problematic due to the vascular network complexity and two-photon sensitivity limitations with depth. In this paper, we propose a fully automatic processing pipeline to address this issue. The modeling scheme consists of a fully-convolution neural network to segment microvessels, a three-dimensional surface model generator, and a geometry contraction algorithm to produce graphical models with a single connected component. Based on a quantitative assessment using NetMets metrics, at a tolerance of 60 μm, false negative and false positive geometric error 19 rates are 3.8% and 4.2%, respectively, whereas false nega- 20 tive and false positive topological error rates are 6.1% and 4.5%, respectively. Our qualitative evaluation confirms the efficiency of our scheme in generating useful and accurate graphical models.</t>
  </si>
  <si>
    <t>10.1053/j.semnuclmed.2020.07.003</t>
  </si>
  <si>
    <t>Multimodality Imaging and Artificial Intelligence for Tumor Characterization: Current Status and Future Perspective</t>
  </si>
  <si>
    <t>Research in medical imaging has yet to do to achieve precision oncology. Over the past 30 years, only the simplest imaging biomarkers (RECIST, SUV,…) have become widespread clinical tools. This may be due to our inability to accurately characterize tumors and monitor intratumoral changes in imaging. Artificial intelligence, through machine learning and deep learning, opens a new path in medical research because it can bring together a large amount of heterogeneous data into the same analysis to reach a single outcome. Supervised or unsupervised learning may lead to new paradigms by identifying unrevealed structural patterns across data. Deep learning will provide human-free, undefined upstream, reproducible, and automated quantitative imaging biomarkers. Since tumor phenotype is driven by its genotype and thus indirectly defines tumoral progression, tumor characterization using machine learning and deep learning algorithms will allow us to monitor molecular expression noninvasively, anticipate therapeutic failure, and lead therapeutic management. To follow this path, quality standards have to be set: standardization of imaging acquisition as it has been done in the field of biology, transparency of the model development as it should be reproducible by different institutions, validation, and testing through a high-quality process using large and complex open databases and better interpretability of these algorithms.</t>
  </si>
  <si>
    <t>Novel relative relevance score for estimating brain connectivity from fMRI data using an explainable neural network approach</t>
  </si>
  <si>
    <t>BACKGROUND: Functional integration or connectivity in brain is directional, non-linear as well as variable in time-lagged dependence. Deep neural networks (DNN) have become an indispensable tool everywhere, by learning higher levels of abstract and complex patterns from raw data. However, in neuroscientific community they generally work as black-boxes, leading to the explanation of results difficult and less intuitive. We aim to propose a brain-connectivity measure based on an explainable NN (xNN) approach. NEW METHOD: We build a NN-based predictor for regression problem. Since we aim to determine the contribution/relevance of past data-point from one region i in the prediction of current data-point from another region j, i.e. the higher-order connectivity between two brain-regions, we employ layer-wise relevance propagation (Bach et al., 2015) (LRP, a method for explaining DNN predictions), which has not been done before to the best of our knowledge. Specifically, we propose a novel score depending on weights as a quantitative measure of connectivity, called as relative relevance score (xNN-RRS). The RRS is an intuitive and transparent score. We provide an interpretation of the trained NN weights with-respect-to the brain-connectivity. RESULTS: Face validity of our approach is demonstrated with experiments on simulated data, over existing methods. We also demonstrate construct validity of xNN-RRS in a resting-state fMRI experiment. COMPARISON: Our approach shows superior performance, in terms of accuracy and computational complexity, over existing state-of-the-art methods for brain-connectivity estimation. CONCLUSION: The proposed method is promising to serve as a first post-hoc explainable NN-approach for brain-connectivity analysis in clinical applications.</t>
  </si>
  <si>
    <t>Classification of Intracranial Hemorrhage Subtypes Using Deep Learning on CT Scans</t>
  </si>
  <si>
    <t>Intracranial hemorrhage is a pathological condition that requires fast diagnosis and decision making. Recently, a neural network model for classification of different intracranial hemorrhage types was proposed by a member of our research group Konstantin Kotik as part of the machine learning competition at Kaggle. Our current pilot study aimed to test this model on real-world CT scans from patients with intracranial hemorrhage treated at N.N. Burdenko Neurosurgery Center. The deep learning model for intracranial hemorrhage classification based on ResNexT architecture showed an accuracy of detection greater than 0.81 for every subtype of hemorrhage without any tuning. We expect further improvement in the model performance.</t>
  </si>
  <si>
    <t>3D segmentation of nasopharyngeal carcinoma from CT images using cascade deep learning</t>
  </si>
  <si>
    <t>In the paper, we propose a new deep learning-based method for segmenting nasopharyngeal carcinoma (NPC) in the nasopharynx from three orthogonal CT images. The proposed method introduces a cascade strategy composed of two-phase manners. In CT images, there are organs, called non-target organs, which NPC never invades. Therefore, the first phase is to detect and eliminate non-target organ regions from the CT images. In the second phase, NPC is extracted from the remained regions in the CT images. Convolutional neural networks (CNNs) are applied to detect non-target organs and NPCs. The proposed system determines the final NPC segmentation by integrating three results obtained from coronal, axial and sagittal images. Moreover, we construct two CNN-based NPC detection systems using one kind of overlapping patches with a fixed size and various overlapping patches with different sizes. From the experiments using CT images of 70 NPC patients, our proposed systems, especially the system using various patches, achieves the best performance for detecting NPC compared with conventional NPC detection methods.</t>
  </si>
  <si>
    <t>Truncated inception net: COVID-19 outbreak screening using chest X-rays</t>
  </si>
  <si>
    <t>Since December 2019, the Coronavirus Disease (COVID-19) pandemic has caused world-wide turmoil in a short period of time, and the infection, caused by SARS-CoV-2, is spreading rapidly. AI-driven tools are used to identify Coronavirus outbreaks as well as forecast their nature of spread, where imaging techniques are widely used, such as CT scans and chest X-rays (CXRs). In this paper, motivated by the fact that X-ray imaging systems are more prevalent and cheaper than CT scan systems, a deep learning-based Convolutional Neural Network (CNN) model, which we call Truncated Inception Net, is proposed to screen COVID-19 positive CXRs from other non-COVID and/or healthy cases. To validate our proposal, six different types of datasets were employed by taking the following CXRs: COVID-19 positive, Pneumonia positive, Tuberculosis positive, and healthy cases into account. The proposed model achieved an accuracy of 99.96% (AUC of 1.0) in classifying COVID-19 positive cases from combined Pneumonia and healthy cases. Similarly, it achieved an accuracy of 99.92% (AUC of 0.99) in classifying COVID-19 positive cases from combined Pneumonia, Tuberculosis, and healthy CXRs. To the best of our knowledge, as of now, the achieved results outperform the existing AI-driven tools for screening COVID-19 using the acquired CXRs, and proves the viability of using the proposed Truncated Inception Net as a screening tool.</t>
  </si>
  <si>
    <t>10.1097/mcp.0000000000000459</t>
  </si>
  <si>
    <t>Artificial intelligence in diagnosis of obstructive lung disease: current status and future potential</t>
  </si>
  <si>
    <t>PURPOSE OF REVIEW: The application of artificial intelligence in the diagnosis of obstructive lung diseases is an exciting phenomenon. Artificial intelligence algorithms work by finding patterns in data obtained from diagnostic tests, which can be used to predict clinical outcomes or to detect obstructive phenotypes. The purpose of this review is to describe the latest trends and to discuss the future potential of artificial intelligence in the diagnosis of obstructive lung diseases. RECENT FINDINGS: Machine learning has been successfully used in automated interpretation of pulmonary function tests for differential diagnosis of obstructive lung diseases. Deep learning models such as convolutional neural network are state-of-the art for obstructive pattern recognition in computed tomography. Machine learning has also been applied in other diagnostic approaches such as forced oscillation test, breath analysis, lung sound analysis and telemedicine with promising results in small-scale studies. SUMMARY: Overall, the application of artificial intelligence has produced encouraging results in the diagnosis of obstructive lung diseases. However, large-scale studies are still required to validate current findings and to boost its adoption by the medical community.</t>
  </si>
  <si>
    <t>Curr Opin Pulm Med</t>
  </si>
  <si>
    <t>Skin cancer detection by deep learning and sound analysis algorithms: A prospective clinical study of an elementary dermoscope</t>
  </si>
  <si>
    <t>BACKGROUND: Skin cancer (SC), especially melanoma, is a growing public health burden. Experimental studies have indicated a potential diagnostic role for deep learning (DL) algorithms in identifying SC at varying sensitivities. Previously, it was demonstrated that diagnostics by dermoscopy are improved by applying an additional sonification (data to sound waves conversion) layer on DL algorithms. The aim of the study was to determine the impact of image quality on accuracy of diagnosis by sonification employing a rudimentary skin magnifier with polarized light (SMP). METHODS: Dermoscopy images acquired by SMP were processed by a first deep learning algorithm and sonified. Audio output was further analyzed by a different secondary DL. Study criteria outcomes of SMP were specificity and sensitivity, which were further processed by a F2-score, i.e. applying a twice extra weight to sensitivity over positive predictive values. FINDINGS: Patients (n = 73) fulfilling inclusion criteria were referred to biopsy. SMP analysis metrics resulted in a receiver operator characteristic curve AUC's of 0.814 (95% CI, 0.798-0.831). SMP achieved a F2-score sensitivity of 91.7%, specificity of 41.8% and positive predictive value of 57.3%. Diagnosing the same set of patients' lesions by an advanced dermoscope resulted in a F2-score sensitivity of 89.5%, specificity of 57.8% and a positive predictive value of 59.9% (P=NS). INTERPRETATION: DL processing of dermoscopic images followed by sonification results in an accurate diagnostic output for SMP, implying that the quality of the dermoscope is not the major factor influencing DL diagnosis of skin cancer. Present system might assist all healthcare providers as a feasible computer-assisted detection system. FUND: Bostel Technologies. Trial Registration clinicaltrials.gov Identifier: NCT03362138.</t>
  </si>
  <si>
    <t>A. Dascalu and E. O. David</t>
  </si>
  <si>
    <t>10.1016/j.echo.2020.04.025</t>
  </si>
  <si>
    <t>Artificial Intelligence and Echocardiography: A Primer for Cardiac Sonographers</t>
  </si>
  <si>
    <t>Artificial intelligence (AI) is emerging as a key component in diagnostic medical imaging, including echocardiography. AI with deep learning has already been used with automated view labeling, measurements, and interpretation. As the development and use of AI in echocardiography increase, potential concerns may be raised by cardiac sonographers and the profession. This report, from a sonographer's perspective, focuses on defining AI, the basics of the technology, identifying some current applications of AI, and how the use of AI may improve patient care in the future.</t>
  </si>
  <si>
    <t>J Am Soc Echocardiogr</t>
  </si>
  <si>
    <t>Application of Deep Learning in Neuroradiology: Brain Haemorrhage Classification Using Transfer Learning</t>
  </si>
  <si>
    <t>In this paper, we address the problem of identifying brain haemorrhage which is considered as a tedious task for radiologists, especially in the early stages of the haemorrhage. The problem is solved using a deep learning approach where a convolutional neural network (CNN), the well-known AlexNet neural network, and also a modified novel version of AlexNet with support vector machine (AlexNet-SVM) classifier are trained to classify the brain computer tomography (CT) images into haemorrhage or nonhaemorrhage images. The aim of employing the deep learning model is to address the primary question in medical image analysis and classification: can a sufficient fine-tuning of a pretrained model (transfer learning) eliminate the need of building a CNN from scratch? Moreover, this study also aims to investigate the advantages of using SVM as a classifier instead of a three-layer neural network. We apply the same classification task to three deep networks; one is created from scratch, another is a pretrained model that was fine-tuned to the brain CT haemorrhage classification task, and our modified novel AlexNet model which uses the SVM classifier. The three networks were trained using the same number of brain CT images available. The experiments show that the transfer of knowledge from natural images to medical images classification is possible. In addition, our results proved that the proposed modified pretrained model AlexNet-SVM can outperform a convolutional neural network created from scratch and the original AlexNet in identifying the brain haemorrhage.</t>
  </si>
  <si>
    <t>A. M. Dawud, K. Yurtkan and H. Oztoprak</t>
  </si>
  <si>
    <t>Comput Intell Neurosci</t>
  </si>
  <si>
    <t>Training data enhancements for improving colonic polyp detection using deep convolutional neural networks</t>
  </si>
  <si>
    <t>BACKGROUND: Over the last years, the most relevant results in the context of polyp detection were achieved through deep learning techniques. However, the most common obstacles in this field are the small datasets with a reduced number of samples and the lack of data variability. This paper describes a method to reduce this limitation and improve polyp detection results using publicly available colonoscopic datasets. METHODS: To address this issue, we increased the number and variety of images from the original dataset. Our method consists on adding polyps to the dataset images. The developed algorithm performs a rigorous selection of the best region within the image to receive the polyp. This procedure preserves the realistic features of the images while creating more diverse samples for training purposes. Our method allows copying existing polyps to new non-polypoid target regions. We also develop a strategy to generate new and more varied polyps through generative adversarial neural networks. Hence, the developed approach enriches the training data, creating automatically new samples with their appropriate labels. RESULTS: We applied the proposed data enhancement over a colonic polyp dataset. Thus, we can assess the effectiveness of our approach through a Faster R-CNN detection model. Performance results show improvements over the polyp detections while reducing the false-negative rate. The experimental results also show better recall metrics in comparison with both the original training set and other studies in the literature. CONCLUSION: We demonstrate that our proposed method has the potential to increase the data variability and number of samples in a reduced polyp dataset, improving the polyp detection rate and recall values. These results open new possibilities for advancing the study and implementation of new methods to improve computer-assisted medical image analysis.</t>
  </si>
  <si>
    <t>Clinically applicable deep learning for diagnosis and referral in retinal disease</t>
  </si>
  <si>
    <t>The volume and complexity of diagnostic imaging is increasing at a pace faster than the availability of human expertise to interpret it. Artificial intelligence has shown great promise in classifying two-dimensional photographs of some common diseases and typically relies on databases of millions of annotated images. Until now, the challenge of reaching the performance of expert clinicians in a real-world clinical pathway with three-dimensional diagnostic scans has remained unsolved. Here, we apply a novel deep learning architecture to a clinically heterogeneous set of three-dimensional optical coherence tomography scans from patients referred to a major eye hospital. We demonstrate performance in making a referral recommendation that reaches or exceeds that of experts on a range of sight-threatening retinal diseases after training on only 14,884 scans. Moreover, we demonstrate that the tissue segmentations produced by our architecture act as a device-independent representation; referral accuracy is maintained when using tissue segmentations from a different type of device. Our work removes previous barriers to wider clinical use without prohibitive training data requirements across multiple pathologies in a real-world setting.</t>
  </si>
  <si>
    <t>J. De Fauw, J. R. Ledsam, B. Romera-Paredes, S. Nikolov, N. Tomasev, S. Blackwell, H. Askham, X. Glorot, B. O'Donoghue, D. Visentin, G. van den Driessche, B. Lakshminarayanan, C. Meyer, F. Mackinder, S. Bouton, K. Ayoub, R. Chopra, D. King, A. Karthikesalingam, C. O. Hughes, R. Raine, J. Hughes, D. A. Sim, C. Egan, A. Tufail, H. Montgomery, D. Hassabis, G. Rees, T. Back, P. T. Khaw, M. Suleyman, J. Cornebise, P. A. Keane and O. Ronneberger</t>
  </si>
  <si>
    <t>Combining deep learning with 3D stereophotogrammetry for craniosynostosis diagnosis</t>
  </si>
  <si>
    <t>Craniosynostosis is a condition in which cranial sutures fuse prematurely, causing problems in normal brain and skull growth in infants. To limit the extent of cosmetic and functional problems, swift diagnosis is needed. The goal of this study is to investigate if a deep learning algorithm is capable of correctly classifying the head shape of infants as either healthy controls, or as one of the following three craniosynostosis subtypes; scaphocephaly, trigonocephaly or anterior plagiocephaly. In order to acquire cranial shape data, 3D stereophotographs were made during routine pre-operative appointments of scaphocephaly (n = 76), trigonocephaly (n = 40) and anterior plagiocephaly (n = 27) patients. 3D Stereophotographs of healthy infants (n = 53) were made between the age of 3-6 months. The cranial shape data was sampled and a deep learning network was used to classify the cranial shape data as either: healthy control, scaphocephaly patient, trigonocephaly patient or anterior plagiocephaly patient. For the training and testing of the deep learning network, a stratified tenfold cross validation was used. During testing 195 out of 196 3D stereophotographs (99.5%) were correctly classified. This study shows that trained deep learning algorithms, based on 3D stereophotographs, can discriminate between craniosynostosis subtypes and healthy controls with high accuracy.</t>
  </si>
  <si>
    <t>A two-dimensional feasibility study of deep learning-based feature detection and characterization directly from CT sinograms</t>
  </si>
  <si>
    <t>Machine Learning, especially deep learning, has been used in typical x-ray computed tomography (CT) applications, including image reconstruction, image enhancement, image domain feature detection and image domain feature characterization. To our knowledge, this is the first study on machine learning for feature detection and analysis directly based on CT projection data. Specifically, we present neural network methods for blood vessel detection and characterization in the sinogram domain avoiding any partial volume, beam hardening, or motion artifacts introduced during reconstruction. First, we estimate sinogram domain vessel maps using a residual encoder-decoder convolutional neural network (REDCNN). Next, we estimate the vessel centerline and we extract the vessel-only sinogram from the original sinogram, eliminating any background information. Finally, we use a fully connected neural network to estimate the vessel lumen cross-sectional area from the vessel-only sinogram. We trained and tested the proposed methods using CatSim simulations, real CT measurements of vessel phantoms, and clinical data from the NIH CT image database. We achieved encouraging initial results showing the feasibility of CT analysis in the sinogram domain. In principle, sinogram domain analysis should be possible for many other and more complicated clinical CT analysis tasks. Further studies are needed for this sinogram domain analysis approach to become practical for clinical applications.</t>
  </si>
  <si>
    <t>BACKGROUND: Automated methods to evaluate growth of hand and wrist bones on radiographs and magnetic resonance imaging have been developed. They can be applied to estimate age in children and subadults. Automated methods require the software to (1) recognise the region of interest in the image(s), (2) evaluate the degree of development and (3) correlate this to the age of the subject based on a reference population. For age estimation based on third molars an automated method for step (1) has been presented for 3D magnetic resonance imaging and is currently being optimised (Unterpirker et al. 2015). AIM: To develop an automated method for step (2) based on lower third molars on panoramic radiographs. MATERIALS AND METHODS: A modified Demirjian staging technique including ten developmental stages was developed. Twenty panoramic radiographs per stage per gender were retrospectively selected for FDI element 38. Two observers decided in consensus about the stages. When necessary, a third observer acted as a referee to establish the reference stage for the considered third molar. This set of radiographs was used as training data for machine learning algorithms for automated staging. First, image contrast settings were optimised to evaluate the third molar of interest and a rectangular bounding box was placed around it in a standardised way using Adobe Photoshop CC 2017 software. This bounding box indicated the region of interest for the next step. Second, several machine learning algorithms available in MATLAB R2017a software were applied for automated stage recognition. Third, the classification performance was evaluated in a 5-fold cross-validation scenario, using different validation metrics (accuracy, Rank-N recognition rate, mean absolute difference, linear kappa coefficient). RESULTS: Transfer Learning as a type of Deep Learning Convolutional Neural Network approach outperformed all other tested approaches. Mean accuracy equalled 0.51, mean absolute difference was 0.6 stages and mean linearly weighted kappa was 0.82. CONCLUSION: The overall performance of the presented automated pilot technique to stage lower third molar development on panoramic radiographs was similar to staging by human observers. It will be further optimised in future research, since it represents a necessary step to achieve a fully automated dental age estimation method, which to date is not available.</t>
  </si>
  <si>
    <t>J Forensic Odontostomatol</t>
  </si>
  <si>
    <t>A deep learning framework for unsupervised affine and deformable image registration</t>
  </si>
  <si>
    <t>Image registration, the process of aligning two or more images, is the core technique of many (semi-)automatic medical image analysis tasks. Recent studies have shown that deep learning methods, notably convolutional neural networks (ConvNets), can be used for image registration. Thus far training of ConvNets for registration was supervised using predefined example registrations. However, obtaining example registrations is not trivial. To circumvent the need for predefined examples, and thereby to increase convenience of training ConvNets for image registration, we propose the Deep Learning Image Registration (DLIR) framework for unsupervised affine and deformable image registration. In the DLIR framework ConvNets are trained for image registration by exploiting image similarity analogous to conventional intensity-based image registration. After a ConvNet has been trained with the DLIR framework, it can be used to register pairs of unseen images in one shot. We propose flexible ConvNets designs for affine image registration and for deformable image registration. By stacking multiple of these ConvNets into a larger architecture, we are able to perform coarse-to-fine image registration. We show for registration of cardiac cine MRI and registration of chest CT that performance of the DLIR framework is comparable to conventional image registration while being several orders of magnitude faster.</t>
  </si>
  <si>
    <t>B. D. de Vos, F. F. Berendsen, M. A. Viergever, H. Sokooti, M. Staring and I. Išgum</t>
  </si>
  <si>
    <t>Direct Automatic Coronary Calcium Scoring in Cardiac and Chest CT</t>
  </si>
  <si>
    <t>Cardiovascular disease (CVD) is the global leading cause of death. A strong risk factor for CVD events is the amount of coronary artery calcium (CAC). To meet the demands of the increasing interest in quantification of CAC, i.e., coronary calcium scoring, especially as an unrequested finding for screening and research, automatic methods have been proposed. The current automatic calcium scoring methods are relatively computationally expensive and only provide scores for one type of CT. To address this, we propose a computationally efficient method that employs two convolutional neural networks: the first performs registration to align the fields of view of input CTs and the second performs direct regression of the calcium score, thereby circumventing time-consuming intermediate CAC segmentation. Optional decision feedback provides insight into the regions that are contributed to the calcium score. Experiments were performed using 903 cardiac CT and 1687 chest CT scans. The method predicted calcium scores in less than 0.3 s. The intra-class correlation coefficient between predicted and manual calcium scores was 0.98 for both cardiac and chest CT. The method showed almost perfect agreement between automatic and manual CVD risk categorization in both the datasets, with a linearly weighted Cohen's kappa of 0.95 in cardiac CT and 0.93 in chest CT. Performance is similar to that of the state-of-the-art methods, but the proposed method is hundreds of times faster. By providing visual feedback, insight is given in the decision process, making it readily implementable in clinical and research settings.</t>
  </si>
  <si>
    <t>Brain tumor classification using deep CNN features via transfer learning</t>
  </si>
  <si>
    <t>Brain tumor classification is an important problem in computer-aided diagnosis (CAD) for medical applications. This paper focuses on a 3-class classification problem to differentiate among glioma, meningioma and pituitary tumors, which form three prominent types of brain tumor. The proposed classification system adopts the concept of deep transfer learning and uses a pre-trained GoogLeNet to extract features from brain MRI images. Proven classifier models are integrated to classify the extracted features. The experiment follows a patient-level five-fold cross-validation process, on MRI dataset from figshare. The proposed system records a mean classification accuracy of 98%, outperforming all state-of-the-art methods. Other performance measures used in the study are the area under the curve (AUC), precision, recall, F-score and specificity. In addition, the paper addresses a practical aspect by evaluating the system with fewer training samples. The observations of the study imply that transfer learning is a useful technique when the availability of medical images is limited. The paper provides an analytical discussion on misclassifications also.</t>
  </si>
  <si>
    <t>Classification of Histologic Images Using a Single Staining: Experiments with Deep Learning on Deconvolved Images</t>
  </si>
  <si>
    <t>The automated analysis of digitized immunohistochemistry microscope slides is usually a challenging task, because markers should be analysed on the tumor area only. Tumor areas could be recognized on a different slide, stained with Haematoxylin-Eosin. The basic idea of the present poster is to evaluate how well deep learning methods perform on the single haematoxylin component of staining, with the prospective possibility of developing a classifier able to recognize tumor areas on IHC slides on their haematoxylin component only. In a preliminary experiment, single stain images obtained by H-E color deconvolution showed an accuracy of 0.808 and 0.812 for Hematoxilyn and Eosin components, respectively.</t>
  </si>
  <si>
    <t>Comparison of a Deep Learning Risk Score and Standard Mammographic Density Score for Breast Cancer Risk Prediction</t>
  </si>
  <si>
    <t>Background Most risk prediction models for breast cancer are based on questionnaires and mammographic density assessments. By training a deep neural network, further information in the mammographic images can be considered. Purpose To develop a risk score that is associated with future breast cancer and compare it with density-based models. Materials and Methods In this retrospective study, all women aged 40-74 years within the Karolinska University Hospital uptake area in whom breast cancer was diagnosed in 2013-2014 were included along with healthy control subjects. Network development was based on cases diagnosed from 2008 to 2012. The deep learning (DL) risk score, dense area, and percentage density were calculated for the earliest available digital mammographic examination for each woman. Logistic regression models were fitted to determine the association with subsequent breast cancer. False-negative rates were obtained for the DL risk score, age-adjusted dense area, and age-adjusted percentage density. Results A total of 2283 women, 278 of whom were later diagnosed with breast cancer, were evaluated. The age at mammography (mean, 55.7 years vs 54.6 years; P &lt; .001), the dense area (mean, 38.2 cm(2) vs 34.2 cm(2); P &lt; .001), and the percentage density (mean, 25.6% vs 24.0%; P &lt; .001) were higher among women diagnosed with breast cancer than in those without a breast cancer diagnosis. The odds ratios and areas under the receiver operating characteristic curve (AUCs) were higher for age-adjusted DL risk score than for dense area and percentage density: 1.56 (95% confidence interval [CI]: 1.48, 1.64; AUC, 0.65), 1.31 (95% CI: 1.24, 1.38; AUC, 0.60), and 1.18 (95% CI: 1.11, 1.25; AUC, 0.57), respectively (P &lt; .001 for AUC). The false-negative rate was lower: 31% (95% CI: 29%, 34%), 36% (95% CI: 33%, 39%; P = .006), and 39% (95% CI: 37%, 42%; P &lt; .001); this difference was most pronounced for more aggressive cancers. Conclusion Compared with density-based models, a deep neural network can more accurately predict which women are at risk for future breast cancer, with a lower false-negative rate for more aggressive cancers. © RSNA, 2019 Online supplemental material is available for this article. See also the editorial by Bahl in this issue.</t>
  </si>
  <si>
    <t>10.1007/s00292-019-00704-8</t>
  </si>
  <si>
    <t>[Radiomics-AI-based image analysis]</t>
  </si>
  <si>
    <t>Radiomics deals with the statistical analysis of radiologic image data. In this article, radiomics is introduced and some of its applications are presented. In particular, an example is used to demonstrate that pathology and radiology can work together for better diagnoses. There is no denying that artificial intelligence will find its place in radiology (and pathology). Deep learning in particular will increasingly find applications. However, the impact on clinical routine is more long term and probably gradual, so AI will initially only be used in the form of specialized tools to support everyday clinical practice until methods and programs improve to the extent that AI can also take on more general diagnoses. However, this will not replace pathologists and radiologists in the long term, but rather turn them into information specialists who interpret the results obtained and integrate them into clinical contours.</t>
  </si>
  <si>
    <t>A. Demircioğlu</t>
  </si>
  <si>
    <t>Pathologe</t>
  </si>
  <si>
    <t>Depth Density Achieves a Better Result for Semantic Segmentation with the Kinect System</t>
  </si>
  <si>
    <t>Image segmentation is one of the most important methods for animal phenome research. Since the advent of deep learning, many researchers have looked at multilayer convolutional neural networks to solve the problems of image segmentation. A network simplifies the task of image segmentation with automatic feature extraction. Many networks struggle to output accurate details when dealing with pixel-level segmentation. In this paper, we propose a new concept: Depth density. Based on a depth image, produced by a Kinect system, we design a new function to calculate the depth density value of each pixel and bring this value back to the result of semantic segmentation for improving the accuracy. In the experiment, we choose Simmental cattle as the target of image segmentation and fully convolutional networks (FCN) as the verification networks. We proved that depth density can improve four metrics of semantic segmentation (pixel accuracy, mean accuracy, mean intersection over union, and frequency weight intersection over union) by 2.9%, 0.3%, 11.4%, and 5.02%, respectively. The result shows that depth information produced by Kinect can improve the accuracy of the semantic segmentation of FCN. This provides a new way of analyzing the phenotype information of animals.</t>
  </si>
  <si>
    <t>Brain Tumor Segmentation Based on Improved Convolutional Neural Network in Combination with Non-quantifiable Local Texture Feature</t>
  </si>
  <si>
    <t>Accurate and reliable brain tumor segmentation is a critical component in cancer diagnosis. According to deep learning model, a novel brain tumor segmentation method is developed by integrating fully convolutional neural networks (FCNN) and dense micro-block difference feature (DMDF) into a unified framework so as to obtain segmentation results with appearance and spatial consistency. Firstly, we propose a local feature to describe the rotation invariant property of the texture. In order to deal with the change of rotation and scale in texture image, Fisher vector encoding method is used to analyze the texture feature, which can combine with the scale information without increasing the dimension of the local feature. The obtained local features have strong robustness to rotation and gray intensity variation. Then, the non-quantifiable local feature is fused to the FCNN to perform fine boundary segmentation. Since brain tumors occupy a small portion of the image, deconvolutional layers are designed with skip connections to obtain a high quality feature map. Compared with the traditional MRI brain tumor segmentation methods, the experimental results show that the segmentation accuracy and stability has been greatly improved. Average Dice index can be up to 90.98%. And the proposed method has very high real-time performance, where brain tumor image can segment within 1 s.</t>
  </si>
  <si>
    <t>W. Deng, Q. Shi, K. Luo, Y. Yang and N. Ning</t>
  </si>
  <si>
    <t>Scalable analysis of cell-type composition from single-cell transcriptomics using deep recurrent learning</t>
  </si>
  <si>
    <t>Recent advances in large-scale single-cell RNA-seq enable fine-grained characterization of phenotypically distinct cellular states in heterogeneous tissues. We present scScope, a scalable deep-learning-based approach that can accurately and rapidly identify cell-type composition from millions of noisy single-cell gene-expression profiles.</t>
  </si>
  <si>
    <t>Y. Deng, F. Bao, Q. Dai, L. F. Wu and S. J. Altschuler</t>
  </si>
  <si>
    <t>Deep learning and its role in COVID-19 medical imaging</t>
  </si>
  <si>
    <t>COVID-19 is one of the greatest global public health challenges in history. COVID-19 is caused by the severe acute respiratory syndrome coronavirus 2 (SARS-CoV-2) and is estimated to have an cumulative global case-fatality rate as high as 7.2% (Onder et al., 2020) [1]. As the SARS-CoV-2 spread across the globe it catalyzed new urgency in building systems to allow rapid sharing and dissemination of data between international healthcare infrastructures and governments in a worldwide effort focused on case tracking/tracing, identifying effective therapeutic protocols, securing healthcare resources, and in drug and vaccine research. In addition to the worldwide efforts to share clinical and routine population health data, there are many large-scale efforts to collect and disseminate medical imaging data, owing to the critical role that imaging has played in diagnosis and management around the world. Given reported false negative rates of the reverse transcriptase polymerase chain reaction (RT-PCR) of up to 61% (Centers for Disease Control and Prevention, Division of Viral Diseases, 2020; Kucirka et al., 2020) [2,3], imaging can be used as an important adjunct or alternative. Furthermore, there has been a shortage of test-kits worldwide and laboratories in many testing sites have struggled to process the available tests within a reasonable time frame. Given these issues surrounding COVID-19, many groups began to explore the benefits of 'big data' processing and algorithms to assist with the diagnosis and therapeutic development of COVID-19.</t>
  </si>
  <si>
    <t>Intell Based Med</t>
  </si>
  <si>
    <t>10.2214/ajr.19.21994</t>
  </si>
  <si>
    <t>Update on Breast Density, Risk Estimation, and Supplemental Screening</t>
  </si>
  <si>
    <t>OBJECTIVE. Dense breast tissue is an established risk factor for the development of breast cancer. Methods for reliable and reproducible identification of breast density have been developed and are increasingly being adopted into clinical practice, allowing enhanced identification of patients who will benefit from supplemental screening. Breast density is being used for patient risk stratification through incorporation into risk models, leading to more precise management and improved decision making regarding personalized screening strategies. CONCLUSION. This review provides an update on breast density assessment, evaluation of patient's risk status, and the use of supplemental screening.</t>
  </si>
  <si>
    <t>A Deep Learning Approach to Digitally Stain Optical Coherence Tomography Images of the Optic Nerve Head</t>
  </si>
  <si>
    <t>PURPOSE: To develop a deep learning approach to digitally stain optical coherence tomography (OCT) images of the optic nerve head (ONH). METHODS: A horizontal B-scan was acquired through the center of the ONH using OCT (Spectralis) for one eye of each of 100 subjects (40 healthy and 60 glaucoma). All images were enhanced using adaptive compensation. A custom deep learning network was then designed and trained with the compensated images to digitally stain (i.e., highlight) six tissue layers of the ONH. The accuracy of our algorithm was assessed (against manual segmentations) using the dice coefficient, sensitivity, specificity, intersection over union (IU), and accuracy. We studied the effect of compensation, number of training images, and performance comparison between glaucoma and healthy subjects. RESULTS: For images it had not yet assessed, our algorithm was able to digitally stain the retinal nerve fiber layer + prelamina, the RPE, all other retinal layers, the choroid, and the peripapillary sclera and lamina cribrosa. For all tissues, the dice coefficient, sensitivity, specificity, IU, and accuracy (mean) were 0.84 ± 0.03, 0.92 ± 0.03, 0.99 ± 0.00, 0.89 ± 0.03, and 0.94 ± 0.02, respectively. Our algorithm performed significantly better when compensated images were used for training (P &lt; 0.001). Besides offering a good reliability, digital staining also performed well on OCT images of both glaucoma and healthy individuals. CONCLUSIONS: Our deep learning algorithm can simultaneously stain the neural and connective tissues of the ONH, offering a framework to automatically measure multiple key structural parameters of the ONH that may be critical to improve glaucoma management.</t>
  </si>
  <si>
    <t>S. K. Devalla, K. S. Chin, J. M. Mari, T. A. Tun, N. G. Strouthidis, T. Aung, A. H. Thiéry and M. J. A. Girard</t>
  </si>
  <si>
    <t>A Deep Learning Approach to Denoise Optical Coherence Tomography Images of the Optic Nerve Head</t>
  </si>
  <si>
    <t>Optical coherence tomography (OCT) has become an established clinical routine for the in vivo imaging of the optic nerve head (ONH) tissues, that is crucial in the diagnosis and management of various ocular and neuro-ocular pathologies. However, the presence of speckle noise affects the quality of OCT images and its interpretation. Although recent frame-averaging techniques have shown to enhance OCT image quality, they require longer scanning durations, resulting in patient discomfort. Using a custom deep learning network trained with 2,328 'clean B-scans' (multi-frame B-scans; signal averaged), and their corresponding 'noisy B-scans' (clean B-scans + Gaussian noise), we were able to successfully denoise 1,552 unseen single-frame (without signal averaging) B-scans. The denoised B-scans were qualitatively similar to their corresponding multi-frame B-scans, with enhanced visibility of the ONH tissues. The mean signal to noise ratio (SNR) increased from 4.02 ± 0.68 dB (single-frame) to 8.14 ± 1.03 dB (denoised). For all the ONH tissues, the mean contrast to noise ratio (CNR) increased from 3.50 ± 0.56 (single-frame) to 7.63 ± 1.81 (denoised). The mean structural similarity index (MSSIM) increased from 0.13 ± 0.02 (single frame) to 0.65 ± 0.03 (denoised) when compared with the corresponding multi-frame B-scans. Our deep learning algorithm can denoise a single-frame OCT B-scan of the ONH in under 20 ms, thus offering a framework to obtain superior quality OCT B-scans with reduced scanning times and minimal patient discomfort.</t>
  </si>
  <si>
    <t>Automated detection of pneumoconiosis with multilevel deep features learned from chest X-Ray radiographs</t>
  </si>
  <si>
    <t>Early detection of pneumoconiosis in X-Rays has been a challenging task that leads to high inter- and intra-reader variability. Motivated by the success of deep learning in general and medical image classification, this paper proposes an approach to automatically detect pneumoconiosis using a deep feature based binary classifier. The features are extracted from X-rays using deep transfer learning, comprising both low and high-level feature sets. For this, a CNN model pre-trained with a transfer learning from a CheXNet model was initially used to extract deep features from the X-Ray images, then the deep features were mapped to higher-dimensional feature spaces for classification using Support Vector Machine (SVM) and CNN based feature aggregation methods. In order to cross validate the proposed method, the training and testing images were randomly split into three folds before each experiment. Nine evaluation metrics were employed to compare the performance of the proposed method and state-of-the-art methods from the literature that used the same datasets. The experimental results show that the proposed framework outperformed others, achieving an accuracy of 92.68% in the automated detection of pneumoconiosis.</t>
  </si>
  <si>
    <t>DeepHarmony: A deep learning approach to contrast harmonization across scanner changes</t>
  </si>
  <si>
    <t>Magnetic resonance imaging (MRI) is a flexible medical imaging modality that often lacks reproducibility between protocols and scanners. It has been shown that even when care is taken to standardize acquisitions, any changes in hardware, software, or protocol design can lead to differences in quantitative results. This greatly impacts the quantitative utility of MRI in multi-site or long-term studies, where consistency is often valued over image quality. We propose a method of contrast harmonization, called DeepHarmony, which uses a U-Net-based deep learning architecture to produce images with consistent contrast. To provide training data, a small overlap cohort (n = 8) was scanned using two different protocols. Images harmonized with DeepHarmony showed significant improvement in consistency of volume quantification between scanning protocols. A longitudinal MRI dataset of patients with multiple sclerosis was also used to evaluate the effect of a protocol change on atrophy calculations in a clinical research setting. The results show that atrophy calculations were substantially and significantly affected by protocol change, whereas such changes have a less significant effect and substantially reduced overall difference when using DeepHarmony. This establishes that DeepHarmony can be used with an overlap cohort to reduce inconsistencies in segmentation caused by changes in scanner protocol, allowing for modernization of hardware and protocol design in long-term studies without invalidating previously acquired data.</t>
  </si>
  <si>
    <t>B. E. Dewey, C. Zhao, J. C. Reinhold, A. Carass, K. C. Fitzgerald, E. S. Sotirchos, S. Saidha, J. Oh, D. L. Pham, P. A. Calabresi, P. C. M. van Zijl and J. L. Prince</t>
  </si>
  <si>
    <t>10.1016/j.jacc.2018.12.054</t>
  </si>
  <si>
    <t>Artificial Intelligence in Cardiovascular Imaging: JACC State-of-the-Art Review</t>
  </si>
  <si>
    <t>Data science is likely to lead to major changes in cardiovascular imaging. Problems with timing, efficiency, and missed diagnoses occur at all stages of the imaging chain. The application of artificial intelligence (AI) is dependent on robust data; the application of appropriate computational approaches and tools; and validation of its clinical application to image segmentation, automated measurements, and eventually, automated diagnosis. AI may reduce cost and improve value at the stages of image acquisition, interpretation, and decision-making. Moreover, the precision now possible with cardiovascular imaging, combined with big data from the electronic health record and pathology, is likely to better characterize disease and personalize therapy. This review summarizes recent promising applications of AI in cardiology and cardiac imaging, which potentially add value to patient care.</t>
  </si>
  <si>
    <t>J Am Coll Cardiol</t>
  </si>
  <si>
    <t>Semi-automated PIRADS scoring via mpMRI analysis</t>
  </si>
  <si>
    <t>Purpose: Prostate cancer (PCa) is the most common solid organ cancer and second leading cause of death in men. Multiparametric magnetic resonance imaging (mpMRI) enables detection of the most aggressive, clinically significant PCa (csPCa) tumors that require further treatment. A suspicious region of interest (ROI) detected on mpMRI is now assigned a Prostate Imaging-Reporting and Data System (PIRADS) score to standardize interpretation of mpMRI for PCa detection. However, there is significant inter-reader variability among radiologists in PIRADS score assignment and a minimal input semi-automated artificial intelligence (AI) system is proposed to harmonize PIRADS scores with mpMRI data. Approach: The proposed deep learning model (the seed point model) uses a simulated single-click seed point as input to annotate the lesion on mpMRI. This approach is in contrast to typical medical AI-based approaches that require annotation of the complete lesion. The mpMRI data from 617 patients used in this study were prospectively collected at a major tertiary U.S. medical center. The model was trained and validated to classify whether an mpMRI image had a lesion with a PIRADS score greater than or equal to PIRADS 4. Results: The model yielded an average receiver-operator characteristic (ROC) area under the curve (ROC-AUC) of 0.704 over a 10-fold cross-validation, which is significantly higher than the previously published benchmark. Conclusions: The proposed model could aid in PIRADS scoring of mpMRI, providing second reads to promote quality as well as offering expertise in environments that lack a radiologist with training in prostate mpMRI interpretation. The model could help identify tumors with a higher PIRADS for better clinical management and treatment of PCa patients at an early stage.</t>
  </si>
  <si>
    <t>A deep learning approach for the analysis of masses in mammograms with minimal user intervention</t>
  </si>
  <si>
    <t>We present an integrated methodology for detecting, segmenting and classifying breast masses from mammograms with minimal user intervention. This is a long standing problem due to low signal-to-noise ratio in the visualisation of breast masses, combined with their large variability in terms of shape, size, appearance and location. We break the problem down into three stages: mass detection, mass segmentation, and mass classification. For the detection, we propose a cascade of deep learning methods to select hypotheses that are refined based on Bayesian optimisation. For the segmentation, we propose the use of deep structured output learning that is subsequently refined by a level set method. Finally, for the classification, we propose the use of a deep learning classifier, which is pre-trained with a regression to hand-crafted feature values and fine-tuned based on the annotations of the breast mass classification dataset. We test our proposed system on the publicly available INbreast dataset and compare the results with the current state-of-the-art methodologies. This evaluation shows that our system detects 90% of masses at 1 false positive per image, has a segmentation accuracy of around 0.85 (Dice index) on the correctly detected masses, and overall classifies masses as malignant or benign with sensitivity (Se) of 0.98 and specificity (Sp) of 0.7.</t>
  </si>
  <si>
    <t>N. Dhungel, G. Carneiro and A. P. Bradley</t>
  </si>
  <si>
    <t>Deep learning in head &amp; neck cancer outcome prediction</t>
  </si>
  <si>
    <t>Traditional radiomics involves the extraction of quantitative texture features from medical images in an attempt to determine correlations with clinical endpoints. We hypothesize that convolutional neural networks (CNNs) could enhance the performance of traditional radiomics, by detecting image patterns that may not be covered by a traditional radiomic framework. We test this hypothesis by training a CNN to predict treatment outcomes of patients with head and neck squamous cell carcinoma, based solely on their pre-treatment computed tomography image. The training (194 patients) and validation sets (106 patients), which are mutually independent and include 4 institutions, come from The Cancer Imaging Archive. When compared to a traditional radiomic framework applied to the same patient cohort, our method results in a AUC of 0.88 in predicting distant metastasis. When combining our model with the previous model, the AUC improves to 0.92. Our framework yields models that are shown to explicitly recognize traditional radiomic features, be directly visualized and perform accurate outcome prediction.</t>
  </si>
  <si>
    <t>A. Diamant, A. Chatterjee, M. Vallières, G. Shenouda and J. Seuntjens</t>
  </si>
  <si>
    <t>Utility of machine learning algorithms in assessing patients with a systemic right ventricle</t>
  </si>
  <si>
    <t>AIMS: To investigate the utility of novel deep learning (DL) algorithms in recognizing transposition of the great arteries (TGA) after atrial switch procedure or congenitally corrected TGA (ccTGA) based on routine transthoracic echocardiograms. In addition, the ability of DL algorithms for delineation and segmentation of the systemic ventricle was evaluated. METHODS AND RESULTS: In total, 132 patients (92 TGA and atrial switch and 40 with ccTGA; 60% male, age 38.3 ± 12.1 years) and 67 normal controls (57% male, age 48.5 ± 17.9 years) with routine transthoracic examinations were included. Convolutional neural networks were trained to classify patients by underlying diagnosis and a U-Net design was used to automatically segment the systemic ventricle. Convolutional networks were build based on over 100 000 frames of an apical four-chamber or parasternal short-axis view to detect underlying diagnoses. The DL algorithm had an overall accuracy of 98.0% in detecting the correct diagnosis. The U-Net architecture model correctly identified the systemic ventricle in all individuals and achieved a high performance in segmenting the systemic right or left ventricle (Dice metric between 0.79 and 0.88 depending on diagnosis) when compared with human experts. CONCLUSION: Our study demonstrates the potential of machine learning algorithms, trained on routine echocardiographic datasets to detect underlying diagnosis in complex congenital heart disease. Automated delineation of the ventricular area was also feasible. These methods may in future allow for the longitudinal, objective, and automated assessment of ventricular function.</t>
  </si>
  <si>
    <t>Eur Heart J Cardiovasc Imaging</t>
  </si>
  <si>
    <t>Denoising and artefact removal for transthoracic echocardiographic imaging in congenital heart disease: utility of diagnosis specific deep learning algorithms</t>
  </si>
  <si>
    <t>Deep learning (DL) algorithms are increasingly used in cardiac imaging. We aimed to investigate the utility of DL algorithms in de-noising transthoracic echocardiographic images and removing acoustic shadowing artefacts specifically in patients with congenital heart disease (CHD). In addition, the performance of DL algorithms trained on CHD samples was compared to models trained entirely on structurally normal hearts. Deep neural network based autoencoders were built for denoising and removal of acoustic shadowing artefacts based on routine echocardiographic apical 4-chamber views and performance was assessed by visual assessment and quantifying cross entropy. 267 subjects (94 TGA and atrial switch and 39 with ccTGA, 10 Ebstein anomaly, 9 with uncorrected AVSD and 115 normal controls; 56.9% male, age 38.9 ± 15.6 years) with routine transthoracic examinations were included. The autoencoders significantly enhanced image quality across diagnostic subgroups (p &lt; 0.005 for all). Models trained on congenital heart samples performed significantly better when exposed to examples from congenital heart disease patients. Our study demonstrates the potential of autoencoders for denoising and artefact removal in patients with congenital heart disease and structurally normal hearts. While models trained entirely on samples from structurally normal hearts perform reasonably in CHD, our data illustrates the value of dedicated image augmentation systems trained specifically on CHD samples.</t>
  </si>
  <si>
    <t>Utility of deep learning networks for the generation of artificial cardiac magnetic resonance images in congenital heart disease</t>
  </si>
  <si>
    <t>BACKGROUND: Deep learning algorithms are increasingly used for automatic medical imaging analysis and cardiac chamber segmentation. Especially in congenital heart disease, obtaining a sufficient number of training images and data anonymity issues remain of concern. METHODS: Progressive generative adversarial networks (PG-GAN) were trained on cardiac magnetic resonance imaging (MRI) frames from a nationwide prospective study to generate synthetic MRI frames. These synthetic frames were subsequently used to train segmentation networks (U-Net) and the quality of the synthetic training images, as well as the performance of the segmentation network was compared to U-Net-based solutions trained entirely on patient data. RESULTS: Cardiac MRI data from 303 patients with Tetralogy of Fallot were used for PG-GAN training. Using this model, we generated 100,000 synthetic images with a resolution of 256 × 256 pixels in 4-chamber and 2-chamber views. All synthetic samples were classified as anatomically plausible by human observers. The segmentation performance of the U-Net trained on data from 42 separate patients was statistically significantly better compared to the PG-GAN based training in an external dataset of 50 patients, however, the actual difference in segmentation quality was negligible (&lt; 1% in absolute terms for all models). CONCLUSION: We demonstrate the utility of PG-GANs for generating large amounts of realistically looking cardiac MRI images even in rare cardiac conditions. The generated images are not subject to data anonymity and privacy concerns and can be shared freely between institutions. Training supervised deep learning segmentation networks on this synthetic data yielded similar results compared to direct training on original patient data.</t>
  </si>
  <si>
    <t>10.1007/s11886-018-1074-8</t>
  </si>
  <si>
    <t>Machine Meets Biology: a Primer on Artificial Intelligence in Cardiology and Cardiac Imaging</t>
  </si>
  <si>
    <t>PURPOSE OF REVIEW: An understanding of the basics concepts of deep learning can be helpful in not only understanding the potential applications of this technique but also in critically reviewing literature in which neural networks are utilized for analysis and modeling. RECENT FINDINGS: The term deep learning has been applied to a subset of machine learning that utilizes a neural network and is often used interchangeably with artificial intelligence. It has been increasingly utilized in healthcare for computational learning, especially for pattern recognition for diagnostic imaging. Another promising application is the potential for these neural networks to improve the accuracy in the identification of patients who are at risk for cardiovascular events and could benefit most from preventive treatment in comparison with more conventional statistical techniques. The importance of such tailored cardiovascular risk assessment and disease management in individual patients is far reaching given that cardiovascular disease is the leading cause of morbidity and mortality in the world. Nearly half of myocardial infarctions and strokes occur in patients who are not predicted to be at risk for cardiovascular events by current guideline-based approaches. Equally important are individuals who are not at risk for cardiovascular events and yet are given expensive and unnecessary preventive treatment with potential untoward side effects. The application of powerful artificial intelligence/deep learning tools in medicine is likely to result in more effective and efficient health care delivery with the potential for significant cost savings by shifting preventative treatment from inappropriate to appropriate patient subgroups.</t>
  </si>
  <si>
    <t>M. E. Dilsizian and E. L. Siegel</t>
  </si>
  <si>
    <t>Curr Cardiol Rep</t>
  </si>
  <si>
    <t>Unsupervised stratification in neuroimaging through deep latent embeddings</t>
  </si>
  <si>
    <t>There is growing evidence that the use of stringent and dichotomic diagnostic categories in many medical disciplines (particularly 'brain sciences' as neurology and psychiatry) is an oversimplification. Although clear diagnostic boundaries remain useful for patients, families, and their access to dedicated NHS and health care services, the traditional dichotomic categories are not helpful to describe the complexity and large heterogeneity of symptoms across many and overlapping clinical phenotypes. With the advent of 'big' multimodal neuroimaging databases, data-driven stratification of the wide spectrum of healthy human physiology or disease based on neuroimages is theoretically become possible. However, this conceptual framework is hampered by severe computational constraints. In this paper we present a novel, deep learning based encode-decode architecture which leverages several parameter efficiency techniques generate latent deep embedding which compress the information contained in a full 3D neuroimaging volume by a factor 1000 while still retaining anatomical detail and hence rendering the subsequent stratification problem tractable. We train our architecture on 1003 brain scan derived from the human connectome project and demonstrate the faithfulness of the obtained reconstructions. Further, we employ a data driven clustering technique driven by a grid search in hyperparameter space to identify six different strata within the 1003 healthy community dwelling individuals which turn out to correspond to highly significant group differences in both physiological and cognitive data. Indicating that the well-known relationships between such variables and brain structure can be probed in an unsupervised manner through our novel architecture and pipeline. This opens the door to a variety of previously inaccessible applications in the realm of data driven stratification of large cohorts based on neuroimaging data.Clinical Relevance -With our approach, each person can be described and classified within a multi-dimensional space of data, where they are uniquely classified according to their individual anatomy, physiology and disease-related anatomical and physiological alterations.</t>
  </si>
  <si>
    <t>Low-dose CT with deep learning regularization via proximal forward-backward splitting</t>
  </si>
  <si>
    <t>Low-dose x-ray computed tomography (LDCT) is desirable for reduced patient dose. This work develops new image reconstruction methods with deep learning (DL) regularization for LDCT. Our methods are based on the unrolling of a proximal forward-backward splitting (PFBS) framework with data-driven image regularization via deep neural networks. In contrast to PFBS-IR, which utilizes standard data fidelity updates via an iterative reconstruction (IR) method, PFBS-AIR involves preconditioned data fidelity updates that fuse the analytical reconstruction (AR) and IR methods in a synergistic way, i.e. fused analytical and iterative reconstruction (AIR). The results suggest that the DL-regularized methods (PFBS-IR and PFBS-AIR) provide better reconstruction quality compared to conventional methods (AR or IR). In addition, owing to the AIR, PFBS-AIR noticeably outperformed PFBS-IR and another DL-based postprocessing method, FBPConvNet.</t>
  </si>
  <si>
    <t>A Deep Learning Model to Predict a Diagnosis of Alzheimer Disease by Using (18)F-FDG PET of the Brain</t>
  </si>
  <si>
    <t>Purpose To develop and validate a deep learning algorithm that predicts the final diagnosis of Alzheimer disease (AD), mild cognitive impairment, or neither at fluorine 18 ((18)F) fluorodeoxyglucose (FDG) PET of the brain and compare its performance to that of radiologic readers. Materials and Methods Prospective (18)F-FDG PET brain images from the Alzheimer's Disease Neuroimaging Initiative (ADNI) (2109 imaging studies from 2005 to 2017, 1002 patients) and retrospective independent test set (40 imaging studies from 2006 to 2016, 40 patients) were collected. Final clinical diagnosis at follow-up was recorded. Convolutional neural network of InceptionV3 architecture was trained on 90% of ADNI data set and tested on the remaining 10%, as well as the independent test set, with performance compared to radiologic readers. Model was analyzed with sensitivity, specificity, receiver operating characteristic (ROC), saliency map, and t-distributed stochastic neighbor embedding. Results The algorithm achieved area under the ROC curve of 0.98 (95% confidence interval: 0.94, 1.00) when evaluated on predicting the final clinical diagnosis of AD in the independent test set (82% specificity at 100% sensitivity), an average of 75.8 months prior to the final diagnosis, which in ROC space outperformed reader performance (57% [four of seven] sensitivity, 91% [30 of 33] specificity; P &lt; .05). Saliency map demonstrated attention to known areas of interest but with focus on the entire brain. Conclusion By using fluorine 18 fluorodeoxyglucose PET of the brain, a deep learning algorithm developed for early prediction of Alzheimer disease achieved 82% specificity at 100% sensitivity, an average of 75.8 months prior to the final diagnosis. © RSNA, 2018 Online supplemental material is available for this article. See also the editorial by Larvie in this issue.</t>
  </si>
  <si>
    <t>Y. Ding, J. H. Sohn, M. G. Kawczynski, H. Trivedi, R. Harnish, N. W. Jenkins, D. Lituiev, T. P. Copeland, M. S. Aboian, C. Mari Aparici, S. C. Behr, R. R. Flavell, S. Y. Huang, K. A. Zalocusky, L. Nardo, Y. Seo, R. A. Hawkins, M. Hernandez Pampaloni, D. Hadley and B. L. Franc</t>
  </si>
  <si>
    <t>Gastroenterologist-Level Identification of Small-Bowel Diseases and Normal Variants by Capsule Endoscopy Using a Deep-Learning Model</t>
  </si>
  <si>
    <t>BACKGROUND &amp; AIMS: Capsule endoscopy has revolutionized investigation of the small bowel. However, this technique produces a video that is 8-10 hours long, so analysis is time consuming for gastroenterologists. Deep convolutional neural networks (CNNs) can recognize specific images among a large variety. We aimed to develop a CNN-based algorithm to assist in the evaluation of small bowel capsule endoscopy (SB-CE) images. METHODS: We collected 113,426,569 images from 6970 patients who had SB-CE at 77 medical centers from July 2016 through July 2018. A CNN-based auxiliary reading model was trained to differentiate abnormal from normal images using 158,235 SB-CE images from 1970 patients. Images were categorized as normal, inflammation, ulcer, polyps, lymphangiectasia, bleeding, vascular disease, protruding lesion, lymphatic follicular hyperplasia, diverticulum, parasite, and other. The model was further validated in 5000 patients (no patient was overlap with the 1970 patients in the training set); the same patients were evaluated by conventional analysis and CNN-based auxiliary analysis by 20 gastroenterologists. If there was agreement in image categorization between the conventional analysis and CNN model, no further evaluation was performed. If there was disagreement between the conventional analysis and CNN model, the gastroenterologists re-evaluated the image to confirm or reject the CNN categorization. RESULTS: In the SB-CE images from the validation set, 4206 abnormalities in 3280 patients were identified after final consensus evaluation. The CNN-based auxiliary model identified abnormalities with 99.88% sensitivity in the per-patient analysis (95% CI, 99.67-99.96) and 99.90% sensitivity in the per-lesion analysis (95% CI, 99.74-99.97). Conventional reading by the gastroenterologists identified abnormalities with 74.57% sensitivity (95% CI, 73.05-76.03) in the per-patient analysis and 76.89% in the per-lesion analysis (95% CI, 75.58-78.15). The mean reading time per patient was 96.6 ± 22.53 minutes by conventional reading and 5.9 ± 2.23 minutes by CNN-based auxiliary reading (P &lt; .001). CONCLUSIONS: We validated the ability of a CNN-based algorithm to identify abnormalities in SB-CE images. The CNN-based auxiliary model identified abnormalities with higher levels of sensitivity and significantly shorter reading times than conventional analysis by gastroenterologists. This algorithm provides an important tool to help gastroenterologists analyze SB-CE images more efficiently and more accurately.</t>
  </si>
  <si>
    <t>Z. Ding, H. Shi, H. Zhang, L. Meng, M. Fan, C. Han, K. Zhang, F. Ming, X. Xie, H. Liu, J. Liu, R. Lin and X. Hou</t>
  </si>
  <si>
    <t>Esophagus segmentation from planning CT images using an atlas-based deep learning approach</t>
  </si>
  <si>
    <t>BACKGROUND AND OBJECTIVE: One of the main steps in the planning of radiotherapy (RT) is the segmentation of organs at risk (OARs) in Computed Tomography (CT). The esophagus is one of the most difficult OARs to segment. The boundaries between the esophagus and other surrounding tissues are not well-defined, and it is presented in several slices of the CT. Thus, manually segment the esophagus requires a lot of experience and takes time. This difficulty in manual segmentation combined with fatigue due to the number of slices to segment can cause human errors. To address these challenges, computational solutions for analyzing medical images and proposing automated segmentation have been developed and explored in recent years. In this work, we propose a fully automatic method for esophagus segmentation for better planning of radiotherapy in CT. METHODS: The proposed method is a fully automated segmentation of the esophagus, consisting of 5 main steps: (a) image acquisition; (b) VOI segmentation; (c) preprocessing; (d) esophagus segmentation; and (e) segmentation refinement. RESULTS: The method was applied in a database of 36 CT acquired from 3 different institutes. It achieved the best results in literature so far: Dice coefficient value of 82.15%, Jaccard Index of 70.21%, accuracy of 99.69%, sensitivity of 90.61%, specificity of 99.76%, and Hausdorff Distance of 6.1030 mm. CONCLUSIONS: With the achieved results, we were able to show how promising the method is, and that applying it in large medical centers, where esophagus segmentation is still an arduous and challenging task, can be of great help to the specialists.</t>
  </si>
  <si>
    <t>Detection of white matter lesion regions in MRI using SLIC0 and convolutional neural network</t>
  </si>
  <si>
    <t>BACKGROUND AND OBJECTIVE: White matter lesions are non-static brain lesions that have a prevalence rate up to 98% in the elderly population. Because they may be associated with several brain diseases, it is important that they are detected as soon as possible. Magnetic Resonance Imaging (MRI) provides three-dimensional data with the possibility to detect and emphasize contrast differences in soft tissues, providing rich information about the human soft tissue anatomy. However, the amount of data provided for these images is far too much for manual analysis/interpretation, representing a difficult and time-consuming task for specialists. This work presents a computational methodology capable of detecting regions of white matter lesions of the brain in MRI of FLAIR modality. The techniques highlighted in this methodology are SLIC0 clustering for candidate segmentation and convolutional neural networks for candidate classification. METHODS: The methodology proposed here consists of four steps: (1) images acquisition, (2) images preprocessing, (3) candidates segmentation and (4) candidates classification. RESULTS: The methodology was applied on 91 magnetic resonance images provided by DASA, and achieved an accuracy of 98.73%, specificity of 98.77% and sensitivity of 78.79% with 0.005 of false positives, without any false positives reduction technique, in detection of white matter lesion regions. CONCLUSIONS: It is demonstrated the feasibility of the analysis of brain MRI using SLIC0 and convolutional neural network techniques to achieve success in detection of white matter lesions regions.</t>
  </si>
  <si>
    <t>P. H. B. Diniz, T. L. A. Valente, J. O. B. Diniz, A. C. Silva, M. Gattass, N. Ventura, B. C. Muniz and E. L. Gasparetto</t>
  </si>
  <si>
    <t>Deep Learning strategies for Ultrasound in Pregnancy</t>
  </si>
  <si>
    <t>Ultrasound is one of the most ubiquitous imaging modalities in clinical practice. It is cheap, does not require ionizing radiation and can be performed at the bedside, making it the most commonly utilized imaging technique in pregnancy. Despite these advantages, it does have some drawbacks such as relatively low imaging quality, low contrast, and high variability. With these constraints, automating the interpretation of ultrasound images is challenging. However, successful automated identification of structures within 3D ultrasound volumes has the potential to revolutionize clinical practice. For example, a small placental volume in the first trimester has been shown to be correlated to adverse outcome later in pregnancy. If the placenta could be segmented reliably and automatically from a static 3D ultrasound volume, it would facilitate the use of its estimated volume, and other morphological metrics, as part of a screening test for increased risk of pregnancy complications potentially improving clinical outcomes. Recently, deep learning has emerged, achieving state-of-the-art performance in various research fields, notably medical image analysis involving classification, segmentation, object detection, and tracking tasks. Due to its increased performance with large datasets, it has gained great interest in medical imaging applications. In this review, we present an overview of deep learning methods applied to ultrasound in pregnancy, introducing their architectures and analyzing their strategies. We then present some common problems and provide some perspectives into potential future research.</t>
  </si>
  <si>
    <t>Eur Med J Reprod Health</t>
  </si>
  <si>
    <t>Dosimetric evaluation of synthetic CT for head and neck radiotherapy generated by a patch-based three-dimensional convolutional neural network</t>
  </si>
  <si>
    <t>PURPOSE: To develop and evaluate a patch-based convolutional neural network (CNN) to generate synthetic computed tomography (sCT) images for magnetic resonance (MR)-only workflow for radiotherapy of head and neck tumors. A patch-based deep learning method was chosen to improve robustness to abnormal anatomies caused by large tumors, surgical excisions, or dental artifacts. In this study, we evaluate whether the generated sCT images enable accurate MR-based dose calculations in the head and neck region. METHODS: We conducted a retrospective study on 34 patients with head and neck cancer who underwent both CT and MR imaging for radiotherapy treatment planning. To generate the sCTs, a large field-of-view T2-weighted Turbo Spin Echo MR sequence was used from the clinical protocol for multiple types of head and neck tumors. To align images as well as possible on a voxel-wise level, CT scans were nonrigidly registered to the MR (CT(reg) ). The CNN was based on a U-net architecture and consisted of 14 layers with 3 × 3 × 3 filters. Patches of 48 × 48 × 48 were randomly extracted and fed into the training. sCTs were created for all patients using threefold cross validation. For each patient, the clinical CT-based treatment plan was recalculated on sCT using Monaco TPS (Elekta). We evaluated mean absolute error (MAE) and mean error (ME) within the body contours and dice scores in air and bone mask. Also, dose differences and gamma pass rates between CT- and sCT-based plans inside the body contours were calculated. RESULTS: sCT generation took 4 min per patient. The MAE over the patient population of the sCT within the intersection of body contours was 75 ± 9 Hounsfield Units (HU) (±1 SD), and the ME was 9 ± 11 HU. Dice scores of the air and bone masks (CT(reg) vs sCT) were 0.79 ± 0.08 and 0.70 ± 0.07, respectively. Dosimetric analysis showed mean deviations of -0.03% ± 0.05% for dose within the body contours and -0.07% ± 0.22% inside the &gt;90% dose volume. Dental artifacts obscuring the CT could be circumvented in the sCT by the CNN-based approach in combination with Turbo Spin Echo (TSE) magnetic resonance imaging (MRI) sequence that typically is less prone to susceptibility artifacts. CONCLUSIONS: The presented CNN generated sCTs from conventional MR images without adding scan time to the acquisition. Dosimetric evaluation suggests that dose calculations performed on the sCTs are accurate, and can therefore be used for MR-only radiotherapy treatment planning of the head and neck.</t>
  </si>
  <si>
    <t>10.1016/j.csbj.2020.08.019</t>
  </si>
  <si>
    <t>Artificial intelligence (AI) and big data in cancer and precision oncology</t>
  </si>
  <si>
    <t>Artificial intelligence (AI) and machine learning have significantly influenced many facets of the healthcare sector. Advancement in technology has paved the way for analysis of big datasets in a cost- and time-effective manner. Clinical oncology and research are reaping the benefits of AI. The burden of cancer is a global phenomenon. Efforts to reduce mortality rates requires early diagnosis for effective therapeutic interventions. However, metastatic and recurrent cancers evolve and acquire drug resistance. It is imperative to detect novel biomarkers that induce drug resistance and identify therapeutic targets to enhance treatment regimes. The introduction of the next generation sequencing (NGS) platforms address these demands, has revolutionised the future of precision oncology. NGS offers several clinical applications that are important for risk predictor, early detection of disease, diagnosis by sequencing and medical imaging, accurate prognosis, biomarker identification and identification of therapeutic targets for novel drug discovery. NGS generates large datasets that demand specialised bioinformatics resources to analyse the data that is relevant and clinically significant. Through these applications of AI, cancer diagnostics and prognostic prediction are enhanced with NGS and medical imaging that delivers high resolution images. Regardless of the improvements in technology, AI has some challenges and limitations, and the clinical application of NGS remains to be validated. By continuing to enhance the progression of innovation and technology, the future of AI and precision oncology show great promise.</t>
  </si>
  <si>
    <t>Comput Struct Biotechnol J</t>
  </si>
  <si>
    <t>10.3348/kjr.2019.0312</t>
  </si>
  <si>
    <t>Basics of Deep Learning: A Radiologist's Guide to Understanding Published Radiology Articles on Deep Learning</t>
  </si>
  <si>
    <t>Artificial intelligence has been applied to many industries, including medicine. Among the various techniques in artificial intelligence, deep learning has attained the highest popularity in medical imaging in recent years. Many articles on deep learning have been published in radiologic journals. However, radiologists may have difficulty in understanding and interpreting these studies because the study methods of deep learning differ from those of traditional radiology. This review article aims to explain the concepts and terms that are frequently used in deep learning radiology articles, facilitating general radiologists' understanding.</t>
  </si>
  <si>
    <t>Reconstruction of multicontrast MR images through deep learning</t>
  </si>
  <si>
    <t>PURPOSE: Magnetic resonance (MR) imaging with a long scan time can lead to degraded images due to patient motion, patient discomfort, and increased costs. For these reasons, the role of rapid MR imaging is important. In this study, we propose the joint reconstruction of multicontrast brain MR images from down-sampled data to accelerate the data acquisition process using a novel deep-learning network. METHODS: Twenty-one healthy volunteers (female/male = 7/14, age = 26 ± 4 yr, range 22-35 yr) and 16 postoperative patients (female/male = 7/9, age = 49 ± 9 yr, range 37-62 yr) were scanned on a 3T whole-body scanner for prospective and retrospective studies, respectively, using both T1-weighted spin-echo (SE) and T2-weighted fast spin-echo (FSE) sequences. We proposed a network which we term X-net to reconstruct both T1- and T2-weighted images from down-sampled images as well as a network termed Y-net which reconstructs T2-weighted images from highly down-sampled T2-weighted images and fully sampled T1-weighted images. Both X-net and Y-net are composed of two concatenated subnetworks. We investigate optimal sampling patterns, the optimal patch size for augmentation, and the optimal acceleration factors for network training. An additional Y-net combined with a generative adversarial network (GAN) was also implemented and tested to investigate the effects of the GAN on the Y-net performance. Single- and joint-reconstruction parallel-imaging and compressed-sensing algorithms along with a conventional U-net were also tested and compared with the proposed networks. For this comparison, the structural similarity (SSIM), normalized mean square error (NMSE), and Fréchet inception distance (FID) were calculated between the outputs of the networks and fully sampled images. The statistical significance of the performance was evaluated by assessing the interclass correlation and in paired t-tests. RESULTS: The outputs from the two concatenated subnetworks were closer to the fully sampled images compared to those from one subnetwork, with this result showing statistical significance. Uniform down-sampling led to a statically significant improvement in the image quality compared to random or central down-sampling patterns. In addition, the proposed networks provided higher SSIM and NMSE values than U-net, compressed-sensing, and parallel-imaging algorithms, all at statistically significant levels. The GAN-based Y-net showed a better FID and more realistic images compared to a non-GAN-based Y-net. The performance capabilities of the networks were similar between normal subjects and patients. CONCLUSIONS: The proposed X-net and Y-net effectively reconstructed full images from down-sampled images, outperforming the conventional parallel-imaging, compressed-sensing and U-net methods and providing more realistic images in combination with a GAN. The developed networks potentially enable us to accelerate multicontrast anatomical MR imaging in routine clinical studies including T1-and T2-weighted imaging.</t>
  </si>
  <si>
    <t>Diagnostic Potential of Imaging Flow Cytometry</t>
  </si>
  <si>
    <t>Imaging flow cytometry (IFC) captures multichannel images of hundreds of thousands of single cells within minutes. IFC is seeing a paradigm shift from low- to high-information-content analysis, driven partly by deep learning algorithms. We predict a wealth of applications with potential translation into clinical practice.</t>
  </si>
  <si>
    <t>Trends Biotechnol</t>
  </si>
  <si>
    <t>Stacking denoising auto-encoders in a deep network to segment the brainstem on MRI in brain cancer patients: A clinical study</t>
  </si>
  <si>
    <t>Delineation of organs at risk (OARs) is a crucial step in surgical and treatment planning in brain cancer, where precise OARs volume delineation is required. However, this task is still often manually performed, which is time-consuming and prone to observer variability. To tackle these issues a deep learning approach based on stacking denoising auto-encoders has been proposed to segment the brainstem on magnetic resonance images in brain cancer context. Additionally to classical features used in machine learning to segment brain structures, two new features are suggested. Four experts participated in this study by segmenting the brainstem on 9 patients who underwent radiosurgery. Analysis of variance on shape and volume similarity metrics indicated that there were significant differences (p&lt;0.05) between the groups of manual annotations and automatic segmentations. Experimental evaluation also showed an overlapping higher than 90% with respect to the ground truth. These results are comparable, and often higher, to those of the state of the art segmentation methods but with a considerably reduction of the segmentation time.</t>
  </si>
  <si>
    <t>J. Dolz, N. Betrouni, M. Quidet, D. Kharroubi, H. A. Leroy, N. Reyns, L. Massoptier and M. Vermandel</t>
  </si>
  <si>
    <t>10.1016/j.neuroimage.2017.04.039</t>
  </si>
  <si>
    <t>3D fully convolutional networks for subcortical segmentation in MRI: A large-scale study</t>
  </si>
  <si>
    <t>This study investigates a 3D and fully convolutional neural network (CNN) for subcortical brain structure segmentation in MRI. 3D CNN architectures have been generally avoided due to their computational and memory requirements during inference. We address the problem via small kernels, allowing deeper architectures. We further model both local and global context by embedding intermediate-layer outputs in the final prediction, which encourages consistency between features extracted at different scales and embeds fine-grained information directly in the segmentation process. Our model is efficiently trained end-to-end on a graphics processing unit (GPU), in a single stage, exploiting the dense inference capabilities of fully CNNs. We performed comprehensive experiments over two publicly available datasets. First, we demonstrate a state-of-the-art performance on the ISBR dataset. Then, we report a large-scale multi-site evaluation over 1112 unregistered subject datasets acquired from 17 different sites (ABIDE dataset), with ages ranging from 7 to 64 years, showing that our method is robust to various acquisition protocols, demographics and clinical factors. Our method yielded segmentations that are highly consistent with a standard atlas-based approach, while running in a fraction of the time needed by atlas-based methods and avoiding registration/normalization steps. This makes it convenient for massive multi-site neuroanatomical imaging studies. To the best of our knowledge, our work is the first to study subcortical structure segmentation on such large-scale and heterogeneous data.</t>
  </si>
  <si>
    <t>Deep CNN ensembles and suggestive annotations for infant brain MRI segmentation</t>
  </si>
  <si>
    <t>Precise 3D segmentation of infant brain tissues is an essential step towards comprehensive volumetric studies and quantitative analysis of early brain development. However, computing such segmentations is very challenging, especially for 6-month infant brain, due to the poor image quality, among other difficulties inherent to infant brain MRI, e.g., the isointense contrast between white and gray matter and the severe partial volume effect due to small brain sizes. This study investigates the problem with an ensemble of semi-dense fully convolutional neural networks (CNNs), which employs T1-weighted and T2-weighted MR images as input. We demonstrate that the ensemble agreement is highly correlated with the segmentation errors. Therefore, our method provides measures that can guide local user corrections. To the best of our knowledge, this work is the first ensemble of 3D CNNs for suggesting annotations within images. Our quasi-dense architecture allows the efficient propagation of gradients during training, while limiting the number of parameters, requiring one order of magnitude less parameters than popular medical image segmentation networks such as 3D U-Net (Çiçek, et al.). We also investigated the impact that early or late fusions of multiple image modalities might have on the performances of deep architectures. We report evaluations of our method on the public data of the MICCAI iSEG-2017 Challenge on 6-month infant brain MRI segmentation, and show very competitive results among 21 teams, ranking first or second in most metrics.</t>
  </si>
  <si>
    <t>J. Dolz, C. Desrosiers, L. Wang, J. Yuan, D. Shen and I. Ben Ayed</t>
  </si>
  <si>
    <t>Multiregion segmentation of bladder cancer structures in MRI with progressive dilated convolutional networks</t>
  </si>
  <si>
    <t>PURPOSE: Precise segmentation of bladder walls and tumor regions is an essential step toward noninvasive identification of tumor stage and grade, which is critical for treatment decision and prognosis of patients with bladder cancer (BC). However, the automatic delineation of bladder walls and tumor in magnetic resonance images (MRI) is a challenging task, due to important bladder shape variations, strong intensity inhomogeneity in urine, and very high variability across the population, particularly on tumors' appearance. To tackle these issues, we propose to leverage the representation capacity of deep fully convolutional neural networks. METHODS: The proposed network includes dilated convolutions to increase the receptive field without incurring extra cost or degrading its performance. Furthermore, we introduce progressive dilations in each convolutional block, thereby enabling extensive receptive fields without the need for large dilation rates. The proposed network is evaluated on 3.0T T2-weighted MRI scans from 60 pathologically confirmed patients with BC. RESULTS: Experiments show the proposed model to achieve a higher level of accuracy than state-of-the-art methods, with a mean Dice similarity coefficient of 0.98, 0.84, and 0.69 for inner wall, outer wall, and tumor region segmentation, respectively. These results represent a strong agreement with reference contours and an increase in performance compared to existing methods. In addition, inference times are less than a second for a whole three-dimensional (3D) volume, which is between two and three orders of magnitude faster than related state-of-the-art methods for this application. CONCLUSION: We showed that a CNN can yield precise segmentation of bladder walls and tumors in BC patients on MRI. The whole segmentation process is fully automatic and yields results similar to the reference standard, demonstrating the viability of deep learning models for the automatic multiregion segmentation of bladder cancer MRI images.</t>
  </si>
  <si>
    <t>J. Dolz, X. Xu, J. Rony, J. Yuan, Y. Liu, E. Granger, C. Desrosiers, X. Zhang, I. Ben Ayed and H. Lu</t>
  </si>
  <si>
    <t>10.1007/978-3-030-33128-3_6</t>
  </si>
  <si>
    <t>Lesion Image Synthesis Using DCGANs for Metastatic Liver Cancer Detection</t>
  </si>
  <si>
    <t>This chapter proposes a method to detect metastatic liver cancer from X-ray CT images using a convolutional neural network (CNN). The proposed method generates various lesion images by the combination of three kinds of generation methods: (1) synthesis using Poisson Blending, (2) generation based on CT value distributions, and (3) generation using deep convolutional generative adversarial networks (DCGANs). The proposed method constructs two kinds of detectors by using synthetic (fake) lesion images generated by the methods as well as real ones. One of the detectors is a 2D CNN for detecting candidate regions in a CT image, and the other is a 3D CNN for validating the candidate regions. Experimental results showed that the proposed method gave 0.30 improvement from 0.65 to 0.95 in terms of the detection rate, and 0.70 improvement from 0.90 to 0.20 in terms of the number of false detections per case. From the results, we confirmed the effectiveness of the proposed method.</t>
  </si>
  <si>
    <t>Using Deep Learning with Convolutional Neural Network Approach to Identify the Invasion Depth of Endometrial Cancer in Myometrium Using MR Images: A Pilot Study</t>
  </si>
  <si>
    <t>Myometrial invasion affects the prognosis of endometrial cancer. However, discrepancies exist between pre-operative magnetic resonance imaging staging and post-operative pathological staging. This study aims to validate the accuracy of artificial intelligence (AI) for detecting the depth of myometrial invasion using a deep learning technique on magnetic resonance images. We obtained 4896 contrast-enhanced T1-weighted images (T1w) and T2-weighted images (T2w) from 72 patients who were diagnosed with surgico-pathological stage I endometrial carcinoma. We used the images from 24 patients (33.3%) to train the AI. The images from the remaining 48 patients (66.7%) were used to evaluate the accuracy of the model. The AI then interpreted each of the cases and sorted them into stage IA or IB. Compared with the accuracy rate of radiologists' diagnoses (77.8%), the accuracy rate of AI interpretation in contrast-enhanced T1w was higher (79.2%), whereas that in T2w was lower (70.8%). The diagnostic accuracy was not significantly different between radiologists and AI for both T1w and T2w. However, AI was more likely to provide incorrect interpretations in patients with coexisting benign leiomyomas or polypoid tumors. Currently, the ability of this AI technology to make an accurate diagnosis has limitations. However, in hospitals with limited resources, AI may be able to assist in reading magnetic resonance images. We believe that AI has the potential to assist radiologists or serve as a reasonable alternative for pre-operative evaluation of the myometrial invasion depth of stage I endometrial cancers.</t>
  </si>
  <si>
    <t>A deep learning reconstruction framework for X-ray computed tomography with incomplete data</t>
  </si>
  <si>
    <t>As a powerful imaging tool, X-ray computed tomography (CT) allows us to investigate the inner structures of specimens in a quantitative and nondestructive way. Limited by the implementation conditions, CT with incomplete projections happens quite often. Conventional reconstruction algorithms are not easy to deal with incomplete data. They are usually involved with complicated parameter selection operations, also sensitive to noise and time-consuming. In this paper, we reported a deep learning reconstruction framework for incomplete data CT. It is the tight coupling of the deep learning U-net and CT reconstruction algorithm in the domain of the projection sinograms. The U-net estimated results are not the artifacts caused by the incomplete data, but the complete projection sinograms. After training, this framework is determined and can reconstruct the final high quality CT image from a given incomplete projection sinogram. Taking the sparse-view and limited-angle CT as examples, this framework has been validated and demonstrated with synthetic and experimental data sets. Embedded with CT reconstruction, this framework naturally encapsulates the physical imaging model of CT systems and is easy to be extended to deal with other challenges. This work is helpful to push the application of the state-of-the-art deep learning techniques in the field of CT.</t>
  </si>
  <si>
    <t>Synthetic MRI-aided multi-organ segmentation on male pelvic CT using cycle consistent deep attention network</t>
  </si>
  <si>
    <t>BACKGROUND AND PURPOSE: Manual contouring is labor intensive, and subject to variations in operator knowledge, experience and technique. This work aims to develop an automated computed tomography (CT) multi-organ segmentation method for prostate cancer treatment planning. METHODS AND MATERIALS: The proposed method exploits the superior soft-tissue information provided by synthetic MRI (sMRI) to aid the multi-organ segmentation on pelvic CT images. A cycle generative adversarial network (CycleGAN) was used to estimate sMRIs from CT images. A deep attention U-Net (DAUnet) was trained on sMRI and corresponding multi-organ contours for auto-segmentation. The deep attention strategy was introduced to identify the most relevant features to differentiate different organs. Deep supervision was incorporated into the DAUnet to enhance the features' discriminative ability. Segmented contours of a patient were obtained by feeding CT image into the trained CycleGAN to generate sMRI, which was then fed to the trained DAUnet to generate organ contours. We trained and evaluated our model with 140 datasets from prostate patients. RESULTS: The Dice similarity coefficient and mean surface distance between our segmented and bladder, prostate, and rectum manual contours were 0.95 ± 0.03, 0.52 ± 0.22 mm; 0.87 ± 0.04, 0.93 ± 0.51 mm; and 0.89 ± 0.04, 0.92 ± 1.03 mm, respectively. CONCLUSION: We proposed a sMRI-aided multi-organ automatic segmentation method on pelvic CT images. By integrating deep attention and deep supervision strategy, the proposed network provides accurate and consistent prostate, bladder and rectum segmentation, and has the potential to facilitate routine prostate-cancer radiotherapy treatment planning.</t>
  </si>
  <si>
    <t>Radiother Oncol</t>
  </si>
  <si>
    <t>Deep learning-based attenuation correction in the absence of structural information for whole-body positron emission tomography imaging</t>
  </si>
  <si>
    <t>Deriving accurate structural maps for attenuation correction (AC) of whole-body positron emission tomography (PET) remains challenging. Common problems include truncation, inter-scan motion, and erroneous transformation of structural voxel-intensities to PET µ-map values (e.g. modality artifacts, implanted devices, or contrast agents). This work presents a deep learning-based attenuation correction (DL-AC) method to generate attenuation corrected PET (AC PET) from non-attenuation corrected PET (NAC PET) images for whole-body PET imaging, without the use of structural information. 3D patch-based cycle-consistent generative adversarial networks (CycleGAN) is introduced to include NAC-PET-to-AC-PET mapping and inverse mapping from AC PET to NAC PET, which constrains NAC-PET-to-AC-PET mapping to be closer to one-to-one mapping. Since NAC PET images share similar anatomical structures to the AC PET image but lack contrast information, residual blocks, which aim to learn the differences between NAC PET and AC PET, are used to construct generators of CycleGAN. After training, patches from NAC PET images were fed into NAC-PET-to-AC-PET mapping to generate DL-AC PET patches. DL-AC PET image was then reconstructed through patch fusion. We conducted a retrospective study on 55 datasets of whole-body PET/CT scans to evaluate the proposed method. In comparing DL-AC PET with original AC PET, average mean error (ME) and normalized mean square error (NMSE) of the whole-body were 0.62%  ±  1.26% and 0.72%  ±  0.34%. The average intensity changes measured on sequential PET images with AC and DL-AC on both normal tissues and lesions differ less than 3%. There was no significant difference of the intensity changes between AC and DL-AC PET, which demonstrate DL-AC PET images generated by the proposed DL-AC method can reach a same level to that of original AC PET images. The method demonstrates excellent quantification accuracy and reliability and is applicable to PET data collected on a single PET scanner or hybrid platform with computed tomography (PET/CT) or magnetic resonance imaging (PET/MRI).</t>
  </si>
  <si>
    <t>Automatic multiorgan segmentation in thorax CT images using U-net-GAN</t>
  </si>
  <si>
    <t>PURPOSE: Accurate and timely organs-at-risk (OARs) segmentation is key to efficient and high-quality radiation therapy planning. The purpose of this work is to develop a deep learning-based method to automatically segment multiple thoracic OARs on chest computed tomography (CT) for radiotherapy treatment planning. METHODS: We propose an adversarial training strategy to train deep neural networks for the segmentation of multiple organs on thoracic CT images. The proposed design of adversarial networks, called U-Net-generative adversarial network (U-Net-GAN), jointly trains a set of U-Nets as generators and fully convolutional networks (FCNs) as discriminators. Specifically, the generator, composed of U-Net, produces an image segmentation map of multiple organs by an end-to-end mapping learned from CT image to multiorgan-segmented OARs. The discriminator, structured as an FCN, discriminates between the ground truth and segmented OARs produced by the generator. The generator and discriminator compete against each other in an adversarial learning process to produce the optimal segmentation map of multiple organs. Our segmentation results were compared with manually segmented OARs (ground truth) for quantitative evaluations in geometric difference, as well as dosimetric performance by investigating the dose-volume histogram in 20 stereotactic body radiation therapy (SBRT) lung plans. RESULTS: This segmentation technique was applied to delineate the left and right lungs, spinal cord, esophagus, and heart using 35 patients' chest CTs. The averaged dice similarity coefficient for the above five OARs are 0.97, 0.97, 0.90, 0.75, and 0.87, respectively. The mean surface distance of the five OARs obtained with proposed method ranges between 0.4 and 1.5 mm on average among all 35 patients. The mean dose differences on the 20 SBRT lung plans are -0.001 to 0.155 Gy for the five OARs. CONCLUSION: We have investigated a novel deep learning-based approach with a GAN strategy to segment multiple OARs in the thorax using chest CT images and demonstrated its feasibility and reliability. This is a potentially valuable method for improving the efficiency of chest radiotherapy treatment planning.</t>
  </si>
  <si>
    <t>X. Dong, Y. Lei, T. Wang, M. Thomas, L. Tang, W. J. Curran, T. Liu and X. Yang</t>
  </si>
  <si>
    <t>Synthetic CT generation from non-attenuation corrected PET images for whole-body PET imaging</t>
  </si>
  <si>
    <t>Attenuation correction (AC) of PET/MRI faces challenges including inter-scan motion, image artifacts such as truncation and distortion, and erroneous transformation of structural voxel-intensities to PET mu-map values. We propose a deep-learning-based method to derive synthetic CT (sCT) images from non-attenuation corrected PET (NAC PET) images for AC on whole-body PET/MRI imaging. A 3D cycle-consistent generative adversarial networks (CycleGAN) framework was employed to synthesize CT images from NAC PET. The method learns a transformation that minimizes the difference between sCT, generated from NAC PET, and true CT. It also learns an inverse transformation such that cycle NAC PET image generated from the sCT is close to true NAC PET image. A self-attention strategy was also utilized to identify the most informative component and mitigate the disturbance of noise. We conducted a retrospective study on a total of 119 sets of whole-body PET/CT, with 80 sets for training and 39 sets for testing and evaluation. The whole-body sCT images generated with proposed method demonstrate great resemblance to true CT images, and show good contrast on soft tissue, lung and bony tissues. The mean absolute error (MAE) of sCT over true CT is less than 110 HU. Using sCT for whole-body PET AC, the mean error of PET quantification is less than 1% and normalized mean square error (NMSE) is less than 1.4%. Average normalized cross correlation on whole body is close to one, and PSNR is larger than 42 dB. We proposed a deep learning-based approach to generate sCT from whole-body NAC PET for PET AC. sCT generated with proposed method shows great similarity to true CT images both qualitatively and quantitatively, and demonstrates great potential for whole-body PET AC in the absence of structural information.</t>
  </si>
  <si>
    <t>Multi-view secondary input collaborative deep learning for lung nodule 3D segmentation</t>
  </si>
  <si>
    <t>BACKGROUND: Convolutional neural networks (CNNs) have been extensively applied to two-dimensional (2D) medical image segmentation, yielding excellent performance. However, their application to three-dimensional (3D) nodule segmentation remains a challenge. METHODS: In this study, we propose a multi-view secondary input residual (MV-SIR) convolutional neural network model for 3D lung nodule segmentation using the Lung Image Database Consortium and Image Database Resource Initiative (LIDC-IDRI) dataset of chest computed tomography (CT) images. Lung nodule cubes are prepared from the sample CT images. Further, from the axial, coronal, and sagittal perspectives, multi-view patches are generated with randomly selected voxels in the lung nodule cubes as centers. Our model consists of six submodels, which enable learning of 3D lung nodules sliced into three views of features; each submodel extracts voxel heterogeneity and shape heterogeneity features. We convert the segmentation of 3D lung nodules into voxel classification by inputting the multi-view patches into the model and determine whether the voxel points belong to the nodule. The structure of the secondary input residual submodel comprises a residual block followed by a secondary input module. We integrate the six submodels to classify whether voxel points belong to nodules, and then reconstruct the segmentation image. RESULTS: The results of tests conducted using our model and comparison with other existing CNN models indicate that the MV-SIR model achieves excellent results in the 3D segmentation of pulmonary nodules, with a Dice coefficient of 0.926 and an average surface distance of 0.072. CONCLUSION: our MV-SIR model can accurately perform 3D segmentation of lung nodules with the same segmentation accuracy as the U-net model.</t>
  </si>
  <si>
    <t>Cancer Imaging</t>
  </si>
  <si>
    <t>10.1016/j.rec.2019.05.014</t>
  </si>
  <si>
    <t>There is currently no other hot topic like the ability of current technology to develop capabilities similar to those of human beings, even in medicine. This ability to simulate the processes of human intelligence with computer systems is known as artificial intelligence (AI). This article aims to clarify the various terms that still sound foreign to us, such as AI, machine learning (ML), deep learning (DL), and big data. It also provides an in-depth description of the concept of AI and its types; the learning techniques and technology used by ML; cardiac imaging analysis with DL; and the contribution of this technological revolution to classical statistics, as well as its current limitations, legal aspects, and initial applications in cardiology. To do this, we conducted a detailed PubMed search on the evolution of original contributions on AI to the various areas of application in cardiology in the last 5 years and identified 673 research articles. We provide 19 detailed examples from distinct areas of cardiology that, by using AI, have shown diagnostic and therapeutic improvements, and which will aid understanding of ML and DL methodology.</t>
  </si>
  <si>
    <t>Rev Esp Cardiol (Engl Ed)</t>
  </si>
  <si>
    <t>CorneaNet: fast segmentation of cornea OCT scans of healthy and keratoconic eyes using deep learning</t>
  </si>
  <si>
    <t>Deep learning has dramatically improved object recognition, speech recognition, medical image analysis and many other fields. Optical coherence tomography (OCT) has become a standard of care imaging modality for ophthalmology. We asked whether deep learning could be used to segment cornea OCT images. Using a custom-built ultrahigh-resolution OCT system, we scanned 72 healthy eyes and 70 keratoconic eyes. In total, 20,160 images were labeled and used for the training in a supervised learning approach. A custom neural network architecture called CorneaNet was designed and trained. Our results show that CorneaNet is able to segment both healthy and keratoconus images with high accuracy (validation accuracy: 99.56%). Thickness maps of the three main corneal layers (epithelium, Bowman's layer and stroma) were generated both in healthy subjects and subjects suffering from keratoconus. CorneaNet is more than 50 times faster than our previous algorithm. Our results show that deep learning algorithms can be used for OCT image segmentation and could be applied in various clinical settings. In particular, CorneaNet could be used for early detection of keratoconus and more generally to study other diseases altering corneal morphology.</t>
  </si>
  <si>
    <t>V. A. Dos Santos, L. Schmetterer, H. Stegmann, M. Pfister, A. Messner, G. Schmidinger, G. Garhofer and R. M. Werkmeister</t>
  </si>
  <si>
    <t>Biomed Opt Express</t>
  </si>
  <si>
    <t>10.1016/j.ijom.2020.02.015</t>
  </si>
  <si>
    <t>Accuracy and reliability of automatic three-dimensional cephalometric landmarking</t>
  </si>
  <si>
    <t>The aim of this systematic review was to assess the accuracy and reliability of automatic landmarking for cephalometric analysis of three-dimensional craniofacial images. We searched for studies that reported results of automatic landmarking and/or measurements of human head computed tomography or cone beam computed tomography scans in MEDLINE, Embase and Web of Science until March 2019. Two authors independently screened articles for eligibility. Risk of bias and applicability concerns for each included study were assessed using the QUADAS-2 tool. Eleven studies with test dataset sample sizes ranging from 18 to 77 images were included. They used knowledge-, atlas- or learning-based algorithms to landmark two to 33 points of cephalometric interest. Ten studies measured mean localization errors between manually and automatically detected landmarks. Depending on the studies and the landmarks, mean errors ranged from &lt;0.50mm to&gt;5mm. The two best-performing algorithms used a deep learning method and reported mean errors &lt;2mm for every landmark, approximating results of operator variability in manual landmarking. Risk of bias regarding patient selection and implementation of the reference standard were found, therefore the studies might have yielded overoptimistic results. The robustness of these algorithms needs to be more thoroughly tested in challenging clinical settings. PROSPERO registration number: CRD42019119637.</t>
  </si>
  <si>
    <t>Int J Oral Maxillofac Surg</t>
  </si>
  <si>
    <t>3D deeply supervised network for automated segmentation of volumetric medical images</t>
  </si>
  <si>
    <t>While deep convolutional neural networks (CNNs) have achieved remarkable success in 2D medical image segmentation, it is still a difficult task for CNNs to segment important organs or structures from 3D medical images owing to several mutually affected challenges, including the complicated anatomical environments in volumetric images, optimization difficulties of 3D networks and inadequacy of training samples. In this paper, we present a novel and efficient 3D fully convolutional network equipped with a 3D deep supervision mechanism to comprehensively address these challenges; we call it 3D DSN. Our proposed 3D DSN is capable of conducting volume-to-volume learning and inference, which can eliminate redundant computations and alleviate the risk of over-fitting on limited training data. More importantly, the 3D deep supervision mechanism can effectively cope with the optimization problem of gradients vanishing or exploding when training a 3D deep model, accelerating the convergence speed and simultaneously improving the discrimination capability. Such a mechanism is developed by deriving an objective function that directly guides the training of both lower and upper layers in the network, so that the adverse effects of unstable gradient changes can be counteracted during the training procedure. We also employ a fully connected conditional random field model as a post-processing step to refine the segmentation results. We have extensively validated the proposed 3D DSN on two typical yet challenging volumetric medical image segmentation tasks: (i) liver segmentation from 3D CT scans and (ii) whole heart and great vessels segmentation from 3D MR images, by participating two grand challenges held in conjunction with MICCAI. We have achieved competitive segmentation results to state-of-the-art approaches in both challenges with a much faster speed, corroborating the effectiveness of our proposed 3D DSN.</t>
  </si>
  <si>
    <t>Q. Dou, L. Yu, H. Chen, Y. Jin, X. Yang, J. Qin and P. A. Heng</t>
  </si>
  <si>
    <t>Weakly supervised instance learning for thyroid malignancy prediction from whole slide cytopathology images</t>
  </si>
  <si>
    <t>We consider machine-learning-based thyroid-malignancy prediction from cytopathology whole-slide images (WSI). Multiple instance learning (MIL) approaches, typically used for the analysis of WSIs, divide the image (bag) into patches (instances), which are used to predict a single bag-level label. These approaches perform poorly in cytopathology slides due to a unique bag structure: sparsely located informative instances with varying characteristics of abnormality. We address these challenges by considering multiple types of labels: bag-level malignancy and ordered diagnostic scores, as well as instance-level informativeness and abnormality labels. We study their contribution beyond the MIL setting by proposing a maximum likelihood estimation (MLE) framework, from which we derive a two-stage deep-learning-based algorithm. The algorithm identifies informative instances and assigns them local malignancy scores that are incorporated into a global malignancy prediction. We derive a lower bound of the MLE, leading to an improved training strategy based on weak supervision, that we motivate through statistical analysis. The lower bound further allows us to extend the proposed algorithm to simultaneously predict multiple bag and instance-level labels from a single output of a neural network. Experimental results demonstrate that the proposed algorithm provides competitive performance compared to several competing methods, achieves (expert) human-level performance, and allows augmentation of human decisions.</t>
  </si>
  <si>
    <t>Machine-learning-based multiple abnormality prediction with large-scale chest computed tomography volumes</t>
  </si>
  <si>
    <t>Machine learning models for radiology benefit from large-scale data sets with high quality labels for abnormalities. We curated and analyzed a chest computed tomography (CT) data set of 36,316 volumes from 19,993 unique patients. This is the largest multiply-annotated volumetric medical imaging data set reported. To annotate this data set, we developed a rule-based method for automatically extracting abnormality labels from free-text radiology reports with an average F-score of 0.976 (min 0.941, max 1.0). We also developed a model for multi-organ, multi-disease classification of chest CT volumes that uses a deep convolutional neural network (CNN). This model reached a classification performance of AUROC &gt;0.90 for 18 abnormalities, with an average AUROC of 0.773 for all 83 abnormalities, demonstrating the feasibility of learning from unfiltered whole volume CT data. We show that training on more labels improves performance significantly: for a subset of 9 labels - nodule, opacity, atelectasis, pleural effusion, consolidation, mass, pericardial effusion, cardiomegaly, and pneumothorax - the model's average AUROC increased by 10% when the number of training labels was increased from 9 to all 83. All code for volume preprocessing, automated label extraction, and the volume abnormality prediction model is publicly available. The 36,316 CT volumes and labels will also be made publicly available pending institutional approval.</t>
  </si>
  <si>
    <t>Practical applications of deep learning: classifying the most common categories of plain radiographs in a PACS using a neural network</t>
  </si>
  <si>
    <t>OBJECTIVES: The goal of the present study was to classify the most common types of plain radiographs using a neural network and to validate the network's performance on internal and external data. Such a network could help improve various radiological workflows. METHODS: All radiographs from the year 2017 (n = 71,274) acquired at our institution were retrieved from the PACS. The 30 largest categories (n = 58,219, 81.7% of all radiographs performed in 2017) were used to develop and validate a neural network (MobileNet v1.0) using transfer learning. Image categories were extracted from DICOM metadata (study and image description) and mapped to the WHO manual of diagnostic imaging. As an independent, external validation set, we used images from other institutions that had been stored in our PACS (n = 5324). RESULTS: In the internal validation, the overall accuracy of the model was 90.3% (95%CI: 89.2-91.3%), whereas, for the external validation set, the overall accuracy was 94.0% (95%CI: 93.3-94.6%). CONCLUSIONS: Using data from one single institution, we were able to classify the most common categories of radiographs with a neural network. The network showed good generalizability on the external validation set and could be used to automatically organize a PACS, preselect radiographs so that they can be routed to more specialized networks for abnormality detection or help with other parts of the radiological workflow (e.g., automated hanging protocols; check if ordered image and performed image are the same). The final AI algorithm is publicly available for evaluation and extension. KEY POINTS: • Data from one single institution can be used to train a neural network for the correct detection of the 30 most common categories of plain radiographs. • The trained model achieved a high accuracy for the majority of categories and showed good generalizability to images from other institutions. • The neural network is made publicly available and can be used to automatically organize a PACS or to preselect radiographs so that they can be routed to more specialized neural networks for abnormality detection.</t>
  </si>
  <si>
    <t>10.1148/radiol.2017171183</t>
  </si>
  <si>
    <t>When Machines Think: Radiology's Next Frontier</t>
  </si>
  <si>
    <t>Artificial intelligence (AI), machine learning, and deep learning are terms now seen frequently, all of which refer to computer algorithms that change as they are exposed to more data. Many of these algorithms are surprisingly good at recognizing objects in images. The combination of large amounts of machine-consumable digital data, increased and cheaper computing power, and increasingly sophisticated statistical models combine to enable machines to find patterns in data in ways that are not only cost-effective but also potentially beyond humans' abilities. Building an AI algorithm can be surprisingly easy. Understanding the associated data structures and statistics, on the other hand, is often difficult and obscure. Converting the algorithm into a sophisticated product that works consistently in broad, general clinical use is complex and incompletely understood. To show how these AI products reduce costs and improve outcomes will require clinical translation and industrial-grade integration into routine workflow. Radiology has the chance to leverage AI to become a center of intelligently aggregated, quantitative, diagnostic information. Centaur radiologists, formed as a synergy of human plus computer, will provide interpretations using data extracted from images by humans and image-analysis computer algorithms, as well as the electronic health record, genomics, and other disparate sources. These interpretations will form the foundation of precision health care, or care customized to an individual patient. (©) RSNA, 2017.</t>
  </si>
  <si>
    <t>Introduction to artificial intelligence in ultrasound imaging in obstetrics and gynecology</t>
  </si>
  <si>
    <t>Artificial intelligence (AI) uses data and algorithms to aim to draw conclusions that are as good as, or even better than, those drawn by humans. AI is already part of our daily life; it is behind face recognition technology, speech recognition in virtual assistants (such as Amazon Alexa, Apple's Siri, Google Assistant and Microsoft Cortana) and self-driving cars. AI software has been able to beat world champions in chess, Go and recently even Poker. Relevant to our community, it is a prominent source of innovation in healthcare, already helping to develop new drugs, support clinical decisions and provide quality assurance in radiology. The list of medical image-analysis AI applications with USA Food and Drug Administration or European Union (soon to fall under European Union Medical Device Regulation) approval is growing rapidly and covers diverse clinical needs, such as detection of arrhythmia using a smartwatch or automatic triage of critical imaging studies to the top of the radiologist's worklist. Deep learning, a leading tool of AI, performs particularly well in image pattern recognition and, therefore, can be of great benefit to doctors who rely heavily on images, such as sonologists, radiographers and pathologists. Although obstetric and gynecological ultrasound are two of the most commonly performed imaging studies, AI has had little impact on this field so far. Nevertheless, there is huge potential for AI to assist in repetitive ultrasound tasks, such as automatically identifying good-quality acquisitions and providing instant quality assurance. For this potential to thrive, interdisciplinary communication between AI developers and ultrasound professionals is necessary. In this article, we explore the fundamentals of medical imaging AI, from theory to applicability, and introduce some key terms to medical professionals in the field of ultrasound. We believe that wider knowledge of AI will help accelerate its integration into healthcare. © 2020 The Authors. Ultrasound in Obstetrics &amp; Gynecology published by John Wiley &amp; Sons Ltd on behalf of the International Society of Ultrasound in Obstetrics and Gynecology.</t>
  </si>
  <si>
    <t>Structural Analysis and Optimization of Convolutional Neural Networks with a Small Sample Size</t>
  </si>
  <si>
    <t>Deep neural networks have gained immense popularity in the Big Data problem; however, the availability of training samples can be relatively limited in specific application domains, particularly medical imaging, and consequently leading to overfitting problems. This Small Data challenge may need a mindset that is entirely different from the existing Big Data paradigm. Here, under the small data scenarios, we examined whether the network structure has a substantial influence on the performance and whether the optimal structure is predominantly determined by sample size or data nature. To this end, we listed all possible combinations of layers given an upper bound of the VC-dimension to study how structural hyperparameters affected the performance. Our results showed that structural optimization improved accuracy by 27.99%, 16.44%, and 13.11% over random selection for a sample size of 100, 500, and 1,000 in the MNIST dataset, respectively, suggesting that the importance of the network structure increases as the sample size becomes smaller. Furthermore, the optimal network structure was mostly determined by the data nature (photographic, calligraphic, or medical images), and less affected by the sample size, suggesting that the optimal network structure is data-driven, not sample size driven. After network structure optimization, the convolutional neural network could achieve 91.13% accuracy with only 500 samples, 93.66% accuracy with only 1000 samples for the MNIST dataset and 94.10% accuracy with only 3300 samples for the Mitosis (microscopic) dataset. These results indicate the primary importance of the network structure and the nature of the data in facing the Small Data challenge.</t>
  </si>
  <si>
    <t>A novel transcranial ultrasound imaging method with diverging wave transmission and deep learning approach</t>
  </si>
  <si>
    <t>Real time brain transcranial ultrasound imaging is extremely intriguing because of its numerous applications. However, the skull causes phase distortion and amplitude attenuation of ultrasound signals due to its density: the speed of sound is significantly different in bone tissue than in soft tissue. In this study, we propose an ultrafast transcranial ultrasound imaging technique with diverging wave (DW) transmission and a deep learning approach to achieve large field-of-view with high resolution and real time brain ultrasound imaging. DW transmission provides a frame rate of several kiloHz and a large field of view that is suitable for human brain imaging via a small acoustic window. However, it suffers from poor image quality because the diverging waves are all unfocused. Here, we adopted adaptive beamforming algorithms to improve both the image contrast and the lateral resolution. Both simulated and in situ experiments with a human skull resulted in significant image improvements. However, the skull still introduces a wavefront offset and distortion, which degrades the image quality even when adaptive beamforming methods are used. Thus, we also employed a U-Net neural network to detect the contour and position of the skull directly from the acquired RF signal matrix. This approach avoids the need for beamforming, image reconstruction, and image segmentation, making it more suitable for clinical use.</t>
  </si>
  <si>
    <t>Multiple Slice k-space Deep Learning for Magnetic Resonance Imaging Reconstruction</t>
  </si>
  <si>
    <t>Magnetic resonance imaging (MRI) has been one of the most powerful and valuable imaging methods for medical diagnosis and staging of disease. Due to the long scan time of MRI acquisition, k-space under-samplings is required during the acquisition processing. Thus, MRI reconstruction, which transfers undersampled k-space data to high-quality magnetic resonance imaging, becomes an important and meaningful task. There have been many explorations on k-space interpolation for MRI reconstruction. However, most of these methods ignore the strong correlation between target slice and its adjacent slices. Inspired by this, we propose a fully data-driven deep learning algorithm for k-space interpolation, utilizing the correlation information between the target slice and its neighboring slices. A novel network is proposed, which models the inter-dependencies between different slices. In addition, the network is easily implemented and expended. Experiments show that our methods consistently surpass existing image-domain and k-space-domain magnetic resonance imaging reconstructing methods.</t>
  </si>
  <si>
    <t>Direct Segmentation-Based Full Quantification for Left Ventricle via Deep Multi-Task Regression Learning Network</t>
  </si>
  <si>
    <t>Quantitative analysis of the heart is extremely necessary and significant for detecting and diagnosing heart disease, yet there are still some challenges. In this study, we propose a new end-to-end segmentation-based deep multi-task regression learning model (Indices-JSQ) to make a holonomic quantitative analysis of the left ventricle (LV), which contains a segmentation network (Img2Contour) and multi-task regression network (Contour2Indices). First, Img2Contour, which contains a deep convolutional encoder-decoder module, is designed to obtain the LV contour. Then, the predicted contour is fed as input to Contour2Indices for full quantification. On the whole, we take into account the relationship between different tasks, which can serve as a complementary advantage. Meanwhile, instead of using images directly from the original dataset, we creatively use the segmented contour of the original image to estimate the cardiac indices to achieve better and more accurate results. We make experiments on MR sequences of 145 subjects and gain the experimental results of 157 mm (2), 2.43 mm, 1.29 mm, and 0.87 on areas, dimensions, regional wall thicknesses, and Dice Metric, respectively. It intuitively shows that the proposed method outperforms the other state-of-the-art methods and demonstrates that our method has a great potential in cardiac MR images segmentation, comprehensive clinical assessment, and diagnosis.</t>
  </si>
  <si>
    <t>Segmentation and visualization of left atrium through a unified deep learning framework</t>
  </si>
  <si>
    <t>PURPOSE: Left atrium segmentation and visualization serve as a fundamental and crucial role in clinical analysis and understanding of atrial fibrillation. However, most of the existing methods are directly transmitting information, which may cause redundant information to be passed to affect segmentation performance. Moreover, they did not further consider atrial visualization after segmentation, which leads to a lack of understanding of the essential atrial anatomy. METHODS: We propose a novel unified deep learning framework for left atrium segmentation and visualization simultaneously. At first, a novel dual-path module is used to enhance the expressiveness of cardiac image representation. Then a multi-scale context-aware module is designed to effectively handle complex appearance and shape variations of the left atrium and associated pulmonary veins. The generated multi-scale features are feed to gated bidirectional message passing module to remove irrelevant information and extract discriminative features. Finally, the features after message passing are efficiently combined via a deep supervision mechanism to produce the final segmentation result and reconstruct 3D volumes. RESULTS: Our approach primarily against the 2018 left atrium segmentation challenge dataset, which consists of 100 3D gadolinium-enhanced magnetic resonance images. Our method achieves an average dice of 0.936 in segmenting the left atrium via fivefold cross-validation, which outperforms state-of-the-art methods. CONCLUSIONS: The performance demonstrates the effectiveness and advantages of our network for the left atrium segmentation and visualization. Therefore, our proposed network could potentially improve the clinical diagnosis and treatment of atrial fibrillation.</t>
  </si>
  <si>
    <t>Fast and accurate reconstruction of human lung gas MRI with deep learning</t>
  </si>
  <si>
    <t>PURPOSE: To fast and accurately reconstruct human lung gas MRI from highly undersampled k-space using deep learning. METHODS: The scheme was comprised of coarse-to-fine nets (C-net and F-net). Zero-filling images from retrospectively undersampled k-space at an acceleration factor of 4 were used as input for C-net, and then output intermediate results which were fed into F-net. During training, a L2 loss function was adopted in C-net, while a function that united L2 loss with proton prior knowledge was used in F-net. The 871 hyperpolarized (129) Xe pulmonary ventilation images from 72 volunteers were randomly arranged as training (90%) and testing (10%) data. Ventilation defect percentage comparisons were implemented using a paired 2-tailed Student's t-test and correlation analysis. Furthermore, prospective acquisitions were demonstrated in 5 healthy subjects and 5 asymptomatic smokers. RESULTS: Each image with size of 96 × 84 could be reconstructed within 31 ms (mean absolute error was 4.35% and structural similarity was 0.7558). Compared with conventional compressed sensing MRI, the mean absolute error decreased by 17.92%, but the structural similarity increased by 6.33%. For ventilation defect percentage, there were no significant differences between the fully sampled and reconstructed images through the proposed algorithm (P = 0.932), but had significant correlations (r = 0.975; P &lt; 0.001). The prospectively undersampled results validated a good agreement with fully sampled images, with no significant differences in ventilation defect percentage but significantly higher signal-to-noise ratio values. CONCLUSION: The proposed algorithm outperformed classical undersampling methods, paving the way for future use of deep learning in real-time and accurate reconstruction of gas MRI.</t>
  </si>
  <si>
    <t>Automatic 3D Bi-Ventricular Segmentation of Cardiac Images by a Shape-Refined Multi- Task Deep Learning Approach</t>
  </si>
  <si>
    <t>Deep learning approaches have achieved state-of-the-art performance in cardiac magnetic resonance (CMR) image segmentation. However, most approaches have focused on learning image intensity features for segmentation, whereas the incorporation of anatomical shape priors has received less attention. In this paper, we combine a multi-task deep learning approach with atlas propagation to develop a shape-refined bi-ventricular segmentation pipeline for short-axis CMR volumetric images. The pipeline first employs a fully convolutional network (FCN) that learns segmentation and landmark localization tasks simultaneously. The architecture of the proposed FCN uses a 2.5D representation, thus combining the computational advantage of 2D FCNs networks and the capability of addressing 3D spatial consistency without compromising segmentation accuracy. Moreover, a refinement step is designed to explicitly impose shape prior knowledge and improve segmentation quality. This step is effective for overcoming image artifacts (e.g., due to different breath-hold positions and large slice thickness), which preclude the creation of anatomically meaningful 3D cardiac shapes. The pipeline is fully automated, due to network's ability to infer landmarks, which are then used downstream in the pipeline to initialize atlas propagation. We validate the pipeline on 1831 healthy subjects and 649 subjects with pulmonary hypertension. Extensive numerical experiments on the two datasets demonstrate that our proposed method is robust and capable of producing accurate, high-resolution, and anatomically smooth bi-ventricular 3D models, despite the presence of artifacts in input CMR volumes.</t>
  </si>
  <si>
    <t>Segmentation of Drosophila heart in optical coherence microscopy images using convolutional neural networks</t>
  </si>
  <si>
    <t>Convolutional neural networks (CNNs) are powerful tools for image segmentation and classification. Here, we use this method to identify and mark the heart region of Drosophila at different developmental stages in the cross-sectional images acquired by a custom optical coherence microscopy (OCM) system. With our well-trained CNN model, the heart regions through multiple heartbeat cycles can be marked with an intersection over union of ~86%. Various morphological and dynamical cardiac parameters can be quantified accurately with automatically segmented heart regions. This study demonstrates an efficient heart segmentation method to analyze OCM images of the beating heart in Drosophila.</t>
  </si>
  <si>
    <t>L. Duan, X. Qin, Y. He, X. Sang, J. Pan, T. Xu, J. Men, R. E. Tanzi, A. Li, Y. Ma and C. Zhou</t>
  </si>
  <si>
    <t>J Biophotonics</t>
  </si>
  <si>
    <t>Artificial skin through super-sensing method and electrical impedance data from conductive fabric with aid of deep learning</t>
  </si>
  <si>
    <t>Sense of touch is a major part of man's communication with their environment. Artificial skins can help robots to have the same sense of touch, especially for their social interactions. This paper presents a pressure mapping sensing using piezo-resistive fabric to represent aspects of the sense of touch. In past few years' electrical impedance tomography (EIT) is considered to be able offer a good alternative for artificial skin in particular for its ease of adaptation for large area skin compared to individual matrix based sensors. The EIT has also very good temporal performance in data collection allowing for monitoring of fast responses to touch stimulation, enabling a truly real time touch sensing. Electromechanical responses of a conductive fabric can be exploited using EIT to create a low cost and large area touch sensing. Such electromechanical properties are often very complex, so to improve the imaging resolution and touch visibility an artificial intelligent (AI) was used in addition to the state of the art spatio-temporal imaging algorithm. This work demonstrates a step towards an integrated seamless skin with large area sensing in dynamical settings, closer to natural human skin's behaviour. For the first time a dynamical touch sensing are studies by means of a spatio-temporal based electrical impedance tomography (EIT) imaging on a conductive fabric. The experimental results demonstrated the successful results by a combined AI with dynamical EIT imaging results in single and multiple points of touch.</t>
  </si>
  <si>
    <t>3D regression neural network for the quantification of enlarged perivascular spaces in brain MRI</t>
  </si>
  <si>
    <t>Enlarged perivascular spaces (EPVS) in the brain are an emerging imaging marker for cerebral small vessel disease, and have been shown to be related to increased risk of various neurological diseases, including stroke and dementia. Automated quantification of EPVS would greatly help to advance research into its etiology and its potential as a risk indicator of disease. We propose a convolutional network regression method to quantify the extent of EPVS in the basal ganglia from 3D brain MRI. We first segment the basal ganglia and subsequently apply a 3D convolutional regression network designed for small object detection within this region of interest. The network takes an image as input, and outputs a quantification score of EPVS. The network has significantly more convolution operations than pooling ones and no final activation, allowing it to span the space of real numbers. We validated our approach using a dataset of 2000 brain MRI scans scored visually. Experiments with varying sizes of training and test sets showed that a good performance can be achieved with a training set of only 200 scans. With a training set of 1000 scans, the intraclass correlation coefficient (ICC) between our scoring method and the expert's visual score was 0.74. Our method outperforms by a large margin - more than 0.10 - four more conventional automated approaches based on intensities, scale-invariant feature transform, and random forest. We show that the network learns the structures of interest and investigate the influence of hyper-parameters on the performance. We also evaluate the reproducibility of our network using a set of 60 subjects scanned twice (scan-rescan reproducibility). On this set our network achieves an ICC of 0.93, while the intrarater agreement reaches 0.80. Furthermore, the automated EPVS scoring correlates similarly to age as visual scoring.</t>
  </si>
  <si>
    <t>F. Dubost, H. Adams, G. Bortsova, M. A. Ikram, W. Niessen, M. Vernooij and M. de Bruijne</t>
  </si>
  <si>
    <t>Weakly supervised object detection with 2D and 3D regression neural networks</t>
  </si>
  <si>
    <t>Finding automatically multiple lesions in large images is a common problem in medical image analysis. Solving this problem can be challenging if, during optimization, the automated method cannot access information about the location of the lesions nor is given single examples of the lesions. We propose a new weakly supervised detection method using neural networks, that computes attention maps revealing the locations of brain lesions. These attention maps are computed using the last feature maps of a segmentation network optimized only with global image-level labels. The proposed method can generate attention maps at full input resolution without need for interpolation during preprocessing, which allows small lesions to appear in attention maps. For comparison, we modify state-of-the-art methods to compute attention maps for weakly supervised object detection, by using a global regression objective instead of the more conventional classification objective. This regression objective optimizes the number of occurrences of the target object in an image, e.g. the number of brain lesions in a scan, or the number of digits in an image. We study the behavior of the proposed method in MNIST-based detection datasets, and evaluate it for the challenging detection of enlarged perivascular spaces - a type of brain lesion - in a dataset of 2202 3D scans with point-wise annotations in the center of all lesions in four brain regions. In MNIST-based datasets, the proposed method outperforms the other methods. In the brain dataset, the weakly supervised detection methods come close to the human intrarater agreement in each region. The proposed method reaches the best area under the curve in two out of four regions, and has the lowest number of false positive detections in all regions, while its average sensitivity over all regions is similar to that of the other best methods. The proposed method can facilitate epidemiological and clinical studies of enlarged perivascular spaces and help advance research in the etiology of enlarged perivascular spaces and in their relationship with cerebrovascular diseases.</t>
  </si>
  <si>
    <t>Enlarged perivascular spaces in brain MRI: Automated quantification in four regions</t>
  </si>
  <si>
    <t>Enlarged perivascular spaces (PVS) are structural brain changes visible in MRI, are common in aging, and are considered a reflection of cerebral small vessel disease. As such, assessing the burden of PVS has promise as a brain imaging marker. Visual and manual scoring of PVS is a tedious and observer-dependent task. Automated methods would advance research into the etiology of PVS, could aid to assess what a normal burden is in aging, and could evaluate the potential of PVS as a biomarker of cerebral small vessel disease. In this work, we propose and evaluate an automated method to quantify PVS in the midbrain, hippocampi, basal ganglia and centrum semiovale. We also compare associations between (earlier established) determinants of PVS and visual PVS scores versus the automated PVS scores, to verify whether automated PVS scores could replace visual scoring of PVS in epidemiological and clinical studies. Our approach is a deep learning algorithm based on convolutional neural network regression, and is contingent on successful brain structure segmentation. In our work we used FreeSurfer segmentations. We trained and validated our method on T2-contrast MR images acquired from 2115 subjects participating in a population-based study. These scans were visually scored by an expert rater, who counted the number of PVS in each brain region. Agreement between visual and automated scores was found to be excellent for all four regions, with intraclass correlation coefficients (ICCs) between 0.75 and 0.88. These values were higher than the inter-observer agreement of visual scoring (ICCs between 0.62 and 0.80). Scan-rescan reproducibility was high (ICCs between 0.82 and 0.93). The association between 20 determinants of PVS, including aging, and the automated scores were similar to those between the same 20 determinants of PVS and visual scores. We conclude that this method may replace visual scoring and facilitate large epidemiological and clinical studies of PVS.</t>
  </si>
  <si>
    <t>F. Dubost, P. Yilmaz, H. Adams, G. Bortsova, M. A. Ikram, W. Niessen, M. Vernooij and M. de Bruijne</t>
  </si>
  <si>
    <t>3D-Deep Learning Based Automatic Diagnosis of Alzheimer's Disease with Joint MMSE Prediction Using Resting-State fMRI</t>
  </si>
  <si>
    <t>We performed this research to 1) evaluate a novel deep learning method for the diagnosis of Alzheimer's disease (AD) and 2) jointly predict the Mini Mental State Examination (MMSE) scores of South Korean patients with AD. Using resting-state functional Magnetic Resonance Imaging (rs-fMRI) scans of 331 participants, we obtained functional 3-dimensional (3-D) independent component spatial maps for use as features in classification and regression tasks. A 3-D convolutional neural network (CNN) architecture was developed for the classification task. MMSE scores were predicted using: linear least square regression (LLSR), support vector regression, bagging-based ensemble regression, and tree regression with group independent component analysis (gICA) features. To improve MMSE regression performance, we applied feature optimization methods including least absolute shrinkage and selection operator and support vector machine-based recursive feature elimination (SVM-RFE). The mean balanced test accuracy was 85.27% for the classification of AD versus healthy controls. The medial visual, default mode, dorsal attention, executive, and auditory related networks were mainly associated with AD. The maximum clinical MMSE score prediction accuracy with the LLSR method applied on gICA combined with SVM-RFE features had the lowest root mean square error (3.27 ± 0.58) and the highest R(2) value (0.63 ± 0.02). Classification of AD and healthy controls can be successfully achieved using only rs-fMRI and MMSE scores can be accurately predicted using functional independent component features. In the absence of trained clinicians, AD disease status and clinical MMSE scores can be jointly predicted using 3-D deep learning and regression learning approaches with rs-fMRI data.</t>
  </si>
  <si>
    <t>An Ad Hoc Random Initialization Deep Neural Network Architecture for Discriminating Malignant Breast Cancer Lesions in Mammographic Images</t>
  </si>
  <si>
    <t>Breast cancer is one of the most common cancers in women, with more than 1,300,000 cases and 450,000 deaths each year worldwide. In this context, recent studies showed that early breast cancer detection, along with suitable treatment, could significantly reduce breast cancer death rates in the long term. X-ray mammography is still the instrument of choice in breast cancer screening. In this context, the false-positive and false-negative rates commonly achieved by radiologists are extremely arduous to estimate and control although some authors have estimated figures of up to 20% of total diagnoses or more. The introduction of novel artificial intelligence (AI) technologies applied to the diagnosis and, possibly, prognosis of breast cancer could revolutionize the current status of the management of the breast cancer patient by assisting the radiologist in clinical image interpretation. Lately, a breakthrough in the AI field has been brought about by the introduction of deep learning techniques in general and of convolutional neural networks in particular. Such techniques require no a priori feature space definition from the operator and are able to achieve classification performances which can even surpass human experts. In this paper, we design and validate an ad hoc CNN architecture specialized in breast lesion classification from imaging data only. We explore a total of 260 model architectures in a train-validation-test split in order to propose a model selection criterion which can pose the emphasis on reducing false negatives while still retaining acceptable accuracy. We achieve an area under the receiver operatic characteristics curve of 0.785 (accuracy 71.19%) on the test set, demonstrating how an ad hoc random initialization architecture can and should be fine tuned to a specific problem, especially in biomedical applications.</t>
  </si>
  <si>
    <t>Contrast Media Mol Imaging</t>
  </si>
  <si>
    <t>10.1016/j.semcancer.2020.08.006</t>
  </si>
  <si>
    <t>Deep computational pathology in breast cancer</t>
  </si>
  <si>
    <t>Deep Learning (DL) algorithms are a set of techniques that exploit large and/or complex real-world datasets for cross-domain and cross-discipline prediction and classification tasks. DL architectures excel in computer vision tasks, and in particular image processing and interpretation. This has prompted a wave of disruptingly innovative applications in medical imaging, where DL strategies have the potential to vastly outperform human experts. This is particularly relevant in the context of histopathology, where whole slide imaging (WSI) of stained tissue in conjuction with DL algorithms for their interpretation, selection and cancer staging are beginning to play an ever increasing role in supporting human operators in visual assessments. This has the potential to reduce everyday workload as well as to increase precision and reproducibility across observers, centers, staining techniques and even pathologies. In this paper we introduce the most common DL architectures used in image analysis, with a focus on histopathological image analysis in general and in breast histology in particular. We briefly review how, state-of-art DL architectures compare to human performance on across a number of critical tasks such as mitotic count, tubules analysis and nuclear pleomorphism analysis. Also, the development of DL algorithms specialized to pathology images have been enormously fueled by a number of world-wide challenges based on large, multicentric image databases which are now publicly available. In turn, this has allowed most recent efforts to shift more and more towards semi-supervised learning methods, which provide greater flexibility and applicability. We also review all major repositories of manually labelled pathology images in breast cancer and provide an in-depth discussion of the challenges specific to training DL architectures to interpret WSI data, as well as a review of the state-of-the-art methods for interpretation of images generated from immunohistochemical analysis of breast lesions. We finally discuss the future challenges and opportunities which the adoption of DL paradigms is most likely to pose in the field of pathology for breast cancer detection, diagnosis, staging and prognosis. This review is intended as a comprehensive stepping stone into the field of modern computational pathology for a transdisciplinary readership across technical and medical disciplines.</t>
  </si>
  <si>
    <t>Semin Cancer Biol</t>
  </si>
  <si>
    <t>10.1097/wco.0000000000000779</t>
  </si>
  <si>
    <t>Retinal vessel changes in cerebrovascular disease</t>
  </si>
  <si>
    <t>PURPOSE OF REVIEW: The retina is growingly recognized as a window into cerebrovascular and systemic vascular conditions. The utility of noninvasive retinal vessel biomarkers in cerebrovascular risk assessment has expanded due to advances in retinal imaging techniques and machine learning-based digital analysis. The purpose of this review is to underscore the latest evidence linking retinal vascular abnormalities with stroke and vascular-related cognitive disorders; to highlight modern developments in retinal vascular imaging modalities and software-based vasculopathy quantification. RECENT FINDINGS: Longitudinal studies undertaken for extended periods indicate that retinal vascular changes can predict cerebrovascular disorders (CVD). Cerebrovascular ties to dementia provoked recent explorations of retinal vessel imaging tools for conceivable early cognitive decline detection. Innovative biomedical engineering technologies and advanced dynamic and functional retinal vascular imaging methods have recently been added to the armamentarium, allowing an unbiased and comprehensive analysis of the retinal vasculature. Improved artificial intelligence-based deep learning algorithms have boosted the application of retinal imaging as a clinical and research tool to screen, risk stratify, and monitor with precision CVD and vascular cognitive impairment. SUMMARY: Mounting evidence supports the use of quantitative retinal vessel analysis in predicting CVD, from clinical stroke to neuroimaging markers of stroke and neurodegeneration.</t>
  </si>
  <si>
    <t>10.1080/19491034.2019.1644592</t>
  </si>
  <si>
    <t>Probing the 3D architecture of the plant nucleus with microscopy approaches: challenges and solutions</t>
  </si>
  <si>
    <t>The eukaryotic cell nucleus is a central organelle whose architecture determines genome function at multiple levels. Deciphering nuclear organizing principles influencing cellular responses and identity is a timely challenge. Despite many similarities between plant and animal nuclei, plant nuclei present intriguing specificities. Complementary to molecular and biochemical approaches, 3D microscopy is indispensable for resolving nuclear architecture. However, novel solutions are required for capturing cell-specific, sub-nuclear and dynamic processes. We provide a pointer for utilising high-to-super-resolution microscopy and image processing to probe plant nuclear architecture in 3D at the best possible spatial and temporal resolution and at quantitative and cell-specific levels. High-end imaging and image-processing solutions allow the community now to transcend conventional practices and benefit from continuously improving approaches. These promise to deliver a comprehensive, 3D view of plant nuclear architecture and to capture spatial dynamics of the nuclear compartment in relation to cellular states and responses. Abbreviations: 3D and 4D: Three and Four dimensional; AI: Artificial Intelligence; ant: antipodal nuclei (ant); CLSM: Confocal Laser Scanning Microscopy; CTs: Chromosome Territories; DL: Deep Learning; DLIm: Dynamic Live Imaging; ecn: egg nucleus; FACS: Fluorescence-Activated Cell Sorting; FISH: Fluorescent In Situ Hybridization; FP: Fluorescent Proteins (GFP, RFP, CFP, YFP, mCherry); FRAP: Fluorescence Recovery After Photobleaching; GPU: Graphics Processing Unit; KEEs: KNOT Engaged Elements; INTACT: Isolation of Nuclei TAgged in specific Cell Types; LADs: Lamin-Associated Domains; ML: Machine Learning; NA: Numerical Aperture; NADs: Nucleolar Associated Domains; PALM: Photo-Activated Localization Microscopy; Pixel: Picture element; pn: polar nuclei; PSF: Point Spread Function; RHF: Relative Heterochromatin Fraction; SIM: Structured Illumination Microscopy; SLIm: Static Live Imaging; SMC: Spore Mother Cell; SNR: Signal to Noise Ratio; SRM: Super-Resolution Microscopy; STED: STimulated Emission Depletion; STORM: STochastic Optical Reconstruction Microscopy; syn: synergid nuclei; TADs: Topologically Associating Domains; Voxel: Volumetric pixel.</t>
  </si>
  <si>
    <t>Nucleus</t>
  </si>
  <si>
    <t>DeepSynth: Three-dimensional nuclear segmentation of biological images using neural networks trained with synthetic data</t>
  </si>
  <si>
    <t>The scale of biological microscopy has increased dramatically over the past ten years, with the development of new modalities supporting collection of high-resolution fluorescence image volumes spanning hundreds of microns if not millimeters. The size and complexity of these volumes is such that quantitative analysis requires automated methods of image processing to identify and characterize individual cells. For many workflows, this process starts with segmentation of nuclei that, due to their ubiquity, ease-of-labeling and relatively simple structure, make them appealing targets for automated detection of individual cells. However, in the context of large, three-dimensional image volumes, nuclei present many challenges to automated segmentation, such that conventional approaches are seldom effective and/or robust. Techniques based upon deep-learning have shown great promise, but enthusiasm for applying these techniques is tempered by the need to generate training data, an arduous task, particularly in three dimensions. Here we present results of a new technique of nuclear segmentation using neural networks trained on synthetic data. Comparisons with results obtained using commonly-used image processing packages demonstrate that DeepSynth provides the superior results associated with deep-learning techniques without the need for manual annotation.</t>
  </si>
  <si>
    <t>Convolutional Neural Network for Automated FLAIR Lesion Segmentation on Clinical Brain MR Imaging</t>
  </si>
  <si>
    <t>BACKGROUND AND PURPOSE: Most brain lesions are characterized by hyperintense signal on FLAIR. We sought to develop an automated deep learning-based method for segmentation of abnormalities on FLAIR and volumetric quantification on clinical brain MRIs across many pathologic entities and scanning parameters. We evaluated the performance of the algorithm compared with manual segmentation and existing automated methods. MATERIALS AND METHODS: We adapted a U-Net convolutional neural network architecture for brain MRIs using 3D volumes. This network was retrospectively trained on 295 brain MRIs to perform automated FLAIR lesion segmentation. Performance was evaluated on 92 validation cases using Dice scores and voxelwise sensitivity and specificity, compared with radiologists' manual segmentations. The algorithm was also evaluated on measuring total lesion volume. RESULTS: Our model demonstrated accurate FLAIR lesion segmentation performance (median Dice score, 0.79) on the validation dataset across a large range of lesion characteristics. Across 19 neurologic diseases, performance was significantly higher than existing methods (Dice, 0.56 and 0.41) and approached human performance (Dice, 0.81). There was a strong correlation between the predictions of lesion volume of the algorithm compared with true lesion volume (ρ = 0.99). Lesion segmentations were accurate across a large range of image-acquisition parameters on &gt;30 different MR imaging scanners. CONCLUSIONS: A 3D convolutional neural network adapted from a U-Net architecture can achieve high automated FLAIR segmentation performance on clinical brain MR imaging across a variety of underlying pathologies and image acquisition parameters. The method provides accurate volumetric lesion data that can be incorporated into assessments of disease burden or into radiologic reports.</t>
  </si>
  <si>
    <t>An unsupervised deep learning technique for susceptibility artifact correction in reversed phase-encoding EPI images</t>
  </si>
  <si>
    <t>Echo planar imaging (EPI) is a fast and non-invasive magnetic resonance imaging technique that supports data acquisition at high spatial and temporal resolutions. However, susceptibility artifacts, which cause the misalignment to the underlying structural image, are unavoidable distortions in EPI. Traditional susceptibility artifact correction (SAC) methods estimate the displacement field by optimizing an objective function that involves one or more pairs of reversed phase-encoding (PE) images. The estimated displacement field is then used to unwarp the distorted images and produce the corrected images. Since this conventional approach is time-consuming, we propose an end-to-end deep learning technique, named S-Net, to correct the susceptibility artifacts the reversed-PE image pair. The proposed S-Net consists of two components: (i) a convolutional neural network to map a reversed-PE image pair to the displacement field; and (ii) a spatial transform unit to unwarp the input images and produce the corrected images. The S-Net is trained using a set of reversed-PE image pairs and an unsupervised loss function, without ground-truth data. For a new image pair of reversed-PE images, the displacement field and corrected images are obtained simultaneously by evaluating the trained S-Net directly. Evaluations on three different datasets demonstrate that S-Net can correct the susceptibility artifacts in the reversed-PE images. Compared with two state-of-the-art SAC methods (TOPUP and TISAC), the proposed S-Net runs significantly faster: 20 times faster than TISAC and 369 times faster than TOPUP, while achieving a similar correction accuracy. Consequently, S-Net accelerates the medical image processing pipelines and makes the real-time correction for MRI scanners feasible. Our proposed technique also opens up a new direction in learning-based SAC.</t>
  </si>
  <si>
    <t>Visual and software-based quantitative chest CT assessment of COVID-19: correlation with clinical findings</t>
  </si>
  <si>
    <t>PURPOSE: The aim of this study was to evaluate visual and software-based quantitative assessment of parenchymal changes and normal lung parenchyma in patients with coronavirus disease 2019 (COVID-19) pneumonia. The secondary aim of the study was to compare the radiologic findings with clinical and laboratory data. METHODS: Patients with COVID-19 who underwent chest computed tomography (CT) between March 11, 2020 and April 15, 2020 were retrospectively evaluated. Clinical and laboratory findings of patients with abnormal findings on chest CT and PCR-evidence of COVID-19 infection were recorded. Visual quantitative assessment score (VQAS) was performed according to the extent of lung opacities. Software-based quantitative assessment of the normal lung parenchyma percentage (SQNLP) was automatically quantified by a deep learning software. The presence of consolidation and crazy paving pattern (CPP) was also recorded. Statistical analyses were performed to evaluate the correlation between quantitative radiologic assessments, and clinical and laboratory findings, as well as to determine the predictive utility of radiologic findings for estimating severe pneumonia and admission to intensive care unit (ICU). RESULTS: A total of 90 patients were enrolled. Both VQAS and SQNLP were significantly correlated with multiple clinical parameters. While VQAS &gt;8.5 (sensitivity, 84.2%; specificity, 80.3%) and SQNLP &lt;82.45% (sensitivity, 83.1%; specificity, 84.2%) were related to severe pneumonia, VQAS &gt;9.5 (sensitivity, 93.3%; specificity, 86.5%) and SQNLP &lt;81.1% (sensitivity, 86.5%; specificity, 86.7%) were predictive of ICU admission. Both consolidation and CPP were more commonly seen in patients with severe pneumonia than patients with nonsevere pneumonia (P = 0.197 for consolidation; P &lt; 0.001 for CPP). Moreover, the presence of CPP showed high specificity (97.2%) for severe pneumonia. CONCLUSION: Both SQNLP and VQAS were significantly related to the clinical findings, highlighting their clinical utility in predicting severe pneumonia, ICU admission, length of hospital stay, and management of the disease. On the other hand, presence of CPP has high specificity for severe COVID-19 pneumonia.</t>
  </si>
  <si>
    <t>Diagn Interv Radiol</t>
  </si>
  <si>
    <t>Axons morphometry in the human spinal cord</t>
  </si>
  <si>
    <t>Due to the technical challenges of large-scale microscopy and analysis, to date only limited knowledge has been made available about axon morphometry (diameter, shape, myelin thickness, volume fraction), thereby limiting our understanding of neuronal microstructure and slowing down research on neurodegenerative pathologies. This study addresses this knowledge gap by establishing a state-of-the-art acquisition and analysis framework for mapping axon morphometry, and providing the first comprehensive mapping of axon morphometry in the human spinal cord. We dissected, fixed and stained a human spinal cord with osmium tetroxide, and used a scanning electron microscope to image the entirety of 23 axial slices, covering C1 to L5 spinal levels. An automatic method based on deep learning was then used to segment each axon and myelin sheath to produce maps of axon morphometry. These maps were then registered to a standard spinal cord magnetic resonance imaging (MRI) template. Between 500,000 (lumbar) and 1 million (cervical) myelinated axons were segmented at each level of this human spinal cord. Morphometric features show a large disparity between tracts, but high right-left symmetry. Our results suggest a modality-based organization of the dorsal column in the human, as it has been observed in the rat. The generated axon morphometry template is publicly available at https://osf.io/8k7jr/ and could be used as a reference for quantitative MRI studies. The proposed framework for axon morphometry mapping could be extended to other parts of the central or peripheral nervous system that exhibit coherently-oriented axons.</t>
  </si>
  <si>
    <t>T. Duval, A. Saliani, H. Nami, A. Nanci, N. Stikov, H. Leblond and J. Cohen-Adad</t>
  </si>
  <si>
    <t>Learning Generalizable Recurrent Neural Networks from Small Task-fMRI Datasets</t>
  </si>
  <si>
    <t>Deep learning has become the new state-of-the-art for many problems in image analysis. However, large datasets are often required for such deep networks to learn effectively. This poses a difficult challenge for many medical image analysis problems in which only a small number of subjects are available, e.g., patients undergoing a new treatment. In this work, we propose a number of approaches for learning generalizable recurrent neural networks from smaller task-fMRI datasets: 1) a resampling method for ROI-based fMRI analysis to create augmented data; 2) inclusion of a small number of non-imaging variables to provide subject-specific initialization of the recurrent neural network; and 3) selection of the most generalizable model from multiple reinitialized training runs using criteria based on only training loss. Using cross-validation to assess model performance, we demonstrate the effectiveness of the proposed methods to train recurrent neural networks from small datasets to predict treatment outcome for children with autism spectrum disorder (N = 21) and classify autistic vs. typical control subjects (N = 40) from task-fMRI scans.</t>
  </si>
  <si>
    <t>N. C. Dvornek, D. Yang, P. Ventola and J. S. Duncan</t>
  </si>
  <si>
    <t>Using deep-learning techniques for pulmonary-thoracic segmentations and improvement of pneumonia diagnosis in pediatric chest radiographs</t>
  </si>
  <si>
    <t>PURPOSE: To evaluate the efficacy of a deep-learning model to segment the lung and thorax regions in pediatric chest X-rays (CXRs). Validating the diagnosis of bacterial or viral pneumonia could be improved after lung segmentation. MATERIALS AND METHODS: A clinical-pediatric CXR set including 1351 patients was proposed to develop a deep-learning model for the pulmonary-thoracic segmentations. Model performance was evaluated by Jaccard's similarity coefficient (JSC) and Dice's coefficient (DC). Two adult CXR sets were used to assess the model's generalizability. According to the pulmonary-thoracic ratio, Pearson's correlation coefficient and the Bland-Altman plot were generated to demonstrate the correlation and agreement between manual and automatic segmentations. The receiver operating characteristic curves and areas under the curve (AUCs) were used to compare the pneumonia classification performance based on the lung-extracted images with that based on the original images. RESULTS: The model achieved JSCs of 0.910 and 0.950, DCs of 0.948 and 0.974 for lung and thorax segmentations, respectively. Pearson's r = 0.96, P &lt; .0001. In the Bland-Altman plot, the mean difference was 0.0025 with a 95% confidence interval of (-0.0451, 0.0501). For testing with two adult CXR sets, the JSCs were 0.903 and 0.888, respectively, while the DCs were 0.948 and 0.937, respectively. After lung segmentation, the AUC of a classifier to identify bacterial or viral pneumonia increased from 0.815 to 0.879. CONCLUSION: We built a pediatric CXR dataset and exploited a deep-learning model for accurate pulmonary-thoracic segmentations. Lung segmentation can notably improve the diagnosis of bacterial or viral pneumonia.</t>
  </si>
  <si>
    <t>Pediatr Pulmonol</t>
  </si>
  <si>
    <t>Automatic detection of hemorrhagic pericardial effusion on PMCT using deep learning - a feasibility study</t>
  </si>
  <si>
    <t>Post mortem computed tomography (PMCT) can be used as a triage tool to better identify cases with a possibly non-natural cause of death, especially when high caseloads make it impossible to perform autopsies on all cases. Substantial data can be generated by modern medical scanners, especially in a forensic setting where the entire body is documented at high resolution. A solution for the resulting issues could be the use of deep learning techniques for automatic analysis of radiological images. In this article, we wanted to test the feasibility of such methods for forensic imaging by hypothesizing that deep learning methods can detect and segment a hemopericardium in PMCT. For deep learning image analysis software, we used the ViDi Suite 2.0. We retrospectively selected 28 cases with, and 24 cases without, hemopericardium. Based on these data, we trained two separate deep learning networks. The first one classified images into hemopericardium/not hemopericardium, and the second one segmented the blood content. We randomly selected 50% of the data for training and 50% for validation. This process was repeated 20 times. The best performing classification network classified all cases of hemopericardium from the validation images correctly with only a few false positives. The best performing segmentation network would tend to underestimate the amount of blood in the pericardium, which is the case for most networks. This is the first study that shows that deep learning has potential for automated image analysis of radiological images in forensic medicine.</t>
  </si>
  <si>
    <t>L. C. Ebert, J. Heimer, W. Schweitzer, T. Sieberth, A. Leipner, M. Thali and G. Ampanozi</t>
  </si>
  <si>
    <t>Forensic Sci Med Pathol</t>
  </si>
  <si>
    <t>An automated framework for localization, segmentation and super-resolution reconstruction of fetal brain MRI</t>
  </si>
  <si>
    <t>High-resolution volume reconstruction from multiple motion-corrupted stacks of 2D slices plays an increasing role for fetal brain Magnetic Resonance Imaging (MRI) studies. Currently existing reconstruction methods are time-consuming and often require user interactions to localize and extract the brain from several stacks of 2D slices. We propose a fully automatic framework for fetal brain reconstruction that consists of four stages: 1) fetal brain localization based on a coarse segmentation by a Convolutional Neural Network (CNN), 2) fine segmentation by another CNN trained with a multi-scale loss function, 3) novel, single-parameter outlier-robust super-resolution reconstruction, and 4) fast and automatic high-resolution visualization in standard anatomical space suitable for pathological brains. We validated our framework with images from fetuses with normal brains and with variable degrees of ventriculomegaly associated with open spina bifida, a congenital malformation affecting also the brain. Experiments show that each step of our proposed pipeline outperforms state-of-the-art methods in both segmentation and reconstruction comparisons including expert-reader quality assessments. The reconstruction results of our proposed method compare favorably with those obtained by manual, labor-intensive brain segmentation, which unlocks the potential use of automatic fetal brain reconstruction studies in clinical practice.</t>
  </si>
  <si>
    <t>10.1016/j.artmed.2020.101851</t>
  </si>
  <si>
    <t>A review on segmentation of knee articular cartilage: from conventional methods towards deep learning</t>
  </si>
  <si>
    <t>In this paper, we review the state-of-the-art approaches for knee articular cartilage segmentation from conventional techniques to deep learning (DL) based techniques. Knee articular cartilage segmentation on magnetic resonance (MR) images is of great importance in early diagnosis of osteoarthritis (OA). Besides, segmentation allows estimating the articular cartilage loss rate which is utilised in clinical practice for assessing the disease progression and morphological changes. It has been traditionally applied in quantifying longitudinal knee OA progression pattern to detect and assess the articular cartilage thickness and volume. Topics covered include various image processing algorithms and major features of different segmentation techniques, feature computations and the performance evaluation metrics. This paper is intended to provide researchers with a broad overview of the currently existing methods in the field, as well as to highlight the shortcomings and potential considerations in the application at clinical practice. The survey showed that state-of-the-art techniques based on DL outperform the other segmentation methods. The analysis of the existing methods reveals that integration of DL-based algorithms with other traditional model-based approaches has achieved the best results (mean Dice similarity coefficient (DSC) between 85.8% and 90%).</t>
  </si>
  <si>
    <t>Detection Methods of COVID-19</t>
  </si>
  <si>
    <t>Since being first detected in China, coronavirus disease 2019 (COVID-19) has spread rapidly across the world, triggering a global pandemic with no viable cure in sight. As a result, national responses have focused on the effective minimization of the spread. Border control measures and travel restrictions have been implemented in a number of countries to limit the import and export of the virus. The detection of COVID-19 is a key task for physicians. The erroneous results of early laboratory tests and their delays led researchers to focus on different options. Information obtained from computed tomography (CT) and radiological images is important for clinical diagnosis. Therefore, it is worth developing a rapid method of detection of viral diseases through the analysis of radiographic images. We propose a novel method of detection of COVID-19. The purpose is to provide clinical decision support to healthcare workers and researchers. The article is to support researchers working on early detection of COVID-19 as well as similar viral diseases.</t>
  </si>
  <si>
    <t>SLAS Technol</t>
  </si>
  <si>
    <t>10.1186/s12859-020-03615-1</t>
  </si>
  <si>
    <t>Review of medical image recognition technologies to detect melanomas using neural networks</t>
  </si>
  <si>
    <t>BACKGROUND: Melanoma is one of the most aggressive types of cancer that has become a world-class problem. According to the World Health Organization estimates, 132,000 cases of the disease and 66,000 deaths from malignant melanoma and other forms of skin cancer are reported annually worldwide ( https://apps.who.int/gho/data/?theme=main ) and those numbers continue to grow. In our opinion, due to the increasing incidence of the disease, it is necessary to find new, easy to use and sensitive methods for the early diagnosis of melanoma in a large number of people around the world. Over the last decade, neural networks show highly sensitive, specific, and accurate results. OBJECTIVE: This study presents a review of PubMed papers including requests «melanoma neural network» and «melanoma neural network dermatoscopy». We review recent researches and discuss their opportunities acceptable in clinical practice. METHODS: We searched the PubMed database for systematic reviews and original research papers on the requests «melanoma neural network» and «melanoma neural network dermatoscopy» published in English. Only papers that reported results, progress and outcomes are included in this review. RESULTS: We found 11 papers that match our requests that observed convolutional and deep-learning neural networks combined with fuzzy clustering or World Cup Optimization algorithms in analyzing dermatoscopic images. All of them require an ABCD (asymmetry, border, color, and differential structures) algorithm and its derivates (in combination with ABCD algorithm or separately). Also, they require a large dataset of dermatoscopic images and optimized estimation parameters to provide high specificity, accuracy and sensitivity. CONCLUSIONS: According to the analyzed papers, neural networks show higher specificity, accuracy and sensitivity than dermatologists. Neural networks are able to evaluate features that might be unavailable to the naked human eye. Despite that, we need more datasets to confirm those statements. Nowadays machine learning becomes a helpful tool in early diagnosing skin diseases, especially melanoma.</t>
  </si>
  <si>
    <t>Microaneurysm detection in fundus images using a two-step convolutional neural network</t>
  </si>
  <si>
    <t>BACKGROUND AND OBJECTIVES: Diabetic retinopathy (DR) is the leading cause of blindness worldwide, and therefore its early detection is important in order to reduce disease-related eye injuries. DR is diagnosed by inspecting fundus images. Since microaneurysms (MA) are one of the main symptoms of the disease, distinguishing this complication within the fundus images facilitates early DR detection. In this paper, an automatic analysis of retinal images using convolutional neural network (CNN) is presented. METHODS: Our method incorporates a novel technique utilizing a two-stage process with two online datasets which results in accurate detection while solving the imbalance data problem and decreasing training time in comparison with previous studies. We have implemented our proposed CNNs using the Keras library. RESULTS: In order to evaluate our proposed method, an experiment was conducted on two standard publicly available datasets, i.e., Retinopathy Online Challenge dataset and E-Ophtha-MA dataset. Our results demonstrated a promising sensitivity value of about 0.8 for an average of &gt;6 false positives per image, which is competitive with state of the art approaches. CONCLUSION: Our method indicates significant improvement in MA-detection using retinal fundus images for monitoring diabetic retinopathy.</t>
  </si>
  <si>
    <t>N. Eftekhari, H. R. Pourreza, M. Masoudi, K. Ghiasi-Shirazi and E. Saeedi</t>
  </si>
  <si>
    <t>Fully Convolutional Mandible Segmentation on a valid Ground- Truth Dataset</t>
  </si>
  <si>
    <t>This contribution presents the automatic segmentation of the lower jawbone (mandible) in humans' computed tomography (CT) images with the support of trained deep learning networks. CT acquisitions from the mandible frequently include radiological artifacts e.g., from metal dental restorations, ostheosynthesis materials or include trauma related free pieces of bones with missing bone contour anatomy. As a result, manual outlining these slices to generate the ground truth for evaluating segmentation algorithms lead to massive uncertainties and results in significant interphysician disagreement. Simply excluding these slices is also not the option of choice, regarding the treatment outcome. Hence, we defined strict inclusion and exclusion criteria for our datasets to avoid subjectivity or occurring bias in the groundtruth creation. Amongst others, datasets must display a complete physiological mandible without teeth. According to these data selection criteria such images are difficult to find since they originate from the clinical routine and therefore need a medical indication (such as trauma or pathologic lesions) to be provided as CT data. Furthermore, to prove the adequateness of our ground-truth, clinical experts segmented all cases twice manually, showing the great qualitative and quantitative agreement between them. Our dataset collection and the corresponding ground truth is an absolute novelty and the first serious evaluation of segmentation algorithms for the mandible.</t>
  </si>
  <si>
    <t>J. Egger, B. Pfarrkirchner, C. Gsaxner, L. Lindner, D. Schmalstieg and J. Wallner</t>
  </si>
  <si>
    <t>Deep Learning-Based Quantification of Epicardial Adipose Tissue Volume and Attenuation Predicts Major Adverse Cardiovascular Events in Asymptomatic Subjects</t>
  </si>
  <si>
    <t>BACKGROUND: Epicardial adipose tissue (EAT) volume (cm(3)) and attenuation (Hounsfield units) may predict major adverse cardiovascular events (MACE). We aimed to evaluate the prognostic value of fully automated deep learning-based EAT volume and attenuation measurements quantified from noncontrast cardiac computed tomography. METHODS: Our study included 2068 asymptomatic subjects (56±9 years, 59% male) from the EISNER trial (Early Identification of Subclinical Atherosclerosis by Noninvasive Imaging Research) with long-term follow-up after coronary artery calcium measurement. EAT volume and mean attenuation were quantified using automated deep learning software from noncontrast cardiac computed tomography. MACE was defined as myocardial infarction, late (&gt;180 days) revascularization, and cardiac death. EAT measures were compared to coronary artery calcium score and atherosclerotic cardiovascular disease risk score for MACE prediction. RESULTS: At 14±3 years, 223 subjects suffered MACE. Increased EAT volume and decreased EAT attenuation were both independently associated with MACE. Atherosclerotic cardiovascular disease risk score, coronary artery calcium, and EAT volume were associated with increased risk of MACE (hazard ratio [95%CI]: 1.03 [1.01-1.04]; 1.25 [1.19-1.30]; and 1.35 [1.07-1.68], P&lt;0.01 for all) and EAT attenuation was inversely associated with MACE (hazard ratio, 0.83 [95% CI, 0.72-0.96]; P=0.01), with corresponding Harrell C statistic of 0.76. MACE risk progressively increased with EAT volume ≥113 cm(3) and coronary artery calcium ≥100 AU and was highest in subjects with both (P&lt;0.02 for all). In 1317 subjects, EAT volume was correlated with inflammatory biomarkers C-reactive protein, myeloperoxidase, and adiponectin reduction; EAT attenuation was inversely related to these biomarkers. CONCLUSIONS: Fully automated EAT volume and attenuation quantification by deep learning from noncontrast cardiac computed tomography can provide prognostic value for the asymptomatic patient, without additional imaging or physician interaction.</t>
  </si>
  <si>
    <t>Uncovering convolutional neural network decisions for diagnosing multiple sclerosis on conventional MRI using layer-wise relevance propagation</t>
  </si>
  <si>
    <t>Machine learning-based imaging diagnostics has recently reached or even surpassed the level of clinical experts in several clinical domains. However, classification decisions of a trained machine learning system are typically non-transparent, a major hindrance for clinical integration, error tracking or knowledge discovery. In this study, we present a transparent deep learning framework relying on 3D convolutional neural networks (CNNs) and layer-wise relevance propagation (LRP) for diagnosing multiple sclerosis (MS), the most widespread autoimmune neuroinflammatory disease. MS is commonly diagnosed utilizing a combination of clinical presentation and conventional magnetic resonance imaging (MRI), specifically the occurrence and presentation of white matter lesions in T2-weighted images. We hypothesized that using LRP in a naive predictive model would enable us to uncover relevant image features that a trained CNN uses for decision-making. Since imaging markers in MS are well-established this would enable us to validate the respective CNN model. First, we pre-trained a CNN on MRI data from the Alzheimer's Disease Neuroimaging Initiative (n = 921), afterwards specializing the CNN to discriminate between MS patients (n = 76) and healthy controls (n = 71). Using LRP, we then produced a heatmap for each subject in the holdout set depicting the voxel-wise relevance for a particular classification decision. The resulting CNN model resulted in a balanced accuracy of 87.04% and an area under the curve of 96.08% in a receiver operating characteristic curve. The subsequent LRP visualization revealed that the CNN model focuses indeed on individual lesions, but also incorporates additional information such as lesion location, non-lesional white matter or gray matter areas such as the thalamus, which are established conventional and advanced MRI markers in MS. We conclude that LRP and the proposed framework have the capability to make diagnostic decisions of CNN models transparent, which could serve to justify classification decisions for clinical review, verify diagnosis-relevant features and potentially gather new disease knowledge.</t>
  </si>
  <si>
    <t>Multi-input deep learning architecture for predicting breast tumor response to chemotherapy using quantitative MR images</t>
  </si>
  <si>
    <t>PURPOSE: Neoadjuvant chemotherapy (NAC) aims to minimize the tumor size before surgery. Predicting response to NAC could reduce toxicity and delays to effective intervention. Computational analysis of dynamic contrast-enhanced magnetic resonance images (DCE-MRI) through deep convolution neural network (CNN) has shown a significant performance to distinguish responders and no responder's patients. This study intends to present a new deep learning (DL) model predicting the breast cancer response to NAC based on multiple MRI inputs. METHODS: A cohort of 723 axial slices extracted from 42 breast cancer patients who underwent NAC therapy was used to train and validate the developed DL model. This dataset was provided by our collaborator institute of radiology in Brussels. Fourteen external cases were used to validate the best obtained model to predict pCR based on pre- and post-chemotherapy DCE-MRI. The model performance was assessed by area under the receiver operating characteristic curve (AUC), accuracy, sensitivity, specificity, and feature map visualization. RESULTS: The developed multi-inputs deep learning architecture was able to predict the pCR to NAC treatment in the validation dataset with an AUC of 0.91 using combined pre- and post-NAC images. The visual results showed that the most important extracted features from non-pCR tumors are in the peripheral region. The proposed method was more productive than the previous ones. CONCLUSION: Even with a limited training dataset size, the proposed and developed CNN model using DCE-MR images acquired before and after the first chemotherapy was able to classify pCR and non-pCR patients with substantial accuracy. This model could be used hereafter in clinical analysis after its evaluation based on more extra data.</t>
  </si>
  <si>
    <t>Using X-ray images and deep learning for automated detection of coronavirus disease</t>
  </si>
  <si>
    <t>Coronavirus is still the leading cause of death worldwide. There are a set number of COVID-19 test units accessible in emergency clinics because of the expanding cases daily. Therefore, it is important to implement an automatic detection and classification system as a speedy elective finding choice to forestall COVID-19 spreading among individuals. Medical images analysis is one of the most promising research areas, it provides facilities for diagnosis and making decisions of a number of diseases such as Coronavirus. This paper conducts a comparative study of the use of the recent deep learning models (VGG16, VGG19, DenseNet201, Inception_ResNet_V2, Inception_V3, Resnet50, and MobileNet_V2) to deal with detection and classification of coronavirus pneumonia. The experiments were conducted using chest X-ray &amp; CT dataset of 6087 images (2780 images of bacterial pneumonia, 1493 of coronavirus, 231 of Covid19, and 1583 normal) and confusion matrices are used to evaluate model performances. Results found out that the use of inception_Resnet_V2 and Densnet201 provide better results compared to other models used in this work (92.18% accuracy for Inception-ResNetV2 and 88.09% accuracy for Densnet201).Communicated by Ramaswamy H. Sarma.</t>
  </si>
  <si>
    <t>J Biomol Struct Dyn</t>
  </si>
  <si>
    <t>Super-Resolution Diffusion Tensor Imaging using SRCNN: A Feasibility Study()</t>
  </si>
  <si>
    <t>High-resolution diffusion imaging with submillimeter isotropic voxels requires long scan times that are usually clinically impractical. Even with those long scans, the image quality can still suffer from low signal-to-noise ratio (SNR) and severe geometric distortion due to long echo spacing in echo-planar imaging sequences. In this study, we proposed and validated the efficacy of using a state-of-the-art deep-learning method, super-resolution convolutional neural network (SRCNN), to achieve submillimeter super-resolution diffusion-weighted (DW) images. The 2D-based deep-learning method was validated by comparing with the ground truth using numerical simulations and by studying region-of-interest (ROI) using real human data of three healthy volunteers. Furthermore, we interrogated the proposed method under different real-life SNR conditions. The results demonstrated that the proposed deep-learning method was able to reproduce sufficient details in the anatomy that can only be detected using high-resolution diffusion imaging. The percentage errors in diffusion tensor imaging (DTI) derived metrics were less than 8% when the baseline SNR larger than 20. The ROI results demonstrated that the proposed method produced comparable values of diffusion metrics to the matched high-resolution diffusion metrics of real human data. Particularly, the patterns of distributions of the subjects were similar between the proposed method and real data across whole-brain gray-matter and white-matter ROIs. A deep-learned submillimeter resolution of 0.625 mm diffusion directional image showed high image quality, particularly in the cortical gray matter. We demonstrated the feasibility of using a deep-learning algorithm based on SRCNN in DTI. This approach can be a robust alternative when acquiring the true sub-millimeter diffusion MRI is not available.</t>
  </si>
  <si>
    <t>Automatic localization of the left ventricle in cardiac MRI images using deep learning</t>
  </si>
  <si>
    <t>Automatic localization of the left ventricle (LV) in cardiac MRI images is an essential step for automatic segmentation, functional analysis, and content based retrieval of cardiac images. In this paper, we introduce a new approach based on deep Convolutional Neural Network (CNN) to localize the LV in cardiac MRI in short axis views. A six-layer CNN with different kernel sizes was employed for feature extraction, followed by Softmax fully connected layer for classification. The pyramids of scales analysis was introduced in order to take account of the different sizes of the heart. A publically-available database of 33 patients was used for learning and testing. The proposed method was able it localize the LV with 98.66%, 83.91% and 99.07% for accuracy, sensitivity and specificity respectively.</t>
  </si>
  <si>
    <t>O. Emad, I. A. Yassine and A. S. Fahmy</t>
  </si>
  <si>
    <t>Bragatston study protocol: a multicentre cohort study on automated quantification of cardiovascular calcifications on radiotherapy planning CT scans for cardiovascular risk prediction in patients with breast cancer</t>
  </si>
  <si>
    <t>INTRODUCTION: Cardiovascular disease (CVD) is an important cause of death in breast cancer survivors. Some breast cancer treatments including anthracyclines, trastuzumab and radiotherapy can increase the risk of CVD, especially for patients with pre-existing CVD risk factors. Early identification of patients at increased CVD risk may allow switching to less cardiotoxic treatments, active surveillance or treatment of CVD risk factors. One of the strongest independent CVD risk factors is the presence and extent of coronary artery calcifications (CAC). In clinical practice, CAC are generally quantified on ECG-triggered cardiac CT scans. Patients with breast cancer treated with radiotherapy routinely undergo radiotherapy planning CT scans of the chest, and those scans could provide the opportunity to routinely assess CAC before a potentially cardiotoxic treatment. The Bragatston study aims to investigate the association between calcifications in the coronary arteries, aorta and heart valves (hereinafter called 'cardiovascular calcifications') measured automatically on planning CT scans of patients with breast cancer and CVD risk. METHODS AND ANALYSIS: In a first step, we will optimise and validate a deep learning algorithm for automated quantification of cardiovascular calcifications on planning CT scans of patients with breast cancer. Then, in a multicentre cohort study (University Medical Center Utrecht, Utrecht, Erasmus MC Cancer Institute, Rotterdam and Radboudumc, Nijmegen, The Netherlands), the association between cardiovascular calcifications measured on planning CT scans of patients with breast cancer (n≈16 000) and incident (non-)fatal CVD events will be evaluated. To assess the added predictive value of these calcifications over traditional CVD risk factors and treatment characteristics, a case-cohort analysis will be performed among all cohort members diagnosed with a CVD event during follow-up (n≈200) and a random sample of the baseline cohort (n≈600). ETHICS AND DISSEMINATION: The Institutional Review Boards of the participating hospitals decided that the Medical Research Involving Human Subjects Act does not apply. Findings will be published in peer-reviewed journals and presented at conferences. TRIAL REGISTRATION NUMBER: NCT03206333.</t>
  </si>
  <si>
    <t>BMJ Open</t>
  </si>
  <si>
    <t>Identifying Smoking Environments From Images of Daily Life With Deep Learning</t>
  </si>
  <si>
    <t>IMPORTANCE: Environments associated with smoking increase a smoker's craving to smoke and may provoke lapses during a quit attempt. Identifying smoking risk environments from images of a smoker's daily life provides a basis for environment-based interventions. OBJECTIVE: To apply a deep learning approach to the clinically relevant identification of smoking environments among settings that smokers encounter in daily life. DESIGN, SETTING, AND PARTICIPANTS: In this cross-sectional study, 4902 images of smoking (n = 2457) and nonsmoking (n = 2445) locations were photographed by 169 smokers from Durham, North Carolina, and Pittsburgh, Pennsylvania, areas from 2010 to 2016. These images were used to develop a probabilistic classifier to predict the location type (smoking or nonsmoking location), thus relating objects and settings in daily environments to established smoking patterns. The classifier combines a deep convolutional neural network with an interpretable logistic regression model and was trained and evaluated via nested cross-validation with participant-wise partitions (ie, out-of-sample prediction). To contextualize model performance, images taken by 25 randomly selected participants were also classified by smoking cessation experts. As secondary validation, craving levels reported by participants when viewing unfamiliar environments were compared with the model's predictions. Data analysis was performed from September 2017 to May 2018. MAIN OUTCOMES AND MEASURES: Classifier performance (accuracy and area under the receiver operating characteristic curve [AUC]), comparison with 4 smoking cessation experts, contribution of objects and settings to smoking environment status (standardized model coefficients), and correlation with participant-reported craving. RESULTS: Of 169 participants, 106 (62.7%) were from Durham (53 [50.0%] female; mean [SD] age, 41.4 [12.0] years) and 63 (37.3%) were from Pittsburgh (31 [51.7%] female; mean [SD] age, 35.2 [13.8] years). A total of 4902 images were available for analysis, including 3386 from Durham (mean [SD], 31.9 [1.3] images per participant) and 1516 from Pittsburgh (mean [SD], 24.1 [0.5] images per participant). Images were evenly split between the 2 classes, with 2457 smoking images (50.1%) and 2445 nonsmoking images (49.9%). The final model discriminated smoking vs nonsmoking environments with a mean (SD) AUC of 0.840 (0.024) (accuracy [SD], 76.5% [1.6%]). A model trained only with images from Durham participants effectively classified images from Pittsburgh participants (AUC, 0.757; accuracy, 69.2%), and a model trained only with images from Pittsburgh participants effectively classified images from Durham participants (AUC, 0.821; accuracy, 75.0%), suggesting good generalizability between geographic areas. Only 1 expert's performance was a statistically significant improvement compared with the classifier (α = .05). Median self-reported craving was significantly correlated with model-predicted smoking environment status (ρ = 0.894; P = .003). CONCLUSIONS AND RELEVANCE: In this study, features of daily environments predicted smoking vs nonsmoking status consistently across participants. The findings suggest that a deep learning approach can identify environments associated with smoking, can predict the probability that any image of daily life represents a smoking environment, and can potentially trigger environment-based interventions. This work demonstrates a framework for predicting how daily environments may influence target behaviors or symptoms that may have broad applications in mental and physical health.</t>
  </si>
  <si>
    <t>JAMA Netw Open</t>
  </si>
  <si>
    <t>10.2214/ajr.18.20490</t>
  </si>
  <si>
    <t>Artificial Intelligence for Medical Image Analysis: A Guide for Authors and Reviewers</t>
  </si>
  <si>
    <t>OBJECTIVE: The purpose of this article is to highlight best practices for writing and reviewing articles on artificial intelligence for medical image analysis. CONCLUSION: Artificial intelligence is in the early phases of application to medical imaging, and patient safety demands a commitment to sound methods and avoidance of rhetorical and overly optimistic claims. Adherence to best practices should elevate the quality of articles submitted to and published by clinical journals.</t>
  </si>
  <si>
    <t>Detection of Traumatic Pediatric Elbow Joint Effusion Using a Deep Convolutional Neural Network</t>
  </si>
  <si>
    <t>OBJECTIVE: The purpose of this study is to determine whether a deep convolutional neural network (DCNN) trained on a dataset of limited size can accurately diagnose traumatic pediatric elbow effusion on lateral radiographs. MATERIALS AND METHODS: A total of 901 lateral elbow radiographs from 882 pediatric patients who presented to the emergency department with upper extremity trauma were divided into a training set (657 images), a validation set (115 images), and an independent test set (129 images). The training set was used to train DCNNs of varying depth, architecture, and parameter initialization, some trained from randomly initialized parameter weights and others trained using parameter weights derived from pretraining on an ImageNet dataset. Hyperparameters were optimized using the validation set, and the DCNN with the highest ROC AUC on the validation set was selected for further performance testing on the test set. RESULTS: The final trained DCNN model had an ROC AUC of 0.985 (95% CI, 0.966-1.000) on the validation set and 0.943 (95% CI, 0.884-1.000) on the test set. On the test set, sensitivity was 0.909 (95% CI, 0.788-1.000), specificity was 0.906 (95% CI, 0.844-0.958), and accuracy was 0.907 (95% CI, 0.843-0.951). CONCLUSION: Accurate diagnosis of traumatic pediatric elbow joint effusion can be achieved using a DCNN.</t>
  </si>
  <si>
    <t>J. R. England, J. S. Gross, E. A. White, D. B. Patel, J. T. England and P. M. Cheng</t>
  </si>
  <si>
    <t>Availability of trained radiologists for fast processing of CXRs in regions burdened with tuberculosis always has been a challenge, affecting both timely diagnosis and patient monitoring. The paucity of annotated images of lungs of TB patients hampers attempts to apply data-oriented algorithms for research and clinical practices. The TB Portals Program database (TBPP, https://TBPortals.niaid.nih.gov) is a global collaboration curating a large collection of the most dangerous, hard-to-cure drug-resistant tuberculosis (DR-TB) patient cases. TBPP, with 1,179 (83%) DR-TB patient cases, is a unique collection that is well positioned as a testing ground for deep learning classifiers. As of January 2019, the TBPP database contains 1,538 CXRs, of which 346 (22.5%) are annotated by a radiologist and 104 (6.7%) by a pulmonologist-leaving 1,088 (70.7%) CXRs without annotations. The Qure.ai qXR artificial intelligence automated CXR interpretation tool, was blind-tested on the 346 radiologist-annotated CXRs from the TBPP database. Qure.ai qXR CXR predictions for cavity, nodule, pleural effusion, hilar lymphadenopathy was successfully matching human expert annotations. In addition, we tested the 12 Qure.ai classifiers to find whether they correlate with treatment success (information provided by treating physicians). Ten descriptors were found as significant: abnormal CXR (p = 0.0005), pleural effusion (p = 0.048), nodule (p = 0.0004), hilar lymphadenopathy (p = 0.0038), cavity (p = 0.0002), opacity (p = 0.0006), atelectasis (p = 0.0074), consolidation (p = 0.0004), indicator of TB disease (p = &lt; .0001), and fibrosis (p = &lt; .0001). We conclude that applying fully automated Qure.ai CXR analysis tool is useful for fast, accurate, uniform, large-scale CXR annotation assistance, as it performed well even for DR-TB cases that were not used for initial training. Testing artificial intelligence algorithms (encapsulating both machine learning and deep learning classifiers) on diverse data collections, such as TBPP, is critically important toward progressing to clinically adopted automatic assistants for medical data analysis.</t>
  </si>
  <si>
    <t>Semi Supervised Learning with Deep Embedded Clustering for Image Classification and Segmentation</t>
  </si>
  <si>
    <t>Deep neural networks usually require large labeled datasets to construct accurate models; however, in many real-world scenarios, such as medical image segmentation, labelling data is a time-consuming and costly human (expert) intelligent task. Semi-supervised methods leverage this issue by making use of a small labeled dataset and a larger set of unlabeled data. In this article, we present a flexible framework for semi-supervised learning that combines the power of supervised methods that learn feature representations using state-of-the-art deep convolutional neural networks with the deep embedded clustering algorithm that assigns data points to clusters based on their probability distributions and feature representations learned by the networks. Our proposed semi-supervised learning algorithm based on deep embedded clustering (SSLDEC) learns feature representations via iterations by alternatively using labeled and unlabeled data points and computing target distributions from predictions. During this iterative procedure the algorithm uses labeled samples to keep the model consistent and tuned with labeling, as it simultaneously learns to improve feature representation and predictions. SSLDEC requires few hyper-parameters and thus does not need large labeled validation sets, which addresses one of the main limitations of many semi-supervised learning algorithms. It is also flexible and can be used with many state-of-the-art deep neural network configurations for image classification and segmentation tasks. To this end, we implemented and tested our approach on benchmark image classification tasks as well as in a challenging medical image segmentation scenario. In benchmark classification tasks, SSLDEC outperformed several state-of-the-art semi-supervised learning methods, achieving 0.46% error on MNIST with 1000 labeled points, and 4.43% error on SVHN with 500 labeled points. In the iso-intense infant brain MRI tissue segmentation task, we implemented SSLDEC on a 3D densely connected fully convolutional neural network where we achieved significant improvement over supervised-only training as well as a semi-supervised method based on pseudo-labelling. Our results show that SSLDEC can be effectively used to reduce the need for costly expert annotations, enhancing applications such as automatic medical image segmentation.</t>
  </si>
  <si>
    <t>J. Enguehard, P. O'Halloran and A. Gholipour</t>
  </si>
  <si>
    <t>IEEE Access</t>
  </si>
  <si>
    <t>KIKI-net: cross-domain convolutional neural networks for reconstructing undersampled magnetic resonance images</t>
  </si>
  <si>
    <t>PURPOSE: To demonstrate accurate MR image reconstruction from undersampled k-space data using cross-domain convolutional neural networks (CNNs) METHODS: Cross-domain CNNs consist of 3 components: (1) a deep CNN operating on the k-space (KCNN), (2) a deep CNN operating on an image domain (ICNN), and (3) an interleaved data consistency operations. These components are alternately applied, and each CNN is trained to minimize the loss between the reconstructed and corresponding fully sampled k-spaces. The final reconstructed image is obtained by forward-propagating the undersampled k-space data through the entire network. RESULTS: Performances of K-net (KCNN with inverse Fourier transform), I-net (ICNN with interleaved data consistency), and various combinations of the 2 different networks were tested. The test results indicated that K-net and I-net have different advantages/disadvantages in terms of tissue-structure restoration. Consequently, the combination of K-net and I-net is superior to single-domain CNNs. Three MR data sets, the T(2) fluid-attenuated inversion recovery (T(2) FLAIR) set from the Alzheimer's Disease Neuroimaging Initiative and 2 data sets acquired at our local institute (T(2) FLAIR and T(1) weighted), were used to evaluate the performance of 7 conventional reconstruction algorithms and the proposed cross-domain CNNs, which hereafter is referred to as KIKI-net. KIKI-net outperforms conventional algorithms with mean improvements of 2.29 dB in peak SNR and 0.031 in structure similarity. CONCLUSION: KIKI-net exhibits superior performance over state-of-the-art conventional algorithms in terms of restoring tissue structures and removing aliasing artifacts. The results demonstrate that KIKI-net is applicable up to a reduction factor of 3 to 4 based on variable-density Cartesian undersampling.</t>
  </si>
  <si>
    <t>T. Eo, Y. Jun, T. Kim, J. Jang, H. J. Lee and D. Hwang</t>
  </si>
  <si>
    <t>Fast contour propagation for MR-guided prostate radiotherapy using convolutional neural networks</t>
  </si>
  <si>
    <t>PURPOSE: To quickly and automatically propagate organ contours from pretreatment to fraction images in magnetic resonance (MR)-guided prostate external-beam radiotherapy. METHODS: Five prostate cancer patients underwent 20 fractions of image-guided external-beam radiotherapy on a 1.5 T MR-Linac system. For each patient, a pretreatment T2-weighted three-dimensional (3D) MR imaging (MRI) scan was used to delineate the clinical target volume (CTV) contours. The same scan was repeated during each fraction, with the CTV contour being manually adapted if necessary. A convolutional neural network (CNN) was trained for combined image registration and contour propagation. The network estimated the propagated contour and a deformation field between the two input images. The training set consisted of a synthetically generated ground truth of randomly deformed images and prostate segmentations. We performed a leave-one-out cross-validation on the five patients and propagated the prostate segmentations from the pretreatment to the fraction scans. Three variants of the CNN, aimed at investigating supervision based on optimizing segmentation overlap, optimizing the registration, and a combination of the two were compared to results of the open-source deformable registration software package Elastix. RESULTS: The neural networks trained on segmentation overlap or the combined objective achieved significantly better Hausdorff distances between predicted and ground truth contours than Elastix, at the much faster registration speed of 0.5 s. The CNN variant trained to optimize both the prostate overlap and deformation field, and the variant trained to only maximize the prostate overlap, produced the best propagation results. CONCLUSIONS: A CNN trained on maximizing prostate overlap and minimizing registration errors provides a fast and accurate method for deformable contour propagation for prostate MR-guided radiotherapy.</t>
  </si>
  <si>
    <t>10.1007/s10278-017-9965-6</t>
  </si>
  <si>
    <t>Toolkits and Libraries for Deep Learning</t>
  </si>
  <si>
    <t>Deep learning is an important new area of machine learning which encompasses a wide range of neural network architectures designed to complete various tasks. In the medical imaging domain, example tasks include organ segmentation, lesion detection, and tumor classification. The most popular network architecture for deep learning for images is the convolutional neural network (CNN). Whereas traditional machine learning requires determination and calculation of features from which the algorithm learns, deep learning approaches learn the important features as well as the proper weighting of those features to make predictions for new data. In this paper, we will describe some of the libraries and tools that are available to aid in the construction and efficient execution of deep learning as applied to medical images.</t>
  </si>
  <si>
    <t>10.1148/rg.2017160130</t>
  </si>
  <si>
    <t>Machine Learning for Medical Imaging</t>
  </si>
  <si>
    <t>Machine learning is a technique for recognizing patterns that can be applied to medical images. Although it is a powerful tool that can help in rendering medical diagnoses, it can be misapplied. Machine learning typically begins with the machine learning algorithm system computing the image features that are believed to be of importance in making the prediction or diagnosis of interest. The machine learning algorithm system then identifies the best combination of these image features for classifying the image or computing some metric for the given image region. There are several methods that can be used, each with different strengths and weaknesses. There are open-source versions of most of these machine learning methods that make them easy to try and apply to images. Several metrics for measuring the performance of an algorithm exist; however, one must be aware of the possible associated pitfalls that can result in misleading metrics. More recently, deep learning has started to be used; this method has the benefit that it does not require image feature identification and calculation as a first step; rather, features are identified as part of the learning process. Machine learning has been used in medical imaging and will have a greater influence in the future. Those working in medical imaging must be aware of how machine learning works. (©)RSNA, 2017.</t>
  </si>
  <si>
    <t>Deep Learning in Radiology: Does One Size Fit All?</t>
  </si>
  <si>
    <t>Deep learning (DL) is a popular method that is used to perform many important tasks in radiology and medical imaging. Some forms of DL are able to accurately segment organs (essentially, trace the boundaries, enabling volume measurements or calculation of other properties). Other DL networks are able to predict important properties from regions of an image-for instance, whether something is malignant, molecular markers for tissue in a region, even prognostic markers. DL is easier to train than traditional machine learning methods, but requires more data and much more care in analyzing results. It will automatically find the features of importance, but understanding what those features are can be a challenge. This article describes the basic concepts of DL systems and some of the traps that exist in building DL systems and how to identify those traps.</t>
  </si>
  <si>
    <t>[Volume Measurements of Post-transplanted Liver of Pediatric Recipients Using Workstations and Deep Learning]</t>
  </si>
  <si>
    <t>PURPOSE: The purpose of this study was to propose a method for segmentation and volume measurement of graft liver and spleen of pediatric transplant recipients on digital imaging and communications in medicine (DICOM) -format images using U-Net and three-dimensional (3-D) workstations (3DWS) . METHOD: For segmentation accuracy assessments, Dice coefficients were calculated for the graft liver and spleen. After verifying that the created DICOM-format images could be imported using the existing 3DWS, accuracy rates between the ground truth and segmentation images were calculated via mask processing. RESULT: As per the verification results, Dice coefficients for the test data were as follows: graft liver, 0.758 and spleen, 0.577. All created DICOM-format images were importable using the 3DWS, with accuracy rates of 87.10±4.70% and 80.27±11.29% for the graft liver and spleen, respectively. CONCLUSION: The U-Net could be used for graft liver and spleen segmentations, and volume measurement using 3DWS was simplified by this method.</t>
  </si>
  <si>
    <t>Nihon Hoshasen Gijutsu Gakkai Zasshi</t>
  </si>
  <si>
    <t>[Supplementing a Web-based Exposure Estimation System with Deep Learning for Automatic Classification of CT Images to Increase the Efficiency of Effective Dose Estimation]</t>
  </si>
  <si>
    <t>PURPOSE: Web-based exposure estimation systems are advantageous for estimating exposure doses for computed tomography (CT) scans. However, such systems depend on the imaging conditions of the slices, and a considerable amount of time and effort is needed to select the slices and extract their imaging conditions from the relevant CT volume data. In this study, we used a convolutional neural network (CNN) to automatically classify specific slices from available CT volume data for use by a Web-based exposure estimation system. We also proposed a method to automatically obtain the imaging conditions of these classified slices. The objective of this study was to improve the efficiency of effective dose estimation. METHOD: We automatically classified specific slices from CT volume data using two different CNN architectures: VGG-16 and Xception. We organized the dataset into 5 categories corresponding to the contents of the specific slices. We also tested a 9-category version in which the slices were supplemented with their adjacent slices. We automatically obtained the imaging conditions from the DICOM tags of the specific slices that were classified from the CT volume data by the CNN and then estimated the effective exposure dose provided by the Web-based exposure estimation system. RESULT: Using the 5-category dataset approach, the error in the effective exposure dose was 13% for VGG16 and 6% for Xception. When the 9-category approach was used, the error in the effective exposure dose was 0.8% for VGG16 and 0.6% for Xception. In both the architectures, less than 5 minutes was needed in the classification of the specific slices, followed by the extraction of their imaging conditions; however, VGG16 required the shortest processing time. CONCLUSION: By supplementing a Web-based exposure estimation system with a CNN and adopting our proposed method, we were able to improve the efficiency of effective dose estimation.</t>
  </si>
  <si>
    <t>A deep learning framework for segmentation and pose estimation of pedicle screw implants based on C-arm fluoroscopy</t>
  </si>
  <si>
    <t>PURPOSE: Pedicle screw fixation is a challenging procedure with a concerning rates of reoperation. After insertion of the screws is completed, the most common intraoperative verification approach is to acquire anterior-posterior and lateral radiographic images, based on which the surgeons try to visually assess the correctness of insertion. Given the limited accuracy of the existing verification techniques, we identified the need for an accurate and automated pedicle screw assessment system that can verify the screw insertion intraoperatively. For doing so, this paper offers a framework for automatic segmentation and pose estimation of pedicle screws based on deep learning principles. METHODS: Segmentation of pedicle screw X-ray projections was performed by a convolutional neural network. The network could isolate the input X-rays into three classes: screw head, screw shaft and background. Once all the screw shafts were segmented, knowledge about the spatial configuration of the acquired biplanar X-rays was used to identify the correspondence between the projections. Pose estimation was then performed to estimate the 6 degree-of-freedom pose of each screw. The performance of the proposed pose estimation method was tested on a porcine specimen. RESULTS: The developed machine learning framework was capable of segmenting the screw shafts with 93% and 83% accuracy when tested on synthetic X-rays and on clinically realistic X-rays, respectively. The pose estimation accuracy of this method was shown to be [Formula: see text] and [Formula: see text] on clinically realistic X-rays. CONCLUSIONS: The proposed system offers an accurate and fully automatic pedicle screw segmentation and pose assessment framework. Such a system can help to provide an intraoperative pedicle screw insertion assessment protocol with minimal interference with the existing surgical routines.</t>
  </si>
  <si>
    <t>H. Esfandiari, R. Newell, C. Anglin, J. Street and A. J. Hodgson</t>
  </si>
  <si>
    <t>Automatic vocal tract landmark localization from midsagittal MRI data</t>
  </si>
  <si>
    <t>The various speech sounds of a language are obtained by varying the shape and position of the articulators surrounding the vocal tract. Analyzing their variations is crucial for understanding speech production, diagnosing speech disorders and planning therapy. Identifying key anatomical landmarks of these structures on medical images is a pre-requisite for any quantitative analysis and the rising amount of data generated in the field calls for an automatic solution. The challenge lies in the high inter- and intra-speaker variability, the mutual interaction between the articulators and the moderate quality of the images. This study addresses this issue for the first time and tackles it by means of Deep Learning. It proposes a dedicated network architecture named Flat-net and its performance are evaluated and compared with eleven state-of-the-art methods from the literature. The dataset contains midsagittal anatomical Magnetic Resonance Images for 9 speakers sustaining 62 articulations with 21 annotated anatomical landmarks per image. Results show that the Flat-net approach outperforms the former methods, leading to an overall Root Mean Square Error of 3.6 pixels/0.36 cm obtained in a leave-one-out procedure over the speakers. The implementation codes are also shared publicly on GitHub.</t>
  </si>
  <si>
    <t>Image-to-Images Translation for Multi-Task Organ Segmentation and Bone Suppression in Chest X-Ray Radiography</t>
  </si>
  <si>
    <t>Chest X-ray radiography is one of the earliest medical imaging technologies and remains one of the most widely-used for diagnosis, screening, and treatment follow up of diseases related to lungs and heart. The literature in this field of research reports many interesting studies dealing with the challenging tasks of bone suppression and organ segmentation but performed separately, limiting any learning that comes with the consolidation of parameters that could optimize both processes. This study, and for the first time, introduces a multitask deep learning model that generates simultaneously the bone-suppressed image and the organ-segmented image, enhancing the accuracy of tasks, minimizing the number of parameters needed by the model and optimizing the processing time, all by exploiting the interplay between the network parameters to benefit the performance of both tasks. The architectural design of this model, which relies on a conditional generative adversarial network, reveals the process on how the wellestablished pix2pix network (image-to-image network) is modified to fit the need for multitasking and extending it to the new image-to-images architecture. The developed source code of this multitask model is shared publicly on Github as the first attempt for providing the two-task pix2pix extension, a supervised/paired/aligned/registered image-to-images translation which would be useful in many multitask applications. Dilated convolutions are also used to improve the results through a more effective receptive field assessment. The comparison with state-of-the-art al-gorithms along with ablation study and a demonstration video1 are provided to evaluate the efficacy and gauge the merits of the proposed approach.</t>
  </si>
  <si>
    <t>End-To-End Alzheimer's Disease Diagnosis and Biomarker Identification</t>
  </si>
  <si>
    <t>As shown in computer vision, the power of deep learning lies in automatically learning relevant and powerful features for any perdition task, which is made possible through end-to-end architectures. However, deep learning approaches applied for classifying medical images do not adhere to this architecture as they rely on several pre- and post-processing steps. This shortcoming can be explained by the relatively small number of available labeled subjects, the high dimensionality of neuroimaging data, and difficulties in interpreting the results of deep learning methods. In this paper, we propose a simple 3D Convolutional Neural Networks and exploit its model parameters to tailor the end-to-end architecture for the diagnosis of Alzheimer's disease (AD). Our model can diagnose AD with an accuracy of 94.1% on the popular ADNI dataset using only MRI data, which outperforms the previous state-of-the-art. Based on the learned model, we identify the disease biomarkers, the results of which were in accordance with the literature. We further transfer the learned model to diagnose mild cognitive impairment (MCI), the prodromal stage of AD, which yield better results compared to other methods.</t>
  </si>
  <si>
    <t>Mach Learn Med Imaging</t>
  </si>
  <si>
    <t>Automated image quality evaluation of T(2) -weighted liver MRI utilizing deep learning architecture</t>
  </si>
  <si>
    <t>PURPOSE: To develop and test a deep learning approach named Convolutional Neural Network (CNN) for automated screening of T(2) -weighted (T(2) WI) liver acquisitions for nondiagnostic images, and compare this automated approach to evaluation by two radiologists. MATERIALS AND METHODS: We evaluated 522 liver magnetic resonance imaging (MRI) exams performed at 1.5T and 3T at our institution between November 2014 and May 2016 for CNN training and validation. The CNN consisted of an input layer, convolutional layer, fully connected layer, and output layer. 351 T(2) WI were anonymized for training. Each case was annotated with a label of being diagnostic or nondiagnostic for detecting lesions and assessing liver morphology. Another independently collected 171 cases were sequestered for a blind test. These 171 T(2) WI were assessed independently by two radiologists and annotated as being diagnostic or nondiagnostic. These 171 T(2) WI were presented to the CNN algorithm and image quality (IQ) output of the algorithm was compared to that of two radiologists. RESULTS: There was concordance in IQ label between Reader 1 and CNN in 79% of cases and between Reader 2 and CNN in 73%. The sensitivity and the specificity of the CNN algorithm in identifying nondiagnostic IQ was 67% and 81% with respect to Reader 1 and 47% and 80% with respect to Reader 2. The negative predictive value of the algorithm for identifying nondiagnostic IQ was 94% and 86% (relative to Readers 1 and 2). CONCLUSION: We demonstrate a CNN algorithm that yields a high negative predictive value when screening for nondiagnostic T(2) WI of the liver. LEVEL OF EVIDENCE: 2 Technical Efficacy: Stage 2 J. Magn. Reson. Imaging 2018;47:723-728.</t>
  </si>
  <si>
    <t>S. J. Esses, X. Lu, T. Zhao, K. Shanbhogue, B. Dane, M. Bruno and H. Chandarana</t>
  </si>
  <si>
    <t>10.1038/s41591-018-0316-z</t>
  </si>
  <si>
    <t>A guide to deep learning in healthcare</t>
  </si>
  <si>
    <t>Here we present deep-learning techniques for healthcare, centering our discussion on deep learning in computer vision, natural language processing, reinforcement learning, and generalized methods. We describe how these computational techniques can impact a few key areas of medicine and explore how to build end-to-end systems. Our discussion of computer vision focuses largely on medical imaging, and we describe the application of natural language processing to domains such as electronic health record data. Similarly, reinforcement learning is discussed in the context of robotic-assisted surgery, and generalized deep-learning methods for genomics are reviewed.</t>
  </si>
  <si>
    <t>Deep Learning-Based Concurrent Brain Registration and Tumor Segmentation</t>
  </si>
  <si>
    <t>Image registration and segmentation are the two most studied problems in medical image analysis. Deep learning algorithms have recently gained a lot of attention due to their success and state-of-the-art results in variety of problems and communities. In this paper, we propose a novel, efficient, and multi-task algorithm that addresses the problems of image registration and brain tumor segmentation jointly. Our method exploits the dependencies between these tasks through a natural coupling of their interdependencies during inference. In particular, the similarity constraints are relaxed within the tumor regions using an efficient and relatively simple formulation. We evaluated the performance of our formulation both quantitatively and qualitatively for registration and segmentation problems on two publicly available datasets (BraTS 2018 and OASIS 3), reporting competitive results with other recent state-of-the-art methods. Moreover, our proposed framework reports significant amelioration (p &lt; 0.005) for the registration performance inside the tumor locations, providing a generic method that does not need any predefined conditions (e.g., absence of abnormalities) about the volumes to be registered. Our implementation is publicly available online at https://github.com/TheoEst/joint_registration_tumor_segmentation.</t>
  </si>
  <si>
    <t>Front Comput Neurosci</t>
  </si>
  <si>
    <t>Deep-learning-based image quality enhancement of compressed sensing magnetic resonance imaging of vessel wall: comparison of self-supervised and unsupervised approaches</t>
  </si>
  <si>
    <t>While high-resolution proton density-weighted magnetic resonance imaging (MRI) of intracranial vessel walls is significant for a precise diagnosis of intracranial artery disease, its long acquisition time is a clinical burden. Compressed sensing MRI is a prospective technology with acceleration factors that could potentially reduce the scan time. However, high acceleration factors result in degraded image quality. Although recent advances in deep-learning-based image restoration algorithms can alleviate this problem, clinical image pairs used in deep learning training typically do not align pixel-wise. Therefore, in this study, two different deep-learning-based denoising algorithms-self-supervised learning and unsupervised learning-are proposed; these algorithms are applicable to clinical datasets that are not aligned pixel-wise. The two approaches are compared quantitatively and qualitatively. Both methods produced promising results in terms of image denoising and visual grading. While the image noise and signal-to-noise ratio of self-supervised learning were superior to those of unsupervised learning, unsupervised learning was preferable over self-supervised learning in terms of radiomic feature reproducibility.</t>
  </si>
  <si>
    <t>Single-view 2D CNNs with fully automatic non-nodule categorization for false positive reduction in pulmonary nodule detection</t>
  </si>
  <si>
    <t>BACKGROUND AND OBJECTIVE: In pulmonary nodule detection, the first stage, candidate detection, aims to detect suspicious pulmonary nodules. However, detected candidates include many false positives and thus in the following stage, false positive reduction, such false positives are reliably reduced. Note that this task is challenging due to 1) the imbalance between the numbers of nodules and non-nodules and 2) the intra-class diversity of non-nodules. Although techniques using 3D convolutional neural networks (CNNs) have shown promising performance, they suffer from high computational complexity which hinders constructing deep networks. To efficiently address these problems, we propose a novel framework using the ensemble of 2D CNNs using single views, which outperforms existing 3D CNN-based methods. METHODS: Our ensemble of 2D CNNs utilizes single-view 2D patches to improve both computational and memory efficiency compared to previous techniques exploiting 3D CNNs. We first categorize non-nodules on the basis of features encoded by an autoencoder. Then, all 2D CNNs are trained by using the same nodule samples, but with different types of non-nodules. By extending the learning capability, this training scheme resolves difficulties of extracting representative features from non-nodules with large appearance variations. Note that, instead of manual categorization requiring the heavy workload of radiologists, we propose to automatically categorize non-nodules based on the autoencoder and k-means clustering. RESULTS: We performed extensive experiments to validate the effectiveness of our framework based on the database of the lung nodule analysis 2016 challenge. The superiority of our framework is demonstrated through comparing the performance of five frameworks trained with differently constructed training sets. Our proposed framework achieved state-of-the-art performance (0.922 of the competition performance metric score) with low computational demands (789K of parameters and 1024M of floating point operations per second). CONCLUSION: We presented a novel false positive reduction framework, the ensemble of single-view 2D CNNs with fully automatic non-nodule categorization, for pulmonary nodule detection. Unlike previous 3D CNN-based frameworks, we utilized 2D CNNs using 2D single views to improve computational efficiency. Also, our training scheme using categorized non-nodules, extends the learning capability of representative features of different non-nodules. Our framework achieved state-of-the-art performance with low computational complexity.</t>
  </si>
  <si>
    <t>H. Eun, D. Kim, C. Jung and C. Kim</t>
  </si>
  <si>
    <t>Automated deep learning design for medical image classification by health-care professionals with no coding experience: a feasibility study</t>
  </si>
  <si>
    <t>BACKGROUND: Deep learning has the potential to transform health care; however, substantial expertise is required to train such models. We sought to evaluate the utility of automated deep learning software to develop medical image diagnostic classifiers by health-care professionals with no coding-and no deep learning-expertise. METHODS: We used five publicly available open-source datasets: retinal fundus images (MESSIDOR); optical coherence tomography (OCT) images (Guangzhou Medical University and Shiley Eye Institute, version 3); images of skin lesions (Human Against Machine [HAM] 10000), and both paediatric and adult chest x-ray (CXR) images (Guangzhou Medical University and Shiley Eye Institute, version 3 and the National Institute of Health [NIH] dataset, respectively) to separately feed into a neural architecture search framework, hosted through Google Cloud AutoML, that automatically developed a deep learning architecture to classify common diseases. Sensitivity (recall), specificity, and positive predictive value (precision) were used to evaluate the diagnostic properties of the models. The discriminative performance was assessed using the area under the precision recall curve (AUPRC). In the case of the deep learning model developed on a subset of the HAM10000 dataset, we did external validation using the Edinburgh Dermofit Library dataset. FINDINGS: Diagnostic properties and discriminative performance from internal validations were high in the binary classification tasks (sensitivity 73·3-97·0%; specificity 67-100%; AUPRC 0·87-1·00). In the multiple classification tasks, the diagnostic properties ranged from 38% to 100% for sensitivity and from 67% to 100% for specificity. The discriminative performance in terms of AUPRC ranged from 0·57 to 1·00 in the five automated deep learning models. In an external validation using the Edinburgh Dermofit Library dataset, the automated deep learning model showed an AUPRC of 0·47, with a sensitivity of 49% and a positive predictive value of 52%. INTERPRETATION: All models, except the automated deep learning model trained on the multilabel classification task of the NIH CXR14 dataset, showed comparable discriminative performance and diagnostic properties to state-of-the-art performing deep learning algorithms. The performance in the external validation study was low. The quality of the open-access datasets (including insufficient information about patient flow and demographics) and the absence of measurement for precision, such as confidence intervals, constituted the major limitations of this study. The availability of automated deep learning platforms provide an opportunity for the medical community to enhance their understanding in model development and evaluation. Although the derivation of classification models without requiring a deep understanding of the mathematical, statistical, and programming principles is attractive, comparable performance to expertly designed models is limited to more elementary classification tasks. Furthermore, care should be placed in adhering to ethical principles when using these automated models to avoid discrimination and causing harm. Future studies should compare several application programming interfaces on thoroughly curated datasets. FUNDING: National Institute for Health Research and Moorfields Eye Charity.</t>
  </si>
  <si>
    <t>Automated analysis of cardiovascular magnetic resonance myocardial native T(1) mapping images using fully convolutional neural networks</t>
  </si>
  <si>
    <t>BACKGROUND: Cardiovascular magnetic resonance (CMR) myocardial native T(1) mapping allows assessment of interstitial diffuse fibrosis. In this technique, the global and regional T(1) are measured manually by drawing region of interest in motion-corrected T(1) maps. The manual analysis contributes to an already lengthy CMR analysis workflow and impacts measurements reproducibility. In this study, we propose an automated method for combined myocardium segmentation, alignment, and T(1) calculation for myocardial T(1) mapping. METHODS: A deep fully convolutional neural network (FCN) was used for myocardium segmentation in T(1) weighted images. The segmented myocardium was then resampled on a polar grid, whose origin is located at the center-of-mass of the segmented myocardium. Myocardium T(1) maps were reconstructed from the resampled T(1) weighted images using curve fitting. The FCN was trained and tested using manually segmented images for 210 patients (5 slices, 11 inversion times per patient). An additional image dataset for 455 patients (5 slices and 11 inversion times per patient), analyzed by an expert reader using a semi-automatic tool, was used to validate the automatically calculated global and regional T(1) values. Bland-Altman analysis, Pearson correlation coefficient, r, and the Dice similarity coefficient (DSC) were used to evaluate the performance of the FCN-based analysis on per-patient and per-slice basis. Inter-observer variability was assessed using intraclass correlation coefficient (ICC) of the T(1) values calculated by the FCN-based automatic method and two readers. RESULTS: The FCN achieved fast segmentation (&lt; 0.3 s/image) with high DSC (0.85 ± 0.07). The automatically and manually calculated T(1) values (1091 ± 59 ms and 1089 ± 59 ms, respectively) were highly correlated in per-patient (r = 0.82; slope = 1.01; p &lt; 0.0001) and per-slice (r = 0.72; slope = 1.01; p &lt; 0.0001) analyses. Bland-Altman analysis showed good agreement between the automated and manual measurements with 95% of measurements within the limits-of-agreement in both per-patient and per-slice analyses. The intraclass correllation of the T(1) calculations by the automatic method vs reader 1 and reader 2 was respectively 0.86/0.56 and 0.74/0.49 in the per-patient/per-slice analyses, which were comparable to that between two expert readers (=0.72/0.58 in per-patient/per-slice analyses). CONCLUSION: The proposed FCN-based image processing platform allows fast and automatic analysis of myocardial native T(1) mapping images mitigating the burden and observer-related variability of manual analysis.</t>
  </si>
  <si>
    <t>A. S. Fahmy, H. El-Rewaidy, M. Nezafat, S. Nakamori and R. Nezafat</t>
  </si>
  <si>
    <t>Topological Tumor Graphs: A Graph-Based Spatial Model to Infer Stromal Recruitment for Immunosuppression in Melanoma Histology</t>
  </si>
  <si>
    <t>Despite the advent of immunotherapy, metastatic melanoma represents an aggressive tumor type with a poor survival outcome. The successful application of immunotherapy requires in-depth understanding of the biological basis and immunosuppressive mechanisms within the tumor microenvironment. In this study, we conducted spatially explicit analyses of the stromal-immune interface across 400 melanoma hematoxylin and eosin (H&amp;E) specimens from The Cancer Genome Atlas. A computational pathology pipeline (CRImage) was used to classify cells in the H&amp;E specimen into stromal, immune, or cancer cells. The estimated proportions of these cell types were validated by independent measures of tumor purity, pathologists' estimate of lymphocyte density, imputed immune cell subtypes, and pathway analyses. Spatial interactions between these cell types were computed using a graph-based algorithm (topological tumor graphs, TTG). This approach identified two stromal features, namely stromal clustering and stromal barrier, which represented the melanoma stromal microenvironment. Tumors with increased stromal clustering and barrier were associated with reduced intratumoral lymphocyte distribution and poor overall survival independent of existing prognostic factors. To explore the genomic basis of these TTG-derived stromal phenotypes, we used a deep learning approach integrating genomic (copy number) and transcriptomic data, thereby inferring a compressed representation of copy number-driven alterations in gene expression. This integrative analysis revealed that tumors with high stromal clustering and barrier had reduced expression of pathways involved in naïve CD4 signaling, MAPK, and PI3K signaling. Taken together, our findings support the immunosuppressive role of stromal cells and T-cell exclusion within the vicinity of melanoma cells. SIGNIFICANCE: Computational histology-based stromal phenotypes within the tumor microenvironment are significantly associated with prognosis and immune exclusion in melanoma.</t>
  </si>
  <si>
    <t>Cancer Res</t>
  </si>
  <si>
    <t>Microwave tomography with phaseless data on the calcaneus by means of artificial neural networks</t>
  </si>
  <si>
    <t>The aim of this study is to use a multilayer perceptron (MLP) artificial neural network (ANN) for phaseless imaging the human heel (modeled as a bilayer dielectric media: bone and surrounding tissue) and the calcaneus cross-section size and location using a two-dimensional (2D) microwave tomographic array. Computer simulations were performed over 2D dielectric maps inspired by computed tomography (CT) images of human heels for training and testing the MLP. A morphometric analysis was performed to account for the scatterer shape influence on the results. A robustness analysis was also conducted in order to study the MLP performance in noisy conditions. The standard deviations of the relative percentage errors on estimating the dielectric properties of the calcaneus bone were relatively high. Regarding the calcaneus surrounding tissue, the dielectric parameters estimations are better, with relative percentage error standard deviations up to ≈ 15%. The location and size of the calcaneus are always properly estimated with absolute error standard deviations up to ≈ 3 mm. Microwave tomography of the calcaneus using phaseless data. Simulations were inspired in Computed Tomography images from real heels (above). Inverse problem was solved using Multilayer Perceptron Artificial Neural Network (below).</t>
  </si>
  <si>
    <t>Quadratic Autoencoder (Q-AE) for Low-Dose CT Denoising</t>
  </si>
  <si>
    <t>Inspired by complexity and diversity of biological neurons, our group proposed quadratic neurons by replacing the inner product in current artificial neurons with a quadratic operation on input data, thereby enhancing the capability of an individual neuron. Along this direction, we are motivated to evaluate the power of quadratic neurons in popular network architectures, simulating human-like learning in the form of quadratic-neuron-based deep learning. Our prior theoretical studies have shown important merits of quadratic neurons and networks in representation, efficiency, and interpretability. In this paper, we use quadratic neurons to construct an encoder-decoder structure, referred as the quadratic autoencoder, and apply it to low-dose CT denoising. The experimental results on the Mayo low-dose CT dataset demonstrate the utility and robustness of quadratic autoencoder in terms of image denoising and model efficiency. To our best knowledge, this is the first time that the deep learning approach is implemented with a new type of neurons and demonstrates a significant potential in the medical imaging field.</t>
  </si>
  <si>
    <t>F. Fan, H. Shan, M. K. Kalra, R. Singh, G. Qian, M. Getzin, Y. Teng, J. Hahn and G. Wang</t>
  </si>
  <si>
    <t>Deep Learning-Based Automatic Segmentation of Lumbosacral Nerves on CT for Spinal Intervention: A Translational Study</t>
  </si>
  <si>
    <t>BACKGROUND AND PURPOSE: 3D reconstruction of a targeted area (safe triangle and Kambin triangle) may benefit the viability assessment of transforaminal epidural steroid injection, especially at the L5/S1 level. However, manual segmentation of lumbosacral nerves for 3D reconstruction is time-consuming. The aim of this study was to investigate the feasibility of deep learning-based segmentation of lumbosacral nerves on CT and the reconstruction of the safe triangle and Kambin triangle. MATERIALS AND METHODS: A total of 50 cases of spinal CT were manually labeled for lumbosacral nerves and bones using Slicer 4.8. The ratio of training/validation/testing was 32:8:10. A 3D U-Net was adopted to build the model SPINECT for automatic segmentations of lumbosacral structures. The Dice score, pixel accuracy, and Intersection over Union were computed to assess the segmentation performance of SPINECT. The areas of Kambin and safe triangles were measured to validate the 3D reconstruction. RESULTS: The results revealed successful segmentation of lumbosacral bone and nerve on CT. The average pixel accuracy for bone was 0.940, and for nerve, 0.918. The average Intersection over Union for bone was 0.897 and for nerve, 0.827. The Dice score for bone was 0.945, and for nerve, it was 0.905. There were no significant differences in the quantified Kambin triangle or safe triangle between manually segmented images and automatically segmented images (P &gt; .05). CONCLUSIONS: Deep learning-based automatic segmentation of lumbosacral structures (nerves and bone) on routine CT is feasible, and SPINECT-based 3D reconstruction of safe and Kambin triangles is also validated.</t>
  </si>
  <si>
    <t>Multi-band MR fingerprinting (MRF) ASL imaging using artificial-neural-network trained with high-fidelity experimental data</t>
  </si>
  <si>
    <t>PURPOSE: We aim to leverage the power of deep-learning with high-fidelity training data to improve the reliability and processing speed of hemodynamic mapping with MR fingerprinting (MRF) arterial spin labeling (ASL). METHODS: A total of 15 healthy subjects were studied on a 3T MRI. Each subject underwent 10 runs of a multi-band multi-slice MRF-ASL sequence for a total scan time of approximately 40 min. MRF-ASL images were averaged across runs to yield a set of high-fidelity data. Training of a fully connected artificial neural network (ANN) was then performed using these data. The results from ANN were compared to those of dictionary matching (DM), ANN trained with single-run experimental data and with simulation data. Initial clinical performance of the technique was also demonstrated in a Moyamoya patient. RESULTS: The use of ANN reduced the processing time of MRF-ASL data to 3.6 s, compared to DM of 3 h 12 min. Parametric values obtained with ANN and DM were strongly correlated (R(2) between 0.84 and 0.96). Results obtained from high-fidelity ANN were substantially more reliable compared to those from DM or single-run ANN. Voxel-wise coefficient of variation (CoV) of high-fidelity ANN, DM, and single-run ANN was 0.15 ± 0.08, 0.41 ± 0.20, 0.30 ± 0.16, respectively, for cerebral blood flow and 0.11 ± 0.06, 0.20 ± 0.19, 0.15 ± 0.10, respectively, for bolus arrival time. In vivo data trained ANN also outperformed ANN trained with simulation data. The superior performance afforded by ANN allowed more conspicuous depiction of hemodynamic abnormalities in Moyamoya patient. CONCLUSION: Deep-learning-based parametric reconstruction improves the reliability of MRF-ASL hemodynamic maps and reduces processing time.</t>
  </si>
  <si>
    <t>LeukocyteMask: An automated localization and segmentation method for leukocyte in blood smear images using deep neural networks</t>
  </si>
  <si>
    <t>Digital pathology and microscope image analysis is widely used in comprehensive studies of cell morphology. Identification and analysis of leukocytes in blood smear images, acquired from bright field microscope, are vital for diagnosing many diseases such as hepatitis, leukaemia and acquired immune deficiency syndrome (AIDS). The major challenge for robust and accurate identification and segmentation of leukocyte in blood smear images lays in the large variations of cell appearance such as size, colour and shape of cells, the adhesion between leukocytes (white blood cells, WBCs) and erythrocytes (red blood cells, RBCs), and the emergence of substantial dyeing impurities in blood smear images. In this paper, an end-to-end leukocyte localization and segmentation method is proposed, named LeukocyteMask, in which pixel-level prior information is utilized for supervisor training of a deep convolutional neural network, which is then employed to locate the region of interests (ROI) of leukocyte, and finally segmentation mask of leukocyte is obtained based on the extracted ROI by forward propagation of the network. Experimental results validate the effectiveness of the propose method and both the quantitative and qualitative comparisons with existing methods indicate that LeukocyteMask achieves a state-of-the-art performance for the segmentation of leukocyte in terms of robustness and accuracy .</t>
  </si>
  <si>
    <t>Adversarial learning for mono- or multi-modal registration</t>
  </si>
  <si>
    <t>This paper introduces an unsupervised adversarial similarity network for image registration. Unlike existing deep learning registration methods, our approach can train a deformable registration network without the need of ground-truth deformations and specific similarity metrics. We connect a registration network and a discrimination network with a deformable transformation layer. The registration network is trained with the feedback from the discrimination network, which is designed to judge whether a pair of registered images are sufficiently similar. Using adversarial training, the registration network is trained to predict deformations that are accurate enough to fool the discrimination network. The proposed method is thus a general registration framework, which can be applied for both mono-modal and multi-modal image registration. Experiments on four brain MRI datasets and a multi-modal pelvic image dataset indicate that our method yields promising registration performance in accuracy, efficiency and generalizability compared with state-of-the-art registration methods, including those based on deep learning.</t>
  </si>
  <si>
    <t>Adversarial Similarity Network for Evaluating Image Alignment in Deep Learning based Registration</t>
  </si>
  <si>
    <t>This paper introduces an unsupervised adversarial similarity network for image registration. Unlike existing deep learning registration frameworks, our approach does not require ground-truth deformations and specific similarity metrics. We connect a registration network and a discrimination network with a deformable transformation layer. The registration network is trained with feedback from the discrimination network, which is designed to judge whether a pair of registered images are sufficiently similar. Using adversarial training, the registration network is trained to predict deformations that are accurate enough to fool the discrimination network. Experiments on four brain MRI datasets indicate that our method yields registration performance that is promising in both accuracy and efficiency compared with state-of-the-art registration methods, including those based on deep learning.</t>
  </si>
  <si>
    <t>J. Fan, X. Cao, Z. Xue, P. T. Yap and D. Shen</t>
  </si>
  <si>
    <t>BIRNet: Brain image registration using dual-supervised fully convolutional networks</t>
  </si>
  <si>
    <t>In this paper, we propose a deep learning approach for image registration by predicting deformation from image appearance. Since obtaining ground-truth deformation fields for training can be challenging, we design a fully convolutional network that is subject to dual-guidance: (1) Ground-truth guidance using deformation fields obtained by an existing registration method; and (2) Image dissimilarity guidance using the difference between the images after registration. The latter guidance helps avoid overly relying on the supervision from the training deformation fields, which could be inaccurate. For effective training, we further improve the deep convolutional network with gap filling, hierarchical loss, and multi-source strategies. Experiments on a variety of datasets show promising registration accuracy and efficiency compared with state-of-the-art methods.</t>
  </si>
  <si>
    <t>Deep feature descriptor based hierarchical dense matching for X-ray angiographic images</t>
  </si>
  <si>
    <t>Backgroud and Objective: X-ray angiography, a powerful technique for blood vessel visualization, is widely used for interventional diagnosis of coronary artery disease because of its fast imaging speed and perspective inspection ability. Matching feature points in angiographic images is a considerably challenging task due to repetitive weak-textured regions. METHODS: In this paper, we propose an angiographic image matching method based on the hierarchical dense matching framework, where a novel deep feature descriptor is designed to compute multilevel correlation maps. In particular, the deep feature descriptor is computed by a deep learning model specifically designed and trained for angiographic images, thereby making the correlation maps more distinctive for corresponding feature points in different angiographic images. Moreover, point correspondences are further hierarchically extracted from multilevel correlation maps with the highest similarity response(s), which is relatively robust and accurate. To overcome the problem regarding the lack of training samples, the convolutional neural network (designed for deep feature descriptor) is initially trained on samples from natural images and then fine-tuned on manually annotated angiographic images. Finally, a dense matching completion method, based on the distance between deep feature descriptors, is proposed to generate dense matches between images. RESULTS: The proposed method has been evaluated on the number and accuracy of extracted matches and the performance of subtraction images. Experiments on a variety of angiographic images show promising matching accuracy, compared with state-of-the-art methods. CONCLUSIONS: The proposed angiographic image matching method is shown to be accurate and effective for feature matching in angiographic images, and further achieves good performance in image subtraction.</t>
  </si>
  <si>
    <t>J. Fan, J. Yang, Y. Wang, S. Yang, D. Ai, Y. Huang, H. Song, Y. Wang and D. Shen</t>
  </si>
  <si>
    <t>[From digital virtual human, three-dimensional visualization to digital intelligence in liver surgery]</t>
  </si>
  <si>
    <t>Digital intelligent hepatobiliary surgery has evolved over decades.It has experienced an evolution course from digital virtual human technology to the establishment of a quality-controlled and homogeneous three-dimensional visualization system for precision diagnosis and treatment of diseases, from three-dimensional visualization to the clinical transformation of digital intelligent technology and changes in the diagnosis and treatment model, from empirical diagnosis of diseases to the application of deep learning for the intelligent diagnosis and treatment of diseases, from empirical surgery to real-time multi-modal image guidance during surgery, and from the morphological diagnosis of tumors to accurate diagnosis from molecular imaging.During the whole process, only through continuous innovation in research, theory and technology can the life of digital intelligent surgery be endowed with new vitality.In the future, the definition of tumor boundary from the molecular and cellular levels and the early diagnosis and treatment of liver tumor through the functional visualization of key molecules will have significant clinical value for changing the prognosis of liver cancer.In addition, in order to realize intelligent navigation for hepatectomy and break through the technical bottleneck, it is of great clinical significance to develop an intelligent robot real-time navigation hepatectomy system with automatic navigation technology, machine learning intelligent planning technology and multimodal image fusion technology.This provides unprecedented opportunities and challenges for the development of digital intelligent hepatobiliary surgery.</t>
  </si>
  <si>
    <t>Zhonghua Wai Ke Za Zhi</t>
  </si>
  <si>
    <t>Automatic brain labeling via multi-atlas guided fully convolutional networks</t>
  </si>
  <si>
    <t>Multi-atlas-based methods are commonly used for MR brain image labeling, which alleviates the burdening and time-consuming task of manual labeling in neuroimaging analysis studies. Traditionally, multi-atlas-based methods first register multiple atlases to the target image, and then propagate the labels from the labeled atlases to the unlabeled target image. However, the registration step involves non-rigid alignment, which is often time-consuming and might lack high accuracy. Alternatively, patch-based methods have shown promise in relaxing the demand for accurate registration, but they often require the use of hand-crafted features. Recently, deep learning techniques have demonstrated their effectiveness in image labeling, by automatically learning comprehensive appearance features from training images. In this paper, we propose a multi-atlas guided fully convolutional network (MA-FCN) for automatic image labeling, which aims at further improving the labeling performance with the aid of prior knowledge from the training atlases. Specifically, we train our MA-FCN model in a patch-based manner, where the input data consists of not only a training image patch but also a set of its neighboring (i.e., most similar) affine-aligned atlas patches. The guidance information from neighboring atlas patches can help boost the discriminative ability of the learned FCN. Experimental results on different datasets demonstrate the effectiveness of our proposed method, by significantly outperforming the conventional FCN and several state-of-the-art MR brain labeling methods.</t>
  </si>
  <si>
    <t>L. Fang, L. Zhang, D. Nie, X. Cao, I. Rekik, S. W. Lee, H. He and D. Shen</t>
  </si>
  <si>
    <t>Deep learning-based liver segmentation for fusion-guided intervention</t>
  </si>
  <si>
    <t>PURPOSE: Tumors often have different imaging properties, and there is no single imaging modality that can visualize all tumors. In CT-guided needle placement procedures, image fusion (e.g. with MRI, PET, or contrast CT) is often used as image guidance when the tumor is not directly visible in CT. In order to achieve image fusion, interventional CT image needs to be registered to an imaging modality, in which the tumor is visible. However, multi-modality image registration is a very challenging problem. In this work, we develop a deep learning-based liver segmentation algorithm and use the segmented surfaces to assist image fusion with the applications in guided needle placement procedures for diagnosing and treating liver tumors. METHODS: The developed segmentation method integrates multi-scale input and multi-scale output features in one single network for context information abstraction. The automatic segmentation results are used to register an interventional CT with a diagnostic image. The registration helps visualize the target and guide the interventional operation. RESULTS: The segmentation results demonstrated that the developed segmentation method is highly accurate with Dice of 96.1% on 70 CT scans provided by LiTS challenge. The segmentation algorithm is then applied to a set of images acquired for liver tumor intervention for surface-based image fusion. The effectiveness of the proposed methods is demonstrated through a number of clinical cases. CONCLUSION: Our study shows that deep learning-based image segmentation can obtain useful results to help image fusion for interventional guidance. Such a technique may lead to a number of other potential applications.</t>
  </si>
  <si>
    <t>Deep Learning for Fast and Spatially Constrained Tissue Quantification From Highly Accelerated Data in Magnetic Resonance Fingerprinting</t>
  </si>
  <si>
    <t>Magnetic resonance fingerprinting (MRF) is a quantitative imaging technique that can simultaneously measure multiple important tissue properties of human body. Although MRF has demonstrated improved scan efficiency as compared to conventional techniques, further acceleration is still desired for translation into routine clinical practice. The purpose of this paper is to accelerate MRF acquisition by developing a new tissue quantification method for MRF that allows accurate quantification with fewer sampling data. Most of the existing approaches use the MRF signal evolution at each individual pixel to estimate tissue properties, without considering the spatial association among neighboring pixels. In this paper, we propose a spatially constrained quantification method that uses the signals at multiple neighboring pixels to better estimate tissue properties at the central pixel. Specifically, we design a unique two-step deep learning model that learns the mapping from the observed signals to the desired properties for tissue quantification, i.e.: 1) with a feature extraction module for reducing the dimension of signals by extracting a low-dimensional feature vector from the high-dimensional signal evolution and 2) a spatially constrained quantification module for exploiting the spatial information from the extracted feature maps to generate the final tissue property map. A corresponding two-step training strategy is developed for network training. The proposed method is tested on highly undersampled MRF data acquired from human brains. Experimental results demonstrate that our method can achieve accurate quantification for T1 and T2 relaxation times by using only 1/4 time points of the original sequence (i.e., four times of acceleration for MRF acquisition).</t>
  </si>
  <si>
    <t>3D Automatic Segmentation of Aortic Computed Tomography Angiography Combining Multi-View 2D Convolutional Neural Networks</t>
  </si>
  <si>
    <t>PURPOSE: The quantitative analysis of contrast-enhanced Computed Tomography Angiography (CTA) is essential to assess aortic anatomy, identify pathologies, and perform preoperative planning in vascular surgery. To overcome the limitations given by manual and semi-automatic segmentation tools, we apply a deep learning-based pipeline to automatically segment the CTA scans of the aortic lumen, from the ascending aorta to the iliac arteries, accounting for 3D spatial coherence. METHODS: A first convolutional neural network (CNN) is used to coarsely segment and locate the aorta in the whole sub-sampled CTA volume, then three single-view CNNs are used to effectively segment the aortic lumen from axial, sagittal, and coronal planes under higher resolution. Finally, the predictions of the three orthogonal networks are integrated to obtain a segmentation with spatial coherence. RESULTS: The coarse segmentation performed to identify the aortic lumen achieved a Dice coefficient (DSC) of 0.92 ± 0.01. Single-view axial, sagittal, and coronal CNNs provided a DSC of 0.92 ± 0.02, 0.92 ± 0.04, and 0.91 ± 0.02, respectively. Multi-view integration provided a DSC of 0.93 ± 0.02 and an average surface distance of 0.80 ± 0.26 mm on a test set of 10 CTA scans. The generation of the ground truth dataset took about 150 h and the overall training process took 18 h. In prediction phase, the adopted pipeline takes around 25 ± 1 s to get the final segmentation. CONCLUSION: The achieved results show that the proposed pipeline can effectively localize and segment the aortic lumen in subjects with aneurysm.</t>
  </si>
  <si>
    <t>Cardiovasc Eng Technol</t>
  </si>
  <si>
    <t>EEG-based image classification via a region-level stacked bi-directional deep learning framework</t>
  </si>
  <si>
    <t>BACKGROUND: As a physiological signal, EEG data cannot be subjectively changed or hidden. Compared with other physiological signals, EEG signals are directly related to human cortical activities with excellent temporal resolution. After the rapid development of machine learning and artificial intelligence, the analysis and calculation of EEGs has made great progress, leading to a significant boost in performances for content understanding and pattern recognition of brain activities across the areas of both neural science and computer vision. While such an enormous advance has attracted wide range of interests among relevant research communities, EEG-based classification of brain activities evoked by images still demands efforts for further improvement with respect to its accuracy, generalization, and interpretation, yet some characters of human brains have been relatively unexplored. METHODS: We propose a region-level stacked bi-directional deep learning framework for EEG-based image classification. Inspired by the hemispheric lateralization of human brains, we propose to extract additional information at regional level to strengthen and emphasize the differences between two hemispheres. The stacked bi-directional long short-term memories are used to capture the dynamic correlations hidden from both the past and the future to the current state in EEG sequences. RESULTS: Extensive experiments are carried out and our results demonstrate the effectiveness of our proposed framework. Compared with the existing state-of-the-arts, our framework achieves outstanding performances in EEG-based classification of brain activities evoked by images. In addition, we find that the signals of Gamma band are not only useful for achieving good performances for EEG-based image classification, but also play a significant role in capturing relationships between the neural activations and the specific emotional states. CONCLUSIONS: Our proposed framework provides an improved solution for the problem that, given an image used to stimulate brain activities, we should be able to identify which class the stimuli image comes from by analyzing the EEG signals. The region-level information is extracted to preserve and emphasize the hemispheric lateralization for neural functions or cognitive processes of human brains. Further, stacked bi-directional LSTMs are used to capture the dynamic correlations hidden in EEG data. Extensive experiments on standard EEG-based image classification dataset validate that our framework outperforms the existing state-of-the-arts under various contexts and experimental setups.</t>
  </si>
  <si>
    <t>Deep learning applications in pulmonary medical imaging: recent updates and insights on COVID-19</t>
  </si>
  <si>
    <t>Shortly after deep learning algorithms were applied to Image Analysis, and more importantly to medical imaging, their applications increased significantly to become a trend. Likewise, deep learning applications (DL) on pulmonary medical images emerged to achieve remarkable advances leading to promising clinical trials. Yet, coronavirus can be the real trigger to open the route for fast integration of DL in hospitals and medical centers. This paper reviews the development of deep learning applications in medical image analysis targeting pulmonary imaging and giving insights of contributions to COVID-19. It covers more than 160 contributions and surveys in this field, all issued between February 2017 and May 2020 inclusively, highlighting various deep learning tasks such as classification, segmentation, and detection, as well as different pulmonary pathologies like airway diseases, lung cancer, COVID-19 and other infections. It summarizes and discusses the current state-of-the-art approaches in this research domain, highlighting the challenges, especially with COVID-19 pandemic current situation.</t>
  </si>
  <si>
    <t>Mach Vis Appl</t>
  </si>
  <si>
    <t>Retinal fingerprints for precision profiling of cardiovascular risk</t>
  </si>
  <si>
    <t>T. E. Farrah, D. J. Webb and N. Dhaun</t>
  </si>
  <si>
    <t>Nat Rev Cardiol</t>
  </si>
  <si>
    <t>Automated Segmentation and Severity Analysis of Subdural Hematoma for Patients with Traumatic Brain Injuries</t>
  </si>
  <si>
    <t>Detection and severity assessment of subdural hematoma is a major step in the evaluation of traumatic brain injuries. This is a retrospective study of 110 computed tomography (CT) scans from patients admitted to the Michigan Medicine Neurological Intensive Care Unit or Emergency Department. A machine learning pipeline was developed to segment and assess the severity of subdural hematoma. First, the probability of each point belonging to the hematoma region was determined using a combination of hand-crafted and deep features. This probability provided the initial state of the segmentation. Next, a 3D post-processing model was applied to evolve the initial state and delineate the hematoma. The recall, precision, and Dice similarity coefficient of the proposed segmentation method were 78.61%, 76.12%, and 75.35%, respectively, for the entire population. The Dice similarity coefficient was 79.97% for clinically significant hematomas, which compared favorably to an inter-rater Dice similarity coefficient. In volume-based severity analysis, the proposed model yielded an F1, recall, and specificity of 98.22%, 98.81%, and 92.31%, respectively, in detecting moderate and severe subdural hematomas based on hematoma volume. These results show that the combination of classical image processing and deep learning can outperform deep learning only methods to achieve greater average performance and robustness. Such a system can aid critical care physicians in reducing time to intervention and thereby improve long-term patient outcomes.</t>
  </si>
  <si>
    <t>Diagnostics (Basel)</t>
  </si>
  <si>
    <t>Toward an automatic preoperative pipeline for image-guided temporal bone surgery</t>
  </si>
  <si>
    <t>PURPOSE: Minimally invasive surgery is often built upon a time-consuming preoperative step consisting of segmentation and trajectory planning. At the temporal bone, a complete automation of these two tasks might lead to faster interventions and more reproducible results, benefiting clinical workflow and patient health. METHODS: We propose an automatic segmentation and trajectory planning pipeline for image-guided interventions at the temporal bone. For segmentation, we use a shape regularized deep learning approach that is capable of automatically detecting even the cluttered tiny structures specific for this anatomy. We then perform trajectory planning for both linear and nonlinear interventions on these automatically segmented risk structures. RESULTS: We evaluate the usability of segmentation algorithms for planning access canals to the cochlea and the internal auditory canal on 24 CT data sets of real patients. Our new approach achieves similar results to the existing semiautomatic method in terms of Dice but provides more accurate organ shapes for the subsequent trajectory planning step. The source code of the algorithms is publicly available. CONCLUSION: Automatic segmentation and trajectory planning for various clinical procedures at the temporal bone are feasible. The proposed automatic pipeline leads to an efficient and unbiased workflow for preoperative planning.</t>
  </si>
  <si>
    <t>J. Fauser, I. Stenin, M. Bauer, W. H. Hsu, J. Kristin, T. Klenzner, J. Schipper and A. Mukhopadhyay</t>
  </si>
  <si>
    <t>One-Shot Learning for Deformable Medical Image Registration and Periodic Motion Tracking</t>
  </si>
  <si>
    <t>Deformable image registration is a very important field of research in medical imaging. Recently multiple deep learning approaches were published in this area showing promising results. However, drawbacks of deep learning methods are the need for a large amount of training datasets and their inability to register unseen images different from the training datasets. One shot learning comes without the need of large training datasets and has already been proven to be applicable to 3D data. In this work we present a one shot registration approach for periodic motion tracking in 3D and 4D datasets. When applied to a 3D dataset the algorithm calculates the inverse of the registration vector field simultaneously. For registration we employed a U-Net combined with a coarse to fine approach and a differential spatial transformer module. The algorithm was thoroughly tested with multiple 4D and 3D datasets publicly available. The results show that the presented approach is able to track periodic motion and to yield a competitive registration accuracy. Possible applications are the use as a stand-alone algorithm for 3D and 4D motion tracking or in the beginning of studies until enough datasets for a separate training phase are available.</t>
  </si>
  <si>
    <t>10.1007/s11886-020-01299-w</t>
  </si>
  <si>
    <t>Artificial Intelligence in Intracoronary Imaging</t>
  </si>
  <si>
    <t>PURPOSE OF REVIEW: This paper investigates present uses and future potential of artificial intelligence (AI) applied to intracoronary imaging technologies. RECENT FINDINGS: Advances in data analytics and digitized medical imaging have enabled clinical application of AI to improve patient outcomes and reduce costs through better diagnosis and enhanced workflow. Applications of AI to IVUS and IVOCT have produced improvements in image segmentation, plaque analysis, and stent evaluation. Machine learning algorithms are able to predict future coronary events through the use of imaging results, clinical evaluations, laboratory tests, and demographics. The application of AI to intracoronary imaging holds significant promise for improved understanding and treatment of coronary heart disease. Even in these early stages, AI has demonstrated the ability to improve the prediction of cardiac events. Large curated data sets and databases are needed to speed the development of AI and enable testing and comparison among algorithms.</t>
  </si>
  <si>
    <t>Detecting muscle activation using ultrasound speed of sound inversion with deep learning</t>
  </si>
  <si>
    <t>Functional muscle imaging is essential for diagnostics of a multitude of musculoskeletal afflictions such as degenerative muscle diseases, muscle injuries, muscle atrophy, and neurological related issues such as spasticity. However, there is currently no solution, imaging or otherwise, capable of providing a map of active muscles over a large field of view in dynamic scenarios.In this work, we look at the feasibility of applying longitudinal sound speed measurements to the task of dynamic muscle imaging of contraction or activation. We perform the assessment using a deep learning network applied to prebeamformed ultrasound channel data for sound speed inversion.Preliminary results show that dynamic muscle contraction can be detected in the calf and that this contraction can be positively assigned to the operating muscles. Potential frame rates in the hundreds to thousands of frames per second are necessary to accomplish this.</t>
  </si>
  <si>
    <t>Radiomics nomogram for preoperative differentiation of lung tuberculoma from adenocarcinoma in solitary pulmonary solid nodule</t>
  </si>
  <si>
    <t>PURPOSE: To investigate the preoperative differential diagnostic performance of a radiomics nomogram in tuberculous granuloma (TBG) and lung adenocarcinoma (LAC) appearing as solitary pulmonary solid nodules (SPSNs). METHOD: We retrospectively recruited 426 patients with SPSNs from two centers and assigned them to training (n = 123), internal validation (n = 121), and external validation cohorts (n = 182). A model of deep learning (DL) was built for tumor segmentation from routine computed tomography (CT) images and extraction of 3D radiomics features. We used the least absolute shrinkage and selection operator (LASSO) logistic regression to build a radiomics signature. A clinical model was developed with clinical factors, including age, gender, and CT-based subjective findings (eg, lesion size, lesion location, lesion margin, lobulated sharp, and spiculation sign). We constructed individualized radiomics nomograms incorporating the radiomics signature and clinical factors to validate the diagnostic ability. RESULTS: Three factors - radiomics signature, age, and spiculation sign - were found to be independent predictors and were used to build the radiomics nomogram, which showed better diagnostic accuracy than any single model (all net reclassification improvement p &lt; 0.05). The area under curve yielded was 0.9660 (95% confidence interval [CI], 0.9390-0.9931), 0.9342 (95% CI, 0.8944-0.9739), and 0.9064 (95% CI, 0.8639-0.9490) for the training, internal validation, and external validation cohorts, respectively. Decision curve analysis (DCA) and stratification analysis showed the nomogram has potential for generalizability. CONCLUSION: The radiomics nomogram we developed can preoperatively distinguish between LAC and TBG in patient with a SPSN.</t>
  </si>
  <si>
    <t>A Preliminary Study of Predicting Effectiveness of Anti-VEGF Injection Using OCT Images Based on Deep Learning</t>
  </si>
  <si>
    <t>Deep learning based radiomics have made great progress such as CNN based diagnosis and U-Net based segmentation. However, the prediction of drug effectiveness based on deep learning has fewer studies. Choroidal neovascularization (CNV) and cystoid macular edema (CME) are the diseases often leading to a sudden onset but progressive decline in central vision. And the curative treatment using anti-vascular endothelial growth factor (anti-VEGF) may not be effective for some patients. Therefore, the prediction of the effectiveness of anti-VEGF for patients is important. With the development of Convolutional Neural Networks (CNNs) coupled with transfer learning, medical image classifications have achieved great success. We used a method based on transfer learning to automatically predict the effectiveness of anti-VEGF by Optical Coherence tomography (OCT) images before giving medication. The method consists of image preprocessing, data augmentation and CNN-based transfer learning, the prediction AUC can be over 0.8. We also made a comparison study of using lesion region images and full OCT images on this task. Experiments shows that using the full OCT images can obtain better performance. Different deep neural networks such as AlexNet, VGG-16, GooLeNet and ResNet-50 were compared, and the modified ResNet-50 is more suitable for predicting the effectiveness of anti-VEGF.Clinical Relevance - This prediction model can give an estimation of whether anti-VEGF is effective for patients with CNV or CME, which can help ophthalmologists make treatment plan.</t>
  </si>
  <si>
    <t>A knowledge-driven feature learning and integration method for breast cancer diagnosis on multi-sequence MRI</t>
  </si>
  <si>
    <t>BACKGROUND: The classification of benign versus malignant breast lesions on multi-sequence Magnetic Resonance Imaging (MRI) is a challenging task since breast lesions are heterogeneous and complex. Recently, deep learning methods have been used for breast lesion diagnosis with raw image input. However, without the guidance of domain knowledge, these data-driven methods cannot ensure that the features extracted from images are comprehensive for breast cancer diagnosis. Specifically, these features are difficult to relate to clinically relevant phenomena. PURPOSE: Inspired by the cognition process of radiologists, we propose a Knowledge-driven Feature Learning and Integration (KFLI) framework, to discriminate between benign and malignant breast lesions using Multi-sequences MRI. METHODS: Starting from sequence division based on characteristics, we use domain knowledge to guide the feature learning process so that the feature vectors of sub-sequence are constrained to lie in characteristic-related semantic space. Then, different deep networks are designed to extract various sub-sequence features. Furthermore, a weighting module is employed for the integration of the features extracted from different sub-sequence images adaptively. RESULTS: The KFLI is a domain knowledge and deep network ensemble, which can extract sufficient and effective features from each sub-sequence for a comprehensive diagnosis of breast cancer. Experiments on 100 MRI studies have demonstrated that the KFLI achieves sensitivity, specificity, and accuracy of 84.6%, 85.7% and 85.0%, respectively, which outperforms other state-of-the-art algorithms.</t>
  </si>
  <si>
    <t>10.1136/neurintsurg-2017-013355</t>
  </si>
  <si>
    <t>Deep learning guided stroke management: a review of clinical applications</t>
  </si>
  <si>
    <t>Stroke is a leading cause of long-term disability, and outcome is directly related to timely intervention. Not all patients benefit from rapid intervention, however. Thus a significant amount of attention has been paid to using neuroimaging to assess potential benefit by identifying areas of ischemia that have not yet experienced cellular death. The perfusion-diffusion mismatch, is used as a simple metric for potential benefit with timely intervention, yet penumbral patterns provide an inaccurate predictor of clinical outcome. Machine learning research in the form of deep learning (artificial intelligence) techniques using deep neural networks (DNNs) excel at working with complex inputs. The key areas where deep learning may be imminently applied to stroke management are image segmentation, automated featurization (radiomics), and multimodal prognostication. The application of convolutional neural networks, the family of DNN architectures designed to work with images, to stroke imaging data is a perfect match between a mature deep learning technique and a data type that is naturally suited to benefit from deep learning's strengths. These powerful tools have opened up exciting opportunities for data-driven stroke management for acute intervention and for guiding prognosis. Deep learning techniques are useful for the speed and power of results they can deliver and will become an increasingly standard tool in the modern stroke specialist's arsenal for delivering personalized medicine to patients with ischemic stroke.</t>
  </si>
  <si>
    <t>J Neurointerv Surg</t>
  </si>
  <si>
    <t>Automated MRI-Based Deep Learning Model for Detection of Alzheimer's Disease Process</t>
  </si>
  <si>
    <t>In the context of neuro-pathological disorders, neuroimaging has been widely accepted as a clinical tool for diagnosing patients with Alzheimer's disease (AD) and mild cognitive impairment (MCI). The advanced deep learning method, a novel brain imaging technique, was applied in this study to evaluate its contribution to improving the diagnostic accuracy of AD. Three-dimensional convolutional neural networks (3D-CNNs) were applied with magnetic resonance imaging (MRI) to execute binary and ternary disease classification models. The dataset from the Alzheimer's disease neuroimaging initiative (ADNI) was used to compare the deep learning performances across 3D-CNN, 3D-CNN-support vector machine (SVM) and two-dimensional (2D)-CNN models. The outcomes of accuracy with ternary classification for 2D-CNN, 3D-CNN and 3D-CNN-SVM were [Formula: see text]%, [Formula: see text]% and [Formula: see text]% respectively. The 3D-CNN-SVM yielded a ternary classification accuracy of 93.71%, 96.82% and 96.73% for NC, MCI and AD diagnoses, respectively. Furthermore, 3D-CNN-SVM showed the best performance for binary classification. Our study indicated that 'NC versus MCI' showed accuracy, sensitivity and specificity of 98.90%, 98.90% and 98.80%; 'NC versus AD' showed accuracy, sensitivity and specificity of 99.10%, 99.80% and 98.40%; and 'MCI versus AD' showed accuracy, sensitivity and specificity of 89.40%, 86.70% and 84.00%, respectively. This study clearly demonstrates that 3D-CNN-SVM yields better performance with MRI compared to currently utilized deep learning methods. In addition, 3D-CNN-SVM proved to be efficient without having to manually perform any prior feature extraction and is totally independent of the variability of imaging protocols and scanners. This suggests that it can potentially be exploited by untrained operators and extended to virtual patient imaging data. Furthermore, owing to the safety, noninvasiveness and nonirradiative properties of the MRI modality, 3D-CNN-SMV may serve as an effective screening option for AD in the general population. This study holds value in distinguishing AD and MCI subjects from normal controls and to improve value-based care of patients in clinical practice.</t>
  </si>
  <si>
    <t>Improving accuracy and robustness of deep convolutional neural network based thoracic OAR segmentation</t>
  </si>
  <si>
    <t>Deep convolutional neural network (DCNN) has shown great success in various medical image segmentation tasks, including organ-at-risk (OAR) segmentation from computed tomography (CT) images. However, most studies use the dataset from the same source(s) for training and testing so that the ability of a trained DCNN to generalize to a different dataset is not well studied, as well as the strategy to address the issue of performance drop on a different dataset. In this study we investigated the performance of a well-trained DCNN model from a public dataset for thoracic OAR segmentation on a local dataset and explored the systematic differences between the datasets. We observed that a subtle shift of organs inside patient body due to the abdominal compression technique during image acquisition caused significantly worse performance on the local dataset. Furthermore, we developed an optimal strategy via incorporating different numbers of new cases from the local institution and using transfer learning to improve the accuracy and robustness of the trained DCNN model. We found that by adding as few as 10 cases from the local institution, the performance can reach the same level as in the original dataset. With transfer learning, the training time can be significantly shortened with slightly worse performance for heart segmentation.</t>
  </si>
  <si>
    <t>Estimating brain age based on a uniform healthy population with deep learning and structural magnetic resonance imaging</t>
  </si>
  <si>
    <t>Numerous studies have established that estimated brain age constitutes a valuable biomarker that is predictive of cognitive decline and various neurological diseases. In this work, we curate a large-scale brain MRI data set of healthy individuals, on which we train a uniform deep learning model for brain age estimation. We demonstrate an age estimation accuracy on a hold-out test set (mean absolute error = 4.06 years, r = 0.970) and an independent life span evaluation data set (mean absolute error = 4.21 years, r = 0.960). We further demonstrate the utility of the estimated age in a life span aging analysis of cognitive functions. In summary, we achieve age estimation performance comparable to previous studies, but with a more heterogenous data set confirming the efficacy of this deep learning framework. We also evaluated training with varying age distributions. The analysis of regional contributions to our brain age predictions through multiple analyses, and confirmation of the association of divergence between the estimated and chronological brain age with neuropsychological measures, may be useful in the development and evaluation of similar imaging biomarkers.</t>
  </si>
  <si>
    <t>Neurobiol Aging</t>
  </si>
  <si>
    <t>Deep convolutional neural network for segmentation of thoracic organs-at-risk using cropped 3D images</t>
  </si>
  <si>
    <t>PURPOSE: Automatic segmentation of organs-at-risk (OARs) is a key step in radiation treatment planning to reduce human efforts and bias. Deep convolutional neural networks (DCNN) have shown great success in many medical image segmentation applications but there are still challenges in dealing with large 3D images for optimal results. The purpose of this study is to develop a novel DCNN method for thoracic OARs segmentation using cropped 3D images. METHODS: To segment the five organs (left and right lungs, heart, esophagus and spinal cord) from the thoracic CT scans, preprocessing to unify the voxel spacing and intensity was first performed, a 3D U-Net was then trained on resampled thoracic images to localize each organ, then the original images were cropped to only contain one organ and served as the input to each individual organ segmentation network. The segmentation maps were then merged to get the final results. The network structures were optimized for each step, as well as the training and testing strategies. A novel testing augmentation with multiple iterations of image cropping was used. The networks were trained on 36 thoracic CT scans with expert annotations provided by the organizers of the 2017 AAPM Thoracic Auto-segmentation Challenge and tested on the challenge testing dataset as well as a private dataset. RESULTS: The proposed method earned second place in the live phase of the challenge and first place in the subsequent ongoing phase using a newly developed testing augmentation approach. It showed superior-than-human performance on average in terms of Dice scores (spinal cord: 0.893 ± 0.044, right lung: 0.972 ± 0.021, left lung: 0.979 ± 0.008, heart: 0.925 ± 0.015, esophagus: 0.726 ± 0.094), mean surface distance (spinal cord: 0.662 ± 0.248 mm, right lung: 0.933 ± 0.574 mm, left lung: 0.586 ± 0.285 mm, heart: 2.297 ± 0.492 mm, esophagus: 2.341 ± 2.380 mm) and 95% Hausdorff distance (spinal cord: 1.893 ± 0.627 mm, right lung: 3.958 ± 2.845 mm, left lung: 2.103 ± 0.938 mm, heart: 6.570 ± 1.501 mm, esophagus: 8.714 ± 10.588 mm). It also achieved good performance in the private dataset and reduced the editing time to 7.5 min per patient following automatic segmentation. CONCLUSIONS: The proposed DCNN method demonstrated good performance in automatic OAR segmentation from thoracic CT scans. It has the potential for eventual clinical adoption of deep learning in radiation treatment planning due to improved accuracy and reduced cost for OAR segmentation.</t>
  </si>
  <si>
    <t>X. Feng, K. Qing, N. J. Tustison, C. H. Meyer and Q. Chen</t>
  </si>
  <si>
    <t>Brain Tumor Segmentation Using an Ensemble of 3D U-Nets and Overall Survival Prediction Using Radiomic Features</t>
  </si>
  <si>
    <t>Accurate segmentation of different sub-regions of gliomas such as peritumoral edema, necrotic core, enhancing, and non-enhancing tumor core from multimodal MRI scans has important clinical relevance in diagnosis, prognosis and treatment of brain tumors. However, due to the highly heterogeneous appearance and shape of these tumors, segmentation of the sub-regions is challenging. Recent developments using deep learning models has proved its effectiveness in various semantic and medical image segmentation tasks, many of which are based on the U-Net network structure with symmetric encoding and decoding paths for end-to-end segmentation due to its high efficiency and good performance. In brain tumor segmentation, the 3D nature of multimodal MRI poses challenges such as memory and computation limitations and class imbalance when directly adopting the U-Net structure. In this study we aim to develop a deep learning model using a 3D U-Net with adaptations in the training and testing strategies, network structures, and model parameters for brain tumor segmentation. Furthermore, instead of picking one best model, an ensemble of multiple models trained with different hyper-parameters are used to reduce random errors from each model and yield improved performance. Preliminary results demonstrate the effectiveness of this method and achieved the 9th place in the very competitive 2018 Multimodal Brain Tumor Segmentation (BraTS) challenge. In addition, to emphasize the clinical value of the developed segmentation method, a linear model based on the radiomics features extracted from segmentation and other clinical features are developed to predict patient overall survival. Evaluation of these innovations shows high prediction accuracy in both low-grade glioma and glioblastoma patients, which achieved the 1st place in the 2018 BraTS challenge.</t>
  </si>
  <si>
    <t>[Research on coronavirus disease 2019 (COVID-19) detection method based on depthwise separable DenseNet in chest X-ray images]</t>
  </si>
  <si>
    <t>Coronavirus disease 2019 (COVID-19) has spread rapidly around the world. In order to diagnose COVID-19 more quickly, in this paper, a depthwise separable DenseNet was proposed. The paper constructed a deep learning model with 2 905 chest X-ray images as experimental dataset. In order to enhance the contrast, the contrast limited adaptive histogram equalization (CLAHE) algorithm was used to preprocess the X-ray image before network training, then the images were put into the training network and the parameters of the network were adjusted to the optimal. Meanwhile, Leaky ReLU was selected as the activation function. VGG16, ResNet18, ResNet34, DenseNet121 and SDenseNet models were used to compare with the model proposed in this paper. Compared with ResNet34, the proposed classification model of pneumonia had improved 2.0%, 2.3% and 1.5% in accuracy, sensitivity and specificity respectively. Compared with the SDenseNet network without depthwise separable convolution, number of parameters of the proposed model was reduced by 43.9%, but the classification effect did not decrease. It can be found that the proposed DWSDenseNet has a good classification effect on the COVID-19 chest X-ray images dataset. Under the condition of ensuring the accuracy as much as possible, the depthwise separable convolution can effectively reduce number of parameters of the model.</t>
  </si>
  <si>
    <t>A Deep Learning Approach for Targeted Contrast-Enhanced Ultrasound Based Prostate Cancer Detection</t>
  </si>
  <si>
    <t>The important role of angiogenesis in cancer development has driven many researchers to investigate the prospects of noninvasive cancer diagnosis based on the technology of contrast-enhanced ultrasound (CEUS) imaging. This paper presents a deep learning framework to detect prostate cancer in the sequential CEUS images. The proposed method uniformly extracts features from both the spatial and the temporal dimensions by performing three-dimensional convolution operations, which captures the dynamic information of the perfusion process encoded in multiple adjacent frames for prostate cancer detection. The deep learning models were trained and validated against expert delineations over the CEUS images recorded using two types of contrast agents, i.e., the anti-PSMA based agent targeted to prostate cancer cells and the non-targeted blank agent. Experiments showed that the deep learning method achieved over 91 percent specificity and 90 percent average accuracy over the targeted CEUS images for prostate cancer detection, which was superior ( ) than previously reported approaches and implementations.</t>
  </si>
  <si>
    <t>IEEE/ACM Trans Comput Biol Bioinform</t>
  </si>
  <si>
    <t>Deep Manifold Preserving Autoencoder for Classifying Breast Cancer Histopathological Images</t>
  </si>
  <si>
    <t>Classifying breast cancer histopathological images automatically is an important task in computer assisted pathology analysis. However, extracting informative and non-redundant features for histopathological image classification is challenging due to the appearance variability caused by the heterogeneity of the disease, the tissue preparation, and staining processes. In this paper, we propose a new feature extractor, called deep manifold preserving autoencoder, to learn discriminative features from unlabeled data. Then, we integrate the proposed feature extractor with a softmax classifier to classify breast cancer histopathology images. Specifically, it learns hierarchal features from unlabeled image patches by minimizing the distance between its input and output, and simultaneously preserving the geometric structure of the whole input data set. After the unsupervised training, we connect the encoder layers of the trained deep manifold preserving autoencoder with a softmax classifier to construct a cascade model and fine-tune this deep neural network with labeled training data. The proposed method learns discriminative features by preserving the structure of the input datasets from the manifold learning view and minimizing reconstruction error from the deep learning view from a large amount of unlabeled data. Extensive experiments on the public breast cancer dataset (BreaKHis) demonstrate the effectiveness of the proposed method.</t>
  </si>
  <si>
    <t>SEMI-SUPERVISED LEARNING FOR PELVIC MR IMAGE SEGMENTATION BASED ON MULTI-TASK RESIDUAL FULLY CONVOLUTIONAL NETWORKS</t>
  </si>
  <si>
    <t>Accurate segmentation of pelvic organs from magnetic resonance (MR) images plays an important role in image-guided radiotherapy. However, it is a challenging task due to inconsistent organ appearances and large shape variations. Fully convolutional network (FCN) has recently achieved state-of-the-art performance in medical image segmentation, but it requires a large amount of labeled data for training, which is usually difficult to obtain in real situation. To address these challenges, we propose a deep learning based semi-supervised learning framework. Specifically, we first train an initial multi-task residual fully convolutional network (FCN) based on a limited number of labeled MRI data. Based on the initially trained FCN, those unlabeled new data can be automatically segmented and some reasonable segmentations (after manual/automatic checking) can be included into the training data to fine-tune the network. This step can be repeated to progressively improve the training of our network, until no reasonable segmentations of new data can be included. Experimental results demonstrate the effectiveness of our proposed progressive semi-supervised learning fashion as well as its advantage in terms of accuracy.</t>
  </si>
  <si>
    <t>Z. Feng, D. Nie, L. Wang and D. Shen</t>
  </si>
  <si>
    <t>Image quality classification for DR screening using deep learning</t>
  </si>
  <si>
    <t>The quality of input images significantly affects the outcome of automated diabetic retinopathy (DR) screening systems. Unlike the previous methods that only consider simple low-level features such as hand-crafted geometric and structural features, in this paper we propose a novel method for retinal image quality classification (IQC) that performs computational algorithms imitating the working of the human visual system. The proposed algorithm combines unsupervised features from saliency map and supervised features coming from convolutional neural networks (CNN), which are fed to an SVM to automatically detect high quality vs poor quality retinal fundus images. We demonstrate the superior performance of our proposed algorithm on a large retinal fundus image dataset and the method could achieve higher accuracy than other methods. Although retinal images are used in this study, the methodology is applicable to the image quality assessment and enhancement of other types of medical images.</t>
  </si>
  <si>
    <t>Y. FengLi, S. Jing, L. Annan, C. Jun, W. Cheng and L. Jiang</t>
  </si>
  <si>
    <t>10.1016/j.jneumeth.2019.05.003</t>
  </si>
  <si>
    <t>Towards an efficient segmentation of small rodents brain: A short critical review</t>
  </si>
  <si>
    <t>One of the most common tasks in small rodents MRI pipelines is the voxel-wise segmentation of the volume in multiple classes. While many segmentation schemes have been developed for the human brain, fewer are available for rodent MRI, often by adaptation from human neuroimaging. Common methods include atlas-based and clustering schemes. The former labels the target volume by registering one or more pre-labeled atlases using a deformable registration method, in which case the result depends on the quality of the reference volumes, the registration algorithm and the label fusion approach, if more than one atlas is employed. The latter is based on an expectation maximization procedure to maximize the variance between voxel categories, and is often combined with Markov Random Fields and the atlas based approach to include spatial information, priors, and improve the classification accuracy. Our primary goal is to critically review the state of the art of rat and mouse segmentation of neuro MRI volumes and compare the available literature on popular, readily and freely available MRI toolsets, including SPM, FSL and ANTs, when applied to this task in the context of common pre-processing steps. Furthermore, we will briefly address the emerging Deep Learning methods for the segmentation of medical imaging, and the perspectives for applications to small rodents.</t>
  </si>
  <si>
    <t>10.1097/bor.0000000000000607</t>
  </si>
  <si>
    <t>Artificial intelligence, osteoporosis and fragility fractures</t>
  </si>
  <si>
    <t>PURPOSE OF REVIEW: Artificial intelligence tools have found new applications in medical diagnosis. These tools have the potential to capture underlying trends and patterns, otherwise impossible with previous modeling capabilities. Machine learning and deep learning models have found a role in osteoporosis, both to model the risk of fragility fracture, and to help with the identification and segmentation of images. RECENT FINDINGS: Here we survey the latest research in the artificial intelligence application to the prediction of osteoporosis that has been published between January 2017 and March 2019. Around half of the articles that are covered here predict (by classification or regression) an indicator of osteoporosis, such as bone mass or fragility fractures; the other half of studies use tools for automatic segmentation of the images of patients with or at risk of osteoporosis. The data for these studies include diverse signal sources: acoustics, MRI, CT, and of course, X-rays. SUMMARY: New methods for automatic image segmentation, and prediction of fracture risk show promising clinical value. Though these recent developments have had a successful initial application to osteoporosis research, their development is still under improvement, such as accounting for positive/negative class bias. We urge care when reporting accuracy metrics, and when comparing such metrics between different studies.</t>
  </si>
  <si>
    <t>Curr Opin Rheumatol</t>
  </si>
  <si>
    <t>Comparison of data analytics strategies in computer vision systems to predict pig body composition traits from 3D images</t>
  </si>
  <si>
    <t>Computer vision systems (CVS) have been shown to be a powerful tool for the measurement of live pig body weight (BW) with no animal stress. With advances in precision farming, it is now possible to evaluate the growth performance of individual pigs more accurately. However, important traits such as muscle and fat deposition can still be evaluated only via ultrasound, computed tomography, or dual-energy x-ray absorptiometry. Therefore, the objectives of this study were: 1) to develop a CVS for prediction of live BW, muscle depth (MD), and back fat (BF) from top view 3D images of finishing pigs and 2) to compare the predictive ability of different approaches, such as traditional multiple linear regression, partial least squares, and machine learning techniques, including elastic networks, artificial neural networks, and deep learning (DL). A dataset containing over 12,000 images from 557 finishing pigs (average BW of 120 ± 12 kg) was split into training and testing sets using a 5-fold cross-validation (CV) technique so that 80% and 20% of the dataset were used for training and testing in each fold. Several image features, such as volume, area, length, widths, heights, polar image descriptors, and polar Fourier transforms, were extracted from the images and used as predictor variables in the different approaches evaluated. In addition, DL image encoders that take raw 3D images as input were also tested. This latter method achieved the best overall performance, with the lowest mean absolute scaled error (MASE) and root mean square error for all traits, and the highest predictive squared correlation (R2). The median predicted MASE achieved by this method was 2.69, 5.02, and 13.56, and R2 of 0.86, 0.50, and 0.45, for BW, MD, and BF, respectively. In conclusion, it was demonstrated that it is possible to successfully predict BW, MD, and BF via CVS on a fully automated setting using 3D images collected in farm conditions. Moreover, DL algorithms simplified and optimized the data analytics workflow, with raw 3D images used as direct inputs, without requiring prior image processing.</t>
  </si>
  <si>
    <t>J Anim Sci</t>
  </si>
  <si>
    <t>Automatic detection of calcium phosphate deposit plugs at the terminal ends of kidney tubules</t>
  </si>
  <si>
    <t>Kidney stones are a common urologic condition with a high amount of recurrence. Recurrence depends on a multitude of factors the incidence of precursors to kidney stones, plugs, and plaques. One method of characterising the stone precursors is endoscopic assessment, though it is manual and time-consuming. Deep learning has become a popular technique for semantic segmentation because of the high accuracy that has been demonstrated. The present Letter examined the efficacy of deep learning to segment the renal papilla, plaque, and plugs. A U-Net model with ResNet-34 encoder was tested; the Letter examined dropout (to avoid overtraining) and two different loss functions (to address the class imbalance problem. The models were then trained in 1666 images and tested on 185 images. The Jaccard-cross-entropy loss function was more effective than the focal loss function. The model with the dropout rate 0.4 was found to be more effective due to its generalisability. The model was largely successful at delineating the papilla. The model was able to correctly detect the plaques and plugs; however, small plaques were challenging. Deep learning was found to be applicable for segmentation of an endoscopic image for the papilla, plaque, and plug, with room for improvement.</t>
  </si>
  <si>
    <t>Healthc Technol Lett</t>
  </si>
  <si>
    <t>Latent space manipulation for high-resolution medical image synthesis via the StyleGAN</t>
  </si>
  <si>
    <t>INTRODUCTION: This paper explores the potential of the StyleGAN model as an high-resolution image generator for synthetic medical images. The possibility to generate sample patient images of different modalities can be helpful for training deep learning algorithms as e.g. a data augmentation technique. METHODS: The StyleGAN model was trained on Computed Tomography (CT) and T2- weighted Magnetic Resonance (MR) images from 100 patients with pelvic malignancies. The resulting model was investigated with regards to three features: Image Modality, Sex, and Longitudinal Slice Position. Further, the style transfer feature of the StyleGAN was used to move images between the modalities. The root-mean-squard error (RMSE) and the Mean Absolute Error (MAE) were used to quantify errors for MR and CT, respectively. RESULTS: We demonstrate how these features can be transformed by manipulating the latent style vectors, and attempt to quantify how the errors change as we move through the latent style space. The best results were achieved by using the style transfer feature of the StyleGAN (58.7 HU MAE for MR to CT and 0.339 RMSE for CT to MR). Slices below and above an initial central slice can be predicted with an error below 75 HU MAE and 0.3 RMSE within 4cm for CT and MR, respectively. DISCUSSION: The StyleGAN is a promising model to use for generating synthetic medical images for MR and CT modalities as well as for 3D volumes.</t>
  </si>
  <si>
    <t>Lens Identification to Prevent Radiation-Induced Cataracts Using Convolutional Neural Networks</t>
  </si>
  <si>
    <t>Exposure of the lenses to direct ionizing radiation during computed tomography (CT) examinations predisposes patients to cataract formation and should be avoided when possible. Avoiding such exposure requires positioning and other maneuvers by technologists that can be challenging. Continuous feedback has been shown to sustain quality improvement and can remind and encourage technologists to comply with these methods. Previously, for use cases such as this, cumbersome manual techniques were required for such feedback. Modern deep learning methods utilizing convolutional neural networks (CNNs) can be used to develop models that can detect lenses in CT examinations. These models can then be used to facilitate automatic and continuous feedback to sustain technologist performance for this task, thus contributing to higher quality patient care. This continuous evaluation for quality purposes also surfaces other operational or process-based challenges that can be addressed. Given high-performance characteristics, these models could also be used for other tasks such as population health research.</t>
  </si>
  <si>
    <t>R. Filice</t>
  </si>
  <si>
    <t>10.1016/j.jacr.2019.05.010</t>
  </si>
  <si>
    <t>Radiology-Pathology Correlation to Facilitate Peer Learning: An Overview Including Recent Artificial Intelligence Methods</t>
  </si>
  <si>
    <t>Correlation of pathology reports with radiology examinations has long been of interest to radiologists and helps to facilitate peer learning. Such correlation also helps meet regulatory requirements, ensures quality, and supports multidisciplinary conferences and patient care. Additional offshoots of such correlation include evaluating for and ensuring concordance of pathology results with radiology interpretation and procedures as well as ensuring specimen adequacy after biopsy. For much of the history of radiology, this correlation has been done manually, which is time consuming and cumbersome and provides coverage of only a fraction of radiology examinations performed. Electronic storage and indexing of radiology and pathology information laid the foundation for easier access and for the development of automated artificial intelligence methods to match pathology information with radiology reports. More recent techniques have resulted in near comprehensive coverage of radiology examinations with methods to present results and solicit feedback from end users. Newer deep learning language modeling techniques will advance these methods by providing more robust automated and comprehensive radiology-pathology correlation with the ability to rapidly, flexibly, and iteratively tune models to site and user preference.</t>
  </si>
  <si>
    <t>R. W. Filice</t>
  </si>
  <si>
    <t>Effectiveness of Deep Learning Algorithms to Determine Laterality in Radiographs</t>
  </si>
  <si>
    <t>Develop a highly accurate deep learning model to reliably classify radiographs by laterality. Digital Imaging and Communications in Medicine (DICOM) data for nine body parts was extracted retrospectively. Laterality was determined directly if encoded properly or inferred using other elements. Curation confirmed categorization and identified inaccurate labels due to human error. Augmentation enriched training data to semi-equilibrate classes. Classification and object detection models were developed on a dedicated workstation and tested on novel images. Receiver operating characteristic (ROC) curves, sensitivity, specificity, and accuracy were calculated. Study-level accuracy was determined and both were compared to human performance. An ensemble model was tested for the rigorous use-case of automatically classifying exams retrospectively. The final classification model identified novel images with an ROC area under the curve (AUC) of 0.999, improving on previous work and comparable to human performance. A similar ROC curve was observed for per-study analysis with AUC of 0.999. The object detection model classified images with accuracy of 99% or greater at both image and study level. Confidence scores allow adjustment of sensitivity and specificity as needed; the ensemble model designed for the highly specific use-case of automatically classifying exams was comparable and arguably better than human performance demonstrating 99% accuracy with 1% of exams unchanged and no incorrect classification. Deep learning models can classify radiographs by laterality with high accuracy and may be applied in a variety of settings that could improve patient safety and radiologist satisfaction. Rigorous use-cases requiring high specificity are achievable.</t>
  </si>
  <si>
    <t>A novel Graph Attention Network Architecture for modeling multimodal brain connectivity</t>
  </si>
  <si>
    <t>While Deep Learning methods have been successfully applied to tackle a wide variety of prediction problems, their application has been mostly limited to data structured in a grid-like fashion. However, the study of the human brain connectome involves the representation of the brain as a graph with interacting nodes. In this paper, we extend the Graph Attention Network (GAT), a novel neural network (NN) architecture acting on the features of the nodes of a binary graph, to handle a set of graphs provided with node features and non-binary edge weights. We demonstrate the effectiveness of our architecture by training it multimodal data collected from a large homogeneous fMRI dataset (n=1003 individuals with multiple fMRI sessions per subject) made publicly available by the Human Connectome Project (HCP), demonstrating good performance and seamless integration of multimodal neuroimaging data. Our adaptation provides a powerful and flexible deep learning tool to integrate multimodal neuroimaging connectomics data in a predictive context.</t>
  </si>
  <si>
    <t>Opportunities for Artificial Intelligence in Advancing Precision Medicine</t>
  </si>
  <si>
    <t>PURPOSE OF REVIEW: We critically evaluate the future potential of machine learning (ML), deep learning (DL), and artificial intelligence (AI) in precision medicine. The goal of this work is to show progress in ML in digital health, to exemplify future needs and trends, and to identify any essential prerequisites of AI and ML for precision health. RECENT FINDINGS: High-throughput technologies are delivering growing volumes of biomedical data, such as large-scale genome-wide sequencing assays; libraries of medical images; or drug perturbation screens of healthy, developing, and diseased tissue. Multi-omics data in biomedicine is deep and complex, offering an opportunity for data-driven insights and automated disease classification. Learning from these data will open our understanding and definition of healthy baselines and disease signatures. State-of-the-art applications of deep neural networks include digital image recognition, single-cell clustering, and virtual drug screens, demonstrating breadths and power of ML in biomedicine. SUMMARY: Significantly, AI and systems biology have embraced big data challenges and may enable novel biotechnology-derived therapies to facilitate the implementation of precision medicine approaches.</t>
  </si>
  <si>
    <t>F. V. Filipp</t>
  </si>
  <si>
    <t>Curr Genet Med Rep</t>
  </si>
  <si>
    <t>Deep learning: a turning point in acute neurology</t>
  </si>
  <si>
    <t>M. Filippi, C. Cividini and F. Agosta</t>
  </si>
  <si>
    <t>Defining host-pathogen interactions employing an artificial intelligence workflow</t>
  </si>
  <si>
    <t>For image-based infection biology, accurate unbiased quantification of host-pathogen interactions is essential, yet often performed manually or using limited enumeration employing simple image analysis algorithms based on image segmentation. Host protein recruitment to pathogens is often refractory to accurate automated assessment due to its heterogeneous nature. An intuitive intelligent image analysis program to assess host protein recruitment within general cellular pathogen defense is lacking. We present HRMAn (Host Response to Microbe Analysis), an open-source image analysis platform based on machine learning algorithms and deep learning. We show that HRMAn has the capacity to learn phenotypes from the data, without relying on researcher-based assumptions. Using Toxoplasma gondii and Salmonella enterica Typhimurium we demonstrate HRMAn's capacity to recognize, classify and quantify pathogen killing, replication and cellular defense responses. HRMAn thus presents the only intelligent solution operating at human capacity suitable for both single image and high content image analysis. EDITORIAL NOTE: This article has been through an editorial process in which the authors decide how to respond to the issues raised during peer review. The Reviewing Editor's assessment is that all the issues have been addressed (see decision letter).</t>
  </si>
  <si>
    <t>Elife</t>
  </si>
  <si>
    <t>Automatic classification of tissue malignancy for breast carcinoma diagnosis</t>
  </si>
  <si>
    <t>Breast cancer is the second leading cause of cancer death among women. Its early diagnosis is extremely important to prevent avoidable deaths. However, malignancy assessment of tissue biopsies is complex and dependent on observer subjectivity. Moreover, hematoxylin and eosin (H&amp;E)-stained histological images exhibit a highly variable appearance, even within the same malignancy level. In this paper, we propose a computer-aided diagnosis (CAD) tool for automated malignancy assessment of breast tissue samples based on the processing of histological images. We provide four malignancy levels as the output of the system: normal, benign, in situ and invasive. The method is based on the calculation of three sets of features related to nuclei, colour regions and textures considering local characteristics and global image properties. By taking advantage of well-established image processing techniques, we build a feature vector for each image that serves as an input to an SVM (Support Vector Machine) classifier with a quadratic kernel. The method has been rigorously evaluated, first with a 5-fold cross-validation within an initial set of 120 images, second with an external set of 30 different images and third with images with artefacts included. Accuracy levels range from 75.8% when the 5-fold cross-validation was performed to 75% with the external set of new images and 61.11% when the extremely difficult images were added to the classification experiment. The experimental results indicate that the proposed method is capable of distinguishing between four malignancy levels with high accuracy. Our results are close to those obtained with recent deep learning-based methods. Moreover, it performs better than other state-of-the-art methods based on feature extraction, and it can help improve the CAD of breast cancer.</t>
  </si>
  <si>
    <t>I. Fondón, A. Sarmiento, A. I. García, M. Silvestre, C. Eloy, A. Polónia and P. Aguiar</t>
  </si>
  <si>
    <t>Detection and Labeling of Vertebrae in MR Images Using Deep Learning with Clinical Annotations as Training Data</t>
  </si>
  <si>
    <t>The purpose of this study was to investigate the potential of using clinically provided spine label annotations stored in a single institution image archive as training data for deep learning-based vertebral detection and labeling pipelines. Lumbar and cervical magnetic resonance imaging cases with annotated spine labels were identified and exported from an image archive. Two separate pipelines were configured and trained for lumbar and cervical cases respectively, using the same setup with convolutional neural networks for detection and parts-based graphical models to label the vertebrae. The detection sensitivity, precision and accuracy rates ranged between 99.1-99.8, 99.6-100, and 98.8-99.8% respectively, the average localization error ranges were 1.18-1.24 and 2.38-2.60 mm for cervical and lumbar cases respectively, and with a labeling accuracy of 96.0-97.0%. Failed labeling results typically involved failed S1 detections or missed vertebrae that were not fully visible on the image. These results show that clinically annotated image data from one image archive is sufficient to train a deep learning-based pipeline for accurate detection and labeling of MR images depicting the spine. Further, these results support using deep learning to assist radiologists in their work by providing highly accurate labels that only require rapid confirmation.</t>
  </si>
  <si>
    <t>D. Forsberg, E. Sjöblom and J. L. Sunshine</t>
  </si>
  <si>
    <t>Deep learning in medical image analysis: A third eye for doctors</t>
  </si>
  <si>
    <t>AIM AND SCOPE: Artificial intelligence (AI) in medicine is a fast-growing field. The rise of deep learning algorithms, such as convolutional neural networks (CNNs), offers fascinating perspectives for the automation of medical image analysis. In this systematic review article, we screened the current literature and investigated the following question: Can deep learning algorithms for image recognition improve visual diagnosis in medicine? MATERIALS AND METHODS: We provide a systematic review of the articles using CNNs for medical image analysis, published in the medical literature before May 2019. Articles were screened based on the following items: type of image analysis approach (detection or classification), algorithm architecture, dataset used, training phase, test, comparison method (with specialists or other), results (accuracy, sensibility and specificity) and conclusion. RESULTS: We identified 352 articles in the PubMed database and excluded 327 items for which performance was not assessed (review articles) or for which tasks other than detection or classification, such as segmentation, were assessed. The 25 included papers were published from 2013 to 2019 and were related to a vast array of medical specialties. Authors were mostly from North America and Asia. Large amounts of qualitative medical images were necessary to train the CNNs, often resulting from international collaboration. The most common CNNs such as AlexNet and GoogleNet, designed for the analysis of natural images, proved their applicability to medical images. CONCLUSION: CNNs are not replacement solutions for medical doctors, but will contribute to optimize routine tasks and thus have a potential positive impact on our practice. Specialties with a strong visual component such as radiology and pathology will be deeply transformed. Medical practitioners, including surgeons, have a key role to play in the development and implementation of such devices.</t>
  </si>
  <si>
    <t>J Stomatol Oral Maxillofac Surg</t>
  </si>
  <si>
    <t>Combining Superpixels and Deep Learning Approaches to Segment Active Organs in Metastatic Breast Cancer PET Images()</t>
  </si>
  <si>
    <t>Semi-automatic measurements are performed on (18)FDG PET-CT images to monitor the evolution of metastatic sites in the clinical follow-up of metastatic breast cancer patients. Apart from being time-consuming and prone to subjective approximation, semi-automatic tools cannot make the difference between cancerous regions and active organs, presenting a high (18)FDG uptake.In this work, we combine a deep learning-based approach with a superpixel segmentation method to segment the main active organs (brain, heart, bladder) from full-body PET images. In particular, we integrate a superpixel SLIC algorithm at different levels of a convolutional network. Results are compared with a deep learning segmentation network alone. The methods are cross-validated on full-body PET images of 36 patients and tested on the acquisitions of 24 patients from a different study center, in the context of the ongoing EPICUREseinmeta study. The similarity between the manually defined organ masks and the results is evaluated with the Dice score. Moreover, the amount of false positives is evaluated through the positive predictive value (PPV).According to the computed Dice scores, all approaches allow to accurately segment the target organs. However, the networks integrating superpixels are better suited to transfer knowledge across datasets acquired on multiple sites (domain adaptation) and are less likely to segment structures outside of the target organs, according to the PPV.Hence, combining deep learning with superpixels allows to segment organs presenting a high (18)FDG uptake on PET images without selecting cancerous lesion, and thus improves the precision of the semi-automatic tools monitoring the evolution of breast cancer metastasis.Clinical relevance- We demonstrate the utility of combining deep learning and superpixel segmentation methods to accurately find the contours of active organs from metastatic breast cancer images, to different dataset distributions.</t>
  </si>
  <si>
    <t>Detecting the occluding contours of the uterus to automatise augmented laparoscopy: score, loss, dataset, evaluation and user study</t>
  </si>
  <si>
    <t>PURPOSE: The registration of a preoperative 3D model, reconstructed, for example, from MRI, to intraoperative laparoscopy 2D images, is the main challenge to achieve augmented reality in laparoscopy. The current systems have a major limitation: they require that the surgeon manually marks the occluding contours during surgery. This requires the surgeon to fully comprehend the non-trivial concept of occluding contours and surgeon time, directly impacting acceptance and usability. To overcome this limitation, we propose a complete framework for object-class occluding contour detection (OC2D), with application to uterus surgery. METHODS: Our first contribution is a new distance-based evaluation score complying with all the relevant performance criteria. Our second contribution is a loss function combining cross-entropy and two new penalties designed to boost 1-pixel thickness responses. This allows us to train a U-Net end to end, outperforming all competing methods, which tends to produce thick responses. Our third contribution is a dataset of 3818 carefully labelled laparoscopy images of the uterus, which was used to train and evaluate our detector. RESULTS: Evaluation shows that the proposed detector has a similar false false-negative rate to existing methods but substantially reduces both false-positive rate and response thickness. Finally, we ran a user study to evaluate the impact of OC2D against manually marked occluding contours in augmented laparoscopy. We used 10 recorded gynecologic laparoscopies and involved 5 surgeons. Using OC2D led to a reduction of 3 min and 53 s in surgeon time without sacrificing registration accuracy. CONCLUSIONS: We provide a new set of criteria and a distance-based measure to evaluate an OC2D method. We propose an OC2D method which outperforms the state-of-the-art methods. The results obtained from the user study indicate that fully automatic augmented laparoscopy is feasible.</t>
  </si>
  <si>
    <t>Three-dimensional visualization and a deep-learning model reveal complex fungal parasite networks in behaviorally manipulated ants</t>
  </si>
  <si>
    <t>Some microbes possess the ability to adaptively manipulate host behavior. To better understand how such microbial parasites control animal behavior, we examine the cell-level interactions between the species-specific fungal parasite Ophiocordyceps unilateralis sensu lato and its carpenter ant host (Camponotus castaneus) at a crucial moment in the parasite's lifecycle: when the manipulated host fixes itself permanently to a substrate by its mandibles. The fungus is known to secrete tissue-specific metabolites and cause changes in host gene expression as well as atrophy in the mandible muscles of its ant host, but it is unknown how the fungus coordinates these effects to manipulate its host's behavior. In this study, we combine techniques in serial block-face scanning-electron microscopy and deep-learning-based image segmentation algorithms to visualize the distribution, abundance, and interactions of this fungus inside the body of its manipulated host. Fungal cells were found throughout the host body but not in the brain, implying that behavioral control of the animal body by this microbe occurs peripherally. Additionally, fungal cells invaded host muscle fibers and joined together to form networks that encircled the muscles. These networks may represent a collective foraging behavior of this parasite, which may in turn facilitate host manipulation.</t>
  </si>
  <si>
    <t>M. A. Fredericksen, Y. Zhang, M. L. Hazen, R. G. Loreto, C. A. Mangold, D. Z. Chen and D. P. Hughes</t>
  </si>
  <si>
    <t>Proc Natl Acad Sci U S A</t>
  </si>
  <si>
    <t>Unsupervised abnormality detection through mixed structure regularization (MSR) in deep sparse autoencoders</t>
  </si>
  <si>
    <t>PURPOSE: The purpose of this study is to introduce and evaluate the mixed structure regularization (MSR) approach for a deep sparse autoencoder aimed at unsupervised abnormality detection in medical images. Unsupervised abnormality detection based on identifying outliers using deep sparse autoencoders is a very appealing approach for computer-aided detection systems as it requires only healthy data for training rather than expert annotated abnormality. However, regularization is required to avoid overfitting of the network to the training data. METHODS: We used coronary computed tomography angiography (CCTA) datasets of 90 subjects with expert annotated centerlines. We segmented coronary lumen and wall using an automatic algorithm with manual corrections where required. We defined normal coronary cross section as cross sections with a ratio between lumen and wall areas larger than 0.8. We divided the datasets into training, validation, and testing groups in a tenfold cross-validation scheme. We trained a deep sparse overcomplete autoencoder model for normality modeling with random structure and noise augmentation. We assessed the performance of our deep sparse autoencoder with MSR without denoising (SAE-MSR) and with denoising (SDAE-MSR) in comparison to deep sparse autoencoder (SAE), and deep sparse denoising autoencoder (SDAE) models in the task of detecting coronary artery disease from CCTA data on the test group. RESULTS: The SDAE-MSR achieved the best aggregated area under the curve (AUC) with a 20% improvement and the best aggregated Average Precision (AP) with a 30% improvement upon the SAE and SDAE (AUC: 0.78 to 0.94, AP: 0.66 to 0.86) in distinguishing between coronary cross sections with mild stenosis (stenosis grade &lt; 0.3) and coronary cross sections with severe stenosis (stenosis grade &gt; 0.7). The improvements were statistically significant (Mann-Whitney U-test, P &lt; 0.001). Similarly, The SDAE-MSR achieved the best aggregated AUC (AP) with an 18% (18%) improvement upon the SAE and SDAE (AUC: 0.71 to 0.84, AP: 0.68 to 0.80). The improvements were statistically significant (Mann-Whitney U-test, P &lt; 0.05). CONCLUSION: Deep sparse autoencoders with MSR in addition to explicit sparsity regularization term and stochastic corruption of the input data with Gaussian noise have the potential to improve unsupervised abnormality detection using deep-learning compared to common deep autoencoders.</t>
  </si>
  <si>
    <t>M. Freiman, R. Manjeshwar and L. Goshen</t>
  </si>
  <si>
    <t>Weakly supervised classification of aortic valve malformations using unlabeled cardiac MRI sequences</t>
  </si>
  <si>
    <t>Biomedical repositories such as the UK Biobank provide increasing access to prospectively collected cardiac imaging, however these data are unlabeled, which creates barriers to their use in supervised machine learning. We develop a weakly supervised deep learning model for classification of aortic valve malformations using up to 4,000 unlabeled cardiac MRI sequences. Instead of requiring highly curated training data, weak supervision relies on noisy heuristics defined by domain experts to programmatically generate large-scale, imperfect training labels. For aortic valve classification, models trained with imperfect labels substantially outperform a supervised model trained on hand-labeled MRIs. In an orthogonal validation experiment using health outcomes data, our model identifies individuals with a 1.8-fold increase in risk of a major adverse cardiac event. This work formalizes a deep learning baseline for aortic valve classification and outlines a general strategy for using weak supervision to train machine learning models using unlabeled medical images at scale.</t>
  </si>
  <si>
    <t>J. A. Fries, P. Varma, V. S. Chen, K. Xiao, H. Tejeda, P. Saha, J. Dunnmon, H. Chubb, S. Maskatia, M. Fiterau, S. Delp, E. Ashley, C. Ré and J. R. Priest</t>
  </si>
  <si>
    <t>Influence of CT effective dose and convolution kernel on the detection of pulmonary nodules in different artificial intelligence software systems: A phantom study</t>
  </si>
  <si>
    <t>PURPOSE: To investigate the effective dose (E) and convolution kernel's effects on the detection of pulmonary nodules in different artificial intelligence (AI) software systems. METHODS: Simulated nodules of various sizes and densities in the Lungman phantom were CT scanned at different levels of E (3 - 5, 1 - 3, 0.5 - 1, and &lt;0.5 mSv) and were reconstructed with different kernels (B30f, B60f, and B80f). The number of nodules and corresponding volumes in different images were detected by four AI software systems (A, B, C, and D). Sensitivity, false positives (FPs), false negatives (FNs), and relative volume error (RVE) were calculated and compared to the aspects of the E and convolution kernel. RESULTS: System B had the highest median sensitivity (100 %). The median FPs of systems B (1) and D (1) was lower than A (11.5) and C (5). System D had the smallest RVE (13.12 %). When the E was &lt;0.5 mSv, system D's sensitivity decreased, while the FPs and FNs of systems A and B increased significantly (P &lt; 0.05). When the kernel was changed from B80f to B30f, the FPs of system A decreased, while that of system C increased, and the RVE of systems A, B, and C increased (P &lt; 0.05). CONCLUSION: AI software systems B and D have high detection efficiency under normal or low dose conditions and show better stability. However, the detection efficiency of systems A and C would be affected by the E or convolution kernel, but the E would not affect the volume measurement of four systems.</t>
  </si>
  <si>
    <t>A Deep Learning System for Automated Angle-Closure Detection in Anterior Segment Optical Coherence Tomography Images</t>
  </si>
  <si>
    <t>PURPOSE: Anterior segment optical coherence tomography (AS-OCT) provides an objective imaging modality for visually identifying anterior segment structures. An automated detection system could assist ophthalmologists in interpreting AS-OCT images for the presence of angle closure. DESIGN: Development of an artificial intelligence automated detection system for the presence of angle closure. METHODS: A deep learning system for automated angle-closure detection in AS-OCT images was developed, and this was compared with another automated angle-closure detection system based on quantitative features. A total of 4135 Visante AS-OCT images from 2113 subjects (8270 anterior chamber angle images with 7375 open-angle and 895 angle-closure) were examined. The deep learning angle-closure detection system for a 2-class classification problem was tested by 5-fold cross-validation. The deep learning system and the automated angle-closure detection system based on quantitative features were evaluated against clinicians' grading of AS-OCT images as the reference standard. RESULTS: The area under the receiver operating characteristic curve of the system using quantitative features was 0.90 (95% confidence interval [CI] 0.891-0.914) with a sensitivity of 0.79 ± 0.037 and a specificity of 0.87 ± 0.009, while the area under the receiver operating characteristic curve of the deep learning system was 0.96 (95% CI 0.953-0.968) with a sensitivity of 0.90 ± 0.02 and a specificity of 0.92 ± 0.008, against clinicians' grading of AS-OCT images as the reference standard. CONCLUSIONS: The results demonstrate the potential of the deep learning system for angle-closure detection in AS-OCT images.</t>
  </si>
  <si>
    <t>Joint Optic Disc and Cup Segmentation Based on Multi-Label Deep Network and Polar Transformation</t>
  </si>
  <si>
    <t>Glaucoma is a chronic eye disease that leads to irreversible vision loss. The cup to disc ratio (CDR) plays an important role in the screening and diagnosis of glaucoma. Thus, the accurate and automatic segmentation of optic disc (OD) and optic cup (OC) from fundus images is a fundamental task. Most existing methods segment them separately, and rely on hand-crafted visual feature from fundus images. In this paper, we propose a deep learning architecture, named M-Net, which solves the OD and OC segmentation jointly in a one-stage multi-label system. The proposed M-Net mainly consists of multi-scale input layer, U-shape convolutional network, side-output layer, and multi-label loss function. The multi-scale input layer constructs an image pyramid to achieve multiple level receptive field sizes. The U-shape convolutional network is employed as the main body network structure to learn the rich hierarchical representation, while the side-output layer acts as an early classifier that produces a companion local prediction map for different scale layers. Finally, a multi-label loss function is proposed to generate the final segmentation map. For improving the segmentation performance further, we also introduce the polar transformation, which provides the representation of the original image in the polar coordinate system. The experiments show that our M-Net system achieves state-of-the-art OD and OC segmentation result on ORIGA data set. Simultaneously, the proposed method also obtains the satisfactory glaucoma screening performances with calculated CDR value on both ORIGA and SCES datasets.</t>
  </si>
  <si>
    <t>H. Fu, J. Cheng, Y. Xu, D. W. K. Wong, J. Liu and X. Cao</t>
  </si>
  <si>
    <t>Disc-Aware Ensemble Network for Glaucoma Screening From Fundus Image</t>
  </si>
  <si>
    <t>Glaucoma is a chronic eye disease that leads to irreversible vision loss. Most of the existing automatic screening methods first segment the main structure and subsequently calculate the clinical measurement for the detection and screening of glaucoma. However, these measurement-based methods rely heavily on the segmentation accuracy and ignore various visual features. In this paper, we introduce a deep learning technique to gain additional image-relevant information and screen glaucoma from the fundus image directly. Specifically, a novel disc-aware ensemble network for automatic glaucoma screening is proposed, which integrates the deep hierarchical context of the global fundus image and the local optic disc region. Four deep streams on different levels and modules are, respectively, considered as global image stream, segmentation-guided network, local disc region stream, and disc polar transformation stream. Finally, the output probabilities of different streams are fused as the final screening result. The experiments on two glaucoma data sets (SCES and new SINDI data sets) show that our method outperforms other state-of-the-art algorithms.</t>
  </si>
  <si>
    <t>H. Fu, J. Cheng, Y. Xu, C. Zhang, D. W. K. Wong, J. Liu and X. Cao</t>
  </si>
  <si>
    <t>Deep learning approaches using 2D and 3D convolutional neural networks for generating male pelvic synthetic computed tomography from magnetic resonance imaging</t>
  </si>
  <si>
    <t>PURPOSE: The improved soft tissue contrast of magnetic resonance imaging (MRI) compared to computed tomography (CT) makes it a useful imaging modality for radiotherapy treatment planning. Even when MR images are acquired for treatment planning, the standard clinical practice currently also requires a CT for dose calculation and x-ray-based patient positioning. This increases workloads, introduces uncertainty due to the required inter-modality image registrations, and involves unnecessary irradiation. While it would be beneficial to use exclusively MR images, a method needs to be employed to estimate a synthetic CT (sCT) for generating electron density maps and patient positioning reference images. We investigated 2D and 3D convolutional neural networks (CNNs) to generate a male pelvic sCT using a T1-weighted MR image and compare their performance. METHODS: A retrospective study was performed using CTs and T1-weighted MR images of 20 prostate cancer patients. CTs were deformably registered to MR images to create CT-MR pairs for training networks. The proposed 2D CNN, which contained 27 convolutional layers, was modified from the state-of-the-art 2D CNN to save computational memory and prepare for building the 3D CNN. The proposed 2D and 3D models were trained from scratch to map intensities of T1-weighted MR images to CT Hounsfield Unit (HU) values. Each sCT was generated in a fivefold cross-validation framework and compared with the corresponding deformed CT (dCT) using voxel-wise mean absolute error (MAE). The sCT geometric accuracy was evaluated by comparing bone regions, defined by thresholding at 150 HU in the dCTs and the sCTs, using dice similarity coefficient (DSC), recall, and precision. To evaluate sCT patient positioning accuracy, bone regions in dCTs and sCTs were rigidly registered to the corresponding cone-beam CTs. The resulting paired Euler transformation vectors were compared by calculating translation vector distances and absolute differences of Euler angles. Statistical tests were performed to evaluate the differences among the proposed models and Han's model. RESULTS: Generating a pelvic sCT required approximately 5.5 s using the proposed models. The average MAEs within the body contour were 40.5 ± 5.4 HU (mean ± SD) and 37.6 ± 5.1 HU for the 2D and 3D CNNs, respectively. The average DSC, recall, and precision for the bone region (thresholding the CT at 150 HU) were 0.81 ± 0.04, 0.85 ± 0.04, and 0.77 ± 0.09 for the 2D CNN, and 0.82 ± 0.04, 0.84 ± 0.04, and 0.80 ± 0.08 for the 3D CNN, respectively. For both models, mean translation vector distances are less than 0.6 mm with mean absolute differences of Euler angles less than 0.5°. CONCLUSIONS: The 2D and 3D CNNs generated accurate pelvic sCTs for the 20 patients using T1-weighted MR images. Statistical tests indicated that the proposed 3D model was able to generate sCTs with smaller MAE and higher bone region precision compared to 2D models. Results of patient alignment tests suggested that sCTs generated by the proposed CNNs can provide accurate patient positioning. The accuracy of the dose calculation using generated sCTs will be tested and compared for the proposed models in the future.</t>
  </si>
  <si>
    <t>Deep learning-based radiomic features for improving neoadjuvant chemoradiation response prediction in locally advanced rectal cancer</t>
  </si>
  <si>
    <t>Radiomic features achieve promising results in cancer diagnosis, treatment response prediction, and survival prediction. Our goal is to compare the handcrafted (explicitly designed) and deep learning (DL)-based radiomic features extracted from pre-treatment diffusion-weighted magnetic resonance images (DWIs) for predicting neoadjuvant chemoradiation treatment (nCRT) response in patients with locally advanced rectal cancer (LARC). 43 Patients receiving nCRT were included. All patients underwent DWIs before nCRT and total mesorectal excision surgery 6-12 weeks after completion of nCRT. Gross tumor volume (GTV) contours were drawn by an experienced radiation oncologist on DWIs. The patient-cohort was split into the responder group (n = 22) and the non-responder group (n = 21) based on the post-nCRT response assessed by postoperative pathology, MRI or colonoscopy. Handcrafted and DL-based features were extracted from the apparent diffusion coefficient (ADC) map of the DWI using conventional computer-aided diagnosis methods and a pre-trained convolution neural network, respectively. Least absolute shrinkage and selection operator (LASSO)-logistic regression models were constructed using extracted features for predicting treatment response. The model performance was evaluated with repeated 20 times stratified 4-fold cross-validation using receiver operating characteristic (ROC) curves and compared using the corrected paired t-test. The model built with handcrafted features achieved the mean area under the ROC curve (AUC) of 0.64, while the one built with DL-based features yielded the mean AUC of 0.73. The corrected paired t-test on AUC showed P-value &lt; 0.05. DL-based features extracted from pre-treatment DWIs achieved significantly better classification performance compared with handcrafted features for predicting nCRT response in patients with LARC.</t>
  </si>
  <si>
    <t>Hierarchical combinatorial deep learning architecture for pancreas segmentation of medical computed tomography cancer images</t>
  </si>
  <si>
    <t>BACKGROUND: Efficient computational recognition and segmentation of target organ from medical images are foundational in diagnosis and treatment, especially about pancreas cancer. In practice, the diversity in appearance of pancreas and organs in abdomen, makes detailed texture information of objects important in segmentation algorithm. According to our observations, however, the structures of previous networks, such as the Richer Feature Convolutional Network (RCF), are too coarse to segment the object (pancreas) accurately, especially the edge. METHOD: In this paper, we extend the RCF, proposed to the field of edge detection, for the challenging pancreas segmentation, and put forward a novel pancreas segmentation network. By employing multi-layer up-sampling structure replacing the simple up-sampling operation in all stages, the proposed network fully considers the multi-scale detailed contexture information of object (pancreas) to perform per-pixel segmentation. Additionally, using the CT scans, we supply and train our network, thus get an effective pipeline. RESULT: Working with our pipeline with multi-layer up-sampling model, we achieve better performance than RCF in the task of single object (pancreas) segmentation. Besides, combining with multi scale input, we achieve the 76.36% DSC (Dice Similarity Coefficient) value in testing data. CONCLUSION: The results of our experiments show that our advanced model works better than previous networks in our dataset. On the other words, it has better ability in catching detailed contexture information. Therefore, our new single object segmentation model has practical meaning in computational automatic diagnosis.</t>
  </si>
  <si>
    <t>M. Fu, W. Wu, X. Hong, Q. Liu, J. Jiang, Y. Ou, Y. Zhao and X. Gong</t>
  </si>
  <si>
    <t>BMC Syst Biol</t>
  </si>
  <si>
    <t>[Computer-aided assessment of liver fibrosis progression in patients with chronic hepatitis B: an exploratory research]</t>
  </si>
  <si>
    <t>Objective: To establish automatic liver fibrosis classification models by using traditional machine learning and deep learning methods and preliminaryly evaluate the efficiency. Methods: Gray scale ultrasound images and corresponding elastic images of 354 patients, 247 males and 107 females, mean age (54±12) years undergoing partial hepatectomy in Zhongshan Hospital of Fudan University from November 2014 to January 2016 were enrolled in this study. By using traditional machine learning and deep learning methods, an automatic classification model of liver fibrosis stages (S0 to S4) were established through feature extraction and classification of ultrasound image data sets and the accuracy in different classification categories of each model were calculated, by using liver biopsy as the reference standard. Results: Pathological examination showed 73 cases in pathological stage S0, 40 cases in S1, 49 cases in S2, 41 cases in S3, and 151 cases in S4. The traditional machine classification model based on support vector machine (SVM) classifier and sparse representation classifier and the deep learning classification model based on LeNet-5 neural network, their accuracy rates in the two categories (S0/S1/S2 and S3/S4) were 89.8%, 91.8% and 90.7% respectively; the accuracy rates in the three categories (S0/S1 and S2/S3 and S4) were 75.3%, 79.4% and 82.8% respectively; the accuracy in the three categories (S0 and S1/S2/S3 and S4) were 79.3%, 82.7% and 87.2% respectively. Conclusions: Computer-aided assessment of liver fibrosis progression in patients with chronic hepatitis B has a high accuracy, and can achieve a more detailed classification. This method is expected to be applied in the non-invasive evaluation of liver fibrosis in patients with hepatitis B in clinical work in the future.</t>
  </si>
  <si>
    <t>T. T. Fu, Z. Yao, H. Ding, Z. T. Xu, M. R. Yang, J. H. Yu and W. P. Wang</t>
  </si>
  <si>
    <t>Zhonghua Yi Xue Za Zhi</t>
  </si>
  <si>
    <t>Segmentation of histological images and fibrosis identification with a convolutional neural network</t>
  </si>
  <si>
    <t>Segmentation of histological images is one of the most crucial tasks for many biomedical analyses involving quantification of certain tissue types, such as fibrosis via Masson's trichrome staining. However, challenges are posed by the high variability and complexity of structural features in such images, in addition to imaging artifacts. Further, the conventional approach of manual thresholding is labor-intensive, and highly sensitive to inter- and intra-image intensity variations. An accurate and robust automated segmentation method is of high interest. We propose and evaluate an elegant convolutional neural network (CNN) designed for segmentation of histological images, particularly those with Masson's trichrome stain. The network comprises 11 successive convolutional - rectified linear unit - batch normalization layers. It outperformed state-of-the-art CNNs on a dataset of cardiac histological images (labeling fibrosis, myocytes, and background) with a Dice similarity coefficient of 0.947. With 100 times fewer (only 300,000) trainable parameters than the state-of-the-art, our CNN is less susceptible to overfitting, and is efficient. Additionally, it retains image resolution from input to output, captures fine-grained details, and can be trained end-to-end smoothly. To the best of our knowledge, this is the first deep CNN tailored to the problem of concern, and may potentially be extended to solve similar segmentation tasks to facilitate investigations into pathology and clinical treatment.</t>
  </si>
  <si>
    <t>X. Fu, T. Liu, Z. Xiong, B. H. Smaill, M. K. Stiles and J. Zhao</t>
  </si>
  <si>
    <t>10.1088/1361-6560/ab843e</t>
  </si>
  <si>
    <t>Deep learning in medical image registration: a review</t>
  </si>
  <si>
    <t>This paper presents a review of deep learning (DL)-based medical image registration methods. We summarized the latest developments and applications of DL-based registration methods in the medical field. These methods were classified into seven categories according to their methods, functions and popularity. A detailed review of each category was presented, highlighting important contributions and identifying specific challenges. A short assessment was presented following the detailed review of each category to summarize its achievements and future potential. We provided a comprehensive comparison among DL-based methods for lung and brain registration using benchmark datasets. Lastly, we analyzed the statistics of all the cited works from various aspects, revealing the popularity and future trend of DL-based medical image registration.</t>
  </si>
  <si>
    <t>LungRegNet: An unsupervised deformable image registration method for 4D-CT lung</t>
  </si>
  <si>
    <t>PURPOSE: To develop an accurate and fast deformable image registration (DIR) method for four-dimensional computed tomography (4D-CT) lung images. Deep learning-based methods have the potential to quickly predict the deformation vector field (DVF) in a few forward predictions. We have developed an unsupervised deep learning method for 4D-CT lung DIR with excellent performances in terms of registration accuracies, robustness, and computational speed. METHODS: A fast and accurate 4D-CT lung DIR method, namely LungRegNet, was proposed using deep learning. LungRegNet consists of two subnetworks which are CoarseNet and FineNet. As the name suggests, CoarseNet predicts large lung motion on a coarse scale image while FineNet predicts local lung motion on a fine scale image. Both the CoarseNet and FineNet include a generator and a discriminator. The generator was trained to directly predict the DVF to deform the moving image. The discriminator was trained to distinguish the deformed images from the original images. CoarseNet was first trained to deform the moving images. The deformed images were then used by the FineNet for FineNet training. To increase the registration accuracy of the LungRegNet, we generated vessel-enhanced images by generating pulmonary vasculature probability maps prior to the network prediction. RESULTS: We performed fivefold cross validation on ten 4D-CT datasets from our department. To compare with other methods, we also tested our method using separate 10 DIRLAB datasets that provide 300 manual landmark pairs per case for target registration error (TRE) calculation. Our results suggested that LungRegNet has achieved better registration accuracy in terms of TRE than other deep learning-based methods available in the literature on DIRLAB datasets. Compared to conventional DIR methods, LungRegNet could generate comparable registration accuracy with TRE smaller than 2 mm. The integration of both the discriminator and pulmonary vessel enhancements into the network was crucial to obtain high registration accuracy for 4D-CT lung DIR. The mean and standard deviation of TRE were 1.00 ± 0.53 mm and 1.59 ± 1.58 mm on our datasets and DIRLAB datasets respectively. CONCLUSIONS: An unsupervised deep learning-based method has been developed to rapidly and accurately register 4D-CT lung images. LungRegNet has outperformed its deep-learning-based peers and achieved excellent registration accuracy in terms of TRE.</t>
  </si>
  <si>
    <t>A novel MRI segmentation method using CNN-based correction network for MRI-guided adaptive radiotherapy</t>
  </si>
  <si>
    <t>PURPOSE: The purpose of this study was to expedite the contouring process for MRI-guided adaptive radiotherapy (MR-IGART), a convolutional neural network (CNN) deep-learning (DL) model is proposed to accurately segment the liver, kidneys, stomach, bowel and duodenum in 3D MR images. METHODS: Images and structure contours for 120 patients were collected retrospectively. Treatment sites included pancreas, liver, stomach, adrenal gland, and prostate. The proposed DL model contains a voxel-wise label prediction CNN and a correction network which consists of two sub-networks. The prediction CNN and sub-networks in the correction network each includes a dense block which consists of twelve densely connected convolutional layers. The correction network was designed to improve the voxel-wise labeling accuracy of a CNN by learning and enforcing implicit anatomical constraints in the segmentation process. Its sub-networks learn to fix the erroneous classification of its previous network by taking as input both the original images and the softmax probability maps generated from its previous sub-network. The parameters of each sub-network were trained independently using piecewise training. The model was trained on 100 datasets, validated on 10 datasets and tested on the remaining 10 datasets. Dice coefficient, Hausdorff distance (HD) were calculated to evaluate the segmentation accuracy. RESULTS: The proposed DL model was able to segment the organs with good accuracy. The correction network outperformed the conditional random field (CRF), a most comparable method that is usually applied as a post-processing step. For the 10 testing patients, the average Dice coefficients were 95.3 ± 0.73, 93.1 ± 2.22, 85.0 ± 3.75, 86.6 ± 2.69, and 65.5 ± 8.90 for liver, kidneys, stomach, bowel, and duodenum, respectively. The mean Hausdorff Distance (HD) were 5.41 ± 2.34, 6.23 ± 4.59, 6.88 ± 4.89, 5.90 ± 4.05, and 7.99 ± 6.84 mm, respectively. Manual contouring, as to correct the automatic segmentation results, was four times as fast as manual contouring from scratch. CONCLUSION: The proposed method can automatically segment the liver, kidneys, stomach, bowel, and duodenum in 3D MR images with good accuracy. It is useful to expedite the manual contouring for MR-IGART.</t>
  </si>
  <si>
    <t>Y. Fu, T. R. Mazur, X. Wu, S. Liu, X. Chang, Y. Lu, H. H. Li, H. Kim, M. C. Roach, L. Henke and D. Yang</t>
  </si>
  <si>
    <t>Deep model with Siamese network for viable and necrotic tumor regions assessment in osteosarcoma</t>
  </si>
  <si>
    <t>PURPOSE: To achieve automatic classification of viable and necrotic tumor regions in osteosarcoma, most of the existing deep learning methods can only design a simple model to prevent overfitting on small datasets, which leads to the weak ability of extracting image features and low accuracy of the models. In order to solve the above problem, a deep model with Siamese network (DS-Net) was designed in this paper. METHODS: The DS-Net constructed on the basis of full convolutional networks is composed of an auxiliary supervision network (ASN) and a classification network. The construction of the ASN based on the Siamese network aims to solve the problem of a small training set (the main bottleneck of deep learning in medical images). It uses paired data as the input and updates the network through combined labels. The classification network uses the features extracted by the ASN to perform accurate classification. RESULTS: Pathological diagnosis is the most accurate method to identify osteosarcoma. However, due to intraclass variation and interclass similarity, it is challenging for pathologists to accurately identify osteosarcoma. Through the experiments on hematoxylin and eosin (H&amp;E)-stained osteosarcoma histology slides, the DS-Net we constructed can achieve an average accuracy of 95.1%. Compared with existing methods, the DS-Net performs best in the test dataset. CONCLUSIONS: The DS-Net we constructed can not only effectively realize the histological classification of osteosarcoma, but also be applicable to many other medical image classification tasks affected by small datasets.</t>
  </si>
  <si>
    <t>[Application and Development Trend of Medical Image Automatic Segmentation Technology in Radiation Therapy]</t>
  </si>
  <si>
    <t>The development of medical image segmentation technology has been briefly reviewed. The applications of auto-segmentation of organs at risk and target volumes based on Atlas and deep learning in the field of radiotherapy have been introduced in detail, respectively. Then the development direction and product model for general automatic sketching tools or systems based on solid clinical data are discussed.</t>
  </si>
  <si>
    <t>Cascaded deep transfer learning on thoracic CT in COVID-19 patients treated with steroids</t>
  </si>
  <si>
    <t>Purpose: Given the recent COVID-19 pandemic and its stress on global medical resources, presented here is the development of a machine intelligent method for thoracic computed tomography (CT) to inform management of patients on steroid treatment. Approach: Transfer learning has demonstrated strong performance when applied to medical imaging, particularly when only limited data are available. A cascaded transfer learning approach extracted quantitative features from thoracic CT sections using a fine-tuned VGG19 network. The extracted slice features were axially pooled to provide a CT-scan-level representation of thoracic characteristics and a support vector machine was trained to distinguish between patients who required steroid administration and those who did not, with performance evaluated through receiver operating characteristic (ROC) curve analysis. Least-squares fitting was used to assess temporal trends using the transfer learning approach, providing a preliminary method for monitoring disease progression. Results: In the task of identifying patients who should receive steroid treatments, this approach yielded an area under the ROC curve of 0.85 ± 0.10 and demonstrated significant separation between patients who received steroids and those who did not. Furthermore, temporal trend analysis of the prediction score matched expected progression during hospitalization for both groups, with separation at early timepoints prior to convergence near the end of the duration of hospitalization. Conclusions: The proposed cascade deep learning method has strong clinical potential for informing clinical decision-making and monitoring patient treatment.</t>
  </si>
  <si>
    <t>Prediction of the human papillomavirus status in patients with oropharyngeal squamous cell carcinoma by FDG-PET imaging dataset using deep learning analysis: A hypothesis-generating study</t>
  </si>
  <si>
    <t>PURPOSE: To assess the diagnostic accuracy of imaging-based deep learning analysis to differentiate between human papillomavirus (HPV) positive and negative oropharyngeal squamous cell carcinomas (OPSCCs) using FDG-PET images. METHODS: One hundred and twenty patients with OPSCC who underwent pretreatment FDG-PET/CT were included and divided into the training 90 patients and validation 30 patients cohorts. In the training session, 2160 FDG-PET images were analyzed after data augmentation process by a deep learning technique to create a diagnostic model to discriminate between HPV-positive and HPV-negative OPSCCs. Validation cohort data were subsequently analyzed for confirmation of diagnostic accuracy in determining HPV status by the deep learning-based diagnosis model. In addition, two radiologists evaluated the validation cohort image-data to determine the HPV status based on each tumor's imaging findings. RESULTS: In deep learning analysis with training session, the diagnostic model using training dataset was successfully created. In the validation session, the deep learning diagnostic model revealed sensitivity of 0.83, specificity of 0.83, positive predictive value of 0.88, negative predictive value of 0.77, and diagnostic accuracy of 0.83, while the visual assessment by two radiologists revealed 0.78, 0.5, 0.7, 0.6, and 0.67 (reader 1), and 0.56, 0.67, 0.71, 0.5, and 0.6 (reader 2), respectively. Chi square test showed a significant difference between deep learning- and radiologist-based diagnostic accuracy (reader 1: P = 0.016, reader 2: P = 0.008). CONCLUSIONS: Deep learning diagnostic model with FDG-PET imaging data can be useful as one of supportive tools to determine the HPV status in patients with OPSCC.</t>
  </si>
  <si>
    <t>Distinction between benign and malignant breast masses at breast ultrasound using deep learning method with convolutional neural network</t>
  </si>
  <si>
    <t>PURPOSE: We aimed to use deep learning with convolutional neural network (CNN) to discriminate between benign and malignant breast mass images from ultrasound. MATERIALS AND METHODS: We retrospectively gathered 480 images of 96 benign masses and 467 images of 144 malignant masses for training data. Deep learning model was constructed using CNN architecture GoogLeNet and analyzed test data: 48 benign masses, 72 malignant masses. Three radiologists interpreted these test data. Sensitivity, specificity, accuracy, and area under the receiver operating characteristic curve (AUC) were calculated. RESULTS: The CNN model and radiologists had a sensitivity of 0.958 and 0.583-0.917, specificity of 0.925 and 0.604-0.771, and accuracy of 0.925 and 0.658-0.792, respectively. The CNN model had equal or better diagnostic performance compared to radiologists (AUC = 0.913 and 0.728-0.845, p = 0.01-0.14). CONCLUSION: Deep learning with CNN shows high diagnostic performance to discriminate between benign and malignant breast masses on ultrasound.</t>
  </si>
  <si>
    <t>T. Fujioka, K. Kubota, M. Mori, Y. Kikuchi, L. Katsuta, M. Kasahara, G. Oda, T. Ishiba, T. Nakagawa and U. Tateishi</t>
  </si>
  <si>
    <t>Jpn J Radiol</t>
  </si>
  <si>
    <t>10.3390/diagnostics10121055</t>
  </si>
  <si>
    <t>The Utility of Deep Learning in Breast Ultrasonic Imaging: A Review</t>
  </si>
  <si>
    <t>Breast cancer is the most frequently diagnosed cancer in women; it poses a serious threat to women's health. Thus, early detection and proper treatment can improve patient prognosis. Breast ultrasound is one of the most commonly used modalities for diagnosing and detecting breast cancer in clinical practice. Deep learning technology has made significant progress in data extraction and analysis for medical images in recent years. Therefore, the use of deep learning for breast ultrasonic imaging in clinical practice is extremely important, as it saves time, reduces radiologist fatigue, and compensates for a lack of experience and skills in some cases. This review article discusses the basic technical knowledge and algorithms of deep learning for breast ultrasound and the application of deep learning technology in image classification, object detection, segmentation, and image synthesis. Finally, we discuss the current issues and future perspectives of deep learning technology in breast ultrasound.</t>
  </si>
  <si>
    <t>Deep-learning-based, computer-aided classifier developed with a small dataset of clinical images surpasses board-certified dermatologists in skin tumour diagnosis</t>
  </si>
  <si>
    <t>BACKGROUND: Application of deep-learning technology to skin cancer classification can potentially improve the sensitivity and specificity of skin cancer screening, but the number of training images required for such a system is thought to be extremely large. OBJECTIVES: To determine whether deep-learning technology could be used to develop an efficient skin cancer classification system with a relatively small dataset of clinical images. METHODS: A deep convolutional neural network (DCNN) was trained using a dataset of 4867 clinical images obtained from 1842 patients diagnosed with skin tumours at the University of Tsukuba Hospital from 2003 to 2016. The images consisted of 14 diagnoses, including both malignant and benign conditions. Its performance was tested against 13 board-certified dermatologists and nine dermatology trainees. RESULTS: The overall classification accuracy of the trained DCNN was 76·5%. The DCNN achieved 96·3% sensitivity (correctly classified malignant as malignant) and 89·5% specificity (correctly classified benign as benign). Although the accuracy of malignant or benign classification by the board-certified dermatologists was statistically higher than that of the dermatology trainees (85·3% ± 3·7% and 74·4% ± 6·8%, P &lt; 0·01), the DCNN achieved even greater accuracy, as high as 92·4% ± 2·1% (P &lt; 0·001). CONCLUSIONS: We have developed an efficient skin tumour classifier using a DCNN trained on a relatively small dataset. The DCNN classified images of skin tumours more accurately than board-certified dermatologists. Collectively, the current system may have capabilities for screening purposes in general medical practice, particularly because it requires only a single clinical image for classification.</t>
  </si>
  <si>
    <t>Br J Dermatol</t>
  </si>
  <si>
    <t>10.1007/s12194-019-00552-4</t>
  </si>
  <si>
    <t>AI-based computer-aided diagnosis (AI-CAD): the latest review to read first</t>
  </si>
  <si>
    <t>The third artificial intelligence (AI) boom is coming, and there is an inkling that the speed of its evolution is quickly increasing. In games like chess, shogi, and go, AI has already defeated human champions, and the fact that it is able to achieve autonomous driving is also being realized. Under these circumstances, AI has evolved and diversified at a remarkable pace in medical diagnosis, especially in diagnostic imaging. Therefore, this commentary focuses on AI in medical diagnostic imaging and explains the recent development trends and practical applications of computer-aided detection/diagnosis using artificial intelligence, especially deep learning technology, as well as some topics surrounding it.</t>
  </si>
  <si>
    <t>H. Fujita</t>
  </si>
  <si>
    <t>Radiol Phys Technol</t>
  </si>
  <si>
    <t>Deep Learning Approach for Generating MRA Images From 3D Quantitative Synthetic MRI Without Additional Scans</t>
  </si>
  <si>
    <t>OBJECTIVES: Quantitative synthetic magnetic resonance imaging (MRI) enables synthesis of various contrast-weighted images as well as simultaneous quantification of T1 and T2 relaxation times and proton density. However, to date, it has been challenging to generate magnetic resonance angiography (MRA) images with synthetic MRI. The purpose of this study was to develop a deep learning algorithm to generate MRA images based on 3D synthetic MRI raw data. MATERIALS AND METHODS: Eleven healthy volunteers and 4 patients with intracranial aneurysms were included in this study. All participants underwent a time-of-flight (TOF) MRA sequence and a 3D-QALAS synthetic MRI sequence. The 3D-QALAS sequence acquires 5 raw images, which were used as the input for a deep learning network. The input was converted to its corresponding MRA images by a combination of a single-convolution and a U-net model with a 5-fold cross-validation, which were then compared with a simple linear combination model. Image quality was evaluated by calculating the peak signal-to-noise ratio (PSNR), structural similarity index measurements (SSIMs), and high frequency error norm (HFEN). These calculations were performed for deep learning MRA (DL-MRA) and linear combination MRA (linear-MR), relative to TOF-MRA, and compared with each other using a nonparametric Wilcoxon signed-rank test. Overall image quality and branch visualization, each scored on a 5-point Likert scale, were blindly and independently rated by 2 board-certified radiologists. RESULTS: Deep learning MRA was successfully obtained in all subjects. The mean PSNR, SSIM, and HFEN of the DL-MRA were significantly higher, higher, and lower, respectively, than those of the linear-MRA (PSNR, 35.3 ± 0.5 vs 34.0 ± 0.5, P &lt; 0.001; SSIM, 0.93 ± 0.02 vs 0.82 ± 0.02, P &lt; 0.001; HFEN, 0.61 ± 0.08 vs 0.86 ± 0.05, P &lt; 0.001). The overall image quality of the DL-MRA was comparable to that of TOF-MRA (4.2 ± 0.7 vs 4.4 ± 0.7, P = 0.99), and both types of images were superior to that of linear-MRA (1.5 ± 0.6, for both P &lt; 0.001). No significant differences were identified between DL-MRA and TOF-MRA in the branch visibility of intracranial arteries, except for ophthalmic artery (1.2 ± 0.5 vs 2.3 ± 1.2, P &lt; 0.001). CONCLUSIONS: Magnetic resonance angiography generated by deep learning from 3D synthetic MRI data visualized major intracranial arteries as effectively as TOF-MRA, with inherently aligned quantitative maps and multiple contrast-weighted images. Our proposed algorithm may be useful as a screening tool for intracranial aneurysms without requiring additional scanning time.</t>
  </si>
  <si>
    <t>Comparison of 3 deep learning neural networks for classifying the relationship between the mandibular third molar and the mandibular canal on panoramic radiographs</t>
  </si>
  <si>
    <t>OBJECTIVE: The aim of this study was to compare time and storage space requirements, diagnostic performance, and consistency among 3 image recognition convolutional neural networks (CNNs) in the evaluation of the relationships between the mandibular third molar and the mandibular canal on panoramic radiographs. STUDY DESIGN: Of 600 panoramic radiographs, 300 each were assigned to noncontact and contact groups based on the relationship between the mandibular third molar and the mandibular canal. The CNNs were trained twice by using cropped image patches with sizes of 70 × 70 pixels and 140 × 140 pixels. Time and storage space were measured for each system. Accuracy, sensitivity, specificity, and the area under the receiver operating characteristic curve (AUC) were determined. Intra-CNN and inter-CNN consistency values were calculated. RESULTS: Time and storage space requirements depended on the depth of CNN layers and number of learned parameters, respectively. The highest AUC values ranged from 0.88 to 0.93 in the CNNs created by 70 × 70 pixel patches, but there were no significant differences in diagnostic performance among any of the models with smaller patches. Intra-CNN and inter-CNN consistency values were good or very good for all CNNs. CONCLUSIONS: The size of the image patches should be carefully determined to ensure acquisition of high diagnostic performance and consistency.</t>
  </si>
  <si>
    <t>Evaluation of an artificial intelligence system for detecting vertical root fracture on panoramic radiography</t>
  </si>
  <si>
    <t>OBJECTIVES: The aim of this study was to evaluate the use of a convolutional neural network (CNN) system for detecting vertical root fracture (VRF) on panoramic radiography. METHODS: Three hundred panoramic images containing a total of 330 VRF teeth with clearly visible fracture lines were selected from our hospital imaging database. Confirmation of VRF lines was performed by two radiologists and one endodontist. Eighty percent (240 images) of the 300 images were assigned to a training set and 20% (60 images) to a test set. A CNN-based deep learning model for the detection of VRFs was built using DetectNet with DIGITS version 5.0. To defend test data selection bias and increase reliability, fivefold cross-validation was performed. Diagnostic performance was evaluated using recall, precision, and F measure. RESULTS: Of the 330 VRFs, 267 were detected. Twenty teeth without fractures were falsely detected. Recall was 0.75, precision 0.93, and F measure 0.83. CONCLUSIONS: The CNN learning model has shown promise as a tool to detect VRFs on panoramic images and to function as a CAD tool.</t>
  </si>
  <si>
    <t>[Generation of the Pseudo CT Image Based on the Deep Learning Technique Aimed for the Attenuation Correction of the PET Image]</t>
  </si>
  <si>
    <t>Computed tomography (CT) is used for the attenuation correction (AC) of [F-18] fluoro-deoxy-glucose positron emission tomography (PET) image. However, acquisition of a CT image for this purpose requires increasing the radiation dose of the patient. To generate a pseudo-image, a generative adversarial network (GAN) based on deep learning is adopted. The purpose of this study was to generate a pseudo-CT image, using a GAN, for the AC of the PET image, with the aim of reducing the dose of the patient. A set of approximately 15,000 no-AC PET and CT images was used as the training sample, and the CycleGAN was employed as the image generation model. The training samples were inputted in the CycleGAN, and the hyperparameters, i.e., the learning rate, batch size, and number of epochs were set to 0.0001, 1, and 300, respectively. A pseudo-PET image was obtained using a pseudo-CT image, which was used for the AC of the no-AC PET image. The coefficient of similarity between the real and generated pseudo-images was estimated using the peak signal-to-noise ratio (PSNR) , the structural similarity (SSIM), and the dice similarity coefficient (DSC). The average values of PSNR, SSIM, and DSC of the pseudo-CT were 31.0 dB, 0.87, and 0.89, and those of the pseudo-PET were 35.9 dB, 0.90, and 0.95, respectively. The AC for the whole-body PET image could be accomplished using the pseudo-CT image generated via the GAN. The proposed method would be established as the CT-less PET/CT examination.</t>
  </si>
  <si>
    <t>Large Scale Image Segmentation with Structured Loss Based Deep Learning for Connectome Reconstruction</t>
  </si>
  <si>
    <t>We present a method combining affinity prediction with region agglomeration, which improves significantly upon the state of the art of neuron segmentation from electron microscopy (EM) in accuracy and scalability. Our method consists of a 3D U-Net, trained to predict affinities between voxels, followed by iterative region agglomeration. We train using a structured loss based on Malis, encouraging topologically correct segmentations obtained from affinity thresholding. Our extension consists of two parts: First, we present a quasi-linear method to compute the loss gradient, improving over the original quadratic algorithm. Second, we compute the gradient in two separate passes to avoid spurious gradient contributions in early training stages. Our predictions are accurate enough that simple learning-free percentile-based agglomeration outperforms more involved methods used earlier on inferior predictions. We present results on three diverse EM datasets, achieving relative improvements over previous results of 27, 15, and 250 percent. Our findings suggest that a single method can be applied to both nearly isotropic block-face EM data and anisotropic serial sectioned EM data. The runtime of our method scales linearly with the size of the volume and achieves a throughput of $\sim$∼ 2.6 seconds per megavoxel, qualifying our method for the processing of very large datasets.</t>
  </si>
  <si>
    <t>Deep learning poised to revolutionise diagnostic imaging</t>
  </si>
  <si>
    <t>B. Furlow</t>
  </si>
  <si>
    <t>Lancet Respir Med</t>
  </si>
  <si>
    <t>THE PROJECT OF ANOTHER LOW-COST METAPHASE FINDER (SECOND REPORT-APPLICATION OF ARTIFICIAL INTELLIGENCE)</t>
  </si>
  <si>
    <t>Biological dosimetry is used to estimate individual absorbed radiation dose by quantifying an appropriate biological marker. The most popular gold-standard marker is the appearance of dicentric chromosomes in metaphase. The metaphase finder is a tool for biological dosimetry that finds metaphase cells on glass slides. The author and a software company have designed a new system and are now preparing to produce the system commercially. The metaphase finder consists of an automated microscope, a camera, and a computer. To enhance the accuracy of the system, an artificial intelligence (AI) with deep learning was tested. A total of 1709 images of the metaphase finder detected as 'metaphases' were read into a nine-layer artificial neural network to detect true metaphases. A total of 456 images were used for training, and the rest of the images were used for validation. The accuracy of AI was 0.89 for metaphases and 0.90 for non-metaphases.</t>
  </si>
  <si>
    <t>A. Furukawa</t>
  </si>
  <si>
    <t>Radiat Prot Dosimetry</t>
  </si>
  <si>
    <t>10.1109/tnnls.2017.2766168</t>
  </si>
  <si>
    <t>Deep Learning in Microscopy Image Analysis: A Survey</t>
  </si>
  <si>
    <t>Computerized microscopy image analysis plays an important role in computer aided diagnosis and prognosis. Machine learning techniques have powered many aspects of medical investigation and clinical practice. Recently, deep learning is emerging as a leading machine learning tool in computer vision and has attracted considerable attention in biomedical image analysis. In this paper, we provide a snapshot of this fast-growing field, specifically for microscopy image analysis. We briefly introduce the popular deep neural networks and summarize current deep learning achievements in various tasks, such as detection, segmentation, and classification in microscopy image analysis. In particular, we explain the architectures and the principles of convolutional neural networks, fully convolutional networks, recurrent neural networks, stacked autoencoders, and deep belief networks, and interpret their formulations or modelings for specific tasks on various microscopy images. In addition, we discuss the open challenges and the potential trends of future research in microscopy image analysis using deep learning.</t>
  </si>
  <si>
    <t>IEEE Trans Neural Netw Learn Syst</t>
  </si>
  <si>
    <t>Glaucoma Assessment from OCT images using Capsule Network</t>
  </si>
  <si>
    <t>Optical coherence tomographic (OCT) images provide valuable information for understanding the changes occurring in the retina due to glaucoma, specifically, related to the retinal nerve fiber layer and the optic nerve head. In this paper, we propose a deep learning approach using Capsule network for glaucoma classification, which directly operates on 3D OCT volumes. The network is trained only on labelled volumes and does not attempt any region/structure segmentation. The proposed network was assessed on 50 volumes and found to achieve 0.97 for the area under the ROC curve (AUC). This is considerably higher than the existing approaches which are majorly based on machine learning or rely on segmentation of the required structures from OCT. Our network also outperforms 3D convolutional neural networks despite the fewer network parameters and fewer epochs needed for training.</t>
  </si>
  <si>
    <t>Automated classification of celiac disease during upper endoscopy: Status quo and quo vadis</t>
  </si>
  <si>
    <t>A large amount of digital image material is routinely captured during esophagogastroduodenoscopies but, for the most part, is not used for confirming the diagnosis process of celiac disease which is primarily based on histological examination of biopsies. Recently, considerable effort has been undertaken to make use of image material by developing semi- or fully-automated systems to improve the diagnostic workup. Recently, focus was especially laid on developing state-of-the-art deep learning architectures, exploiting the endoscopist's expert knowledge and on making systems fully automated and thereby completely observer independent. In this work, we summarize recent trends in the field of computer-aided celiac disease diagnosis based on upper endoscopy and discuss about recent progress, remaining challenges, limitations currently prohibiting a deployment in clinical practice and future efforts to tackle them.</t>
  </si>
  <si>
    <t>Fully automated radiological analysis of spinal disorders and deformities: a deep learning approach</t>
  </si>
  <si>
    <t>PURPOSE: We present an automated method for extracting anatomical parameters from biplanar radiographs of the spine, which is able to deal with a wide scenario of conditions, including sagittal and coronal deformities, degenerative phenomena as well as images acquired with different fields of view. METHODS: The location of 78 landmarks (end plate centers, hip joint centers, and margins of the S1 end plate) was extracted from three-dimensional reconstructions of 493 spines of patients suffering from various disorders, including adolescent idiopathic scoliosis, adult deformities, and spinal stenosis. A fully convolutional neural network featuring an additional differentiable spatial to numerical (DSNT) layer was trained to predict the location of each landmark. The values of some parameters (T4-T12 kyphosis, L1-L5 lordosis, Cobb angle of scoliosis, pelvic incidence, sacral slope, and pelvic tilt) were then calculated based on the landmarks' locations. A quantitative comparison between the predicted parameters and the ground truth was performed on a set of 50 patients. RESULTS: The spine shape predicted by the models was perceptually convincing in all cases. All predicted parameters were strongly correlated with the ground truth. However, the standard errors of the estimated parameters ranged from 2.7° (for the pelvic tilt) to 11.5° (for the L1-L5 lordosis). CONCLUSIONS: The proposed method is able to automatically determine the spine shape in biplanar radiographs and calculate anatomical and posture parameters in a wide scenario of clinical conditions with a very good visual performance, despite limitations highlighted by the statistical analysis of the results. These slides can be retrieved under Electronic Supplementary Material.</t>
  </si>
  <si>
    <t>Eur Spine J</t>
  </si>
  <si>
    <t>10.1097/icu.0000000000000542</t>
  </si>
  <si>
    <t>Cataract grading systems: a review of past and present</t>
  </si>
  <si>
    <t>PURPOSE OF REVIEW: To provide a comprehensive summary of past cataract grading systems, how they have shaped current grading systems, and the developing technologies that are being used to assess and grade cataracts. RECENT FINDINGS: This summary of cataract grading systems examines the development and limitations that existed in past grading systems and how they have shaped the grading systems of present time. The Lens Opacities Classification System III (LOCS III) system is currently used both clinically and for research purposes. Recent advancements in imaging technologies have allowed researchers to create automatic systems that can locate lens landmarks and provide cataract grading scores that correlate well with LOCS III clinical grades. Utilizing existing technologies, researchers demonstrate that fundus photography and optical coherence tomography can be used as cataract grading tools. Lastly, deep learning has proved to be a powerful tool that can provide objective and reproducible cataract grading scores. SUMMARY: Cataract grading schemes have provided ophthalmologists with a way to communicate clinical findings and to compare new developments in diagnostic technologies. As technologies advance, cataract grading can become more objective and standardized, allowing for improved patient care.</t>
  </si>
  <si>
    <t>A fast and scalable method for quality assurance of deformable image registration on lung CT scans using convolutional neural networks</t>
  </si>
  <si>
    <t>PURPOSE: To develop and evaluate a method to automatically identify and quantify deformable image registration (DIR) errors between lung computed tomography (CT) scans for quality assurance (QA) purposes. METHODS: We propose a deep learning method to flag registration errors. The method involves preparation of a dataset for machine learning model training and testing, design of a three-dimensional (3D) convolutional neural network architecture that classifies registrations into good or poor classes, and evaluation of a metric called registration error index (REI) which provides a quantitative measure of registration error. RESULTS: Our study shows that, despite having limited number of training images available (10 CT scan pairs for training and 17 CT scan pairs for testing), the method achieves 0.882 AUC-ROC on the test dataset. Furthermore, the combined standard uncertainty of the estimated REI by our model lies within ± 0.11 (± 11% of true REI value), with a confidence level of approximately 68%. CONCLUSIONS: We have developed and evaluated our method using original clinical registrations without generating any synthetic/simulated data. Moreover, test data were acquired from a different environment than that of training data, so that the method was validated robustly. The results of this study showed that our algorithm performs reasonably well in challenging scenarios.</t>
  </si>
  <si>
    <t>Precise Pollen Grain Detection in Bright Field Microscopy Using Deep Learning Techniques</t>
  </si>
  <si>
    <t>The determination of daily concentrations of atmospheric pollen is important in the medical and biological fields. Obtaining pollen concentrations is a complex and time-consuming task for specialized personnel. The automatic location of pollen grains is a handicap due to the high complexity of the images to be processed, with polymorphic and clumped pollen grains, dust, or debris. The purpose of this study is to analyze the feasibility of implementing a reliable pollen grain detection system based on a convolutional neural network architecture, which will be used later as a critical part of an automated pollen concentration estimation system. We used a training set of 251 videos to train our system. As the videos record the process of focusing the samples, this system makes use of the 3D information presented by several focal planes. Besides, a separate set of 135 videos (containing 1234 pollen grains of 11 pollen types) was used to evaluate detection performance. The results are promising in detection (98.54% of recall and 99.75% of precision) and location accuracy (0.89 IoU as the average value). These results suggest that this technique can provide a reliable basis for the development of an automated pollen counting system.</t>
  </si>
  <si>
    <t>Artificial intelligence detection of distal radius fractures: a comparison between the convolutional neural network and professional assessments</t>
  </si>
  <si>
    <t>Background and purpose - Artificial intelligence has rapidly become a powerful method in image analysis with the use of convolutional neural networks (CNNs). We assessed the ability of a CNN, with a fast object detection algorithm previously identifying the regions of interest, to detect distal radius fractures (DRFs) on anterior-posterior (AP) wrist radiographs. Patients and methods - 2,340 AP wrist radiographs from 2,340 patients were enrolled in this study. We trained the CNN to analyze wrist radiographs in the dataset. Feasibility of the object detection algorithm was evaluated by intersection of the union (IOU). The diagnostic performance of the network was measured by area under the receiver operating characteristics curve (AUC), accuracy, sensitivity, specificity, and Youden Index; the results were compared with those of medical professional groups. Results - The object detection model achieved a high average IOU, and none of the IOUs had a value less than 0.5. The AUC of the CNN for this test was 0.96. The network had better performance in distinguishing images with DRFs from normal images compared with a group of radiologists in terms of the accuracy, sensitivity, specificity, and Youden Index. The network presented a similar diagnostic performance to that of the orthopedists in terms of these variables. Interpretation - The network exhibited a diagnostic ability similar to that of the orthopedists and a performance superior to that of the radiologists in distinguishing AP wrist radiographs with DRFs from normal images under limited conditions. Further studies are required to determine the feasibility of applying our method as an auxiliary in clinical practice under extended conditions.</t>
  </si>
  <si>
    <t>K. Gan, D. Xu, Y. Lin, Y. Shen, T. Zhang, K. Hu, K. Zhou, M. Bi, L. Pan, W. Wu and Y. Liu</t>
  </si>
  <si>
    <t>10.1055/s-0038-1667083</t>
  </si>
  <si>
    <t>Deep Learning on 1-D Biosignals: a Taxonomy-based Survey</t>
  </si>
  <si>
    <t>OBJECTIVES:  Deep learning models such as convolutional neural networks (CNNs) have been applied successfully to medical imaging, but biomedical signal analysis has yet to fully benefit from this novel approach. Our survey aims at (i) reviewing deep learning techniques for biosignal analysis in computer- aided diagnosis; and (ii) deriving a taxonomy for organizing the growing number of applications in the field. METHODS:  A comprehensive literature research was performed using PubMed, Scopus, and ACM. Deep learning models were classified with respect to the (i) origin, (ii) dimension, and (iii) type of the biosignal as input to the deep learning model; (iv) the goal of the application; (v) the size and (vi) type of ground truth data; (vii) the type and (viii) schedule of learning the network; and (ix) the topology of the model. RESULTS:  Between January 2010 and December 2017, a total 71 papers were published on the topic. The majority (n = 36) of papers are on electrocariography (ECG) signals. Most applications (n = 25) aim at detection of patterns, while only a few (n = 6) at predection of events. Out of 36 ECG-based works, many (n = 17) relate to multi-lead ECG. Other biosignals that have been identified in the survey are electromyography, phonocardiography, photoplethysmography, electrooculography, continuous glucose monitoring, acoustic respiratory signal, blood pressure, and electrodermal activity signal, while ballistocardiography or seismocardiography have yet to be analyzed using deep learning techniques. In supervised and unsupervised applications, CNNs and restricted Boltzmann machines are the most and least frequently used, (n = 34) and (n = 15), respectively. CONCLUSION:  Our key-code classification of relevant papers was used to cluster the approaches that have been published to date and demonstrated a large variability of research with respect to data, application, and network topology. Future research is expected to focus on the standardization of deep learning architectures and on the optimization of the network parameters to increase performance and robustness. Furthermore, application-driven approaches and updated training data from mobile recordings are needed.</t>
  </si>
  <si>
    <t>N. Ganapathy, R. Swaminathan and T. M. Deserno</t>
  </si>
  <si>
    <t>Removing segmentation inconsistencies with semi-supervised non-adjacency constraint</t>
  </si>
  <si>
    <t>The advent of deep learning has pushed medical image analysis to new levels, rapidly replacing more traditional machine learning and computer vision pipelines. However segmenting and labelling anatomical regions remains challenging owing to appearance variations, imaging artifacts, the paucity and variability of annotated data, and the difficulty of fully exploiting domain constraints such as anatomical knowledge about inter-region relationships. We address the last point, improving the network's region-labeling consistency by introducing NonAdjLoss, an adjacency-graph based auxiliary training loss that penalizes outputs containing regions with anatomically-incorrect adjacency relationships. NonAdjLoss supports both fully-supervised training and a semi-supervised extension in which it is applied to unlabeled supplementary training data. The approach substantially reduces segmentation anomalies on the MICCAI-2012, IBSRv2 brain MRI datasets and the Anatomy3 whole body CT dataset, especially when semi-supervised training is included.</t>
  </si>
  <si>
    <t>P. A. Ganaye, M. Sdika, B. Triggs and H. Benoit-Cattin</t>
  </si>
  <si>
    <t>10.1111/echo.14086</t>
  </si>
  <si>
    <t>Automation, machine learning, and artificial intelligence in echocardiography: A brave new world</t>
  </si>
  <si>
    <t>Automation, machine learning, and artificial intelligence (AI) are changing the landscape of echocardiography providing complimentary tools to physicians to enhance patient care. Multiple vendor software programs have incorporated automation to improve accuracy and efficiency of manual tracings. Automation with longitudinal strain and 3D echocardiography has shown great accuracy and reproducibility allowing the incorporation of these techniques into daily workflow. This will give further experience to nonexpert readers and allow the integration of these essential tools into more echocardiography laboratories. The potential for machine learning in cardiovascular imaging is still being discovered as algorithms are being created, with training on large data sets beyond what traditional statistical reasoning can handle. Deep learning when applied to large image repositories will recognize complex relationships and patterns integrating all properties of the image, which will unlock further connections about the natural history and prognosis of cardiac disease states. The purpose of this review article was to describe the role and current use of automation, machine learning, and AI in echocardiography and discuss potential limitations and challenges of in the future.</t>
  </si>
  <si>
    <t>Echocardiography</t>
  </si>
  <si>
    <t>MuDeRN: Multi-category classification of breast histopathological image using deep residual networks</t>
  </si>
  <si>
    <t>MOTIVATION: Identifying carcinoma subtype can help to select appropriate treatment options and determining the subtype of benign lesions can be beneficial to estimate the patients' risk of developing cancer in the future. Pathologists' assessment of lesion subtypes is considered as the gold standard, however, sometimes strong disagreements among pathologists for distinction among lesion subtypes have been previously reported in the literature. OBJECTIVE: To propose a framework for classifying hematoxylin-eosin stained breast digital slides either as benign or cancer, and then categorizing cancer and benign cases into four different subtypes each. MATERIALS AND METHODS: We used data from a publicly available database (BreakHis) of 81 patients where each patient had images at four magnification factors (×40, ×100, ×200, and ×400) available, for a total of 7786 images. The proposed framework, called MuDeRN (MUlti-category classification of breast histopathological image using DEep Residual Networks) consisted of two stages. In the first stage, for each magnification factor, a deep residual network (ResNet) with 152 layers has been trained for classifying patches from the images as benign or malignant. In the next stage, the images classified as malignant were subdivided into four cancer subcategories and those categorized as benign were classified into four subtypes. Finally, the diagnosis for each patient was made by combining outputs of ResNets' processed images in different magnification factors using a meta-decision tree. RESULTS: For the malignant/benign classification of images, MuDeRN's first stage achieved correct classification rates (CCR) of 98.52%, 97.90%, 98.33%, and 97.66% in ×40, ×100, ×200, and ×400 magnification factors respectively. For eight-class categorization of images based on the output of MuDeRN's both stages, CCRs in four magnification factors were 95.40%, 94.90%, 95.70%, and 94.60%. Finally, for making patient-level diagnosis, MuDeRN achieved a CCR of 96.25% for eight-class categorization. CONCLUSIONS: MuDeRN can be helpful in the categorization of breast lesions.</t>
  </si>
  <si>
    <t>Z. Gandomkar, P. C. Brennan and C. Mello-Thoms</t>
  </si>
  <si>
    <t>Visual search in breast imaging</t>
  </si>
  <si>
    <t>Breast cancer is the most common cancer among females worldwide and large volumes of breast images are produced and interpreted annually. As long as radiologists interpret these images, the diagnostic accuracy will be limited by human factors and both false-positive and false-negative errors might occur. By understanding visual search in breast images, we may be able to identify causes of diagnostic errors, find ways to reduce them, and also provide a better education to radiology residents. Many visual search studies in breast radiology have been devoted to mammography. These studies showed that 70% of missed lesions on mammograms attract radiologists' visual attention and that a plethora of different reasons, such as satisfaction of search, incorrect background sampling, and incorrect first impression can cause diagnostic errors in the interpretation of mammograms. Recently, highly accurate tools, which rely on both eye-tracking data and the content of the mammogram, have been proposed to provide feedback to the radiologists. Improving these tools and determining the optimal pathway to integrate them in the radiology workflow could be a possible line of future research. Moreover, in the past few years deep learning has led to improving diagnostic accuracy of computerized diagnostic tools and visual search studies will be required to understand how radiologists interact with the prompts from these tools, and to identify the best way to utilize them. Visual search in other breast imaging modalities, such as breast ultrasound and digital breast tomosynthesis, have so far received less attention, probably due to associated complexities of eye-tracking monitoring and analysing the data. For example, in digital breast tomosynthesis, scrolling through the image results in longer trials, adds a new factor to the study's complexity and makes calculation of gaze parameters more difficult. However, considering the wide utilization of three-dimensional imaging modalities, more visual search studies involving reading stack-view examinations are required in the future. To conclude, in the past few decades visual search studies provided extensive understanding about underlying reasons for diagnostic errors in breast radiology and characterized differences between experts' and novices' visual search patterns. Further visual search studies are required to investigate radiologists' interaction with relatively newer imaging modalities and artificial intelligence tools.</t>
  </si>
  <si>
    <t>Deep Residual Inception Encoder-Decoder Network for Medical Imaging Synthesis</t>
  </si>
  <si>
    <t>Image synthesis is a novel solution in precision medicine for scenarios where important medical imaging is not otherwise available. The convolutional neural network (CNN) is an ideal model for this task because of its powerful learning capabilities through the large number of layers and trainable parameters. In this research, we propose a new architecture of residual inception encoder-decoder neural network (RIED-Net) to learn the nonlinear mapping between the input images and targeting output images. To evaluate the validity of the proposed approach, it is compared with two models from the literature: synthetic CT deep convolutional neural network (sCT-DCNN) and shallow CNN, using both an institutional mammogram dataset from Mayo Clinic Arizona and a public neuroimaging dataset from the Alzheimer's Disease Neuroimaging Initiative. Experimental results show that the proposed RIED-Net outperforms the two models on both datasets significantly in terms of structural similarity index, mean absolute percent error, and peak signal-to-noise ratio.</t>
  </si>
  <si>
    <t>SD-CNN: A shallow-deep CNN for improved breast cancer diagnosis</t>
  </si>
  <si>
    <t>Breast cancer is the second leading cause of cancer death among women worldwide. Nevertheless, it is also one of the most treatable malignances if detected early. Screening for breast cancer with full field digital mammography (FFDM) has been widely used. However, it demonstrates limited performance for women with dense breasts. An emerging technology in the field is contrast-enhanced digital mammography (CEDM), which includes a low energy (LE) image similar to FFDM, and a recombined image leveraging tumor neoangiogenesis similar to breast magnetic resonance imaging (MRI). CEDM has shown better diagnostic accuracy than FFDM. While promising, CEDM is not yet widely available across medical centers. In this research, we propose a Shallow-Deep Convolutional Neural Network (SD-CNN) where a shallow CNN is developed to derive virtual recombined images from LE images, and a deep CNN is employed to extract novel features from LE, recombined or virtual recombined images for ensemble models to classify the cases as benign vs. cancer. To evaluate the validity of our approach, we first develop a deep-CNN using 49 CEDM cases collected from Mayo Clinic to prove the contributions from recombined images for improved breast cancer diagnosis (0.85 in accuracy, 0.84 in AUC using LE imaging vs. 0.89 in accuracy, 0.91 in AUC using both LE and recombined imaging). We then develop a shallow-CNN using the same 49 CEDM cases to learn the nonlinear mapping from LE to recombined images. Next, we use 89 FFDM cases from INbreast, a public database to generate virtual recombined images. Using FFDM alone provides 0.84 in accuracy (AUC = 0.87), whereas SD-CNN improves the diagnostic accuracy to 0.90 (AUC = 0.92).</t>
  </si>
  <si>
    <t>F. Gao, T. Wu, J. Li, B. Zheng, L. Ruan, D. Shang and B. Patel</t>
  </si>
  <si>
    <t>AD-NET: Age-adjust neural network for improved MCI to AD conversion prediction</t>
  </si>
  <si>
    <t>The prediction of Mild Cognitive Impairment (MCI) patients who are at higher risk converting to Alzheimer's Disease (AD) is critical for effective intervention and patient selection in clinical trials. Different biomarkers including neuroimaging have been developed to serve the purpose. With extensive methodology development efforts on neuroimaging, an emerging field is deep learning research. One great challenge facing deep learning is the limited medical imaging data available. To address the issue, researchers explore the use of transfer learning to extend the applicability of deep models on neuroimaging research for AD diagnosis and prognosis. Existing transfer learning models mostly focus on transferring the features from the pre-training into the fine-tuning stage. Recognizing the advantages of the knowledge gained during the pre-training, we propose an AD-NET (Age-adjust neural network) with the pre-training model serving two purposes: extracting and transferring features; and obtaining and transferring knowledge. Specifically, the knowledge being transferred in this research is an age-related surrogate biomarker. To evaluate the effectiveness of the proposed approach, AD-NET is compared with 8 classification models from literature using the same public neuroimaging dataset. Experimental results show that the proposed AD-NET outperforms the competing models in predicting the MCI patients at risk for conversion to the AD stage.</t>
  </si>
  <si>
    <t>10.3934/mbe.2019326</t>
  </si>
  <si>
    <t>Convolutional neural networks for computer-aided detection or diagnosis in medical image analysis: An overview</t>
  </si>
  <si>
    <t>Computer-aided detection or diagnosis (CAD) has been a promising area of research over the last two decades. Medical image analysis aims to provide a more efficient diagnostic and treatment process for the radiologists and clinicians. However, with the development of science and technology, data interpretation manually in the conventional CAD systems has gradually become a challenging task. Deep learning methods, especially convolutional neural networks (CNNs), are successfully used as tools to solve this problem. This includes applications such as breast cancer diagnosis, lung nodule detection and prostate cancer localization. In this overview, the current state-of-the-art medical image analysis techniques in CAD research are presented, which focus on the convolutional neural network (CNN) based methods. The commonly used medical image databases in literature are also listed. It is anticipated that this paper can provide researchers in radiomics, precision medicine, and imaging grouping with a systematic picture of the CNN-based methods used in CAD research.</t>
  </si>
  <si>
    <t>Math Biosci Eng</t>
  </si>
  <si>
    <t>Lung Nodule Detection using Convolutional Neural Networks with Transfer Learning on CT Images</t>
  </si>
  <si>
    <t>AIM AND OBJECTIVE: Lung nodule detection is critical in improving the five-year survival rate and reducing mortality for patients with lung cancer. Numerous methods based on convolutional neural networks (CNNs) have been proposed for lung nodule detection in computed tomography (CT) images. With the collaborative development of computer hardware technology, the detection accuracy and efficiency can still be improved. MATERIALS AND METHODS: In this study, an automatic lung nodule detection method using CNNs with transfer learning is presented. We first compare three of the state-of-the-art convolutional neural network (CNN) models, namely, VGG16, VGG19 and ResNet50, to determine the most suitable model for lung nodule detection. We then utilize two different training strategies, namely, freezing layers and fine-tuning, to illustrate the effectiveness of transfer learning. Furthermore, the hyper-parameters of the CNN model such as optimizer, batch size and epoch are optimized. RESULTS: Evaluated on the Lung Nodule Analysis 2016 (LUNA16) challenge, promising results with an accuracy of 96.86%, a precision of 91.10%, a sensitivity of 90.78%, a specificity of 98.13%, and an AUC of 99.37% are achieved. CONCLUSION: Compared with other works, state-of-the-art specificity is obtained, which demonstrates that the proposed method is effective and applicable to lung nodule detection.</t>
  </si>
  <si>
    <t>Comb Chem High Throughput Screen</t>
  </si>
  <si>
    <t>Double-branched and area-constraint fully convolutional networks for automated serous retinal detachment segmentation in SD-OCT images</t>
  </si>
  <si>
    <t>BACKGROUND AND OBJECTIVE: Quantitative assessment of subretinal fluid in spectral domain optical coherence tomography (SD-OCT) images is crucial for the diagnosis of central serous chorioretinopathy. For the subretinal fluid segmentation, the traditional methods need to segment retinal layers and then segment subretinal fluid. The layer segmentation has a high influence on subretinal fluid segmentation, so we aim to develop a deep learning model to segment subretinal fluid automatically without layer segmentation. METHODS: In this paper, we propose a novel image-to-image double-branched and area-constraint fully convolutional networks (DA-FCN) for segmenting subretinal fluid in SD-OCT images. Firstly, the dataset is extended by mirroring image, which helps to overcome the over-fitting problem in the training stage. Then, double-branched structures are designed to learn the shallow coarse and deep representations from the SD-OCT images. DA-FCN model is directly trained using the image and corresponding pixel-based ground truth. Finally, we introduce a novel supervision mechanism by jointing the area loss L(A) with the softmax loss L(S) to learn more representative features. RESULTS: The testing dataset with 52 SD-OCT volumes from 35 eyes of 35 patients is used for the evaluation of the proposed algorithm based on the cross-validation method. For the three criterions, including the true positive volume fraction, dice similarity coefficient, and positive predicative value, our method can obtain the results of (1) 94.3, 95.3, and 96.4 for dataset 1; (2) 97.3, 95.3, and 93.4 for dataset 2; (3) 93.0, 92.8, and 92.8 for dataset 3; (4) 89.7, 90.1, and 92.6 for dataset 4. CONCLUSION: In this work, we propose a novel fully convolutional network for the automatic segmentation of the subretinal fluid. By constructing the double branched structures and area constraint term, our method shows higher segmentation accuracy without layer segmentation compared with other methods.</t>
  </si>
  <si>
    <t>K. Gao, S. Niu, Z. Ji, M. Wu, Q. Chen, R. Xu, S. Yuan, W. Fan, Y. Chen and J. Dong</t>
  </si>
  <si>
    <t>Response score of deep learning for out-of-distribution sample detection of medical images</t>
  </si>
  <si>
    <t>Deep learning Convolutional Neural Networks have achieved remarkable performance in a variety of classification tasks. The data-driven nature of deep learning indicates that a model behaves in response to the data used to train the model, and the quality of datasets may lead to substantial influence on the model's performance, especially when dealing with complicated clinical images. In this paper, we propose a simple and novel method to investigate and quantify a deep learning model's response with respect to a given sample, allowing us to detect out-of-distribution samples based on a newly proposed metric, Response Score. The key idea is that samples belonging to different classes may have different degrees of influence on a model. We quantify the resulting consequence of a single sample to a trained-model and relate the quantitative measure of the consequence (by the Response Score) to detect the out-of-distribution samples. The proposed method can find multiple applications such as (1) recognizing abnormal samples, (2) detecting mixed-domain data, and (3) identifying mislabeled data. We present extensive experiments on the three different applications using four biomedical imaging datasets. Experimental results show that our method exhibits remarkable performance and outperforms the compared methods.</t>
  </si>
  <si>
    <t>Handling imbalanced medical image data: A deep-learning-based one-class classification approach</t>
  </si>
  <si>
    <t>In clinical settings, a lot of medical image datasets suffer from the imbalance problem which hampers the detection of outliers (rare health care events), as most classification methods assume an equal occurrence of classes. In this way, identifying outliers in imbalanced datasets has become a crucial issue. To help address this challenge, one-class classification, which focuses on learning a model using samples from only a single given class, has attracted increasing attention. Previous one-class modeling usually uses feature mapping or feature fitting to enforce the feature learning process. However, these methods are limited for medical images which usually have complex features. In this paper, a novel method is proposed to enable deep learning models to optimally learn single-class-relevant inherent imaging features by leveraging the concept of imaging complexity. We investigate and compare the effects of simple but effective perturbing operations applied to images to capture imaging complexity and to enhance feature learning. Extensive experiments are performed on four clinical datasets to show that the proposed method outperforms four state-of-the-art methods.</t>
  </si>
  <si>
    <t>Deep learning for World Health Organization grades of pancreatic neuroendocrine tumors on contrast-enhanced magnetic resonance images: a preliminary study</t>
  </si>
  <si>
    <t>PURPOSE: The World Health Organization (WHO) grading system of pancreatic neuroendocrine tumor (PNET) plays an important role in the clinical decision. The rarity of PNET often negatively affects the radiological application of deep learning algorithms due to the low availability of radiological images. We tried to investigate the feasibility of predicting WHO grades of PNET on contrast-enhanced magnetic resonance (MR) images by deep learning algorithms. MATERIALS AND METHODS: Ninety-six patients with PNET underwent preoperative contrast-enhanced MR imaging. Fivefold cross-validation was used in which five iterations of training and validation were performed. Within every iteration, on the training set augmented by synthetic images generated from generative adversarial network (GAN), a convolutional neural network (CNN) was trained and its performance was evaluated on the paired internal validation set. Finally, the trained CNNs from cross-validation and their averaged counterpart were separately assessed on another ten patients from a different external validation set. RESULTS: Averaging the results across the five iterations in the cross-validation, for the CNN model, the average accuracy was 85.13% ± 0.44% and micro-average AUC was 0.9117 ± 0.0053. Evaluated on the external validation set, the average accuracy of the five trained CNNs ranges between 79.08 and 82.35%, and the range of micro-average AUC was between 0.8825 and 0.8932. The average accuracy and micro-average AUC of the averaged CNN were 81.05% and 0.8847, respectively. CONCLUSION: Synthetic images generated from GAN could be used to alleviate the difficulty of radiological image collection for uncommon disease like PNET. With the help of GAN, the CNN showed the potential to predict the WHO grades of PNET on contrast-enhanced MR images.</t>
  </si>
  <si>
    <t>Classification of CT brain images based on deep learning networks</t>
  </si>
  <si>
    <t>While computerised tomography (CT) may have been the first imaging tool to study human brain, it has not yet been implemented into clinical decision making process for diagnosis of Alzheimer's disease (AD). On the other hand, with the nature of being prevalent, inexpensive and non-invasive, CT does present diagnostic features of AD to a great extent. This study explores the significance and impact on the application of the burgeoning deep learning techniques to the task of classification of CT brain images, in particular utilising convolutional neural network (CNN), aiming at providing supplementary information for the early diagnosis of Alzheimer's disease. Towards this end, three categories of CT images (N = 285) are clustered into three groups, which are AD, lesion (e.g. tumour) and normal ageing. In addition, considering the characteristics of this collection with larger thickness along the direction of depth (z) (~3-5 mm), an advanced CNN architecture is established integrating both 2D and 3D CNN networks. The fusion of the two CNN networks is subsequently coordinated based on the average of Softmax scores obtained from both networks consolidating 2D images along spatial axial directions and 3D segmented blocks respectively. As a result, the classification accuracy rates rendered by this elaborated CNN architecture are 85.2%, 80% and 95.3% for classes of AD, lesion and normal respectively with an average of 87.6%. Additionally, this improved CNN network appears to outperform the others when in comparison with 2D version only of CNN network as well as a number of state of the art hand-crafted approaches. As a result, these approaches deliver accuracy rates in percentage of 86.3, 85.6 ± 1.10, 86.3 ± 1.04, 85.2 ± 1.60, 83.1 ± 0.35 for 2D CNN, 2D SIFT, 2D KAZE, 3D SIFT and 3D KAZE respectively. The two major contributions of the paper constitute a new 3-D approach while applying deep learning technique to extract signature information rooted in both 2D slices and 3D blocks of CT images and an elaborated hand-crated approach of 3D KAZE.</t>
  </si>
  <si>
    <t>X. W. Gao, R. Hui and Z. Tian</t>
  </si>
  <si>
    <t>Prediction of Multidrug-Resistant TB from CT Pulmonary Images Based on Deep Learning Techniques</t>
  </si>
  <si>
    <t>While tuberculosis (TB) disease was discovered more than a century ago, it has not been eradicated yet. Quite contrary, at present, TB constitutes one of the top 10 causes of death and has shown signs of increasing. To complement the conventional diagnostic procedure of applying microbiological culture that takes several weeks and remains expensive, high resolution computer tomography (CT) of pulmonary images has been resorted to not only for aiding clinicians to expedite the process of diagnosis but also for monitoring prognosis when administering antibiotic drugs. This research undertakes the investigation of predicting multidrug-resistant (MDR) patients from drug-sensitive (DS) ones based on CT lung images to monitor the effectiveness of treatment. To contend with smaller data sets (i.e., hundreds) and the characteristics of CT TB images with limited regions capturing abnormities, patch-based deep convolutional neural network (CNN) allied to support vector machine (SVM) classifier is implemented on a collection of data sets from 230 patients obtained from the ImageCLEF 2017 competition. As a result, the proposed architecture of CNN + SVM + patch performs the best with classification accuracy rate at 91.11% (79.80% in terms of patches). In addition, a hand-crafted SIFT based approach accomplishes 88.88% in terms of subject and 83.56% with reference to patches, the highest in this study, which can be explained away by the fact that the data sets are in small numbers. Significantly, during the Tuberculosis Competition at ImageCLEF 2017, the authors took part in the task of classification of 5 types of TB disease and achieved the top one with regard to averaged classification accuracy (i.e., ACC = 0.4067), which is also premised on the approach of CNN + SVM + patch. On the other hand, when the whole slices of 3D TB data sets are applied to train a CNN network, the best result is achieved through the application of CNN coupled with orderless pooling and SVM at 64.71% accuracy rate.</t>
  </si>
  <si>
    <t>X. W. Gao and Y. Qian</t>
  </si>
  <si>
    <t>Mol Pharm</t>
  </si>
  <si>
    <t>10.1007/s11548-019-02040-x</t>
  </si>
  <si>
    <t>Deep learning-based digital subtraction angiography image generation</t>
  </si>
  <si>
    <t>PURPOSE: Digital subtraction angiography (DSA) is a powerful technique for diagnosing cardiovascular disease. In order to avoid image artifacts caused by patient movement during imaging, we take deep learning-based methods to generate DSA image from single live image without the mask image. METHODS: Conventional clinical DSA datasets are acquired with a standard injection protocol. More than 600 sequences obtained from more than 100 subjects were used for head and leg experiments. Here, the residual dense block (RDB) is adopted to generate DSA image from single live image directly, and RDBs can extract high-level features by dense connected layers. To obtain better vessel details, a supervised generative adversarial network strategy is also used in the training stage. RESULTS: The human head and leg experiments show that the deep learning methods can generate DSA image from single live image, and our method can do better than other models. Specifically, the DSA image generating with our method contains less artifact and is suitable for diagnosis. We use metrics including PSNR, SSIM and FSIM, which can reach 23.731, 0.877 and 0.8946 on the head dataset and 26.555, 0.870 and 0.9284 on the leg dataset. CONCLUSIONS: The experiment results show the model can extract the vessels from the single live image, thus avoiding the image artifacts obtained by subtracting the live image and the mask image. And our method has a better performance than other methods we have tried on this task.</t>
  </si>
  <si>
    <t>Decoding Brain States From fMRI Signals by Using Unsupervised Domain Adaptation</t>
  </si>
  <si>
    <t>With the development of deep learning in medical image analysis, decoding brain states from functional magnetic resonance imaging (fMRI) signals has made significant progress. Previous studies often utilized deep neural networks to automatically classify brain activity patterns related to diverse cognitive states. However, due to the individual differences between subjects and the variation in acquisition parameters across devices, the inconsistency in data distributions degrades the performance of cross-subject decoding. Besides, most current networks were trained in a supervised way, which is not suitable for the actual scenarios in which massive amounts of data are unlabeled. To address these problems, we proposed the deep cross-subject adaptation decoding (DCAD) framework to decipher the brain states. The proposed volume-based 3D feature extraction architecture can automatically learn the common spatiotemporal features of labeled source data to generate a distinct descriptor. Then, the distance between the source and target distributions is minimized via an unsupervised domain adaptation (UDA) method, which can help to accurately decode the cognitive states across subjects. The performance of the DCAD was evaluated on task-fMRI (tfMRI) dataset from the Human Connectome Project (HCP). Experimental results showed that the proposed method achieved the state-of-the-art decoding performance with mean 81.9% and 84.9% accuracies under two conditions (4 brain states and 9 brain states respectively) of working memory task. Our findings also demonstrated that UDA can mitigate the impact of the data distribution shift, thereby providing a superior choice for increasing the performance of cross-subject decoding without depending on annotations.</t>
  </si>
  <si>
    <t>Y. Gao, Y. Zhang, Z. Cao, X. Guo and J. Zhang</t>
  </si>
  <si>
    <t>Deep neural network-assisted computed tomography diagnosis of metastatic lymph nodes from gastric cancer</t>
  </si>
  <si>
    <t>BACKGROUND: Artificial intelligence-assisted image recognition technology is currently able to detect the target area of an image and fetch information to make classifications according to target features. This study aimed to use deep neural networks for computed tomography (CT) diagnosis of perigastric metastatic lymph nodes (PGMLNs) to simulate the recognition of lymph nodes by radiologists, and to acquire more accurate identification results. METHODS: A total of 1371 images of suspected lymph node metastasis from enhanced abdominal CT scans were identified and labeled by radiologists and were used with 18,780 original images for faster region-based convolutional neural networks (FR-CNN) deep learning. The identification results of 6000 random CT images from 100 gastric cancer patients by the FR-CNN were compared with results obtained from radiologists in terms of their identification accuracy. Similarly, 1004 CT images with metastatic lymph nodes that had been post-operatively confirmed by pathological examination and 11,340 original images were used in the identification and learning processes described above. The same 6000 gastric cancer CT images were used for the verification, according to which the diagnosis results were analyzed. RESULTS: In the initial group, precision-recall curves were generated based on the precision rates, the recall rates of nodule classes of the training set and the validation set; the mean average precision (mAP) value was 0.5019. To verify the results of the initial learning group, the receiver operating characteristic curves was generated, and the corresponding area under the curve (AUC) value was calculated as 0.8995. After the second phase of precise learning, all the indicators were improved, and the mAP and AUC values were 0.7801 and 0.9541, respectively. CONCLUSION: Through deep learning, FR-CNN achieved high judgment effectiveness and recognition accuracy for CT diagnosis of PGMLNs. TRIAL REGISTRATION: Chinese Clinical Trial Registry, No. ChiCTR1800016787; http://www.chictr.org.cn/showproj.aspx?proj=28515.</t>
  </si>
  <si>
    <t>Chin Med J (Engl)</t>
  </si>
  <si>
    <t>Eigenrank by committee: Von-Neumann entropy based data subset selection and failure prediction for deep learning based medical image segmentation</t>
  </si>
  <si>
    <t>Manual delineation of anatomy on existing images is the basis of developing deep learning algorithms for medical image segmentation. However, manual segmentation is tedious. It is also expensive because clinician effort is necessary to ensure correctness of delineation. Consequently most algorithm development is based on a tiny fraction of the vast amount of imaging data collected at a medical center. Thus, selection of a subset of images from hospital databases for manual delineation - so that algorithms trained on such data are accurate and tolerant to variation, becomes an important challenge. We address this challenge using a novel algorithm. The proposed algorithm named 'Eigenrank by Committee' (EBC) first computes the degree of disagreement between segmentations generated by each DL model in a committee. Then, it iteratively adds to the committee, a DL model trained on cases where the disagreement is maximal. The disagreement between segmentations is quantified by the maximum eigenvalue of a Dice coefficient disagreement matrix a measure closely related to the Von Neumann entropy. We use EBC for selecting data subsets for manual labeling from a larger database of spinal canal segmentations as well as intervertebral disk segmentations. U-Nets trained on these subsets are used to generate segmentations on the remaining data. Similar sized data subsets are also randomly sampled from the respective databases, and U-Nets are trained on these random subsets as well. We found that U-Nets trained using data subsets selected by EBC, generate segmentations with higher average Dice coefficients on the rest of the database than U-Nets trained using random sampling (p &lt; 0.05 using t-tests comparing averages). Furthermore, U-Nets trained using data subsets selected by EBC generate segmentations with a distribution of Dice coefficients that demonstrate significantly (p &lt; 0.05 using Bartlett's test) lower variance in comparison to U-Nets trained using random sampling for all datasets. We believe that this lower variance indicates that U-Nets trained with EBC are more robust than U-Nets trained with random sampling.</t>
  </si>
  <si>
    <t>Classification of pressure ulcer tissues with 3D convolutional neural network</t>
  </si>
  <si>
    <t>A 3D convolution neural network (CNN) of deep learning architecture is supplied with essential visual features to accurately classify and segment granulation, necrotic eschar, and slough tissues in pressure ulcer color images. After finding a region of interest (ROI), the features are extracted from both the original and convolved with a pre-selected Gaussian kernel 3D HSI images, combined with first-order models of current and prior visual appearance. The models approximate empirical marginal probability distributions of voxel-wise signals with linear combinations of discrete Gaussians (LCDG). The framework was trained and tested on 193 color pressure ulcer images. The classification accuracy and robustness were evaluated using the Dice similarity coefficient (DSC), the percentage area distance (PAD), and the area under the ROC curve (AUC). The obtained preliminary DSC of 92%, PAD of 13%, and AUC of 95% are promising. Graphical Abstract The Classification of Pressure Ulcer Tissues Based on 3D Convolutional Neural Network.</t>
  </si>
  <si>
    <t>B. García-Zapirain, M. Elmogy, A. El-Baz and A. S. Elmaghraby</t>
  </si>
  <si>
    <t>Breast Cancer Detection and Diagnosis Using Mammographic Data: Systematic Review</t>
  </si>
  <si>
    <t>BACKGROUND: Machine learning (ML) has become a vital part of medical imaging research. ML methods have evolved over the years from manual seeded inputs to automatic initializations. The advancements in the field of ML have led to more intelligent and self-reliant computer-aided diagnosis (CAD) systems, as the learning ability of ML methods has been constantly improving. More and more automated methods are emerging with deep feature learning and representations. Recent advancements of ML with deeper and extensive representation approaches, commonly known as deep learning (DL) approaches, have made a very significant impact on improving the diagnostics capabilities of the CAD systems. OBJECTIVE: This review aimed to survey both traditional ML and DL literature with particular application for breast cancer diagnosis. The review also provided a brief insight into some well-known DL networks. METHODS: In this paper, we present an overview of ML and DL techniques with particular application for breast cancer. Specifically, we search the PubMed, Google Scholar, MEDLINE, ScienceDirect, Springer, and Web of Science databases and retrieve the studies in DL for the past 5 years that have used multiview mammogram datasets. RESULTS: The analysis of traditional ML reveals the limited usage of the methods, whereas the DL methods have great potential for implementation in clinical analysis and improve the diagnostic capability of existing CAD systems. CONCLUSIONS: From the literature, it can be found that heterogeneous breast densities make masses more challenging to detect and classify compared with calcifications. The traditional ML methods present confined approaches limited to either particular density type or datasets. Although the DL methods show promising improvements in breast cancer diagnosis, there are still issues of data scarcity and computational cost, which have been overcome to a significant extent by applying data augmentation and improved computational power of DL algorithms.</t>
  </si>
  <si>
    <t>J Med Internet Res</t>
  </si>
  <si>
    <t>Deep learning-level melanoma detection by interpretable machine learning and imaging biomarker cues</t>
  </si>
  <si>
    <t>SIGNIFICANCE: Melanoma is a deadly cancer that physicians struggle to diagnose early because they lack the knowledge to differentiate benign from malignant lesions. Deep machine learning approaches to image analysis offer promise but lack the transparency to be widely adopted as stand-alone diagnostics. AIM: We aimed to create a transparent machine learning technology (i.e., not deep learning) to discriminate melanomas from nevi in dermoscopy images and an interface for sensory cue integration. APPROACH: Imaging biomarker cues (IBCs) fed ensemble machine learning classifier (Eclass) training while raw images fed deep learning classifier training. We compared the areas under the diagnostic receiver operator curves. RESULTS: Our interpretable machine learning algorithm outperformed the leading deep-learning approach 75% of the time. The user interface displayed only the diagnostic imaging biomarkers as IBCs. CONCLUSIONS: From a translational perspective, Eclass is better than convolutional machine learning diagnosis in that physicians can embrace it faster than black box outputs. Imaging biomarkers cues may be used during sensory cue integration in clinical screening. Our method may be applied to other image-based diagnostic analyses, including pathology and radiology.</t>
  </si>
  <si>
    <t>J Biomed Opt</t>
  </si>
  <si>
    <t>Automated Identification of Diabetic Retinopathy Using Deep Learning</t>
  </si>
  <si>
    <t>PURPOSE: Diabetic retinopathy (DR) is one of the leading causes of preventable blindness globally. Performing retinal screening examinations on all diabetic patients is an unmet need, and there are many undiagnosed and untreated cases of DR. The objective of this study was to develop robust diagnostic technology to automate DR screening. Referral of eyes with DR to an ophthalmologist for further evaluation and treatment would aid in reducing the rate of vision loss, enabling timely and accurate diagnoses. DESIGN: We developed and evaluated a data-driven deep learning algorithm as a novel diagnostic tool for automated DR detection. The algorithm processed color fundus images and classified them as healthy (no retinopathy) or having DR, identifying relevant cases for medical referral. METHODS: A total of 75 137 publicly available fundus images from diabetic patients were used to train and test an artificial intelligence model to differentiate healthy fundi from those with DR. A panel of retinal specialists determined the ground truth for our data set before experimentation. We also tested our model using the public MESSIDOR 2 and E-Ophtha databases for external validation. Information learned in our automated method was visualized readily through an automatically generated abnormality heatmap, highlighting subregions within each input fundus image for further clinical review. MAIN OUTCOME MEASURES: We used area under the receiver operating characteristic curve (AUC) as a metric to measure the precision-recall trade-off of our algorithm, reporting associated sensitivity and specificity metrics on the receiver operating characteristic curve. RESULTS: Our model achieved a 0.97 AUC with a 94% and 98% sensitivity and specificity, respectively, on 5-fold cross-validation using our local data set. Testing against the independent MESSIDOR 2 and E-Ophtha databases achieved a 0.94 and 0.95 AUC score, respectively. CONCLUSIONS: A fully data-driven artificial intelligence-based grading algorithm can be used to screen fundus photographs obtained from diabetic patients and to identify, with high reliability, which cases should be referred to an ophthalmologist for further evaluation and treatment. The implementation of such an algorithm on a global basis could reduce drastically the rate of vision loss attributed to DR.</t>
  </si>
  <si>
    <t>R. Gargeya and T. Leng</t>
  </si>
  <si>
    <t>Temporal stability assessment in shear wave elasticity images validated by deep learning neural network for chronic liver disease fibrosis stage assessment</t>
  </si>
  <si>
    <t>PURPOSE: To automatically detect and isolate areas of low and high stiffness temporal stability in shear wave elastography (SWE) image sequences and define their impact in chronic liver disease (CLD) diagnosis improvement by means of clinical examination study and deep learning algorithm employing convolutional neural networks (CNNs). MATERIALS AND METHODS: Two hundred SWE image sequences from 88 healthy individuals (F0 fibrosis stage) and 112 CLD patients (46 with mild fibrosis (F1), 16 with significant fibrosis (F2), 22 with severe fibrosis (F3), and 28 with cirrhosis (F4)) were analyzed to detect temporal stiffness stability between frames. An inverse Red, Green, Blue (RGB) colormap-to-stiffness process was performed for each image sequence, followed by a wavelet transform and fuzzy c-means clustering algorithm. This resulted in a binary mask depicting areas of high and low stiffness temporal stability. The mask was then applied to the first image of the SWE sequence, and the derived, masked SWE image was used to estimate its impact in standard clinical examination and CNN classification. Regarding the impact of the masked SWE image in clinical examination, one measurement by two radiologists was performed in each SWE image and two in the corresponding masked image measuring areas with high and low stiffness temporal stability. Then, stiffness stability parameters, interobserver variability evaluation and diagnostic performance by means of ROC analysis were assessed. The masked and unmasked sets of SWE images were fed into a CNN scheme for comparison. RESULTS: The clinical impact evaluation study showed that the masked SWE images decreased the interobserver variability of the radiologists' measurements in the high stiffness temporal stability areas (interclass correlation coefficient (ICC) = 0.92) compared to the corresponding unmasked ones (ICC = 0.76). In terms of diagnostic accuracy, measurements in the high-stability areas of the masked SWE images (area-under-the-curve (AUC) ranging from 0.800 to 0.851) performed similarly to those in the unmasked SWE images (AUC ranging from 0.805 to 0.893). Regarding the measurements in the low stiffness temporal stability areas of the masked SWE images, results for interobserver variability (ICC = 0.63) and diagnostic accuracy (AUC ranging from 0.622 to 0.791) were poor. Regarding the CNN classification, the masked SWE images showed improved accuracy (ranging from 82.5% to 95.5%) compared to the unmasked ones (ranging from 79.5% to 93.2%) for various CLD stage combinations. CONCLUSION: Our detection algorithm excludes unreliable areas in SWE images, reduces interobserver variability, and augments CNN's accuracy scores for many combinations of fibrosis stages.</t>
  </si>
  <si>
    <t>I. Gatos, S. Tsantis, S. Spiliopoulos, D. Karnabatidis, I. Theotokas, P. Zoumpoulis, T. Loupas, J. D. Hazle and G. C. Kagadis</t>
  </si>
  <si>
    <t>10.1186/s41747-019-0143-0</t>
  </si>
  <si>
    <t>Integrating radiomics into holomics for personalised oncology: from algorithms to bedside</t>
  </si>
  <si>
    <t>Radiomics, artificial intelligence, and deep learning figure amongst recent buzzwords in current medical imaging research and technological development. Analysis of medical big data in assessment and follow-up of personalised treatments has also become a major research topic in the area of precision medicine. In this review, current research trends in radiomics are analysed, from handcrafted radiomics feature extraction and statistical analysis to deep learning. Radiomics algorithms now include genomics and immunomics data to improve patient stratification and prediction of treatment response. Several applications have already shown conclusive results demonstrating the potential of including other omics data to existing imaging features. We also discuss further challenges of data harmonisation and management infrastructure to shed a light on the much-needed integration of radiomics and all other omics into clinical workflows. In particular, we point to the emerging paradigm shift in the implementation of big data infrastructures to facilitate databanks growth, data extraction and the development of expert software tools. Secured access, sharing, and integration of all health data, called holomics, will accelerate the revolution of personalised medicine and oncology as well as expand the role of imaging specialists.</t>
  </si>
  <si>
    <t>Minimum variance-embedded deep kernel regularized least squares method for one-class classification and its applications to biomedical data</t>
  </si>
  <si>
    <t>Deep kernel learning has been well explored for multi-class classification tasks; however, relatively less work is done for one-class classification (OCC). OCC needs samples from only one class to train the model. Most recently, kernel regularized least squares (KRL) method-based deep architecture is developed for the OCC task. This paper introduces a novel extension of this method by embedding minimum variance information within this architecture. This embedding improves the generalization capability of the classifier by reducing the intra-class variance. In contrast to traditional deep learning methods, this method can effectively work with small-size datasets. We conduct a comprehensive set of experiments on 18 benchmark datasets (13 biomedical and 5 other datasets) to demonstrate the performance of the proposed classifier. We compare the results with 16 state-of-the-art one-class classifiers. Further, we also test our method for 2 real-world biomedical datasets viz.; detection of Alzheimer's disease from structural magnetic resonance imaging data and detection of breast cancer from histopathological images. Proposed method exhibits more than 5% F(1) score compared to existing state-of-the-art methods for various biomedical benchmark datasets. This makes it viable for application in biomedical fields where relatively less amount of data is available.</t>
  </si>
  <si>
    <t>Deep Learning and Multi-Sensor Fusion for Glioma Classification Using Multistream 2D Convolutional Networks</t>
  </si>
  <si>
    <t>This paper addresses issues of brain tumor, glioma, grading from multi-sensor images. Different types of scanners (or sensors) like enhanced T1-MRI, T2-MRI and FLAIR, show different contrast and are sensitive to different brain tissues and fluid regions. Most existing works use 3D brain images from single sensor. In this paper, we propose a novel multistream deep Convolutional Neural Network (CNN) architecture that extracts and fuses the features from multiple sensors for glioma tumor grading/subcategory grading. The main contributions of the paper are: (a) propose a novel multistream deep CNN architecture for glioma grading; (b) apply sensor fusion from T1-MRI, T2-MRI and/or FLAIR for enhancing performance through feature aggregation; (c) mitigate overfitting by using 2D brain image slices in combination with 2D image augmentation. Two datasets were used for our experiments, one for classifying low/high grade gliomas, another for classifying glioma with/without 1p19q codeletion. Experiments using the proposed scheme have shown good results (with test accuracy of 90.87% for former case, and 89.39 % for the latter case). Comparisons with several existing methods have provided further support to the proposed scheme. keywords: brain tumor classification, glioma, 1p19q codeletion, glioma grading, deep learning, multi-stream convolutional neural networks, sensor fusion, T1-MR image, T2-MR image, FLAIR.</t>
  </si>
  <si>
    <t>C. Ge, I. Y. Gu, A. S. Jakola and J. Yang</t>
  </si>
  <si>
    <t>A robust grey wolf-based deep learning for brain tumour detection in MR images</t>
  </si>
  <si>
    <t>In recent times, the detection of brain tumours has become more common. Generally, a brain tumour is an abnormal mass of tissue where the cells grow uncontrollably and are apparently unregulated by the mechanisms that control cells. A number of techniques have been developed thus far; however, the time needed in a detecting brain tumour is still a challenge in the field of image processing. This article proposes a new accurate detection model. The model includes certain processes such as preprocessing, segmentation, feature extraction and classification. Particularly, two extreme processes such as contrast enhancement and skull stripping are processed under the initial phase. In the segmentation process, we used the fuzzy means clustering (FCM) algorithm. Both the grey co-occurrence matrix (GLCM) as well as the grey-level run-length matrix (GRLM) features were extracted in the feature extraction phase. Moreover, this paper uses a deep belief network (DBN) for classification. The optimized DBN concept is used here, for which grey wolf optimisation (GWO) is used. The proposed model is termed the GW-DBN model. The proposed model compares its performance over other conventional methods in terms of accuracy, specificity, sensitivity, precision, negative predictive value (NPV), the F1Score and Matthews correlation coefficient (MCC), false negative rate (FNR), false positive rate (FPR) and false discovery rate (FDR), and proves the superiority of the proposed work.</t>
  </si>
  <si>
    <t>Biomed Tech (Berl)</t>
  </si>
  <si>
    <t>Encoder-decoder with dense dilated spatial pyramid pooling for prostate MR images segmentation</t>
  </si>
  <si>
    <t>Automatic segmentation of prostate magnetic resonance (MR) images has great significance for the diagnosis and clinical application of prostate diseases. It faces enormous challenges because of the low contrast of the tissue boundary and the small effective area of the prostate MR images. In order to solve these problems, we propose a novel end-to-end professional network which consists of an Encoder-Decoder structure with dense dilated spatial pyramid pooling (DDSPP) for prostate segmentation based on deep learning. First, the DDSPP module is used to extract the multi-scale convolution features in the prostate MR images, and then the decoder is used to capture the clear boundary of prostate. Competitive results are produced over state of the art on 130 MR images which key metrics Dice similarity coefficient (DSC) and Hausdorff distance (HD) are 0.954 and 1.752 mm respectively. Experimental results show that our method has high accuracy and robustness.</t>
  </si>
  <si>
    <t>Comput Assist Surg (Abingdon)</t>
  </si>
  <si>
    <t>FissureNet: A Deep Learning Approach For Pulmonary Fissure Detection in CT Images</t>
  </si>
  <si>
    <t>Pulmonary fissure detection in computed tomography (CT) is a critical component for automatic lobar segmentation. The majority of fissure detection methods use feature descriptors that are hand-crafted, low-level, and have local spatial extent. The design of such feature detectors is typically targeted toward normal fissure anatomy, yielding low sensitivity to weak, and abnormal fissures that are common in clinical data sets. Furthermore, local features commonly suffer from low specificity, as the complex textures in the lung can be indistinguishable from the fissure when the global context is not considered. We propose a supervised discriminative learning framework for simultaneous feature extraction and classification. The proposed framework, called FissureNet, is a coarse-to-fine cascade of two convolutional neural networks. The coarse-to-fine strategy alleviates the challenges associated with training a network to segment a thin structure that represents a small fraction of the image voxels. FissureNet was evaluated on a cohort of 3706 subjects with inspiration and expiration 3DCT scans from the COPDGene clinical trial and a cohort of 20 subjects with 4DCT scans from a lung cancer clinical trial. On both data sets, FissureNet showed superior performance compared with a deep learning approach using the U-Net architecture and a Hessian-based fissure detection method in terms of area under the precision-recall curve (PR-AUC). The overall PR-AUC for FissureNet, U-Net, and Hessian on the COPDGene (lung cancer) data set was 0.980 (0.966), 0.963 (0.937), and 0.158 (0.182), respectively. On a subset of 30 COPDGene scans, FissureNet was compared with a recently proposed advanced fissure detection method called derivative of sticks (DoS) and showed superior performance with a PR-AUC of 0.991 compared with 0.668 for DoS.</t>
  </si>
  <si>
    <t>10.1148/radiol.2019182627</t>
  </si>
  <si>
    <t>Artificial Intelligence for Mammography and Digital Breast Tomosynthesis: Current Concepts and Future Perspectives</t>
  </si>
  <si>
    <t>Although computer-aided diagnosis (CAD) is widely used in mammography, conventional CAD programs that use prompts to indicate potential cancers on the mammograms have not led to an improvement in diagnostic accuracy. Because of the advances in machine learning, especially with use of deep (multilayered) convolutional neural networks, artificial intelligence has undergone a transformation that has improved the quality of the predictions of the models. Recently, such deep learning algorithms have been applied to mammography and digital breast tomosynthesis (DBT). In this review, the authors explain how deep learning works in the context of mammography and DBT and define the important technical challenges. Subsequently, they discuss the current status and future perspectives of artificial intelligence-based clinical applications for mammography, DBT, and radiomics. Available algorithms are advanced and approach the performance of radiologists-especially for cancer detection and risk prediction at mammography. However, clinical validation is largely lacking, and it is not clear how the power of deep learning should be used to optimize practice. Further development of deep learning models is necessary for DBT, and this requires collection of larger databases. It is expected that deep learning will eventually have an important role in DBT, including the generation of synthetic images.</t>
  </si>
  <si>
    <t>piNET-An Automated Proliferation Index Calculator Framework for Ki67 Breast Cancer Images</t>
  </si>
  <si>
    <t>In this work, a novel proliferation index (PI) calculator for Ki67 images called piNET is proposed. It is successfully tested on four datasets, from three scanners comprised of patches, tissue microarrays (TMAs) and whole slide images (WSI), representing a diverse multi-centre dataset for evaluating Ki67 quantification. Compared to state-of-the-art methods, piNET consistently performs the best over all datasets with an average PI difference of 5.603%, PI accuracy rate of 86% and correlation coefficient R = 0.927. The success of the system can be attributed to several innovations. Firstly, this tool is built based on deep learning, which can adapt to wide variability of medical images-and it was posed as a detection problem to mimic pathologists' workflow which improves accuracy and efficiency. Secondly, the system is trained purely on tumor cells, which reduces false positives from non-tumor cells without needing the usual pre-requisite tumor segmentation step for Ki67 quantification. Thirdly, the concept of learning background regions through weak supervision is introduced, by providing the system with ideal and non-ideal (artifact) patches that further reduces false positives. Lastly, a novel hotspot analysis is proposed to allow automated methods to score patches from WSI that contain significant activity.</t>
  </si>
  <si>
    <t>Automatic quantification of calcifications in the coronary arteries and thoracic aorta on radiotherapy planning CT scans of Western and Asian breast cancer patients</t>
  </si>
  <si>
    <t>PURPOSE: This study automatically quantified calcifications in coronary arteries (CAC) and thoracic aorta (TAC) on breast planning computed tomography (CT) scans and assessed its reproducibility compared to manual scoring. MATERIAL AND METHODS: Dutch (n = 1199) and Singaporean (n = 1090) breast cancer patients with radiotherapy planning CT scan were included. CAC and TAC were automatically scored using deep learning algorithm. CVD risk categories were based on Agatson CAC: 0, 1-10, 11-100, 101-400 and &gt;400. Reliability between automatic and manual scoring was assessed in 120 randomly selected CT scans from each population, with linearly weighted kappa for CAC categories and intraclass correlation coefficient for TAC. RESULTS: Median age was higher in Dutch patients than Singaporean patients: 57 versus 52 years. CAC and TAC increased with age and were more present in Dutch patients than Singaporean patients: 24.2% versus 17.3% and 73.0% versus 62.2%, respectively. Reliability of CAC categories and TAC was excellent in the Netherlands (0.85 (95% confidence interval (CI) = 0.77-0.93) and 0.98 (95% CI = 0.96-0.98) respectively) and Singapore (0.90 (95% CI = 0.84-0.96) and 0.99 (95% CI = 0.98-0.99) respectively). CONCLUSIONS: CAC and TAC prevalence was considerable and increased with age. Deep learning software is a reliable method to automatically measure CAC and TAC on radiotherapy breast CT scans.</t>
  </si>
  <si>
    <t>S. A. M. Gernaat, S. G. M. van Velzen, V. Koh, M. J. Emaus, I. Išgum, N. Lessmann, S. Moes, A. Jacobson, P. W. Tan, D. E. Grobbee, D. H. J. van den Bongard, J. I. Tang and H. M. Verkooijen</t>
  </si>
  <si>
    <t>Improved Diagnostic Imaging of Brain Tumors by Multimodal Microscopy and Deep Learning</t>
  </si>
  <si>
    <t>Fluorescence-guided surgery is a state-of-the-art approach for intraoperative imaging during neurosurgical removal of tumor tissue. While the visualization of high-grade gliomas is reliable, lower grade glioma often lack visible fluorescence signals. Here, we present a hybrid prototype combining visible light optical coherence microscopy (OCM) and high-resolution fluorescence imaging for assessment of brain tumor samples acquired by 5-aminolevulinic acid (5-ALA) fluorescence-guided surgery. OCM provides high-resolution information of the inherent tissue scattering and absorption properties of tissue. We here explore quantitative attenuation coefficients derived from volumetric OCM intensity data and quantitative high-resolution 5-ALA fluorescence as potential biomarkers for tissue malignancy including otherwise difficult-to-assess low-grade glioma. We validate our findings against the gold standard histology and use attenuation and fluorescence intensity measures to differentiate between tumor core, infiltrative zone and adjacent brain tissue. Using large field-of-view scans acquired by a near-infrared swept-source optical coherence tomography setup, we provide initial assessments of tumor heterogeneity. Finally, we use cross-sectional OCM images to train a convolutional neural network that discriminates tumor from non-tumor tissue with an accuracy of 97%. Collectively, the present hybrid approach offers potential to translate into an in vivo imaging setup for substantially improved intraoperative guidance of brain tumor surgeries.</t>
  </si>
  <si>
    <t>Deep transfer learning methods for colon cancer classification in confocal laser microscopy images</t>
  </si>
  <si>
    <t>PURPOSE: The gold standard for colorectal cancer metastases detection in the peritoneum is histological evaluation of a removed tissue sample. For feedback during interventions, real-time in vivo imaging with confocal laser microscopy has been proposed for differentiation of benign and malignant tissue by manual expert evaluation. Automatic image classification could improve the surgical workflow further by providing immediate feedback. METHODS: We analyze the feasibility of classifying tissue from confocal laser microscopy in the colon and peritoneum. For this purpose, we adopt both classical and state-of-the-art convolutional neural networks to directly learn from the images. As the available dataset is small, we investigate several transfer learning strategies including partial freezing variants and full fine-tuning. We address the distinction of different tissue types, as well as benign and malignant tissue. RESULTS: We present a thorough analysis of transfer learning strategies for colorectal cancer with confocal laser microscopy. In the peritoneum, metastases are classified with an AUC of 97.1, and in the colon the primarius is classified with an AUC of 73.1. In general, transfer learning substantially improves performance over training from scratch. We find that the optimal transfer learning strategy differs for models and classification tasks. CONCLUSIONS: We demonstrate that convolutional neural networks and transfer learning can be used to identify cancer tissue with confocal laser microscopy. We show that there is no generally optimal transfer learning strategy and model as well as task-specific engineering is required. Given the high performance for the peritoneum, even with a small dataset, application for intraoperative decision support could be feasible.</t>
  </si>
  <si>
    <t>Automatic Plaque Detection in IVOCT Pullbacks Using Convolutional Neural Networks</t>
  </si>
  <si>
    <t>Coronary heart disease is a common cause of death despite being preventable. To treat the underlying plaque deposits in the arterial walls, intravascular optical coherence tomography can be used by experts to detect and characterize the lesions. In clinical routine, hundreds of images are acquired for each patient, which require automatic plaque detection for fast and accurate decision support. So far, automatic approaches rely on classic machine learning methods and deep learning solutions have rarely been studied. Given the success of deep learning methods with other imaging modalities, a thorough understanding of deep learning-based plaque detection for future clinical decision support systems is required. We address this issue with a new data set consisting of in vivo patient images labeled by three trained experts. Using this data set, we employ the state-of-the-art deep learning models that directly learn plaque classification from the images. For improved performance, we study different transfer learning approaches. Furthermore, we investigate the use of Cartesian and polar image representations and employ data augmentation techniques tailored to each representation. We fuse both representations in a multi-path architecture for more effective feature exploitation. Last, we address the challenge of plaque differentiation in addition to detection. Overall, we find that our combined model performs best with an accuracy of 91.7%, a sensitivity of 90.9%, and a specificity of 92.4%. Our results indicate that building a deep learning-based clinical decision support system for plaque detection is feasible.</t>
  </si>
  <si>
    <t>Spatio-temporal deep learning models for tip force estimation during needle insertion</t>
  </si>
  <si>
    <t>PURPOSE: Precise placement of needles is a challenge in a number of clinical applications such as brachytherapy or biopsy. Forces acting at the needle cause tissue deformation and needle deflection which in turn may lead to misplacement or injury. Hence, a number of approaches to estimate the forces at the needle have been proposed. Yet, integrating sensors into the needle tip is challenging and a careful calibration is required to obtain good force estimates. METHODS: We describe a fiber-optic needle tip force sensor design using a single OCT fiber for measurement. The fiber images the deformation of an epoxy layer placed below the needle tip which results in a stream of 1D depth profiles. We study different deep learning approaches to facilitate calibration between this spatio-temporal image data and the related forces. In particular, we propose a novel convGRU-CNN architecture for simultaneous spatial and temporal data processing. RESULTS: The needle can be adapted to different operating ranges by changing the stiffness of the epoxy layer. Likewise, calibration can be adapted by training the deep learning models. Our novel convGRU-CNN architecture results in the lowest mean absolute error of [Formula: see text] and a cross-correlation coefficient of 0.9997 and clearly outperforms the other methods. Ex vivo experiments in human prostate tissue demonstrate the needle's application. CONCLUSIONS: Our OCT-based fiber-optic sensor presents a viable alternative for needle tip force estimation. The results indicate that the rich spatio-temporal information included in the stream of images showing the deformation throughout the epoxy layer can be effectively used by deep learning models. Particularly, we demonstrate that the convGRU-CNN architecture performs favorably, making it a promising approach for other spatio-temporal learning problems.</t>
  </si>
  <si>
    <t>A deep learning approach for pose estimation from volumetric OCT data</t>
  </si>
  <si>
    <t>Tracking the pose of instruments is a central problem in image-guided surgery. For microscopic scenarios, optical coherence tomography (OCT) is increasingly used as an imaging modality. OCT is suitable for accurate pose estimation due to its micrometer range resolution and volumetric field of view. However, OCT image processing is challenging due to speckle noise and reflection artifacts in addition to the images' 3D nature. We address pose estimation from OCT volume data with a new deep learning-based tracking framework. For this purpose, we design a new 3D convolutional neural network (CNN) architecture to directly predict the 6D pose of a small marker geometry from OCT volumes. We use a hexapod robot to automatically acquire labeled data points which we use to train 3D CNN architectures for multi-output regression. We use this setup to provide an in-depth analysis on deep learning-based pose estimation from volumes. Specifically, we demonstrate that exploiting volume information for pose estimation yields higher accuracy than relying on 2D representations with depth information. Supporting this observation, we provide quantitative and qualitative results that 3D CNNs effectively exploit the depth structure of marker objects. Regarding the deep learning aspect, we present efficient design principles for 3D CNNs, making use of insights from the 2D deep learning community. In particular, we present Inception3D as a new architecture which performs best for our application. We show that our deep learning approach reaches errors at our ground-truth label's resolution. We achieve a mean average error of 14.89 ± 9.3 µm and 0.096 ± 0.072° for position and orientation learning, respectively.</t>
  </si>
  <si>
    <t>N. Gessert, M. Schlüter and A. Schlaefer</t>
  </si>
  <si>
    <t>Skin Lesion Classification Using CNNs With Patch-Based Attention and Diagnosis-Guided Loss Weighting</t>
  </si>
  <si>
    <t>OBJECTIVE: This paper addresses two key problems of skin lesion classification. The first problem is the effective use of high-resolution images with pretrained standard architectures for image classification. The second problem is the high-class imbalance encountered in real-world multi-class datasets. METHODS: To use high-resolution images, we propose a novel patch-based attention architecture that provides global context between small, high-resolution patches. We modify three pretrained architectures and study the performance of patch-based attention. To counter class imbalance problems, we compare oversampling, balanced batch sampling, and class-specific loss weighting. Additionally, we propose a novel diagnosis-guided loss weighting method that takes the method used for ground-truth annotation into account. RESULTS: Our patch-based attention mechanism outperforms previous methods and improves the mean sensitivity by [Formula: see text]. Class balancing significantly improves the mean sensitivity and we show that our diagnosis-guided loss weighting method improves the mean sensitivity by [Formula: see text] over normal loss balancing. CONCLUSION: The novel patch-based attention mechanism can be integrated into pretrained architectures and provides global context between local patches while outperforming other patch-based methods. Hence, pretrained architectures can be readily used with high-resolution images without downsampling. The new diagnosis-guided loss weighting method outperforms other methods and allows for effective training when facing class imbalance. SIGNIFICANCE: The proposed methods improve automatic skin lesion classification. They can be extended to other clinical applications where high-resolution image data and class imbalance are relevant.</t>
  </si>
  <si>
    <t>Deep medical image analysis with representation learning and neuromorphic computing</t>
  </si>
  <si>
    <t>Deep learning is increasingly used in medical imaging, improving many steps of the processing chain, from acquisition to segmentation and anomaly detection to outcome prediction. Yet significant challenges remain: (i) image-based diagnosis depends on the spatial relationships between local patterns, something convolution and pooling often do not capture adequately; (ii) data augmentation, the de facto method for learning three-dimensional pose invariance, requires exponentially many points to achieve robust improvement; (iii) labelled medical images are much less abundant than unlabelled ones, especially for heterogeneous pathological cases; and (iv) scanning technologies such as magnetic resonance imaging can be slow and costly, generally without online learning abilities to focus on regions of clinical interest. To address these challenges, novel algorithmic and hardware approaches are needed for deep learning to reach its full potential in medical imaging.</t>
  </si>
  <si>
    <t>Interface Focus</t>
  </si>
  <si>
    <t>Deep multi-scale location-aware 3D convolutional neural networks for automated detection of lacunes of presumed vascular origin</t>
  </si>
  <si>
    <t>Lacunes of presumed vascular origin (lacunes) are associated with an increased risk of stroke, gait impairment, and dementia and are a primary imaging feature of the small vessel disease. Quantification of lacunes may be of great importance to elucidate the mechanisms behind neuro-degenerative disorders and is recommended as part of study standards for small vessel disease research. However, due to the different appearance of lacunes in various brain regions and the existence of other similar-looking structures, such as perivascular spaces, manual annotation is a difficult, elaborative and subjective task, which can potentially be greatly improved by reliable and consistent computer-aided detection (CAD) routines. In this paper, we propose an automated two-stage method using deep convolutional neural networks (CNN). We show that this method has good performance and can considerably benefit readers. We first use a fully convolutional neural network to detect initial candidates. In the second step, we employ a 3D CNN as a false positive reduction tool. As the location information is important to the analysis of candidate structures, we further equip the network with contextual information using multi-scale analysis and integration of explicit location features. We trained, validated and tested our networks on a large dataset of 1075 cases obtained from two different studies. Subsequently, we conducted an observer study with four trained observers and compared our method with them using a free-response operating characteristic analysis. Shown on a test set of 111 cases, the resulting CAD system exhibits performance similar to the trained human observers and achieves a sensitivity of 0.974 with 0.13 false positives per slice. A feasibility study also showed that a trained human observer would considerably benefit once aided by the CAD system.</t>
  </si>
  <si>
    <t>M. Ghafoorian, N. Karssemeijer, T. Heskes, M. Bergkamp, J. Wissink, J. Obels, K. Keizer, F. E. de Leeuw, B. V. Ginneken, E. Marchiori and B. Platel</t>
  </si>
  <si>
    <t>Deep learning-based artificial vision for grasp classification in myoelectric hands</t>
  </si>
  <si>
    <t>OBJECTIVE: Computer vision-based assistive technology solutions can revolutionise the quality of care for people with sensorimotor disorders. The goal of this work was to enable trans-radial amputees to use a simple, yet efficient, computer vision system to grasp and move common household objects with a two-channel myoelectric prosthetic hand. APPROACH: We developed a deep learning-based artificial vision system to augment the grasp functionality of a commercial prosthesis. Our main conceptual novelty is that we classify objects with regards to the grasp pattern without explicitly identifying them or measuring their dimensions. A convolutional neural network (CNN) structure was trained with images of over 500 graspable objects. For each object, 72 images, at [Formula: see text] intervals, were available. Objects were categorised into four grasp classes, namely: pinch, tripod, palmar wrist neutral and palmar wrist pronated. The CNN setting was first tuned and tested offline and then in realtime with objects or object views that were not included in the training set. MAIN RESULTS: The classification accuracy in the offline tests reached [Formula: see text] for the seen and [Formula: see text] for the novel objects; reflecting the generalisability of grasp classification. We then implemented the proposed framework in realtime on a standard laptop computer and achieved an overall score of [Formula: see text] in classifying a set of novel as well as seen but randomly-rotated objects. Finally, the system was tested with two trans-radial amputee volunteers controlling an i-limb Ultra(TM) prosthetic hand and a motion control(TM) prosthetic wrist; augmented with a webcam. After training, subjects successfully picked up and moved the target objects with an overall success of up to [Formula: see text]. In addition, we show that with training, subjects' performance improved in terms of time required to accomplish a block of 24 trials despite a decreasing level of visual feedback. SIGNIFICANCE: The proposed design constitutes a substantial conceptual improvement for the control of multi-functional prosthetic hands. We show for the first time that deep-learning based computer vision systems can enhance the grip functionality of myoelectric hands considerably.</t>
  </si>
  <si>
    <t>Shading artifact correction in breast CT using an interleaved deep learning segmentation and maximum-likelihood polynomial fitting approach</t>
  </si>
  <si>
    <t>PURPOSE: The purpose of this work was twofold: (a) To provide a robust and accurate method for image segmentation of dedicated breast CT (bCT) volume data sets, and (b) to improve Hounsfield unit (HU) accuracy in bCT by means of a postprocessing method that uses the segmented images to correct for the low-frequency shading artifacts in reconstructed images. METHODS: A sequential and iterative application of image segmentation and low-order polynomial fitting to bCT volume data sets was used in the interleaved correction (IC) method. Image segmentation was performed through a deep convolutional neural network (CNN) with a modified U-Net architecture. A total of 45 621 coronal bCT images from 111 patient volume data sets were segmented (using a previously published segmentation algorithm) and used for neural network training, validation, and testing. All patient data sets were selected from scans performed on four different prototype breast CT systems. The adipose voxels for each patient volume data set, segmented using the proposed CNN, were then fit to a three-dimensional low-order polynomial. The polynomial fit was subsequently used to correct for the shading artifacts introduced by scatter and beam hardening in a method termed flat fielding. An interleaved utilization of image segmentation and flat fielding was repeated until a convergence criterion was satisfied. Mathematical and physical phantom studies were conducted to evaluate the dependence of the proposed algorithm on breast size and the distribution of fibroglandular tissue. In addition, a subset of patient scans (not used in the CNN training, testing or validation) were used to investigate the accuracy of the IC method across different scanner designs and beam qualities. RESULTS: The IC method resulted in an accurate classification of different tissue types with an average Dice similarity coefficient &gt; 95%, precision &gt; 97%, recall &gt; 95%, and F1-score &gt; 96% across all tissue types. The flat fielding correction of bCT images resulted in a significant reduction in either cupping or capping artifacts in both mathematical and physical phantom studies as measured by the integral nonuniformity metric with an average reduction of 71% for cupping and 30% for capping across different phantom sizes, and the Uniformity Index with an average reduction of 53% for cupping and 34% for capping. CONCLUSION: The validation studies demonstrated that the IC method improves Hounsfield Units (HU) accuracy and effectively corrects for shading artifacts caused by scatter contamination and beam hardening. The postprocessing approach described herein is relevant to the broad scope of bCT devices and does not require any modification in hardware or existing scan protocols. The trained CNN parameters and network architecture are available for interested users.</t>
  </si>
  <si>
    <t>Impact of JPEG 2000 compression on deep convolutional neural networks for metastatic cancer detection in histopathological images</t>
  </si>
  <si>
    <t>The availability of massive amounts of data in histopathological whole-slide images (WSIs) has enabled the application of deep learning models and especially convolutional neural networks (CNNs), which have shown a high potential for improvement in cancer diagnosis. However, storage and transmission of large amounts of data such as gigapixel histopathological WSIs are challenging. Exploiting lossy compression algorithms for medical images is controversial but, as long as the clinical diagnosis is not affected, is acceptable. We study the impact of JPEG 2000 compression on our proposed CNN-based algorithm, which has produced performance comparable to that of pathologists and which was ranked second place in the CAMELYON17 challenge. Detecting tumor metastases in hematoxylin and eosin-stained tissue sections of breast lymph nodes is evaluated and compared with the pathologists' diagnoses in three different experimental setups. Our experiments show that the CNN model is robust against compression ratios up to 24:1 when it is trained on uncompressed high-quality images. We demonstrate that a model trained on lower quality images-i.e., lossy compressed images-depicts a classification performance that is significantly improved for the corresponding compression ratio. Moreover, it is also observed that the model performs equally well on all higher-quality images. These properties will help to design cloud-based computer-aided diagnosis (CAD) systems, e.g., telemedicine that employ deep CNN models that are more robust to image quality variations due to compression required to address data storage and transmission constraints. However, the results presented are specific to the CAD system and application described, and further work is needed to examine whether they generalize to other systems and applications.</t>
  </si>
  <si>
    <t>10.22608/apo.201863</t>
  </si>
  <si>
    <t>Plus Disease in Retinopathy of Prematurity: More Than Meets the ICROP?</t>
  </si>
  <si>
    <t>Retinopathy of prematurity (ROP), a vasoproliferative retinal disease affecting premature infants, is a leading cause of childhood blindness throughout the world. Plus disease, defined as venous dilatation and arteriolar tortuosity within the posterior retinal vessels greater than or equal to that of a standard published photograph, is the most critical finding in identifying treatment-requiring ROP. Despite an internationally accepted definition of plus disease, there is significant variability in diagnostic process and outcome, producing variable levels of reported intra- and interexpert agreement. Several potential explanations for poor agreement have been proposed, including attention to undefined vascular features such as venous tortuosity, focus on narrower or wider field of view, unfamiliarity with digital images, the magnification and apparent severity of the standard photograph, and cut-off point differences among experts as to the level of tortuosity and dilation sufficient for plus disease along a continuum. Moreover, differences in diagnostic consistency among groups of experts separated both geographically and chronologically have been reported. These findings have implications for clinical care, research, and education, and highlight the need for a more precise definition of plus disease and objective diagnostic methods for ROP.</t>
  </si>
  <si>
    <t>L. Ghergherehchi, S. J. Kim, J. P. Campbell, S. Ostmo, R. V. P. Chan and M. F. Chiang</t>
  </si>
  <si>
    <t>Towards intelligent robust detection of anatomical structures in incomplete volumetric data</t>
  </si>
  <si>
    <t>Robust and fast detection of anatomical structures represents an important component of medical image analysis technologies. Current solutions for anatomy detection are based on machine learning, and are generally driven by suboptimal and exhaustive search strategies. In particular, these techniques do not effectively address cases of incomplete data, i.e., scans acquired with a partial field-of-view. We address these challenges by following a new paradigm, which reformulates the detection task to teaching an intelligent artificial agent how to actively search for an anatomical structure. Using the principles of deep reinforcement learning with multi-scale image analysis, artificial agents are taught optimal navigation paths in the scale-space representation of an image, while accounting for structures that are missing from the field-of-view. The spatial coherence of the observed anatomical landmarks is ensured using elements from statistical shape modeling and robust estimation theory. Experiments show that our solution outperforms marginal space deep learning, a powerful deep learning method, at detecting different anatomical structures without any failure. The dataset contains 5043 3D-CT volumes from over 2000 patients, totaling over 2,500,000 image slices. In particular, our solution achieves 0% false-positive and 0% false-negative rates at detecting whether the landmarks are captured in the field-of-view of the scan (excluding all border cases), with an average detection accuracy of 2.78 mm. In terms of runtime, we reduce the detection-time of the marginal space deep learning method by 20-30 times to under 40 ms, an unmatched performance for high resolution incomplete 3D-CT data.</t>
  </si>
  <si>
    <t>F. C. Ghesu, B. Georgescu, S. Grbic, A. Maier, J. Hornegger and D. Comaniciu</t>
  </si>
  <si>
    <t>Marginal Space Deep Learning: Efficient Architecture for Volumetric Image Parsing</t>
  </si>
  <si>
    <t>Robust and fast solutions for anatomical object detection and segmentation support the entire clinical workflow from diagnosis, patient stratification, therapy planning, intervention and follow-up. Current state-of-the-art techniques for parsing volumetric medical image data are typically based on machine learning methods that exploit large annotated image databases. Two main challenges need to be addressed, these are the efficiency in scanning high-dimensional parametric spaces and the need for representative image features which require significant efforts of manual engineering. We propose a pipeline for object detection and segmentation in the context of volumetric image parsing, solving a two-step learning problem: anatomical pose estimation and boundary delineation. For this task we introduce Marginal Space Deep Learning (MSDL), a novel framework exploiting both the strengths of efficient object parametrization in hierarchical marginal spaces and the automated feature design of Deep Learning (DL) network architectures. In the 3D context, the application of deep learning systems is limited by the very high complexity of the parametrization. More specifically 9 parameters are necessary to describe a restricted affine transformation in 3D, resulting in a prohibitive amount of billions of scanning hypotheses. The mechanism of marginal space learning provides excellent run-time performance by learning classifiers in clustered, high-probability regions in spaces of gradually increasing dimensionality. To further increase computational efficiency and robustness, in our system we learn sparse adaptive data sampling patterns that automatically capture the structure of the input. Given the object localization, we propose a DL-based active shape model to estimate the non-rigid object boundary. Experimental results are presented on the aortic valve in ultrasound using an extensive dataset of 2891 volumes from 869 patients, showing significant improvements of up to 45.2% over the state-of-the-art. To our knowledge, this is the first successful demonstration of the DL potential to detection and segmentation in full 3D data with parametrized representations.</t>
  </si>
  <si>
    <t>F. C. Ghesu, E. Krubasik, B. Georgescu, V. Singh, Z. Yefeng, J. Hornegger and D. Comaniciu</t>
  </si>
  <si>
    <t>Simultaneous NODDI and GFA parameter map generation from subsampled q-space imaging using deep learning</t>
  </si>
  <si>
    <t>PURPOSE: To develop a robust multidimensional deep-learning based method to simultaneously generate accurate neurite orientation dispersion and density imaging (NODDI) and generalized fractional anisotropy (GFA) parameter maps from undersampled q-space datasets for use in stroke imaging. METHODS: Traditional diffusion spectrum imaging (DSI) capable of producing accurate NODDI and GFA parameter maps requires hundreds of q-space samples which renders the scan time clinically untenable. A convolutional neural network (CNN) was trained to generated NODDI and GFA parameter maps simultaneously from 10× undersampled q-space data. A total of 48 DSI scans from 15 stroke patients and 14 normal subjects were acquired for training, validating, and testing this method. The proposed network was compared to previously proposed voxel-wise machine learning based approaches for q-space imaging. Network-generated images were used to predict stroke functional outcome measures. RESULTS: The proposed network achieves significant performance advantages compared to previously proposed machine learning approaches, showing significant improvements across image quality metrics. Generating these parameter maps using CNNs also comes with the computational benefits of only needing to generate and train a single network instead of multiple networks for each parameter type. Post-stroke outcome prediction metrics do not appreciably change when using images generated from this proposed technique. Over three test participants, the predicted stroke functional outcome scores were within 1-6% of the clinical evaluations. CONCLUSIONS: Estimates of NODDI and GFA parameters estimated simultaneously with a deep learning network from highly undersampled q-space data were improved compared to other state-of-the-art methods providing a 10-fold reduction scan time compared to conventional methods.</t>
  </si>
  <si>
    <t>Automatic Multi-Organ Segmentation on Abdominal CT With Dense V-Networks</t>
  </si>
  <si>
    <t>Automatic segmentation of abdominal anatomy on computed tomography (CT) images can support diagnosis, treatment planning, and treatment delivery workflows. Segmentation methods using statistical models and multi-atlas label fusion (MALF) require inter-subject image registrations, which are challenging for abdominal images, but alternative methods without registration have not yet achieved higher accuracy for most abdominal organs. We present a registration-free deep-learning-based segmentation algorithm for eight organs that are relevant for navigation in endoscopic pancreatic and biliary procedures, including the pancreas, the gastrointestinal tract (esophagus, stomach, and duodenum) and surrounding organs (liver, spleen, left kidney, and gallbladder). We directly compared the segmentation accuracy of the proposed method to the existing deep learning and MALF methods in a cross-validation on a multi-centre data set with 90 subjects. The proposed method yielded significantly higher Dice scores for all organs and lower mean absolute distances for most organs, including Dice scores of 0.78 versus 0.71, 0.74, and 0.74 for the pancreas, 0.90 versus 0.85, 0.87, and 0.83 for the stomach, and 0.76 versus 0.68, 0.69, and 0.66 for the esophagus. We conclude that the deep-learning-based segmentation represents a registration-free method for multi-organ abdominal CT segmentation whose accuracy can surpass current methods, potentially supporting image-guided navigation in gastrointestinal endoscopy procedures.</t>
  </si>
  <si>
    <t>E. Gibson, F. Giganti, Y. Hu, E. Bonmati, S. Bandula, K. Gurusamy, B. Davidson, S. P. Pereira, M. J. Clarkson and D. C. Barratt</t>
  </si>
  <si>
    <t>NiftyNet: a deep-learning platform for medical imaging</t>
  </si>
  <si>
    <t>BACKGROUND AND OBJECTIVES: Medical image analysis and computer-assisted intervention problems are increasingly being addressed with deep-learning-based solutions. Established deep-learning platforms are flexible but do not provide specific functionality for medical image analysis and adapting them for this domain of application requires substantial implementation effort. Consequently, there has been substantial duplication of effort and incompatible infrastructure developed across many research groups. This work presents the open-source NiftyNet platform for deep learning in medical imaging. The ambition of NiftyNet is to accelerate and simplify the development of these solutions, and to provide a common mechanism for disseminating research outputs for the community to use, adapt and build upon. METHODS: The NiftyNet infrastructure provides a modular deep-learning pipeline for a range of medical imaging applications including segmentation, regression, image generation and representation learning applications. Components of the NiftyNet pipeline including data loading, data augmentation, network architectures, loss functions and evaluation metrics are tailored to, and take advantage of, the idiosyncracies of medical image analysis and computer-assisted intervention. NiftyNet is built on the TensorFlow framework and supports features such as TensorBoard visualization of 2D and 3D images and computational graphs by default. RESULTS: We present three illustrative medical image analysis applications built using NiftyNet infrastructure: (1) segmentation of multiple abdominal organs from computed tomography; (2) image regression to predict computed tomography attenuation maps from brain magnetic resonance images; and (3) generation of simulated ultrasound images for specified anatomical poses. CONCLUSIONS: The NiftyNet infrastructure enables researchers to rapidly develop and distribute deep learning solutions for segmentation, regression, image generation and representation learning applications, or extend the platform to new applications.</t>
  </si>
  <si>
    <t>E. Gibson, W. Li, C. Sudre, L. Fidon, D. I. Shakir, G. Wang, Z. Eaton-Rosen, R. Gray, T. Doel, Y. Hu, T. Whyntie, P. Nachev, M. Modat, D. C. Barratt, S. Ourselin, M. J. Cardoso and T. Vercauteren</t>
  </si>
  <si>
    <t>White matter hyperintensity burden in acute stroke patients differs by ischemic stroke subtype</t>
  </si>
  <si>
    <t>OBJECTIVE: To examine etiologic stroke subtypes and vascular risk factor profiles and their association with white matter hyperintensity (WMH) burden in patients hospitalized for acute ischemic stroke (AIS). METHODS: For the MRI Genetics Interface Exploration (MRI-GENIE) study, we systematically assembled brain imaging and phenotypic data for 3,301 patients with AIS. All cases underwent standardized web tool-based stroke subtyping with the Causative Classification of Ischemic Stroke (CCS). WMH volume (WMHv) was measured on T2 brain MRI scans of 2,529 patients with a fully automated deep-learning trained algorithm. Univariable and multivariable linear mixed-effects modeling was carried out to investigate the relationship of vascular risk factors with WMHv and CCS subtypes. RESULTS: Patients with AIS with large artery atherosclerosis, major cardioembolic stroke, small artery occlusion (SAO), other, and undetermined causes of AIS differed significantly in their vascular risk factor profile (all p &lt; 0.001). Median WMHv in all patients with AIS was 5.86 cm(3) (interquartile range 2.18-14.61 cm(3)) and differed significantly across CCS subtypes (p &lt; 0.0001). In multivariable analysis, age, hypertension, prior stroke, smoking (all p &lt; 0.001), and diabetes mellitus (p = 0.041) were independent predictors of WMHv. When adjusted for confounders, patients with SAO had significantly higher WMHv compared to those with all other stroke subtypes (p &lt; 0.001). CONCLUSION: In this international multicenter, hospital-based cohort of patients with AIS, we demonstrate that vascular risk factor profiles and extent of WMH burden differ by CCS subtype, with the highest lesion burden detected in patients with SAO. These findings further support the small vessel hypothesis of WMH lesions detected on brain MRI of patients with ischemic stroke.</t>
  </si>
  <si>
    <t>Neurology</t>
  </si>
  <si>
    <t>Automated detection of COVID-19 using ensemble of transfer learning with deep convolutional neural network based on CT scans</t>
  </si>
  <si>
    <t>PURPOSE: COVID-19 has infected millions of people worldwide. One of the most important hurdles in controlling the spread of this disease is the inefficiency and lack of medical tests. Computed tomography (CT) scans are promising in providing accurate and fast detection of COVID-19. However, determining COVID-19 requires highly trained radiologists and suffers from inter-observer variability. To remedy these limitations, this paper introduces an automatic methodology based on an ensemble of deep transfer learning for the detection of COVID-19. METHODS: A total of 15 pre-trained convolutional neural networks (CNNs) architectures: EfficientNets(B0-B5), NasNetLarge, NasNetMobile, InceptionV3, ResNet-50, SeResnet 50, Xception, DenseNet121, ResNext50 and Inception_resnet_v2 are used and then fine-tuned on the target task. After that, we built an ensemble method based on majority voting of the best combination of deep transfer learning outputs to further improve the recognition performance. We have used a publicly available dataset of CT scans, which consists of 349 CT scans labeled as being positive for COVID-19 and 397 negative COVID-19 CT scans that are normal or contain other types of lung diseases. RESULTS: The experimental results indicate that the majority voting of 5 deep transfer learning architecture with EfficientNetB0, EfficientNetB3, EfficientNetB5, Inception_resnet_v2, and Xception has the higher results than the individual transfer learning structure and among the other models based on precision (0.857), recall (0.854) and accuracy (0.85) metrics in diagnosing COVID-19 from CT scans. CONCLUSION: Our study based on an ensemble deep transfer learning system with different pre-trained CNNs architectures can work well on a publicly available dataset of CT images for the diagnosis of COVID-19 based on CT scans.</t>
  </si>
  <si>
    <t>10.1016/j.jacr.2017.12.028</t>
  </si>
  <si>
    <t>Machine Learning in Medical Imaging</t>
  </si>
  <si>
    <t>Advances in both imaging and computers have synergistically led to a rapid rise in the potential use of artificial intelligence in various radiological imaging tasks, such as risk assessment, detection, diagnosis, prognosis, and therapy response, as well as in multi-omics disease discovery. A brief overview of the field is given here, allowing the reader to recognize the terminology, the various subfields, and components of machine learning, as well as the clinical potential. Radiomics, an expansion of computer-aided diagnosis, has been defined as the conversion of images to minable data. The ultimate benefit of quantitative radiomics is to (1) yield predictive image-based phenotypes of disease for precision medicine or (2) yield quantitative image-based phenotypes for data mining with other -omics for discovery (ie, imaging genomics). For deep learning in radiology to succeed, note that well-annotated large data sets are needed since deep networks are complex, computer software and hardware are evolving constantly, and subtle differences in disease states are more difficult to perceive than differences in everyday objects. In the future, machine learning in radiology is expected to have a substantial clinical impact with imaging examinations being routinely obtained in clinical practice, providing an opportunity to improve decision support in medical image interpretation. The term of note is decision support, indicating that computers will augment human decision making, making it more effective and efficient. The clinical impact of having computers in the routine clinical practice may allow radiologists to further integrate their knowledge with their clinical colleagues in other medical specialties and allow for precision medicine.</t>
  </si>
  <si>
    <t>M. L. Giger</t>
  </si>
  <si>
    <t>Analysis of head CT scans flagged by deep learning software for acute intracranial hemorrhage</t>
  </si>
  <si>
    <t>PURPOSE: To analyze the implementation of deep learning software for the detection and worklist prioritization of acute intracranial hemorrhage on non-contrast head CT (NCCT) in various clinical settings at an academic medical center. METHODS: Urgent NCCT scans were reviewed by the Aidoc (Tel Aviv, Israel) neural network software. All cases flagged by the software as positive for acute intracranial hemorrhage on the neuroradiology worklist were prospectively included in this assessment. The scans were classified regarding presence and type of hemorrhage, whether these were initial or follow-up scans, and patient visit location, including trauma/emergency, inpatient, and outpatient departments. RESULTS: During the 2 months of enrollment, 373 NCCT scans were flagged by the Aidoc software for possible intracranial hemorrhage out of 2011 scans analyzed (18.5%). Among the flagged cases, 275 (72.4%) were positive; 290 (77.7%) were inpatient cases, 75 (20.1%) were trauma/emergency cases, and eight (2.1%) were outpatient cases, and 229 of 373 (62.5%) were follow-up cases, of which 219 (95.6%) inpatient cases. Among the 144 new cases flagged for hemorrhage, 66 (44.4%) were positive, of which 39 (58.2%) were trauma/emergency cases. The overall sensitivity, specificity, positive predictive value, negative predictive value, and accuracy were 88.7%, 94.2% and 73.7%, 97.7%, and 93.4%, respectively. The accuracy of the intracranial hemorrhage detection was significantly higher for emergency cases than for inpatient cases (96.5% versus 89.4%). CONCLUSION: This study reveals that the performance of the deep learning software for acute intracranial hemorrhage detection varies depending upon the patient visit location. Furthermore, a substantial portion of flagged cases were follow-up exams, the majority of which were inpatient exams. These findings can help optimize the artificial intelligence-driven clincical workflow.</t>
  </si>
  <si>
    <t>D. T. Ginat</t>
  </si>
  <si>
    <t>Neuroradiology</t>
  </si>
  <si>
    <t>10.3389/fonc.2020.565086</t>
  </si>
  <si>
    <t>The Role of 18F-FDG PET/CT in Guiding Precision Medicine for Invasive Bladder Carcinoma</t>
  </si>
  <si>
    <t>Bladder cancer (BC) is the 10th most common cancer worldwide. Approximately one quarter of patients with BC have muscle-invasive disease (MIBC). Muscle-invasive disease carries a poor prognosis and choosing the optimal treatment option is critical to improve patients' outcomes. Ongoing research supports the role of 2-deoxy-2-(18F)fluoro-D-glucose positron emission tomography (18F-FDG PET) in guiding patient-specific management decisions throughout the course of MIBC. As an imaging modality, 18F-FDG PET is acquired simultaneously with either computed tomography (CT) or MRI to offer a hybrid approach combining anatomical and metabolic information that complement each other. At initial staging, 18F-FDG PET/CT enhances the detection of extravesical disease, particularly in patients classified as oligometastatic by conventional imaging. 18F-FDG PET/CT has value in monitoring response to neoadjuvant and systemic chemotherapy, as well as in localizing relapse after treatment. In the new era of immunotherapy, 18F-FDG PET/CT may also be useful to monitor treatment efficacy as well as to detect immune-related adverse events. With the advent of artificial intelligence techniques such as radiomics and deep learning, these hybrid medical images can be mined for quantitative data, providing incremental value over current standard-of-care clinical and biological data. This approach has the potential to produce a major paradigm shift toward data-driven precision medicine with the ultimate goal of personalized medicine. In this review, we highlight current literature reporting the role of 18F-FDG PET in supporting personalized management decisions for patients with MIBC. Specific topics reviewed include the incremental value of 18F-FDG PET in prognostication, pre-operative planning, response assessment, prediction of recurrence, and diagnosing drug toxicity.</t>
  </si>
  <si>
    <t>Front Oncol</t>
  </si>
  <si>
    <t>White matter connectomes at birth accurately predict cognitive abilities at age 2</t>
  </si>
  <si>
    <t>Cognitive ability is an important predictor of mental health outcomes that is influenced by neurodevelopment. Evidence suggests that the foundational wiring of the human brain is in place by birth, and that the white matter (WM) connectome supports developing brain function. It is unknown, however, how the WM connectome at birth supports emergent cognition. In this study, a deep learning model was trained using cross-validation to classify full-term infants (n = 75) as scoring above or below the median at age 2 using WM connectomes generated from diffusion weighted magnetic resonance images at birth. Results from this model were used to predict individual cognitive scores. We additionally identified WM connections important for classification. The model was also evaluated in a separate set of preterm infants (n = 37) scanned at term-age equivalent. Findings revealed that WM connectomes at birth predicted 2-year cognitive score group with high accuracy in both full-term (89.5%) and preterm (83.8%) infants. Scores predicted by the model were strongly correlated with actual scores (r = 0.98 for full-term and r = 0.96 for preterm). Connections within the frontal lobe, and between the frontal lobe and other brain areas were found to be important for classification. This work suggests that WM connectomes at birth can accurately predict a child's 2-year cognitive group and individual score in full-term and preterm infants. The WM connectome at birth appears to be a useful neuroimaging biomarker of subsequent cognitive development that deserves further study.</t>
  </si>
  <si>
    <t>J. B. Girault, B. C. Munsell, D. Puechmaille, B. D. Goldman, J. C. Prieto, M. Styner and J. H. Gilmore</t>
  </si>
  <si>
    <t>Fast interactive medical image segmentation with weakly supervised deep learning method</t>
  </si>
  <si>
    <t>PURPOSE: To achieve accurate image segmentation, which is the first critical step in medical image analysis and interventions, using deep neural networks seems a promising approach provided sufficiently large and diverse annotated data from experts. However, annotated datasets are often limited because it is prone to variations in acquisition parameters and require high-level expert's knowledge, and manually labeling targets by tracing their contour is often laborious. Developing fast, interactive, and weakly supervised deep learning methods is thus highly desirable. METHODS: We propose a new efficient deep learning method to accurately segment targets from images while generating an annotated dataset for deep learning methods. It involves a generative neural network-based prior-knowledge prediction from pseudo-contour landmarks. The predicted prior knowledge (i.e., contour proposal) is then refined using a convolutional neural network that leverages the information from the predicted prior knowledge and the raw input image. Our method was evaluated on a clinical database of 145 intraoperative ultrasound and 78 postoperative CT images of image-guided prostate brachytherapy. It was also evaluated on a cardiac multi-structure segmentation from 450 2D echocardiographic images. RESULTS: Experimental results show that our model can segment the prostate clinical target volume in 0.499 s (i.e., 7.79 milliseconds per image) with an average Dice coefficient of 96.9 ± 0.9% and 95.4 ± 0.9%, 3D Hausdorff distance of 4.25 ± 4.58 and 5.17 ± 1.41 mm, and volumetric overlap ratio of 93.9 ± 1.80% and 91.3 ± 1.70 from TRUS and CT images, respectively. It also yielded an average Dice coefficient of 96.3 ± 1.3% on echocardiographic images. CONCLUSIONS: We proposed and evaluated a fast, interactive deep learning method for accurate medical image segmentation. Moreover, our approach has the potential to solve the bottleneck of deep learning methods in adapting to inter-clinical variations and speed up the annotation processes.</t>
  </si>
  <si>
    <t>A deep learning method for real-time intraoperative US image segmentation in prostate brachytherapy</t>
  </si>
  <si>
    <t>PURPOSE: This paper addresses the detection of the clinical target volume (CTV) in transrectal ultrasound (TRUS) image-guided intraoperative for permanent prostate brachytherapy. Developing a robust and automatic method to detect the CTV on intraoperative TRUS images is clinically important to have faster and reproducible interventions that can benefit both the clinical workflow and patient health. METHODS: We present a multi-task deep learning method for an automatic prostate CTV boundary detection in intraoperative TRUS images by leveraging both the low-level and high-level (prior shape) information. Our method includes a channel-wise feature calibration strategy for low-level feature extraction and learning-based prior knowledge modeling for prostate CTV shape reconstruction. It employs CTV shape reconstruction from automatically sampled boundary surface coordinates (pseudo-landmarks) to detect the low-contrast and noisy regions across the prostate boundary, while being less biased from shadowing, inherent speckles, and artifact signals from the needle and implanted radioactive seeds. RESULTS: The proposed method was evaluated on a clinical database of 145 patients who underwent permanent prostate brachytherapy under TRUS guidance. Our method achieved a mean accuracy of [Formula: see text] and a mean surface distance error of [Formula: see text]. Extensive ablation and comparison studies show that our method outperformed previous deep learning-based methods by more than 7% for the Dice similarity coefficient and 6.9 mm reduced 3D Hausdorff distance error. CONCLUSION: Our study demonstrates the potential of shape model-based deep learning methods for an efficient and accurate CTV segmentation in an ultrasound-guided intervention. Moreover, learning both low-level features and prior shape knowledge with channel-wise feature calibration can significantly improve the performance of deep learning methods in medical image segmentation.</t>
  </si>
  <si>
    <t>A dual-stream deep convolutional network for reducing metal streak artifacts in CT images</t>
  </si>
  <si>
    <t>Machine learning and deep learning are rapidly finding applications in the medical imaging field. In this paper, we address the long-standing problem of metal artifacts in computed tomography (CT) images by training a dual-stream deep convolutional neural network for streak removal. While many metal artifact reduction methods exist, even state-of-the-art algorithms fall short in some clinical applications. Specifically, proton therapy planning requires high image quality with accurate tumor volumes to ensure treatment success. We explore a dual-stream deep network structure with residual learning to correct metal streak artifacts after a first-pass by a state-of-the-art interpolation-based algorithm, NMAR. We provide the network with a mask of the streaks in order to focus attention on those areas. Our experiments compare a mean squared error loss function with a perceptual loss function to emphasize preservation of image features and texture. Both visual and quantitative metrics are used to assess the resulting image quality for metal implant cases. Success may be due to the duality of information processing, with one network stream performing local structure correction, while the other stream provides an attention mechanism to destreak effectively. This study shows that image-domain deep learning can be highly effective for metal artifact reduction (MAR), and highlights the benefits and drawbacks of different loss functions for solving a major CT reconstruction challenge.</t>
  </si>
  <si>
    <t>L. Gjesteby, H. Shan, Q. Yang, Y. Xi, Y. Jin, D. Giantsoudi, H. Paganetti, B. De Man and G. Wang</t>
  </si>
  <si>
    <t>Deep learning applied to whole-brain connectome to determine seizure control after epilepsy surgery</t>
  </si>
  <si>
    <t>OBJECTIVE: We evaluated whether deep learning applied to whole-brain presurgical structural connectomes could be used to predict postoperative seizure outcome more accurately than inference from clinical variables in patients with mesial temporal lobe epilepsy (TLE). METHODS: Fifty patients with unilateral TLE were classified either as having persistent disabling seizures (SZ) or becoming seizure-free (SZF) at least 1 year after epilepsy surgery. Their presurgical structural connectomes were reconstructed from whole-brain diffusion tensor imaging. A deep network was trained based on connectome data to classify seizure outcome using 5-fold cross-validation. RESULTS: Classification accuracy of our trained neural network showed positive predictive value (PPV; seizure freedom) of 88 ± 7% and mean negative predictive value (NPV; seizure refractoriness) of 79 ± 8%. Conversely, a classification model based on clinical variables alone yielded &lt;50% accuracy. The specific features that contributed to high accuracy classification of the neural network were located not only in the ipsilateral temporal and extratemporal regions, but also in the contralateral hemisphere. SIGNIFICANCE: Deep learning demonstrated to be a powerful statistical approach capable of isolating abnormal individualized patterns from complex datasets to provide a highly accurate prediction of seizure outcomes after surgery. Features involved in this predictive model were both ipsilateral and contralateral to the clinical foci and spanned across limbic and extralimbic networks.</t>
  </si>
  <si>
    <t>E. Gleichgerrcht, B. Munsell, S. Bhatia, W. A. Vandergrift, 3rd, C. Rorden, C. McDonald, J. Edwards, R. Kuzniecky and L. Bonilha</t>
  </si>
  <si>
    <t>Diagnosis of Alzheimer's disease with Sobolev gradient-based optimization and 3D convolutional neural network</t>
  </si>
  <si>
    <t>Alzheimer's disease is a neuropsychiatric, progressive, also an irreversible disease. There is not an effective cure for the disease. However, early diagnosis has an important role for treatment planning to delay its progression since the treatments have the most impact at the early stage of the disease. Neuroimages obtained by different imaging techniques (for example, diffusion tensor-based and magnetic resonance-based imaging) provide powerful information and help to diagnose the disease. In this work, a deeply supervised and robust method has been developed using three dimensional features to provide objective and accurate diagnosis from magnetic resonance images. The main contributions are (a) a new three dimensional convolutional neural network topology; (b) a new Sobolev gradient-based optimization with weight values for each decision parameters; (c) application of the proposed topology and optimizer to diagnose Alzheimer's disease; (d) comparisons of the results obtained from the recent techniques that have been implemented for Alzheimer's disease diagnosis. Experimental results and quantitative evaluations indicated that the proposed network model is able to achieve to extract desired features from images and provides automated diagnosis with 98.06% accuracy.</t>
  </si>
  <si>
    <t>E. Goceri</t>
  </si>
  <si>
    <t>Int J Numer Method Biomed Eng</t>
  </si>
  <si>
    <t>Water-fat separation and parameter mapping in cardiac MRI via deep learning with a convolutional neural network</t>
  </si>
  <si>
    <t>BACKGROUND: Water-fat separation is a postprocessing technique most commonly applied to multiple-gradient-echo magnetic resonance (MR) images to identify fat, provide images with fat suppression, and to measure fat tissue concentration. Recently, Numerous advancements have been reported. In contrast to early methods, the process of water-fat separation has become complicated due to multiparametric analytic models, optimization methods, and the absence of a unified framework for diverse source data. PURPOSE: To determine the feasibility and performance of MRI water-fat separation and parametric mapping via deep learning (DL) with a range of inputs. STUDY TYPE: Retrospective data usage. POPULATION/SUBJECTS: Ninety cardiac MR examinations from normal control, acute, subacute, and chronic myocardial infarction subjects were obtained, providing 1200 multiple gradient-echo acquisitions. FIELD STRENGTH/SEQUENCE: 1.5 T/2D multiple gradient-echo pulse sequence ASSESSMENT: Ground-truth training and validation water-fat separation were obtained using a graph cut method with R(2) *, off-resonance correction, and a multipeak fat spectrum. U-Net DL training with single and multiecho, complex, and magnitude inputs were compared using quantitative and three-observer subjective analysis. STATISTICAL TESTS: DL methods' image structural similarity, and quantitative proton density fat fraction (PDFF), R(2) *, and off-resonance quantitative values were statistically compared with the GraphCut reference standard using Student's t-test and Pearson's correlation. RESULTS: Myocardial fat deposition in chronic myocardial infarction and intramyocardial hemorrhage in acute myocardial infarction were well visualized in the DL results. Predicted values for R(2) *, off-resonance, water, and fat signal intensities were well correlated with a conventional model-based water fat separation (R(2) ≥ 0.97, P &lt; 0.001) with appropriate inputs. DL parameter maps had a 14% higher signal-to-noise ratio (P &lt; 0.001) when compared with a conventional method. DATA CONCLUSION: DL water-fat separation is feasible with a wide range of inputs, while R(2) * and off-resonance mapping requires multiple echoes and complex images. With appropriate inputs, DL provides quantitative and subjective results comparable to conventional model-based methods. LEVEL OF EVIDENCE: 1 Technical Efficacy Stage: 1 J. Magn. Reson. Imaging 2019;50:655-665.</t>
  </si>
  <si>
    <t>Diving Deep into Deep Learning: An Update on Artificial Intelligence in Retina</t>
  </si>
  <si>
    <t>PURPOSE OF REVIEW: In the present article, we will provide an understanding and review of artificial intelligence in the subspecialty of retina and its potential applications within the specialty. RECENT FINDINGS: Given the significant use of diagnostic imaging within retina, this subspecialty is a fitting area for the incorporation of artificial intelligence. Researchers have aimed at creating models to assist in the diagnosis and management of retinal disease as well as in the prediction of disease course and treatment response. Most of this work thus far has focused on diabetic retinopathy, age-related macular degeneration, and retinopathy of prematurity, although other retinal diseases have started to be explored as well. SUMMARY: Artificial intelligence is well-suited to transform the practice of ophthalmology. A basic understanding of the technology is important for its effective implementation and growth.</t>
  </si>
  <si>
    <t>Curr Ophthalmol Rep</t>
  </si>
  <si>
    <t>q-Space Deep Learning: Twelve-Fold Shorter and Model-Free Diffusion MRI Scans</t>
  </si>
  <si>
    <t>Numerous scientific fields rely on elaborate but partly suboptimal data processing pipelines. An example is diffusion magnetic resonance imaging (diffusion MRI), a non-invasive microstructure assessment method with a prominent application in neuroimaging. Advanced diffusion models providing accurate microstructural characterization so far have required long acquisition times and thus have been inapplicable for children and adults who are uncooperative, uncomfortable, or unwell. We show that the long scan time requirements are mainly due to disadvantages of classical data processing. We demonstrate how deep learning, a group of algorithms based on recent advances in the field of artificial neural networks, can be applied to reduce diffusion MRI data processing to a single optimized step. This modification allows obtaining scalar measures from advanced models at twelve-fold reduced scan time and detecting abnormalities without using diffusion models. We set a new state of the art by estimating diffusion kurtosis measures from only 12 data points and neurite orientation dispersion and density measures from only 8 data points. This allows unprecedentedly fast and robust protocols facilitating clinical routine and demonstrates how classical data processing can be streamlined by means of deep learning.</t>
  </si>
  <si>
    <t>V. Golkov, A. Dosovitskiy, J. I. Sperl, M. I. Menzel, M. Czisch, P. Samann, T. Brox and D. Cremers</t>
  </si>
  <si>
    <t>Artificial Intelligence in Nuclear Cardiology</t>
  </si>
  <si>
    <t>J. Gomez and R. Doukky</t>
  </si>
  <si>
    <t>Low-light image enhancement of high-speed endoscopic videos using a convolutional neural network</t>
  </si>
  <si>
    <t>Laryngeal endoscopy is one of the primary diagnostic tools for laryngeal disorders. The main techniques are videostroboscopy and lately high-speed video endoscopy. Unfortunately, due to the restricting anatomy of the larynx and technical limitations of the recording equipment, many videos suffer from insufficient illumination, which complicates clinical examination and analysis. This work presents an approach to enhance low-light images from high-speed video endoscopy using a convolutional neural network. We introduce a new technique to generate realistically darkened training samples using Perlin noise. Extensive data augmentation is employed to cope with the limited training data allowing training with just 55 videos. The approach is compared against four state-of-the-art low-light enhancement methods and statistically significantly outperforms each on a no-reference (NIQE) and two full-reference (PSNR, SSIM) image quality metrics. The presented approach can be run on consumer-grade hardware and is thereby directly applicable in a clinical context. It is likely transferable to similar techniques such as videostroboscopy. Graphical Abstract The basic setup for training and employing an improved fully convolutional U-Net neural network to predict a brightness map used to enhance the lighting of ill-lit endoscopic high-speed videos - Artificially darkened training data are created using Perlin noise to allow region-specific darkening.</t>
  </si>
  <si>
    <t>Deep learning in gastric tissue diseases: a systematic review</t>
  </si>
  <si>
    <t>BACKGROUND: In recent years, deep learning has gained remarkable attention in medical image analysis due to its capacity to provide results comparable to specialists and, in some cases, surpass them. Despite the emergence of deep learning research on gastric tissues diseases, few intensive reviews are addressing this topic. METHOD: We performed a systematic review related to applications of deep learning in gastric tissue disease analysis by digital histology, endoscopy and radiology images. CONCLUSIONS: This review highlighted the high potential and shortcomings in deep learning research studies applied to gastric cancer, ulcer, gastritis and non-malignant diseases. Our results demonstrate the effectiveness of gastric tissue analysis by deep learning applications. Moreover, we also identified gaps of evaluation metrics, and image collection availability, therefore, impacting experimental reproducibility.</t>
  </si>
  <si>
    <t>BMJ Open Gastroenterol</t>
  </si>
  <si>
    <t>Deep learning enables reduced gadolinium dose for contrast-enhanced brain MRI</t>
  </si>
  <si>
    <t>BACKGROUND: There are concerns over gadolinium deposition from gadolinium-based contrast agents (GBCA) administration. PURPOSE: To reduce gadolinium dose in contrast-enhanced brain MRI using a deep learning method. STUDY TYPE: Retrospective, crossover. POPULATION: Sixty patients receiving clinically indicated contrast-enhanced brain MRI. SEQUENCE: 3D T(1) -weighted inversion-recovery prepped fast-spoiled-gradient-echo (IR-FSPGR) imaging was acquired at both 1.5T and 3T. In 60 brain MRI exams, the IR-FSPGR sequence was obtained under three conditions: precontrast, postcontrast images with 10% low-dose (0.01mmol/kg) and 100% full-dose (0.1 mmol/kg) of gadobenate dimeglumine. We trained a deep learning model using the first 10 cases (with mixed indications) to approximate full-dose images from the precontrast and low-dose images. Synthesized full-dose images were created using the trained model in two test sets: 20 patients with mixed indications and 30 patients with glioma. ASSESSMENT: For both test sets, low-dose, true full-dose, and the synthesized full-dose postcontrast image sets were compared quantitatively using peak-signal-to-noise-ratios (PSNR) and structural-similarity-index (SSIM). For the test set comprised of 20 patients with mixed indications, two neuroradiologists scored blindly and independently for the three postcontrast image sets, evaluating image quality, motion-artifact suppression, and contrast enhancement compared with precontrast images. STATISTICAL ANALYSIS: Results were assessed using paired t-tests and noninferiority tests. RESULTS: The proposed deep learning method yielded significant (n = 50, P &lt; 0.001) improvements over the low-dose images (&gt;5 dB PSNR gains and &gt;11.0% SSIM). Ratings on image quality (n = 20, P = 0.003) and contrast enhancement (n = 20, P &lt; 0.001) were significantly increased. Compared to true full-dose images, the synthesized full-dose images have a slight but not significant reduction in image quality (n = 20, P = 0.083) and contrast enhancement (n = 20, P = 0.068). Slightly better (n = 20, P = 0.039) motion-artifact suppression was noted in the synthesized images. The noninferiority test rejects the inferiority of the synthesized to true full-dose images for image quality (95% CI: -14-9%), artifacts suppression (95% CI: -5-20%), and contrast enhancement (95% CI: -13-6%). DATA CONCLUSION: With the proposed deep learning method, gadolinium dose can be reduced 10-fold while preserving contrast information and avoiding significant image quality degradation. LEVEL OF EVIDENCE: 3 Technical Efficacy: Stage 5 J. MAGN. RESON. IMAGING 2018;48:330-340.</t>
  </si>
  <si>
    <t>E. Gong, J. M. Pauly, M. Wintermark and G. Zaharchuk</t>
  </si>
  <si>
    <t>A deep learning- and partial least square regression-based model observer for a low-contrast lesion detection task in CT</t>
  </si>
  <si>
    <t>PURPOSE: This work aims to develop a new framework of image quality assessment using deep learning-based model observer (DL-MO) and to validate it in a low-contrast lesion detection task that involves CT images with patient anatomical background. METHODS: The DL-MO was developed using the transfer learning strategy to incorporate a pretrained deep convolutional neural network (CNN), a partial least square regression discriminant analysis (PLS-DA) model and an internal noise component. The CNN was previously trained to achieve the state-of-the-art classification accuracy over a natural image database. The earlier layers of the CNN were used as a deep feature extractor, with the assumption that similarity exists between the CNN and the human visual system. The PLSR model was used to further engineer the deep feature for the lesion detection task in CT images. The internal noise component was incorporated to model the inefficiency and variability of human observer (HO) performance, and to generate the ultimate DL-MO test statistics. Seven abdominal CT exams were retrospectively collected from the same type of CT scanners. To compare DL-MO with HO, 12 experimental conditions with varying lesion size, lesion contrast, radiation dose, and reconstruction types were generated, each condition with 154 trials. CT images of a real liver metastatic lesion were numerically modified to generate lesion models with four lesion sizes (5, 7, 9, and 11 mm) and three contrast levels (15, 20, and 25 HU). The lesions were inserted into patient liver images using a projection-based method. A validated noise insertion tool was used to synthesize CT exams with 50% and 25% of routine radiation dose level. CT images were reconstructed using the weighted filtered back projection algorithm and an iterative reconstruction algorithm. Four medical physicists performed a two-alternative forced choice (2AFC) detection task (with multislice scrolling viewing mode) on patient images across the 12 experimental conditions. DL-MO was operated on the same datasets. Statistical analyses were performed to evaluate the correlation and agreement between DL-MO and HO. RESULTS: A statistically significant positive correlation was observed between DL-MO and HO for the 2AFC low-contrast detection task that involves patient liver background. The corresponding Pearson product moment correlation coefficient was 0.986 [95% confidence interval (0.950, 0.996)]. Bland-Altman agreement analysis did not indicate statistically significant differences. CONCLUSIONS: The proposed DL-MO is highly correlated with HO in a low-contrast detection task that involves realistic patient liver background. This study demonstrated the potential of the proposed DL-MO to assess image quality directly based on patient images in realistic, clinically relevant CT tasks.</t>
  </si>
  <si>
    <t>H. Gong, L. Yu, S. Leng, S. K. Dilger, L. Ren, W. Zhou, J. G. Fletcher and C. H. McCollough</t>
  </si>
  <si>
    <t>A deep residual learning network for predicting lung adenocarcinoma manifesting as ground-glass nodule on CT images</t>
  </si>
  <si>
    <t>OBJECTIVE: To develop a deep learning-based artificial intelligence (AI) scheme for predicting the likelihood of the ground-glass nodule (GGN) detected on CT images being invasive adenocarcinoma (IA) and also compare the accuracy of this AI scheme with that of two radiologists. METHODS: First, we retrospectively collected 828 histopathologically confirmed GGNs of 644 patients from two centers. Among them, 209 GGNs are confirmed IA and 619 are non-IA, including 409 adenocarcinomas in situ and 210 minimally invasive adenocarcinomas. Second, we applied a series of pre-preprocessing techniques, such as image resampling, rescaling and cropping, and data augmentation, to process original CT images and generate new training and testing images. Third, we built an AI scheme based on a deep convolutional neural network by using a residual learning architecture and batch normalization technique. Finally, we conducted an observer study and compared the prediction performance of the AI scheme with that of two radiologists using an independent dataset with 102 GGNs. RESULTS: The new AI scheme yielded an area under the receiver operating characteristic curve (AUC) of 0.92 ± 0.03 in classifying between IA and non-IA GGNs, which is equivalent to the senior radiologist's performance (AUC 0.92 ± 0.03) and higher than the score of the junior radiologist (AUC 0.90 ± 0.03). The Kappa value of two sets of subjective prediction scores generated by two radiologists is 0.6. CONCLUSIONS: The study result demonstrates using an AI scheme to improve the performance in predicting IA, which can help improve the development of a more effective personalized cancer treatment paradigm. KEY POINTS: • The feasibility of using a deep learning method to predict the likelihood of the ground-glass nodule being invasive adenocarcinoma. • Residual learning-based CNN model improves the performance in classifying between IA and non-IA nodules. • Artificial intelligence (AI) scheme yields higher performance than radiologists in predicting invasive adenocarcinoma.</t>
  </si>
  <si>
    <t>PET Image Reconstruction Using Deep Image Prior</t>
  </si>
  <si>
    <t>Recently, deep neural networks have been widely and successfully applied in computer vision tasks and have attracted growing interest in medical imaging. One barrier for the application of deep neural networks to medical imaging is the need for large amounts of prior training pairs, which is not always feasible in clinical practice. This is especially true for medical image reconstruction problems, where raw data are needed. Inspired by the deep image prior framework, in this paper, we proposed a personalized network training method where no prior training pairs are needed, but only the patient's own prior information. The network is updated during the iterative reconstruction process using the patient-specific prior information and measured data. We formulated the maximum-likelihood estimation as a constrained optimization problem and solved it using the alternating direction method of multipliers algorithm. Magnetic resonance imaging guided positron emission tomography reconstruction was employed as an example to demonstrate the effectiveness of the proposed framework. Quantification results based on simulation and real data show that the proposed reconstruction framework can outperform Gaussian post-smoothing and anatomically guided reconstructions using the kernel method or the neural-network penalty.</t>
  </si>
  <si>
    <t>Automated pulmonary nodule detection in CT images using 3D deep squeeze-and-excitation networks</t>
  </si>
  <si>
    <t>PURPOSE: Pulmonary nodule detection has great significance for early treating lung cancer and increasing patient survival. This work presents a novel automated computer-aided detection scheme for pulmonary nodules based on deep convolutional neural networks (DCNNs). METHODS: The proposed approach employs 3D DCNNs based on squeeze-and-excitation network and residual network (SE-ResNet) for pulmonary nodule candidate detection and false-positive reduction. Specifically, a 3D region proposal network with a U-Net-like structure is designed for detecting pulmonary nodule candidates. For the subsequent false-positive reduction, a 3D SE-ResNet-based classifier is presented to accurately discriminate the true nodules from candidates. The 3D SE-ResNet modules boost the representational power of the network by adaptively recalibrating channel-wise residual feature responses. Both models utilize 3D SE-ResNet modules to learn nodule features effectively and improve nodule detection performance. RESULTS: On the public available lung nodule analysis 2016 dataset with 888 scans included, the proposed method reaches high detection sensitivities of 93.6% and 95.7% at one and four false positives per scan, respectively. Meanwhile, the competition performance metric score of 0.904 is achieved. The proposed method has the capability to detect multi-size nodules, especially the extremely small nodules. CONCLUSION: In this paper, a 3D DCNNs framework based on 3D SE-ResNet modules is proposed to detect pulmonary nodules in chest CT images accurately. Experimental results demonstrate superior effectiveness of the proposed approach in pulmonary nodule detection task.</t>
  </si>
  <si>
    <t>Generative Adversarial Networks in Medical Image Processing</t>
  </si>
  <si>
    <t>BACKGROUND: The emergence of generative adversarial networks (GANs) has provided a new technology and framework for the application of medical images. Specifically, a GAN requires little to no labeled data to obtain highquality data that can be generated through competition between the generator and discriminator networks. Therefore, GANs are rapidly proving to be a state-of-the-art foundation, achieving enhanced performances in various medical applications. METHODS: In this article, we introduce the principles of GANs and their various variants, deep convolutional GAN, conditional GAN, Wasserstein GAN, Info-GAN, boundary equilibrium GAN, and cycle-GAN. RESULTS: All various GANs have found success in medical imaging tasks, including medical image enhancement, segmentation, classification, reconstruction, and synthesis. Furthermore, we summarize the data processing methods and evaluation indicators. Finally, we note the limitations of existing methods and the existing challenges that need to be addressed in this field. CONCLUSION: Although GANs are in initial stage of development in medical image processing, it will have a great prospect in the future.</t>
  </si>
  <si>
    <t>Curr Pharm Des</t>
  </si>
  <si>
    <t>Disease Staging and Prognosis in Smokers Using Deep Learning in Chest Computed Tomography</t>
  </si>
  <si>
    <t>RATIONALE: Deep learning is a powerful tool that may allow for improved outcome prediction. OBJECTIVES: To determine if deep learning, specifically convolutional neural network (CNN) analysis, could detect and stage chronic obstructive pulmonary disease (COPD) and predict acute respiratory disease (ARD) events and mortality in smokers. METHODS: A CNN was trained using computed tomography scans from 7,983 COPDGene participants and evaluated using 1,000 nonoverlapping COPDGene participants and 1,672 ECLIPSE participants. Logistic regression (C statistic and the Hosmer-Lemeshow test) was used to assess COPD diagnosis and ARD prediction. Cox regression (C index and the Greenwood-Nam-D'Agnostino test) was used to assess mortality. MEASUREMENTS AND MAIN RESULTS: In COPDGene, the C statistic for the detection of COPD was 0.856. A total of 51.1% of participants in COPDGene were accurately staged and 74.95% were within one stage. In ECLIPSE, 29.4% were accurately staged and 74.6% were within one stage. In COPDGene and ECLIPSE, the C statistics for ARD events were 0.64 and 0.55, respectively, and the Hosmer-Lemeshow P values were 0.502 and 0.380, respectively, suggesting no evidence of poor calibration. In COPDGene and ECLIPSE, CNN predicted mortality with fair discrimination (C indices, 0.72 and 0.60, respectively), and without evidence of poor calibration (Greenwood-Nam-D'Agnostino P values, 0.307 and 0.331, respectively). CONCLUSIONS: A deep-learning approach that uses only computed tomography imaging data can identify those smokers who have COPD and predict who are most likely to have ARD events and those with the highest mortality. At a population level CNN analysis may be a powerful tool for risk assessment.</t>
  </si>
  <si>
    <t>G. González, S. Y. Ash, G. Vegas-Sánchez-Ferrero, J. Onieva Onieva, F. N. Rahaghi, J. C. Ross, A. Díaz, R. San José Estépar and G. R. Washko</t>
  </si>
  <si>
    <t>Here, a streamlined, scalable, laboratory approach is discussed that enables medium-to-large dataset analysis. The presented approach combines data management, artificial intelligence, containerization, cluster orchestration, and quality control in a unified analytic pipeline. The unique combination of these individual building blocks creates a new and powerful analysis approach that can readily be applied to medium-to-large datasets by researchers to accelerate the pace of research. The proposed framework is applied to a project that counts the number of plasmonic nanoparticles bound to peripheral blood mononuclear cells in dark-field microscopy images. By using the techniques presented in this article, the images are automatically processed overnight, without user interaction, streamlining the path from experiment to conclusions.</t>
  </si>
  <si>
    <t>Bioessays</t>
  </si>
  <si>
    <t>Labeled data is the current bottleneck of medical image research. Substantial efforts are made to generate segmentation masks to characterize a given organ. The community ends up with multiple label maps of individual structures in different cases, not suitable for current multi-organ segmentation frameworks. Our objective is to leverage segmentations from multiple organs in different cases to generate a robust multi-organ deep learning segmentation network. We propose a modified cost-function that takes into account only the voxels labeled in the image, ignoring unlabeled structures. We evaluate the proposed methodology in the context of pectoralis muscle and subcutaneous fat segmentation on chest CT scans. Six different structures are segmented from an axial slice centered on the transversal aorta. We compare the performance of a network trained on 3,000 images where only one structure has been annotated (PUNet) against six UNets (one per structure) and a multi-class UNet trained on 500 completely annotated images, showing equivalence between the three methods (Dice coefficients of 0.909, 0.906 and 0.909 respectively). We further propose a modification of the architecture by adding convolutions to the skip connections (CUNet). When trained with partially labeled images, it outperforms statistically significantly the other three methods (Dice 0.916, p&lt; 0.0001). We, therefore, show that (a) when keeping the number of organ annotation constant, training with partially labeled images is equivalent to training with wholly labeled data and (b) adding convolutions in the skip connections improves performance.</t>
  </si>
  <si>
    <t>Image Anal Mov Organ Breast Thorac Images (2018)</t>
  </si>
  <si>
    <t>Segmentation of bones in medical dual-energy computed tomography volumes using the 3D U-Net</t>
  </si>
  <si>
    <t>Deep learning algorithms have improved the speed and quality of segmentation for certain tasks in medical imaging. The aim of this work is to design and evaluate an algorithm capable of segmenting bones in dual-energy CT data sets. A convolutional neural network based on the 3D U-Net architecture was implemented and evaluated using high tube voltage images, mixed images and dual-energy images from 30 patients. The network performed well on all the data sets; the mean Dice coefficient for the test data was larger than 0.963. Of special interest is that it performed better on dual-energy CT volumes compared to mixed images that mimicked images taken at 120 kV. The corresponding increase in the Dice coefficient from 0.965 to 0.966 was small since the enhancements were mainly at the edges of the bones. The method can easily be extended to the segmentation of multi-energy CT data.</t>
  </si>
  <si>
    <t>Phys Med</t>
  </si>
  <si>
    <t>Interpretability of deep learning (DL) systems is gaining attention in medical imaging to increase experts' trust in the obtained predictions and facilitate their integration in clinical settings. We propose a deep visualization method to generate interpretability of DL classification tasks in medical imaging by means of visual evidence augmentation. The proposed method iteratively unveils abnormalities based on the prediction of a classifier trained only with image-level labels. For each image, initial visual evidence of the prediction is extracted with a given visual attribution technique. This provides localization of abnormalities that are then removed through selective inpainting. We iteratively apply this procedure until the system considers the image as normal. This yields augmented visual evidence, including less discriminative lesions which were not detected at first but should be considered for final diagnosis. We apply the method to grading of two retinal diseases in color fundus images: diabetic retinopathy (DR) and age-related macular degeneration (AMD). We evaluate the generated visual evidence and the performance of weakly-supervised localization of different types of DR and AMD abnormalities, both qualitatively and quantitatively. We show that the augmented visual evidence of the predictions highlights the biomarkers considered by experts for diagnosis and improves the final localization performance. It results in a relative increase of 11.2± 2.0% per image regarding sensitivity averaged at 10 false positives/image on average, when applied to different classification tasks, visual attribution techniques and network architectures. This makes the proposed method a useful tool for exhaustive visual support of DL classifiers in medical imaging.</t>
  </si>
  <si>
    <t>Cytopathological image analysis using deep-learning networks in microfluidic microscopy</t>
  </si>
  <si>
    <t>Cytopathologic testing is one of the most critical steps in the diagnosis of diseases, including cancer. However, the task is laborious and demands skill. Associated high cost and low throughput drew considerable interest in automating the testing process. Several neural network architectures were designed to provide human expertise to machines. In this paper, we explore and propose the feasibility of using deep-learning networks for cytopathologic analysis by performing the classification of three important unlabeled, unstained leukemia cell lines (K562, MOLT, and HL60). The cell images used in the classification are captured using a low-cost, high-throughput cell imaging technique: microfluidics-based imaging flow cytometry. We demonstrate that without any conventional fine segmentation followed by explicit feature extraction, the proposed deep-learning algorithms effectively classify the coarsely localized cell lines. We show that the designed deep belief network as well as the deeply pretrained convolutional neural network outperform the conventionally used decision systems and are important in the medical domain, where the availability of labeled data is limited for training. We hope that our work enables the development of a clinically significant high-throughput microfluidic microscopy-based tool for disease screening/triaging, especially in resource-limited settings.</t>
  </si>
  <si>
    <t>G. Gopakumar, K. Hari Babu, D. Mishra, S. S. Gorthi and G. R. Sai Subrahmanyam</t>
  </si>
  <si>
    <t>J Opt Soc Am A Opt Image Sci Vis</t>
  </si>
  <si>
    <t>Graph Convolutions on Spectral Embeddings for Cortical Surface Parcellation</t>
  </si>
  <si>
    <t>Neuronal cell bodies mostly reside in the cerebral cortex. The study of this thin and highly convoluted surface is essential for understanding how the brain works. The analysis of surface data is, however, challenging due to the high variability of the cortical geometry. This paper presents a novel approach for learning and exploiting surface data directly across multiple surface domains. Current approaches rely on geometrical simplifications, such as spherical inflations, a popular but costly process. For instance, the widely used FreeSurfer takes about 3 hours to parcellate brain surfaces on a standard machine. Direct learning of surface data via graph convolutions would provide a new family of fast algorithms for processing brain surfaces. However, the current limitation of existing state-of-the-art approaches is their inability to compare surface data across different surface domains. Surface bases are indeed incompatible between brain geometries. This paper leverages recent advances in spectral graph matching to transfer surface data across aligned spectral domains. This novel approach enables direct learning of surface data across compatible surface bases. It exploits spectral filters over intrinsic representations of surface neighborhoods. We illustrate the benefits of this approach with an application to brain parcellation. We validate the algorithm over 101 manually labeled brain surfaces. The results show a significant improvement in labeling accuracy over recent Euclidean approaches while gaining a drastic speed improvement over conventional methods.</t>
  </si>
  <si>
    <t>Deep-learning convolutional neural network: Inner and outer bladder wall segmentation in CT urography</t>
  </si>
  <si>
    <t>PURPOSE: We are developing a computerized segmentation tool for the inner and outer bladder wall as a part of an image analysis pipeline for CT urography (CTU). MATERIALS AND METHODS: A data set of 172 CTU cases was collected retrospectively with Institutional Review Board (IRB) approval. The data set was randomly split into two independent sets of training (81 cases) and testing (92 cases) which were manually outlined for both the inner and outer wall. We trained a deep-learning convolutional neural network (DL-CNN) to distinguish the bladder wall from the inside and outside of the bladder using neighborhood information. Approximately, 240 000 regions of interest (ROIs) of 16 × 16 pixels in size were extracted from regions in the training cases identified by the manually outlined inner and outer bladder walls to form a training set for the DL-CNN; half of the ROIs were selected to include the bladder wall and the other half were selected to exclude the bladder wall with some of these ROIs being inside the bladder and the rest outside the bladder entirely. The DL-CNN trained on these ROIs was applied to the cases in the test set slice-by-slice to generate a bladder wall likelihood map where the gray level of a given pixel represents the likelihood that a given pixel would belong to the bladder wall. We then used the DL-CNN likelihood map as an energy term in the energy equation of a cascaded level sets method to segment the inner and outer bladder wall. The DL-CNN segmentation with level sets was compared to the three-dimensional (3D) hand-segmented contours as a reference standard. RESULTS: For the inner wall contour, the training set achieved the average volume intersection, average volume error, average absolute volume error, and average distance of 90.0 ± 8.7%, -4.2 ± 18.4%, 12.9 ± 13.9%, and 3.0 ± 1.6 mm, respectively. The corresponding values for the test set were 86.9 ± 9.6%, -8.3 ± 37.7%, 18.4 ± 33.8%, and 3.4 ± 1.8 mm, respectively. For the outer wall contour, the training set achieved the values of 93.7 ± 3.9%, -7.8 ± 11.4%, 10.3 ± 9.3%, and 3.0 ± 1.2 mm, respectively. The corresponding values for the test set were 87.5 ± 9.9%, -1.2 ± 20.8%, 11.9 ± 17.0%, and 3.5 ± 2.3 mm, respectively. CONCLUSIONS: Our study demonstrates that DL-CNN-assisted level sets can effectively segment bladder walls from the inner bladder and outer structures despite a lack of consistent distinctions along the inner wall. However, even with the addition of level sets, the inner and outer walls may still be over-segmented and the DL-CNN-assisted level sets may incorrectly segment parts of the prostate that overlap with the outer bladder wall. The outer wall segmentation was improved compared to our previous method and the DL-CNN-assisted level sets were also able to segment the inner bladder wall with similar performance. This study shows the DL-CNN-assisted level set segmentation tool can effectively segment the inner and outer wall of the bladder.</t>
  </si>
  <si>
    <t>M. N. Gordon, L. M. Hadjiiski, K. H. Cha, R. K. Samala, H. P. Chan, R. H. Cohan and E. M. Caoili</t>
  </si>
  <si>
    <t>Artificial intelligence in medical imaging</t>
  </si>
  <si>
    <t>The medical specialty radiology has experienced a number of extremely important and influential technical developments in the past that have affected how medical imaging is deployed. Artificial intelligence (AI) is potentially another such development that will introduce fundamental changes into the practice of radiology. In this commentary the historical evolution of some major changes in radiology are traced as background to how AI may also be embraced into practice. Potential new capabilities provided by AI offer exciting prospects for more efficient and effective use of medical images.</t>
  </si>
  <si>
    <t>J. C. Gore</t>
  </si>
  <si>
    <t>A deep learning approach to radiation dose estimation</t>
  </si>
  <si>
    <t>Currently methods for predicting absorbed dose after administering a radiopharmaceutical are rather crude in daily clinical practice. Most importantly, individual tissue density distributions as well as local variations of the concentration of the radiopharmaceutical are commonly neglected. The current study proposes machine learning techniques like Green's function-based empirical mode decomposition and deep learning methods on U-net architectures in conjunction with soft tissue kernel Monte Carlo (MC) simulations to overcome current limitations in precision and reliability of dose estimations for clinical dosimetric applications. We present a hybrid method (DNN-EMD) based on deep neural networks (DNN) in combination with empirical mode decomposition (EMD) techniques. The algorithm receives x-ray computed tomography (CT) tissue density maps and dose maps, estimated according to the MIRD protocol, i.e. employing whole organ S-values and related time-integrated activities (TIAs), and from measured SPECT distributions of (177)Lu radionuclei, and learns to predict individual absorbed dose distributions. In a second step, density maps are replaced by their intrinsic modes as deduced from an EMD analysis. The system is trained using individual full MC simulation results as reference. Data from a patient cohort of 26 subjects are reported in this study. The proposed methods were validated employing a leave-one-out cross-validation technique. Deviations of estimated dose from corresponding MC results corroborate a superior performance of the newly proposed hybrid DNN-EMD method compared to its related MIRD DVK dose calculation. Not only are the mean deviations much smaller with the new method, but also the related variances are much reduced. If intrinsic modes of the tissue density maps are input to the algorithm, variances become even further reduced though the mean deviations are less affected. The newly proposed hybrid DNN-EMD method for individualized radiation dose prediction outperforms the MIRD DVK dose calculation method. It is fast enough to be of use in daily clinical practice.</t>
  </si>
  <si>
    <t>A New and Improved Method for Automated Screening of Age-Related Macular Degeneration Using Ensemble Deep Neural Networks</t>
  </si>
  <si>
    <t>In this paper, we provide a new framework on deep learning based automated screening method for finding individuals at risk of developing Age-related Macular Degeneration (AMD). We studied the appropriateness of using the transfer learning to screen AMD by using color fundus images. We make use of the Age-Related Eye Disease Study (AREDS) dataset with nearly 150,000 images, which also provided qualitative grading information by expert graders and ophthalmologists. We use ensemble learning technique with two deep neural networks, namely, Inception-ResNet-V2 and Xception with a custom fine-tuning approach. For our study, we have identified two experiments that are most useful in the screening of AMD. First, we have categorized the images into two classes based on the clinical significance: None or early AMD and Intermediate or Advanced AMD. Second, we have categorized the images into four classes: No AMD, early AMD, Intermediate AMD and Advanced AMD. On AREDS dataset, we have achieved an accuracy of over 95.3% for two-class experiment with our ensemble method. With accuracies ranging from 86% (for four-class) to 95.3% (for two-class), we have demonstrated that the training of a deep neural network with the transfer of learned features with a sufficient number of images fares very well and is comparable to human grading.</t>
  </si>
  <si>
    <t>A. Govindaiah, R. T. Smith and A. Bhuiyan</t>
  </si>
  <si>
    <t>Robust Methods for Real-Time Diabetic Foot Ulcer Detection and Localization on Mobile Devices</t>
  </si>
  <si>
    <t>Current practice for diabetic foot ulcers (DFU) screening involves detection and localization by podiatrists. Existing automated solutions either focus on segmentation or classification. In this work, we design deep learning methods for real-time DFU localization. To produce a robust deep learning model, we collected an extensive database of 1775 images of DFU. Two medical experts produced the ground truths of this data set by outlining the region of interest of DFU with an annotator software. Using five-fold cross-validation, overall, faster R-CNN with InceptionV2 model using two-tier transfer learning achieved a mean average precision of 91.8%, the speed of 48 ms for inferencing a single image and with a model size of 57.2 MB. To demonstrate the robustness and practicality of our solution to real-time prediction, we evaluated the performance of the models on a NVIDIA Jetson TX2 and a smartphone app. This work demonstrates the capability of deep learning in real-time localization of DFU, which can be further improved with a more extensive data set.</t>
  </si>
  <si>
    <t>Deep Feature Learning from a Hospital-Scale Chest X-ray Dataset with Application to TB Detection on a Small-Scale Dataset</t>
  </si>
  <si>
    <t>The use of ImageNet pre-trained networks is becoming widespread in the medical imaging community. It enables training on small datasets, commonly available in medical imaging tasks. The recent emergence of a large Chest X-ray dataset opened the possibility for learning features that are specific to the X-ray analysis task. In this work, we demonstrate that the features learned allow for better classification results for the problem of Tuberculosis detection and enable generalization to an unseen dataset.To accomplish the task of feature learning, we train a DenseNet-121 CNN on 112K images from the ChestXray14 dataset which includes labels of 14 common thoracic pathologies. In addition to the pathology labels, we incorporate meta-data which is available in the dataset: Patient Positioning, Gender and Patient Age. We term this architecture MetaChexNet. As a by-product of the feature learning, we demonstrate state of the art performance on the task of patient Age &amp; Gender estimation using CNN's. Finally, we show the features learned using ChestXray14 allow for better transfer learning on small-scale datasets for Tuberculosis.</t>
  </si>
  <si>
    <t>Automated segmentation and quantification of aortic calcification at abdominal CT: application of a deep learning-based algorithm to a longitudinal screening cohort</t>
  </si>
  <si>
    <t>OBJECTIVE: To investigate an automated aortic calcium segmentation and scoring tool at abdominal CT in an adult screening cohort. METHODS: Using instance segmentation with convolutional neural networks (Mask R-CNN), a fully automated vascular calcification algorithm was applied to a data set of 9914 non-contrast CT scans from 9032 consecutive asymptomatic adults (mean age, 57.5 ± 7.8 years; 4467 M/5447F) undergoing colonography screening. Follow-up scans were performed in a subset of 866 individuals (mean interval, 5.4 years). Automated abdominal aortic calcium volume, mass, and Agatston score were assessed. In addition, comparison was made with a separate validated semi-automated approach in a subset of 812 cases. RESULTS: Mean values were significantly higher in males for Agatston score (924.2 ± 2066.2 vs. 564.2 ± 1484.2, p &lt; 0.001), aortic calcium mass (222.2 ± 526.0 mg vs. 144.5 ± 405.4 mg, p &lt; 0.001) and volume (699.4 ± 1552.4 ml vs. 426.9 ± 1115.5 HU, p &lt; 0.001). Overall age-specific Agatston scores increased an average of 10%/year for the entire cohort; males had a larger Agatston score increase between the ages of 40 to 60 than females (91.2% vs. 75.1%, p &lt; 0.001) and had significantly higher mean Agatston scores between ages 50 and 80 (p &lt; 0.001). For the 812-scan subset with both automated and semi-automated methods, median difference in Agatston score was 66.4 with an r(2) agreement value of 0.84. Among the 866-patient cohort with longitudinal follow-up, the average Agatston score change was 524.1 ± 1317.5 (median 130.9), reflecting a mean increase of 25.5% (median 73.6%). CONCLUSION: This robust, fully automated abdominal aortic calcification scoring tool allows for both individualized and population-based assessment. Such data could be automatically derived at non-contrast abdominal CT, regardless of the study indication, allowing for opportunistic assessment of cardiovascular risk.</t>
  </si>
  <si>
    <t>Deep learning-based muscle segmentation and quantification at abdominal CT: application to a longitudinal adult screening cohort for sarcopenia assessment</t>
  </si>
  <si>
    <t>OBJECTIVE: To investigate a fully automated abdominal CT-based muscle tool in a large adult screening population. METHODS: A fully automated validated muscle segmentation algorithm was applied to 9310 non-contrast CT scans, including a primary screening cohort of 8037 consecutive asymptomatic adults (mean age, 57.1±7.8 years; 3555M/4482F). Sequential follow-up scans were available in a subset of 1171 individuals (mean interval, 5.1 years). Muscle tissue cross-sectional area and attenuation (Hounsfield unit, HU) at the L3 level were assessed, including change over time. RESULTS: Mean values were significantly higher in males for both muscle area (190.6±33.6 vs 133.3±24.1 cm(2), p&lt;0.001) and density (34.3±11.1 HU vs 27.3±11.7 HU, p&lt;0.001). Age-related losses were observed, with mean muscle area reduction of -1.5 cm(2)/year and attenuation reduction of -1.5 HU/year. Overall age-related muscle density (attenuation) loss was steeper than for muscle area for both sexes up to the age of 70 years. Between ages 50 and 70, relative muscle attenuation decreased significantly more in females (-30.6% vs -18.0%, p&lt;0.001), whereas relative rates of muscle area loss were similar (-8%). Between ages 70 and 90, males lost more density (-22.4% vs -7.5%) and area (-13.4% vs -6.9%, p&lt;0.001). Of the 1171 patients with longitudinal follow-up, 1013 (86.5%) showed a decrease in muscle attenuation, 739 (63.1%) showed a decrease in area, and 1119 (95.6%) showed a decrease in at least one of these measures. CONCLUSION: This fully automated CT muscle tool allows for both individualized and population-based assessment. Such data could be automatically derived at abdominal CT regardless of study indication, allowing for opportunistic sarcopenia detection. ADVANCES IN KNOWLEDGE: This fully automated tool can be applied to routine abdominal CT scans for prospective or retrospective opportunistic sarcopenia assessment, regardless of the original clinical indication. Mean values were significantly higher in males for both muscle area and muscle density. Overall age-related muscle density (attenuation) loss was steeper than for muscle area for both sexes, and therefore may be a more valuable predictor of adverse outcomes.</t>
  </si>
  <si>
    <t>P. M. Graffy, J. Liu, P. J. Pickhardt, J. E. Burns, J. Yao and R. M. Summers</t>
  </si>
  <si>
    <t>Automated Liver Fat Quantification at Nonenhanced Abdominal CT for Population-based Steatosis Assessment</t>
  </si>
  <si>
    <t>Background Nonalcoholic fatty liver disease and its consequences are a growing public health concern requiring cross-sectional imaging for noninvasive diagnosis and quantification of liver fat. Purpose To investigate a deep learning-based automated liver fat quantification tool at nonenhanced CT for establishing the prevalence of steatosis in a large screening cohort. Materials and Methods In this retrospective study, a fully automated liver segmentation algorithm was applied to noncontrast abdominal CT examinations from consecutive asymptomatic adults by using three-dimensional convolutional neural networks, including a subcohort with follow-up scans. Automated volume-based liver attenuation was analyzed, including conversion to CT fat fraction, and compared with manual measurement in a large subset of scans. Results A total of 11 669 CT scans in 9552 adults (mean age ± standard deviation, 57.2 years ± 7.9; 5314 women and 4238 men; median body mass index [BMI], 27.8 kg/m(2)) were evaluated, including 2117 follow-up scans in 1862 adults (mean age, 59.2 years; 971 women and 891 men; mean interval, 5.5 years). Algorithm failure occurred in seven scans. Mean CT liver attenuation was 55 HU ± 10, corresponding to CT fat fraction of 6.4% (slightly fattier in men than in women [7.4% ± 6.0 vs 5.8% ± 5.7%; P &lt; .001]). Mean liver Hounsfield unit varied little by age (&lt;4 HU difference among all age groups) and only weak correlation was seen with BMI (r(2) = 0.14). By category, 47.9% (5584 of 11 669) had negligible or no liver fat (CT fat fraction &lt;5%), 42.4% (4948 of 11 669) had mild steatosis (CT fat fraction of 5%-14%), 8.8% (1025 of 11 669) had moderate steatosis (CT fat fraction of 14%-28%), and 1% (112 of 11 669) had severe steatosis (CT fat fraction &gt;28%). Excellent agreement was seen between automated and manual measurements, with a mean difference of 2.7 HU (median, 3 HU) and r(2) of 0.92. Among the subcohort with longitudinal follow-up, mean change was only -3 HU ± 9, but 43.3% (806 of 1861) of patients changed steatosis category between first and last scans. Conclusion This fully automated CT-based liver fat quantification tool allows for population-based assessment of hepatic steatosis and nonalcoholic fatty liver disease, with objective data that match well with manual measurement. The prevalence of at least mild steatosis was greater than 50% in this asymptomatic screening cohort. © RSNA, 2019.</t>
  </si>
  <si>
    <t>Deep learning-based quantification of abdominal fat on magnetic resonance images</t>
  </si>
  <si>
    <t>Obesity is increasingly prevalent and associated with increased risk of developing type 2 diabetes, cardiovascular diseases, and cancer. Magnetic resonance imaging (MRI) is an accurate method for determination of body fat volume and distribution. However, quantifying body fat from numerous MRI slices is tedious and time-consuming. Here we developed a deep learning-based method for measuring visceral and subcutaneous fat in the abdominal region of mice. Congenic mice only differ from C57BL/6 (B6) Apoe knockout (Apoe-/-) mice in chromosome 9 that is replaced by C3H/HeJ genome. Male congenic mice had lighter body weight than B6-Apoe-/- mice after being fed 14 weeks of Western diet. Axial and coronal T1-weighted sequencing at 1-mm-thickness and 1-mm-gap was acquired with a 7T Bruker ClinScan scanner. A deep learning approach was developed for segmenting visceral and subcutaneous fat based on the U-net architecture made publicly available through the open-source ANTsRNet library-a growing repository of well-known neural networks. The volumes of subcutaneous and visceral fat measured through our approach were highly comparable with those from manual measurements. The Dice score, root-mean-square error (RMSE), and correlation analysis demonstrated the similarity between two methods in quantifying visceral and subcutaneous fat. Analysis with the automated method showed significant reductions in volumes of visceral and subcutaneous fat but not non-fat tissues in congenic mice compared to B6 mice. These results demonstrate the accuracy of deep learning in quantification of abdominal fat and its significance in determining body weight.</t>
  </si>
  <si>
    <t>A. T. Grainger, N. J. Tustison, K. Qing, R. Roy, S. S. Berr and W. Shi</t>
  </si>
  <si>
    <t>A Deep Learning Algorithm for Prediction of Age-Related Eye Disease Study Severity Scale for Age-Related Macular Degeneration from Color Fundus Photography</t>
  </si>
  <si>
    <t>PURPOSE: Age-related macular degeneration (AMD) is a common threat to vision. While classification of disease stages is critical to understanding disease risk and progression, several systems based on color fundus photographs are known. Most of these require in-depth and time-consuming analysis of fundus images. Herein, we present an automated computer-based classification algorithm. DESIGN: Algorithm development for AMD classification based on a large collection of color fundus images. Validation is performed on a cross-sectional, population-based study. PARTICIPANTS: We included 120 656 manually graded color fundus images from 3654 Age-Related Eye Disease Study (AREDS) participants. AREDS participants were &gt;55 years of age, and non-AMD sight-threatening diseases were excluded at recruitment. In addition, performance of our algorithm was evaluated in 5555 fundus images from the population-based Kooperative Gesundheitsforschung in der Region Augsburg (KORA; Cooperative Health Research in the Region of Augsburg) study. METHODS: We defined 13 classes (9 AREDS steps, 3 late AMD stages, and 1 for ungradable images) and trained several convolution deep learning architectures. An ensemble of network architectures improved prediction accuracy. An independent dataset was used to evaluate the performance of our algorithm in a population-based study. MAIN OUTCOME MEASURES: κ Statistics and accuracy to evaluate the concordance between predicted and expert human grader classification. RESULTS: A network ensemble of 6 different neural net architectures predicted the 13 classes in the AREDS test set with a quadratic weighted κ of 92% (95% confidence interval, 89%-92%) and an overall accuracy of 63.3%. In the independent KORA dataset, images wrongly classified as AMD were mainly the result of a macular reflex observed in young individuals. By restricting the KORA analysis to individuals &gt;55 years of age and prior exclusion of other retinopathies, the weighted and unweighted κ increased to 50% and 63%, respectively. Importantly, the algorithm detected 84.2% of all fundus images with definite signs of early or late AMD. Overall, 94.3% of healthy fundus images were classified correctly. CONCLUSIONS: Our deep learning algoritm revealed a weighted κ outperforming human graders in the AREDS study and is suitable to classify AMD fundus images in other datasets using individuals &gt;55 years of age.</t>
  </si>
  <si>
    <t>F. Grassmann, J. Mengelkamp, C. Brandl, S. Harsch, M. E. Zimmermann, B. Linkohr, A. Peters, I. M. Heid, C. Palm and B. H. F. Weber</t>
  </si>
  <si>
    <t>Improving the generalization of deep learning methods to segment the left ventricle in short axis MR images</t>
  </si>
  <si>
    <t>Cardiovascular disease is one of the major health problems worldwide. In clinical practice, cardiac magnetic resonance imaging (CMR) is considered the gold-standard imaging modality for the evaluation of the function and structure of the left ventricle (LV). More recently, deep learning methods have been used to segment LV with impressive results. On the other hand, this kind of approach is prone to overfit the training data, and it does not generalize well between different data acquisition centers, thus creating constraints to the use in daily routines. In this paper, we explore methods to improve the generalization in the segmentation performed by a convolutional neural network. We applied a U-net based architecture and compared two different pre-processing methods to improve uniformity in the image contrast between five cross-dataset training and testing. Overall, we were able to perform the segmentation of the left ventricle using multiple cross-dataset combinations of train and test, with a mean endocardium dice score of 0.82.Clinical Relevance- This work improves the result between the cross-dataset evaluation of the left ventricle segmentation, reducing the constraints for daily clinical adoption of a fully-automatic segmentation method.</t>
  </si>
  <si>
    <t>Image quality and dose reduction opportunity of deep learning image reconstruction algorithm for CT: a phantom study</t>
  </si>
  <si>
    <t>OBJECTIVES: To assess the impact on image quality and dose reduction of a new deep learning image reconstruction (DLIR) algorithm compared with a hybrid iterative reconstruction (IR) algorithm. METHODS: Data acquisitions were performed at seven dose levels (CTDI(vol) : 15/10/7.5/5/2.5/1/0.5 mGy) using a standard phantom designed for image quality assessment. Raw data were reconstructed using the filtered back projection (FBP), two levels of IR (ASiR-V50% (AV50); ASiR-V100% (AV100)), and three levels of DLIR (TrueFidelity™ low, medium, high). Noise power spectrum (NPS) and task-based transfer function (TTF) were computed. Detectability index (d') was computed to model a large mass in the liver, a small calcification, and a small subtle lesion with low contrast. RESULTS: NPS peaks were higher with AV50 than with all DLIR levels and only higher with DLIR-H than with AV100. The average NPS spatial frequencies were higher with DLIR than with IR. For all DLIR levels, TTF(50%) obtained with DLIR was higher than that with IR. d' was higher with DLIR than with AV50 but lower with DLIR-L and DLIR-M than with AV100. d' values were higher with DLIR-H than with AV100 for the small low-contrast lesion (10 ± 4%) and in the same range for the other simulated lesions. CONCLUSIONS: New DLIR algorithm reduced noise and improved spatial resolution and detectability without changing the noise texture. Images obtained with DLIR seem to indicate a greater potential for dose optimization than those with hybrid IR. KEY POINTS: • This study assessed the impact on image quality and radiation dose of a new deep learning image reconstruction (DLIR) algorithm as compared with hybrid iterative reconstruction (IR) algorithm. • The new DLIR algorithm reduced noise and improved spatial resolution and detectability without perceived alteration of the texture, commonly reported with IR. • As compared with IR, DLIR seems to open further possibility of dose optimization.</t>
  </si>
  <si>
    <t>Semantic segmentation of cerebrospinal fluid and brain volume with a convolutional neural network in pediatric hydrocephalus-transfer learning from existing algorithms</t>
  </si>
  <si>
    <t>BACKGROUND: For the segmentation of medical imaging data, a multitude of precise but very specific algorithms exist. In previous studies, we investigated the possibility of segmenting MRI data to determine cerebrospinal fluid and brain volume using a classical machine learning algorithm. It demonstrated good clinical usability and a very accurate correlation of the volumes to the single area determination in a reproducible axial layer. This study aims to investigate whether these established segmentation algorithms can be transferred to new, more generalizable deep learning algorithms employing an extended transfer learning procedure and whether medically meaningful segmentation is possible. METHODS: Ninety-five routinely performed true FISP MRI sequences were retrospectively analyzed in 43 patients with pediatric hydrocephalus. Using a freely available and clinically established segmentation algorithm based on a hidden Markov random field model, four classes of segmentation (brain, cerebrospinal fluid (CSF), background, and tissue) were generated. Fifty-nine randomly selected data sets (10,432 slices) were used as a training data set. Images were augmented for contrast, brightness, and random left/right and X/Y translation. A convolutional neural network (CNN) for semantic image segmentation composed of an encoder and corresponding decoder subnetwork was set up. The network was pre-initialized with layers and weights from a pre-trained VGG 16 model. Following the network was trained with the labeled image data set. A validation data set of 18 scans (3289 slices) was used to monitor the performance as the deep CNN trained. The classification results were tested on 18 randomly allocated labeled data sets (3319 slices) and on a T2-weighted BrainWeb data set with known ground truth. RESULTS: The segmentation of clinical test data provided reliable results (global accuracy 0.90, Dice coefficient 0.86), while the CNN segmentation of data from the BrainWeb data set showed comparable results (global accuracy 0.89, Dice coefficient 0.84). The segmentation of the BrainWeb data set with the classical FAST algorithm produced consistent findings (global accuracy 0.90, Dice coefficient 0.87). Likewise, the area development of brain and CSF in the long-term clinical course of three patients was presented. CONCLUSION: Using the presented methods, we showed that conventional segmentation algorithms can be transferred to new advances in deep learning with comparable accuracy, generating a large number of training data sets with relatively little effort. A clinically meaningful segmentation possibility was demonstrated.</t>
  </si>
  <si>
    <t>Acta Neurochir (Wien)</t>
  </si>
  <si>
    <t>10.1016/j.acra.2019.09.012</t>
  </si>
  <si>
    <t>Breast Cancer Radiogenomics: Current Status and Future Directions</t>
  </si>
  <si>
    <t>Radiogenomics is an area of research that aims to identify associations between imaging phenotypes (radio-) and tumor genome (-genomics). Breast cancer radiogenomics research in particular has been an especially prolific area of investigation in recent years as evidenced by the wide number and variety of publications and conferences presentations. To date, research has primarily been focused on dynamic contrast enhanced pre-operative breast MRI and breast cancer molecular subtypes, but investigations have extended to all breast imaging modalities as well as multiple additional genetic markers including those that are commercially available. Furthermore, both human and computer-extracted features as well as deep learning techniques have been explored. This review will summarize the specific imaging modalities used in radiogenomics analysis, describe the methods of extracting imaging features, and present the types of genomics, molecular, and related information used for analysis. Finally, the limitations and future directions of breast cancer radiogenomics research will be discussed.</t>
  </si>
  <si>
    <t>Epicardial adipose tissue is associated with extent of pneumonia and adverse outcomes in patients with COVID-19</t>
  </si>
  <si>
    <t>AIM: We sought to examine the association of epicardial adipose tissue (EAT) quantified on chest computed tomography (CT) with the extent of pneumonia and adverse outcomes in patients with coronavirus disease 2019 (COVID-19). METHODS: We performed a post-hoc analysis of a prospective international registry comprising 109 consecutive patients (age 64 ± 16 years; 62% male) with laboratory-confirmed COVID-19 and noncontrast chest CT imaging. Using semi-automated software, we quantified the burden (%) of lung abnormalities associated with COVID-19 pneumonia. EAT volume (mL) and attenuation (Hounsfield units) were measured using deep learning software. The primary outcome was clinical deterioration (intensive care unit admission, invasive mechanical ventilation, or vasopressor therapy) or in-hospital death. RESULTS: In multivariable linear regression analysis adjusted for patient comorbidities, the total burden of COVID-19 pneumonia was associated with EAT volume (β = 10.6, p = 0.005) and EAT attenuation (β = 5.2, p = 0.004). EAT volume correlated with serum levels of lactate dehydrogenase (r = 0.361, p = 0.001) and C-reactive protein (r = 0.450, p &lt; 0.001). Clinical deterioration or death occurred in 23 (21.1%) patients at a median of 3 days (IQR 1-13 days) following the chest CT. In multivariable logistic regression analysis, EAT volume (OR 5.1 [95% CI 1.8-14.1] per doubling p = 0.011) and EAT attenuation (OR 3.4 [95% CI 1.5-7.5] per 5 Hounsfield unit increase, p = 0.003) were independent predictors of clinical deterioration or death, as was total pneumonia burden (OR 2.5, 95% CI 1.4-4.6, p = 0.002), chronic lung disease (OR 1.3 [95% CI 1.1-1.7], p = 0.011), and history of heart failure (OR 3.5 [95% 1.1-8.2], p = 0.037). CONCLUSIONS: EAT measures quantified from chest CT are independently associated with extent of pneumonia and adverse outcomes in patients with COVID-19, lending support to their use in clinical risk stratification.</t>
  </si>
  <si>
    <t>Metabolism</t>
  </si>
  <si>
    <t>Deep learning approach for automatic out-of-plane needle localisation for semi-automatic ultrasound probe calibration</t>
  </si>
  <si>
    <t>The authors present a deep learning algorithm for the automatic centroid localisation of out-of-plane US needle reflections to produce a semi-automatic ultrasound (US) probe calibration algorithm. A convolutional neural network was trained on a dataset of 3825 images at a 6 cm imaging depth to predict the position of the centroid of a needle reflection. Applying the automatic centroid localisation algorithm to a test set of 614 annotated images produced a root mean squared error of 0.62 and 0.74 mm (6.08 and 7.62 pixels) in the axial and lateral directions, respectively. The mean absolute errors associated with the test set were 0.50 ± 0.40 mm and 0.51 ± 0.54 mm (4.9 ± 3.96 pixels and 5.24 ± 5.52 pixels) for the axial and lateral directions, respectively. The trained model was able to produce visually validated US probe calibrations at imaging depths on the range of 4-8 cm, despite being solely trained at 6 cm. This work has automated the pixel localisation required for the guided-US calibration algorithm producing a semi-automatic implementation available open-source through 3D Slicer. The automatic needle centroid localisation improves the usability of the algorithm and has the potential to decrease the fiducial localisation and target registration errors associated with the guided-US calibration method.</t>
  </si>
  <si>
    <t>10.1093/jamia/ocy098</t>
  </si>
  <si>
    <t>3D deep learning for detecting pulmonary nodules in CT scans</t>
  </si>
  <si>
    <t>OBJECTIVE: To demonstrate and test the validity of a novel deep-learning-based system for the automated detection of pulmonary nodules. MATERIALS AND METHODS: The proposed system uses 2 3D deep learning models, 1 for each of the essential tasks of computer-aided nodule detection: candidate generation and false positive reduction. A total of 888 scans from the LIDC-IDRI dataset were used for training and evaluation. RESULTS: Results for candidate generation on the test data indicated a detection rate of 94.77% with 30.39 false positives per scan, while the test results for false positive reduction exhibited a sensitivity of 94.21% with 1.789 false positives per scan. The overall system detection rate on the test data was 89.29% with 1.789 false positives per scan. DISCUSSION: An extensive and rigorous validation was conducted to assess the performance of the proposed system. The system demonstrated a novel combination of 3D deep neural network architectures and demonstrates the use of deep learning for both candidate generation and false positive reduction to be evaluated with a substantial test dataset. The results strongly support the ability of deep learning pulmonary nodule detection systems to generalize to unseen data. The source code and trained model weights have been made available. CONCLUSION: A novel deep-neural-network-based pulmonary nodule detection system is demonstrated and validated. The results provide comparison of the proposed deep-learning-based system over other similar systems based on performance.</t>
  </si>
  <si>
    <t>Exploit fully automatic low-level segmented PET data for training high-level deep learning algorithms for the corresponding CT data</t>
  </si>
  <si>
    <t>We present an approach for fully automatic urinary bladder segmentation in CT images with artificial neural networks in this study. Automatic medical image analysis has become an invaluable tool in the different treatment stages of diseases. Especially medical image segmentation plays a vital role, since segmentation is often the initial step in an image analysis pipeline. Since deep neural networks have made a large impact on the field of image processing in the past years, we use two different deep learning architectures to segment the urinary bladder. Both of these architectures are based on pre-trained classification networks that are adapted to perform semantic segmentation. Since deep neural networks require a large amount of training data, specifically images and corresponding ground truth labels, we furthermore propose a method to generate such a suitable training data set from Positron Emission Tomography/Computed Tomography image data. This is done by applying thresholding to the Positron Emission Tomography data for obtaining a ground truth and by utilizing data augmentation to enlarge the dataset. In this study, we discuss the influence of data augmentation on the segmentation results, and compare and evaluate the proposed architectures in terms of qualitative and quantitative segmentation performance. The results presented in this study allow concluding that deep neural networks can be considered a promising approach to segment the urinary bladder in CT images.</t>
  </si>
  <si>
    <t>C. Gsaxner, P. M. Roth, J. Wallner and J. Egger</t>
  </si>
  <si>
    <t>10.3389/fonc.2020.567736</t>
  </si>
  <si>
    <t>The Current State of Radiomics for Meningiomas: Promises and Challenges</t>
  </si>
  <si>
    <t>Meningiomas are the most common primary tumors of the central nervous system. Given the fact that the majority of meningiomas are benign, the preoperative risk stratification and treatment strategy decision-making highly rely on the conventional subjective radiologic evaluation. However, this traditional diagnostic and treatment modality may not be effective in patients with aggressive-growing tumors or symptomatic patients with potential risk of recurrence after surgical resection or radiotherapy, as this passive wait and see strategy could miss the optimal opportunity of intervention. Radiomics, a new rising discipline, translates high-dimensional image information into abundant mathematical data by multiple computational algorithms. It provides an objective and quantitative approach to interpret the imaging data, rather than the subjective and qualitative interpretation from relatively limited human visual observation. In fact, the enormous amount of information generated by radiomics analyses provides radiological to histopathological tumor information, which are visually imperceptible, and offers technological basis to its applications amid diagnosis, treatment, and prognosis. Here, we review the latest advancements of radiomics and its applications in the prediction of the pathological grade, pathological subtype, recurrence possibility, and differential diagnosis of meningiomas, and the potential and challenges in general clinical applications. In this review, we highlight the generalization of shared radiomic features among different studies and compare different performances of popular algorithms. At last, we discuss several possible aspects of challenges and future directions in the development of radiomic applications in meningiomas.</t>
  </si>
  <si>
    <t>Multi-Phase Cross-modal Learning for Noninvasive Gene Mutation Prediction in Hepatocellular Carcinoma</t>
  </si>
  <si>
    <t>Hepatocellular carcinoma (HCC) is the most common type of primary liver cancer and the fourth most common cause of cancer-related death worldwide. Understanding the underlying gene mutations in HCC provides great prognostic value for treatment planning and targeted therapy. Radiogenomics has revealed an association between non-invasive imaging features and molecular genomics. However, imaging feature identification is laborious and error-prone. In this paper, we propose an end-to-end deep learning framework for mutation prediction in APOB, COL11A1 and ATRX genes using multiphasic CT scans. Considering intra-tumour heterogeneity (ITH) in HCC, multi-region sampling technology is implemented to generate the dataset for experiments. Experimental results demonstrate the effectiveness of the proposed model.</t>
  </si>
  <si>
    <t>Progressive Transfer Learning and Adversarial Domain Adaptation for Cross-Domain Skin Disease Classification</t>
  </si>
  <si>
    <t>Deep learning has been used to analyze and diagnose various skin diseases through medical imaging. However, recent researches show that a well-trained deep learning model may not generalize well to data from different cohorts due to domain shift. Simple data fusion techniques such as combining disease samples from different data sources are not effective to solve this problem. In this paper, we present two methods for a novel task of cross-domain skin disease recognition. Starting from a fully supervised deep convolutional neural network classifier pre-trained on ImageNet, we explore a two-step progressive transfer learning technique by fine-tuning the network on two skin disease datasets. We then propose to adopt adversarial learning as a domain adaptation technique to perform invariant attribute translation from source to target domain in order to improve the recognition performance. In order to evaluate these two methods, we analyze generalization capability of the trained model on melanoma detection, cancer detection, and cross-modality learning tasks on two skin image datasets collected from different clinical settings and cohorts with different disease distributions. The experiments prove the effectiveness of our method in solving the domain shift problem.</t>
  </si>
  <si>
    <t>Y. Gu, Z. Ge, C. P. Bonnington and J. Zhou</t>
  </si>
  <si>
    <t>Automatic lung nodule detection using a 3D deep convolutional neural network combined with a multi-scale prediction strategy in chest CTs</t>
  </si>
  <si>
    <t>OBJECTIVE: A novel computer-aided detection (CAD) scheme for lung nodule detection using a 3D deep convolutional neural network combined with a multi-scale prediction strategy is proposed to assist radiologists by providing a second opinion on accurate lung nodule detection, which is a crucial step in early diagnosis of lung cancer. METHOD: A 3D deep convolutional neural network (CNN) with multi-scale prediction was used to detect lung nodules after the lungs were segmented from chest CT scans, with a comprehensive method utilized. Compared with a 2D CNN, a 3D CNN can utilize richer spatial 3D contextual information and generate more discriminative features after being trained with 3D samples to fully represent lung nodules. Furthermore, a multi-scale lung nodule prediction strategy, including multi-scale cube prediction and cube clustering, is also proposed to detect extremely small nodules. RESULT: The proposed method was evaluated on 888 thin-slice scans with 1186 nodules in the LUNA16 database. All results were obtained via 10-fold cross-validation. Three options of the proposed scheme are provided for selection according to the actual needs. The sensitivity of the proposed scheme with the primary option reached 87.94% and 92.93% at one and four false positives per scan, respectively. Meanwhile, the competition performance metric (CPM) score is very satisfying (0.7967). CONCLUSION: The experimental results demonstrate the outstanding detection performance of the proposed nodule detection scheme. In addition, the proposed scheme can be extended to other medical image recognition fields.</t>
  </si>
  <si>
    <t>Y. Gu, X. Lu, L. Yang, B. Zhang, D. Yu, Y. Zhao, L. Gao, L. Wu and T. Zhou</t>
  </si>
  <si>
    <t>Reliable Label-Efficient Learning for Biomedical Image Recognition</t>
  </si>
  <si>
    <t>The use of deep neural networks for biomedical image analysis requires a sufficient number of labeled datasets. To acquire accurate labels as the gold standard, multiple observers with specific expertise are required for both annotation and proofreading. This process can be time-consuming and labor-intensive, making high-quality, and large-annotated biomedical datasets difficult. To address this problem, we propose a deep active learning framework that enables the active selection of both informative queries and reliable experts. To measure the uncertainty of the unlabeled data, a dropout-based strategy is integrated with a similarity criterion for both data selection and random error elimination. To select the reliable labelers, we adopt an expertise estimator to learn the expertise levels of labelers via offline-testing and online consistency evaluation. The proposed method is applied to classification tasks on two types of medical images including confocal endomicroscopy images and gastrointestinal endoscopic images. The annotations are acquired from multiple labelers with diverse levels of expertise. The experiments demonstrate the efficiency and promising performance of the proposed method compared to a set of baseline methods.</t>
  </si>
  <si>
    <t>Multi-Person Pose Estimation Using an Orientation and Occlusion Aware Deep Learning Network</t>
  </si>
  <si>
    <t>Image based human behavior and activity understanding has been a hot topic in the field of computer vision and multimedia. As an important part, skeleton estimation, which is also called pose estimation, has attracted lots of interests. For pose estimation, most of the deep learning approaches mainly focus on the joint feature. However, the joint feature is not sufficient, especially when the image includes multi-person and the pose is occluded or not fully visible. This paper proposes a novel multi-task framework for the multi-person pose estimation. The proposed framework is developed based on Mask Region-based Convolutional Neural Networks (R-CNN) and extended to integrate the joint feature, body boundary, body orientation and occlusion condition together. In order to further improve the performance of the multi-person pose estimation, this paper proposes to organize the different information in serial multi-task models instead of the widely used parallel multi-task network. The proposed models are trained on the public dataset Common Objects in Context (COCO), which is further augmented by ground truths of body orientation and mutual-occlusion mask. Experiments demonstrate the performance of the proposed method for multi-person pose estimation and body orientation estimation. The proposed method can detect 84.6% of the Percentage of Correct Keypoints (PCK) and has an 83.7% Correct Detection Rate (CDR). Comparisons further illustrate the proposed model can reduce the over-detection compared with other methods.</t>
  </si>
  <si>
    <t>CE-Net: Context Encoder Network for 2D Medical Image Segmentation</t>
  </si>
  <si>
    <t>Medical image segmentation is an important step in medical image analysis. With the rapid development of a convolutional neural network in image processing, deep learning has been used for medical image segmentation, such as optic disc segmentation, blood vessel detection, lung segmentation, cell segmentation, and so on. Previously, U-net based approaches have been proposed. However, the consecutive pooling and strided convolutional operations led to the loss of some spatial information. In this paper, we propose a context encoder network (CE-Net) to capture more high-level information and preserve spatial information for 2D medical image segmentation. CE-Net mainly contains three major components: a feature encoder module, a context extractor, and a feature decoder module. We use the pretrained ResNet block as the fixed feature extractor. The context extractor module is formed by a newly proposed dense atrous convolution block and a residual multi-kernel pooling block. We applied the proposed CE-Net to different 2D medical image segmentation tasks. Comprehensive results show that the proposed method outperforms the original U-Net method and other state-of-the-art methods for optic disc segmentation, vessel detection, lung segmentation, cell contour segmentation, and retinal optical coherence tomography layer segmentation.</t>
  </si>
  <si>
    <t>Z. Gu, J. Cheng, H. Fu, K. Zhou, H. Hao, Y. Zhao, T. Zhang, S. Gao and J. Liu</t>
  </si>
  <si>
    <t>Fully Dense UNet for 2-D Sparse Photoacoustic Tomography Artifact Removal</t>
  </si>
  <si>
    <t>Photoacoustic imaging is an emerging imaging modality that is based upon the photoacoustic effect. In photoacoustic tomography (PAT), the induced acoustic pressure waves are measured by an array of detectors and used to reconstruct an image of the initial pressure distribution. A common challenge faced in PAT is that the measured acoustic waves can only be sparsely sampled. Reconstructing sparsely sampled data using standard methods results in severe artifacts that obscure information within the image. We propose a modified convolutional neural network (CNN) architecture termed fully dense UNet (FD-UNet) for removing artifacts from two-dimensional PAT images reconstructed from sparse data and compare the proposed CNN with the standard UNet in terms of reconstructed image quality.</t>
  </si>
  <si>
    <t>Breast cancer detection using synthetic mammograms from generative adversarial networks in convolutional neural networks</t>
  </si>
  <si>
    <t>The convolutional neural network (CNN) is a promising technique to detect breast cancer based on mammograms. Training the CNN from scratch, however, requires a large amount of labeled data. Such a requirement usually is infeasible for some kinds of medical image data such as mammographic tumor images. Because improvement of the performance of a CNN classifier requires more training data, the creation of new training images, image augmentation, is one solution to this problem. We applied the generative adversarial network (GAN) to generate synthetic mammographic images from the digital database for screening mammography (DDSM). From the DDSM, we cropped two sets of regions of interest (ROIs) from the images: normal and abnormal (cancer/tumor). Those ROIs were used to train the GAN, and the GAN then generated synthetic images. For comparison with the affine transformation augmentation methods, such as rotation, shifting, scaling, etc., we used six groups of ROIs [three simple groups: affine augmented, GAN synthetic, real (original), and three mixture groups of any two of the three simple groups] for each to train a CNN classifier from scratch. And, we used real ROIs that were not used in training to validate classification outcomes. Our results show that, to classify the normal ROIs and abnormal ROIs from DDSM, adding GAN-generated ROIs in the training data can help the classifier prevent overfitting, and on validation accuracy, the GAN performs about 3.6% better than affine transformations for image augmentation. Therefore, GAN could be an ideal augmentation approach. The images augmented by GAN or affine transformation cannot substitute for real images to train CNN classifiers because the absence of real images in the training set will cause over-fitting.</t>
  </si>
  <si>
    <t>Deep Neural Networks Reveal a Gradient in the Complexity of Neural Representations across the Ventral Stream</t>
  </si>
  <si>
    <t>Converging evidence suggests that the primate ventral visual pathway encodes increasingly complex stimulus features in downstream areas. We quantitatively show that there indeed exists an explicit gradient for feature complexity in the ventral pathway of the human brain. This was achieved by mapping thousands of stimulus features of increasing complexity across the cortical sheet using a deep neural network. Our approach also revealed a fine-grained functional specialization of downstream areas of the ventral stream. Furthermore, it allowed decoding of representations from human brain activity at an unsurpassed degree of accuracy, confirming the quality of the developed approach. Stimulus features that successfully explained neural responses indicate that population receptive fields were explicitly tuned for object categorization. This provides strong support for the hypothesis that object categorization is a guiding principle in the functional organization of the primate ventral stream.</t>
  </si>
  <si>
    <t>U. Güçlü and M. A. van Gerven</t>
  </si>
  <si>
    <t>J Neurosci</t>
  </si>
  <si>
    <t>Brain pathology identification using computer aided diagnostic tool: A systematic review</t>
  </si>
  <si>
    <t>Computer aided diagnostic (CAD) has become a significant tool in expanding patient quality-of-life by reducing human errors in diagnosis. CAD can expedite decision-making on complex clinical data automatically. Since brain diseases can be fatal, rapid identification of brain pathology to prolong patient life is an important research topic. Many algorithms have been proposed for efficient brain pathology identification (BPI) over the past decade. Constant refinement of the various image processing algorithms must take place to expand performance of the automatic BPI task. In this paper, a systematic survey of contemporary BPI algorithms using brain magnetic resonance imaging (MRI) is presented. A summarization of recent literature provides investigators with a helpful synopsis of the domain. Furthermore, to enhance the performance of BPI, future research directions are indicated.</t>
  </si>
  <si>
    <t>QuickNAT: A fully convolutional network for quick and accurate segmentation of neuroanatomy</t>
  </si>
  <si>
    <t>Whole brain segmentation from structural magnetic resonance imaging (MRI) is a prerequisite for most morphological analyses, but is computationally intense and can therefore delay the availability of image markers after scan acquisition. We introduce QuickNAT, a fully convolutional, densely connected neural network that segments a MRI brain scan in 20 s. To enable training of the complex network with millions of learnable parameters using limited annotated data, we propose to first pre-train on auxiliary labels created from existing segmentation software. Subsequently, the pre-trained model is fine-tuned on manual labels to rectify errors in auxiliary labels. With this learning strategy, we are able to use large neuroimaging repositories without manual annotations for training. In an extensive set of evaluations on eight datasets that cover a wide age range, pathology, and different scanners, we demonstrate that QuickNAT achieves superior segmentation accuracy and reliability in comparison to state-of-the-art methods, while being orders of magnitude faster. The speed up facilitates processing of large data repositories and supports translation of imaging biomarkers by making them available within seconds for fast clinical decision making.</t>
  </si>
  <si>
    <t>A. Guha Roy, S. Conjeti, N. Navab and C. Wachinger</t>
  </si>
  <si>
    <t>'Squeeze &amp; excite' guided few-shot segmentation of volumetric images</t>
  </si>
  <si>
    <t>Deep neural networks enable highly accurate image segmentation, but require large amounts of manually annotated data for supervised training. Few-shot learning aims to address this shortcoming by learning a new class from a few annotated support examples. We introduce, a novel few-shot framework, for the segmentation of volumetric medical images with only a few annotated slices. Compared to other related works in computer vision, the major challenges are the absence of pre-trained networks and the volumetric nature of medical scans. We address these challenges by proposing a new architecture for few-shot segmentation that incorporates 'squeeze &amp; excite' blocks. Our two-armed architecture consists of a conditioner arm, which processes the annotated support input and generates a task-specific representation. This representation is passed on to the segmenter arm that uses this information to segment the new query image. To facilitate efficient interaction between the conditioner and the segmenter arm, we propose to use 'channel squeeze &amp; spatial excitation' blocks - a light-weight computational module - that enables heavy interaction between both the arms with negligible increase in model complexity. This contribution allows us to perform image segmentation without relying on a pre-trained model, which generally is unavailable for medical scans. Furthermore, we propose an efficient strategy for volumetric segmentation by optimally pairing a few slices of the support volume to all the slices of the query volume. We perform experiments for organ segmentation on whole-body contrast-enhanced CT scans from the Visceral Dataset. Our proposed model outperforms multiple baselines and existing approaches with respect to the segmentation accuracy by a significant margin. The source code is available at https://github.com/abhi4ssj/few-shot-segmentation.</t>
  </si>
  <si>
    <t>A. Guha Roy, S. Siddiqui, S. Pölsterl, N. Navab and C. Wachinger</t>
  </si>
  <si>
    <t>Utilizing wavelet deep learning network to classify different states of task-fMRI for verifying activation regions</t>
  </si>
  <si>
    <t>Purpose: We propose a convolutional neural network (CNN) based on wavelet for verifying the activation regions decided with statistical analysis. Because the functional magnetic resonance imaging (fMRI) data contains lots of noises, it is difficult to get the data of blood-oxygen-level dependent (BOLD) signal directly for intervention testing like animal studies. So it is difficult to effectively verify these activation regions. Based on the rapid development of deep learning technology. Materials and methods: We select the task fMRI data of presenting food and nonfood pictures to volunteer subjects from open public data, whose website is https://www.openfmri.org/dataset/ds000157/. Firstly, the brain activation regions are obtained by utilizing the method of statistical analysis. Then the spatial coordinates are acquired from the activation regions by checking the atlas table. The P-value of the activation regions are less 0.05. The activation regions are the most responsive to perceive the differences of BOLD in the brain between the two states, presenting food and nonfood pictures. We select the part task fMRI data of from the activation regions, for preparing the training and validation samples. Then we design a deep leaning network based on wavelet to classify the task fMRI data between food and nonfood.Results and conclusions: The classification accuracy is 80.23%. However, when we select the spatial coordinates of other inactivation regions, the classification accuracy is only 60%. The differences of classification accuracy between the activation regions and the inactivation regions prove that the activation regions selected with statistical analysis method are accurate and effective. The two methods of deep learning and statistical analysis can be cross-validated for the study of human being brain.</t>
  </si>
  <si>
    <t>Int J Neurosci</t>
  </si>
  <si>
    <t>Development and Validation of a Deep Learning Algorithm for Detection of Diabetic Retinopathy in Retinal Fundus Photographs</t>
  </si>
  <si>
    <t>IMPORTANCE: Deep learning is a family of computational methods that allow an algorithm to program itself by learning from a large set of examples that demonstrate the desired behavior, removing the need to specify rules explicitly. Application of these methods to medical imaging requires further assessment and validation. OBJECTIVE: To apply deep learning to create an algorithm for automated detection of diabetic retinopathy and diabetic macular edema in retinal fundus photographs. DESIGN AND SETTING: A specific type of neural network optimized for image classification called a deep convolutional neural network was trained using a retrospective development data set of 128 175 retinal images, which were graded 3 to 7 times for diabetic retinopathy, diabetic macular edema, and image gradability by a panel of 54 US licensed ophthalmologists and ophthalmology senior residents between May and December 2015. The resultant algorithm was validated in January and February 2016 using 2 separate data sets, both graded by at least 7 US board-certified ophthalmologists with high intragrader consistency. EXPOSURE: Deep learning-trained algorithm. MAIN OUTCOMES AND MEASURES: The sensitivity and specificity of the algorithm for detecting referable diabetic retinopathy (RDR), defined as moderate and worse diabetic retinopathy, referable diabetic macular edema, or both, were generated based on the reference standard of the majority decision of the ophthalmologist panel. The algorithm was evaluated at 2 operating points selected from the development set, one selected for high specificity and another for high sensitivity. RESULTS: The EyePACS-1 data set consisted of 9963 images from 4997 patients (mean age, 54.4 years; 62.2% women; prevalence of RDR, 683/8878 fully gradable images [7.8%]); the Messidor-2 data set had 1748 images from 874 patients (mean age, 57.6 years; 42.6% women; prevalence of RDR, 254/1745 fully gradable images [14.6%]). For detecting RDR, the algorithm had an area under the receiver operating curve of 0.991 (95% CI, 0.988-0.993) for EyePACS-1 and 0.990 (95% CI, 0.986-0.995) for Messidor-2. Using the first operating cut point with high specificity, for EyePACS-1, the sensitivity was 90.3% (95% CI, 87.5%-92.7%) and the specificity was 98.1% (95% CI, 97.8%-98.5%). For Messidor-2, the sensitivity was 87.0% (95% CI, 81.1%-91.0%) and the specificity was 98.5% (95% CI, 97.7%-99.1%). Using a second operating point with high sensitivity in the development set, for EyePACS-1 the sensitivity was 97.5% and specificity was 93.4% and for Messidor-2 the sensitivity was 96.1% and specificity was 93.9%. CONCLUSIONS AND RELEVANCE: In this evaluation of retinal fundus photographs from adults with diabetes, an algorithm based on deep machine learning had high sensitivity and specificity for detecting referable diabetic retinopathy. Further research is necessary to determine the feasibility of applying this algorithm in the clinical setting and to determine whether use of the algorithm could lead to improved care and outcomes compared with current ophthalmologic assessment.</t>
  </si>
  <si>
    <t>V. Gulshan, L. Peng, M. Coram, M. C. Stumpe, D. Wu, A. Narayanaswamy, S. Venugopalan, K. Widner, T. Madams, J. Cuadros, R. Kim, R. Raman, P. C. Nelson, J. L. Mega and D. R. Webster</t>
  </si>
  <si>
    <t>DeepFly3D, a deep learning-based approach for 3D limb and appendage tracking in tethered, adult Drosophila</t>
  </si>
  <si>
    <t>Studying how neural circuits orchestrate limbed behaviors requires the precise measurement of the positions of each appendage in three-dimensional (3D) space. Deep neural networks can estimate two-dimensional (2D) pose in freely behaving and tethered animals. However, the unique challenges associated with transforming these 2D measurements into reliable and precise 3D poses have not been addressed for small animals including the fly, Drosophila melanogaster. Here, we present DeepFly3D, a software that infers the 3D pose of tethered, adult Drosophila using multiple camera images. DeepFly3D does not require manual calibration, uses pictorial structures to automatically detect and correct pose estimation errors, and uses active learning to iteratively improve performance. We demonstrate more accurate unsupervised behavioral embedding using 3D joint angles rather than commonly used 2D pose data. Thus, DeepFly3D enables the automated acquisition of Drosophila behavioral measurements at an unprecedented level of detail for a variety of biological applications.</t>
  </si>
  <si>
    <t>A Stacked Sparse Autoencoder-Based Detector for Automatic Identification of Neuromagnetic High Frequency Oscillations in Epilepsy</t>
  </si>
  <si>
    <t>High-frequency oscillations (HFOs) are spontaneous magnetoencephalography (MEG) patterns that have been acknowledged as a putative biomarker to identify epileptic foci. Correct detection of HFOs in the MEG signals is crucial for the accurate and timely clinical evaluation. Since the visual examination of HFOs is time-consuming, error-prone, and with poor inter-reviewer reliability, an automatic HFOs detector is highly desirable in clinical practice. However, the existing approaches for HFOs detection may not be applicable for MEG signals with noisy background activity. Therefore, we employ the stacked sparse autoencoder (SSAE) and propose an SSAE-based MEG HFOs (SMO) detector to facilitate the clinical detection of HFOs. To the best of our knowledge, this is the first attempt to conduct HFOs detection in MEG using deep learning methods. After configuration optimization, our proposed SMO detector is outperformed other classic peer models by achieving 89.9% in accuracy, 88.2% in sensitivity, and 91.6% in specificity. Furthermore, we have tested the performance consistency of our model using various validation schemes. The distribution of performance metrics demonstrates that our model can achieve steady performance.</t>
  </si>
  <si>
    <t>J. Guo, K. Yang, H. Liu, C. Yin, J. Xiang, H. Li, R. Ji and Y. Gao</t>
  </si>
  <si>
    <t>Real-time automated diagnosis of precancerous lesions and early esophageal squamous cell carcinoma using a deep learning model (with videos)</t>
  </si>
  <si>
    <t>BACKGROUND AND AIMS: We developed a system for computer-assisted diagnosis (CAD) for real-time automated diagnosis of precancerous lesions and early esophageal squamous cell carcinomas (ESCCs) to assist the diagnosis of esophageal cancer. METHODS: A total of 6473 narrow-band imaging (NBI) images, including precancerous lesions, early ESCCs, and noncancerous lesions, were used to train the CAD system. We validated the CAD system using both endoscopic images and video datasets. The receiver operating characteristic curve of the CAD system was generated based on image datasets. An artificial intelligence probability heat map was generated for each input of endoscopic images. The yellow color indicated high possibility of cancerous lesion, and the blue color indicated noncancerous lesions on the probability heat map. When the CAD system detected any precancerous lesion or early ESCCs, the lesion of interest was masked with color. RESULTS: The image datasets contained 1480 malignant NBI images from 59 consecutive cancerous cases (sensitivity, 98.04%) and 5191 noncancerous NBI images from 2004 cases (specificity, 95.03%). The area under curve was 0.989. The video datasets of precancerous lesions or early ESCCs included 27 nonmagnifying videos (per-frame sensitivity 60.8%, per-lesion sensitivity, 100%) and 20 magnifying videos (per-frame sensitivity 96.1%, per-lesion sensitivity, 100%). Unaltered full-range normal esophagus videos included 33 videos (per-frame specificity 99.9%, per-case specificity, 90.9%). CONCLUSIONS: A deep learning model demonstrated high sensitivity and specificity for both endoscopic images and video datasets. The real-time CAD system has a promising potential in the near future to assist endoscopists in diagnosing precancerous lesions and ESCCs.</t>
  </si>
  <si>
    <t>Rapid image deconvolution and multiview fusion for optical microscopy</t>
  </si>
  <si>
    <t>The contrast and resolution of images obtained with optical microscopes can be improved by deconvolution and computational fusion of multiple views of the same sample, but these methods are computationally expensive for large datasets. Here we describe theoretical and practical advances in algorithm and software design that result in image processing times that are tenfold to several thousand fold faster than with previous methods. First, we show that an 'unmatched back projector' accelerates deconvolution relative to the classic Richardson-Lucy algorithm by at least tenfold. Second, three-dimensional image-based registration with a graphics processing unit enhances processing speed 10- to 100-fold over CPU processing. Third, deep learning can provide further acceleration, particularly for deconvolution with spatially varying point spread functions. We illustrate our methods from the subcellular to millimeter spatial scale on diverse samples, including single cells, embryos and cleared tissue. Finally, we show performance enhancement on recently developed microscopes that have improved spatial resolution, including dual-view cleared-tissue light-sheet microscopes and reflective lattice light-sheet microscopes.</t>
  </si>
  <si>
    <t>Nat Biotechnol</t>
  </si>
  <si>
    <t>10.1007/s12194-020-00584-1</t>
  </si>
  <si>
    <t>Comparison of performances of conventional and deep learning-based methods in segmentation of lung vessels and registration of chest radiographs</t>
  </si>
  <si>
    <t>Conventional machine learning-based methods have been effective in assisting physicians in making accurate decisions and utilized in computer-aided diagnosis for more than 30 years. Recently, deep learning-based methods, and convolutional neural networks in particular, have rapidly become preferred options in medical image analysis because of their state-of-the-art performance. However, the performances of conventional and deep learning-based methods cannot be compared reliably because of their evaluations on different datasets. Hence, we developed both conventional and deep learning-based methods for lung vessel segmentation and chest radiograph registration, and subsequently compared their performances on the same datasets. The results strongly indicated the superiority of deep learning-based methods over their conventional counterparts.</t>
  </si>
  <si>
    <t>[Automated Pre-delineation of CTV in Patients with Cervical Cancer Using Dense V-Net]</t>
  </si>
  <si>
    <t>We use a dense and fully connected convolutional network with good feature learning in small samples, to automatically pre-deline CTV of cervical cancer patients based on CT images and evaluate the effect. The CT data of stage IB and IIA postoperative cervical cancer with similar delineation scope were selected to be used to evaluate the pre-sketching accuracy from three aspects:sketching similarity, sketching offset and sketching volume difference. It has been proved that the 8 most representative parameters are superior to those with single network and reported internationally before. Dense V-Net can accurately predict CTV pre-delineation of cervical cancer patients, which can be used clinically after simple modification by doctors.</t>
  </si>
  <si>
    <t>Automatic liver segmentation by integrating fully convolutional networks into active contour models</t>
  </si>
  <si>
    <t>PURPOSE: Automatic and accurate three-dimensional (3D) segmentation of liver with severe diseases from computed tomography (CT) images is a challenging task. Fully convolutional networks (FCNs) have emerged as powerful tools for automatic semantic segmentation, with multiple potential applications in medical imaging. However, the use of a large receptive field and multiple pooling layers in the network leads to poor localization around object boundaries. The network usually makes pixel-wise prediction independently, making it difficult to respect local label consistency and enforce the smoothness of the object boundary. METHODS: We have developed an automatic liver segmentation method based on a novel framework that integrates fully convolutional network predictions into active contour models (ACM). We use only a single network architecture to generate a pixel label map containing spatial regional information (foreground and background) as well as layered boundary information. We exploit the structured network outcome to define an external constraint force of active contour models. A unique property of the designed force is that both its strength and direction are adaptive to its position and relative distance to the object boundary. The resulting integrated active contour models have the advantages of incorporating both high-level and low-level image information simultaneously, while enforcing the smoothness of the contour. Because the external constraint force can push the evolving contour to the liver boundary and exists everywhere in the image domain, it allows us to place the initial contour far away from the liver boundary. It potentially allows us to control the evolution of the contour in order to preserve the topology of the liver. RESULTS: We have trained and evaluated our model on 73 liver CT scans from a clinic study. The integrated ACM model yields mean dice coefficients (DICE) 95.8 ± 1.4 (%). Without further fine-tuning the network weights for two independent datasets, it yields mean DICE 96.2 ± 0.9 (%) for the SLIVER07 training dataset, and mean DICE 94.3 ± 2.7 (%) for the LiTS training dataset. In comparison with FCN alone model, the integrated ACM model yields improvements in terms of surface distance and DICE values for almost all the cases. Furthermore, the initialization of the active contour can be very far away from the liver boundary. CONCLUSIONS: Experimental results for segmenting livers (with severe diseases on CT images resulting in shape and density abnormalities) have revealed that our proposed model improves segmentation results in comparison with FCN alone. Without further fine-tuning the network weights for two independent datasets, the model is capable of handling image variations from different datasets due to its inherent deformable nature. It is relatively easy to integrate more advanced (either existing or future) FCN architecture into our framework to further improve the segmentation performance.</t>
  </si>
  <si>
    <t>X. Guo, L. H. Schwartz and B. Zhao</t>
  </si>
  <si>
    <t>Deformable MR Prostate Segmentation via Deep Feature Learning and Sparse Patch Matching</t>
  </si>
  <si>
    <t>Automatic and reliable segmentation of the prostate is an important but difficult task for various clinical applications such as prostate cancer radiotherapy. The main challenges for accurate MR prostate localization lie in two aspects: (1) inhomogeneous and inconsistent appearance around prostate boundary, and (2) the large shape variation across different patients. To tackle these two problems, we propose a new deformable MR prostate segmentation method by unifying deep feature learning with the sparse patch matching. First, instead of directly using handcrafted features, we propose to learn the latent feature representation from prostate MR images by the stacked sparse auto-encoder (SSAE). Since the deep learning algorithm learns the feature hierarchy from the data, the learned features are often more concise and effective than the handcrafted features in describing the underlying data. To improve the discriminability of learned features, we further refine the feature representation in a supervised fashion. Second, based on the learned features, a sparse patch matching method is proposed to infer a prostate likelihood map by transferring the prostate labels from multiple atlases to the new prostate MR image. Finally, a deformable segmentation is used to integrate a sparse shape model with the prostate likelihood map for achieving the final segmentation. The proposed method has been extensively evaluated on the dataset that contains 66 T2-wighted prostate MR images. Experimental results show that the deep-learned features are more effective than the handcrafted features in guiding MR prostate segmentation. Moreover, our method shows superior performance than other state-of-the-art segmentation methods.</t>
  </si>
  <si>
    <t>Y. Guo, Y. Gao and D. Shen</t>
  </si>
  <si>
    <t>Segmenting hippocampus from infant brains by sparse patch matching with deep-learned features</t>
  </si>
  <si>
    <t>Accurate segmentation of the hippocampus from infant MR brain images is a critical step for investigating early brain development. Unfortunately, the previous tools developed for adult hippocampus segmentation are not suitable for infant brain images acquired from the first year of life, which often have poor tissue contrast and variable structural patterns of early hippocampal development. From our point of view, the main problem is lack of discriminative and robust feature representations for distinguishing the hippocampus from the surrounding brain structures. Thus, instead of directly using the predefined features as popularly used in the conventional methods, we propose to learn the latent feature representations of infant MR brain images by unsupervised deep learning. Since deep learning paradigms can learn low-level features and then successfully build up more comprehensive high-level features in a layer-by-layer manner, such hierarchical feature representations can be more competitive for distinguishing the hippocampus from entire brain images. To this end, we apply Stacked Auto Encoder (SAE) to learn the deep feature representations from both T1- and T2-weighed MR images combining their complementary information, which is important for characterizing different development stages of infant brains after birth. Then, we present a sparse patch matching method for transferring hippocampus labels from multiple atlases to the new infant brain image, by using deep-learned feature representations to measure the interpatch similarity. Experimental results on 2-week-old to 9-month-old infant brain images show the effectiveness of the proposed method, especially compared to the state-of-the-art counterpart methods.</t>
  </si>
  <si>
    <t>Y. Guo, G. Wu, L. A. Commander, S. Szary, V. Jewells, W. Lin and D. Shent</t>
  </si>
  <si>
    <t>Gross tumor volume segmentation for head and neck cancer radiotherapy using deep dense multi-modality network</t>
  </si>
  <si>
    <t>In radiation therapy, the accurate delineation of gross tumor volume (GTV) is crucial for treatment planning. However, it is challenging for head and neck cancer (HNC) due to the morphology complexity of various organs in the head, low targets to background contrast and potential artifacts on conventional planning CT images. Thus, manual delineation of GTV on anatomical images is extremely time consuming and suffers from inter-observer variability that leads to planning uncertainty. With the wide use of PET/CT imaging in oncology, complementary functional and anatomical information can be utilized for tumor contouring and bring a significant advantage for radiation therapy planning. In this study, by taking advantage of multi-modality PET and CT images, we propose an automatic GTV segmentation framework based on deep learning for HNC. The backbone of this segmentation framework is based on 3D convolution with dense connections which enables a better information propagation and takes full advantage of the features extracted from multi-modality input images. We evaluate our proposed framework on a dataset including 250 HNC patients. Each patient receives both planning CT and PET/CT imaging before radiation therapy (RT). Manually delineated GTV contours by radiation oncologists are used as ground truth in this study. To further investigate the advantage of our proposed Dense-Net framework, we also compared with the framework using 3D U-Net which is the state-of-the-art in segmentation tasks. Meanwhile, for each frame, the performance comparison between single modality input (PET or CT image) and multi-modality input (both PET/CT) is conducted. Dice coefficient, mean surface distance (MSD), 95th-percentile Hausdorff distance (HD(95)) and displacement of mass centroid (DMC) are calculated for quantitative evaluation. The dataset is split into train (140 patients), validation (35 patients) and test (75 patients) groups to optimize the network. Based on the results on independent test group, our proposed multi-modality Dense-Net (Dice 0.73) shows better performance than the compared network (Dice 0.71). Furthermore, the proposed Dense-Net structure has less trainable parameters than the 3D U-Net, which reduces the prediction variability. In conclusion, our proposed multi-modality Dense-Net can enable satisfied GTV segmentation for HNC using multi-modality images and yield superior performance than conventional methods. Our proposed method provides an automatic, fast and consistent solution for GTV segmentation and shows potentials to be generally applied for radiation therapy planning of a variety of cancer (e.g. lung, sarcoma, liver and so on).</t>
  </si>
  <si>
    <t>A Fast and Refined Cancer Regions Segmentation Framework in Whole-slide Breast Pathological Images</t>
  </si>
  <si>
    <t>Supervised learning methods are commonly applied in medical image analysis. However, the success of these approaches is highly dependent on the availability of large manually detailed annotated dataset. Thus an automatic refined segmentation of whole-slide image (WSI) is significant to alleviate the annotation workload of pathologists. But most of the current ways can only output a rough prediction of lesion areas and consume much time in each slide. In this paper, we propose a fast and refined cancer regions segmentation framework v3_DCNN, which first preselects tumor regions using a classification model Inception-v3 and then employs a semantic segmentation model DCNN for refined segmentation. Our framework can generate a dense likelihood heatmap with the 1/8 side of original WSI in 11.5 minutes on the Camelyon16 dataset, which saves more than one hour for each WSI compared with the initial DCNN model. Experimental results show that our approach achieves a higher FROC score 83.5% with the champion's method of Camelyon16 challenge 80.7%. Based on v3 DCNN model, we further automatically produce heatmap of WSI and extract polygons of lesion regions for doctors, which is very helpful for their pathological diagnosis, detailed annotation and thus contributes to developing a more powerful deep learning model.</t>
  </si>
  <si>
    <t>Z. Guo, H. Liu, H. Ni, X. Wang, M. Su, W. Guo, K. Wang, T. Jiang and Y. Qian</t>
  </si>
  <si>
    <t>10.1002/cyto.a.23701</t>
  </si>
  <si>
    <t>Deep Learning in Image Cytometry: A Review</t>
  </si>
  <si>
    <t>Artificial intelligence, deep convolutional neural networks, and deep learning are all niche terms that are increasingly appearing in scientific presentations as well as in the general media. In this review, we focus on deep learning and how it is applied to microscopy image data of cells and tissue samples. Starting with an analogy to neuroscience, we aim to give the reader an overview of the key concepts of neural networks, and an understanding of how deep learning differs from more classical approaches for extracting information from image data. We aim to increase the understanding of these methods, while highlighting considerations regarding input data requirements, computational resources, challenges, and limitations. We do not provide a full manual for applying these methods to your own data, but rather review previously published articles on deep learning in image cytometry, and guide the readers toward further reading on specific networks and methods, including new methods not yet applied to cytometry data. © 2018 The Authors. Cytometry Part A published by Wiley Periodicals, Inc. on behalf of International Society for Advancement of Cytometry.</t>
  </si>
  <si>
    <t>CNN-Based Projected Gradient Descent for Consistent CT Image Reconstruction</t>
  </si>
  <si>
    <t>We present a new image reconstruction method that replaces the projector in a projected gradient descent (PGD) with a convolutional neural network (CNN). Recently, CNNs trained as image-to-image regressors have been successfully used to solve inverse problems in imaging. However, unlike existing iterative image reconstruction algorithms, these CNN-based approaches usually lack a feedback mechanism to enforce that the reconstructed image is consistent with the measurements. We propose a relaxed version of PGD wherein gradient descent enforces measurement consistency, while a CNN recursively projects the solution closer to the space of desired reconstruction images. We show that this algorithm is guaranteed to converge and, under certain conditions, converges to a local minimum of a non-convex inverse problem. Finally, we propose a simple scheme to train the CNN to act like a projector. Our experiments on sparse-view computed-tomography reconstruction show an improvement over total variation-based regularization, dictionary learning, and a state-of-the-art deep learning-based direct reconstruction technique.</t>
  </si>
  <si>
    <t>H. Gupta, K. H. Jin, H. Q. Nguyen, M. T. McCann and M. Unser</t>
  </si>
  <si>
    <t>Ambivert degree identifies crucial brain functional hubs and improves detection of Alzheimer's Disease and Autism Spectrum Disorder</t>
  </si>
  <si>
    <t>Functional modules in the human brain support its drive for specialization whereas brain hubs act as focal points for information integration. Brain hubs are brain regions that have a large number of both within and between module connections. We argue that weak connections in brain functional networks lead to misclassification of brain regions as hubs. In order to resolve this, we propose a new measure called ambivert degree that considers the node's degree as well as connection weights in order to identify nodes with both high degree and high connection weights as hubs. Using resting-state functional MRI scans from the Human Connectome Project, we show that ambivert degree identifies brain hubs that are not only crucial but also invariable across subjects. We hypothesize that nodal measures based on ambivert degree can be effectively used to classify patients from healthy controls for diseases that are known to have widespread hub disruption. Using patient data for Alzheimer's Disease and Autism Spectrum Disorder, we show that the hubs in the patient and healthy groups are very different for both the diseases and deep feedforward neural networks trained on nodal hub features lead to a significantly higher classification accuracy with significantly fewer trainable weights compared to using functional connectivity features. Thus, the ambivert degree improves identification of crucial brain hubs in healthy subjects and can be used as a diagnostic feature to detect neurological diseases characterized by hub disruption.</t>
  </si>
  <si>
    <t>A Portable Ultrasound Imaging System Utilizing Deep Generative Learning-Based Compressive Sensing On Pre-Beamformed RF Signals</t>
  </si>
  <si>
    <t>Recent advances in the unsupervised and generative models of deep learning have shown promise for application in biomedical signal processing. In this work, we present a portable resource-constrained ultrasound (US) system trained using Variational Autoencoder (VAE) network which performs compressive-sensing on pre-beamformed RF signals. The encoder network compresses the RF data, which is further transmitted to the cloud. At the cloud, the decoder reconstructs back the ultrasound image, which can be used for inferencing. The compression is done with an undersampling ratio of 1/2, 1/3, 1/5 and 1/10 without significant loss of the resolution. We also compared the model by state-of-the-art compressive-sensing reconstruction algorithm and it shows significant improvement in terms of PSNR and MSE. The innovation in this approach resides in training with binary weights at the encoder, shows its feasibility for the hardware implementation at the edge. In the future, we plan to include our field-programmable gate array (FPGA) based design directly interfaced with sensors for real-time analysis of Ultrasound images during medical procedures.</t>
  </si>
  <si>
    <t>A convolutional neural network to filter artifacts in spectroscopic MRI</t>
  </si>
  <si>
    <t>PURPOSE: Proton MRSI is a noninvasive modality capable of generating volumetric maps of in vivo tissue metabolism without the need for ionizing radiation or injected contrast agent. Magnetic resonance spectroscopic imaging has been shown to be a viable imaging modality for studying several neuropathologies. However, a key hurdle in the routine clinical adoption of MRSI is the presence of spectral artifacts that can arise from a number of sources, possibly leading to false information. METHODS: A deep learning model was developed that was capable of identifying and filtering out poor quality spectra. The core of the model used a tiled convolutional neural network that analyzed frequency-domain spectra to detect artifacts. RESULTS: When compared with a panel of MRS experts, our convolutional neural network achieved high sensitivity and specificity with an area under the curve of 0.95. A visualization scheme was implemented to better understand how the convolutional neural network made its judgement on single-voxel or multivoxel MRSI, and the convolutional neural network was embedded into a pipeline capable of producing whole-brain spectroscopic MRI volumes in real time. CONCLUSION: The fully automated method for assessment of spectral quality provides a valuable tool to support clinical MRSI or spectroscopic MRI studies for use in fields such as adaptive radiation therapy planning.</t>
  </si>
  <si>
    <t>S. S. Gurbani, E. Schreibmann, A. A. Maudsley, J. S. Cordova, B. J. Soher, H. Poptani, G. Verma, P. B. Barker, H. Shim and L. A. D. Cooper</t>
  </si>
  <si>
    <t>Incorporation of a spectral model in a convolutional neural network for accelerated spectral fitting</t>
  </si>
  <si>
    <t>PURPOSE: MRSI has shown great promise in the detection and monitoring of neurologic pathologies such as tumor. A necessary component of data processing includes the quantitation of each metabolite, typically done through fitting a model of the spectrum to the data. For high-resolution volumetric MRSI of the brain, which may have ~10,000 spectra, significant processing time is required for spectral analysis and generation of metabolite maps. METHODS: A novel unsupervised deep learning architecture that combines a convolutional neural network with a priori models of the spectrum is presented. This architecture, a convolutional encoder-model decoder (CEMD), combines the strengths of adaptive and unbiased convolutional networks with models of magnetic resonance and is readily interpretable. RESULTS: The CEMD architecture performs accurate spectral fitting for volumetric MRSI in patients with glioblastoma, provides whole-brain fitting in 1 min on a standard computer, and handles a variety of spectral artifacts. CONCLUSION: A new architecture combining physics domain knowledge with convolutional neural networks has been developed and is able to perform rapid spectral fitting of whole-brain data. Rapid processing is a critical step toward routine clinical practice.</t>
  </si>
  <si>
    <t>Development and evaluation of a deep learning based artificial intelligence for automatic identification of gold fiducial markers in an MRI-only prostate radiotherapy workflow</t>
  </si>
  <si>
    <t>Identification of prostate gold fiducial markers in magnetic resonance imaging (MRI) images is challenging when CT images are not available, due to misclassifications from intra-prostatic calcifications. It is also a time consuming task and automated identification methods have been suggested as an improvement for both objectives. Multi-echo gradient echo (MEGRE) images have been utilized for manual fiducial identification with 100% detection accuracy. The aim is therefore to develop an automatic deep learning based method for fiducial identification in MRI images intended for MRI-only prostate radiotherapy. MEGRE images from 326 prostate cancer patients with fiducials were acquired on a 3T MRI, post-processed with N4 bias correction, and the fiducial center of mass (CoM) was identified. A 9 mm radius sphere was created around the CoM as ground truth. A deep learning HighRes3DNet model for semantic segmentation was trained using image augmentation. The model was applied to 39 MRI-only patients and 3D probability maps for fiducial location and segmentation were produced and spatially smoothed. In each of the three largest probability peaks, a 9 mm radius sphere was defined. Detection sensitivity and geometric accuracy was assessed. To raise awareness of potential false findings a 'BeAware' score was developed, calculated from the total number and quality of the probability peaks. All datasets, annotations and source code used were made publicly available. The detection sensitivity for all fiducials were 97.4%. Thirty-six out of thirty-nine patients had all fiducial markers correctly identified. All three failed patients generated a user notification using the BeAware score. The mean absolute difference between the detected fiducial and ground truth CoM was 0.7 ± 0.9 [0 3.1] mm. A deep learning method for automatic fiducial identification in MRI images was developed and evaluated with state-of-the-art results. The BeAware score has the potential to notify the user regarding patients where the proposed method is uncertain.</t>
  </si>
  <si>
    <t>Deep-learning-based enhanced optic-disc photography</t>
  </si>
  <si>
    <t>Optic-disc photography (ODP) has proven to be very useful for optic nerve evaluation in glaucoma. In real clinical practice, however, limited patient cooperation, small pupils, or media opacities can limit the performance of ODP. The purpose of this study was to propose a deep-learning approach for increased resolution and improved legibility of ODP by contrast, color, and brightness compensation. Each high-resolution original ODP was transformed into two counterparts: (1) down-scaled 'low-resolution ODPs', and (2) 'compensated high-resolution ODPs' produced via enhancement of the visibility of the optic disc margin and surrounding retinal vessels using a customized image post-processing algorithm. Then, the differences between these two counterparts were directly learned through a super-resolution generative adversarial network (SR-GAN). Finally, by inputting the high-resolution ODPs into SR-GAN, 4-times-up-scaled and overall-color-and-brightness-transformed 'enhanced ODPs' could be obtained. General ophthalmologists were instructed (1) to assess each ODP's image quality, and (2) to note any abnormal findings, at 1-month intervals. The image quality score for the enhanced ODPs was significantly higher than that for the original ODP, and the overall optic disc hemorrhage (DH)-detection accuracy was significantly higher with the enhanced ODPs. We expect that this novel deep-learning approach will be applied to various types of ophthalmic images.</t>
  </si>
  <si>
    <t>Semantically Guided Large Deformation Estimation with Deep Networks</t>
  </si>
  <si>
    <t>Deformable image registration is still a challenge when the considered images have strong variations in appearance and large initial misalignment. A huge performance gap currently remains for fast-moving regions in videos or strong deformations of natural objects. We present a new semantically guided and two-step deep deformation network that is particularly well suited for the estimation of large deformations. We combine a U-Net architecture that is weakly supervised with segmentation information to extract semantically meaningful features with multiple stages of nonrigid spatial transformer networks parameterized with low-dimensional B-spline deformations. Combining alignment loss and semantic loss functions together with a regularization penalty to obtain smooth and plausible deformations, we achieve superior results in terms of alignment quality compared to previous approaches that have only considered a label-driven alignment loss. Our network model advances the state of the art for inter-subject face part alignment and motion tracking in medical cardiac magnetic resonance imaging (MRI) sequences in comparison to the FlowNet and Label-Reg, two recent deep-learning registration frameworks. The models are compact, very fast in inference, and demonstrate clear potential for a variety of challenging tracking and/or alignment tasks in computer vision and medical image analysis.</t>
  </si>
  <si>
    <t>Prior to Initiation of Chemotherapy, Can We Predict Breast Tumor Response? Deep Learning Convolutional Neural Networks Approach Using a Breast MRI Tumor Dataset</t>
  </si>
  <si>
    <t>We hypothesize that convolutional neural networks (CNN) can be used to predict neoadjuvant chemotherapy (NAC) response using a breast MRI tumor dataset prior to initiation of chemotherapy. An institutional review board-approved retrospective review of our database from January 2009 to June 2016 identified 141 locally advanced breast cancer patients who (1) underwent breast MRI prior to the initiation of NAC, (2) successfully completed adriamycin/taxane-based NAC, and (3) underwent surgical resection with available final surgical pathology data. Patients were classified into three groups based on their NAC response confirmed on final surgical pathology: complete (group 1), partial (group 2), and no response/progression (group 3). A total of 3107 volumetric slices of 141 tumors were evaluated. Breast tumor was identified on first T1 postcontrast dynamic images and underwent 3D segmentation. CNN consisted of ten convolutional layers, four max-pooling layers, and dropout of 50% after a fully connected layer. Dropout, augmentation, and L2 regularization were implemented to prevent overfitting of data. Non-linear functions were modeled by a rectified linear unit (ReLU). Batch normalization was used between the convolutional and ReLU layers to limit drift of layer activations during training. A three-class neoadjuvant prediction model was evaluated (group 1, group 2, or group 3). The CNN achieved an overall accuracy of 88% in three-class prediction of neoadjuvant treatment response. Three-class prediction discriminating one group from the other two was analyzed. Group 1 had a specificity of 95.1% ± 3.1%, sensitivity of 73.9% ± 4.5%, and accuracy of 87.7% ± 0.6%. Group 2 (partial response) had a specificity of 91.6% ± 1.3%, sensitivity of 82.4% ± 2.7%, and accuracy of 87.7% ± 0.6%. Group 3 (no response/progression) had a specificity of 93.4% ± 2.9%, sensitivity of 76.8% ± 5.7%, and accuracy of 87.8% ± 0.6%. It is feasible for current deep CNN architectures to be trained to predict NAC treatment response using a breast MRI dataset obtained prior to initiation of chemotherapy. Larger dataset will likely improve our prediction model.</t>
  </si>
  <si>
    <t>10.1007/s13239-020-00494-8</t>
  </si>
  <si>
    <t>Overview of the Whole Heart and Heart Chamber Segmentation Methods</t>
  </si>
  <si>
    <t>BACKGROUND: Preservation and improvement of heart and vessel health is the primary motivation behind cardiovascular disease (CVD) research. Development of advanced imaging techniques can improve our understanding of disease physiology and serve as a monitor for disease progression. Various image processing approaches have been proposed to extract parameters of cardiac shape and function from different cardiac imaging modalities with an overall intention of providing full cardiac analysis. Due to differences in image modalities, the selection of an appropriate segmentation algorithm may be a challenging task. PURPOSE: This paper presents a comprehensive and critical overview of research on the whole heart, bi-ventricles and left atrium segmentation methods from computed tomography (CT), magnetic resonance (MRI) and echocardiography (echo) imaging. The paper aims to: (1) summarize the considerable challenges of cardiac image segmentation, (2) provide the comparison of the segmentation methods, (3) classify significant contributions in the field and (4) critically review approaches in terms of their performance and accuracy. CONCLUSION: The methods described are classified based on the used segmentation approach into (1) edge-based segmentation methods, (2) model-fitting segmentation methods and (3) machine and deep learning segmentation methods and are further split based on the targeted cardiac structure. Edge-based methods are mostly developed as semi-automatic and allow end-user interaction, which provides physicians with extra control over the final segmentation. Model-fitting methods are very robust and resistant to the high variability in image contrast and overall image quality. Nevertheless, they are often time-consuming and require appropriate models with prior knowledge. While the emerging deep learning segmentation approaches provide unprecedented performance in some specific scenarios and under the appropriate training, their performance highly depends on the data quality and the amount and the accuracy of provided annotations.</t>
  </si>
  <si>
    <t>Development of an Artificial Intelligence Model to Identify a Dental Implant from a Radiograph</t>
  </si>
  <si>
    <t>PURPOSE: The objective of this study was to develop a deep convolutional neural network (CNN) that would identify the brand and model of a dental implant from a radiograph. MATERIALS AND METHODS: A data augmentation procedure provided a total of 1,206 dental implant radiographic images of three different brands for six models (Nobel Biocare NobelActive [NNA] and Br.nemark System [NBS], Straumann Bone Level [SBL] and Tissue Level [STL], and Zimmer Biomet Dental Tapered Screw-Vent [ZTSV] and SwissPlus [ZSP]). They were divided into a test group (n = 241; 19.9%) and a training and validation group (n = 965; 80%). Preprocessing and transfer learning were applied to a pretrained GoogLeNet Inception CNN network. The accuracy, sensitivity, specificity, positive predictive value, negative predictive value, receiver operating characteristic (ROC) curve, and area under the ROC curve (AUC) of the CNN model were evaluated. RESULTS: The diagnostic accuracy was 93.8% (95% CI: 87.2% to 99.4%), the sensitivity was 93.5% (95% CI: 84.2% to 99.3%), the specificity was 94.2% (95% CI: 83.5% to 99.4%), the positive predictive value was 92% (95% CI: 83.9% to 97.2%), and the negative predictive value was 91.5% (95% CI: 80.2% to 97.1%). The deep CNN algorithm achieved an AUC of 0.918 (95% CI: 0.826 to 0.973) on NNA, 0.922 (95% CI: 0.831 to 0.964) on NBS, 0.909 (95% CI: 0.844 to 0.982) on SBL, 0.890 (95% CI: 0.783 to 0.945) on STL, 0.931 (95% CI: 0.867 to 0.979) on ZTSV, and 0.911 (95% CI: 0.811 to 0.957) on ZSP. CONCLUSION: The deep CNN model had a very good performance in identifying a dental implant from a radiograph. A huge and varied database of radiographs would have to be built up to be able to identify any dental implant.</t>
  </si>
  <si>
    <t>Int J Oral Maxillofac Implants</t>
  </si>
  <si>
    <t>10.1093/annonc/mdy166</t>
  </si>
  <si>
    <t>Man against machine: diagnostic performance of a deep learning convolutional neural network for dermoscopic melanoma recognition in comparison to 58 dermatologists</t>
  </si>
  <si>
    <t>BACKGROUND: Deep learning convolutional neural networks (CNN) may facilitate melanoma detection, but data comparing a CNN's diagnostic performance to larger groups of dermatologists are lacking. METHODS: Google's Inception v4 CNN architecture was trained and validated using dermoscopic images and corresponding diagnoses. In a comparative cross-sectional reader study a 100-image test-set was used (level-I: dermoscopy only; level-II: dermoscopy plus clinical information and images). Main outcome measures were sensitivity, specificity and area under the curve (AUC) of receiver operating characteristics (ROC) for diagnostic classification (dichotomous) of lesions by the CNN versus an international group of 58 dermatologists during level-I or -II of the reader study. Secondary end points included the dermatologists' diagnostic performance in their management decisions and differences in the diagnostic performance of dermatologists during level-I and -II of the reader study. Additionally, the CNN's performance was compared with the top-five algorithms of the 2016 International Symposium on Biomedical Imaging (ISBI) challenge. RESULTS: In level-I dermatologists achieved a mean (±standard deviation) sensitivity and specificity for lesion classification of 86.6% (±9.3%) and 71.3% (±11.2%), respectively. More clinical information (level-II) improved the sensitivity to 88.9% (±9.6%, P = 0.19) and specificity to 75.7% (±11.7%, P &lt; 0.05). The CNN ROC curve revealed a higher specificity of 82.5% when compared with dermatologists in level-I (71.3%, P &lt; 0.01) and level-II (75.7%, P &lt; 0.01) at their sensitivities of 86.6% and 88.9%, respectively. The CNN ROC AUC was greater than the mean ROC area of dermatologists (0.86 versus 0.79, P &lt; 0.01). The CNN scored results close to the top three algorithms of the ISBI 2016 challenge. CONCLUSIONS: For the first time we compared a CNN's diagnostic performance with a large international group of 58 dermatologists, including 30 experts. Most dermatologists were outperformed by the CNN. Irrespective of any physicians' experience, they may benefit from assistance by a CNN's image classification. CLINICAL TRIAL NUMBER: This study was registered at the German Clinical Trial Register (DRKS-Study-ID: DRKS00013570; https://www.drks.de/drks_web/).</t>
  </si>
  <si>
    <t>Ann Oncol</t>
  </si>
  <si>
    <t>Man against machine reloaded: performance of a market-approved convolutional neural network in classifying a broad spectrum of skin lesions in comparison with 96 dermatologists working under less artificial conditions</t>
  </si>
  <si>
    <t>BACKGROUND: Convolutional neural networks (CNNs) efficiently differentiate skin lesions by image analysis. Studies comparing a market-approved CNN in a broad range of diagnoses to dermatologists working under less artificial conditions are lacking. MATERIALS AND METHODS: One hundred cases of pigmented/non-pigmented skin cancers and benign lesions were used for a two-level reader study in 96 dermatologists (level I: dermoscopy only; level II: clinical close-up images, dermoscopy, and textual information). Additionally, dermoscopic images were classified by a CNN approved for the European market as a medical device (Moleanalyzer Pro, FotoFinder Systems, Bad Birnbach, Germany). Primary endpoints were the sensitivity and specificity of the CNN's dichotomous classification in comparison with the dermatologists' management decisions. Secondary endpoints included the dermatologists' diagnostic decisions, their performance according to their level of experience, and the CNN's area under the curve (AUC) of receiver operating characteristics (ROC). RESULTS: The CNN revealed a sensitivity, specificity, and ROC AUC with corresponding 95% confidence intervals (CI) of 95.0% (95% CI 83.5% to 98.6%), 76.7% (95% CI 64.6% to 85.6%), and 0.918 (95% CI 0.866-0.970), respectively. In level I, the dermatologists' management decisions showed a mean sensitivity and specificity of 89.0% (95% CI 87.4% to 90.6%) and 80.7% (95% CI 78.8% to 82.6%). With level II information, the sensitivity significantly improved to 94.1% (95% CI 93.1% to 95.1%; P &lt; 0.001), while the specificity remained unchanged at 80.4% (95% CI 78.4% to 82.4%; P = 0.97). When fixing the CNN's specificity at the mean specificity of the dermatologists' management decision in level II (80.4%), the CNN's sensitivity was almost equal to that of human raters, at 95% (95% CI 83.5% to 98.6%) versus 94.1% (95% CI 93.1% to 95.1%); P = 0.1. In contrast, dermatologists were outperformed by the CNN in their level I management decisions and level I and II diagnostic decisions. More experienced dermatologists frequently surpassed the CNN's performance. CONCLUSIONS: Under less artificial conditions and in a broader spectrum of diagnoses, the CNN and most dermatologists performed on the same level. Dermatologists are trained to integrate information from a range of sources rendering comparative studies that are solely based on one single case image inadequate.</t>
  </si>
  <si>
    <t>Resolving challenges in deep learning-based analyses of histopathological images using explanation methods</t>
  </si>
  <si>
    <t>Deep learning has recently gained popularity in digital pathology due to its high prediction quality. However, the medical domain requires explanation and insight for a better understanding beyond standard quantitative performance evaluation. Recently, many explanation methods have emerged. This work shows how heatmaps generated by these explanation methods allow to resolve common challenges encountered in deep learning-based digital histopathology analyses. We elaborate on biases which are typically inherent in histopathological image data. In the binary classification task of tumour tissue discrimination in publicly available haematoxylin-eosin-stained images of various tumour entities, we investigate three types of biases: (1) biases which affect the entire dataset, (2) biases which are by chance correlated with class labels and (3) sampling biases. While standard analyses focus on patch-level evaluation, we advocate pixel-wise heatmaps, which offer a more precise and versatile diagnostic instrument. This insight is shown to not only be helpful to detect but also to remove the effects of common hidden biases, which improves generalisation within and across datasets. For example, we could see a trend of improved area under the receiver operating characteristic (ROC) curve by 5% when reducing a labelling bias. Explanation techniques are thus demonstrated to be a helpful and highly relevant tool for the development and the deployment phases within the life cycle of real-world applications in digital pathology.</t>
  </si>
  <si>
    <t>Deep Learning and Handcrafted Method Fusion: Higher Diagnostic Accuracy for Melanoma Dermoscopy Images</t>
  </si>
  <si>
    <t>This paper presents an approach that combines conventional image processing with deep learning by fusing the features from the individual techniques. We hypothesize that the two techniques, with different error profiles, are synergistic. The conventional image processing arm uses three handcrafted biologically inspired image processing modules and one clinical information module. The image processing modules detect lesion features comparable to clinical dermoscopy information-atypical pigment network, color distribution, and blood vessels. The clinical module includes information submitted to the pathologist-patient age, gender, lesion location, size, and patient history. The deep learning arm utilizes knowledge transfer via a ResNet-50 network that is repurposed to predict the probability of melanoma classification. The classification scores of each individual module from both processing arms are then ensembled utilizing logistic regression to predict an overall melanoma probability. Using cross-validated results of melanoma classification measured by area under the receiver operator characteristic curve (AUC), classification accuracy of 0.94 was obtained for the fusion technique. In comparison, the ResNet-50 deep learning based classifier alone yields an AUC of 0.87 and conventional image processing based classifier yields an AUC of 0.90. Further study of fusion of conventional image processing techniques and deep learning is warranted.</t>
  </si>
  <si>
    <t>DeepPET: A deep encoder-decoder network for directly solving the PET image reconstruction inverse problem</t>
  </si>
  <si>
    <t>The purpose of this research was to implement a deep learning network to overcome two of the major bottlenecks in improved image reconstruction for clinical positron emission tomography (PET). These are the lack of an automated means for the optimization of advanced image reconstruction algorithms, and the computational expense associated with these state-of-the art methods. We thus present a novel end-to-end PET image reconstruction technique, called DeepPET, based on a deep convolutional encoder-decoder network, which takes PET sinogram data as input and directly and quickly outputs high quality, quantitative PET images. Using simulated data derived from a whole-body digital phantom, we randomly sampled the configurable parameters to generate realistic images, which were each augmented to a total of more than 291,000 reference images. Realistic PET acquisitions of these images were simulated, resulting in noisy sinogram data, used for training, validation, and testing the DeepPET network. We demonstrated that DeepPET generates higher quality images compared to conventional techniques, in terms of relative root mean squared error (11%/53% lower than ordered subset expectation maximization (OSEM)/filtered back-projection (FBP), structural similarity index (1%/11% higher than OSEM/FBP), and peak signal-to-noise ratio (1.1/3.8 dB higher than OSEM/FBP). In addition, we show that DeepPET reconstructs images 108 and 3 times faster than OSEM and FBP, respectively. Finally, DeepPET was successfully applied to real clinical data. This study shows that an end-to-end encoder-decoder network can produce high quality PET images at a fraction of the time compared to conventional methods.</t>
  </si>
  <si>
    <t>Improving the Quality of Synthetic FLAIR Images with Deep Learning Using a Conditional Generative Adversarial Network for Pixel-by-Pixel Image Translation</t>
  </si>
  <si>
    <t>BACKGROUND AND PURPOSE: Synthetic FLAIR images are of lower quality than conventional FLAIR images. Here, we aimed to improve the synthetic FLAIR image quality using deep learning with pixel-by-pixel translation through conditional generative adversarial network training. MATERIALS AND METHODS: Forty patients with MS were prospectively included and scanned (3T) to acquire synthetic MR imaging and conventional FLAIR images. Synthetic FLAIR images were created with the SyMRI software. Acquired data were divided into 30 training and 10 test datasets. A conditional generative adversarial network was trained to generate improved FLAIR images from raw synthetic MR imaging data using conventional FLAIR images as targets. The peak signal-to-noise ratio, normalized root mean square error, and the Dice index of MS lesion maps were calculated for synthetic and deep learning FLAIR images against conventional FLAIR images, respectively. Lesion conspicuity and the existence of artifacts were visually assessed. RESULTS: The peak signal-to-noise ratio and normalized root mean square error were significantly higher and lower, respectively, in generated-versus-synthetic FLAIR images in aggregate intracranial tissues and all tissue segments (all P &lt; .001). The Dice index of lesion maps and visual lesion conspicuity were comparable between generated and synthetic FLAIR images (P = 1 and .59, respectively). Generated FLAIR images showed fewer granular artifacts (P = .003) and swelling artifacts (in all cases) than synthetic FLAIR images. CONCLUSIONS: Using deep learning, we improved the synthetic FLAIR image quality by generating FLAIR images that have contrast closer to that of conventional FLAIR images and fewer granular and swelling artifacts, while preserving the lesion contrast.</t>
  </si>
  <si>
    <t>10.1016/j.cmpb.2018.07.012</t>
  </si>
  <si>
    <t>Computer-aided diagnosis of glaucoma using fundus images: A review</t>
  </si>
  <si>
    <t>BACKGROUND AND OBJECTIVES: Glaucoma is an eye condition which leads to permanent blindness when the disease progresses to an advanced stage. It occurs due to inappropriate intraocular pressure within the eye, resulting in damage to the optic nerve. Glaucoma does not exhibit any symptoms in its nascent stage and thus, it is important to diagnose early to prevent blindness. Fundus photography is widely used by ophthalmologists to assist in diagnosis of glaucoma and is cost-effective. METHODS: The morphological features of the disc that is characteristic of glaucoma are clearly seen in the fundus images. However, manual inspection of the acquired fundus images may be prone to inter-observer variation. Therefore, a computer-aided detection (CAD) system is proposed to make an accurate, reliable and fast diagnosis of glaucoma based on the optic nerve features of fundus imaging. In this paper, we reviewed existing techniques to automatically diagnose glaucoma. RESULTS: The use of CAD is very effective in the diagnosis of glaucoma and can assist the clinicians to alleviate their workload significantly. We have also discussed the advantages of employing state-of-art techniques, including deep learning (DL), when developing the automated system. The DL methods are effective in glaucoma diagnosis. CONCLUSIONS: Novel DL algorithms with big data availability are required to develop a reliable CAD system. Such techniques can be employed to diagnose other eye diseases accurately.</t>
  </si>
  <si>
    <t>A deep learning approach to estimation of subject-level bias and variance in high angular resolution diffusion imaging</t>
  </si>
  <si>
    <t>The ability to evaluate empirical diffusion MRI acquisitions for quality and to correct the resulting imaging metrics allows for improved inference and increased replicability. Previous work has shown promise for estimation of bias and variance of generalized fractional anisotropy (GFA) but comes at the price of computational complexity. This paper aims to provide methods for estimating GFA, bias of GFA and standard deviation of GFA quickly and accurately. In order to provide a method for bias and variance estimation that can return results faster than the previously studied statistical techniques, three deep, fully-connected neural networks are developed for GFA, bias of GFA, and standard deviation of GFA. The results of these networks are compared to the observed values of the metrics as well as those fit from the statistical techniques (i.e. Simulation Extrapolation (SIMEX) for bias estimation and wild bootstrap for variance estimation). Our GFA network provides predictions that are closer to the true GFA values than a Q-ball fit of the observed data (root-mean-square error (RMSE) 0.0077 vs 0.0082, p &lt; .001). The bias network also shows statistically significant improvement in comparison to the SIMEX-estimated error of GFA (RMSE 0.0071 vs. 0.01, p &lt; .001).</t>
  </si>
  <si>
    <t>A. E. Hainline, V. Nath, P. Parvathaneni, K. G. Schilling, J. A. Blaber, A. W. Anderson, H. Kang and B. A. Landman</t>
  </si>
  <si>
    <t>WorMachine: machine learning-based phenotypic analysis tool for worms</t>
  </si>
  <si>
    <t>BACKGROUND: Caenorhabditis elegans nematodes are powerful model organisms, yet quantification of visible phenotypes is still often labor-intensive, biased, and error-prone. We developed WorMachine, a three-step MATLAB-based image analysis software that allows (1) automated identification of C. elegans worms, (2) extraction of morphological features and quantification of fluorescent signals, and (3) machine learning techniques for high-level analysis. RESULTS: We examined the power of WorMachine using five separate representative assays: supervised classification of binary-sex phenotype, scoring continuous-sexual phenotypes, quantifying the effects of two different RNA interference treatments, and measuring intracellular protein aggregation. CONCLUSIONS: WorMachine is suitable for analysis of a variety of biological questions and provides an accurate and reproducible analysis tool for measuring diverse phenotypes. It serves as a quick and easy, convenient, high-throughput, and automated solution for nematode research.</t>
  </si>
  <si>
    <t>A. Hakim, Y. Mor, I. A. Toker, A. Levine, M. Neuhof, Y. Markovitz and O. Rechavi</t>
  </si>
  <si>
    <t>BMC Biol</t>
  </si>
  <si>
    <t>Optical biopsy of head and neck cancer using hyperspectral imaging and convolutional neural networks</t>
  </si>
  <si>
    <t>For patients undergoing surgical cancer resection of squamous cell carcinoma (SCCa), cancer-free surgical margins are essential for good prognosis. We developed a method to use hyperspectral imaging (HSI), a noncontact optical imaging modality, and convolutional neural networks (CNNs) to perform an optical biopsy of ex-vivo, surgical gross-tissue specimens, collected from 21 patients undergoing surgical cancer resection. Using a cross-validation paradigm with data from different patients, the CNN can distinguish SCCa from normal aerodigestive tract tissues with an area under the receiver operator curve (AUC) of 0.82. Additionally, normal tissue from the upper aerodigestive tract can be subclassified into squamous epithelium, muscle, and gland with an average AUC of 0.94. After separately training on thyroid tissue, the CNN can differentiate between thyroid carcinoma and normal thyroid with an AUC of 0.95, 92% accuracy, 92% sensitivity, and 92% specificity. Moreover, the CNN can discriminate medullary thyroid carcinoma from benign multinodular goiter (MNG) with an AUC of 0.93. Classical-type papillary thyroid carcinoma is differentiated from MNG with an AUC of 0.91. Our preliminary results demonstrate that an HSI-based optical biopsy method using CNNs can provide multicategory diagnostic information for normal and cancerous head-and-neck tissue, and more patient data are needed to fully investigate the potential and reliability of the proposed technique.</t>
  </si>
  <si>
    <t>Deep convolutional neural networks for classifying head and neck cancer using hyperspectral imaging</t>
  </si>
  <si>
    <t>Surgical cancer resection requires an accurate and timely diagnosis of the cancer margins in order to achieve successful patient remission. Hyperspectral imaging (HSI) has emerged as a useful, noncontact technique for acquiring spectral and optical properties of tissue. A convolutional neural network (CNN) classifier is developed to classify excised, squamous-cell carcinoma, thyroid cancer, and normal head and neck tissue samples using HSI. The CNN classification was validated by the manual annotation of a pathologist specialized in head and neck cancer. The preliminary results of 50 patients indicate the potential of HSI and deep learning for automatic tissue-labeling of surgical specimens of head and neck patients.</t>
  </si>
  <si>
    <t>M. Halicek, G. Lu, J. V. Little, X. Wang, M. Patel, C. C. Griffith, M. W. El-Deiry, A. Y. Chen and B. Fei</t>
  </si>
  <si>
    <t>Identifying Ear Abnormality from 2D Photographs Using Convolutional Neural Networks</t>
  </si>
  <si>
    <t>Quantifying ear deformity using linear measurements and mathematical modeling is difficult due to the ear's complex shape. Machine learning techniques, such as convolutional neural networks (CNNs), are well-suited for this role. CNNs are deep learning methods capable of finding complex patterns from medical images, automatically building solution models capable of machine diagnosis. In this study, we applied CNN to automatically identify ear deformity from 2D photographs. Institutional review board (IRB) approval was obtained for this retrospective study to train and test the CNNs. Photographs of patients with and without ear deformity were obtained as standard of care in our photography studio. Profile photographs were obtained for one or both ears. A total of 671 profile pictures were used in this study including: 457 photographs of patients with ear deformity and 214 photographs of patients with normal ears. Photographs were cropped to the ear boundary and randomly divided into training (60%), validation (20%), and testing (20%) datasets. We modified the softmax classifier in the last layer in GoogLeNet, a deep CNN, to generate an ear deformity detection model in Matlab. All images were deemed of high quality and usable for training and testing. It took about 2 hours to train the system and the training accuracy reached almost 100%. The test accuracy was about 94.1%. We demonstrate that deep learning has a great potential in identifying ear deformity. These machine learning techniques hold the promise in being used in the future to evaluate treatment outcomes.</t>
  </si>
  <si>
    <t>R. R. Hallac, J. Lee, M. Pressler, J. R. Seaward and A. A. Kane</t>
  </si>
  <si>
    <t>Retinal optical coherence tomography image enhancement via deep learning</t>
  </si>
  <si>
    <t>Optical coherence tomography (OCT) images of the retina are a powerful tool for diagnosing and monitoring eye disease. However, they are plagued by speckle noise, which reduces image quality and reliability of assessment. This paper introduces a novel speckle reduction method inspired by the recent successes of deep learning in medical imaging. We present two versions of the network to reflect the needs and preferences of different end-users. Specifically, we train a convolution neural network to denoise cross-sections from OCT volumes of healthy eyes using either (1) mean-squared error, or (2) a generative adversarial network (GAN) with Wasserstein distance and perceptual similarity. We then interrogate the success of both methods with extensive quantitative and qualitative metrics on cross-sections from both healthy and glaucomatous eyes. The results show that the former approach provides state-of-the-art improvement in quantitative metrics such as PSNR and SSIM, and aids layer segmentation. However, the latter approach, which puts more weight on visual perception, outperformed for qualitative comparisons based on accuracy, clarity, and personal preference. Overall, our results demonstrate the effectiveness and efficiency of a deep learning approach to denoising OCT images, while maintaining subtle details in the images.</t>
  </si>
  <si>
    <t>K. J. Halupka, B. J. Antony, M. H. Lee, K. A. Lucy, R. S. Rai, H. Ishikawa, G. Wollstein, J. S. Schuman and R. Garnavi</t>
  </si>
  <si>
    <t>Domain adaptation for ultrasound tongue contour extraction using transfer learning: A deep learning approach</t>
  </si>
  <si>
    <t>Automatic and precise delineating of the tongue surface in real-time frames is a challenging task because of the noisy nature of ultrasound images and rapid changes of the tongue. Deep convolutional neural networks have been shown to be successful in medical image analysis tasks such as tongue contour extraction. However, they are typically weak for the same task on different domains. Domain adaptation is an alternative solution for this difficulty by transferring and fine-tuning models on different datasets. In this study, the problem of transfer learning for tongue contour extraction was investigated on different ultrasound datasets.</t>
  </si>
  <si>
    <t>M. Hamed Mozaffari and W. S. Lee</t>
  </si>
  <si>
    <t>J Acoust Soc Am</t>
  </si>
  <si>
    <t>10.1016/j.media.2018.03.006</t>
  </si>
  <si>
    <t>Deep learning in mammography and breast histology, an overview and future trends</t>
  </si>
  <si>
    <t>Recent improvements in biomedical image analysis using deep learning based neural networks could be exploited to enhance the performance of Computer Aided Diagnosis (CAD) systems. Considering the importance of breast cancer worldwide and the promising results reported by deep learning based methods in breast imaging, an overview of the recent state-of-the-art deep learning based CAD systems developed for mammography and breast histopathology images is presented. In this study, the relationship between mammography and histopathology phenotypes is described, which takes biological aspects into account. We propose a computer based breast cancer modelling approach: the Mammography-Histology-Phenotype-Linking-Model, which develops a mapping of features/phenotypes between mammographic abnormalities and their histopathological representation. Challenges are discussed along with the potential contribution of such a system to clinical decision making and treatment management.</t>
  </si>
  <si>
    <t>Beltrami-net: domain-independent deep D-bar learning for absolute imaging with electrical impedance tomography (a-EIT)</t>
  </si>
  <si>
    <t>OBJECTIVE: To develop, and demonstrate the feasibility of, a novel image reconstruction method for absolute electrical impedance tomography (a-EIT) that pairs deep learning techniques with real-time robust D-bar methods and examine the influence of prior information on the reconstruction. APPROACH: A D-bar method is paired with a trained convolutional neural network (CNN) as a post-processing step. Training data is simulated for the network using no knowledge of the boundary shape by using an associated nonphysical Beltrami equation rather than simulating the traditional current and voltage data specific to a given domain. This allows the training data to be boundary shape independent. The method is tested on experimental data from two EIT systems (ACT4 and KIT4) with separate training sets of varying prior information. MAIN RESULTS: Post-processing the D-bar images with a CNN produces significant improvements in image quality measured by structural SIMilarity indices (SSIMs) as well as relative [Formula: see text] and [Formula: see text] image errors. SIGNIFICANCE: This work demonstrates that more general networks can be trained without being specific about boundary shape, a key challenge in EIT image reconstruction. The work is promising for future studies involving databases of anatomical atlases.</t>
  </si>
  <si>
    <t>Physiol Meas</t>
  </si>
  <si>
    <t>Deep D-Bar: Real-Time Electrical Impedance Tomography Imaging With Deep Neural Networks</t>
  </si>
  <si>
    <t>The mathematical problem for electrical impedance tomography (EIT) is a highly nonlinear ill-posed inverse problem requiring carefully designed reconstruction procedures to ensure reliable image generation. D-bar methods are based on a rigorous mathematical analysis and provide robust direct reconstructions by using a low-pass filtering of the associated nonlinear Fourier data. Similarly to low-pass filtering of linear Fourier data, only using low frequencies in the image recovery process results in blurred images lacking sharp features, such as clear organ boundaries. Convolutional neural networks provide a powerful framework for post-processing such convolved direct reconstructions. In this paper, we demonstrate that these CNN techniques lead to sharp and reliable reconstructions even for the highly nonlinear inverse problem of EIT. The network is trained on data sets of simulated examples and then applied to experimental data without the need to perform an additional transfer training. Results for absolute EIT images are presented using experimental EIT data from the ACT4 and KIT4 EIT systems.</t>
  </si>
  <si>
    <t>S. J. Hamilton and A. Hauptmann</t>
  </si>
  <si>
    <t>10.1007/s00117-019-00613-0</t>
  </si>
  <si>
    <t>[Artificial intelligence and radiomics in MRI-based prostate diagnostics]</t>
  </si>
  <si>
    <t>CLINICAL/METHODICAL ISSUE: In view of the diagnostic complexity and the large number of examinations, modern radiology is challenged to identify clinically significant prostate cancer (PCa) with high sensitivity and specificity. Meanwhile overdiagnosis and overtreatment of clinically nonsignificant carcinomas need to be avoided. STANDARD RADIOLOGICAL METHODS: Increasingly, international guidelines recommend multiparametric magnetic resonance imaging (mpMRI) as first-line investigation in patients with suspected PCa. METHODICAL INNOVATIONS: Image interpretation according to the PI-RADS criteria is limited by interobserver variability. Thus, rapid developments in the field of automated image analysis tools, including radiomics and artificial intelligence (AI; machine learning, deep learning), give hope for further improvement in patient care. PERFORMANCE: AI focuses on the automated detection and classification of PCa, but it also attempts to stratify tumor aggressiveness according to the Gleason score. Recent studies present good to very good results in radiomics or AI-supported mpMRI diagnosis. Nevertheless, these systems are not widely used in clinical practice. ACHIEVEMENTS AND PRACTICAL RECOMMENDATIONS: In order to apply these innovative technologies, a growing awareness for the need of structured data acquisition, development of robust systems and an increased acceptance of AI as diagnostic support are needed. If AI overcomes these obstacles, it may play a key role in the quantitative and reproducible image-based diagnosis of ever-increasing prostate MRI examination volumes.</t>
  </si>
  <si>
    <t>Deep learning for liver tumor diagnosis part I: development of a convolutional neural network classifier for multi-phasic MRI</t>
  </si>
  <si>
    <t>OBJECTIVES: To develop and validate a proof-of-concept convolutional neural network (CNN)-based deep learning system (DLS) that classifies common hepatic lesions on multi-phasic MRI. METHODS: A custom CNN was engineered by iteratively optimizing the network architecture and training cases, finally consisting of three convolutional layers with associated rectified linear units, two maximum pooling layers, and two fully connected layers. Four hundred ninety-four hepatic lesions with typical imaging features from six categories were utilized, divided into training (n = 434) and test (n = 60) sets. Established augmentation techniques were used to generate 43,400 training samples. An Adam optimizer was used for training. Monte Carlo cross-validation was performed. After model engineering was finalized, classification accuracy for the final CNN was compared with two board-certified radiologists on an identical unseen test set. RESULTS: The DLS demonstrated a 92% accuracy, a 92% sensitivity (Sn), and a 98% specificity (Sp). Test set performance in a single run of random unseen cases showed an average 90% Sn and 98% Sp. The average Sn/Sp on these same cases for radiologists was 82.5%/96.5%. Results showed a 90% Sn for classifying hepatocellular carcinoma (HCC) compared to 60%/70% for radiologists. For HCC classification, the true positive and false positive rates were 93.5% and 1.6%, respectively, with a receiver operating characteristic area under the curve of 0.992. Computation time per lesion was 5.6 ms. CONCLUSION: This preliminary deep learning study demonstrated feasibility for classifying lesions with typical imaging features from six common hepatic lesion types, motivating future studies with larger multi-institutional datasets and more complex imaging appearances. KEY POINTS: • Deep learning demonstrates high performance in the classification of liver lesions on volumetric multi-phasic MRI, showing potential as an eventual decision-support tool for radiologists. • Demonstrating a classification runtime of a few milliseconds per lesion, a deep learning system could be incorporated into the clinical workflow in a time-efficient manner.</t>
  </si>
  <si>
    <t>C. A. Hamm, C. J. Wang, L. J. Savic, M. Ferrante, I. Schobert, T. Schlachter, M. Lin, J. S. Duncan, J. C. Weinreb, J. Chapiro and B. Letzen</t>
  </si>
  <si>
    <t>Learning a variational network for reconstruction of accelerated MRI data</t>
  </si>
  <si>
    <t>PURPOSE: To allow fast and high-quality reconstruction of clinical accelerated multi-coil MR data by learning a variational network that combines the mathematical structure of variational models with deep learning. THEORY AND METHODS: Generalized compressed sensing reconstruction formulated as a variational model is embedded in an unrolled gradient descent scheme. All parameters of this formulation, including the prior model defined by filter kernels and activation functions as well as the data term weights, are learned during an offline training procedure. The learned model can then be applied online to previously unseen data. RESULTS: The variational network approach is evaluated on a clinical knee imaging protocol for different acceleration factors and sampling patterns using retrospectively and prospectively undersampled data. The variational network reconstructions outperform standard reconstruction algorithms, verified by quantitative error measures and a clinical reader study for regular sampling and acceleration factor 4. CONCLUSION: Variational network reconstructions preserve the natural appearance of MR images as well as pathologies that were not included in the training data set. Due to its high computational performance, that is, reconstruction time of 193 ms on a single graphics card, and the omission of parameter tuning once the network is trained, this new approach to image reconstruction can easily be integrated into clinical workflow. Magn Reson Med 79:3055-3071, 2018. © 2017 International Society for Magnetic Resonance in Medicine.</t>
  </si>
  <si>
    <t>K. Hammernik, T. Klatzer, E. Kobler, M. P. Recht, D. K. Sodickson, T. Pock and F. Knoll</t>
  </si>
  <si>
    <t>A New Framework for Performing Cardiac Strain Analysis from Cine MRI Imaging in Mice</t>
  </si>
  <si>
    <t>Cardiac magnetic resonance (MR) imaging is one of the most rigorous form of imaging to assess cardiac function in vivo. Strain analysis allows comprehensive assessment of diastolic myocardial function, which is not indicated by measuring systolic functional parameters using with a normal cine imaging module. Due to the small heart size in mice, it is not possible to perform proper tagged imaging to assess strain. Here, we developed a novel deep learning approach for automated quantification of strain from cardiac cine MR images. Our framework starts by an accurate localization of the LV blood pool center-point using a fully convolutional neural network (FCN) architecture. Then, a region of interest (ROI) that contains the LV is extracted from all heart sections. The extracted ROIs are used for the segmentation of the LV cavity and myocardium via a novel FCN architecture. For strain analysis, we developed a Laplace-based approach to track the LV wall points by solving the Laplace equation between the LV contours of each two successive image frames over the cardiac cycle. Following tracking, the strain estimation is performed using the Lagrangian-based approach. This new automated system for strain analysis was validated by comparing the outcome of these analysis with the tagged MR images from the same mice. There were no significant differences between the strain data obtained from our algorithm using cine compared to tagged MR imaging. Furthermore, we demonstrated that our new algorithm can determine the strain differences between normal and diseased hearts.</t>
  </si>
  <si>
    <t>Investigating the challenges and generalizability of deep learning brain conductivity mapping</t>
  </si>
  <si>
    <t>To investigate deep learning electrical properties tomography (EPT) for application on different simulated and in-vivo datasets, including pathologies for brain conductivity reconstructions, 3D patch-based convolutional neural networks were trained to predict conductivity maps from B (1) transceive phase data. To compare the performance of DL-EPT networks on different datasets, three datasets were used throughout this work, one from simulations and two from in-vivo measurements from healthy volunteers and patients with brain lesions, respectively. At first, networks trained on simulations were tested on all datasets with different levels of homogeneous Gaussian noise introduced in training and testing. Secondly, to investigate potential robustness towards systematical differences between simulated and measured phase maps, in-vivo data with conductivity labels from conventional EPT were used for training. High quality conductivity reconstructions from networks trained on simulations with and without noise confirm the potential of deep learning for EPT. However, when this network is used for in-vivo reconstructions, measurement related artifacts affect the quality of conductivity maps. Training DL-EPT networks using conductivity labels from conventional EPT improves the quality of the results. Networks trained on realistic simulations yield reconstruction artifacts when applied to in-vivo data. Training with realistic phase data and conductivity labels from conventional EPT allows for reducing these artifacts.</t>
  </si>
  <si>
    <t>Noninvasive Diagnosis of Nonalcoholic Fatty Liver Disease and Quantification of Liver Fat with Radiofrequency Ultrasound Data Using One-dimensional Convolutional Neural Networks</t>
  </si>
  <si>
    <t>Background Radiofrequency ultrasound data from the liver contain rich information about liver microstructure and composition. Deep learning might exploit such information to assess nonalcoholic fatty liver disease (NAFLD). Purpose To develop and evaluate deep learning algorithms that use radiofrequency data for NAFLD assessment, with MRI-derived proton density fat fraction (PDFF) as the reference. Materials and Methods A HIPAA-compliant secondary analysis of a single-center prospective study was performed for adult participants with NAFLD and control participants without liver disease. Participants in the parent study were recruited between February 2012 and March 2014 and underwent same-day US and MRI of the liver. Participants were randomly divided into an equal number of training and test groups. The training group was used to develop two algorithms via cross-validation: a classifier to diagnose NAFLD (MRI PDFF ≥ 5%) and a fat fraction estimator to predict MRI PDFF. Both algorithms used one-dimensional convolutional neural networks. The test group was used to evaluate the classifier for sensitivity, specificity, positive predictive value, negative predictive value, and accuracy and to evaluate the estimator for correlation, bias, limits of agreements, and linearity between predicted fat fraction and MRI PDFF. Results A total of 204 participants were analyzed, 140 had NAFLD (mean age, 52 years ± 14 [standard deviation]; 82 women) and 64 were control participants (mean age, 46 years ± 21; 42 women). In the test group, the classifier provided 96% (95% confidence interval [CI]: 90%, 99%) (98 of 102) accuracy for NAFLD diagnosis (sensitivity, 97% [95% CI: 90%, 100%], 68 of 70; specificity, 94% [95% CI: 79%, 99%], 30 of 32; positive predictive value, 97% [95% CI: 90%, 99%], 68 of 70; negative predictive value, 94% [95% CI: 79%, 98%], 30 of 32). The estimator-predicted fat fraction correlated with MRI PDFF (Pearson r = 0.85). The mean bias was 0.8% (P = .08), and 95% limits of agreement were -7.6% to 9.1%. The predicted fat fraction was linear with an MRI PDFF of 18% or less (r = 0.89, slope = 1.1, intercept = 1.3) and nonlinear with an MRI PDFF greater than 18%. Conclusion Deep learning algorithms using radiofrequency ultrasound data are accurate for diagnosis of nonalcoholic fatty liver disease and hepatic fat fraction quantification when other causes of steatosis are excluded. © RSNA, 2020 Online supplemental material is available for this article. See also the editorial by Lockhart and Smith in this issue.</t>
  </si>
  <si>
    <t>Automatic recognition of 3D GGO CT imaging signs through the fusion of hybrid resampling and layer-wise fine-tuning CNNs</t>
  </si>
  <si>
    <t>Ground-glass opacity (GGO) is a common CT imaging sign on high-resolution CT, which means the lesion is more likely to be malignant compared to common solid lung nodules. The automatic recognition of GGO CT imaging signs is of great importance for early diagnosis and possible cure of lung cancers. The present GGO recognition methods employ traditional low-level features and system performance improves slowly. Considering the high-performance of CNN model in computer vision field, we proposed an automatic recognition method of 3D GGO CT imaging signs through the fusion of hybrid resampling and layer-wise fine-tuning CNN models in this paper. Our hybrid resampling is performed on multi-views and multi-receptive fields, which reduces the risk of missing small or large GGOs by adopting representative sampling panels and processing GGOs with multiple scales simultaneously. The layer-wise fine-tuning strategy has the ability to obtain the optimal fine-tuning model. Multi-CNN models fusion strategy obtains better performance than any single trained model. We evaluated our method on the GGO nodule samples in publicly available LIDC-IDRI dataset of chest CT scans. The experimental results show that our method yields excellent results with 96.64% sensitivity, 71.43% specificity, and 0.83 F1 score. Our method is a promising approach to apply deep learning method to computer-aided analysis of specific CT imaging signs with insufficient labeled images. Graphical abstract We proposed an automatic recognition method of 3D GGO CT imaging signs through the fusion of hybrid resampling and layer-wise fine-tuning CNN models in this paper. Our hybrid resampling reduces the risk of missing small or large GGOs by adopting representative sampling panels and processing GGOs with multiple scales simultaneously. The layer-wise fine-tuning strategy has ability to obtain the optimal fine-tuning model. Our method is a promising approach to apply deep learning method to computer-aided analysis of specific CT imaging signs with insufficient labeled images.</t>
  </si>
  <si>
    <t>G. Han, X. Liu, G. Zheng, M. Wang and S. Huang</t>
  </si>
  <si>
    <t>MRI to MGMT: predicting methylation status in glioblastoma patients using convolutional recurrent neural networks</t>
  </si>
  <si>
    <t>Glioblastoma Multiforme (GBM), a malignant brain tumor, is among the most lethal of all cancers. Temozolomide is the primary chemotherapy treatment for patients diagnosed with GBM. The methylation status of the promoter or the enhancer regions of the O6-methylguanine methyltransferase (MGMT) gene may impact the efficacy and sensitivity of temozolomide, and hence may affect overall patient survival. Microscopic genetic changes may manifest as macroscopic morphological changes in the brain tumors that can be detected using magnetic resonance imaging (MRI), which can serve as noninvasive biomarkers for determining methylation of MGMT regulatory regions. In this research, we use a compendium of brain MRI scans of GBM patients collected from The Cancer Imaging Archive (TCIA) combined with methylation data from The Cancer Genome Atlas (TCGA) to predict the methylation state of the MGMT regulatory regions in these patients. Our approach relies on a bi-directional convolutional recurrent neural network architecture (CRNN) that leverages the spatial aspects of these 3-dimensional MRI scans. Our CRNN obtains an accuracy of 67% on the validation data and 62% on the test data, with precision and recall both at 67%, suggesting the existence of MRI features that may complement existing markers for GBM patient stratification and prognosis. We have additionally presented our model via a novel neural network visualization platform, which we have developed to improve interpretability of deep learning MRI-based classification models.</t>
  </si>
  <si>
    <t>Pac Symp Biocomput</t>
  </si>
  <si>
    <t>The Classification of Renal Cancer in 3-Phase CT Images Using a Deep Learning Method</t>
  </si>
  <si>
    <t>In this research, we exploit an image-based deep learning framework to distinguish three major subtypes of renal cell carcinoma (clear cell, papillary, and chromophobe) using images acquired with computed tomography (CT). A biopsy-proven benchmarking dataset was built from 169 renal cancer cases. In each case, images were acquired at three phases(phase 1, before injection of the contrast agent; phase 2, 1 min after the injection; phase 3, 5 min after the injection). After image acquisition, rectangular ROI (region of interest) in each phase image was marked by radiologists. After cropping the ROIs, a combination weight was multiplied to the three-phase ROI images and the linearly combined images were fed into a deep learning neural network after concatenation. A deep learning neural network was trained to classify the subtypes of renal cell carcinoma, using the drawn ROIs as inputs and the biopsy results as labels. The network showed about 0.85 accuracy, 0.64-0.98 sensitivity, 0.83-0.93 specificity, and 0.9 AUC. The proposed framework which is based on deep learning method and ROIs provided by radiologists showed promising results in renal cell subtype classification. We hope it will help future research on this subject and it can cooperate with radiologists in classifying the subtype of lesion in real clinical situation.</t>
  </si>
  <si>
    <t>A deep learning framework for supporting the classification of breast lesions in ultrasound images</t>
  </si>
  <si>
    <t>In this research, we exploited the deep learning framework to differentiate the distinctive types of lesions and nodules in breast acquired with ultrasound imaging. A biopsy-proven benchmarking dataset was built from 5151 patients cases containing a total of 7408 ultrasound breast images, representative of semi-automatically segmented lesions associated with masses. The dataset comprised 4254 benign and 3154 malignant lesions. The developed method includes histogram equalization, image cropping and margin augmentation. The GoogLeNet convolutionary neural network was trained to the database to differentiate benign and malignant tumors. The networks were trained on the data with augmentation and the data without augmentation. Both of them showed an area under the curve of over 0.9. The networks showed an accuracy of about 0.9 (90%), a sensitivity of 0.86 and a specificity of 0.96. Although target regions of interest (ROIs) were selected by radiologists, meaning that radiologists still have to point out the location of the ROI, the classification of malignant lesions showed promising results. If this method is used by radiologists in clinical situations it can classify malignant lesions in a short time and support the diagnosis of radiologists in discriminating malignant lesions. Therefore, the proposed method can work in tandem with human radiologists to improve performance, which is a fundamental purpose of computer-aided diagnosis.</t>
  </si>
  <si>
    <t>S. Han, H. K. Kang, J. Y. Jeong, M. H. Park, W. Kim, W. C. Bang and Y. K. Seong</t>
  </si>
  <si>
    <t>Classification of the Clinical Images for Benign and Malignant Cutaneous Tumors Using a Deep Learning Algorithm</t>
  </si>
  <si>
    <t>We tested the use of a deep learning algorithm to classify the clinical images of 12 skin diseases-basal cell carcinoma, squamous cell carcinoma, intraepithelial carcinoma, actinic keratosis, seborrheic keratosis, malignant melanoma, melanocytic nevus, lentigo, pyogenic granuloma, hemangioma, dermatofibroma, and wart. The convolutional neural network (Microsoft ResNet-152 model; Microsoft Research Asia, Beijing, China) was fine-tuned with images from the training portion of the Asan dataset, MED-NODE dataset, and atlas site images (19,398 images in total). The trained model was validated with the testing portion of the Asan, Hallym and Edinburgh datasets. With the Asan dataset, the area under the curve for the diagnosis of basal cell carcinoma, squamous cell carcinoma, intraepithelial carcinoma, and melanoma was 0.96 ± 0.01, 0.83 ± 0.01, 0.82 ± 0.02, and 0.96 ± 0.00, respectively. With the Edinburgh dataset, the area under the curve for the corresponding diseases was 0.90 ± 0.01, 0.91 ± 0.01, 0.83 ± 0.01, and 0.88 ± 0.01, respectively. With the Hallym dataset, the sensitivity for basal cell carcinoma diagnosis was 87.1% ± 6.0%. The tested algorithm performance with 480 Asan and Edinburgh images was comparable to that of 16 dermatologists. To improve the performance of convolutional neural network, additional images with a broader range of ages and ethnicities should be collected.</t>
  </si>
  <si>
    <t>S. S. Han, M. S. Kim, W. Lim, G. H. Park, I. Park and S. E. Chang</t>
  </si>
  <si>
    <t>J Invest Dermatol</t>
  </si>
  <si>
    <t>Keratinocytic Skin Cancer Detection on the Face Using Region-Based Convolutional Neural Network</t>
  </si>
  <si>
    <t>IMPORTANCE: Detection of cutaneous cancer on the face using deep-learning algorithms has been challenging because various anatomic structures create curves and shades that confuse the algorithm and can potentially lead to false-positive results. OBJECTIVE: To evaluate whether an algorithm can automatically locate suspected areas and predict the probability of a lesion being malignant. DESIGN, SETTING, AND PARTICIPANTS: Region-based convolutional neural network technology was used to create 924 538 possible lesions by extracting nodular benign lesions from 182 348 clinical photographs. After manually or automatically annotating these possible lesions based on image findings, convolutional neural networks were trained with 1 106 886 image crops to locate and diagnose cancer. Validation data sets (2844 images from 673 patients; mean [SD] age, 58.2 [19.9] years; 308 men [45.8%]; 185 patients with malignant tumors, 305 with benign tumors, and 183 free of tumor) were obtained from 3 hospitals between January 1, 2010, and September 30, 2018. MAIN OUTCOMES AND MEASURES: The area under the receiver operating characteristic curve, F1 score (mean of precision and recall; range, 0.000-1.000), and Youden index score (sensitivity + specificity -1; 0%-100%) were used to compare the performance of the algorithm with that of the participants. RESULTS: The algorithm analyzed a mean (SD) of 4.2 (2.4) photographs per patient and reported the malignancy score according to the highest malignancy output. The area under the receiver operating characteristic curve for the validation data set (673 patients) was 0.910. At a high-sensitivity cutoff threshold, the sensitivity and specificity of the model with the 673 patients were 76.8% and 90.6%, respectively. With the test partition (325 images; 80 patients), the performance of the algorithm was compared with the performance of 13 board-certified dermatologists, 34 dermatology residents, 20 nondermatologic physicians, and 52 members of the general public with no medical background. When the disease screening performance was evaluated at high sensitivity areas using the F1 score and Youden index score, the algorithm showed a higher F1 score (0.831 vs 0.653 [0.126], P &lt; .001) and Youden index score (0.675 vs 0.417 [0.124], P &lt; .001) than that of nondermatologic physicians. The accuracy of the algorithm was comparable with that of dermatologists (F1 score, 0.831 vs 0.835 [0.040]; Youden index score, 0.675 vs 0.671 [0.100]). CONCLUSIONS AND RELEVANCE: The results of the study suggest that the algorithm could localize and diagnose skin cancer without preselection of suspicious lesions by dermatologists.</t>
  </si>
  <si>
    <t>JAMA Dermatol</t>
  </si>
  <si>
    <t>Deep neural networks show an equivalent and often superior performance to dermatologists in onychomycosis diagnosis: Automatic construction of onychomycosis datasets by region-based convolutional deep neural network</t>
  </si>
  <si>
    <t>Although there have been reports of the successful diagnosis of skin disorders using deep learning, unrealistically large clinical image datasets are required for artificial intelligence (AI) training. We created datasets of standardized nail images using a region-based convolutional neural network (R-CNN) trained to distinguish the nail from the background. We used R-CNN to generate training datasets of 49,567 images, which we then used to fine-tune the ResNet-152 and VGG-19 models. The validation datasets comprised 100 and 194 images from Inje University (B1 and B2 datasets, respectively), 125 images from Hallym University (C dataset), and 939 images from Seoul National University (D dataset). The AI (ensemble model; ResNet-152 + VGG-19 + feedforward neural networks) results showed test sensitivity/specificity/ area under the curve values of (96.0 / 94.7 / 0.98), (82.7 / 96.7 / 0.95), (92.3 / 79.3 / 0.93), (87.7 / 69.3 / 0.82) for the B1, B2, C, and D datasets. With a combination of the B1 and C datasets, the AI Youden index was significantly (p = 0.01) higher than that of 42 dermatologists doing the same assessment manually. For B1+C and B2+ D dataset combinations, almost none of the dermatologists performed as well as the AI. By training with a dataset comprising 49,567 images, we achieved a diagnostic accuracy for onychomycosis using deep learning that was superior to that of most of the dermatologists who participated in this study.</t>
  </si>
  <si>
    <t>S. S. Han, G. H. Park, W. Lim, M. S. Kim, J. I. Na, I. Park and S. E. Chang</t>
  </si>
  <si>
    <t>Deep Transfer Learning and Radiomics Feature Prediction of Survival of Patients with High-Grade Gliomas</t>
  </si>
  <si>
    <t>BACKGROUND AND PURPOSE: Patient survival in high-grade glioma remains poor, despite the recent developments in cancer treatment. As new chemo-, targeted molecular, and immune therapies emerge and show promising results in clinical trials, image-based methods for early prediction of treatment response are needed. Deep learning models that incorporate radiomics features promise to extract information from brain MR imaging that correlates with response and prognosis. We report initial production of a combined deep learning and radiomics model to predict overall survival in a clinically heterogeneous cohort of patients with high-grade gliomas. MATERIALS AND METHODS: Fifty patients with high-grade gliomas from our hospital and 128 patients with high-grade glioma from The Cancer Genome Atlas were included. For each patient, we calculated 348 hand-crafted radiomics features and 8192 deep features generated by a pretrained convolutional neural network. We then applied feature selection and Elastic Net-Cox modeling to differentiate patients into long- and short-term survivors. RESULTS: In the 50 patients with high-grade gliomas from our institution, the combined feature analysis framework classified the patients into long- and short-term survivor groups with a log-rank test P value &lt; .001. In the 128 patients from The Cancer Genome Atlas, the framework classified patients into long- and short-term survivors with a log-rank test P value of .014. For the mixed cohort of 50 patients from our institution and 58 patients from The Cancer Genome Atlas, it yielded a log-rank test P value of .035. CONCLUSIONS: A deep learning model combining deep and radiomics features can dichotomize patients with high-grade gliomas into long- and short-term survivors.</t>
  </si>
  <si>
    <t>MR-based synthetic CT generation using a deep convolutional neural network method</t>
  </si>
  <si>
    <t>PURPOSE: Interests have been rapidly growing in the field of radiotherapy to replace CT with magnetic resonance imaging (MRI), due to superior soft tissue contrast offered by MRI and the desire to reduce unnecessary radiation dose. MR-only radiotherapy also simplifies clinical workflow and avoids uncertainties in aligning MR with CT. Methods, however, are needed to derive CT-equivalent representations, often known as synthetic CT (sCT), from patient MR images for dose calculation and DRR-based patient positioning. Synthetic CT estimation is also important for PET attenuation correction in hybrid PET-MR systems. We propose in this work a novel deep convolutional neural network (DCNN) method for sCT generation and evaluate its performance on a set of brain tumor patient images. METHODS: The proposed method builds upon recent developments of deep learning and convolutional neural networks in the computer vision literature. The proposed DCNN model has 27 convolutional layers interleaved with pooling and unpooling layers and 35 million free parameters, which can be trained to learn a direct end-to-end mapping from MR images to their corresponding CTs. Training such a large model on our limited data is made possible through the principle of transfer learning and by initializing model weights from a pretrained model. Eighteen brain tumor patients with both CT and T1-weighted MR images are used as experimental data and a sixfold cross-validation study is performed. Each sCT generated is compared against the real CT image of the same patient on a voxel-by-voxel basis. Comparison is also made with respect to an atlas-based approach that involves deformable atlas registration and patch-based atlas fusion. RESULTS: The proposed DCNN method produced a mean absolute error (MAE) below 85 HU for 13 of the 18 test subjects. The overall average MAE was 84.8 ± 17.3 HU for all subjects, which was found to be significantly better than the average MAE of 94.5 ± 17.8 HU for the atlas-based method. The DCNN method also provided significantly better accuracy when being evaluated using two other metrics: the mean squared error (188.6 ± 33.7 versus 198.3 ± 33.0) and the Pearson correlation coefficient(0.906 ± 0.03 versus 0.896 ± 0.03). Although training a DCNN model can be slow, training only need be done once. Applying a trained model to generate a complete sCT volume for each new patient MR image only took 9 s, which was much faster than the atlas-based approach. CONCLUSIONS: A DCNN model method was developed, and shown to be able to produce highly accurate sCT estimations from conventional, single-sequence MR images in near real time. Quantitative results also showed that the proposed method competed favorably with an atlas-based method, in terms of both accuracy and computation speed at test time. Further validation on dose computation accuracy and on a larger patient cohort is warranted. Extensions of the method are also possible to further improve accuracy or to handle multi-sequence MR images.</t>
  </si>
  <si>
    <t>X. Han</t>
  </si>
  <si>
    <t>Brain extraction from normal and pathological images: A joint PCA/Image-Reconstruction approach</t>
  </si>
  <si>
    <t>Brain extraction from 3D medical images is a common pre-processing step. A variety of approaches exist, but they are frequently only designed to perform brain extraction from images without strong pathologies. Extracting the brain from images exhibiting strong pathologies, for example, the presence of a brain tumor or of a traumatic brain injury (TBI), is challenging. In such cases, tissue appearance may substantially deviate from normal tissue appearance and hence violates algorithmic assumptions for standard approaches to brain extraction; consequently, the brain may not be correctly extracted. This paper proposes a brain extraction approach which can explicitly account for pathologies by jointly modeling normal tissue appearance and pathologies. Specifically, our model uses a three-part image decomposition: (1) normal tissue appearance is captured by principal component analysis (PCA), (2) pathologies are captured via a total variation term, and (3) the skull and surrounding tissue is captured by a sparsity term. Due to its convexity, the resulting decomposition model allows for efficient optimization. Decomposition and image registration steps are alternated to allow statistical modeling of normal tissue appearance in a fixed atlas coordinate system. As a beneficial side effect, the decomposition model allows for the identification of potentially pathological areas and the reconstruction of a quasi-normal image in atlas space. We demonstrate the effectiveness of our approach on four datasets: the publicly available IBSR and LPBA40 datasets which show normal image appearance, the BRATS dataset containing images with brain tumors, and a dataset containing clinical TBI images. We compare the performance with other popular brain extraction models: ROBEX, BEaST, MASS, BET, BSE and a recently proposed deep learning approach. Our model performs better than these competing approaches on all four datasets. Specifically, our model achieves the best median (97.11) and mean (96.88) Dice scores over all datasets. The two best performing competitors, ROBEX and MASS, achieve scores of 96.23/95.62 and 96.67/94.25 respectively. Hence, our approach is an effective method for high quality brain extraction for a wide variety of images.</t>
  </si>
  <si>
    <t>X. Han, R. Kwitt, S. Aylward, S. Bakas, B. Menze, A. Asturias, P. Vespa, J. Van Horn and M. Niethammer</t>
  </si>
  <si>
    <t>k -Space Deep Learning for Accelerated MRI</t>
  </si>
  <si>
    <t>The annihilating filter-based low-rank Hankel matrix approach (ALOHA) is one of the state-of-the-art compressed sensing approaches that directly interpolates the missing k -space data using low-rank Hankel matrix completion. The success of ALOHA is due to the concise signal representation in the k -space domain, thanks to the duality between structured low-rankness in the k -space domain and the image domain sparsity. Inspired by the recent mathematical discovery that links convolutional neural networks to Hankel matrix decomposition using data-driven framelet basis, here we propose a fully data-driven deep learning algorithm for k -space interpolation. Our network can be also easily applied to non-Cartesian k -space trajectories by simply adding an additional regridding layer. Extensive numerical experiments show that the proposed deep learning method consistently outperforms the existing image-domain deep learning approaches.</t>
  </si>
  <si>
    <t>Framing U-Net via Deep Convolutional Framelets: Application to Sparse-View CT</t>
  </si>
  <si>
    <t>X-ray computed tomography (CT) using sparse projection views is a recent approach to reduce the radiation dose. However, due to the insufficient projection views, an analytic reconstruction approach using the filtered back projection (FBP) produces severe streaking artifacts. Recently, deep learning approaches using large receptive field neural networks such as U-Net have demonstrated impressive performance for sparse-view CT reconstruction. However, theoretical justification is still lacking. Inspired by the recent theory of deep convolutional framelets, the main goal of this paper is, therefore, to reveal the limitation of U-Net and propose new multi-resolution deep learning schemes. In particular, we show that the alternative U-Net variants such as dual frame and tight frame U-Nets satisfy the so-called frame condition which makes them better for effective recovery of high frequency edges in sparse-view CT. Using extensive experiments with real patient data set, we demonstrate that the new network architectures provide better reconstruction performance.</t>
  </si>
  <si>
    <t>Y. Han and J. C. Ye</t>
  </si>
  <si>
    <t>One network to solve all ROIs: Deep learning CT for any ROI using differentiated backprojection</t>
  </si>
  <si>
    <t>PURPOSE: Computed tomography for the reconstruction of region of interest (ROI) has advantages in reducing the x-ray dose and the use of a small detector. However, standard analytic reconstruction methods such as filtered back projection (FBP) suffer from severe cupping artifacts, and existing model-based iterative reconstruction methods require extensive computations. Recently, we proposed a deep neural network to learn the cupping artifacts, but the network was not generalized well for different ROIs due to the singularities in the corrupted images. Therefore, there is an increasing demand for a neural network that works well for any ROI size. METHOD: Two types of neural networks are designed. The first type learns ROI size-specific cupping artifacts from FBP images, whereas the second type network is for the inversion of the truncated Hilbert transform from the truncated differentiated backprojection (DBP) data. Their generalizabilities for different ROI sizes, pixel sizes, detector pitch and starting angles for a short scan are then investigated. RESULTS: Experimental results show that the new type of neural networks significantly outperform existing iterative methods for all ROI sizes despite significantly lower runtime complexity. In addition, performance improvement is consistent across different acquisition scenarios. CONCLUSIONS: Since the proposed method consistently surpasses existing methods, it can be used as a general CT reconstruction engine for many practical applications without compromising possible detector truncation.</t>
  </si>
  <si>
    <t>Deep learning with domain adaptation for accelerated projection-reconstruction MR</t>
  </si>
  <si>
    <t>Y. Han, J. Yoo, H. H. Kim, H. J. Shin, K. Sung and J. C. Ye</t>
  </si>
  <si>
    <t>Deep Spatiality: Unsupervised Learning of Spatially-Enhanced Global and Local 3D Features by Deep Neural Network with Coupled Softmax</t>
  </si>
  <si>
    <t>The discriminability of Bag-of-Words representations can be increased via encoding the spatial relationship among virtual words on 3D shapes. However, this encoding task involves several issues, including arbitrary mesh resolutions, irregular vertex topology, orientation ambiguity on 3D surface, invariance to rigid and non-rigid shape transformations. To address these issues, a novel unsupervised spatial learning framework based on deep neural network, deep spatiality (DS), is proposed. Specifically, DS employs two novel components: spatial context extractor and deep context learner. Spatial context extractor extracts the spatial relationship among virtual words in a local region into a raw spatial representation. Along a consistent circular direction, a directed circular graph is constructed to encode relative positions between pairwise virtual words in each face ring into a relative spatial matrix. By decomposing each relative spatial matrix using SVD, the raw spatial representation is formed, from which deep context learner conducts unsupervised learning of global and local features. Deep context learner is a deep neural network with a novel model structure to adapt the proposed coupled softmax layer, which encodes not only the discriminative information among local regions but also the one among global shapes. Experimental results show that DS outperforms state-of-the-art methods.</t>
  </si>
  <si>
    <t>Z. Han, Z. Liu, C. M. Vong, Y. S. Liua, S. Bu, J. Han and C. L. P. Chen</t>
  </si>
  <si>
    <t>Accurate Screening of COVID-19 Using Attention-Based Deep 3D Multiple Instance Learning</t>
  </si>
  <si>
    <t>Automated Screening of COVID-19 from chest CT is of emergency and importance during the outbreak of SARS-CoV-2 worldwide in 2020. However, accurate screening of COVID-19 is still a massive challenge due to the spatial complexity of 3D volumes, the labeling difficulty of infection areas, and the slight discrepancy between COVID-19 and other viral pneumonia in chest CT. While a few pioneering works have made significant progress, they are either demanding manual annotations of infection areas or lack of interpretability. In this paper, we report our attempt towards achieving highly accurate and interpretable screening of COVID-19 from chest CT with weak labels. We propose an attention-based deep 3D multiple instance learning (AD3D-MIL) where a patient-level label is assigned to a 3D chest CT that is viewed as a bag of instances. AD3D-MIL can semantically generate deep 3D instances following the possible infection area. AD3D-MIL further applies an attention-based pooling approach to 3D instances to provide insight into each instance's contribution to the bag label. AD3D-MIL finally learns Bernoulli distributions of the bag-level labels for more accessible learning. We collected 460 chest CT examples: 230 CT examples from 79 patients with COVID-19, 100 CT examples from 100 patients with common pneumonia, and 130 CT examples from 130 people without pneumonia. A series of empirical studies show that our algorithm achieves an overall accuracy of 97.9%, AUC of 99.0%, and Cohen kappa score of 95.7%. These advantages endow our algorithm as an efficient assisted tool in the screening of COVID-19.</t>
  </si>
  <si>
    <t>ScatterNet: A convolutional neural network for cone-beam CT intensity correction</t>
  </si>
  <si>
    <t>PURPOSE: To demonstrate a proof-of-concept for fast cone-beam CT (CBCT) intensity correction in projection space by the use of deep learning. METHODS: The CBCT scans and corresponding projections were acquired from 30 prostate cancer patients. Reference shading correction was performed using a validated method (CBCT cor ), which estimates scatter and other low-frequency deviations in the measured CBCT projections on the basis of a prior CT image obtained from warping the planning CT to the CBCT. A convolutional neural network (ScatterNet) was designed, consisting of an attenuation conversion stage followed by a shading correction stage using a UNet-like architecture. The combined network was trained in 2D, utilizing pairs of measured and corrected projections of the reference method, in order to perform shading correction in projection space before reconstruction. The number of patients used for training, testing, and evaluation was 15, 7, and 8, respectively. The reconstructed CBCT ScatterNet was compared to CBCT cor in terms of mean and absolute errors (ME and MAE) for the eight evaluation patients (not included in the network training). Volumetric modulated arc photon therapy (VMAT) and intensity-modulated proton therapy (IMPT) plans were generated on CBCT cor . Dose was recalculated on CBCT ScatterNet to evaluate its dosimetric accuracy. Single-field uniform dose proton plans were utilized for proton range comparison of CBCT ScatterNet and CBCT cor . RESULTS: The CBCT ScatterNet showed no cupping artifacts and a considerably smaller MAE and ME with respect to CBCT cor than the uncorrected CBCT (on average 144 Hounsfield units (HU) vs 46 HU for MAE and 138 HU vs -3 HU for ME). The pass-rates using a 2% dose-difference criterion at 50% dose cut-off, were close to 100% for the VMAT plans of all patients when comparing CBCT ScatterNet to CBCT cor . For IMPT plans pass-rates were clearly lower, ranging from 15% to 81%. Proton range differences of up to 5 mm occurred. CONCLUSIONS: Using a deep convolutional neural network for CBCT intensity correction was shown to be feasible in the pelvic region for the first time. Dose calculation accuracy on CBCT ScatterNet was high for VMAT, but unsatisfactory for IMPT. With respect to the reference technique (CBCT cor ), the neural network enabled a considerable increase in speed for intensity correction and might eventually allow for on-the-fly shading correction during CBCT acquisition.</t>
  </si>
  <si>
    <t>D. C. Hansen, G. Landry, F. Kamp, M. Li, C. Belka, K. Parodi and C. Kurz</t>
  </si>
  <si>
    <t>Fusing information from multiple 2D depth cameras for 3D human pose estimation in the operating room</t>
  </si>
  <si>
    <t>PURPOSE: For many years, deep convolutional neural networks have achieved state-of-the-art results on a wide variety of computer vision tasks. 3D human pose estimation makes no exception and results on public benchmarks are impressive. However, specialized domains, such as operating rooms, pose additional challenges. Clinical settings include severe occlusions, clutter and difficult lighting conditions. Privacy concerns of patients and staff make it necessary to use unidentifiable data. In this work, we aim to bring robust human pose estimation to the clinical domain. METHODS: We propose a 2D-3D information fusion framework that makes use of a network of multiple depth cameras and strong pose priors. In a first step, probabilities of 2D joints are predicted from single depth images. These information are fused in a shared voxel space yielding a rough estimate of the 3D pose. Final joint positions are obtained by regressing into the latent pose space of a pre-trained convolutional autoencoder. RESULTS: We evaluate our approach against several baselines on the challenging MVOR dataset. Best results are obtained when fusing 2D information from multiple views and constraining the predictions with learned pose priors. CONCLUSIONS: We present a robust 3D human pose estimation framework based on a multi-depth camera network in the operating room. Depth images as only input modalities make our approach especially interesting for clinical applications due to the given anonymity for patients and staff.</t>
  </si>
  <si>
    <t>Sequential vessel segmentation via deep channel attention network</t>
  </si>
  <si>
    <t>Accurately segmenting contrast-filled vessels from X-ray coronary angiography (XCA) image sequence is an essential step for the diagnosis and therapy of coronary artery disease. However, developing automatic vessel segmentation is particularly challenging due to the overlapping structures, low contrast and the presence of complex and dynamic background artifacts in XCA images. This paper develops a novel encoder-decoder deep network architecture which exploits the several contextual frames of 2D+t sequential images in a sliding window centered at current frame to segment 2D vessel masks from the current frame. The architecture is equipped with temporal-spatial feature extraction in encoder stage, feature fusion in skip connection layers and channel attention mechanism in decoder stage. In the encoder stage, a series of 3D convolutional layers are employed to hierarchically extract temporal-spatial features. Skip connection layers subsequently fuse the temporal-spatial feature maps and deliver them to the corresponding decoder stages. To efficiently discriminate vessel features from the complex and noisy backgrounds in the XCA images, the decoder stage effectively utilizes channel attention blocks to refine the intermediate feature maps from skip connection layers for subsequently decoding the refined features in 2D ways to produce the segmented vessel masks. Furthermore, Dice loss function is implemented to train the proposed deep network in order to tackle the class imbalance problem in the XCA data due to the wide distribution of complex background artifacts. Extensive experiments by comparing our method with other state-of-the-art algorithms demonstrate the proposed method's superior performance over other methods in terms of the quantitative metrics and visual validation. To facilitate the reproductive research in XCA community, we publicly release our dataset and source codes at https://github.com/Binjie-Qin/SVS-net.</t>
  </si>
  <si>
    <t>DeepIED: An epileptic discharge detector for EEG-fMRI based on deep learning</t>
  </si>
  <si>
    <t>Presurgical evaluation that can precisely delineate the epileptogenic zone (EZ) is one important step for successful surgical resection treatment of refractory epilepsy patients. The noninvasive EEG-fMRI recording technique combined with general linear model (GLM) analysis is considered an important tool for estimating the EZ. However, the manual marking of interictal epileptic discharges (IEDs) needed in this analysis is challenging and time-consuming because the quality of the EEG recorded inside the scanner is greatly deteriorated compared to the usual EEG obtained outside the scanner. This is one of main impediments to the widespread use of EEG-fMRI in epilepsy. We propose a deep learning based semi-automatic IED detector that can find the candidate IEDs in the EEG recorded inside the scanner which resemble sample IEDs marked in the EEG recorded outside the scanner. The manual marking burden is greatly reduced as the expert need only edit candidate IEDs. The model is trained on data from 30 patients. Validation of IEDs detection accuracy on another 37 consecutive patients shows our method can improve the median sensitivity from 50.0% for the previously proposed template-based method to 84.2%, with false positive rate as 5 events/min. Reproducibility validation on 15 patients is applied to evaluate if our method can produce similar hemodynamic response maps compared with the manual marking ground truth results. We explore the concordance between the maximum hemodynamic response and the intracerebral EEG defined EZ and find that both methods produce similar percentage of concordance (76.9%, 10 out of 13 patients, electrode was absent in the maximum hemodynamic response in two patients). This tool will make EEG-fMRI analysis more practical for clinical usage.</t>
  </si>
  <si>
    <t>Y. Hao, H. M. Khoo, N. von Ellenrieder, N. Zazubovits and J. Gotman</t>
  </si>
  <si>
    <t>A deep community based approach for large scale content based X-ray image retrieval</t>
  </si>
  <si>
    <t>A computer assisted system for automatic retrieval of medical images with similar image contents can serve as an efficient management tool for handling and mining large scale data, and can also be used as a tool in clinical decision support systems. In this paper, we propose a deep community based automated medical image retrieval framework for extracting similar images from a large scale X-ray database. The framework integrates a deep learning-based image feature generation approach and a network community detection technique to extract similar images. When compared with the state-of-the-art medical image retrieval techniques, the proposed approach demonstrated improved performance. We evaluated the performance of the proposed method on two large scale chest X-ray datasets, where given a query image, the proposed approach was able to extract images with similar disease labels with a precision of 85%. To the best of our knowledge, this is the first deep community based image retrieval application on large scale chest X-ray database.</t>
  </si>
  <si>
    <t>10.1016/j.jbi.2018.08.006</t>
  </si>
  <si>
    <t>Skin lesion classification with ensembles of deep convolutional neural networks</t>
  </si>
  <si>
    <t>Skin cancer is a major public health problem with over 123,000 newly diagnosed cases worldwide in every year. Melanoma is the deadliest form of skin cancer, responsible for over 9000 deaths in the United States each year. Thus, reliable automatic melanoma screening systems would provide a great help for clinicians to detect the malignant skin lesions as early as possible. In the last five years, the efficiency of deep learning-based methods increased dramatically and their performances seem to outperform conventional image processing methods in classification tasks. However, this type of machine learning-based approaches have a main drawback, namely they require thousands of labeled images per classes for their training. In this paper, we investigate how we can create an ensemble of deep convolutional neural networks to improve further their individual accuracies in the task of classifying dermoscopy images into the three classes melanoma, nevus, and seborrheic keratosis when we have no opportunity to train them on adequate number of annotated images. To achieve high classification accuracy, we fuse the outputs of the classification layers of four different deep neural network architectures. More specifically, we propose the aggregation of robust convolutional neural networks (CNNs) into one framework, where the final classification is achieved based on the weighted output of the member CNNs. For aggregation, we consider different fusion-based methods and select the best performing one for this problem. Our experimental results also prove that the creation of an ensemble of different neural networks is a meaningful approach, since each of the applied fusion strategies outperforms the individual networks regarding classification accuracy. The average area under the receiver operating characteristic curve has been found to be 0.891 for the 3-class classification task. For an objective evaluation of our approach, we have tested its performance on the official test database of the IEEE International Symposium on Biomedical Imaging (ISBI) 2017 challenge on Skin Lesion Analysis Towards Melanoma Detection dedicated to skin cancer recognition.</t>
  </si>
  <si>
    <t>B. Harangi</t>
  </si>
  <si>
    <t>Chest CT is emerging as a valuable diagnostic tool for clinical management of COVID-19 associated lung disease. Artificial intelligence (AI) has the potential to aid in rapid evaluation of CT scans for differentiation of COVID-19 findings from other clinical entities. Here we show that a series of deep learning algorithms, trained in a diverse multinational cohort of 1280 patients to localize parietal pleura/lung parenchyma followed by classification of COVID-19 pneumonia, can achieve up to 90.8% accuracy, with 84% sensitivity and 93% specificity, as evaluated in an independent test set (not included in training and validation) of 1337 patients. Normal controls included chest CTs from oncology, emergency, and pneumonia-related indications. The false positive rate in 140 patients with laboratory confirmed other (non COVID-19) pneumonias was 10%. AI-based algorithms can readily identify CT scans with COVID-19 associated pneumonia, as well as distinguish non-COVID related pneumonias with high specificity in diverse patient populations.</t>
  </si>
  <si>
    <t>Paired cycle-GAN-based image correction for quantitative cone-beam computed tomography</t>
  </si>
  <si>
    <t>PURPOSE: The incorporation of cone-beam computed tomography (CBCT) has allowed for enhanced image-guided radiation therapy. While CBCT allows for daily 3D imaging, images suffer from severe artifacts, limiting the clinical potential of CBCT. In this work, a deep learning-based method for generating high quality corrected CBCT (CCBCT) images is proposed. METHODS: The proposed method integrates a residual block concept into a cycle-consistent adversarial network (cycle-GAN) framework, called res-cycle GAN, to learn a mapping between CBCT images and paired planning CT images. Compared with a GAN, a cycle-GAN includes an inverse transformation from CBCT to CT images, which constrains the model by forcing calculation of both a CCBCT and a synthetic CBCT. A fully convolution neural network with residual blocks is used in the generator to enable end-to-end CBCT-to-CT transformations. The proposed algorithm was evaluated using 24 sets of patient data in the brain and 20 sets of patient data in the pelvis. The mean absolute error (MAE), peak signal-to-noise ratio (PSNR), normalized cross-correlation (NCC) indices, and spatial non-uniformity (SNU) were used to quantify the correction accuracy of the proposed algorithm. The proposed method is compared to both a conventional scatter correction and another machine learning-based CBCT correction method. RESULTS: Overall, the MAE, PSNR, NCC, and SNU were 13.0 HU, 37.5 dB, 0.99, and 0.05 in the brain, 16.1 HU, 30.7 dB, 0.98, and 0.09 in the pelvis for the proposed method, improvements of 45%, 16%, 1%, and 93% in the brain, and 71%, 38%, 2%, and 65% in the pelvis, over the CBCT image. The proposed method showed superior image quality as compared to the scatter correction method, reducing noise and artifact severity. The proposed method produced images with less noise and artifacts than the comparison machine learning-based method. CONCLUSIONS: The authors have developed a novel deep learning-based method to generate high-quality corrected CBCT images. The proposed method increases onboard CBCT image quality, making it comparable to that of the planning CT. With further evaluation and clinical implementation, this method could lead to quantitative adaptive radiation therapy.</t>
  </si>
  <si>
    <t>A systematic review of the diagnostic accuracy of artificial intelligence-based computer programs to analyze chest x-rays for pulmonary tuberculosis</t>
  </si>
  <si>
    <t>We undertook a systematic review of the diagnostic accuracy of artificial intelligence-based software for identification of radiologic abnormalities (computer-aided detection, or CAD) compatible with pulmonary tuberculosis on chest x-rays (CXRs). We searched four databases for articles published between January 2005-February 2019. We summarized data on CAD type, study design, and diagnostic accuracy. We assessed risk of bias with QUADAS-2. We included 53 of the 4712 articles reviewed: 40 focused on CAD design methods (Development studies) and 13 focused on evaluation of CAD (Clinical studies). Meta-analyses were not performed due to methodological differences. Development studies were more likely to use CXR databases with greater potential for bias as compared to Clinical studies. Areas under the receiver operating characteristic curve (median AUC [IQR]) were significantly higher: in Development studies AUC: 0.88 [0.82-0.90]) versus Clinical studies (0.75 [0.66-0.87]; p-value 0.004); and with deep-learning (0.91 [0.88-0.99]) versus machine-learning (0.82 [0.75-0.89]; p = 0.001). We conclude that CAD programs are promising, but the majority of work thus far has been on development rather than clinical evaluation. We provide concrete suggestions on what study design elements should be improved.</t>
  </si>
  <si>
    <t>Visual feature extraction from voxel-weighted averaging of stimulus images in 2 fMRI studies</t>
  </si>
  <si>
    <t>Multiple studies have provided evidence for distributed object representation in the brain, with several recent experiments leveraging basis function estimates for partial image reconstruction from fMRI data. Using a novel combination of statistical decomposition, generalized linear models, and stimulus averaging on previously examined image sets and Bayesian regression of recorded fMRI activity during presentation of these data sets, we identify a subset of relevant voxels that appear to code for covarying object features. Using a technique we term voxel-weighted averaging, we isolate image filters that these voxels appear to implement. The results, though very cursory, appear to have significant implications for hierarchical and deep-learning-type approaches toward the understanding of neural coding and representation.</t>
  </si>
  <si>
    <t>C. B. Hart and W. J. Rose</t>
  </si>
  <si>
    <t>Prostate Cancer Nodal Staging: Using Deep Learning to Predict (68)Ga-PSMA-Positivity from CT Imaging Alone</t>
  </si>
  <si>
    <t>Lymphatic spread determines treatment decisions in prostate cancer (PCa) patients. 68Ga-PSMA-PET/CT can be performed, although cost remains high and availability is limited. Therefore, computed tomography (CT) continues to be the most used modality for PCa staging. We assessed if convolutional neural networks (CNNs) can be trained to determine 68Ga-PSMA-PET/CT-lymph node status from CT alone. In 549 patients with 68Ga-PSMA PET/CT imaging, 2616 lymph nodes were segmented. Using PET as a reference standard, three CNNs were trained. Training sets balanced for infiltration status, lymph node location and additionally, masked images, were used for training. CNNs were evaluated using a separate test set and performance was compared to radiologists' assessments and random forest classifiers. Heatmaps maps were used to identify the performance determining image regions. The CNNs performed with an Area-Under-the-Curve of 0.95 (status balanced) and 0.86 (location balanced, masked), compared to an AUC of 0.81 of experienced radiologists. Interestingly, CNNs used anatomical surroundings to increase their performance, learning the infiltration probabilities of anatomical locations. In conclusion, CNNs have the potential to build a well performing CT-based biomarker for lymph node metastases in PCa, with different types of class balancing strongly affecting CNN performance.</t>
  </si>
  <si>
    <t>MRI Brain Classification Using the Quantum Entropy LBP and Deep-Learning-Based Features</t>
  </si>
  <si>
    <t>Brain tumor detection at early stages can increase the chances of the patient's recovery after treatment. In the last decade, we have noticed a substantial development in the medical imaging technologies, and they are now becoming an integral part in the diagnosis and treatment processes. In this study, we generalize the concept of entropy difference defined in terms of Marsaglia formula (usually used to describe two different figures, statues, etc.) by using the quantum calculus. Then we employ the result to extend the local binary patterns (LBP) to get the quantum entropy LBP (QELBP). The proposed study consists of two approaches of features extractions of MRI brain scans, namely, the QELBP and the deep learning DL features. The classification of MRI brain scan is improved by exploiting the excellent performance of the QELBP-DL feature extraction of the brain in MRI brain scans. The combining all of the extracted features increase the classification accuracy of long short-term memory network when using it as the brain tumor classifier. The maximum accuracy achieved for classifying a dataset comprising 154 MRI brain scan is 98.80%. The experimental results demonstrate that combining the extracted features improves the performance of MRI brain tumor classification.</t>
  </si>
  <si>
    <t>Entropy (Basel)</t>
  </si>
  <si>
    <t>A Modified U-Net Convolutional Network Featuring a Nearest-neighbor Re-sampling-based Elastic-Transformation for Brain Tissue Characterization and Segmentation</t>
  </si>
  <si>
    <t>The detection and segmentation of brain tumors from Magnetic Resonance Imaging (MRI) is a very challenging task, despite the availability of modern medical image processing tools. Neuro-radiologists still diagnose deadly brain cancers such as even glioblastoma using manual segmentation. This approach is not only tedious, but also highly variable, featuring limited accuracy and precision, and hence raising the need for more robust, automated techniques. Deep learning methods such as the U-Net deep convolutional neural networks have been widely used in biomedical image segmentation. Although this model was demonstrated to yield desirable results on the BRATS 2015 dataset by using a pixel-wise segmentation map of the input image as an auto-encoder, which assures best segmentation accuracy, the output only showed limited accuracy and robustness for a number of cases. The goal of this work was to improve the U-net model by replacing the de-convolution component with an up-sampled by the Nearest-neighbor algorithm and also employing an elastic transformation to augment the training dataset to render the model more robust, especially for the segmentation of low-grade tumors. The proposed Nearest-Neighbor Re-sampling Based Elastic-Transformed (NNRET) U-net Deep CNN framework has been trained on 285 glioma patients BRATS 2017 MR dataset available through the MICCAI 2017 grand challenge. The framework has been tested on 146 patients using Dice similarity coefficient (DSC) &amp; Intersection over Union (IoU) performance metrics and outweighed the classic U-net model.</t>
  </si>
  <si>
    <t>S. M. K. Hasan and C. A. Linte</t>
  </si>
  <si>
    <t>Proc IEEE West N Y Image Signal Process Workshop</t>
  </si>
  <si>
    <t>[Automated Classification of Calcification and Stent on Computed Tomography Coronary Angiography Using Deep Learning]</t>
  </si>
  <si>
    <t>In computed tomography coronary angiography (CTCA), calcification and stent make it difficult to evaluate intravascular lumen. This is a cause of low positive-predictive value of coronary stenosis. Therefore, it is expected to develop a computer-aided diagnosis (CAD) system that can automatically detect stenosis in coronary arteries. The purpose of this study is to automatically recognize calcifications or stents in coronary arteries and classify them from the normal coronary artery in CTCA. We used 4960 coronary-cross-sectional images, which consisted of 1113 images with calcification, 1353 images with a stent, and 2494 normal artery images. These images were automatically classified using the deep convolutional neural network (LeNet, AlexNet, and GoogLeNet). The classification accuracy of LeNet, AlexNet, and GoogLeNet were 58.4%, 75.9%, and 81.3%, respectively. The proposed method would be a fundamental technique of CAD in CTCA.</t>
  </si>
  <si>
    <t>A. Hasegawa, Y. Lee, Y. Takeuchi and K. Ichikawa</t>
  </si>
  <si>
    <t>Asymmetric Loss Functions and Deep Densely Connected Networks for Highly Imbalanced Medical Image Segmentation: Application to Multiple Sclerosis Lesion Detection</t>
  </si>
  <si>
    <t>Fully convolutional deep neural networks have been asserted to be fast and precise frameworks with great potential in image segmentation. One of the major challenges in training such networks raises when data is unbalanced, which is common in many medical imaging applications such as lesion segmentation where lesion class voxels are often much lower in numbers than non-lesion voxels. A trained network with unbalanced data may make predictions with high precision and low recall, being severely biased towards the non-lesion class which is particularly undesired in most medical applications where false negatives are actually more important than false positives. Various methods have been proposed to address this problem including two step training, sample re-weighting, balanced sampling, and more recently similarity loss functions, and focal loss. In this work we trained fully convolutional deep neural networks using an asymmetric similarity loss function to mitigate the issue of data imbalance and achieve much better trade-off between precision and recall. To this end, we developed a 3D fully convolutional densely connected network (FC-DenseNet) with large overlapping image patches as input and an asymmetric similarity loss layer based on Tversky index (using F (β) scores). We used large overlapping image patches as inputs for intrinsic and extrinsic data augmentation, a patch selection algorithm, and a patch prediction fusion strategy using B-spline weighted soft voting to account for the uncertainty of prediction in patch borders. We applied this method to multiple sclerosis (MS) lesion segmentation based on two different datasets of MSSEG 2016 and ISBI longitudinal MS lesion segmentation challenge, where we achieved average Dice similarity coefficients of 69.9% and 65.74%, respectively, achieving top performance in both challenges. We compared the performance of our network trained with F (β) loss, focal loss, and generalized Dice loss (GDL) functions. Through September 2018 our network trained with focal loss ranked first according to the ISBI challenge overall score and resulted in the lowest reported lesion false positive rate among all submitted methods. Our network trained with the asymmetric similarity loss led to the lowest surface distance and the best lesion true positive rate that is arguably the most important performance metric in a clinical decision support system for lesion detection. The asymmetric similarity loss function based on F (β) scores allows training networks that make a better balance between precision and recall in highly unbalanced image segmentation. We achieved superior performance in MS lesion segmentation using a patchwise 3D FC-DenseNet with a patch prediction fusion strategy, trained with asymmetric similarity loss functions.</t>
  </si>
  <si>
    <t>S. R. Hashemi, S. S. M. Salehi, D. Erdogmus, S. P. Prabhu, S. K. Warfield and A. Gholipour</t>
  </si>
  <si>
    <t>Automated segmentation of 2D low-dose CT images of the psoas-major muscle using deep convolutional neural networks</t>
  </si>
  <si>
    <t>The psoas-major muscle has been reported as a predictive factor of sarcopenia. The cross-sectional area (CSA) of the psoas-major muscle in axial images has been indicated to correlate well with the whole-body skeletal muscle mass. In this study, we evaluated the segmentation accuracy of low-dose X-ray computed tomography (CT) images of the psoas-major muscle using the U-Net convolutional neural network, which is a deep-learning technique. Deep learning has been recently known to outperform conventional image-segmentation techniques. We used fivefold cross validation to validate the segmentation performance (n = 100) of the psoas-major muscle. For the intersection over union and CSA ratio, segmentation accuracies of 86.0 and 103.1%, respectively, were achieved. These results suggest that the U-Net network is competitive compared with the previous methods. Therefore, the proposed technique is useful for segmenting the psoas-major muscle even in low-dose CT images.</t>
  </si>
  <si>
    <t>F. Hashimoto, A. Kakimoto, N. Ota, S. Ito and S. Nishizawa</t>
  </si>
  <si>
    <t>Network Accelerated Motion Estimation and Reduction (NAMER): Convolutional neural network guided retrospective motion correction using a separable motion model</t>
  </si>
  <si>
    <t>PURPOSE: We introduce and validate a scalable retrospective motion correction technique for brain imaging that incorporates a machine learning component into a model-based motion minimization. METHODS: A convolutional neural network (CNN) trained to remove motion artifacts from 2D T(2) -weighted rapid acquisition with refocused echoes (RARE) images is introduced into a model-based data-consistency optimization to jointly search for 2D motion parameters and the uncorrupted image. Our separable motion model allows for efficient intrashot (line-by-line) motion correction of highly corrupted shots, as opposed to previous methods which do not scale well with this refinement of the motion model. Final image generation incorporates the motion parameters within a model-based image reconstruction. The method is tested in simulations and in vivo motion experiments of in-plane motion corruption. RESULTS: While the convolutional neural network alone provides some motion mitigation (at the expense of introduced blurring), allowing it to guide the iterative joint-optimization both improves the search convergence and renders the joint-optimization separable. This enables rapid mitigation within shots in addition to between shots. For 2D in-plane motion correction experiments, the result is a significant reduction of both image space root mean square error in simulations, and a reduction of motion artifacts in the in vivo motion tests. CONCLUSION: The separability and convergence improvements afforded by the combined convolutional neural network+model-based method shows the potential for meaningful postacquisition motion mitigation in clinical MRI.</t>
  </si>
  <si>
    <t>Learning deep similarity metric for 3D MR-TRUS image registration</t>
  </si>
  <si>
    <t>PURPOSE: The fusion of transrectal ultrasound (TRUS) and magnetic resonance (MR) images for guiding targeted prostate biopsy has significantly improved the biopsy yield of aggressive cancers. A key component of MR-TRUS fusion is image registration. However, it is very challenging to obtain a robust automatic MR-TRUS registration due to the large appearance difference between the two imaging modalities. The work presented in this paper aims to tackle this problem by addressing two challenges: (i) the definition of a suitable similarity metric and (ii) the determination of a suitable optimization strategy. METHODS: This work proposes the use of a deep convolutional neural network to learn a similarity metric for MR-TRUS registration. We also use a composite optimization strategy that explores the solution space in order to search for a suitable initialization for the second-order optimization of the learned metric. Further, a multi-pass approach is used in order to smooth the metric for optimization. RESULTS: The learned similarity metric outperforms the classical mutual information and also the state-of-the-art MIND feature-based methods. The results indicate that the overall registration framework has a large capture range. The proposed deep similarity metric-based approach obtained a mean TRE of 3.86 mm (with an initial TRE of 16 mm) for this challenging problem. CONCLUSION: A similarity metric that is learned using a deep neural network can be used to assess the quality of any given image registration and can be used in conjunction with the aforementioned optimization framework to perform automatic registration that is robust to poor initialization.</t>
  </si>
  <si>
    <t>G. Haskins, J. Kruecker, U. Kruger, S. Xu, P. A. Pinto, B. J. Wood and P. Yan</t>
  </si>
  <si>
    <t>High Efficiency Video Coding (HEVC)-Based Surgical Telementoring System Using Shallow Convolutional Neural Network</t>
  </si>
  <si>
    <t>Surgical telementoring systems have gained lots of interest, especially in remote locations. However, bandwidth constraint has been the primary bottleneck for efficient telementoring systems. This study aims to establish an efficient surgical telementoring system, where the qualified surgeon (mentor) provides real-time guidance and technical assistance for surgical procedures to the on-spot physician (surgeon). High Efficiency Video Coding (HEVC/H.265)-based video compression has shown promising results for telementoring applications. However, there is a trade-off between the bandwidth resources required for video transmission and quality of video received by the remote surgeon. In order to efficiently compress and transmit real-time surgical videos, a hybrid lossless-lossy approach is proposed where surgical incision region is coded in high quality whereas the background region is coded in low quality based on distance from the surgical incision region. For surgical incision region extraction, state-of-the-art deep learning (DL) architectures for semantic segmentation can be used. However, the computational complexity of these architectures is high resulting in large training and inference times. For telementoring systems, encoding time is crucial; therefore, very deep architectures are not suitable for surgical incision extraction. In this study, we propose a shallow convolutional neural network (S-CNN)-based segmentation approach that consists of encoder network only for surgical region extraction. The segmentation performance of S-CNN is compared with one of the state-of-the-art image segmentation networks (SegNet), and results demonstrate the effectiveness of the proposed network. The proposed telementoring system is efficient and explicitly considers the physiological nature of the human visual system to encode the video by providing good overall visual impact in the location of surgery. The results of the proposed S-CNN-based segmentation demonstrated a pixel accuracy of 97% and a mean intersection over union accuracy of 79%. Similarly, HEVC experimental results showed that the proposed surgical region-based encoding scheme achieved an average bitrate reduction of 88.8% at high-quality settings in comparison with default full-frame HEVC encoding. The average gain in encoding performance (signal-to-noise) of the proposed algorithm is 11.5 dB in the surgical region. The bitrate saving and visual quality of the proposed optimal bit allocation scheme are compared with the mean shift segmentation-based coding scheme for fair comparison. The results show that the proposed scheme maintains high visual quality in surgical incision region along with achieving good bitrate saving. Based on comparison and results, the proposed encoding algorithm can be considered as an efficient and effective solution for surgical telementoring systems for low-bandwidth networks.</t>
  </si>
  <si>
    <t>A. Hassan, M. Ghafoor, S. A. Tariq, T. Zia and W. Ahmad</t>
  </si>
  <si>
    <t>Deep Ensemble Learning Based Objective Grading of Macular Edema by Extracting Clinically Significant Findings from Fused Retinal Imaging Modalities</t>
  </si>
  <si>
    <t>Macular edema (ME) is a retinal condition in which central vision of a patient is affected. ME leads to accumulation of fluid in the surrounding macular region resulting in a swollen macula. Optical coherence tomography (OCT) and the fundus photography are the two widely used retinal examination techniques that can effectively detect ME. Many researchers have utilized retinal fundus and OCT imaging for detecting ME. However, to the best of our knowledge, no work is found in the literature that fuses the findings from both retinal imaging modalities for the effective and more reliable diagnosis of ME. In this paper, we proposed an automated framework for the classification of ME and healthy eyes using retinal fundus and OCT scans. The proposed framework is based on deep ensemble learning where the input fundus and OCT scans are recognized through the deep convolutional neural network (CNN) and are processed accordingly. The processed scans are further passed to the second layer of the deep CNN model, which extracts the required feature descriptors from both images. The extracted descriptors are then concatenated together and are passed to the supervised hybrid classifier made through the ensemble of the artificial neural networks, support vector machines and naïve Bayes. The proposed framework has been trained on 73,791 retinal scans and is validated on 5100 scans of publicly available Zhang dataset and Rabbani dataset. The proposed framework achieved the accuracy of 94.33% for diagnosing ME and healthy subjects and achieved the mean dice coefficient of 0.9019 ± 0.04 for accurately extracting the retinal fluids, 0.7069 ± 0.11 for accurately extracting hard exudates and 0.8203 ± 0.03 for accurately extracting retinal blood vessels against the clinical markings.</t>
  </si>
  <si>
    <t>B. Hassan, T. Hassan, B. Li, R. Ahmed and O. Hassan</t>
  </si>
  <si>
    <t>Developing intelligent medical image modality classification system using deep transfer learning and LDA</t>
  </si>
  <si>
    <t>Rapid advancement in imaging technology generates an enormous amount of heterogeneous medical data for disease diagnosis and rehabilitation process. Radiologists may require related clinical cases from medical archives for analysis and disease diagnosis. It is challenging to retrieve the associated clinical cases automatically, efficiently and accurately from the substantial medical image archive due to diversity in diseases and imaging modalities. We proposed an efficient and accurate approach for medical image modality classification that can used for retrieval of clinical cases from large medical repositories. The proposed approach is developed using transfer learning concept with pre-trained ResNet50 Deep learning model for optimized features extraction followed by linear discriminant analysis classification (TLRN-LDA). Extensive experiments are performed on challenging standard benchmark ImageCLEF-2012 dataset of 31 classes. The developed approach yields improved average classification accuracy of 87.91%, which is higher up-to 10% compared to the state-of-the-art approaches on the same dataset. Moreover, hand-crafted features are extracted for comparison. Performance of TLRN-LDA system demonstrates the effectiveness over state-of-the-art systems. The developed approach may be deployed to diagnostic centers to assist the practitioners for accurate and efficient clinical case retrieval and disease diagnosis.</t>
  </si>
  <si>
    <t>10.1016/j.jbi.2018.07.017</t>
  </si>
  <si>
    <t>Transferability of artificial neural networks for clinical document classification across hospitals: A case study on abnormality detection from radiology reports</t>
  </si>
  <si>
    <t>OBJECTIVE: Application of machine learning techniques for automatic and reliable classification of clinical documents have shown promising results. However, machine learning models require abundant training data specific to each target hospital and may not be able to benefit from available labeled data from each of the hospitals due to data variations. Such training data limitations have presented one of the major obstacles for maximising potential application of machine learning approaches in the healthcare domain. We investigated transferability of artificial neural network models across hospitals from different domains representing various age demographic groups (i.e., children, adults, and mixed) in order to cope with such limitations. MATERIALS AND METHODS: We explored the transferability of artificial neural networks for clinical document classification. Our case study was to detect abnormalities from limb X-ray reports obtained from the emergency department (ED) of three hospitals within different domains. Different transfer learning scenarios were investigated in order to employ a source hospital's trained model for addressing a target hospital's abnormality detection problem. RESULTS: A Convolutional Neural Network (CNN) model exhibited the best effectiveness compared to other networks when employing an embedding model trained on a large corpus of clinical documents. Furthermore, CNN models derived from a source hospital outperformed a conventional machine learning approach based on Support Vector Machines (SVM) when applied to a different (target) hospital. These models were further improved by leveraging available training data in target hospitals and outperformed the models that used only the target hospital data with F1-Score of 0.92-0.96 across three hospitals. DISCUSSION: Our transfer learning model used only simple vector representations of documents without any task-specific feature engineering. Transferring the CNN model significantly improved (approx.10% in F1-Score) the state-of-the-art approach for clinical document classification based on a trivial transferred model. In addition, the results showed that transfer learning techniques can further improve a CNN model that is trained only on either a source or target hospital's data. CONCLUSION: Transferring a pre-trained CNN model generated in one hospital to another facilitates application of machine learning approaches that alleviate both hospital-specific feature engineering and training data.</t>
  </si>
  <si>
    <t>Developing a Deep Convolutional Neural Network (DCNN) is a challenging task that involves deep learning with significant effort required to configure the network topology. The design of a 3D DCNN not only requires a good complicated structure but also a considerable number of appropriate parameters to run effectively. Evolutionary computation is an effective approach that can find an optimum network structure and/or its parameters automatically. Note that the Neuroevolution approach is computationally costly, even for developing 2D networks. As it is expected that it will require even more massive computation to develop 3D Neuroevolutionary networks, this research topic has not been investigated until now. In this paper, in addition to developing 3D networks, we investigate the possibility of using 2D images and 2D Neuroevolutionary networks to develop 3D networks for 3D volume segmentation. In doing so, we propose to first establish new evolutionary 2D deep networks for medical image segmentation and then convert the 2D networks to 3D networks in order to obtain optimal evolutionary 3D deep convolutional neural networks. The proposed approach results in a massive saving in computational and processing time to develop 3D networks, while achieved high accuracy for 3D medical image segmentation of nine various datasets.</t>
  </si>
  <si>
    <t>Classification of Aortic Stenosis Using ECG by Deep Learning and its Analysis Using Grad-CAM</t>
  </si>
  <si>
    <t>This paper proposes an automatic method for classifying Aortic valvular stenosis (AS) using ECG (Electrocardiogram) images by the deep learning whose training ECG images are annotated by the diagnoses given by the medical doctor who observes the echocardiograms. Besides, it explores the relationship between the trained deep learning network and its determinations, using the Grad-CAM.In this study, one-beat ECG images for 12-leads and 4-leads are generated from ECG's and train CNN's (Convolutional neural network). By applying the Grad-CAM to the trained CNN's, feature areas are detected in the early time range of the one-beat ECG image. Also, by limiting the time range of the ECG image to that of the feature area, the CNN for the 4-lead achieves the best classification performance, which is close to expert medical doctors' diagnoses.Clinical Relevance-This paper achieves as high AS classification performance as medical doctors' diagnoses based on echocardiograms by proposing an automatic method for detecting AS only using ECG.</t>
  </si>
  <si>
    <t>10.2967/jnumed.118.220582</t>
  </si>
  <si>
    <t>Radiomics: Data Are Also Images</t>
  </si>
  <si>
    <t>The aim of this review is to provide readers with an update on the state of the art, pitfalls, solutions for those pitfalls, future perspectives, and challenges in the quickly evolving field of radiomics in nuclear medicine imaging and associated oncology applications. The main pitfalls were identified in study design, data acquisition, segmentation, feature calculation, and modeling; however, in most cases, potential solutions are available and existing recommendations should be followed to improve the overall quality and reproducibility of published radiomics studies. The techniques from the field of deep learning have some potential to provide solutions, especially in terms of automation. Some important challenges remain to be addressed but, overall, striking advances have been made in the field in the last 5 y.</t>
  </si>
  <si>
    <t>A Tensor Factorization Method for 3-D Super Resolution With Application to Dental CT</t>
  </si>
  <si>
    <t>Available super-resolution techniques for 3-D images are either computationally inefficient prior-knowledge-based iterative techniques or deep learning methods which require a large database of known low-resolution and high-resolution image pairs. A recently introduced tensor-factorization-based approach offers a fast solution without the use of known image pairs or strict prior assumptions. In this paper, this factorization framework is investigated for single image resolution enhancement with an offline estimate of the system point spread function. The technique is applied to 3-D cone beam computed tomography for dental image resolution enhancement. To demonstrate the efficiency of our method, it is compared to a recent state-of-the-art iterative technique using low-rank and total variation regularizations. In contrast to this comparative technique, the proposed reconstruction technique gives a 2-order-of-magnitude improvement in running time-2 min compared to 2 h for a dental volume of 282×266×392 voxels. Furthermore, it also offers slightly improved quantitative results (peak signal-to-noise ratio and segmentation quality). Another advantage of the presented technique is the low number of hyperparameters. As demonstrated in this paper, the framework is not sensitive to small changes in its parameters, proposing an ease of use.</t>
  </si>
  <si>
    <t>Real-time cardiovascular MR with spatio-temporal artifact suppression using deep learning-proof of concept in congenital heart disease</t>
  </si>
  <si>
    <t>PURPOSE: Real-time assessment of ventricular volumes requires high acceleration factors. Residual convolutional neural networks (CNN) have shown potential for removing artifacts caused by data undersampling. In this study, we investigated the ability of CNNs to reconstruct highly accelerated radial real-time data in patients with congenital heart disease (CHD). METHODS: A 3D (2D plus time) CNN architecture was developed and trained using synthetic training data created from previously acquired breath hold cine images from 250 CHD patients. The trained CNN was then used to reconstruct actual real-time, tiny golden angle (tGA) radial SSFP data (13 × undersampled) acquired in 10 new patients with CHD. The same real-time data was also reconstructed with compressed sensing (CS) to compare image quality and reconstruction time. Ventricular volume measurements made using both the CNN and CS reconstructed images were compared to reference standard breath hold data. RESULTS: It was feasible to train a CNN to remove artifact from highly undersampled radial real-time data. The overall reconstruction time with the CNN (including creation of aliased images) was shown to be &gt;5 × faster than the CS reconstruction. In addition, the image quality and accuracy of biventricular volumes measured from the CNN reconstructed images were superior to the CS reconstructions. CONCLUSION: This article has demonstrated the potential for the use of a CNN for reconstruction of real-time radial data within the clinical setting. Clinical measures of ventricular volumes using real-time data with CNN reconstruction are not statistically significantly different from gold-standard, cardiac-gated, breath-hold techniques.</t>
  </si>
  <si>
    <t>A. Hauptmann, S. Arridge, F. Lucka, V. Muthurangu and J. A. Steeden</t>
  </si>
  <si>
    <t>Model-Based Learning for Accelerated, Limited-View 3-D Photoacoustic Tomography</t>
  </si>
  <si>
    <t>Recent advances in deep learning for tomographic reconstructions have shown great potential to create accurate and high quality images with a considerable speed up. In this paper, we present a deep neural network that is specifically designed to provide high resolution 3-D images from restricted photoacoustic measurements. The network is designed to represent an iterative scheme and incorporates gradient information of the data fit to compensate for limited view artifacts. Due to the high complexity of the photoacoustic forward operator, we separate training and computation of the gradient information. A suitable prior for the desired image structures is learned as part of the training. The resulting network is trained and tested on a set of segmented vessels from lung computed tomography scans and then applied to in-vivo photoacoustic measurement data.</t>
  </si>
  <si>
    <t>A. Hauptmann, F. Lucka, M. Betcke, N. Huynh, J. Adler, B. Cox, P. Beard, S. Ourselin and S. Arridge</t>
  </si>
  <si>
    <t>A Robust DWT-CNN Based CAD System for Early Diagnosis of Autism Using Task-based fMRI</t>
  </si>
  <si>
    <t>PURPOSE: Task-based fMRI (TfMRI) is a diagnostic imaging modality for observing the effects of a disease or other condition on the functional activity of the brain. Autism spectrum disorder (ASD) is a pervasive developmental disorder associated with impairments in social and linguistic abilities. Machine learning algorithms have been widely utilized for brain imaging aiming for objective ASD diagnostics. Recently, deep learning methods have been gaining more attention for fMRI classification. The goal of this paper is to develop a convolutional neural network (CNN) based framework to help in global diagnosis of ASD using TfMRI data that are collected from a response to speech experiment. METHODS: To achieve this goal, the proposed framework adopts a novel imaging marker integrating both spatial and temporal information that are related to the functional activity of the brain. The developed pipeline consists of three main components. In the first step, the collected TfMRI data are preprocessed and parcellated using the Harvard-Oxford probabilistic atlas included with the fMRIB Software Library (FSL). Secondly, a group analysis using FSL is performed between ASD and typically developing (TD) children to identify significantly activated brain areas in response to the speech task. In order to reduce brain spatial dimensionality, a K-means clustering technique is performed on such significant brain areas. Informative blood oxygen level-dependent (BOLD) signals are extracted from each cluster. A compression step for each extracted BOLD signal using discrete wavelet transform (DWT) has been proposed. The adopted wavelets are similar to the expected hemodynamic response which enables DWT to compress the BOLD signal while highlighting its activation information. Finally, a deep learning 2D CNN network is used to classify the patients as ASD or TD based on extracted features from the previous step. RESULTS: Preliminary results on 100 TfMRI dataset (50 ASD, 50 TD) obtain 80% correct global classification using 10-fold cross validation (with sensitivity =84%, specificity = 76%) CONCLUSION: The experimental results show the high accuracy of the proposed framework and hold promise for the presented framework as a helpful adjunct to currently used ASD diagnostic tools.</t>
  </si>
  <si>
    <t>Magnetic resonance imaging assessment of knee osteoarthritis: current and developing new concepts and techniques</t>
  </si>
  <si>
    <t>Magnetic resonance imaging (MRI) is a well-established imaging technique for structural assessment of knee osteoarthritis (OA) particularly in a research context. Conventional MRI allows evaluation of morphological changes in osteoarthritis, and advanced compositional MRI techniques enable assessment of 'premorphologic' biochemical compositional changes of articular and periarticular tissues. Limitations of conventional radiography are well known, although radiography remains the primary imaging modality applied in osteoarthritis clinical trials to date. Hybrid techniques such as PET/MRI have been introduced, which may potentially supplement conventional imaging techniques. Artificial Intelligence (AI) such as deep learning with convolutional neural networks is becoming increasingly recognised as a supportive instrument to deepen our understanding of morphologic OA development and progression. In this narrative review article, we will first give summary of current concepts and widely used MRI assessment techniques of knee osteoarthritis. We will then describe more recent and novel MRI techniques focusing primarily on publications from the last 4 years (2016-2019).</t>
  </si>
  <si>
    <t>Clin Exp Rheumatol</t>
  </si>
  <si>
    <t>Evaluating medical images using deep convolutional neural networks: A simulated CT phantom image study</t>
  </si>
  <si>
    <t>BACKGROUND: Applied research on artificial intelligence, mainly in deep learning, is widely performed. If medical images can be evaluated using artificial intelligence, this could substantially improve examination efficiency. OBJECTIVE: We investigated an evaluation system for medical images with different noise characteristics using a deep convolutional neural network. METHODS: Simulated computed tomography images are the targets of the system. We used an AlexNet trained with natural images for the deep convolutional neural network and a support vector machine for classification. Synthetic computed tomography images with circular and rectangular signal bodies at different levels of contrast and added Gaussian noise were used for training and testing. RESULTS: Two transfer learning methods were tested: classification by a re-trained support vector machine using the AlexNet features, and a method that fine-tuned the deep convolutional neural network. Using the first method, all the test image noise levels could be classified correctly. The fine-tuning method achieved an accuracy rate of 92.6%. CONCLUSIONS: An image quality evaluation method using artificial intelligence will be useful for clinical images and different image quality indices in the future.</t>
  </si>
  <si>
    <t>N. Hayashi, T. Maruyama, Y. Sato, H. Watanabe, T. Ogura and A. Ogura</t>
  </si>
  <si>
    <t>Technol Health Care</t>
  </si>
  <si>
    <t>A Deep Learning Approach in Rebubbling After Descemet's Membrane Endothelial Keratoplasty</t>
  </si>
  <si>
    <t>PURPOSE: To evaluate the efficacy of deep learning in judging the need for rebubbling after Descemet's endothelial membrane keratoplasty (DMEK). METHODS: This retrospective study included eyes that underwent rebubbling after DMEK (rebubbling group: RB group) and the same number of eyes that did not require rebubbling (non-RB group), based on medical records. To classify the RB group, randomly selected images from anterior segment optical coherence tomography at postoperative day 5 were evaluated by corneal specialists. The criterion for rebubbling was the condition where graft detachment reached the central 4.0-mm pupil area. We trained nine types of deep neural network structures (VGG16, VGG19, ResNet50, InceptionV3, InceptionResNetV2, Xception, DenseNet121, DenseNet169, and DenseNet201) and built nine models. Using each model, we tested the validation data and evaluated the model. RESULTS: This study included 496 images (31 eyes from 24 patients) in the RB group and 496 images (31 eyes from 29 patients) in the non-RB group. Because 16 picture images were obtained from the same point of each eye, a total of 992 images were obtained. The VGG19 model was found to have the highest area under the receiver operating characteristic curve (AUC) of all models. The AUC, sensitivity, and specificity of the VGG19 model were 0.964, 0.967, and 0.915, respectively, whereas those of the best ensemble model were 0.956, 0.913, and 0.921, respectively. CONCLUSIONS: This automated system that enables the physician to be aware of the requirement of RB might be clinically useful.</t>
  </si>
  <si>
    <t>Eye Contact Lens</t>
  </si>
  <si>
    <t>Early brain development in infants at high risk for autism spectrum disorder</t>
  </si>
  <si>
    <t>Brain enlargement has been observed in children with autism spectrum disorder (ASD), but the timing of this phenomenon, and the relationship between ASD and the appearance of behavioural symptoms, are unknown. Retrospective head circumference and longitudinal brain volume studies of two-year olds followed up at four years of age have provided evidence that increased brain volume may emerge early in development. Studies of infants at high familial risk of autism can provide insight into the early development of autism and have shown that characteristic social deficits in ASD emerge during the latter part of the first and in the second year of life. These observations suggest that prospective brain-imaging studies of infants at high familial risk of ASD might identify early postnatal changes in brain volume that occur before an ASD diagnosis. In this prospective neuroimaging study of 106 infants at high familial risk of ASD and 42 low-risk infants, we show that hyperexpansion of the cortical surface area between 6 and 12 months of age precedes brain volume overgrowth observed between 12 and 24 months in 15 high-risk infants who were diagnosed with autism at 24 months. Brain volume overgrowth was linked to the emergence and severity of autistic social deficits. A deep-learning algorithm that primarily uses surface area information from magnetic resonance imaging of the brain of 6-12-month-old individuals predicted the diagnosis of autism in individual high-risk children at 24 months (with a positive predictive value of 81% and a sensitivity of 88%). These findings demonstrate that early brain changes occur during the period in which autistic behaviours are first emerging.</t>
  </si>
  <si>
    <t>H. C. Hazlett, H. Gu, B. C. Munsell, S. H. Kim, M. Styner, J. J. Wolff, J. T. Elison, M. R. Swanson, H. Zhu, K. N. Botteron, D. L. Collins, J. N. Constantino, S. R. Dager, A. M. Estes, A. C. Evans, V. S. Fonov, G. Gerig, P. Kostopoulos, R. C. McKinstry, J. Pandey, S. Paterson, J. R. Pruett, R. T. Schultz, D. W. Shaw, L. Zwaigenbaum and J. Piven</t>
  </si>
  <si>
    <t>Nature</t>
  </si>
  <si>
    <t>A New Method for CTC Images Recognition Based on Machine Learning</t>
  </si>
  <si>
    <t>Circulating tumor cells (CTCs) derived from primary tumors and/or metastatic tumors are markers for tumor prognosis, and can also be used to monitor therapeutic efficacy and tumor recurrence. Circulating tumor cells enrichment and screening can be automated, but the final counting of CTCs currently requires manual intervention. This not only requires the participation of experienced pathologists, but also easily causes artificial misjudgment. Medical image recognition based on machine learning can effectively reduce the workload and improve the level of automation. So, we use machine learning to identify CTCs. First, we collected the CTC test results of 600 patients. After immunofluorescence staining, each picture presented a positive CTC cell nucleus and several negative controls. The images of CTCs were then segmented by image denoising, image filtering, edge detection, image expansion and contraction techniques using python's openCV scheme. Subsequently, traditional image recognition methods and machine learning were used to identify CTCs. Machine learning algorithms are implemented using convolutional neural network deep learning networks for training. We took 2300 cells from 600 patients for training and testing. About 1300 cells were used for training and the others were used for testing. The sensitivity and specificity of recognition reached 90.3 and 91.3%, respectively. We will further revise our models, hoping to achieve a higher sensitivity and specificity.</t>
  </si>
  <si>
    <t>Front Bioeng Biotechnol</t>
  </si>
  <si>
    <t>Automated classification of coronary plaque calcification in OCT pullbacks with 3D deep neural networks</t>
  </si>
  <si>
    <t>SIGNIFICANCE: Detection and characterization of coronary atherosclerotic plaques often need reviews of a large number of optical coherence tomography (OCT) imaging slices to make a clinical decision. However, it is a challenge to manually review all the slices and consider the interrelationship between adjacent slices. APPROACH: Inspired by the recent success of deep convolutional network on the classification of medical images, we proposed a ResNet-3D network for classification of coronary plaque calcification in OCT pullbacks. The ResNet-3D network was initialized with a trained ResNet-50 network and a three-dimensional convolution filter filled with zeros padding and non-zeros padding with a convolutional filter. To retrain ResNet-50, we used a dataset of ∼4860 OCT images, derived by 18 entire pullbacks from different patients. In addition, we investigated a two-phase training method to address the data imbalance. For an improved performance, we evaluated different input sizes for the ResNet-3D network, such as 3, 5, and 7 OCT slices. Furthermore, we integrated all ResNet-3D results by majority voting. RESULTS: A comparative analysis proved the effectiveness of the proposed ResNet-3D networks against ResNet-2D network in the OCT dataset. The classification performance (F1-scores  =  94  %   for non-zeros padding and F1-score  =  96  %   for zeros padding) demonstrated the potential of convolutional neural networks (CNNs) in classifying plaque calcification. CONCLUSIONS: This work may provide a foundation for further work in extending the CNN to voxel segmentation, which may lead to a supportive diagnostic tool for assessment of coronary plaque vulnerability.</t>
  </si>
  <si>
    <t>Optimizing a Parameterized Plug-and-Play ADMM for Iterative Low-Dose CT Reconstruction</t>
  </si>
  <si>
    <t>Reducing the exposure to X-ray radiation while maintaining a clinically acceptable image quality is desirable in various CT applications. To realize low-dose CT (LdCT) imaging, model-based iterative reconstruction (MBIR) algorithms are widely adopted, but they require proper prior knowledge assumptions in the sinogram and/or image domains and involve tedious manual optimization of multiple parameters. In this paper, we propose a deep learning (DL)-based strategy for MBIR to simultaneously address prior knowledge design and MBIR parameter selection in one optimization framework. Specifically, a parameterized plug-and-play alternating direction method of multipliers (3pADMM) is proposed for the general penalized weighted least-squares model, and then, by adopting the basic idea of DL, the parameterized plug-and-play (3p) prior and the related parameters are optimized simultaneously in a single framework using a large number of training data. The main contribution of this paper is that the 3p prior and the related parameters in the proposed 3pADMM framework can be supervised and optimized simultaneously to achieve robust LdCT reconstruction performance. Experimental results obtained on clinical patient datasets demonstrate that the proposed method can achieve promising gains over existing algorithms for LdCT image reconstruction in terms of noise-induced artifact suppression and edge detail preservation.</t>
  </si>
  <si>
    <t>Hookworm Detection in Wireless Capsule Endoscopy Images With Deep Learning</t>
  </si>
  <si>
    <t>As one of the most common human helminths, hookworm is a leading cause of maternal and child morbidity, which seriously threatens human health. Recently, wireless capsule endoscopy (WCE) has been applied to automatic hookworm detection. Unfortunately, it remains a challenging task. In recent years, deep convolutional neural network (CNN) has demonstrated impressive performance in various image and video analysis tasks. In this paper, a novel deep hookworm detection framework is proposed for WCE images, which simultaneously models visual appearances and tubular patterns of hookworms. This is the first deep learning framework specifically designed for hookworm detection in WCE images. Two CNN networks, namely edge extraction network and hookworm classification network, are seamlessly integrated in the proposed framework, which avoid the edge feature caching and speed up the classification. Two edge pooling layers are introduced to integrate the tubular regions induced from edge extraction network and the feature maps from hookworm classification network, leading to enhanced feature maps emphasizing the tubular regions. Experiments have been conducted on one of the largest WCE datasets with WCE images, which demonstrate the effectiveness of the proposed hookworm detection framework. It significantly outperforms the state-of-the-art approaches. The high sensitivity and accuracy of the proposed method in detecting hookworms shows its potential for clinical application.</t>
  </si>
  <si>
    <t>J. Y. He, X. Wu, Y. G. Jiang, Q. Peng and R. Jain</t>
  </si>
  <si>
    <t>Pelvic Organ Segmentation Using Distinctive Curve Guided Fully Convolutional Networks</t>
  </si>
  <si>
    <t>Accurate segmentation of pelvic organs (i.e., prostate, bladder, and rectum) from CT image is crucial for effective prostate cancer radiotherapy. However, it is a challenging task due to: 1) low soft tissue contrast in CT images and 2) large shape and appearance variations of pelvic organs. In this paper, we employ a two-stage deep learning-based method, with a novel distinctive curve-guided fully convolutional network (FCN), to solve the aforementioned challenges. Specifically, the first stage is for fast and robust organ detection in the raw CT images. It is designed as a coarse segmentation network to provide region proposals for three pelvic organs. The second stage is for fine segmentation of each organ, based on the region proposal results. To better identify those indistinguishable pelvic organ boundaries, a novel morphological representation, namely, distinctive curve, is also introduced to help better conduct the precise segmentation. To implement this, in this second stage, a multi-task FCN is initially utilized to learn the distinctive curve and the segmentation map separately and then combine these two tasks to produce accurate segmentation map. The final segmentation results of all three pelvic organs are generated by a weighted max-voting strategy. We have conducted exhaustive experiments on a large and diverse pelvic CT data set for evaluating our proposed method. The experimental results demonstrate that our proposed method is accurate and robust for this challenging segmentation task, by also outperforming the state-of-the-art segmentation methods.</t>
  </si>
  <si>
    <t>K. He, X. Cao, Y. Shi, D. Nie, Y. Gao and D. Shen</t>
  </si>
  <si>
    <t>Noninvasive KRAS mutation estimation in colorectal cancer using a deep learning method based on CT imaging</t>
  </si>
  <si>
    <t>BACKGROUND: The detection of Kirsten rat sarcoma viral oncogene homolog (KRAS) gene mutations in colorectal cancer (CRC) is key to the optimal design of individualized therapeutic strategies. The noninvasive prediction of the KRAS status in CRC is challenging. Deep learning (DL) in medical imaging has shown its high performance in diagnosis, classification, and prediction in recent years. In this paper, we investigated predictive performance by using a DL method with a residual neural network (ResNet) to estimate the KRAS mutation status in CRC patients based on pre-treatment contrast-enhanced CT imaging. METHODS: We have collected a dataset consisting of 157 patients with pathology-confirmed CRC who were divided into a training cohort (n = 117) and a testing cohort (n = 40). We developed an ResNet model that used portal venous phase CT images to estimate KRAS mutations in the axial, coronal, and sagittal directions of the training cohort and evaluated the model in the testing cohort. Several groups of expended region of interest (ROI) patches were generated for the ResNet model, to explore whether tissues around the tumor can contribute to cancer assessment. We also explored a radiomics model with the random forest classifier (RFC) to predict KRAS mutations and compared it with the DL model. RESULTS: The ResNet model in the axial direction achieved the higher area under the curve (AUC) value (0.90) in the testing cohort and peaked at 0.93 with an input of 'ROI and 20-pixel' surrounding area. AUC of radiomics model in testing cohorts were 0.818. In comparison, the ResNet model showed better predictive ability. CONCLUSIONS: Our experiments reveal that the computerized assessment of the pre-treatment CT images of CRC patients using a DL model has the potential to precisely predict KRAS mutations. This new model has the potential to assist in noninvasive KRAS mutation estimation.</t>
  </si>
  <si>
    <t>Deep neural networks and kernel regression achieve comparable accuracies for functional connectivity prediction of behavior and demographics</t>
  </si>
  <si>
    <t>There is significant interest in the development and application of deep neural networks (DNNs) to neuroimaging data. A growing literature suggests that DNNs outperform their classical counterparts in a variety of neuroimaging applications, yet there are few direct comparisons of relative utility. Here, we compared the performance of three DNN architectures and a classical machine learning algorithm (kernel regression) in predicting individual phenotypes from whole-brain resting-state functional connectivity (RSFC) patterns. One of the DNNs was a generic fully-connected feedforward neural network, while the other two DNNs were recently published approaches specifically designed to exploit the structure of connectome data. By using a combined sample of almost 10,000 participants from the Human Connectome Project (HCP) and UK Biobank, we showed that the three DNNs and kernel regression achieved similar performance across a wide range of behavioral and demographic measures. Furthermore, the generic feedforward neural network exhibited similar performance to the two state-of-the-art connectome-specific DNNs. When predicting fluid intelligence in the UK Biobank, performance of all algorithms dramatically improved when sample size increased from 100 to 1000 subjects. Improvement was smaller, but still significant, when sample size increased from 1000 to 5000 subjects. Importantly, kernel regression was competitive across all sample sizes. Overall, our study suggests that kernel regression is as effective as DNNs for RSFC-based behavioral prediction, while incurring significantly lower computational costs. Therefore, kernel regression might serve as a useful baseline algorithm for future studies.</t>
  </si>
  <si>
    <t>A Deep Learning-Based Decision Support Tool for Precision Risk Assessment of Breast Cancer</t>
  </si>
  <si>
    <t>PURPOSE: The Breast Imaging Reporting and Data System (BI-RADS) lexicon was developed to standardize mammographic reporting to assess cancer risk and facilitate the decision to biopsy. Because of substantial interobserver variability in the application of the BI-RADS lexicon, the decision to biopsy varies greatly and results in overdiagnosis and excessive biopsies. The false-positive rate from mammograms is estimated to be 7% to approximately 10% overall, but within the BI-RADS 4 category, it is greater than 70%. Therefore, we developed the Breast Cancer Risk Calculator (BRISK) to target a well-characterized and specific patient subgroup (BI-RADS 4) rather than a broad heterogeneous group in assessing breast cancer risk. METHODS: BRISK provides a novel precise risk assessment model to reduce overdiagnosis and unnecessary biopsies. It was developed by applying natural language processing and deep learning methods on 5,147 patient records archived in the Houston Methodist systemwide data warehouse from 2006 to May 2015, including imaging and pathology reports, mammographic images, and patient demographics. Key characteristics for BI-RADS 4 patients were collected and computed to output an index measure for biopsy recommendation that is clinically relevant and informative and improves upon the traditional BI-RADS 4 scores. RESULTS: For the validation set, we assessed data from 1,247 BI-RADS 4 patients, including mammographic images and medical reports. The BRISK model sensitivity to predict malignancy was 100%, whereas the specificity was 74%. The total accuracy of our implemented model in BRISK was 81%. Overall area under the curve was 0.93. CONCLUSION: BRISK for abnormal mammogram uses integrative artificial intelligence technology and has demonstrated high sensitivity in the prediction of malignancy. Prospective evaluation is under way and can lead to improvement in patient-physician engagement in making informed decisions with regard to biopsy.</t>
  </si>
  <si>
    <t>Automatic segmentation and quantification of epicardial adipose tissue from coronary computed tomography angiography</t>
  </si>
  <si>
    <t>Epicardial adipose tissue (EAT) is a visceral fat deposit, that's known for its association with factors, such as obesity, diabetes mellitus, age, and hypertension. Segmentation of the EAT in a fast and reproducible way is important for the interpretation of its role as an independent risk marker intricate. However, EAT has a variable distribution, and various diseases may affect the volume of the EAT, which can increase the complexity of the already time-consuming manual segmentation work. We propose a 3D deep attention U-Net method to automatically segment the EAT from coronary computed tomography angiography (CCTA). Five-fold cross-validation and hold-out experiments were used to evaluate the proposed method through a retrospective investigation of 200 patients. The automatically segmented EAT volume was compared with physician-approved clinical contours. Quantitative metrics used were the Dice similarity coefficient (DSC), sensitivity, specificity, Jaccard index (JAC), Hausdorff distance (HD), mean surface distance (MSD), residual mean square distance (RMSD), and the center of mass distance (CMD). For cross-validation, the median DSC, sensitivity, and specificity were 92.7%, 91.1%, and 95.1%, respectively, with JAC, HD, CMD, MSD, and RMSD are 82.9% ± 8.8%, 3.77 ± 1.86 mm, 1.98 ± 1.50 mm, 0.37 ± 0.24 mm, and 0.65 ± 0.37 mm, respectively. For the hold-out test, the accuracy of the proposed method remained high. We developed a novel deep learning-based approach for the automated segmentation of the EAT on CCTA images. We demonstrated the high accuracy of the proposed learning-based segmentation method through comparison with ground truth contour of 200 clinical patient cases using 8 quantitative metrics, Pearson correlation, and Bland-Altman analysis. Our automatic EAT segmentation results show the potential of the proposed method to be used in computer-aided diagnosis of coronary artery diseases (CADs) in clinical settings.</t>
  </si>
  <si>
    <t>Automatic left ventricle segmentation from cardiac magnetic resonance images using a capsule network</t>
  </si>
  <si>
    <t>PURPOSE: Segmentation of magnetic resonance images (MRI) of the left ventricle (LV) plays a key role in quantifying the volumetric functions of the heart, such as the area, volume, and ejection fraction. Traditionally, LV segmentation is performed manually by experienced experts, which is both time-consuming and prone to subjective bias. This study aims to develop a novel capsule-based automated segmentation method to automatically segment the LV from images obtained by cardiac MRI. METHOD: The technique applied for segmentation uses Fourier analysis and the circular Hough transform (CHT) to indicate the approximate location of the LV and a network capsule to precisely segment the LV. The neurons of the capsule network output a vector and preserve much of the information about the input by replacing the largest pooling layer with convolutional strides and dynamic routing. Finally, the segmentation result is postprocessed by threshold segmentation and morphological processing to increase the accuracy of LV segmentation. RESULTS: We fully exploit the capsule network to achieve the segmentation goal and combine LV detection and capsule concepts to complete LV segmentation. In the experiments, the tested methods achieved LV Dice scores of 0.922±0.05 end-diastolic (ED) and 0.898±0.11 end-systolic (ES) on the ACDC 2017 data set. The experimental results confirm that the algorithm can effectively perform LV segmentation from a cardiac magnetic resonance image. To verify the performance of the proposed method, visual and quantitative comparisons are also performed, which show that the proposed method exhibits improved segmentation accuracy compared with the traditional method. CONCLUSIONS: The evaluation metrics of medical image segmentation indicate that the proposed method in combination with postprocessing and feature detection effectively improves segmentation accuracy for cardiac MRI. To the best of our knowledge, this study is the first to use a deep learning model based on capsule networks to systematically evaluate end-to-end LV segmentation.</t>
  </si>
  <si>
    <t>LiteNet: Lightweight Neural Network for Detecting Arrhythmias at Resource-Constrained Mobile Devices</t>
  </si>
  <si>
    <t>By running applications and services closer to the user, edge processing provides many advantages, such as short response time and reduced network traffic. Deep-learning based algorithms provide significantly better performances than traditional algorithms in many fields but demand more resources, such as higher computational power and more memory. Hence, designing deep learning algorithms that are more suitable for resource-constrained mobile devices is vital. In this paper, we build a lightweight neural network, termed LiteNet which uses a deep learning algorithm design to diagnose arrhythmias, as an example to show how we design deep learning schemes for resource-constrained mobile devices. Compare to other deep learning models with an equivalent accuracy, LiteNet has several advantages. It requires less memory, incurs lower computational cost, and is more feasible for deployment on resource-constrained mobile devices. It can be trained faster than other neural network algorithms and requires less communication across different processing units during distributed training. It uses filters of heterogeneous size in a convolutional layer, which contributes to the generation of various feature maps. The algorithm was tested using the MIT-BIH electrocardiogram (ECG) arrhythmia database; the results showed that LiteNet outperforms comparable schemes in diagnosing arrhythmias, and in its feasibility for use at the mobile devices.</t>
  </si>
  <si>
    <t>Z. He, X. Zhang, Y. Cao, Z. Liu, B. Zhang and X. Wang</t>
  </si>
  <si>
    <t>10.1016/j.annpat.2019.01.003</t>
  </si>
  <si>
    <t>[The age of artificial intelligence in lung cancer pathology: Between hope, gloom and perspectives]</t>
  </si>
  <si>
    <t>Histopathology is the fundamental tool of pathology used for more than a century to establish the final diagnosis of lung cancer. In addition, the phenotypic data contained in the histological images reflects the overall effect of molecular alterations on the behavior of cancer cells and provides a practical visual reading of the aggressiveness of the disease. However, the human evaluation of the histological images is sometimes subjective and may lack reproducibility. Therefore, computational analysis of histological imaging using so-called artificial intelligence (AI) approaches has recently received considerable attention to improve this diagnostic accuracy. Thus, computational analysis of lung cancer images has recently been evaluated for the optimization of histological or cytological classification, prognostic prediction or genomic profile of patients with lung cancer. This rapidly growing field constantly demonstrates great power in the field of computing medical imaging by producing highly accurate detection, segmentation or recognition tasks. However, there are still several challenges or issues to be addressed in order to successfully succeed the actual transfer into clinical routine. The objective of this review is to emphasize recent applications of AI in pulmonary cancer pathology, but also to clarify the advantages and limitations of this approach, as well as the perspectives to be implemented for a potential transfer into clinical routine.</t>
  </si>
  <si>
    <t>Ann Pathol</t>
  </si>
  <si>
    <t>Deep learning can be used to train naïve, nonprofessional observers to detect diagnostic visual patterns of certain cancers in mammograms: a proof-of-principle study</t>
  </si>
  <si>
    <t>The scientific, clinical, and pedagogical significance of devising methodologies to train nonprofessional subjects to recognize diagnostic visual patterns in medical images has been broadly recognized. However, systematic approaches to doing so remain poorly established. Using mammography as an exemplar case, we use a series of experiments to demonstrate that deep learning (DL) techniques can, in principle, be used to train naïve subjects to reliably detect certain diagnostic visual patterns of cancer in medical images. In the main experiment, subjects were required to learn to detect statistical visual patterns diagnostic of cancer in mammograms using only the mammograms and feedback provided following the subjects' response. We found not only that the subjects learned to perform the task at statistically significant levels, but also that their eye movements related to image scrutiny changed in a learning-dependent fashion. Two additional, smaller exploratory experiments suggested that allowing subjects to re-examine the mammogram in light of various items of diagnostic information may help further improve DL of the diagnostic patterns. Finally, a fourth small, exploratory experiment suggested that the image information learned was similar across subjects. Together, these results prove the principle that DL methodologies can be used to train nonprofessional subjects to reliably perform those aspects of medical image perception tasks that depend on visual pattern recognition expertise.</t>
  </si>
  <si>
    <t>J. Hegdé</t>
  </si>
  <si>
    <t>Similar image search for histopathology: SMILY</t>
  </si>
  <si>
    <t>The increasing availability of large institutional and public histopathology image datasets is enabling the searching of these datasets for diagnosis, research, and education. Although these datasets typically have associated metadata such as diagnosis or clinical notes, even carefully curated datasets rarely contain annotations of the location of regions of interest on each image. As pathology images are extremely large (up to 100,000 pixels in each dimension), further laborious visual search of each image may be needed to find the feature of interest. In this paper, we introduce a deep-learning-based reverse image search tool for histopathology images: Similar Medical Images Like Yours (SMILY). We assessed SMILY's ability to retrieve search results in two ways: using pathologist-provided annotations, and via prospective studies where pathologists evaluated the quality of SMILY search results. As a negative control in the second evaluation, pathologists were blinded to whether search results were retrieved by SMILY or randomly. In both types of assessments, SMILY was able to retrieve search results with similar histologic features, organ site, and prostate cancer Gleason grade compared with the original query. SMILY may be a useful general-purpose tool in the pathologist's arsenal, to improve the efficiency of searching large archives of histopathology images, without the need to develop and implement specific tools for each application.</t>
  </si>
  <si>
    <t>N. Hegde, J. D. Hipp, Y. Liu, M. Emmert-Buck, E. Reif, D. Smilkov, M. Terry, C. J. Cai, M. B. Amin, C. H. Mermel, P. Q. Nelson, L. H. Peng, G. S. Corrado and M. C. Stumpe</t>
  </si>
  <si>
    <t>NPJ Digit Med</t>
  </si>
  <si>
    <t>Improving the performance of CNN to predict the likelihood of COVID-19 using chest X-ray images with preprocessing algorithms</t>
  </si>
  <si>
    <t>OBJECTIVE: This study aims to develop and test a new computer-aided diagnosis (CAD) scheme of chest X-ray images to detect coronavirus (COVID-19) infected pneumonia. METHOD: CAD scheme first applies two image preprocessing steps to remove the majority of diaphragm regions, process the original image using a histogram equalization algorithm, and a bilateral low-pass filter. Then, the original image and two filtered images are used to form a pseudo color image. This image is fed into three input channels of a transfer learning-based convolutional neural network (CNN) model to classify chest X-ray images into 3 classes of COVID-19 infected pneumonia, other community-acquired no-COVID-19 infected pneumonia, and normal (non-pneumonia) cases. To build and test the CNN model, a publicly available dataset involving 8474 chest X-ray images is used, which includes 415, 5179 and 2,880 cases in three classes, respectively. Dataset is randomly divided into 3 subsets namely, training, validation, and testing with respect to the same frequency of cases in each class to train and test the CNN model. RESULTS: The CNN-based CAD scheme yields an overall accuracy of 94.5 % (2404/2544) with a 95 % confidence interval of [0.93,0.96] in classifying 3 classes. CAD also yields 98.4 % sensitivity (124/126) and 98.0 % specificity (2371/2418) in classifying cases with and without COVID-19 infection. However, without using two preprocessing steps, CAD yields a lower classification accuracy of 88.0 % (2239/2544). CONCLUSION: This study demonstrates that adding two image preprocessing steps and generating a pseudo color image plays an important role in developing a deep learning CAD scheme of chest X-ray images to improve accuracy in detecting COVID-19 infected pneumonia.</t>
  </si>
  <si>
    <t>Deep neural network based histological scoring of lung fibrosis and inflammation in the mouse model system</t>
  </si>
  <si>
    <t>Preclinical studies of novel compounds rely on quantitative readouts from animal models. Frequently employed readouts from histopathological tissue scoring are time consuming, require highly specialized staff and are subject to inherent variability. Recent advances in deep convolutional neural networks (CNN) now allow automating such scoring tasks. Here, we demonstrate this for the case of the Ashcroft fibrosis score and a newly developed inflammation score to characterize fibrotic and inflammatory lung diseases. Sections of lung tissue from mice exhibiting a wide range of fibrotic and inflammatory states were stained with Masson trichrome. Whole slide scans using a 20x objective were acquired and cut into smaller tiles of 512x512 pixels. The tiles were subsequently classified by specialized CNNs, either an Ashcroft fibrosis CNN or an inflammation CNN. For the Ashcroft fibrosis score the CNN was fine-tuned by using 14000 labelled tiles. For the inflammation score the CNN was trained with 3500 labelled tiles. After training, the Ashcroft fibrosis CNN achieved an accuracy of 79.5% and the inflammation CNN an accuracy of 80.0%. An error analysis revealed that misclassifications are almost exclusively with neighboring scores, which reflects the inherent ambiguity of parts of the data. The variability between two experts was found to be larger than the variability between the CNN classifications and the ground truth. The CNN generated Ashcroft score was in very good agreement with the score of a pathologist (r2 = 0.92). Our results demonstrate that costly and time consuming scoring tasks can be automated and standardized with deep learning. New scores such as the inflammation score can be easily developed with the approach presented here.</t>
  </si>
  <si>
    <t>F. Heinemann, G. Birk, T. Schoenberger and B. Stierstorfer</t>
  </si>
  <si>
    <t>Deep learning enables pathologist-like scoring of NASH models</t>
  </si>
  <si>
    <t>Non-alcoholic fatty liver disease (NAFLD) and the progressive form of non-alcoholic steatohepatitis (NASH) are diseases of major importance with a high unmet medical need. Efficacy studies on novel compounds to treat NAFLD/NASH using disease models are frequently evaluated using established histological feature scores on ballooning, inflammation, steatosis and fibrosis. These features are assessed by a trained pathologist using microscopy and assigned discrete scores. We demonstrate how to automate these scores with convolutional neural networks (CNNs). Whole slide images of stained liver sections are analyzed using two different scales with four CNNs, each specialized for one of four histopathological features. A continuous value is obtained to quantify the extent of each feature, which can be used directly to provide a high resolution readout. In addition, the continuous values can be mapped to obtain the established discrete pathologist-like scores. The automated deep learning-based scores show good agreement with the trainer - a human pathologist.</t>
  </si>
  <si>
    <t>TernaryNet: faster deep model inference without GPUs for medical 3D segmentation using sparse and binary convolutions</t>
  </si>
  <si>
    <t>PURPOSE: Deep convolutional neural networks (DCNN) are currently ubiquitous in medical imaging. While their versatility and high-quality results for common image analysis tasks including segmentation, localisation and prediction is astonishing, the large representational power comes at the cost of highly demanding computational effort. This limits their practical applications for image-guided interventions and diagnostic (point-of-care) support using mobile devices without graphics processing units (GPU). METHODS: We propose a new scheme that approximates both trainable weights and neural activations in deep networks by ternary values and tackles the open question of backpropagation when dealing with non-differentiable functions. Our solution enables the removal of the expensive floating-point matrix multiplications throughout any convolutional neural network and replaces them by energy- and time-preserving binary operators and population counts. RESULTS: We evaluate our approach for the segmentation of the pancreas in CT. Here, our ternary approximation within a fully convolutional network leads to more than 90% memory reductions and high accuracy (without any post-processing) with a Dice overlap of 71.0% that comes close to the one obtained when using networks with high-precision weights and activations. We further provide a concept for sub-second inference without GPUs and demonstrate significant improvements in comparison with binary quantisation and without our proposed ternary hyperbolic tangent continuation. CONCLUSIONS: We present a key enabling technique for highly efficient DCNN inference without GPUs that will help to bring the advances of deep learning to practical clinical applications. It has also great promise for improving accuracies in large-scale medical data retrieval.</t>
  </si>
  <si>
    <t>M. P. Heinrich, M. Blendowski and O. Oktay</t>
  </si>
  <si>
    <t>OBELISK-Net: Fewer layers to solve 3D multi-organ segmentation with sparse deformable convolutions</t>
  </si>
  <si>
    <t>Deep networks have set the state-of-the-art in most image analysis tasks by replacing handcrafted features with learned convolution filters within end-to-end trainable architectures. Still, the specifications of a convolutional network are subject to much manual design - the shape and size of the receptive field for convolutional operations is a very sensitive part that has to be tuned for different image analysis applications. 3D fully-convolutional multi-scale architectures with skip-connection that excel at semantic segmentation and landmark localisation have huge memory requirements and rely on large annotated datasets - an important limitation for wider adaptation in medical image analysis. We propose a novel and effective method based on trainable 3D convolution kernels that learns both filter coefficients and spatial filter offsets in a continuous space based on the principle of differentiable image interpolation first introduced for spatial transformer network. A deep network that incorporates this one binary extremely large and inflecting sparse kernel (OBELISK) filter requires fewer trainable parameters and less memory while achieving high quality results compared to fully-convolutional U-Net architectures on two challenging 3D CT multi-organ segmentation tasks. Extensive validation experiments indicate that the performance of sparse deformable convolutions is due to their ability to capture large spatial context with few expressive filter parameters and that network depth is not always necessary to learn complex shape and appearance features. A combination with conventional CNNs further improves the delineation of small organs with large shape variations and the fast inference time using flexible image sampling may offer new potential use cases for deep networks in computer-assisted, image-guided interventions.</t>
  </si>
  <si>
    <t>M. P. Heinrich, O. Oktay and N. Bouteldja</t>
  </si>
  <si>
    <t>Identification of autism spectrum disorder using deep learning and the ABIDE dataset</t>
  </si>
  <si>
    <t>The goal of the present study was to apply deep learning algorithms to identify autism spectrum disorder (ASD) patients from large brain imaging dataset, based solely on the patients brain activation patterns. We investigated ASD patients brain imaging data from a world-wide multi-site database known as ABIDE (Autism Brain Imaging Data Exchange). ASD is a brain-based disorder characterized by social deficits and repetitive behaviors. According to recent Centers for Disease Control data, ASD affects one in 68 children in the United States. We investigated patterns of functional connectivity that objectively identify ASD participants from functional brain imaging data, and attempted to unveil the neural patterns that emerged from the classification. The results improved the state-of-the-art by achieving 70% accuracy in identification of ASD versus control patients in the dataset. The patterns that emerged from the classification show an anticorrelation of brain function between anterior and posterior areas of the brain; the anticorrelation corroborates current empirical evidence of anterior-posterior disruption in brain connectivity in ASD. We present the results and identify the areas of the brain that contributed most to differentiating ASD from typically developing controls as per our deep learning model.</t>
  </si>
  <si>
    <t>A. S. Heinsfeld, A. R. Franco, R. C. Craddock, A. Buchweitz and F. Meneguzzi</t>
  </si>
  <si>
    <t>Pathologist-level classification of histopathological melanoma images with deep neural networks</t>
  </si>
  <si>
    <t>BACKGROUND: The diagnosis of most cancers is made by a board-certified pathologist based on a tissue biopsy under the microscope. Recent research reveals a high discordance between individual pathologists. For melanoma, the literature reports 25-26% of discordance for classifying a benign nevus versus malignant melanoma. Deep learning was successfully implemented to enhance the precision of lung and breast cancer diagnoses. The aim of this study is to illustrate the potential of deep learning to assist human assessment for a histopathologic melanoma diagnosis. METHODS: Six hundred ninety-five lesions were classified by an expert histopathologist in accordance with current guidelines (350 nevi and 345 melanomas). Only the haematoxylin and eosin stained (H&amp;E) slides of these lesions were digitalised using a slide scanner and then randomly cropped. Five hundred ninety-five of the resulting images were used for the training of a convolutional neural network (CNN). The additional 100 H&amp;E image sections were used to test the results of the CNN in comparison with the original class labels. FINDINGS: The total discordance with the histopathologist was 18% for melanoma (95% confidence interval [CI]: 7.4-28.6%), 20% for nevi (95% CI: 8.9-31.1%) and 19% for the full set of images (95% CI: 11.3-26.7%). INTERPRETATION: Even in the worst case, the discordance of the CNN was about the same compared with the discordance between human pathologists as reported in the literature. Despite the vastly reduced amount of data, time necessary for diagnosis and cost compared with the pathologist, our CNN archived on-par performance. Conclusively, CNNs indicate to be a valuable tool to assist human melanoma diagnoses.</t>
  </si>
  <si>
    <t>Superior skin cancer classification by the combination of human and artificial intelligence</t>
  </si>
  <si>
    <t>BACKGROUND: In recent studies, convolutional neural networks (CNNs) outperformed dermatologists in distinguishing dermoscopic images of melanoma and nevi. In these studies, dermatologists and artificial intelligence were considered as opponents. However, the combination of classifiers frequently yields superior results, both in machine learning and among humans. In this study, we investigated the potential benefit of combining human and artificial intelligence for skin cancer classification. METHODS: Using 11,444 dermoscopic images, which were divided into five diagnostic categories, novel deep learning techniques were used to train a single CNN. Then, both 112 dermatologists of 13 German university hospitals and the trained CNN independently classified a set of 300 biopsy-verified skin lesions into those five classes. Taking into account the certainty of the decisions, the two independently determined diagnoses were combined to a new classifier with the help of a gradient boosting method. The primary end-point of the study was the correct classification of the images into five designated categories, whereas the secondary end-point was the correct classification of lesions as either benign or malignant (binary classification). FINDINGS: Regarding the multiclass task, the combination of man and machine achieved an accuracy of 82.95%. This was 1.36% higher than the best of the two individual classifiers (81.59% achieved by the CNN). Owing to the class imbalance in the binary problem, sensitivity, but not accuracy, was examined and demonstrated to be superior (89%) to the best individual classifier (CNN with 86.1%). The specificity in the combined classifier decreased from 89.2% to 84%. However, at an equal sensitivity of 89%, the CNN achieved a specificity of only 81.5% INTERPRETATION: Our findings indicate that the combination of human and artificial intelligence achieves superior results over the independent results of both of these systems.</t>
  </si>
  <si>
    <t>Deep learning outperformed 11 pathologists in the classification of histopathological melanoma images</t>
  </si>
  <si>
    <t>BACKGROUND: The diagnosis of most cancers is made by a board-certified pathologist based on a tissue biopsy under the microscope. Recent research reveals a high discordance between individual pathologists. For melanoma, the literature reports on 25-26% of discordance for classifying a benign nevus versus malignant melanoma. A recent study indicated the potential of deep learning to lower these discordances. However, the performance of deep learning in classifying histopathologic melanoma images was never compared directly to human experts. The aim of this study is to perform such a first direct comparison. METHODS: A total of 695 lesions were classified by an expert histopathologist in accordance with current guidelines (350 nevi/345 melanoma). Only the haematoxylin &amp; eosin (H&amp;E) slides of these lesions were digitalised via a slide scanner and then randomly cropped. A total of 595 of the resulting images were used to train a convolutional neural network (CNN). The additional 100 H&amp;E image sections were used to test the results of the CNN in comparison to 11 histopathologists. Three combined McNemar tests comparing the results of the CNNs test runs in terms of sensitivity, specificity and accuracy were predefined to test for significance (p &lt; 0.05). FINDINGS: The CNN achieved a mean sensitivity/specificity/accuracy of 76%/60%/68% over 11 test runs. In comparison, the 11 pathologists achieved a mean sensitivity/specificity/accuracy of 51.8%/66.5%/59.2%. Thus, the CNN was significantly (p = 0.016) superior in classifying the cropped images. INTERPRETATION: With limited image information available, a CNN was able to outperform 11 histopathologists in the classification of histopathological melanoma images and thus shows promise to assist human melanoma diagnoses.</t>
  </si>
  <si>
    <t>The state of the art in kidney and kidney tumor segmentation in contrast-enhanced CT imaging: Results of the KiTS19 challenge</t>
  </si>
  <si>
    <t>There is a large body of literature linking anatomic and geometric characteristics of kidney tumors to perioperative and oncologic outcomes. Semantic segmentation of these tumors and their host kidneys is a promising tool for quantitatively characterizing these lesions, but its adoption is limited due to the manual effort required to produce high-quality 3D segmentations of these structures. Recently, methods based on deep learning have shown excellent results in automatic 3D segmentation, but they require large datasets for training, and there remains little consensus on which methods perform best. The 2019 Kidney and Kidney Tumor Segmentation challenge (KiTS19) was a competition held in conjunction with the 2019 International Conference on Medical Image Computing and Computer Assisted Intervention (MICCAI) which sought to address these issues and stimulate progress on this automatic segmentation problem. A training set of 210 cross sectional CT images with kidney tumors was publicly released with corresponding semantic segmentation masks. 106 teams from five continents used this data to develop automated systems to predict the true segmentation masks on a test set of 90 CT images for which the corresponding ground truth segmentations were kept private. These predictions were scored and ranked according to their average Sørensen-Dice coefficient between the kidney and tumor across all 90 cases. The winning team achieved a Dice of 0.974 for kidney and 0.851 for tumor, approaching the inter-annotator performance on kidney (0.983) but falling short on tumor (0.923). This challenge has now entered an open leaderboard phase where it serves as a challenging benchmark in 3D semantic segmentation.</t>
  </si>
  <si>
    <t>Automatic localization of anatomical regions in medical ultrasound images of rheumatoid arthritis using deep learning</t>
  </si>
  <si>
    <t>The pace of population aging is growing faster worldwide. The quality of life of the aging population is mostly affected by rheumatic diseases. With the increasing rate of rheumatoid arthritis in the aging population, technological advances in the field of automatic image processing and analysis have paved way for automatic detection and diagnosis of arthritis based on how the grade of the synovial region is designed. The proposed method is based on spatial analysis using intensity-based approach to segment the skin border, thresholding and connectivity algorithm for bone region segmentation, hit-or-miss transform for bone line segmentation and distance measure with image profile to detect the joint region. After this process of localization, the synovial region is determined using the active contour technique. In arthritis condition, synovitis also occurs which is categorized into four different grades based on the fluid expansion in the synovial region. The different grades are defined and analyzed through deep learning. Convolutional neural network in a deep learning algorithm is used to diagnose the particular grade of synovitis to describe the nature of arthritis. With these results, a module to detect the nature of arthritis automatically is defined.</t>
  </si>
  <si>
    <t>R. J. Hemalatha, V. Vijaybaskar and T. R. Thamizhvani</t>
  </si>
  <si>
    <t>Artery-vein segmentation in fundus images using a fully convolutional network</t>
  </si>
  <si>
    <t>Epidemiological studies demonstrate that dimensions of retinal vessels change with ocular diseases, coronary heart disease and stroke. Different metrics have been described to quantify these changes in fundus images, with arteriolar and venular calibers among the most widely used. The analysis often includes a manual procedure during which a trained grader differentiates between arterioles and venules. This step can be time-consuming and can introduce variability, especially when large volumes of images need to be analyzed. In light of the recent successes of fully convolutional networks (FCNs) applied to biomedical image segmentation, we assess its potential in the context of retinal artery-vein (A/V) discrimination. To the best of our knowledge, a deep learning (DL) architecture for simultaneous vessel extraction and A/V discrimination has not been previously employed. With the aim of improving the automation of vessel analysis, a novel application of the U-Net semantic segmentation architecture (based on FCNs) on the discrimination of arteries and veins in fundus images is presented. By utilizing DL, results are obtained that exceed accuracies reported in the literature. Our model was trained and tested on the public DRIVE and HRF datasets. For DRIVE, measuring performance on vessels wider than two pixels, the FCN achieved accuracies of 94.42% and 94.11% on arteries and veins, respectively. This represents a decrease in error of 25% over the previous state of the art reported by Xu et al. (2017). Additionally, we introduce the HRF A/V ground truth, on which our model achieves 96.98% accuracy on all discovered centerline pixels. HRF A/V ground truth validated by an ophthalmologist, predicted A/V annotations and evaluation code are available at https://github.com/rubenhx/av-segmentation.</t>
  </si>
  <si>
    <t>Deep learning for automated segmentation of pelvic muscles, fat, and bone from CT studies for body composition assessment</t>
  </si>
  <si>
    <t>OBJECTIVE: To develop a deep convolutional neural network (CNN) to automatically segment an axial CT image of the pelvis for body composition measures. We hypothesized that a deep CNN approach would achieve high accuracy when compared to manual segmentations as the reference standard. MATERIALS AND METHODS: We manually segmented 200 axial CT images at the supra-acetabular level in 200 subjects, labeling background, subcutaneous adipose tissue (SAT), muscle, inter-muscular adipose tissue (IMAT), bone, and miscellaneous intra-pelvic content. The dataset was randomly divided into training (180/200) and test (20/200) datasets. Data augmentation was utilized to enlarge the training dataset and all images underwent preprocessing with histogram equalization. Our model was trained for 50 epochs using the U-Net architecture with batch size of 8, learning rate of 0.0001, Adadelta optimizer and a dropout of 0.20. The Dice (F1) score was used to assess similarity between the manual segmentations and the CNN predicted segmentations. RESULTS: The CNN model with data augmentation of N = 3000 achieved accurate segmentation of body composition for all classes. The Dice scores were as follows: background (1.00), miscellaneous intra-pelvic content (0.98), SAT (0.97), muscle (0.95), IMAT (0.91), and bone (0.92). Mean time to automatically segment one CT image was 0.07 s (GPU) and 2.51 s (CPU). CONCLUSIONS: Our CNN-based model enables accurate automated segmentation of multiple tissues on pelvic CT images, with promising implications for body composition studies.</t>
  </si>
  <si>
    <t>10.1161/circimaging.117.005614</t>
  </si>
  <si>
    <t>Machine Learning Approaches in Cardiovascular Imaging</t>
  </si>
  <si>
    <t>Cardiovascular imaging technologies continue to increase in their capacity to capture and store large quantities of data. Modern computational methods, developed in the field of machine learning, offer new approaches to leveraging the growing volume of imaging data available for analyses. Machine learning methods can now address data-related problems ranging from simple analytic queries of existing measurement data to the more complex challenges involved in analyzing raw images. To date, machine learning has been used in 2 broad and highly interconnected areas: automation of tasks that might otherwise be performed by a human and generation of clinically important new knowledge. Most cardiovascular imaging studies have focused on task-oriented problems, but more studies involving algorithms aimed at generating new clinical insights are emerging. Continued expansion in the size and dimensionality of cardiovascular imaging databases is driving strong interest in applying powerful deep learning methods, in particular, to analyze these data. Overall, the most effective approaches will require an investment in the resources needed to appropriately prepare such large data sets for analyses. Notwithstanding current technical and logistical challenges, machine learning and especially deep learning methods have much to offer and will substantially impact the future practice and science of cardiovascular imaging.</t>
  </si>
  <si>
    <t>Investigating deep learning for fNIRS based BCI</t>
  </si>
  <si>
    <t>Functional Near infrared Spectroscopy (fNIRS) is a relatively young modality for measuring brain activity which has recently shown promising results for building Brain Computer Interfaces (BCI). Due to its infancy, there are still no standard approaches for meaningful features and classifiers for single trial analysis of fNIRS. Most studies are limited to established classifiers from EEG-based BCIs and very simple features. The feasibility of more complex and powerful classification approaches like Deep Neural Networks has, to the best of our knowledge, not been investigated for fNIRS based BCI. These networks have recently become increasingly popular, as they outperformed conventional machine learning methods for a variety of tasks, due in part to advances in training methods for neural networks. In this paper, we show how Deep Neural Networks can be used to classify brain activation patterns measured by fNIRS and compare them with previously used methods.</t>
  </si>
  <si>
    <t>J. Hennrich, C. Herff, D. Heger and T. Schultz</t>
  </si>
  <si>
    <t>Deep Learning Algorithms with Demographic Information Help to Detect Tuberculosis in Chest Radiographs in Annual Workers' Health Examination Data</t>
  </si>
  <si>
    <t>We aimed to use deep learning to detect tuberculosis in chest radiographs in annual workers' health examination data and compare the performances of convolutional neural networks (CNNs) based on images only (I-CNN) and CNNs including demographic variables (D-CNN). The I-CNN and D-CNN models were trained on 1000 chest X-ray images, both positive and negative, for tuberculosis. Feature extraction was conducted using VGG19, InceptionV3, ResNet50, DenseNet121, and InceptionResNetV2. Age, weight, height, and gender were recorded as demographic variables. The area under the receiver operating characteristic (ROC) curve (AUC) was calculated for model comparison. The AUC values of the D-CNN models were greater than that of I-CNN. The AUC values for VGG19 increased by 0.0144 (0.957 to 0.9714) in the training set, and by 0.0138 (0.9075 to 0.9213) in the test set (both p &lt; 0.05). The D-CNN models show greater sensitivity than I-CNN models (0.815 vs. 0.775, respectively) at the same cut-off point for the same specificity of 0.962. The sensitivity of D-CNN does not attenuate as much as that of I-CNN, even when specificity is increased by cut-off points. Conclusion: Our results indicate that machine learning can facilitate the detection of tuberculosis in chest X-rays, and demographic factors can improve this process.</t>
  </si>
  <si>
    <t>S. J. Heo, Y. Kim, S. Yun, S. S. Lim, J. Kim, C. M. Nam, E. C. Park, I. Jung and J. H. Yoon</t>
  </si>
  <si>
    <t>The effects of different levels of realism on the training of CNNs with only synthetic images for the semantic segmentation of robotic instruments in a head phantom</t>
  </si>
  <si>
    <t>PURPOSE: The manual generation of training data for the semantic segmentation of medical images using deep neural networks is a time-consuming and error-prone task. In this paper, we investigate the effect of different levels of realism on the training of deep neural networks for semantic segmentation of robotic instruments. An interactive virtual-reality environment was developed to generate synthetic images for robot-aided endoscopic surgery. In contrast with earlier works, we use physically based rendering for increased realism. METHODS: Using a virtual reality simulator that replicates our robotic setup, three synthetic image databases with an increasing level of realism were generated: flat, basic, and realistic (using the physically-based rendering). Each of those databases was used to train 20 instances of a UNet-based semantic-segmentation deep-learning model. The networks trained with only synthetic images were evaluated on the segmentation of 160 endoscopic images of a phantom. The networks were compared using the Dwass-Steel-Critchlow-Fligner nonparametric test. RESULTS: Our results show that the levels of realism increased the mean intersection-over-union (mIoU) of the networks on endoscopic images of a phantom ([Formula: see text]). The median mIoU values were 0.235 for the flat dataset, 0.458 for the basic, and 0.729 for the realistic. All the networks trained with synthetic images outperformed naive classifiers. Moreover, in an ablation study, we show that the mIoU of physically based rendering is superior to texture mapping ([Formula: see text]) of the instrument (0.606), the background (0.685), and the background and instruments combined (0.672). CONCLUSIONS: Using physical-based rendering to generate synthetic images is an effective approach to improve the training of neural networks for the semantic segmentation of surgical instruments in endoscopic images. Our results show that this strategy can be an essential step in the broad applicability of deep neural networks in semantic segmentation tasks and help bridge the domain gap in machine learning.</t>
  </si>
  <si>
    <t>Detection and characterization of MRI breast lesions using deep learning</t>
  </si>
  <si>
    <t>PURPOSE: The purpose of this study was to assess the potential of a deep learning model to discriminate between benign and malignant breast lesions using magnetic resonance imaging (MRI) and characterize different histological subtypes of breast lesions. MATERIALS AND METHODS: We developed a deep learning model that simultaneously learns to detect lesions and characterize them. We created a lesion-characterization model based on a single two-dimensional T1-weighted fat suppressed MR image obtained after intravenous administration of a gadolinium chelate selected by radiologists. The data included 335 MR images from 335 patients, representing 17 different histological subtypes of breast lesions grouped into four categories (mammary gland, benign lesions, invasive ductal carcinoma and other malignant lesions). Algorithm performance was evaluated on an independent test set of 168 MR images using weighted sums of the area under the curve (AUC) scores. RESULTS: We obtained a cross-validation score of 0.817 weighted average receiver operating characteristic (ROC)-AUC on the training set computed as the mean of three-shuffle three-fold cross-validation. Our model reached a weighted mean AUC of 0.816 on the independent challenge test set. CONCLUSION: This study shows good performance of a supervised-attention model with deep learning for breast MRI. This method should be validated on a larger and independent cohort.</t>
  </si>
  <si>
    <t>P. Herent, B. Schmauch, P. Jehanno, O. Dehaene, C. Saillard, C. Balleyguier, J. Arfi-Rouche and S. Jégou</t>
  </si>
  <si>
    <t>Diagn Interv Imaging</t>
  </si>
  <si>
    <t>PURPOSE : Despite its potential for improvements through supervision, deep learning-based registration approaches are difficult to train for large deformations in 3D scans due to excessive memory requirements. METHODS : We propose a new 2.5D convolutional transformer architecture that enables us to learn a memory-efficient weakly supervised deep learning model for multi-modal image registration. Furthermore, we firstly integrate a volume change control term into the loss function of a deep learning-based registration method to penalize occurring foldings inside the deformation field. RESULTS : Our approach succeeds at learning large deformations across multi-modal images. We evaluate our approach on 100 pair-wise registrations of CT and MRI whole-heart scans and demonstrate considerably higher Dice Scores (of 0.74) compared to a state-of-the-art unsupervised discrete registration framework (deeds with Dice of 0.71). CONCLUSION : Our proposed memory-efficient registration method performs better than state-of-the-art conventional registration methods. By using a volume change control term in the loss function, the number of occurring foldings can be considerably reduced on new registration cases.</t>
  </si>
  <si>
    <t>10.1007/s00104-019-01089-3</t>
  </si>
  <si>
    <t>[Application of artificial intelligence in thoracic surgery]</t>
  </si>
  <si>
    <t>BACKGROUND: The application of artificial intelligence is a relatively new option to enable improved patient treatment in modern medicine and is therefore currently the focus of many research projects. In the clinical practice the application of artificial intelligence so far seems to be confined to the analysis of medical imaging. OBJECTIVE: In which form is the use of artificial intelligence possible in routine daily work in thoracic surgery and is already being practiced? MATERIAL AND METHODS: A search of the currently available literature was performed. RESULTS: Under current conditions artificial intelligence can best be used as part of diagnostics and treatment planning; however, in order to enable a comprehensive use standardization and evaluation of the centralized data collection are necessary. CONCLUSION: At the present time promising study results are available but the implementation into the surgical routine has so far been very difficult.</t>
  </si>
  <si>
    <t>Chirurg</t>
  </si>
  <si>
    <t>Deep multi-instance heatmap regression for the detection of retinal vessel crossings and bifurcations in eye fundus images</t>
  </si>
  <si>
    <t>BACKGROUND AND OBJECTIVES: The analysis of the retinal vasculature plays an important role in the diagnosis of many ocular and systemic diseases. In this context, the accurate detection of the vessel crossings and bifurcations is an important requirement for the automated extraction of relevant biomarkers. In that regard, we propose a novel approach that addresses the simultaneous detection of vessel crossings and bifurcations in eye fundus images. METHOD: We propose to formulate the detection of vessel crossings and bifurcations in eye fundus images as a multi-instance heatmap regression. In particular, a deep neural network is trained in the prediction of multi-instance heatmaps that model the likelihood of a pixel being a landmark location. This novel approach allows to make predictions using full images and integrates into a single step the detection and distinction of the vascular landmarks. RESULTS: The proposed method is validated on two public datasets of reference that include detailed annotations for vessel crossings and bifurcations in eye fundus images. The conducted experiments evidence that the proposed method offers a satisfactory performance. In particular, the proposed method achieves 74.23% and 70.90% F-score for the detection of crossings and bifurcations, respectively, in color fundus images. Furthermore, the proposed method outperforms previous works by a significant margin. CONCLUSIONS: The proposed multi-instance heatmap regression allows to successfully exploit the potential of modern deep learning algorithms for the simultaneous detection of retinal vessel crossings and bifurcations. Consequently, this results in a significant improvement over previous methods, which will further facilitate the automated analysis of the retinal vasculature in many pathological conditions.</t>
  </si>
  <si>
    <t>10.1007/s10278-019-00227-x</t>
  </si>
  <si>
    <t>Deep Learning Techniques for Medical Image Segmentation: Achievements and Challenges</t>
  </si>
  <si>
    <t>Deep learning-based image segmentation is by now firmly established as a robust tool in image segmentation. It has been widely used to separate homogeneous areas as the first and critical component of diagnosis and treatment pipeline. In this article, we present a critical appraisal of popular methods that have employed deep-learning techniques for medical image segmentation. Moreover, we summarize the most common challenges incurred and suggest possible solutions.</t>
  </si>
  <si>
    <t>M. H. Hesamian, W. Jia, X. He and P. Kennedy</t>
  </si>
  <si>
    <t>Deep learning to stratify lung nodules on annual follow-up CT</t>
  </si>
  <si>
    <t>M. A. Heuvelmans and M. Oudkerk</t>
  </si>
  <si>
    <t>Machine Learning-Based Analysis of Sperm Videos and Participant Data for Male Fertility Prediction</t>
  </si>
  <si>
    <t>Methods for automatic analysis of clinical data are usually targeted towards a specific modality and do not make use of all relevant data available. In the field of male human reproduction, clinical and biological data are not used to its fullest potential. Manual evaluation of a semen sample using a microscope is time-consuming and requires extensive training. Furthermore, the validity of manual semen analysis has been questioned due to limited reproducibility, and often high inter-personnel variation. The existing computer-aided sperm analyzer systems are not recommended for routine clinical use due to methodological challenges caused by the consistency of the semen sample. Thus, there is a need for an improved methodology. We use modern and classical machine learning techniques together with a dataset consisting of 85 videos of human semen samples and related participant data to automatically predict sperm motility. Used techniques include simple linear regression and more sophisticated methods using convolutional neural networks. Our results indicate that sperm motility prediction based on deep learning using sperm motility videos is rapid to perform and consistent. Adding participant data did not improve the algorithms performance. In conclusion, machine learning-based automatic analysis may become a valuable tool in male infertility investigation and research.</t>
  </si>
  <si>
    <t>10.1007/s11604-018-0796-2</t>
  </si>
  <si>
    <t>Improvement of image quality at CT and MRI using deep learning</t>
  </si>
  <si>
    <t>Deep learning has been developed by computer scientists. Here, we discuss techniques for improving the image quality of diagnostic computed tomography and magnetic resonance imaging with the aid of deep learning. We categorize the techniques for improving the image quality as noise and artifact reduction, super resolution and image acquisition and reconstruction. For each category, we present and outline the features of some studies.</t>
  </si>
  <si>
    <t>T. Higaki, Y. Nakamura, F. Tatsugami, T. Nakaura and K. Awai</t>
  </si>
  <si>
    <t>Deep Learning Reconstruction at CT: Phantom Study of the Image Characteristics</t>
  </si>
  <si>
    <t>OBJECTIVES: Noise, commonly encountered on computed tomography (CT) images, can impact diagnostic accuracy. To reduce the image noise, we developed a deep-learning reconstruction (DLR) method that integrates deep convolutional neural networks into image reconstruction. In this phantom study, we compared the image noise characteristics, spatial resolution, and task-based detectability on DLR images and images reconstructed with other state-of-the art techniques. METHODS: We scanned a phantom harboring cylindrical modules with different contrast on a 320-row detector CT scanner. Phantom images were reconstructed with filtered back projection, hybrid iterative reconstruction, model-based iterative reconstruction, and DLR. The standard deviation of the CT number and the noise power spectrum were calculated for noise characterization. The 10% modulation-transfer function (MTF) level was used to evaluate spatial resolution; task-based detectability was assessed using the model observer method. RESULTS: On images reconstructed with DLR, the noise was lower than on images subjected to other reconstructions, especially at low radiation dose settings. Noise power spectrum measurements also showed that the noise amplitude was lower, especially for low-frequency components, on DLR images. Based on the MTF, spatial resolution was higher on model-based iterative reconstruction image than DLR image, however, for lower-contrast objects, the MTF on DLR images was comparable to images reconstructed with other methods. The machine observer study showed that at reduced radiation-dose settings, DLR yielded the best detectability. CONCLUSION: On DLR images, the image noise was lower, and high-contrast spatial resolution and task-based detectability were better than on images reconstructed with other state-of-the art techniques. DLR also outperformed other methods with respect to task-based detectability.</t>
  </si>
  <si>
    <t>Data-efficient deep learning of radiological image data for outcome prediction after endovascular treatment of patients with acute ischemic stroke</t>
  </si>
  <si>
    <t>Treatment selection is becoming increasingly more important in acute ischemic stroke patient care. Clinical variables and radiological image biomarkers (old age, pre-stroke mRS, NIHSS, occlusion location, ASPECTS, among others) have an important role in treatment selection and prognosis. Radiological biomarkers require expert annotation and are subject to inter-observer variability. Recently, Deep Learning has been introduced to reproduce these radiological image biomarkers. Instead of reproducing these biomarkers, in this work, we investigated Deep Learning techniques for building models to directly predict good reperfusion after endovascular treatment (EVT) and good functional outcome using CT angiography images. These models do not require image annotation and are fast to compute. We compare the Deep Learning models to Machine Learning models using traditional radiological image biomarkers. We explored Residual Neural Network (ResNet) architectures, adapted them with Structured Receptive Fields (RFNN) and auto-encoders (AE) for network weight initialization. We further included model visualization techniques to provide insight into the network's decision-making process. We applied the methods on the MR CLEAN Registry dataset with 1301 patients. The Deep Learning models outperformed the models using traditional radiological image biomarkers in three out of four cross-validation folds for functional outcome (average AUC of 0.71) and for all folds for reperfusion (average AUC of 0.65). Model visualization showed that the arteries were relevant features for functional outcome prediction. The best results were obtained for the ResNet models with RFNN. Auto-encoder initialization often improved the results. We concluded that, in our dataset, automated image analysis with Deep Learning methods outperforms radiological image biomarkers for stroke outcome prediction and has the potential to improve treatment selection.</t>
  </si>
  <si>
    <t>Deep learning networks find unique mammographic differences in previous negative mammograms between interval and screen-detected cancers: a case-case study</t>
  </si>
  <si>
    <t>BACKGROUND: To determine if mammographic features from deep learning networks can be applied in breast cancer to identify groups at interval invasive cancer risk due to masking beyond using traditional breast density measures. METHODS: Full-field digital screening mammograms acquired in our clinics between 2006 and 2015 were reviewed. Transfer learning of a deep learning network with weights initialized from ImageNet was performed to classify mammograms that were followed by an invasive interval or screen-detected cancer within 12 months of the mammogram. Hyperparameter optimization was performed and the network was visualized through saliency maps. Prediction loss and accuracy were calculated using this deep learning network. Receiver operating characteristic (ROC) curves and area under the curve (AUC) values were generated with the outcome of interval cancer using the deep learning network and compared to predictions from conditional logistic regression with errors quantified through contingency tables. RESULTS: Pre-cancer mammograms of 182 interval and 173 screen-detected cancers were split into training/test cases at an 80/20 ratio. Using Breast Imaging-Reporting and Data System (BI-RADS) density alone, the ability to correctly classify interval cancers was moderate (AUC = 0.65). The optimized deep learning model achieved an AUC of 0.82. Contingency table analysis showed the network was correctly classifying 75.2% of the mammograms and that incorrect classifications were slightly more common for the interval cancer mammograms. Saliency maps of each cancer case found that local information could highly drive classification of cases more than global image information. CONCLUSIONS: Pre-cancerous mammograms contain imaging information beyond breast density that can be identified with deep learning networks to predict the probability of breast cancer detection.</t>
  </si>
  <si>
    <t>B. Hinton, L. Ma, A. P. Mahmoudzadeh, S. Malkov, B. Fan, H. Greenwood, B. Joe, V. Lee, K. Kerlikowske and J. Shepherd</t>
  </si>
  <si>
    <t>A deep-learning artificial intelligence system for assessment of root morphology of the mandibular first molar on panoramic radiography</t>
  </si>
  <si>
    <t>OBJECTIVES: The distal root of the mandibular first molar occasionally has an extra root, which can directly affect the outcome of endodontic therapy. In this study, we examined the diagnostic performance of a deep learning system for classification of the root morphology of mandibular first molars on panoramic radiographs. Dental cone-beam CT (CBCT) was used as the gold standard. METHODS: CBCT images and panoramic radiographs of 760 mandibular first molars from 400 patients who had not undergone root canal treatments were analyzed. Distal roots were examined on CBCT images to determine the presence of a single or extra root. Image patches of the roots were segmented from panoramic radiographs and applied to a deep learning system, and its diagnostic performance in the classification of root morphplogy was examined. RESULTS: Extra roots were observed in 21.4% of distal roots on CBCT images. The deep learning system had diagnostic accuracy of 86.9% for the determination of whether distal roots were single or had extra roots. CONCLUSIONS: The deep learning system showed high accuracy in the differential diagnosis of a single or extra root in the distal roots of mandibular first molars.</t>
  </si>
  <si>
    <t>T. Hiraiwa, Y. Ariji, M. Fukuda, Y. Kise, K. Nakata, A. Katsumata, H. Fujita and E. Ariji</t>
  </si>
  <si>
    <t>Dentomaxillofac Radiol</t>
  </si>
  <si>
    <t>Application of artificial intelligence using a convolutional neural network for detecting gastric cancer in endoscopic images</t>
  </si>
  <si>
    <t>BACKGROUND: Image recognition using artificial intelligence with deep learning through convolutional neural networks (CNNs) has dramatically improved and been increasingly applied to medical fields for diagnostic imaging. We developed a CNN that can automatically detect gastric cancer in endoscopic images. METHODS: A CNN-based diagnostic system was constructed based on Single Shot MultiBox Detector architecture and trained using 13,584 endoscopic images of gastric cancer. To evaluate the diagnostic accuracy, an independent test set of 2296 stomach images collected from 69 consecutive patients with 77 gastric cancer lesions was applied to the constructed CNN. RESULTS: The CNN required 47 s to analyze 2296 test images. The CNN correctly diagnosed 71 of 77 gastric cancer lesions with an overall sensitivity of 92.2%, and 161 non-cancerous lesions were detected as gastric cancer, resulting in a positive predictive value of 30.6%. Seventy of the 71 lesions (98.6%) with a diameter of 6 mm or more as well as all invasive cancers were correctly detected. All missed lesions were superficially depressed and differentiated-type intramucosal cancers that were difficult to distinguish from gastritis even for experienced endoscopists. Nearly half of the false-positive lesions were gastritis with changes in color tone or an irregular mucosal surface. CONCLUSION: The constructed CNN system for detecting gastric cancer could process numerous stored endoscopic images in a very short time with a clinically relevant diagnostic ability. It may be well applicable to daily clinical practice to reduce the burden of endoscopists.</t>
  </si>
  <si>
    <t>T. Hirasawa, K. Aoyama, T. Tanimoto, S. Ishihara, S. Shichijo, T. Ozawa, T. Ohnishi, M. Fujishiro, K. Matsuo, J. Fujisaki and T. Tada</t>
  </si>
  <si>
    <t>Gastric Cancer</t>
  </si>
  <si>
    <t>10.1055/s-0039-1684024</t>
  </si>
  <si>
    <t>Artificial Intelligence in Musculoskeletal Imaging: Review of Current Literature, Challenges, and Trends</t>
  </si>
  <si>
    <t>Artificial intelligence (AI) has gained major attention with a rapid increase in the number of published articles, mostly recently. This review provides a general understanding of how AI can or will be useful to the musculoskeletal radiologist. After a brief technical background on AI, machine learning, and deep learning, we illustrate, through examples from the musculoskeletal literature, potential AI applications in the various steps of the radiologist's workflow, from managing the request to communication of results. The implementation of AI solutions does not go without challenges and limitations. These are also discussed, as well as the trends and perspectives.</t>
  </si>
  <si>
    <t>Semin Musculoskelet Radiol</t>
  </si>
  <si>
    <t>Classifying Acute Ischemic Stroke Onset Time using Deep Imaging Features</t>
  </si>
  <si>
    <t>Models have been developed to predict stroke outcomes (e.g., mortality) in attempt to provide better guidance for stroke treatment. However, there is little work in developing classification models for the problem of unknown time-since-stroke (TSS), which determines a patient's treatment eligibility based on a clinical defined cutoff time point (i.e., &lt;4.5hrs). In this paper, we construct and compare machine learning methods to classify TSS&lt;4.5hrs using magnetic resonance (MR) imaging features. We also propose a deep learning model to extract hidden representations from the MR perfusion-weighted images and demonstrate classification improvement by incorporating these additional imaging features. Finally, we discuss a strategy to visualize the learned features from the proposed deep learning model. The cross-validation results show that our best classifier achieved an area under the curve of 0.68, which improves significantly over current clinical methods (0.58), demonstrating the potential benefit of using advanced machine learning methods in TSS classification.</t>
  </si>
  <si>
    <t>AMIA Annu Symp Proc</t>
  </si>
  <si>
    <t>A Machine Learning Approach for Classifying Ischemic Stroke Onset Time From Imaging</t>
  </si>
  <si>
    <t>Current clinical practice relies on clinical history to determine the time since stroke (TSS) onset. Imaging-based determination of acute stroke onset time could provide critical information to clinicians in deciding stroke treatment options, such as thrombolysis. The patients with unknown or unwitnessed TSS are usually excluded from thrombolysis, even if their symptoms began within the therapeutic window. In this paper, we demonstrate a machine learning approach for TSS classification using routinely acquired imaging sequences. We develop imaging features from the magnetic resonance (MR) images and train machine learning models to classify the TSS. We also propose a deep-learning model to extract hidden representations for the MR perfusion-weighted images and demonstrate classification improvement by incorporating these additional deep features. The cross-validation results show that our best classifier achieved an area under the curve of 0.765, with a sensitivity of 0.788 and a negative predictive value of 0.609, outperforming existing methods. We show that the features generated by our deep-learning algorithm correlate with the MR imaging features, and validate the robustness of the model on imaging parameter variations (e.g., year of imaging). This paper advances magnetic resonance imaging analysis one-step-closer to an operational decision support tool for stroke treatment guidance.</t>
  </si>
  <si>
    <t>Deep learning nuclei detection: A simple approach can deliver state-of-the-art results</t>
  </si>
  <si>
    <t>BACKGROUND: Deep convolutional neural networks have become a widespread tool for the detection of nuclei in histopathology images. Many implementations share a basic approach that includes generation of an intermediate map indicating the presence of a nucleus center, which we refer to as PMap. Nevertheless, these implementations often still differ in several parameters, resulting in different detection qualities. METHODS: We identified several essential parameters and configured the basic PMap approach using combinations of them. We thoroughly evaluated and compared various configurations on multiple datasets with respect to detection quality, efficiency and training effort. RESULTS: Post-processing of the PMap was found to have the largest impact on detection quality. Also, two different network architectures were identified that improve either detection quality or runtime performance. The best-performing configuration yields f1-measures of 0.816 on H&amp;E stained images of colorectal adenocarcinomas and 0.819 on Ki-67 stained images of breast tumor tissue. On average, it was fully trained in less than 15,000 iterations and processed 4.15 megapixels per second at prediction time. CONCLUSIONS: The basic PMap approach is greatly affected by certain parameters. Our evaluation provides guidance on their impact and best settings. When configured properly, this simple and efficient approach can yield equal detection quality as more complex and time-consuming state-of-the-art approaches.</t>
  </si>
  <si>
    <t>H. Höfener, A. Homeyer, N. Weiss, J. Molin, C. F. Lundström and H. K. Hahn</t>
  </si>
  <si>
    <t>Technical Note: Design and implementation of a high-throughput pipeline for reconstruction and quantitative analysis of CT image data</t>
  </si>
  <si>
    <t>PURPOSE: With recent substantial improvements in modern computing, interest in quantitative imaging with CT has seen a dramatic increase. As a result, the need to both create and analyze large, high-quality datasets of clinical studies has increased as well. At present, no efficient, widely available method exists to accomplish this. The purpose of this technical note is to describe an open-source high-throughput computational pipeline framework for the reconstruction and analysis of diagnostic CT imaging data to conduct large-scale quantitative imaging studies and to accelerate and improve quantitative imaging research. METHODS: The pipeline consists of two, primary blocks: reconstruction and analysis. Reconstruction is carried out via a graphics processing unit (GPU) queuing framework developed specifically for the pipeline that allows a dataset to be reconstructed using a variety of different parameter configurations such as slice thickness, reconstruction kernel, and simulated acquisition dose. The analysis portion then automatically analyzes the output of the reconstruction using modules that can be combined in various ways to conduct different experiments. Acceleration of analysis is achieved using cluster processing. Efficiency and performance of the pipeline are demonstrated using an example 142 subject lung screening cohort reconstructed 36 different ways and analyzed using quantitative emphysema scoring techniques. RESULTS: The pipeline reconstructed and analyzed the 5112 reconstructed datasets in approximately 10 days, a roughly 72× speedup over previous efforts using the scanner for reconstructions. Tightly coupled pipeline quality assurance software ensured proper performance of analysis modules with regard to segmentation and emphysema scoring. CONCLUSIONS: The pipeline greatly reduced the time from experiment conception to quantitative results. The modular design of the pipeline allows the high-throughput framework to be utilized for other future experiments into different quantitative imaging techniques. Future applications of the pipeline being explored are robustness testing of quantitative imaging metrics, data generation for deep learning, and use as a test platform for image-processing techniques to improve clinical quantitative imaging.</t>
  </si>
  <si>
    <t>Point-of-care mobile digital microscopy and deep learning for the detection of soil-transmitted helminths and Schistosoma haematobium</t>
  </si>
  <si>
    <t>BACKGROUND: Microscopy remains the gold standard in the diagnosis of neglected tropical diseases. As resource limited, rural areas often lack laboratory equipment and trained personnel, new diagnostic techniques are needed. Low-cost, point-of-care imaging devices show potential in the diagnosis of these diseases. Novel, digital image analysis algorithms can be utilized to automate sample analysis. OBJECTIVE: Evaluation of the imaging performance of a miniature digital microscopy scanner for the diagnosis of soil-transmitted helminths and Schistosoma haematobium, and training of a deep learning-based image analysis algorithm for automated detection of soil-transmitted helminths in the captured images. METHODS: A total of 13 iodine-stained stool samples containing Ascaris lumbricoides, Trichuris trichiura and hookworm eggs and 4 urine samples containing Schistosoma haematobium were digitized using a reference whole slide-scanner and the mobile microscopy scanner. Parasites in the images were identified by visual examination and by analysis with a deep learning-based image analysis algorithm in the stool samples. Results were compared between the digital and visual analysis of the images showing helminth eggs. RESULTS: Parasite identification by visual analysis of digital slides captured with the mobile microscope was feasible for all analyzed parasites. Although the spatial resolution of the reference slide-scanner is higher, the resolution of the mobile microscope is sufficient for reliable identification and classification of all parasites studied. Digital image analysis of stool sample images captured with the mobile microscope showed high sensitivity for detection of all helminths studied (range of sensitivity = 83.3-100%) in the test set (n = 217) of manually labeled helminth eggs. CONCLUSIONS: In this proof-of-concept study, the imaging performance of a mobile, digital microscope was sufficient for visual detection of soil-transmitted helminths and Schistosoma haematobium. Furthermore, we show that deep learning-based image analysis can be utilized for the automated detection and classification of helminths in the captured images.</t>
  </si>
  <si>
    <t>Glob Health Action</t>
  </si>
  <si>
    <t>A novel deep learning-based point-of-care diagnostic method for detecting Plasmodium falciparum with fluorescence digital microscopy</t>
  </si>
  <si>
    <t>BACKGROUND: Malaria remains a major global health problem with a need for improved field-usable diagnostic tests. We have developed a portable, low-cost digital microscope scanner, capable of both brightfield and fluorescence imaging. Here, we used the instrument to digitize blood smears, and applied deep learning (DL) algorithms to detect Plasmodium falciparum parasites. METHODS: Thin blood smears (n = 125) were collected from patients with microscopy-confirmed P. falciparum infections in rural Tanzania, prior to and after initiation of artemisinin-based combination therapy. The samples were stained using the 4',6-diamidino-2-phenylindole fluorogen and digitized using the prototype microscope scanner. Two DL algorithms were trained to detect malaria parasites in the samples, and results compared to the visual assessment of both the digitized samples, and the Giemsa-stained thick smears. RESULTS: Detection of P. falciparum parasites in the digitized thin blood smears was possible both by visual assessment and by DL-based analysis with a strong correlation in results (r = 0.99, p &lt; 0.01). A moderately strong correlation was observed between the DL-based thin smear analysis and the visual thick smear-analysis (r = 0.74, p &lt; 0.01). Low levels of parasites were detected by DL-based analysis on day three following treatment initiation, but a small number of fluorescent signals were detected also in microscopy-negative samples. CONCLUSION: Quantification of P. falciparum parasites in DAPI-stained thin smears is feasible using DL-supported, point-of-care digital microscopy, with a high correlation to visual assessment of samples. Fluorescent signals from artefacts in samples with low infection levels represented the main challenge for the digital analysis, thus highlighting the importance of minimizing sample contaminations. The proposed method could support malaria diagnostics and monitoring of treatment response through automated quantification of parasitaemia and is likely to be applicable also for diagnostics of other Plasmodium species and other infectious diseases.</t>
  </si>
  <si>
    <t>10.1007/s00259-019-04382-9</t>
  </si>
  <si>
    <t>Why imaging data alone is not enough: AI-based integration of imaging, omics, and clinical data</t>
  </si>
  <si>
    <t>Artificial intelligence (AI) is currently regaining enormous interest due to the success of machine learning (ML), and in particular deep learning (DL). Image analysis, and thus radiomics, strongly benefits from this research. However, effectively and efficiently integrating diverse clinical, imaging, and molecular profile data is necessary to understand complex diseases, and to achieve accurate diagnosis in order to provide the best possible treatment. In addition to the need for sufficient computing resources, suitable algorithms, models, and data infrastructure, three important aspects are often neglected: (1) the need for multiple independent, sufficiently large and, above all, high-quality data sets; (2) the need for domain knowledge and ontologies; and (3) the requirement for multiple networks that provide relevant relationships among biological entities. While one will always get results out of high-dimensional data, all three aspects are essential to provide robust training and validation of ML models, to provide explainable hypotheses and results, and to achieve the necessary trust in AI and confidence for clinical applications.</t>
  </si>
  <si>
    <t>A Deep Learning Aided Drowning Diagnosis for Forensic Investigations using Post-Mortem Lung CT Images</t>
  </si>
  <si>
    <t>Feasibility of computer-aided diagnosis (CAD) systems has been demonstrated in the field of medical image diagnosis. Especially, deep learning based CAD systems showed high performance thanks to its capability of image recognition. However, there is no CAD system developed for post-mortem imaging diagnosis and thus it is still unclear if the CAD system is effective for this purpose. Particulally, the drowning diagnosis is one of the most difficult tasks in the field of forensic medicine because findings of the post-mortem image diagnosis are not specific. To address this issue, we develop a CAD system consisting of a deep convolution neural network (DCNN) to classify post-mortem lung computed tomography (CT) images into two categories of drowning and non-drowning cases. The DCNN was trained by means of transfer learning and performance evaluation was conducted by 10-fold cross validation using 140 drowning cases and 140 non-drowning cases of the CT images. The area under the receiver operating characteristic curve (AUC-ROC) for the DCNN was achieved 0.88 in average. This high performance clearly demonstrated that the proposed DCNN based CAD system has a potential for post-mortem image diagnosis of drowning.</t>
  </si>
  <si>
    <t>Two-step deep neural network for segmentation of deep white matter hyperintensities in migraineurs</t>
  </si>
  <si>
    <t>BACKGROUND AND OBJECTIVE: Patients with migraine show an increased presence of white matter hyperintensities (WMHs), especially deep WMHs. Segmentation of small, deep WMHs is a critical issue in managing migraine care. Here, we aim to develop a novel approach to segmenting deep WMHs using deep neural networks based on the U-Net. METHODS: 148 non-elderly subjects with migraine were recruited for this study. Our model consists of two networks: the first identifies potential deep WMH candidates, and the second reduces the false positives within the candidates. The first network for initial segmentation includes four down-sampling layers and four up-sampling layers to sort the candidates. The second network for false positive reduction uses a smaller field-of-view and depth than the first network to increase utilization of local information. RESULTS: Our proposed model segments deep WMHs with a high true positive rate of 0.88, a low false discovery rate of 0.13, and F(1) score of 0.88 tested with ten-fold cross-validation. Our model was automatic and performed better than existing models based on conventional machine learning. CONCLUSION: We developed a novel segmentation framework tailored for deep WMHs using U-Net. Our algorithm is open-access to promote future research in quantifying deep WMHs and might contribute to the effective management of WMHs in migraineurs.</t>
  </si>
  <si>
    <t>Enhancing the Image Quality via Transferred Deep Residual Learning of Coarse PET Sinograms</t>
  </si>
  <si>
    <t>Increasing the image quality of positron emission tomography (PET) is an essential topic in the PET community. For instance, thin-pixelated crystals have been used to provide high spatial resolution images but at the cost of sensitivity and manufacture expense. In this paper, we proposed an approach to enhance the PET image resolution and noise property for PET scanners with large pixelated crystals. To address the problem of coarse blurred sinograms with large parallax errors associated with large crystals, we developed a data-driven, single-image super-resolution (SISR) method for sinograms, based on the novel deep residual convolutional neural network (CNN). Unlike the CNN-based SISR on natural images, periodically padded sinogram data and dedicated network architecture were used to make it more efficient for PET imaging. Moreover, we included the transfer learning scheme in the approach to process cases with poor labeling and small training data set. The approach was validated via analytically simulated data (with and without noise), Monte Carlo simulated data, and pre-clinical data. Using the proposed method, we could achieve comparable image resolution and better noise property with large crystals of bin sizes of thin crystals with a bin size from to . Our approach uses external PET data as the prior knowledge for training and does not require additional information during inference. Meanwhile, the method can be added into the normal PET imaging framework seamlessly, thus potentially finds its application in designing low-cost high-performance PET systems.</t>
  </si>
  <si>
    <t>X. Hong, Y. Zan, F. Weng, W. Tao, Q. Peng and Q. Huang</t>
  </si>
  <si>
    <t>Improving the Detection of Glaucoma and Its Progression: A Topographical Approach</t>
  </si>
  <si>
    <t>Glaucoma is typically defined as a progressive optic neuropathy characterized by a specific (arcuate) pattern of visual field (VF) and anatomic changes. Therefore, we should be comparing arcuate patterns of damage seen on VFs with those seen on optical coherence tomography (OCT) maps. Instead, clinicians often use summary metrics such as VF pattern standard deviation, OCT retinal nerve fiber (RNF) global thickness, etc. There are 2 major impediments to topographically comparing patterns of damage on VF and OCT maps. First, until recently, it was not easy to make these comparisons with commercial reports. While recent reports do make it easier to compare VF and OCT maps, they have shortcomings. In particular, the 24-2 VF covers a larger retinal region than the commercial OCT scans, and, further, it is not easy to understand the topographical relationship among the different maps/plots within the current OCT reports. Here we show how a model of RNF bundles can overcome these problems. The second major impediment is the lack of a quantitative, and automated, method for comparing patterns of damage seen on VF and OCT maps. However, it is now possible to objectively and automatically quantify this agreement. Together, the RNF bundle model and the automated structure-function method should improve the power of topographical methods for detecting glaucoma and its progression. This should prove useful in clinical studies and trials, as well as for training and validating artificial intelligence/deep learning approaches for these purposes.</t>
  </si>
  <si>
    <t>Deep Learning for Magnetic Resonance Fingerprinting: A New Approach for Predicting Quantitative Parameter Values from Time Series</t>
  </si>
  <si>
    <t>The purpose of this work is to evaluate methods from deep learning for application to Magnetic Resonance Fingerprinting (MRF). MRF is a recently proposed measurement technique for generating quantitative parameter maps. In MRF a non-steady state signal is generated by a pseudo-random excitation pattern. A comparison of the measured signal in each voxel with the physical model yields quantitative parameter maps. Currently, the comparison is done by matching a dictionary of simulated signals to the acquired signals. To accelerate the computation of quantitative maps we train a Convolutional Neural Network (CNN) on simulated dictionary data. As a proof of principle we show that the neural network implicitly encodes the dictionary and can replace the matching process.</t>
  </si>
  <si>
    <t>Cobb Angle Measurement of Spine from X-Ray Images Using Convolutional Neural Network</t>
  </si>
  <si>
    <t>Scoliosis is a common spinal condition where the spine curves to the side and thus deforms the spine. Curvature estimation provides a powerful index to evaluate the deformation severity of scoliosis. In current clinical diagnosis, the standard curvature estimation method for assessing the curvature quantitatively is done by measuring the Cobb angle, which is the angle between two lines, drawn perpendicular to the upper endplate of the uppermost vertebra involved and the lower endplate of the lowest vertebra involved. However, manual measurement of spine curvature requires considerable time and effort, along with associated problems such as interobserver and intraobserver variations. In this article, we propose an automatic system for measuring spine curvature using the anterior-posterior (AP) view spinal X-ray images. Due to the characteristic of AP view images, we first reduced the image size and then used horizontal and vertical intensity projection histograms to define the region of interest of the spine which is then cropped for sequential processing. Next, the boundaries of the spine, the central spinal curve line, and the spine foreground are detected by using intensity and gradient information of the region of interest, and a progressive thresholding approach is then employed to detect the locations of the vertebrae. In order to reduce the influences of inconsistent intensity distribution of vertebrae in the spine AP image, we applied the deep learning convolutional neural network (CNN) approaches which include the U-Net, the Dense U-Net, and Residual U-Net, to segment the vertebrae. Finally, the segmentation results of the vertebrae are reconstructed into a complete segmented spine image, and the spine curvature is calculated based on the Cobb angle criterion. In the experiments, we showed the results for spine segmentation and spine curvature; the results were then compared to manual measurements by specialists. The segmentation results of the Residual U-Net were superior to the other two convolutional neural networks. The one-way ANOVA test also demonstrated that the three measurements including the manual records of two different physicians and our proposed measured record were not significantly different in terms of spine curvature measurement. Looking forward, the proposed system can be applied in clinical diagnosis to assist doctors for a better understanding of scoliosis severity and for clinical treatments.</t>
  </si>
  <si>
    <t>M. H. Horng, C. P. Kuok, M. J. Fu, C. J. Lin and Y. N. Sun</t>
  </si>
  <si>
    <t>An Efficient Implementation of Deep Convolutional Neural Networks for MRI Segmentation</t>
  </si>
  <si>
    <t>Image segmentation is one of the most common steps in digital image processing, classifying a digital image into different segments. The main goal of this paper is to segment brain tumors in magnetic resonance images (MRI) using deep learning. Tumors having different shapes, sizes, brightness and textures can appear anywhere in the brain. These complexities are the reasons to choose a high-capacity Deep Convolutional Neural Network (DCNN) containing more than one layer. The proposed DCNN contains two parts: architecture and learning algorithms. The architecture and the learning algorithms are used to design a network model and to optimize parameters for the network training phase, respectively. The architecture contains five convolutional layers, all using 3 × 3 kernels, and one fully connected layer. Due to the advantage of using small kernels with fold, it allows making the effect of larger kernels with smaller number of parameters and fewer computations. Using the Dice Similarity Coefficient metric, we report accuracy results on the BRATS 2016, brain tumor segmentation challenge dataset, for the complete, core, and enhancing regions as 0.90, 0.85, and 0.84 respectively. The learning algorithm includes the task-level parallelism. All the pixels of an MR image are classified using a patch-based approach for segmentation. We attain a good performance and the experimental results show that the proposed DCNN increases the segmentation accuracy compared to previous techniques.</t>
  </si>
  <si>
    <t>F. Hoseini, A. Shahbahrami and P. Bayat</t>
  </si>
  <si>
    <t>AdaptAhead Optimization Algorithm for Learning Deep CNN Applied to MRI Segmentation</t>
  </si>
  <si>
    <t>Deep learning is one of the subsets of machine learning that is widely used in artificial intelligence (AI) field such as natural language processing and machine vision. The deep convolution neural network (DCNN) extracts high-level concepts from low-level features and it is appropriate for large volumes of data. In fact, in deep learning, the high-level concepts are defined by low-level features. Previously, in optimization algorithms, the accuracy achieved for network training was less and high-cost function. In this regard, in this study, AdaptAhead optimization algorithm was developed for learning DCNN with robust architecture in relation to the high volume data. The proposed optimization algorithm was validated in multi-modality MR images of BRATS 2015 and BRATS 2016 data sets. Comparison of the proposed optimization algorithm with other commonly used methods represents the improvement of the performance of the proposed optimization algorithm on the relatively large dataset. Using the Dice similarity metric, we report accuracy results on the BRATS 2015 and BRATS 2016 brain tumor segmentation challenge dataset. Results showed that our proposed algorithm is significantly more accurate than other methods as a result of its deep and hierarchical extraction.</t>
  </si>
  <si>
    <t>Deep learning for lung cancer prognostication: A retrospective multi-cohort radiomics study</t>
  </si>
  <si>
    <t>BACKGROUND: Non-small-cell lung cancer (NSCLC) patients often demonstrate varying clinical courses and outcomes, even within the same tumor stage. This study explores deep learning applications in medical imaging allowing for the automated quantification of radiographic characteristics and potentially improving patient stratification. METHODS AND FINDINGS: We performed an integrative analysis on 7 independent datasets across 5 institutions totaling 1,194 NSCLC patients (age median = 68.3 years [range 32.5-93.3], survival median = 1.7 years [range 0.0-11.7]). Using external validation in computed tomography (CT) data, we identified prognostic signatures using a 3D convolutional neural network (CNN) for patients treated with radiotherapy (n = 771, age median = 68.0 years [range 32.5-93.3], survival median = 1.3 years [range 0.0-11.7]). We then employed a transfer learning approach to achieve the same for surgery patients (n = 391, age median = 69.1 years [range 37.2-88.0], survival median = 3.1 years [range 0.0-8.8]). We found that the CNN predictions were significantly associated with 2-year overall survival from the start of respective treatment for radiotherapy (area under the receiver operating characteristic curve [AUC] = 0.70 [95% CI 0.63-0.78], p &lt; 0.001) and surgery (AUC = 0.71 [95% CI 0.60-0.82], p &lt; 0.001) patients. The CNN was also able to significantly stratify patients into low and high mortality risk groups in both the radiotherapy (p &lt; 0.001) and surgery (p = 0.03) datasets. Additionally, the CNN was found to significantly outperform random forest models built on clinical parameters-including age, sex, and tumor node metastasis stage-as well as demonstrate high robustness against test-retest (intraclass correlation coefficient = 0.91) and inter-reader (Spearman's rank-order correlation = 0.88) variations. To gain a better understanding of the characteristics captured by the CNN, we identified regions with the most contribution towards predictions and highlighted the importance of tumor-surrounding tissue in patient stratification. We also present preliminary findings on the biological basis of the captured phenotypes as being linked to cell cycle and transcriptional processes. Limitations include the retrospective nature of this study as well as the opaque black box nature of deep learning networks. CONCLUSIONS: Our results provide evidence that deep learning networks may be used for mortality risk stratification based on standard-of-care CT images from NSCLC patients. This evidence motivates future research into better deciphering the clinical and biological basis of deep learning networks as well as validation in prospective data.</t>
  </si>
  <si>
    <t>A. Hosny, C. Parmar, T. P. Coroller, P. Grossmann, R. Zeleznik, A. Kumar, J. Bussink, R. J. Gillies, R. H. Mak and H. Aerts</t>
  </si>
  <si>
    <t>10.1038/s41568-018-0016-5</t>
  </si>
  <si>
    <t>Artificial intelligence in radiology</t>
  </si>
  <si>
    <t>Artificial intelligence (AI) algorithms, particularly deep learning, have demonstrated remarkable progress in image-recognition tasks. Methods ranging from convolutional neural networks to variational autoencoders have found myriad applications in the medical image analysis field, propelling it forward at a rapid pace. Historically, in radiology practice, trained physicians visually assessed medical images for the detection, characterization and monitoring of diseases. AI methods excel at automatically recognizing complex patterns in imaging data and providing quantitative, rather than qualitative, assessments of radiographic characteristics. In this Opinion article, we establish a general understanding of AI methods, particularly those pertaining to image-based tasks. We explore how these methods could impact multiple facets of radiology, with a general focus on applications in oncology, and demonstrate ways in which these methods are advancing the field. Finally, we discuss the challenges facing clinical implementation and provide our perspective on how the domain could be advanced.</t>
  </si>
  <si>
    <t>Nat Rev Cancer</t>
  </si>
  <si>
    <t>High-Fidelity Accelerated MRI Reconstruction by Scan-Specific Fine-Tuning of Physics-Based Neural Networks</t>
  </si>
  <si>
    <t>Long scan duration remains a challenge for high-resolution MRI. Deep learning has emerged as a powerful means for accelerated MRI reconstruction by providing data-driven regularizers that are directly learned from data. These data-driven priors typically remain unchanged for future data in the testing phase once they are learned during training. In this study, we propose to use a transfer learning approach to fine-tune these regularizers for new subjects using a self-supervision approach. While the proposed approach can compromise the extremely fast reconstruction time of deep learning MRI methods, our results on knee MRI indicate that such adaptation can substantially reduce the remaining artifacts in reconstructed images. In addition, the proposed approach has the potential to reduce the risks of generalization to rare pathological conditions, which may be unavailable in the training data.</t>
  </si>
  <si>
    <t>A comparative study of deep learning architectures on melanoma detection</t>
  </si>
  <si>
    <t>Melanoma is the most aggressive type of skin cancer, which significantly reduces the life expectancy. Early detection of melanoma can reduce the morbidity and mortality associated with skin cancer. Dermoscopic images acquired by dermoscopic instruments are used in computational analysis for skin cancer detection. However, some image quality limitations such as noises, shadows, artefacts exist that could compromise the robustness of the skin image analysis. Hence, developing an automatic intelligent system for skin cancer diagnosis with accurate detection rate is crucial. In this paper, we evaluate the performance of several state-of-the-art convolutional neural networks in dermoscopic images of skin lesions. Our experiment is conducted on a graphics processing unit (GPU) to speed up the training and deployment process. To enhance the quality of images, we employ different pre-processing steps. We also apply data augmentation methodology such as horizontal and vertical flipping techniques to address the class skewness problem. Both pre-processing and data augmentation could help to improve the final accuracy.</t>
  </si>
  <si>
    <t>S. Hosseinzadeh Kassani and P. Hosseinzadeh Kassani</t>
  </si>
  <si>
    <t>Tissue Cell</t>
  </si>
  <si>
    <t>Blind image quality assessment via deep learning</t>
  </si>
  <si>
    <t>This paper investigates how to blindly evaluate the visual quality of an image by learning rules from linguistic descriptions. Extensive psychological evidence shows that humans prefer to conduct evaluations qualitatively rather than numerically. The qualitative evaluations are then converted into the numerical scores to fairly benchmark objective image quality assessment (IQA) metrics. Recently, lots of learning-based IQA models are proposed by analyzing the mapping from the images to numerical ratings. However, the learnt mapping can hardly be accurate enough because some information has been lost in such an irreversible conversion from the linguistic descriptions to numerical scores. In this paper, we propose a blind IQA model, which learns qualitative evaluations directly and outputs numerical scores for general utilization and fair comparison. Images are represented by natural scene statistics features. A discriminative deep model is trained to classify the features into five grades, corresponding to five explicit mental concepts, i.e., excellent, good, fair, poor, and bad. A newly designed quality pooling is then applied to convert the qualitative labels into scores. The classification framework is not only much more natural than the regression-based models, but also robust to the small sample size problem. Thorough experiments are conducted on popular databases to verify the model's effectiveness, efficiency, and robustness.</t>
  </si>
  <si>
    <t>W. Hou, X. Gao, D. Tao and X. Li</t>
  </si>
  <si>
    <t>Generation of High-resolution Lung Computed Tomography Images using Generative Adversarial Networks</t>
  </si>
  <si>
    <t>To deal with the limiting data in training for new deep learning modules, we purpose a method to generate high-resolution medical images by implementing generative adversarial networks (GAN) models. Firstly, the boundary equilibrium generative adversarial networks model was used to generate the whole lung computed tomography images. Image inpainting was then integrated to generate the delicate details of the lung part by dividing into a coarse network and a refinement network to inpaint more completed and intricate details. With this method, we aim to increase the amount of high-resolution medical images for future applications in deep learning.</t>
  </si>
  <si>
    <t>10.1080/17474124.2019.1694903</t>
  </si>
  <si>
    <t>An overview of deep learning algorithms and water exchange in colonoscopy in improving adenoma detection</t>
  </si>
  <si>
    <t>Introduction: Among the Gastrointestinal (GI) Endoscopy Editorial Board top 10 topics in advances in endoscopy in 2018, water exchange colonoscopy and artificial intelligence were both considered important advances. Artificial intelligence holds the potential to increase and water exchange significantly increases adenoma detection.Areas covered: The authors searched MEDLINE (1998-2019) using the following medical subject terms: water-aided, water-assisted and water exchange colonoscopy, adenoma, artificial intelligence, deep learning, computer-assisted detection, and neural networks. Additional related studies were manually searched from the reference lists of publications. Only fully published journal articles in English were reviewed. The latest date of the search was Aug10, 2019. Artificial intelligence, machine learning, and deep learning contribute to the promise of real-time computer-aided detection diagnosis. By emphasizing near-complete suction of infused water during insertion, water exchange provides salvage cleaning and decreases cleaning-related multi-tasking distractions during withdrawal, increasing adenoma detection. The review will address how artificial intelligence and water exchange can complement each other in improving adenoma detection during colonoscopy.Expert opinion: In 5 years, research on artificial intelligence will likely achieve real-time application and evaluation of factors contributing to quality colonoscopy. Better understanding and more widespread use of water exchange will be possible.</t>
  </si>
  <si>
    <t>Expert Rev Gastroenterol Hepatol</t>
  </si>
  <si>
    <t>Cerebral Small Vessel Disease Biomarkers Detection on MRI-Sensor-Based Image and Deep Learning</t>
  </si>
  <si>
    <t>Magnetic resonance imaging (MRI) offers the most detailed brain structure image available today; it can identify tiny lesions or cerebral cortical abnormalities. The primary purpose of the procedure is to confirm whether there is structural variation that causes epilepsy, such as hippocampal sclerotherapy, local cerebral cortical dysplasia, and cavernous hemangioma. Cerebrovascular disease, the second most common factor of death in the world, is also the fourth leading cause of death in Taiwan, with cerebrovascular disease having the highest rate of stroke. Among the most common are large vascular atherosclerotic lesions, small vascular lesions, and cardiac emboli. The purpose of this thesis is to establish a computer-aided diagnosis system based on small blood vessel lesions in MRI images, using the method of Convolutional Neural Network and deep learning to analyze brain vascular occlusion by analyzing brain MRI images. Blocks can help clinicians more quickly determine the probability and severity of stroke in patients. We analyzed MRI data from 50 patients, including 30 patients with stroke, 17 patients with occlusion but no stroke, and 3 patients with dementia. This system mainly helps doctors find out whether there are cerebral small vessel lesions in the brain MRI images, and to output the found results into labeled images. The marked contents include the position coordinates of the small blood vessel blockage, the block range, the area size, and if it may cause a stroke. Finally, all the MRI images of the patient are synthesized, showing a 3D display of the small blood vessels in the brain to assist the doctor in making a diagnosis or to provide accurate lesion location for the patient.</t>
  </si>
  <si>
    <t>Y. Z. Hsieh, Y. C. Luo, C. Pan, M. C. Su, C. J. Chen and K. L. Hsieh</t>
  </si>
  <si>
    <t>A Multichannel 2D Convolutional Neural Network Model for Task-Evoked fMRI Data Classification</t>
  </si>
  <si>
    <t>Deep learning models have been successfully applied to the analysis of various functional MRI data. Convolutional neural networks (CNN), a class of deep neural networks, have been found to excel at extracting local meaningful features based on their shared-weights architecture and space invariance characteristics. In this study, we propose M2D CNN, a novel multichannel 2D CNN model, to classify 3D fMRI data. The model uses sliced 2D fMRI data as input and integrates multichannel information learned from 2D CNN networks. We experimentally compared the proposed M2D CNN against several widely used models including SVM, 1D CNN, 2D CNN, 3D CNN, and 3D separable CNN with respect to their performance in classifying task-based fMRI data. We tested M2D CNN against six models as benchmarks to classify a large number of time-series whole-brain imaging data based on a motor task in the Human Connectome Project (HCP). The results of our experiments demonstrate the following: (i) convolution operations in the CNN models are advantageous for high-dimensional whole-brain imaging data classification, as all CNN models outperform SVM; (ii) 3D CNN models achieve higher accuracy than 2D CNN and 1D CNN model, but 3D CNN models are computationally costly as any extra dimension is added in the input; (iii) the M2D CNN model proposed in this study achieves the highest accuracy and alleviates data overfitting given its smaller number of parameters as compared with 3D CNN.</t>
  </si>
  <si>
    <t>Automatic 3D liver segmentation based on deep learning and globally optimized surface evolution</t>
  </si>
  <si>
    <t>The detection and delineation of the liver from abdominal 3D computed tomography (CT) images are fundamental tasks in computer-assisted liver surgery planning. However, automatic and accurate segmentation, especially liver detection, remains challenging due to complex backgrounds, ambiguous boundaries, heterogeneous appearances and highly varied shapes of the liver. To address these difficulties, we propose an automatic segmentation framework based on 3D convolutional neural network (CNN) and globally optimized surface evolution. First, a deep 3D CNN is trained to learn a subject-specific probability map of the liver, which gives the initial surface and acts as a shape prior in the following segmentation step. Then, both global and local appearance information from the prior segmentation are adaptively incorporated into a segmentation model, which is globally optimized in a surface evolution way. The proposed method has been validated on 42 CT images from the public Sliver07 database and local hospitals. On the Sliver07 online testing set, the proposed method can achieve an overall score of [Formula: see text], yielding a mean Dice similarity coefficient of [Formula: see text], and an average symmetric surface distance of [Formula: see text] mm. The quantitative validations and comparisons show that the proposed method is accurate and effective for clinical application.</t>
  </si>
  <si>
    <t>P. Hu, F. Wu, J. Peng, P. Liang and D. Kong</t>
  </si>
  <si>
    <t>A deep learning methodology for improved breast cancer diagnosis using multiparametric MRI</t>
  </si>
  <si>
    <t>Multiparametric magnetic resonance imaging (mpMRI) has been shown to improve radiologists' performance in the clinical diagnosis of breast cancer. This machine learning study develops a deep transfer learning computer-aided diagnosis (CADx) methodology to diagnose breast cancer using mpMRI. The retrospective study included clinical MR images of 927 unique lesions from 616 women. Each MR study included a dynamic contrast-enhanced (DCE)-MRI sequence and a T2-weighted (T2w) MRI sequence. A pretrained convolutional neural network (CNN) was used to extract features from the DCE and T2w sequences, and support vector machine classifiers were trained on the CNN features to distinguish between benign and malignant lesions. Three methods that integrate the sequences at different levels (image fusion, feature fusion, and classifier fusion) were investigated. Classification performance was evaluated using the receiver operating characteristic (ROC) curve and compared using the DeLong test. The single-sequence classifiers yielded areas under the ROC curves (AUCs) [95% confidence intervals] of AUC(DCE) = 0.85 [0.82, 0.88] and AUC(T2w) = 0.78 [0.75, 0.81]. The multiparametric schemes yielded AUC(ImageFusion) = 0.85 [0.82, 0.88], AUC(FeatureFusion) = 0.87 [0.84, 0.89], and AUC(ClassifierFusion) = 0.86 [0.83, 0.88]. The feature fusion method statistically significantly outperformed using DCE alone (P &lt; 0.001). In conclusion, the proposed deep transfer learning CADx method for mpMRI may improve diagnostic performance by reducing the false positive rate and improving the positive predictive value in breast imaging interpretation.</t>
  </si>
  <si>
    <t>Lung CT Image Registration through Landmark-constrained Learning with Convolutional Neural Network</t>
  </si>
  <si>
    <t>Accurate registration of lung computed tomography (CT) image is a significant task in thorax image analysis. Recently deep learning-based medical image registration methods develop fast and achieve promising performance on accuracy and speed. However, most of them learned the deformation field through intensity similarity but ignored the importance of aligning anatomical landmarks (e.g., the branch points of airway and vessels). Accurate alignment of anatomical landmarks is essential for obtaining anatomically correct registration. In this work, we propose landmark constrained learning with a convolutional neural network (CNN) for lung CT registration. Experimental results of 40 lung 3D CT images show that our method achieves 0.93 in terms of Dice index and 3.54 mm of landmark Euclidean distance on lung CT registration task, which outperforms state-of-the-art methods in registration accuracy.</t>
  </si>
  <si>
    <t>Deep Learning-Based Automatic Endometrium Segmentation and Thickness Measurement for 2D Transvaginal Ultrasound</t>
  </si>
  <si>
    <t>Endometrial thickness is closely related to gyneco-logical function and is an important biomarker in transvaginal ultrasound (TVUS) examinations for assessing female reproductive health. Manual measurement is time-consuming and subject to high inter- and intra- observer variability. In this paper, we present a fully automated endometrial thickness measurement method using deep learning. Our pipeline consists of: 1) endometrium segmentation using a VGG-based U-Net, and 2) endometrial thickness estimation using medial axis transformation. We conducted experimental studies on 137 2D TVUS cases (74/63 secretory phase/proliferative phase). On a test set of 27 cases/277 images, the segmentation Dice score is 0.83. For thickness measurement, we achieved mean absolute error of 1.23/1.38 mm and root mean squared error of 1.79/1.85 mm on two different test sets. The results are considered well within the clinically acceptable range of ±2 mm. Furthermore, our phase-stratified analysis shows that the measurement variance from the secretory phase is higher than that from the proliferative phase, largely due to the high variability of the endometrium appearance in the secretory phase. Future work will extend our current algorithm toward different clinical outcomes for a broader spectrum of clinical applications.</t>
  </si>
  <si>
    <t>[Automated Assessment for Bone Age of Left Wrist Joint in Uyghur Teenagers by Deep Learning]</t>
  </si>
  <si>
    <t>OBJECTIVES: To realize the automated bone age assessment by applying deep learning to digital radiography （DR） image recognition of left wrist joint in Uyghur teenagers, and explore its practical application value in forensic medicine bone age assessment. METHODS: The X-ray films of left wrist joint after pretreatment, which were taken from 245 male and 227 female Uyghur nationality teenagers in Uygur Autonomous Region aged from 13.0 to 19.0 years old, were chosen as subjects. And AlexNet was as a regression model of image recognition. From the total samples above, 60％ of male and female DR images of left wrist joint were selected as net train set, and 10％ of samples were selected as validation set. As test set, the rest 30％ were used to obtain the image recognition accuracy with an error range in ±1.0 and ±0.7 age respectively, compared to the real age. RESULTS: The modelling results of deep learning algorithm showed that when the error range was in ±1.0 and ±0.7 age respectively, the accuracy of the net train set was 81.4% and 75.6% in male, and 80.5% and 74.8% in female, respectively. When the error range was in ±1.0 and ±0.7 age respectively, the accuracy of the test set was 79.5% and 71.2% in male, and 79.4% and 66.2% in female, respectively. CONCLUSIONS: The combination of bone age research on teenagers' left wrist joint and deep learning, which has high accuracy and good feasibility, can be the research basis of bone age automatic assessment system for the rest joints of body.</t>
  </si>
  <si>
    <t>T. H. Hu, Z. Huo, T. A. Liu, F. Wang, L. Wan, M. W. Wang, T. Chen and Y. H. Wang</t>
  </si>
  <si>
    <t>Fa Yi Xue Za Zhi</t>
  </si>
  <si>
    <t>Deep Collaborative Learning With Application to the Study of Multimodal Brain Development</t>
  </si>
  <si>
    <t>OBJECTIVE: Multi-modal functional magnetic resonance imaging has been widely used for brain research. Conventional data-fusion methods cannot capture complex relationship (e.g., nonlinear predictive relationship) between multiple data. This paper aims to develop a neural network framework to extract phenotype related cross-data relationships and use it to study the brain development. METHODS: We propose a novel method, deep collaborative learning (DCL), to address the limitation of existing methods. DCL first uses a deep network to represent original data and then seeks their correlations, while also linking the data representation with phenotypical information. RESULTS: We studied the difference of functional connectivity (FCs) between different age groups and also use FCs as a fingerprint to predict cognitive abilities. Our experiments demonstrated higher accuracy of using DCL over other conventional models when classifying populations of different ages and cognitive scores. Moreover, DCL revealed that brain connections became stronger at adolescence stage. Furthermore, DCL detected strong correlations between default mode network and other networks which were overlooked by linear canonical correlation analysis, demonstrating DCL's ability of detecting nonlinear correlations. CONCLUSION: The results verified the superiority of DCL over conventional data-fusion methods. In addition, the stronger brain connection demonstrated the importance of adolescence stage for brain development. SIGNIFICANCE: DCL can better combine complex correlations between multiple data sets in addition to their fitting to phenotypes, with the potential to overcome the limitations of several current data-fusion models.</t>
  </si>
  <si>
    <t>Coarse-to-Fine Adversarial Networks and Zone-Based Uncertainty Analysis for NK/T-Cell Lymphoma Segmentation in CT/PET Images</t>
  </si>
  <si>
    <t>Extranodal natural killer/T cell lymphoma (ENKL), nasal type is a kind of rare disease with a low survival rate that primarily affects Asian and South American populations. Segmentation of ENKL lesions is crucial for clinical decision support and treatment planning. This paper is the first study on computer-aided diagnosis systems for the ENKL segmentation problem. We propose an automatic, coarse-to-fine approach for ENKL segmentation using adversarial networks. In the coarse stage, we extract the region of interest bounding the lesions utilizing a segmentation neural network. In the fine stage, we use an adversarial segmentation network and further introduce a multi-scale L(1) loss function to drive the network to learn both global and local features. The generator and discriminator are alternately trained by backpropagation in an adversarial fashion in a min-max game. Furthermore, we present the first exploration of zone-based uncertainty estimates based on Monte Carlo dropout technique in the context of deep networks for medical image segmentation. Specifically, we propose the uncertainty criteria based on the lesion and the background, and then linearly normalize them to a specific interval. This is not only the crucial criterion for evaluating the superiority of the algorithm, but also permits subsequent optimization by engineers and revision by clinicians after quantitatively understanding the main source of uncertainty from the background or the lesion zone. Experimental results demonstrate that the proposed method is more effective and lesion-zone stable than state-of-the-art deep-learning based segmentation model.</t>
  </si>
  <si>
    <t>Latent source mining in FMRI via restricted Boltzmann machine</t>
  </si>
  <si>
    <t>Blind source separation (BSS) is commonly used in functional magnetic resonance imaging (fMRI) data analysis. Recently, BSS models based on restricted Boltzmann machine (RBM), one of the building blocks of deep learning models, have been shown to improve brain network identification compared to conventional single matrix factorization models such as independent component analysis (ICA). These models, however, trained RBM on fMRI volumes, and are hence challenged by model complexity and limited training set. In this article, we propose to apply RBM to fMRI time courses instead of volumes for BSS. The proposed method not only interprets fMRI time courses explicitly to take advantages of deep learning models in latent feature learning but also substantially reduces model complexity and increases the scale of training set to improve training efficiency. Our experimental results based on Human Connectome Project (HCP) datasets demonstrated the superiority of the proposed method over ICA and the one that applied RBM to fMRI volumes in identifying task-related components, resulted in more accurate and specific representations of task-related activations. Moreover, our method separated out components representing intermixed effects between task events, which could reflect inherent interactions among functionally connected brain regions. Our study demonstrates the value of RBM in mining complex structures embedded in large-scale fMRI data and its potential as a building block for deeper models in fMRI data analysis.</t>
  </si>
  <si>
    <t>X. Hu, H. Huang, B. Peng, J. Han, N. Liu, J. Lv, L. Guo, C. Guo and T. Liu</t>
  </si>
  <si>
    <t>Hum Brain Mapp</t>
  </si>
  <si>
    <t>Fully Automatic Pediatric Echocardiography Segmentation Using Deep Convolutional Networks Based on BiSeNet</t>
  </si>
  <si>
    <t>Accurate segmentation of pediatric echocardiography is an essential preprocessing step for a wide range of analysis tasks. Currently, it highly relies on sonographer's manual segmentation, which is time-consuming and redundant, and therefore might lead to mistakes. In this paper, we present a deep learning method based on Bilateral Segmentation Network (BiSeNet) to fully automatic segment pediatric echocardiography images in 4 chamber view. BiSeNet consists of two paths, a spatial path for capturing low-level spatial features, and a context path for exploiting high-level context semantic features. In addition, a feature fusion module is used to fuse features learned by both the two paths. Experiments based on our selfcollected dataset shows that our method achieves 0.932, and 0.908 in term of Dice index in the left ventricle and left atrium segmentation task, which outperforms different state-of-the-art U-Net architectures.</t>
  </si>
  <si>
    <t>Automatic tumor segmentation in breast ultrasound images using a dilated fully convolutional network combined with an active contour model</t>
  </si>
  <si>
    <t>PURPOSE: Due to the low contrast, blurry boundaries, and large amount of shadows in breast ultrasound (BUS) images, automatic tumor segmentation remains a challenging task. Deep learning provides a solution to this problem, since it can effectively extract representative features from lesions and the background in BUS images. METHODS: A novel automatic tumor segmentation method is proposed by combining a dilated fully convolutional network (DFCN) with a phase-based active contour (PBAC) model. The DFCN is an improved fully convolutional neural network with dilated convolution in deeper layers, fewer parameters, and batch normalization techniques; and has a large receptive field that can separate tumors from background. The predictions made by the DFCN are relatively rough due to blurry boundaries and variations in tumor sizes; thus, the PBAC model, which adds both region-based and phase-based energy functions, is applied to further improve segmentation results. The DFCN model is trained and tested in dataset 1 which contains 570 BUS images from 89 patients. In dataset 2, a 10-fold support vector machine (SVM) classifier is employed to verify the diagnostic ability using 460 features extracted from the segmentation results of the proposed method. RESULTS: Advantages of the present method were compared with three state-of-the-art networks; the FCN-8s, U-net, and dilated residual network (DRN). Experimental results from 170 BUS images show that the proposed method had a Dice Similarity coefficient of 88.97 ± 10.01%, a Hausdorff distance (HD) of 35.54 ± 29.70 pixels, and a mean absolute deviation (MAD) of 7.67 ± 6.67 pixels, which showed the best segmentation performance. In dataset 2, the area under curve (AUC) of the 10-fold SVM classifier was 0.795 which is similar to the classification using the manual segmentation results. CONCLUSIONS: The proposed automatic method may be sufficiently accurate, robust, and efficient for medical ultrasound applications.</t>
  </si>
  <si>
    <t>Y. Hu, Y. Guo, Y. Wang, J. Yu, J. Li, S. Zhou and C. Chang</t>
  </si>
  <si>
    <t>Artifact correction in low-dose dental CT imaging using Wasserstein generative adversarial networks</t>
  </si>
  <si>
    <t>PURPOSE: In recent years, health risks concerning high-dose x-ray radiation have become a major concern in dental computed tomography (CT) examinations. Therefore, adopting low-dose computed tomography (LDCT) technology has become a major focus in the CT imaging field. One of these LDCT technologies is downsampling data acquisition during low-dose x-ray imaging processes. However, reducing the radiation dose can adversely affect CT image quality by introducing noise and artifacts in the resultant image that can compromise diagnostic information. In this paper, we propose an artifact correction method for downsampling CT reconstruction based on deep learning. METHOD: We used clinical dental CT data with low-dose artifacts reconstructed by conventional filtered back projection (FBP) as inputs to a deep neural network and corresponding high-quality labeled normal-dose CT data during training. We trained a generative adversarial network (GAN) with Wasserstein distance (WGAN) and mean squared error (MSE) loss, called m-WGAN, to remove artifacts and obtain high-quality CT dental images in a clinical dental CT examination environment. RESULTS: The experimental results confirmed that the proposed algorithm effectively removes low-dose artifacts from dental CT scans. In addition, we showed that the proposed method is efficient for removing noise from low-dose CT scan images compared to existing approaches. We compared the performances of the general GAN, convolutional neural networks, and m-WGAN. Through quantitative and qualitative analysis of the results, we concluded that the proposed m-WGAN method resulted in better artifact correction performance preserving the texture in dental CT scanning. CONCLUSIONS: The image quality evaluation metrics indicated that the proposed method effectively improves image quality when used as a postprocessing technique for dental CT images. To the best of our knowledge, this work is the first deep learning architecture used with a commercial cone-beam dental CT scanner. The artifact correction performance was rigorously evaluated and demonstrated to be effective. Therefore, we believe that the proposed algorithm represents a new direction in the research area of low-dose dental CT artifact correction.</t>
  </si>
  <si>
    <t>Z. Hu, C. Jiang, F. Sun, Q. Zhang, Y. Ge, Y. Yang, X. Liu, H. Zheng and D. Liang</t>
  </si>
  <si>
    <t>Obtaining PET/CT images from non-attenuation corrected PET images in a single PET system using Wasserstein generative adversarial networks</t>
  </si>
  <si>
    <t>Positron emission tomography (PET) imaging plays an indispensable role in early disease detection and postoperative patient staging diagnosis. However, PET imaging requires not only additional computed tomography (CT) imaging to provide detailed anatomical information but also attenuation correction (AC) maps calculated from CT images for precise PET quantification, which inevitably demands that patients undergo additional doses of ionizing radiation. To reduce the radiation dose and simultaneously obtain high-quality PET/CT images, in this work, we present an alternative based on deep learning that can estimate synthetic attenuation corrected PET (sAC PET) and synthetic CT (sCT) images from non-attenuation corrected PET (NAC PET) scans for whole-body PET/CT imaging. Our model consists of two stages: the first stage removes noise and artefacts in the NAC PET images to generate sAC PET images, and the second stage synthesizes CT images from the sAC PET images obtained in the first stage. Both stages employ the same deep Wasserstein generative adversarial network and identical loss functions, which encourage the proposed model to generate more realistic and satisfying output images. To evaluate the performance of the proposed algorithm, we conducted a comprehensive study on a total of 45 sets of paired PET/CT images of clinical patients. The final experimental results demonstrated that both the generated sAC PET and sCT images showed great similarity to true AC PET and true CT images based on both qualitative and quantitative analyses. These results also indicate that in the future, our proposed algorithm has tremendous potential for reducing the need for additional anatomic imaging in hybrid PET/CT systems or the need for lengthy MR sequence acquisition in hybrid PET/MRI systems.</t>
  </si>
  <si>
    <t>A Novel Method of Building Functional Brain Network Using Deep Learning Algorithm with Application in Proficiency Detection</t>
  </si>
  <si>
    <t>Functional brain network (FBN) has become very popular to analyze the interaction between cortical regions in the last decade. But researchers always spend a long time to search the best way to compute FBN for their specific studies. The purpose of this study is to detect the proficiency of operators during their mineral grinding process controlling based on FBN. To save the search time, a novel semi-data-driven method of computing functional brain connection based on stacked autoencoder (BCSAE) is proposed in this paper. This method uses stacked autoencoder (SAE) to encode the multi-channel EEG data into codes and then computes the dissimilarity between the codes from every pair of electrodes to build FBN. The highlight of this method is that the SAE has a multi-layered structure and is semi-supervised, which means it can dig deeper information and generate better features. Then an experiment was performed, the EEG of the operators were collected while they were operating and analyzed to detect their proficiency. The results show that the BCSAE method generated more number of separable features with less redundancy, and the average accuracy of classification (96.18%) is higher than that of the control methods: PLV (92.19%) and PLI (78.39%).</t>
  </si>
  <si>
    <t>C. Hua, H. Wang, H. Wang, S. Lu, C. Liu and S. M. Khalid</t>
  </si>
  <si>
    <t>Retinal Vessel Segmentation using Round-wise Features Aggregation on Bracket-shaped Convolutional Neural Networks</t>
  </si>
  <si>
    <t>With the recent advent of deep learning in medical image processing, retinal blood vessel segmentation topic has been comprehensively handled by numerous research works. However, since the ratio between the number of vessel and background pixels is heavily imbalanced, many attempts utilized patches augmented from original fundus images along with fully convolutional networks for addressing such pixel-wise labeling problem, which significantly costs computational resources. In this paper, a method using Round-wise Features Aggregation on Bracket-shaped convolutional neural networks (RFA-BNet) is proposed to exclude the necessity of patches augmentation while efficiently handling the irregular and diverse representation of retinal vessels. Particularly, given raw fundus images, typical feature maps extracted from a pretrained backbone network are employed for a bracket-shaped decoder, wherein middle-scale features are continuously exploited round-by-round. Then, the decoded maps having highest resolution of each round are aggregated to enable the built model to flexibly learn various degrees of embedded semantic details while retaining proper annotations of thin and small vessels. Finally, the proposed approach showed its effectiveness in terms of sensitivity (0.7932), specificity (0.9741), accuracy (0.9511), and AUROC (0.9732) on DRIVE dataset.</t>
  </si>
  <si>
    <t>Multiphase Computed Tomographic Angiography with Bone Subtraction Using 3D Multichannel Convolution Neural Networks()</t>
  </si>
  <si>
    <t>Multiphase computed tomographic angiography (CTA) have been demonstrated to be a reliable imaging tool for evaluating cerebral collateral circulation that can be used to select acute ischemic patients for recanalization therapy. We proposed using bone subtraction techniques to visualize multiphase CTA for clinicians to make fast and consistent decisions in the imaging triage of acute stroke patients. A total of 40 multiphase brain CTA datasets were collected and processed by two bone subtraction methods. The reference method used pre-contrast (phase 0) scans to create ground truth bone masks by thresholding. The tested method used only contrast enhanced (phases 1, 2, and 3) scans to extract bone masks with two versions (U-net and atrous) of 3D multichannel convolution neural networks (CNNs) in a supervised deep learning paradigm for semantic segmentation. Half (n = 20) of the datasets were used to train and half (n = 20) were used to test the conventional 3D U-net and a patch-based 3D multichannel atrous CNN. The tested U-net and atrous CNNs achieved a mean intersection over union (IoU) scores of 90.0% +/- 2.2 and 93.9% +/- 1.2 respectively.Clinical Relevance-This bone subtraction technique helps to visualize CTA volumetric datasets in the form of full brain angiogram-like images to assist the clinicians in the emergency department for evaluating acute ischemic stroke patients.</t>
  </si>
  <si>
    <t>Fully Automated Delineation of Gross Tumor Volume for Head and Neck Cancer on PET-CT Using Deep Learning: A Dual-Center Study</t>
  </si>
  <si>
    <t>PURPOSE: In this study, we proposed an automated deep learning (DL) method for head and neck cancer (HNC) gross tumor volume (GTV) contouring on positron emission tomography-computed tomography (PET-CT) images. MATERIALS AND METHODS: PET-CT images were collected from 22 newly diagnosed HNC patients, of whom 17 (Database 1) and 5 (Database 2) were from two centers, respectively. An oncologist and a radiologist decided the gold standard of GTV manually by consensus. We developed a deep convolutional neural network (DCNN) and trained the network based on the two-dimensional PET-CT images and the gold standard of GTV in the training dataset. We did two experiments: Experiment 1, with Database 1 only, and Experiment 2, with both Databases 1 and 2. In both Experiment 1 and Experiment 2, we evaluated the proposed method using a leave-one-out cross-validation strategy. We compared the median results in Experiment 2 (GTVa) with the performance of other methods in the literature and with the gold standard (GTVm). RESULTS: A tumor segmentation task for a patient on coregistered PET-CT images took less than one minute. The dice similarity coefficient (DSC) of the proposed method in Experiment 1 and Experiment 2 was 0.481∼0.872 and 0.482∼0.868, respectively. The DSC of GTVa was better than that in previous studies. A high correlation was found between GTVa and GTVm (R = 0.99, P &lt; 0.001). The median volume difference (%) between GTVm and GTVa was 10.9%. The median values of DSC, sensitivity, and precision of GTVa were 0.785, 0.764, and 0.789, respectively. CONCLUSION: A fully automatic GTV contouring method for HNC based on DCNN and PET-CT from dual centers has been successfully proposed with high accuracy and efficiency. Our proposed method is of help to the clinicians in HNC management.</t>
  </si>
  <si>
    <t>B. Huang, Z. Chen, P. M. Wu, Y. Ye, S. T. Feng, C. O. Wong, L. Zheng, Y. Liu, T. Wang, Q. Li and B. Huang</t>
  </si>
  <si>
    <t>Deep Semantic Segmentation Feature-based Radiomics for the Classification Tasks in Medical Image Analysis</t>
  </si>
  <si>
    <t>Recently, an emerging trend in medical image classification is to combine radiomics framework with deep learning classification network in an integrated system. Although this combination is efficient in some tasks, the deep learning-based classification network is often difficult to capture an effective representation of lesion regions, and prone to face the challenge of overfitting, leading to unreliable features and inaccurate results, especially when the sizes of the lesions are small or the training dataset is small. In addition, these combinations mostly lack an effective feature selection mechanism, which makes it difficult to obtain the optimal feature selection. In this paper, we introduce a novel and effective deep semantic segmentation feature-based radiomics (DSFR) framework to overcome the above-mentioned challenges, which consists of two modules: the deep semantic feature extraction module and the feature selection module. Specifically, the extraction module is utilized to extract hierarchical semantic features of the lesions from a trained segmentation network. The feature selection module aims to select the most representative features by using a novel feature similarity adaptation algorithm. Experiments are extensively conducted to evaluate our method in two clinical tasks: the pathological grading prediction in pancreatic neuroendocrine neoplasms (pNENs), and the prediction of thrombolytic therapy efficacy in deep venous thrombosis (DVT). Experimental results on both tasks demonstrate that the proposed method consistently outperforms the state-of-the-art approaches by a large margin.</t>
  </si>
  <si>
    <t>10.1155/2020/8279342</t>
  </si>
  <si>
    <t>A Review of Multimodal Medical Image Fusion Techniques</t>
  </si>
  <si>
    <t>The medical image fusion is the process of coalescing multiple images from multiple imaging modalities to obtain a fused image with a large amount of information for increasing the clinical applicability of medical images. In this paper, we attempt to give an overview of multimodal medical image fusion methods, putting emphasis on the most recent advances in the domain based on (1) the current fusion methods, including based on deep learning, (2) imaging modalities of medical image fusion, and (3) performance analysis of medical image fusion on mainly data set. Finally, the conclusion of this paper is that the current multimodal medical image fusion research results are more significant and the development trend is on the rise but with many challenges in the research field.</t>
  </si>
  <si>
    <t>Understanding Deep Convolutional Networks for Biomedical Imaging: A Practical Tutorial</t>
  </si>
  <si>
    <t>Medical imaging seeks to unveil the internal structures hidden by the skin and bones to assist disease diagnosis and also treatment optimisation. In the past, processing medical images used to be a laborious task. However, the development of artificial intelligence has allowed the machine to gain a high level of understanding to perceive and extract information from biomedical images. Deep learning models, in particular, the convolutional neural networks (CNNs), were developed and implemented successfully for various biomedical applications. Therefore, it is of paramount importance for healthcare practitioners to understand the mechanisms behind the implemented CNNs to accurately interpret their outcomes. This tutorial summarises the key steps to train a functional CNNs. CNNs are usually constructed in the order of a convolution operation, ReLU, spatial pooling and followed by the fully connected layers. In addition, we have also introduced a number of preprocessing methods that target the image augmentation to combat the sparse data problem. We further explored a generative model as an augmentation method known as the generative adversarial networks (GANs), where GANs may yield new useful information to the dataset as compared to the classical augmentation.</t>
  </si>
  <si>
    <t>Modeling Task fMRI Data Via Deep Convolutional Autoencoder</t>
  </si>
  <si>
    <t>Task-based functional magnetic resonance imaging (tfMRI) has been widely used to study functional brain networks under task performance. Modeling tfMRI data is challenging due to at least two problems: the lack of the ground truth of underlying neural activity and the highly complex intrinsic structure of tfMRI data. To better understand brain networks based on fMRI data, data-driven approaches have been proposed, for instance, independent component analysis (ICA) and sparse dictionary learning (SDL). However, both ICA and SDL only build shallow models, and they are under the strong assumption that original fMRI signal could be linearly decomposed into time series components with their corresponding spatial maps. As growing evidence shows that human brain function is hierarchically organized, new approaches that can infer and model the hierarchical structure of brain networks are widely called for. Recently, deep convolutional neural network (CNN) has drawn much attention, in that deep CNN has proven to be a powerful method for learning high-level and mid-level abstractions from low-level raw data. Inspired by the power of deep CNN, in this paper, we developed a new neural network structure based on CNN, called deep convolutional auto-encoder (DCAE), in order to take the advantages of both data-driven approach and CNN's hierarchical feature abstraction ability for the purpose of learning mid-level and high-level features from complex, large-scale tfMRI time series in an unsupervised manner. The DCAE has been applied and tested on the publicly available human connectome project tfMRI data sets, and promising results are achieved.</t>
  </si>
  <si>
    <t>H. Huang, X. Hu, Y. Zhao, M. Makkie, Q. Dong, S. Zhao, L. Guo and T. Liu</t>
  </si>
  <si>
    <t>An artificial intelligence algorithm that differentiates anterior ethmoidal artery location on sinus computed tomography scans</t>
  </si>
  <si>
    <t>OBJECTIVE: Deep learning using convolutional neural networks represents a form of artificial intelligence where computers recognise patterns and make predictions based upon provided datasets. This study aimed to determine if a convolutional neural network could be trained to differentiate the location of the anterior ethmoidal artery as either adhered to the skull base or within a bone 'mesentery' on sinus computed tomography scans. METHODS: Coronal sinus computed tomography scans were reviewed by two otolaryngology residents for anterior ethmoidal artery location and used as data for the Google Inception-V3 convolutional neural network base. The classification layer of Inception-V3 was retrained in Python (programming language software) using a transfer learning method to interpret the computed tomography images. RESULTS: A total of 675 images from 388 patients were used to train the convolutional neural network. A further 197 unique images were used to test the algorithm; this yielded a total accuracy of 82.7 per cent (95 per cent confidence interval = 77.7-87.8), kappa statistic of 0.62 and area under the curve of 0.86. CONCLUSION: Convolutional neural networks demonstrate promise in identifying clinically important structures in functional endoscopic sinus surgery, such as anterior ethmoidal artery location on pre-operative sinus computed tomography.</t>
  </si>
  <si>
    <t>J Laryngol Otol</t>
  </si>
  <si>
    <t>Attention based residual network for medicinal fungi near infrared spectroscopy analysis</t>
  </si>
  <si>
    <t>As an effective technology, near infrared spectroscopy (NIRS) can be widely applied to analysis of active ingredients in medicinal fungi. Multiple regression methods are used to compute the relationship between spectral vectors and ingredient contents. In this paper, an autonomous feature extraction method by using attention based residual network (ABRN) to model original NIRS vectors is introduced. Attention module in ABRN is employed to enhance feature wave bands and to decay noise. Different from traditional NIRS analysis methods, ABRN does not require any preprocessing of artificial feature selections which rely on expert experience. The experiments test ABRN by analyzing original spectrums of medicinal fungi (Antrodia Camphorata and Matsutake), which are from 800 nm to 2500 nm, and predicting active ingredients within them. We compare ABRN with other popular NIRS analysis methods. The root mean square error of Antrodia Camphorata training set (RMSET) and validation set (RMSEV) are 0.0229 g⋅g⁻¹ and 0.0349 g⋅g⁻¹ for polysaccharide, and 0.0173 g⋅g⁻¹ and 0.0189 g⋅g⁻¹ for triterpene. The RMSET and RMSEV of Matsutake are 0.1343 g⋅g⁻¹ and 0.2472 g⋅g⁻¹ for polysaccharide, and 0.0328 g⋅g⁻¹ and 0.0445 g⋅g⁻¹ for ergosterol. The (coefficient of determination) of these four ingredients are 0.711, 0.753, 0.847 and 0.807. The results indicate that ABRN has better performance in autonomously extracting feature wave bands from original NIRS vectors, which can decrease the loss of tiny feature peaks.</t>
  </si>
  <si>
    <t>Prediction of lung cancer risk at follow-up screening with low-dose CT: a training and validation study of a deep learning method</t>
  </si>
  <si>
    <t>BACKGROUND: Current lung cancer screening guidelines use mean diameter, volume or density of the largest lung nodule in the prior computed tomography (CT) or appearance of new nodule to determine the timing of the next CT. We aimed at developing a more accurate screening protocol by estimating the 3-year lung cancer risk after two screening CTs using deep machine learning (ML) of radiologist CT reading and other universally available clinical information. METHODS: A deep machine learning (ML) algorithm was developed from 25,097 participants who had received at least two CT screenings up to two years apart in the National Lung Screening Trial. Double-blinded validation was performed using 2,294 participants from the Pan-Canadian Early Detection of Lung Cancer Study (PanCan). Performance of ML score to inform lung cancer incidence was compared with Lung-RADS and volume doubling time using time-dependent ROC analysis. Exploratory analysis was performed to identify individuals with aggressive cancers and higher mortality rates. FINDINGS: In the PanCan validation cohort, ML showed excellent discrimination with a 1-, 2- and 3-year time-dependent AUC values for cancer diagnosis of 0·968±0·013, 0·946±0·013 and 0·899±0·017. Although high ML score cohort included only 10% of the PanCan sample, it identified 94%, 85%, and 71% of incident and interval lung cancers diagnosed within 1, 2, and 3 years, respectively, after the second screening CT. Furthermore, individuals with high ML score had significantly higher mortality rates (HR=16·07, p&lt;0·001) compared to those with lower risk. INTERPRETATION: ML tool that recognizes patterns in both temporal and spatial changes as well as synergy among changes in nodule and non-nodule features may be used to accurately guide clinical management after the next scheduled repeat screening CT.</t>
  </si>
  <si>
    <t>Attention-aware fully convolutional neural network with convolutional long short-term memory network for ultrasound-based motion tracking</t>
  </si>
  <si>
    <t>PURPOSE: One of the promising options for motion management in radiation therapy (RT) is the use of LINAC-compatible robotic-arm-mounted ultrasound imaging system due to its high soft tissue contrast, real-time capability, absence of ionizing radiation, and low cost. The purpose of this work is to develop a novel deep learning-based real-time motion tracking strategy for ultrasound image-guided RT. METHODS: The proposed tracker combined the attention-aware fully convolutional neural network (FCNN) and the convolutional long short-term memory network (CLSTM) that is end-to-end trainable. The glimpse sensor module was built inside the attention-aware FCNN to discard majority of background by focusing on a region containing the object of interest. FCNN extracted discriminating spatial features of glimpse to facilitate temporal modeling for CLSTM. The saliency mask computed from CLSTM refined the features particular to the tracked landmarks. Moreover, the multitask loss strategy including bounding box loss, localization loss, saliency loss, and adaptive loss weighting term was utilized to facilitate training convergence and avoid over/underfitting. The tracker was tested on the databases provided by MICCAI 2015 challenges, and the ground truth data were obtained with the help of brute force-based template matching technology. RESULTS: The mean tracking error of 0.97 ± 0.52 mm and maximum tracking error of 1.94 mm were observed for 85 point landmarks across 39 ultrasound cases compared to the ground truth annotations. The tracking speed per frame per landmark with the GPU implementation ranged from 66 and 101 frames per second, which largely exceeded the ultrasound imaging rate. CONCLUSION: The results demonstrated the robustness and accuracy of the proposed deep learning-based motion estimation, despite the existence of some known shortcomings of ultrasound imaging such as speckle noise. The tracking speed of the system was found to be remarkable, sufficiently fast for real-time applications in RT environment. The approach provides a valuable tool to guide RT treatment with beam gating or multileaf collimator (MLC) tracking in real time.</t>
  </si>
  <si>
    <t>P. Huang, G. Yu, H. Lu, D. Liu, L. Xing, Y. Yin, N. Kovalchuk, L. Xing and D. Li</t>
  </si>
  <si>
    <t>10.1155/2018/5137904</t>
  </si>
  <si>
    <t>Machine Learning in Ultrasound Computer-Aided Diagnostic Systems: A Survey</t>
  </si>
  <si>
    <t>The ultrasound imaging is one of the most common schemes to detect diseases in the clinical practice. There are many advantages of ultrasound imaging such as safety, convenience, and low cost. However, reading ultrasound imaging is not easy. To support the diagnosis of clinicians and reduce the load of doctors, many ultrasound computer-aided diagnosis (CAD) systems are proposed. In recent years, the success of deep learning in the image classification and segmentation led to more and more scholars realizing the potential of performance improvement brought by utilizing the deep learning in the ultrasound CAD system. This paper summarized the research which focuses on the ultrasound CAD system utilizing machine learning technology in recent years. This study divided the ultrasound CAD system into two categories. One is the traditional ultrasound CAD system which employed the manmade feature and the other is the deep learning ultrasound CAD system. The major feature and the classifier employed by the traditional ultrasound CAD system are introduced. As for the deep learning ultrasound CAD, newest applications are summarized. This paper will be useful for researchers who focus on the ultrasound CAD system.</t>
  </si>
  <si>
    <t>10.1038/s41746-020-00341-z</t>
  </si>
  <si>
    <t>Fusion of medical imaging and electronic health records using deep learning: a systematic review and implementation guidelines</t>
  </si>
  <si>
    <t>Advancements in deep learning techniques carry the potential to make significant contributions to healthcare, particularly in fields that utilize medical imaging for diagnosis, prognosis, and treatment decisions. The current state-of-the-art deep learning models for radiology applications consider only pixel-value information without data informing clinical context. Yet in practice, pertinent and accurate non-imaging data based on the clinical history and laboratory data enable physicians to interpret imaging findings in the appropriate clinical context, leading to a higher diagnostic accuracy, informative clinical decision making, and improved patient outcomes. To achieve a similar goal using deep learning, medical imaging pixel-based models must also achieve the capability to process contextual data from electronic health records (EHR) in addition to pixel data. In this paper, we describe different data fusion techniques that can be applied to combine medical imaging with EHR, and systematically review medical data fusion literature published between 2012 and 2020. We conducted a systematic search on PubMed and Scopus for original research articles leveraging deep learning for fusion of multimodality data. In total, we screened 985 studies and extracted data from 17 papers. By means of this systematic review, we present current knowledge, summarize important results and provide implementation guidelines to serve as a reference for researchers interested in the application of multimodal fusion in medical imaging.</t>
  </si>
  <si>
    <t>Multimodal fusion with deep neural networks for leveraging CT imaging and electronic health record: a case-study in pulmonary embolism detection</t>
  </si>
  <si>
    <t>Recent advancements in deep learning have led to a resurgence of medical imaging and Electronic Medical Record (EMR) models for a variety of applications, including clinical decision support, automated workflow triage, clinical prediction and more. However, very few models have been developed to integrate both clinical and imaging data, despite that in routine practice clinicians rely on EMR to provide context in medical imaging interpretation. In this study, we developed and compared different multimodal fusion model architectures that are capable of utilizing both pixel data from volumetric Computed Tomography Pulmonary Angiography scans and clinical patient data from the EMR to automatically classify Pulmonary Embolism (PE) cases. The best performing multimodality model is a late fusion model that achieves an AUROC of 0.947 [95% CI: 0.946-0.948] on the entire held-out test set, outperforming imaging-only and EMR-only single modality models.</t>
  </si>
  <si>
    <t>Coronary Artery Segmentation by Deep Learning Neural Networks on Computed Tomographic Coronary Angiographic Images</t>
  </si>
  <si>
    <t>Coronary artery lumen delineation, to localize and grade stenosis, is an important but tedious and challenging task for coronary heart disease evaluation. Deep learning has recently been successful applied to many applications, including medical imaging. However for small imaged objects such as coronary arteries and their segmentation, it remains a challenge. This paper investigates coronary artery lumen segmentation using 3D U-net convolutional neural networks, and tests its utility with multiple datasets on two settings. We adapted the computed tomography coronary angiography (CTCA) volumes into small patches for the networks and tuned the kernels, layers and the batch size for machine learning. Our experiment involves additional efforts to select and test various data transform, so as to reduce the problem of overfitting. Compared with traditional normalization of data, we showed that subject-specific normalization of dataset was superior to patch based normalization. The results also showed that the proposed deep learning approach outperformed other methods, evaluated by the Dice coefficients.</t>
  </si>
  <si>
    <t>W. Huang, L. Huang, Z. Lin, S. Huang, Y. Chi, J. Zhou, J. Zhang, R. S. Tan and L. Zhong</t>
  </si>
  <si>
    <t>Arterial Spin Labeling Images Synthesis From sMRI Using Unbalanced Deep Discriminant Learning</t>
  </si>
  <si>
    <t>Adequate medical images are often indispensable in contemporary deep learning-based medical imaging studies, although the acquisition of certain image modalities may be limited due to several issues including high costs and patients issues. However, thanks to recent advances in deep learning techniques, the above tough problem can be substantially alleviated by medical images synthesis, by which various modalities including T1/T2/DTI MRI images, PET images, cardiac ultrasound images, retinal images, and so on, have already been synthesized. Unfortunately, the arterial spin labeling (ASL) image, which is an important fMRI indicator in dementia diseases diagnosis nowadays, has never been comprehensively investigated for the synthesis purpose yet. In this paper, ASL images have been successfully synthesized from structural magnetic resonance images for the first time. Technically, a novel unbalanced deep discriminant learning-based model equipped with new ResNet sub-structures is proposed to realize the synthesis of ASL images from structural magnetic resonance images. The extensive experiments have been conducted. Comprehensive statistical analyses reveal that: 1) this newly introduced model is capable to synthesize ASL images that are similar towards real ones acquired by actual scanning; 2) synthesized ASL images obtained by the new model have demonstrated outstanding performance when undergoing rigorous tests of region-based and voxel-based corrections of partial volume effects, which are essential in ASL images processing; and 3) it is also promising that the diagnosis performance of dementia diseases can be significantly improved with the help of synthesized ASL images obtained by the new model, based on a multi-modal MRI dataset containing 355 demented patients in this paper.</t>
  </si>
  <si>
    <t>W. Huang, M. Luo, X. Liu, P. Zhang, H. Ding, W. Xue and D. Ni</t>
  </si>
  <si>
    <t>Fast and fully-automated detection and segmentation of pulmonary nodules in thoracic CT scans using deep convolutional neural networks</t>
  </si>
  <si>
    <t>Deep learning techniques have been extensively used in computerized pulmonary nodule analysis in recent years. Many reported studies still utilized hybrid methods for diagnosis, in which convolutional neural networks (CNNs) are used only as one part of the pipeline, and the whole system still needs either traditional image processing modules or human intervention to obtain final results. In this paper, we introduced a fast and fully-automated end-to-end system that can efficiently segment precise lung nodule contours from raw thoracic CT scans. Our proposed system has four major modules: candidate nodule detection with Faster regional-CNN (R-CNN), candidate merging, false positive (FP) reduction with CNN, and nodule segmentation with customized fully convolutional neural network (FCN). The entire system has no human interaction or database specific design. The average runtime is about 16 s per scan on a standard workstation. The nodule detection accuracy is 91.4% and 94.6% with an average of 1 and 4 false positives (FPs) per scan. The average dice coefficient of nodule segmentation compared to the groundtruth is 0.793.</t>
  </si>
  <si>
    <t>Metal artifact reduction on cervical CT images by deep residual learning</t>
  </si>
  <si>
    <t>BACKGROUND: Cervical cancer is the fifth most common cancer among women, which is the third leading cause of cancer death in women worldwide. Brachytherapy is the most effective treatment for cervical cancer. For brachytherapy, computed tomography (CT) imaging is necessary since it conveys tissue density information which can be used for dose planning. However, the metal artifacts caused by brachytherapy applicators remain a challenge for the automatic processing of image data for image-guided procedures or accurate dose calculations. Therefore, developing an effective metal artifact reduction (MAR) algorithm in cervical CT images is of high demand. METHODS: A novel residual learning method based on convolutional neural network (RL-ARCNN) is proposed to reduce metal artifacts in cervical CT images. For MAR, a dataset is generated by simulating various metal artifacts in the first step, which will be applied to train the CNN. This dataset includes artifact-insert, artifact-free, and artifact-residual images. Numerous image patches are extracted from the dataset for training on deep residual learning artifact reduction based on CNN (RL-ARCNN). Afterwards, the trained model can be used for MAR on cervical CT images. RESULTS: The proposed method provides a good MAR result with a PSNR of 38.09 on the test set of simulated artifact images. The PSNR of residual learning (38.09) is higher than that of ordinary learning (37.79) which shows that CNN-based residual images achieve favorable artifact reduction. Moreover, for a 512 × 512 image, the average removal artifact time is less than 1 s. CONCLUSIONS: The RL-ARCNN indicates that residual learning of CNN remarkably reduces metal artifacts and improves critical structure visualization and confidence of radiation oncologists in target delineation. Metal artifacts are eliminated efficiently free of sinogram data and complicated post-processing procedure.</t>
  </si>
  <si>
    <t>X. Huang, J. Wang, F. Tang, T. Zhong and Y. Zhang</t>
  </si>
  <si>
    <t>Limited angle tomography for transmission X-ray microscopy using deep learning</t>
  </si>
  <si>
    <t>In transmission X-ray microscopy (TXM) systems, the rotation of a scanned sample might be restricted to a limited angular range to avoid collision with other system parts or high attenuation at certain tilting angles. Image reconstruction from such limited angle data suffers from artifacts because of missing data. In this work, deep learning is applied to limited angle reconstruction in TXMs for the first time. With the challenge to obtain sufficient real data for training, training a deep neural network from synthetic data is investigated. In particular, U-Net, the state-of-the-art neural network in biomedical imaging, is trained from synthetic ellipsoid data and multi-category data to reduce artifacts in filtered back-projection (FBP) reconstruction images. The proposed method is evaluated on synthetic data and real scanned chlorella data in 100° limited angle tomography. For synthetic test data, U-Net significantly reduces the root-mean-square error (RMSE) from 2.55 × 10(-3) µm(-1) in the FBP reconstruction to 1.21 × 10(-3) µm(-1) in the U-Net reconstruction and also improves the structural similarity (SSIM) index from 0.625 to 0.920. With penalized weighted least-square denoising of measured projections, the RMSE and SSIM are further improved to 1.16 × 10(-3) µm(-1) and 0.932, respectively. For real test data, the proposed method remarkably improves the 3D visualization of the subcellular structures in the chlorella cell, which indicates its important value for nanoscale imaging in biology, nanoscience and materials science.</t>
  </si>
  <si>
    <t>J Synchrotron Radiat</t>
  </si>
  <si>
    <t>10.1159/000510992</t>
  </si>
  <si>
    <t>Recent Advances in Medical Image Processing</t>
  </si>
  <si>
    <t>BACKGROUND: Application and development of the artificial intelligence technology have generated a profound impact in the field of medical imaging. It helps medical personnel to make an early and more accurate diagnosis. Recently, the deep convolution neural network is emerging as a principal machine learning method in computer vision and has received significant attention in medical imaging. Key Message: In this paper, we will review recent advances in artificial intelligence, machine learning, and deep convolution neural network, focusing on their applications in medical image processing. To illustrate with a concrete example, we discuss in detail the architecture of a convolution neural network through visualization to help understand its internal working mechanism. SUMMARY: This review discusses several open questions, current trends, and critical challenges faced by medical image processing and artificial intelligence technology.</t>
  </si>
  <si>
    <t>Acta Cytol</t>
  </si>
  <si>
    <t>Retrospective imaging studies of gastric cancer: Study protocol clinical trial (SPIRIT Compliant)</t>
  </si>
  <si>
    <t>INTRODUCTION: Peritoneal metastasis (PM) is a frequent condition in patients presenting with gastric cancer, especially in younger patients with advanced tumor stages. Computer tomography (CT) is the most common noninvasive modality for preoperative staging in gastric cancer. However, the challenges of limited CT soft tissue contrast result in poor CT depiction of small peritoneal tumors. The sensitivity for detecting PM remains low. About 16% of PM are undetected. Deep learning belongs to the category of artificial intelligence and has demonstrated amazing results in medical image analyses. So far, there has been no deep learning study based on CT images for the diagnosis of PM in gastric cancer. WE PROPOSED A HYPOTHESIS: CT images in the primary tumor region of gastric cancer had valuable information that could predict occult PM of gastric cancer, which could be extracted effectively through deep learning. OBJECTIVE: To develop a deep learning model for accurate preoperative diagnosis of PM in gastric cancer. METHOD: All patients with gastric cancer were retrospectively enrolled. All patients were initially diagnosed as PM negative by CT and later confirmed as positive through surgery or laparoscopy. The dataset was randomly split into training cohort (70% of all patients) and testing cohort (30% of all patients). To develop deep convolutional neural network (DCNN) models with high generalizability, 5-fold cross-validation and model ensemble were utilized. The area under the receiver operating characteristic curve, sensitivity and specificity were used to evaluate DCNN models on the testing cohort. DISCUSSION: This study will help us know whether deep learning can improve the performance of CT in diagnosing PM in gastric cancer.</t>
  </si>
  <si>
    <t>The correlation of deep learning-based CAD-RADS evaluated by coronary computed tomography angiography with breast arterial calcification on mammography</t>
  </si>
  <si>
    <t>This study sought to evaluate the association of breast arterial calcification (BAC) on breast screening mammography with the Coronary Artery Disease-Reporting and Data System (CAD-RADS) based on Deep Learning-coronary computed tomography angiography (CCTA). This prospective single institution study included asymptomatic women over 40 who underwent CCTA and breast cancer screening mammography between July 2018 and April 2019. CAD-RADS was scored based on Deep Learning (DL). Mammograms were assessed visually for the presence of BAC. A total of 213 patients were included in the analysis. In comparison to the low CAD-RADS (CAD-RADS &lt; 3) group, the high CAD-RADS (CAD-RADS ≥ 3) group, more often had a history of hypertension (P = 0.036), diabetes (P = 0.017), and chronic kidney disease (P = 0.006). They also had a significantly higher level of LDL-C (P = 0.024), while HDL-C was lower than in the low CAD-RADS group (P = 0.003). BAC was also significantly higher in the high CAD-RADS group (P = 0.002). In multivariate analysis, the presence of BAC [odd ratio (OR) 10.22, 95% CI 2.86-36.49, P &lt; 0.001] maintained a significant associations with CAD-RADS after adjustment by meaningful variable. The same tendency was also found after adjustment by all covariates. There was a significant correlation between the severities of CAD detected by DL based CCTA and BAC in women undergoing breast screening mammography. BAC may be used as an additional diagnostic tool to predict the severity of CAD in this population.</t>
  </si>
  <si>
    <t>Interpretation and visualization techniques for deep learning models in medical imaging</t>
  </si>
  <si>
    <t>Deep learning approaches to medical image analysis tasks have recently become popular; however, they suffer from a lack of human interpretability critical for both increasing understanding of the methods' operation and enabling clinical translation. This review summarizes currently available methods for performing image model interpretation and critically evaluates published uses of these methods for medical imaging applications. We divide model interpretation in two categories: (1) understanding model structure and function and (2) understanding model output. Understanding model structure and function summarizes ways to inspect the learned features of the model and how those features act on an image. We discuss techniques for reducing the dimensionality of high-dimensional data and cover autoencoders, both of which can also be leveraged for model interpretation. Understanding model output covers attribution-based methods, such as saliency maps and class activation maps, which produce heatmaps describing the importance of different parts of an image to the model prediction. We describe the mathematics behind these methods, give examples of their use in medical imaging, and compare them against one another. We summarize several published toolkits for model interpretation specific to medical imaging applications, cover limitations of current model interpretation methods, provide recommendations for deep learning practitioners looking to incorporate model interpretation into their task, and offer general discussion on the importance of model interpretation in medical imaging contexts.</t>
  </si>
  <si>
    <t>We describe Quanti.us , a crowd-based image-annotation platform that provides an accurate alternative to computational algorithms for difficult image-analysis problems. We used Quanti.us for a variety of medium-throughput image-analysis tasks and achieved 10-50× savings in analysis time compared with that required for the same task by a single expert annotator. We show equivalent deep learning performance for Quanti.us-derived and expert-derived annotations, which should allow scalable integration with tailored machine learning algorithms.</t>
  </si>
  <si>
    <t>A. J. Hughes, J. D. Mornin, S. K. Biswas, L. E. Beck, D. P. Bauer, A. Raj, S. Bianco and Z. J. Gartner</t>
  </si>
  <si>
    <t>10.1093/rap/rkaa005</t>
  </si>
  <si>
    <t>Applied machine learning and artificial intelligence in rheumatology</t>
  </si>
  <si>
    <t>Machine learning as a field of artificial intelligence is increasingly applied in medicine to assist patients and physicians. Growing datasets provide a sound basis with which to apply machine learning methods that learn from previous experiences. This review explains the basics of machine learning and its subfields of supervised learning, unsupervised learning, reinforcement learning and deep learning. We provide an overview of current machine learning applications in rheumatology, mainly supervised learning methods for e-diagnosis, disease detection and medical image analysis. In the future, machine learning will be likely to assist rheumatologists in predicting the course of the disease and identifying important disease factors. Even more interestingly, machine learning will probably be able to make treatment propositions and estimate their expected benefit (e.g. by reinforcement learning). Thus, in future, shared decision-making will not only include the patient's opinion and the rheumatologist's empirical and evidence-based experience, but it will also be influenced by machine-learned evidence.</t>
  </si>
  <si>
    <t>Rheumatol Adv Pract</t>
  </si>
  <si>
    <t>Learning Sub-Sampling and Signal Recovery With Applications in Ultrasound Imaging</t>
  </si>
  <si>
    <t>Limitations on bandwidth and power consumption impose strict bounds on data rates of diagnostic imaging systems. Consequently, the design of suitable (i.e. task- and data-aware) compression and reconstruction techniques has attracted considerable attention in recent years. Compressed sensing emerged as a popular framework for sparse signal reconstruction from a small set of compressed measurements. However, typical compressed sensing designs measure a (non)linearly weighted combination of all input signal elements, which poses practical challenges. These designs are also not necessarily task-optimal. In addition, real-time recovery is hampered by the iterative and time-consuming nature of sparse recovery algorithms. Recently, deep learning methods have shown promise for fast recovery from compressed measurements, but the design of adequate and practical sensing strategies remains a challenge. Here, we propose a deep learning solution termed Deep Probabilistic Sub-sampling (DPS), that enables joint optimization of a task-adaptive sub-sampling pattern and a subsequent neural task model in an end-to-end fashion. Once learned, the task-based sub-sampling patterns are fixed and straightforwardly implementable, e.g. by non-uniform analog-to-digital conversion, sparse array design, or slow-time ultrasound pulsing schemes. The effectiveness of our framework is demonstrated in-silico for sparse signal recovery from partial Fourier measurements, and in-vivo for both anatomical image and tissue-motion (Doppler) reconstruction from sub-sampled medical ultrasound imaging data.</t>
  </si>
  <si>
    <t>Artificial intelligence in dermato-oncology: a joint clinical and data science perspective</t>
  </si>
  <si>
    <t>E. Hulstaert and L. Hulstaert</t>
  </si>
  <si>
    <t>Int J Dermatol</t>
  </si>
  <si>
    <t>Deep Learning Enables Automatic Classification of Emphysema Pattern at CT</t>
  </si>
  <si>
    <t>BackgroundPattern of emphysema at chest CT, scored visually by using the Fleischner Society system, is associated with physiologic impairment and mortality risk.PurposeTo determine whether participant-level emphysema pattern could predict impairment and mortality when classified by using a deep learning method.Materials and MethodsThis retrospective analysis of Genetic Epidemiology of COPD (COPDGene) study participants enrolled between 2007 and 2011 included those with baseline CT, visual emphysema scores, and survival data through 2018. Participants were partitioned into nonoverlapping sets of 2407 for algorithm training, 100 for validation and parameter tuning, and 7143 for testing. A deep learning algorithm using convolutional neural network and long short-term memory architectures was trained to classify pattern of emphysema according to Fleischner criteria. Deep learning scores were compared with visual scores and clinical parameters including pulmonary function tests. Cox proportional hazard models were used to evaluate relationships between emphysema scores and survival. The algorithm was also tested by using CT and clinical data in 1962 participants enrolled in the Evaluation of COPD Longitudinally to Identify Predictive Surrogate End-points (ECLIPSE) study.ResultsA total of 7143 COPDGene participants (mean age ± standard deviation, 59.8 years ± 8.9; 3734 men and 3409 women) were evaluated. Deep learning emphysema classifications were associated with impaired pulmonary function tests, 6-minute walk distance, and St George's Respiratory Questionnaire at univariate analysis (P &lt; .001 for each). Testing in the ECLIPSE cohort showed similar associations (P &lt; .001). In the COPDGene test cohort, deep learning emphysema classification improved the fit of linear mixed models in the prediction of these clinical parameters compared with visual scoring (P &lt; .001). Compared with participants without emphysema, mortality was greater in participants classified by the deep learning algorithm as having any grade of emphysema (adjusted hazard ratios were 1.5, 1.7, 2.9, 5.3, and 9.7, respectively, for trace, mild, moderate, confluent, and advanced destructive emphysema; P &lt; .05).ConclusionDeep learning automation of the Fleischner grade of emphysema at chest CT is associated with clinical measures of pulmonary insufficiency and the risk of mortality.© RSNA, 2019Online supplemental material is available for this article.</t>
  </si>
  <si>
    <t>Deep Learning to Speed up the Development of Structure-Property Relations For Hexagonal Boron Nitride and Graphene</t>
  </si>
  <si>
    <t>Structure-property maps play a key role in accelerated materials discovery. The current norm for developing these maps includes computationally expensive physics-based simulations. Here, the capabilities of deep learning agents are explored such as convolutional neural networks (CNNs) and multilayer perceptrons (MLPs) to predict structure-property relations and reduce dependence on simulations. This study contains simulated hexagonal boron nitride (h-BN) microstructures damaged by various levels of radiation and temperature, with the objective to predict their residual strengths from the final atomic positions. By developing low dimensional physical descriptors to statistically describe the defects, these results show that purpose-specific microstructure representation can help in achieving a good prediction accuracy at low computational cost. Furthermore, the adaptability of the trained deep learning agents is explored to predict structure-property maps of other 2D materials using transfer learning. It is shown that in order to achieve good predictions accuracy (≈95% R(2) ), an agent that is training for the first time (learning from scratch) requires 23-45% of simulated data, whereas an agent adapting to a different material (transfer learning) requires only about 10% or less. This suggests that transfer learning is a potential game changer in material discovery and characterization approaches.</t>
  </si>
  <si>
    <t>Small</t>
  </si>
  <si>
    <t>The advent of AI and deep learning in diagnostics and imaging: Machine learning systems have potential to improve diagnostics in healthcare and imaging systems in research</t>
  </si>
  <si>
    <t>Machine learning systems are increasingly applied in health care and the life sciences with great potential for cancer diagnostics and optical microscopy.</t>
  </si>
  <si>
    <t>P. Hunter</t>
  </si>
  <si>
    <t>EMBO Rep</t>
  </si>
  <si>
    <t>Fully automatic liver attenuation estimation combing CNN segmentation and morphological operations</t>
  </si>
  <si>
    <t>PURPOSE: Manually tracing regions of interest (ROIs) within the liver is the de facto standard method for measuring liver attenuation on computed tomography (CT) in diagnosing nonalcoholic fatty liver disease (NAFLD). However, manual tracing is resource intensive. To address these limitations and to expand the availability of a quantitative CT measure of hepatic steatosis, we propose the automatic liver attenuation ROI-based measurement (ALARM) method for automated liver attenuation estimation. METHODS: The ALARM method consists of two major stages: (a) deep convolutional neural network (DCNN)-based liver segmentation and (b) automated ROI extraction. First, liver segmentation was achieved using our previously developed SS-Net. Then, a single central ROI (center-ROI) and three circles ROI (periphery-ROI) were computed based on liver segmentation and morphological operations. The ALARM method is available as an open source Docker container (https://github.com/MASILab/ALARM). RESULTS: Two hundred and forty-six subjects with 738 abdomen CT scans from the African American-Diabetes Heart Study (AA-DHS) were used for external validation (testing), independent from the training and validation cohort (100 clinically acquired CT abdominal scans). From the correlation analyses, the proposed ALARM method achieved Pearson correlations = 0.94 with manual estimation on liver attenuation estimations. When evaluating the ALARM method for detection of nonalcoholic fatty liver disease (NAFLD) using the traditional cut point of &lt; 40 HU, the center-ROI achieved substantial agreements (Kappa = 0.79) with manual estimation, while the periphery-ROI method achieved excellent agreement (Kappa = 0.88) with manual estimation. The automated ALARM method had reduced variability compared to manual measurements as indicated by a smaller standard deviation. CONCLUSIONS: We propose a fully automated liver attenuation estimation method termed ALARM by combining DCNN and morphological operations, which achieved excellent agreement with manual estimation for fatty liver detection. The entire pipeline is implemented as a Docker container which enables users to achieve liver attenuation estimation in five minutes per CT exam.</t>
  </si>
  <si>
    <t>3D whole brain segmentation using spatially localized atlas network tiles</t>
  </si>
  <si>
    <t>Detailed whole brain segmentation is an essential quantitative technique in medical image analysis, which provides a non-invasive way of measuring brain regions from a clinical acquired structural magnetic resonance imaging (MRI). Recently, deep convolution neural network (CNN) has been applied to whole brain segmentation. However, restricted by current GPU memory, 2D based methods, downsampling based 3D CNN methods, and patch-based high-resolution 3D CNN methods have been the de facto standard solutions. 3D patch-based high resolution methods typically yield superior performance among CNN approaches on detailed whole brain segmentation (&gt;100 labels), however, whose performance are still commonly inferior compared with state-of-the-art multi-atlas segmentation methods (MAS) due to the following challenges: (1) a single network is typically used to learn both spatial and contextual information for the patches, (2) limited manually traced whole brain volumes are available (typically less than 50) for training a network. In this work, we propose the spatially localized atlas network tiles (SLANT) method to distribute multiple independent 3D fully convolutional networks (FCN) for high-resolution whole brain segmentation. To address the first challenge, multiple spatially distributed networks were used in the SLANT method, in which each network learned contextual information for a fixed spatial location. To address the second challenge, auxiliary labels on 5111 initially unlabeled scans were created by multi-atlas segmentation for training. Since the method integrated multiple traditional medical image processing methods with deep learning, we developed a containerized pipeline to deploy the end-to-end solution. From the results, the proposed method achieved superior performance compared with multi-atlas segmentation methods, while reducing the computational time from &gt;30 h to 15 min. The method has been made available in open source (https://github.com/MASILab/SLANTbrainSeg).</t>
  </si>
  <si>
    <t>Y. Huo, Z. Xu, Y. Xiong, K. Aboud, P. Parvathaneni, S. Bao, C. Bermudez, S. M. Resnick, L. E. Cutting and B. A. Landman</t>
  </si>
  <si>
    <t>Deep Learning Localization of Pneumonia: 2019 Coronavirus (COVID-19) Outbreak</t>
  </si>
  <si>
    <t>B. Hurt, S. Kligerman and A. Hsiao</t>
  </si>
  <si>
    <t>10.1002/path.5388</t>
  </si>
  <si>
    <t>Software-assisted decision support in digital histopathology</t>
  </si>
  <si>
    <t>Tissue diagnostics is the world of pathologists, and it is increasingly becoming digitalised to leverage the enormous potential of personalised medicine and of stratifying patients, enabling the administration of modern therapies. Therefore, the daily task for pathologists is changing drastically and will become increasingly demanding in order to take advantage of the development of modern computer technologies. The role of pathologist has rapidly evolved from exclusively describing the morphology and phenomenology of a disease, to becoming a gatekeeper for novel and most effective treatment options. This is possible based on the retrieval and management of a wide range of complex information from tissue or a group of cells and associated meta-data. Intelligent and self-learning software solutions can support and guide pathologists to score clinically relevant decisions based on the accurate and robust quantification of multiple target molecules or surrogate biomarker as companion or complimentary diagnostics along with relevant spatial relationships and contextual information from digital H&amp;E and multiplexed images. With the availability of multiplex staining techniques on a single slide, high-resolution image analysis tools, and high-end computer hardware, machine and deep learning solutions now offer diagnostic rulesets and algorithms that still require clinical validation in well-designed studies. Before entering the clinical practice, the 'human factor' pathologist needs to develop trust in the output coming from the 'digital black box of computational pathology', including image analysis solutions and artificial intelligence algorithms to support critical clinical decisions which otherwise would not be available. © 2020 Pathological Society of Great Britain and Ireland. Published by John Wiley &amp; Sons, Ltd.</t>
  </si>
  <si>
    <t>Machine-learning classification of texture features of portable chest X-ray accurately classifies COVID-19 lung infection</t>
  </si>
  <si>
    <t>BACKGROUND: The large volume and suboptimal image quality of portable chest X-rays (CXRs) as a result of the COVID-19 pandemic could post significant challenges for radiologists and frontline physicians. Deep-learning artificial intelligent (AI) methods have the potential to help improve diagnostic efficiency and accuracy for reading portable CXRs. PURPOSE: The study aimed at developing an AI imaging analysis tool to classify COVID-19 lung infection based on portable CXRs. MATERIALS AND METHODS: Public datasets of COVID-19 (N = 130), bacterial pneumonia (N = 145), non-COVID-19 viral pneumonia (N = 145), and normal (N = 138) CXRs were analyzed. Texture and morphological features were extracted. Five supervised machine-learning AI algorithms were used to classify COVID-19 from other conditions. Two-class and multi-class classification were performed. Statistical analysis was done using unpaired two-tailed t tests with unequal variance between groups. Performance of classification models used the receiver-operating characteristic (ROC) curve analysis. RESULTS: For the two-class classification, the accuracy, sensitivity and specificity were, respectively, 100%, 100%, and 100% for COVID-19 vs normal; 96.34%, 95.35% and 97.44% for COVID-19 vs bacterial pneumonia; and 97.56%, 97.44% and 97.67% for COVID-19 vs non-COVID-19 viral pneumonia. For the multi-class classification, the combined accuracy and AUC were 79.52% and 0.87, respectively. CONCLUSION: AI classification of texture and morphological features of portable CXRs accurately distinguishes COVID-19 lung infection in patients in multi-class datasets. Deep-learning methods have the potential to improve diagnostic efficiency and accuracy for portable CXRs.</t>
  </si>
  <si>
    <t>Differential Data Augmentation Techniques for Medical Imaging Classification Tasks</t>
  </si>
  <si>
    <t>Data augmentation is an essential part of training discriminative Convolutional Neural Networks (CNNs). A variety of augmentation strategies, including horizontal flips, random crops, and principal component analysis (PCA), have been proposed and shown to capture important characteristics of natural images. However, while data augmentation has been commonly used for deep learning in medical imaging, little work has been done to determine which augmentation strategies best capture medical image statistics, leading to more discriminative models. This work compares augmentation strategies and shows that the extent to which an augmented training set retains properties of the original medical images determines model performance. Specifically, augmentation strategies such as flips and gaussian filters lead to validation accuracies of 84% and 88%, respectively. On the other hand, a less effective strategy such as adding noise leads to a significantly worse validation accuracy of 66%. Finally, we show that the augmentation affects mass generation.</t>
  </si>
  <si>
    <t>Lung and Pancreatic Tumor Characterization in the Deep Learning Era: Novel Supervised and Unsupervised Learning Approaches</t>
  </si>
  <si>
    <t>Risk stratification (characterization) of tumors from radiology images can be more accurate and faster with computer-aided diagnosis (CAD) tools. Tumor characterization through such tools can also enable non-invasive cancer staging, prognosis, and foster personalized treatment planning as a part of precision medicine. In this papet, we propose both supervised and unsupervised machine learning strategies to improve tumor characterization. Our first approach is based on supervised learning for which we demonstrate significant gains with deep learning algorithms, particularly by utilizing a 3D convolutional neural network and transfer learning. Motivated by the radiologists' interpretations of the scans, we then show how to incorporate task-dependent feature representations into a CAD system via a graph-regularized sparse multi-task learning framework. In the second approach, we explore an unsupervised learning algorithm to address the limited availability of labeled training data, a common problem in medical imaging applications. Inspired by learning from label proportion approaches in computer vision, we propose to use proportion-support vector machine for characterizing tumors. We also seek the answer to the fundamental question about the goodness of deep features for unsupervised tumor classification. We evaluate our proposed supervised and unsupervised learning algorithms on two different tumor diagnosis challenges: lung and pancreas with 1018 CT and 171 MRI scans, respectively, and obtain the state-of-the-art sensitivity and specificity results in both problems.</t>
  </si>
  <si>
    <t>S. Hussein, P. Kandel, C. W. Bolan, M. B. Wallace and U. Bagci</t>
  </si>
  <si>
    <t>Automated classification of multiphoton microscopy images of ovarian tissue using deep learning</t>
  </si>
  <si>
    <t>Histopathological image analysis of stained tissue slides is routinely used in tumor detection and classification. However, diagnosis requires a highly trained pathologist and can thus be time-consuming, labor-intensive, and potentially risk bias. Here, we demonstrate a potential complementary approach for diagnosis. We show that multiphoton microscopy images from unstained, reproductive tissues can be robustly classified using deep learning techniques. We fine-train four pretrained convolutional neural networks using over 200 murine tissue images based on combined second-harmonic generation and two-photon excitation fluorescence contrast, to classify the tissues either as healthy or associated with high-grade serous carcinoma with over 95% sensitivity and 97% specificity. Our approach shows promise for applications involving automated disease diagnosis. It could also be readily applied to other tissues, diseases, and related classification problems.</t>
  </si>
  <si>
    <t>Digital mammographic tumor classification using transfer learning from deep convolutional neural networks</t>
  </si>
  <si>
    <t>Convolutional neural networks (CNNs) show potential for computer-aided diagnosis (CADx) by learning features directly from the image data instead of using analytically extracted features. However, CNNs are difficult to train from scratch for medical images due to small sample sizes and variations in tumor presentations. Instead, transfer learning can be used to extract tumor information from medical images via CNNs originally pretrained for nonmedical tasks, alleviating the need for large datasets. Our database includes 219 breast lesions (607 full-field digital mammographic images). We compared support vector machine classifiers based on the CNN-extracted image features and our prior computer-extracted tumor features in the task of distinguishing between benign and malignant breast lesions. Five-fold cross validation (by lesion) was conducted with the area under the receiver operating characteristic (ROC) curve as the performance metric. Results show that classifiers based on CNN-extracted features (with transfer learning) perform comparably to those using analytically extracted features [area under the ROC curve [Formula: see text]]. Further, the performance of ensemble classifiers based on both types was significantly better than that of either classifier type alone ([Formula: see text] versus 0.81, [Formula: see text]). We conclude that transfer learning can improve current CADx methods while also providing standalone classifiers without large datasets, facilitating machine-learning methods in radiomics and precision medicine.</t>
  </si>
  <si>
    <t>B. Q. Huynh, H. Li and M. L. Giger</t>
  </si>
  <si>
    <t>Generation of PET Attenuation Map for Whole-Body Time-of-Flight (18)F-FDG PET/MRI Using a Deep Neural Network Trained with Simultaneously Reconstructed Activity and Attenuation Maps</t>
  </si>
  <si>
    <t>We propose a new deep learning-based approach to provide more accurate whole-body PET/MRI attenuation correction than is possible with the Dixon-based 4-segment method. We use activity and attenuation maps estimated using the maximum-likelihood reconstruction of activity and attenuation (MLAA) algorithm as inputs to a convolutional neural network (CNN) to learn a CT-derived attenuation map. Methods: The whole-body (18)F-FDG PET/CT scan data of 100 cancer patients (38 men and 62 women; age, 57.3 ± 14.1 y) were retrospectively used for training and testing the CNN. A modified U-net was trained to predict a CT-derived μ-map (μ-CT) from the MLAA-generated activity distribution (λ-MLAA) and μ-map (μ-MLAA). We used 1.3 million patches derived from 60 patients' data for training the CNN, data of 20 others were used as a validation set to prevent overfitting, and the data of the other 20 were used as a test set for the CNN performance analysis. The attenuation maps generated using the proposed method (μ-CNN), μ-MLAA, and 4-segment method (μ-segment) were compared with the μ-CT, a ground truth. We also compared the voxelwise correlation between the activity images reconstructed using ordered-subset expectation maximization with the μ-maps, and the SUVs of primary and metastatic bone lesions obtained by drawing regions of interest on the activity images. Results: The CNN generates less noisy attenuation maps and achieves better bone identification than MLAA. The average Dice similarity coefficient for bone regions between μ-CNN and μ-CT was 0.77, which was significantly higher than that between μ-MLAA and μ-CT (0.36). Also, the CNN result showed the best pixel-by-pixel correlation with the CT-based results and remarkably reduced differences in activity maps in comparison to CT-based attenuation correction. Conclusion: The proposed deep neural network produced a more reliable attenuation map for 511-keV photons than the 4-segment method currently used in whole-body PET/MRI studies.</t>
  </si>
  <si>
    <t>Improving the Accuracy of Simultaneously Reconstructed Activity and Attenuation Maps Using Deep Learning</t>
  </si>
  <si>
    <t>Simultaneous reconstruction of activity and attenuation using the maximum-likelihood reconstruction of activity and attenuation (MLAA) augmented by time-of-flight information is a promising method for PET attenuation correction. However, it still suffers from several problems, including crosstalk artifacts, slow convergence speed, and noisy attenuation maps (μ-maps). In this work, we developed deep convolutional neural networks (CNNs) to overcome these MLAA limitations, and we verified their feasibility using a clinical brain PET dataset. Methods: We applied the proposed method to one of the most challenging PET cases for simultaneous image reconstruction ((18)F-fluorinated-N-3-fluoropropyl-2-β-carboxymethoxy-3-β-(4-iodophenyl)nortropane [(18)F-FP-CIT] PET scans with highly specific binding to striatum of the brain). Three different CNN architectures (convolutional autoencoder [CAE], Unet, and Hybrid of CAE) were designed and trained to learn a CT-derived μ-map (μ-CT) from the MLAA-generated activity distribution and μ-map (μ-MLAA). The PET/CT data of 40 patients with suspected Parkinson disease were used for 5-fold cross-validation. For the training of CNNs, 800,000 transverse PET and CT slices augmented from 32 patient datasets were used. The similarity to μ-CT of the CNN-generated μ-maps (μ-CAE, μ-Unet, and μ-Hybrid) and μ-MLAA was compared using Dice similarity coefficients. In addition, we compared the activity concentration of specific (striatum) and nonspecific (cerebellum and occipital cortex) binding regions and the binding ratios in the striatum in the PET activity images reconstructed using those μ-maps. Results: The CNNs generated less noisy and more uniform μ-maps than the original μ-MLAA. Moreover, the air cavities and bones were better resolved in the proposed CNN outputs. In addition, the proposed deep learning approach was useful for mitigating the crosstalk problem in the MLAA reconstruction. The Hybrid network of CAE and Unet yielded the most similar μ-maps to μ-CT (Dice similarity coefficient in the whole head = 0.79 in the bone and 0.72 in air cavities), resulting in only about a 5% error in activity and binding ratio quantification. Conclusion: The proposed deep learning approach is promising for accurate attenuation correction of activity distribution in time-of-flight PET systems.</t>
  </si>
  <si>
    <t>D. Hwang, K. Y. Kim, S. K. Kang, S. Seo, J. C. Paeng, D. S. Lee and J. S. Lee</t>
  </si>
  <si>
    <t>Artificial intelligence-based decision-making for age-related macular degeneration</t>
  </si>
  <si>
    <t>Artificial intelligence (AI) based on convolutional neural networks (CNNs) has a great potential to enhance medical workflow and improve health care quality. Of particular interest is practical implementation of such AI-based software as a cloud-based tool aimed for telemedicine, the practice of providing medical care from a distance using electronic interfaces. Methods: In this study, we used a dataset of labeled 35,900 optical coherence tomography (OCT) images obtained from age-related macular degeneration (AMD) patients and used them to train three types of CNNs to perform AMD diagnosis. Results: Here, we present an AI- and cloud-based telemedicine interaction tool for diagnosis and proposed treatment of AMD. Through deep learning process based on the analysis of preprocessed optical coherence tomography (OCT) imaging data, our AI-based system achieved the same image discrimination rate as that of retinal specialists in our hospital. The AI platform's detection accuracy was generally higher than 90% and was significantly superior (p &lt; 0.001) to that of medical students (69.4% and 68.9%) and equal (p = 0.99) to that of retinal specialists (92.73% and 91.90%). Furthermore, it provided appropriate treatment recommendations comparable to those of retinal specialists. Conclusions: We therefore developed a website for realistic cloud computing based on this AI platform, available at https://www.ym.edu.tw/~AI-OCT/. Patients can upload their OCT images to the website to verify whether they have AMD and require treatment. Using an AI-based cloud service represents a real solution for medical imaging diagnostics and telemedicine.</t>
  </si>
  <si>
    <t>D. K. Hwang, C. C. Hsu, K. J. Chang, D. Chao, C. H. Sun, Y. C. Jheng, A. A. Yarmishyn, J. C. Wu, C. Y. Tsai, M. L. Wang, C. H. Peng, K. H. Chien, C. L. Kao, T. C. Lin, L. C. Woung, S. J. Chen and S. H. Chiou</t>
  </si>
  <si>
    <t>Theranostics</t>
  </si>
  <si>
    <t>Deep learning algorithm for surveillance of pneumothorax after lung biopsy: a multicenter diagnostic cohort study</t>
  </si>
  <si>
    <t>OBJECTIVES: Pneumothorax is the most common and potentially life-threatening complication arising from percutaneous lung biopsy. We evaluated the performance of a deep learning algorithm for detection of post-biopsy pneumothorax in chest radiographs (CRs), in consecutive cohorts reflecting actual clinical situation. METHODS: We retrospectively included post-biopsy CRs of 1757 consecutive patients (1055 men, 702 women; mean age of 65.1 years) undergoing percutaneous lung biopsies from three institutions. A commercially available deep learning algorithm analyzed each CR to identify pneumothorax. We compared the performance of the algorithm with that of radiology reports made in the actual clinical practice. We also conducted a reader study, in which the performance of the algorithm was compared with those of four radiologists. Performances of the algorithm and radiologists were evaluated by area under receiver operating characteristic curves (AUROCs), sensitivity, and specificity, with reference standards defined by thoracic radiologists. RESULTS: Pneumothorax occurred in 17.5% (308/1757) of cases, out of which 16.6% (51/308) required catheter drainage. The AUROC, sensitivity, and specificity of the algorithm were 0.937, 70.5%, and 97.7%, respectively, for identification of pneumothorax. The algorithm exhibited higher sensitivity (70.2% vs. 55.5%, p &lt; 0.001) and lower specificity (97.7% vs. 99.8%, p &lt; 0.001), compared with those of radiology reports. In the reader study, the algorithm exhibited lower sensitivity (77.3% vs. 81.8-97.7%) and higher specificity (97.6% vs. 81.7-96.0%) than the radiologists. CONCLUSION: The deep learning algorithm appropriately identified pneumothorax in post-biopsy CRs in consecutive diagnostic cohorts. It may assist in accurate and timely diagnosis of post-biopsy pneumothorax in clinical practice. KEY POINTS: • A deep learning algorithm can identify chest radiographs with post-biopsy pneumothorax in multicenter consecutive cohorts reflecting actual clinical situation. • The deep learning algorithm has a potential role as a surveillance tool for accurate and timely diagnosis of post-biopsy pneumothorax.</t>
  </si>
  <si>
    <t>Implementation of a Deep Learning-Based Computer-Aided Detection System for the Interpretation of Chest Radiographs in Patients Suspected for COVID-19</t>
  </si>
  <si>
    <t>OBJECTIVE: To describe the experience of implementing a deep learning-based computer-aided detection (CAD) system for the interpretation of chest X-ray radiographs (CXR) of suspected coronavirus disease (COVID-19) patients and investigate the diagnostic performance of CXR interpretation with CAD assistance. MATERIALS AND METHODS: In this single-center retrospective study, initial CXR of patients with suspected or confirmed COVID-19 were investigated. A commercialized deep learning-based CAD system that can identify various abnormalities on CXR was implemented for the interpretation of CXR in daily practice. The diagnostic performance of radiologists with CAD assistance were evaluated based on two different reference standards: 1) real-time reverse transcriptase-polymerase chain reaction (rRT-PCR) results for COVID-19 and 2) pulmonary abnormality suggesting pneumonia on chest CT. The turnaround times (TATs) of radiology reports for CXR and rRT-PCR results were also evaluated. RESULTS: Among 332 patients (male:female, 173:159; mean age, 57 years) with available rRT-PCR results, 16 patients (4.8%) were diagnosed with COVID-19. Using CXR, radiologists with CAD assistance identified rRT-PCR positive COVID-19 patients with sensitivity and specificity of 68.8% and 66.7%, respectively. Among 119 patients (male:female, 75:44; mean age, 69 years) with available chest CTs, radiologists assisted by CAD reported pneumonia on CXR with a sensitivity of 81.5% and a specificity of 72.3%. The TATs of CXR reports were significantly shorter than those of rRT-PCR results (median 51 vs. 507 minutes; p &lt; 0.001). CONCLUSION: Radiologists with CAD assistance could identify patients with rRT-PCR-positive COVID-19 or pneumonia on CXR with a reasonably acceptable performance. In patients suspected with COVID-19, CXR had much faster TATs than rRT-PCRs.</t>
  </si>
  <si>
    <t>Deep Learning for Chest Radiograph Diagnosis in the Emergency Department</t>
  </si>
  <si>
    <t>BackgroundThe performance of a deep learning (DL) algorithm should be validated in actual clinical situations, before its clinical implementation.PurposeTo evaluate the performance of a DL algorithm for identifying chest radiographs with clinically relevant abnormalities in the emergency department (ED) setting.Materials and MethodsThis single-center retrospective study included consecutive patients who visited the ED and underwent initial chest radiography between January 1 and March 31, 2017. Chest radiographs were analyzed with a commercially available DL algorithm. The performance of the algorithm was evaluated by determining the area under the receiver operating characteristic curve (AUC), sensitivity, and specificity at predefined operating cutoffs (high-sensitivity and high-specificity cutoffs). The sensitivities and specificities of the algorithm were compared with those of the on-call radiology residents who interpreted the chest radiographs in the actual practice by using McNemar tests. If there were discordant findings between the algorithm and resident, the residents reinterpreted the chest radiographs by using the algorithm's output.ResultsA total of 1135 patients (mean age, 53 years ± 18; 582 men) were evaluated. In the identification of abnormal chest radiographs, the algorithm showed an AUC of 0.95 (95% confidence interval [CI]: 0.93, 0.96), a sensitivity of 88.7% (227 of 256 radiographs; 95% CI: 84.1%, 92.3%), and a specificity of 69.6% (612 of 879 radiographs; 95% CI: 66.5%, 72.7%) at the high-sensitivity cutoff and a sensitivity of 81.6% (209 of 256 radiographs; 95% CI: 76.3%, 86.2%) and specificity of 90.3% (794 of 879 radiographs; 95% CI: 88.2%, 92.2%) at the high-specificity cutoff. Radiology residents showed lower sensitivity (65.6% [168 of 256 radiographs; 95% CI: 59.5%, 71.4%], P &lt; .001) and higher specificity (98.1% [862 of 879 radiographs; 95% CI: 96.9%, 98.9%], P &lt; .001) compared with the algorithm. After reinterpretation of chest radiographs with use of the algorithm's outputs, the sensitivity of the residents improved (73.4% [188 of 256 radiographs; 95% CI: 68.0%, 78.8%], P = .003), whereas specificity was reduced (94.3% [829 of 879 radiographs; 95% CI: 92.8%, 95.8%], P &lt; .001).ConclusionA deep learning algorithm used with emergency department chest radiographs showed diagnostic performance for identifying clinically relevant abnormalities and helped improve the sensitivity of radiology residents' evaluation.Published under a CC BY 4.0 license.Online supplemental material is available for this article.See also the editorial by Munera and Infante in this issue.</t>
  </si>
  <si>
    <t>10.3348/kjr.2019.0821</t>
  </si>
  <si>
    <t>Clinical Implementation of Deep Learning in Thoracic Radiology: Potential Applications and Challenges</t>
  </si>
  <si>
    <t>Chest X-ray radiography and computed tomography, the two mainstay modalities in thoracic radiology, are under active investigation with deep learning technology, which has shown promising performance in various tasks, including detection, classification, segmentation, and image synthesis, outperforming conventional methods and suggesting its potential for clinical implementation. However, the implementation of deep learning in daily clinical practice is in its infancy and facing several challenges, such as its limited ability to explain the output results, uncertain benefits regarding patient outcomes, and incomplete integration in daily workflow. In this review article, we will introduce the potential clinical applications of deep learning technology in thoracic radiology and discuss several challenges for its implementation in daily clinical practice.</t>
  </si>
  <si>
    <t>Development and Validation of a Deep Learning-Based Automated Detection Algorithm for Major Thoracic Diseases on Chest Radiographs</t>
  </si>
  <si>
    <t>IMPORTANCE: Interpretation of chest radiographs is a challenging task prone to errors, requiring expert readers. An automated system that can accurately classify chest radiographs may help streamline the clinical workflow. OBJECTIVES: To develop a deep learning-based algorithm that can classify normal and abnormal results from chest radiographs with major thoracic diseases including pulmonary malignant neoplasm, active tuberculosis, pneumonia, and pneumothorax and to validate the algorithm's performance using independent data sets. DESIGN, SETTING, AND PARTICIPANTS: This diagnostic study developed a deep learning-based algorithm using single-center data collected between November 1, 2016, and January 31, 2017. The algorithm was externally validated with multicenter data collected between May 1 and July 31, 2018. A total of 54 221 chest radiographs with normal findings from 47 917 individuals (21 556 men and 26 361 women; mean [SD] age, 51 [16] years) and 35 613 chest radiographs with abnormal findings from 14 102 individuals (8373 men and 5729 women; mean [SD] age, 62 [15] years) were used to develop the algorithm. A total of 486 chest radiographs with normal results and 529 with abnormal results (1 from each participant; 628 men and 387 women; mean [SD] age, 53 [18] years) from 5 institutions were used for external validation. Fifteen physicians, including nonradiology physicians, board-certified radiologists, and thoracic radiologists, participated in observer performance testing. Data were analyzed in August 2018. EXPOSURES: Deep learning-based algorithm. MAIN OUTCOMES AND MEASURES: Image-wise classification performances measured by area under the receiver operating characteristic curve; lesion-wise localization performances measured by area under the alternative free-response receiver operating characteristic curve. RESULTS: The algorithm demonstrated a median (range) area under the curve of 0.979 (0.973-1.000) for image-wise classification and 0.972 (0.923-0.985) for lesion-wise localization; the algorithm demonstrated significantly higher performance than all 3 physician groups in both image-wise classification (0.983 vs 0.814-0.932; all P &lt; .005) and lesion-wise localization (0.985 vs 0.781-0.907; all P &lt; .001). Significant improvements in both image-wise classification (0.814-0.932 to 0.904-0.958; all P &lt; .005) and lesion-wise localization (0.781-0.907 to 0.873-0.938; all P &lt; .001) were observed in all 3 physician groups with assistance of the algorithm. CONCLUSIONS AND RELEVANCE: The algorithm consistently outperformed physicians, including thoracic radiologists, in the discrimination of chest radiographs with major thoracic diseases, demonstrating its potential to improve the quality and efficiency of clinical practice.</t>
  </si>
  <si>
    <t>E. J. Hwang, S. Park, K. N. Jin, J. I. Kim, S. Y. Choi, J. H. Lee, J. M. Goo, J. Aum, J. J. Yim, J. G. Cohen, G. R. Ferretti and C. M. Park</t>
  </si>
  <si>
    <t>Development and Validation of a Deep Learning-based Automatic Detection Algorithm for Active Pulmonary Tuberculosis on Chest Radiographs</t>
  </si>
  <si>
    <t>BACKGROUND: Detection of active pulmonary tuberculosis on chest radiographs (CRs) is critical for the diagnosis and screening of tuberculosis. An automated system may help streamline the tuberculosis screening process and improve diagnostic performance. METHODS: We developed a deep learning-based automatic detection (DLAD) algorithm using 54c221 normal CRs and 6768 CRs with active pulmonary tuberculosis that were labeled and annotated by 13 board-certified radiologists. The performance of DLAD was validated using 6 external multicenter, multinational datasets. To compare the performances of DLAD with physicians, an observer performance test was conducted by 15 physicians including nonradiology physicians, board-certified radiologists, and thoracic radiologists. Image-wise classification and lesion-wise localization performances were measured using area under the receiver operating characteristic (ROC) curves and area under the alternative free-response ROC curves, respectively. Sensitivities and specificities of DLAD were calculated using 2 cutoffs (high sensitivity [98%] and high specificity [98%]) obtained through in-house validation. RESULTS: DLAD demonstrated classification performance of 0.977-1.000 and localization performance of 0.973-1.000. Sensitivities and specificities for classification were 94.3%-100% and 91.1%-100% using the high-sensitivity cutoff and 84.1%-99.0% and 99.1%-100% using the high-specificity cutoff. DLAD showed significantly higher performance in both classification (0.993 vs 0.746-0.971) and localization (0.993 vs 0.664-0.925) compared to all groups of physicians. CONCLUSIONS: Our DLAD demonstrated excellent and consistent performance in the detection of active pulmonary tuberculosis on CR, outperforming physicians, including thoracic radiologists.</t>
  </si>
  <si>
    <t>Clin Infect Dis</t>
  </si>
  <si>
    <t>Automated identification of cephalometric landmarks: Part 2- Might it be better than human?</t>
  </si>
  <si>
    <t>OBJECTIVES: To compare detection patterns of 80 cephalometric landmarks identified by an automated identification system (AI) based on a recently proposed deep-learning method, the You-Only-Look-Once version 3 (YOLOv3), with those identified by human examiners. MATERIALS AND METHODS: The YOLOv3 algorithm was implemented with custom modifications and trained on 1028 cephalograms. A total of 80 landmarks comprising two vertical reference points and 46 hard tissue and 32 soft tissue landmarks were identified. On the 283 test images, the same 80 landmarks were identified by AI and human examiners twice. Statistical analyses were conducted to detect whether any significant differences between AI and human examiners existed. Influence of image factors on those differences was also investigated. RESULTS: Upon repeated trials, AI always detected identical positions on each landmark, while the human intraexaminer variability of repeated manual detections demonstrated a detection error of 0.97 ± 1.03 mm. The mean detection error between AI and human was 1.46 ± 2.97 mm. The mean difference between human examiners was 1.50 ± 1.48 mm. In general, comparisons in the detection errors between AI and human examiners were less than 0.9 mm, which did not seem to be clinically significant. CONCLUSIONS: AI showed as accurate an identification of cephalometric landmarks as did human examiners. AI might be a viable option for repeatedly identifying multiple cephalometric landmarks.</t>
  </si>
  <si>
    <t>Angle Orthod</t>
  </si>
  <si>
    <t>An automated detection system for colonoscopy images using a dual encoder-decoder model</t>
  </si>
  <si>
    <t>Conventional computer-aided detection systems (CADs) for colonoscopic images utilize shape, texture, or temporal information to detect polyps, so they have limited sensitivity and specificity. This study proposes a method to extract possible polyp features automatically using convolutional neural networks (CNNs). The objective of this work aims at building up a light-weight dual encoder-decoder model structure for polyp detection in colonoscopy Images. This proposed model, though with a relatively shallow structure, is expected to have the capability of a similar performance to the methods with much deeper structures. The proposed CAD model consists of two sequential encoder-decoder networks that consist of several CNN layers and full connection layers. The front end of the model is a hetero-associator (also known as hetero-encoder) that uses backpropagation learning to generate a set of reliably corrupted labeled images with a certain degree of similarity to a ground truth image, which eliminates the need for a large amount of training data that is usually required for medical images tasks. This dual CNN architecture generates a set of noisy images that are similar to the labeled data to train its counterpart, the auto-associator (also known as auto-encoder), in order to increase the successor's discriminative power in classification. The auto-encoder is also equipped with CNNs to simultaneously capture the features of the labeled images that contain noise. The proposed method uses features that are learned from open medical datasets and the dataset of Zhejiang University (ZJU), which contains around one thousand images. The performance of the proposed architecture is compared with a state-of-the-art detection model in terms of the metrics of the Jaccard index, the DICE similarity score, and two other geometric measures. The improvements in the performance of the proposed model are attributed to the effective reduction in false positives in the auto-encoder and the generation of noisy candidate images by the hetero-encoder.</t>
  </si>
  <si>
    <t>Deep learning for undersampled MRI reconstruction</t>
  </si>
  <si>
    <t>This paper presents a deep learning method for faster magnetic resonance imaging (MRI) by reducing k-space data with sub-Nyquist sampling strategies and provides a rationale for why the proposed approach works well. Uniform subsampling is used in the time-consuming phase-encoding direction to capture high-resolution image information, while permitting the image-folding problem dictated by the Poisson summation formula. To deal with the localization uncertainty due to image folding, a small number of low-frequency k-space data are added. Training the deep learning net involves input and output images that are pairs of the Fourier transforms of the subsampled and fully sampled k-space data. Our experiments show the remarkable performance of the proposed method; only 29[Formula: see text] of the k-space data can generate images of high quality as effectively as standard MRI reconstruction with the fully sampled data.</t>
  </si>
  <si>
    <t>C. M. Hyun, H. P. Kim, S. M. Lee, S. Lee and J. K. Seo</t>
  </si>
  <si>
    <t>Detecting and Locating Gastrointestinal Anomalies Using Deep Learning and Iterative Cluster Unification</t>
  </si>
  <si>
    <t>This paper proposes a novel methodology for automatic detection and localization of gastrointestinal (GI) anomalies in endoscopic video frame sequences. Training is performed with weakly annotated images, using only image-level, semantic labels instead of detailed, and pixel-level annotations. This makes it a cost-effective approach for the analysis of large videoendoscopy repositories. Other advantages of the proposed methodology include its capability to suggest possible locations of GI anomalies within the video frames, and its generality, in the sense that abnormal frame detection is based on automatically derived image features. It is implemented in three phases: 1) it classifies the video frames into abnormal or normal using a weakly supervised convolutional neural network (WCNN) architecture; 2) detects salient points from deeper WCNN layers, using a deep saliency detection algorithm; and 3) localizes GI anomalies using an iterative cluster unification (ICU) algorithm. ICU is based on a pointwise cross-feature-map (PCFM) descriptor extracted locally from the detected salient points using information derived from the WCNN. Results, from extensive experimentation using publicly available collections of gastrointestinal endoscopy video frames, are presented. The data sets used include a variety of GI anomalies. Both anomaly detection and localization performance achieved, in terms of the area under receiver operating characteristic (AUC), were &gt;80%. The highest AUC for anomaly detection was obtained on conventional gastroscopy images, reaching 96%, and the highest AUC for anomaly localization was obtained on wireless capsule endoscopy images, reaching 88%.</t>
  </si>
  <si>
    <t>D. K. Iakovidis, S. V. Georgakopoulos, M. Vasilakakis, A. Koulaouzidis and V. P. Plagianakos</t>
  </si>
  <si>
    <t>Tailored for Real-World: A Whole Slide Image Classification System Validated on Uncurated Multi-Site Data Emulating the Prospective Pathology Workload</t>
  </si>
  <si>
    <t>Standard of care diagnostic procedure for suspected skin cancer is microscopic examination of hematoxylin &amp; eosin stained tissue by a pathologist. Areas of high inter-pathologist discordance and rising biopsy rates necessitate higher efficiency and diagnostic reproducibility. We present and validate a deep learning system which classifies digitized dermatopathology slides into 4 categories. The system is developed using 5,070 images from a single lab, and tested on an uncurated set of 13,537 images from 3 test labs, using whole slide scanners manufactured by 3 different vendors. The system's use of deep-learning-based confidence scoring as a criterion to consider the result as accurate yields an accuracy of up to 98%, and makes it adoptable in a real-world setting. Without confidence scoring, the system achieved an accuracy of 78%. We anticipate that our deep learning system will serve as a foundation enabling faster diagnosis of skin cancer, identification of cases for specialist review, and targeted diagnostic classifications.</t>
  </si>
  <si>
    <t>Combining deep learning with anatomical analysis for segmentation of the portal vein for liver SBRT planning</t>
  </si>
  <si>
    <t>Automated segmentation of the portal vein (PV) for liver radiotherapy planning is a challenging task due to potentially low vasculature contrast, complex PV anatomy and image artifacts originated from fiducial markers and vasculature stents. In this paper, we propose a novel framework for automated segmentation of the PV from computed tomography (CT) images. We apply convolutional neural networks (CNNs) to learn the consistent appearance patterns of the PV using a training set of CT images with reference annotations and then enhance the PV in previously unseen CT images. Markov random fields (MRFs) were further used to smooth the results of the enhancement of the CNN enhancement and remove isolated mis-segmented regions. Finally, CNN-MRF-based enhancement was augmented with PV centerline detection that relied on PV anatomical properties such as tubularity and branch composition. The framework was validated on a clinical database with 72 CT images of patients scheduled for liver stereotactic body radiation therapy. The obtained accuracy of the segmentation was [Formula: see text] 0.83 and [Formula: see text] 1.08 mm in terms of the median Dice coefficient and mean symmetric surface distance, respectively, when segmentation is encompassed into the PV region of interest. The obtained results indicate that CNNs and anatomical analysis can be used for the accurate segmentation of the PV and potentially integrated into liver radiation therapy planning.</t>
  </si>
  <si>
    <t>B. Ibragimov, D. Toesca, D. Chang, A. Koong and L. Xing</t>
  </si>
  <si>
    <t>Segmentation of organs-at-risks in head and neck CT images using convolutional neural networks</t>
  </si>
  <si>
    <t>PURPOSE: Accurate segmentation of organs-at-risks (OARs) is the key step for efficient planning of radiation therapy for head and neck (HaN) cancer treatment. In the work, we proposed the first deep learning-based algorithm, for segmentation of OARs in HaN CT images, and compared its performance against state-of-the-art automated segmentation algorithms, commercial software, and interobserver variability. METHODS: Convolutional neural networks (CNNs)-a concept from the field of deep learning-were used to study consistent intensity patterns of OARs from training CT images and to segment the OAR in a previously unseen test CT image. For CNN training, we extracted a representative number of positive intensity patches around voxels that belong to the OAR of interest in training CT images, and negative intensity patches around voxels that belong to the surrounding structures. These patches then passed through a sequence of CNN layers that captured local image features such as corners, end-points, and edges, and combined them into more complex high-order features that can efficiently describe the OAR. The trained network was applied to classify voxels in a region of interest in the test image where the corresponding OAR is expected to be located. We then smoothed the obtained classification results by using Markov random fields algorithm. We finally extracted the largest connected component of the smoothed voxels classified as the OAR by CNN, performed dilate-erode operations to remove cavities of the component, which resulted in segmentation of the OAR in the test image. RESULTS: The performance of CNNs was validated on segmentation of spinal cord, mandible, parotid glands, submandibular glands, larynx, pharynx, eye globes, optic nerves, and optic chiasm using 50 CT images. The obtained segmentation results varied from 37.4% Dice coefficient (DSC) for chiasm to 89.5% DSC for mandible. We also analyzed the performance of state-of-the-art algorithms and commercial software reported in the literature, and observed that CNNs demonstrate similar or superior performance on segmentation of spinal cord, mandible, parotid glands, larynx, pharynx, eye globes, and optic nerves, but inferior performance on segmentation of submandibular glands and optic chiasm. CONCLUSION: We concluded that convolution neural networks can accurately segment most of OARs using a representative database of 50 HaN CT images. At the same time, inclusion of additional information, for example, MR images, may be beneficial to some OARs with poorly visible boundaries.</t>
  </si>
  <si>
    <t>B. Ibragimov and L. Xing</t>
  </si>
  <si>
    <t>10.1016/j.breast.2019.12.007</t>
  </si>
  <si>
    <t>Artificial intelligence in digital breast pathology: Techniques and applications</t>
  </si>
  <si>
    <t>Breast cancer is the most common cancer and second leading cause of cancer-related death worldwide. The mainstay of breast cancer workup is histopathological diagnosis - which guides therapy and prognosis. However, emerging knowledge about the complex nature of cancer and the availability of tailored therapies have exposed opportunities for improvements in diagnostic precision. In parallel, advances in artificial intelligence (AI) along with the growing digitization of pathology slides for the primary diagnosis are a promising approach to meet the demand for more accurate detection, classification and prediction of behaviour of breast tumours. In this article, we cover the current and prospective uses of AI in digital pathology for breast cancer, review the basics of digital pathology and AI, and outline outstanding challenges in the field.</t>
  </si>
  <si>
    <t>10.1016/j.ymeth.2020.05.022</t>
  </si>
  <si>
    <t>Radiomics for precision medicine: Current challenges, future prospects, and the proposal of a new framework</t>
  </si>
  <si>
    <t>The advancement of artificial intelligence concurrent with the development of medical imaging techniques provided a unique opportunity to turn medical imaging from mostly qualitative, to further quantitative and mineable data that can be explored for the development of clinical decision support systems (cDSS). Radiomics, a method for the high throughput extraction of hand-crafted features from medical images, and deep learning -the data driven modeling techniques based on the principles of simplified brain neuron interactions, are the most researched quantitative imaging techniques. Many studies reported on the potential of such techniques in the context of cDSS. Such techniques could be highly appealing due to the reuse of existing data, automation of clinical workflows, minimal invasiveness, three-dimensional volumetric characterization, and the promise of high accuracy and reproducibility of results and cost-effectiveness. Nevertheless, there are several challenges that quantitative imaging techniques face, and need to be addressed before the translation to clinical use. These challenges include, but are not limited to, the explainability of the models, the reproducibility of the quantitative imaging features, and their sensitivity to variations in image acquisition and reconstruction parameters. In this narrative review, we report on the status of quantitative medical image analysis using radiomics and deep learning, the challenges the field is facing, propose a framework for robust radiomics analysis, and discuss future prospects.</t>
  </si>
  <si>
    <t>Methods</t>
  </si>
  <si>
    <t>MultiResUNet : Rethinking the U-Net architecture for multimodal biomedical image segmentation</t>
  </si>
  <si>
    <t>In recent years Deep Learning has brought about a breakthrough in Medical Image Segmentation. In this regard, U-Net has been the most popular architecture in the medical imaging community. Despite outstanding overall performance in segmenting multimodal medical images, through extensive experimentations on some challenging datasets, we demonstrate that the classical U-Net architecture seems to be lacking in certain aspects. Therefore, we propose some modifications to improve upon the already state-of-the-art U-Net model. Following these modifications, we develop a novel architecture, MultiResUNet, as the potential successor to the U-Net architecture. We have tested and compared MultiResUNet with the classical U-Net on a vast repertoire of multimodal medical images. Although only slight improvements in the cases of ideal images are noticed, remarkable gains in performance have been attained for the challenging ones. We have evaluated our model on five different datasets, each with their own unique challenges, and have obtained a relative improvement in performance of 10.15%, 5.07%, 2.63%, 1.41%, and 0.62% respectively. We have also discussed and highlighted some qualitatively superior aspects of MultiResUNet over classical U-Net that are not really reflected in the quantitative measures.</t>
  </si>
  <si>
    <t>N. Ibtehaz and M. S. Rahman</t>
  </si>
  <si>
    <t>Deep Learning Models for Histopathological Classification of Gastric and Colonic Epithelial Tumours</t>
  </si>
  <si>
    <t>Histopathological classification of gastric and colonic epithelial tumours is one of the routine pathological diagnosis tasks for pathologists. Computational pathology techniques based on Artificial intelligence (AI) would be of high benefit in easing the ever increasing workloads on pathologists, especially in regions that have shortages in access to pathological diagnosis services. In this study, we trained convolutional neural networks (CNNs) and recurrent neural networks (RNNs) on biopsy histopathology whole-slide images (WSIs) of stomach and colon. The models were trained to classify WSI into adenocarcinoma, adenoma, and non-neoplastic. We evaluated our models on three independent test sets each, achieving area under the curves (AUCs) up to 0.97 and 0.99 for gastric adenocarcinoma and adenoma, respectively, and 0.96 and 0.99 for colonic adenocarcinoma and adenoma respectively. The results demonstrate the generalisation ability of our models and the high promising potential of deployment in a practical histopathological diagnostic workflow system.</t>
  </si>
  <si>
    <t>Deep-learning-based imaging-classification identified cingulate island sign in dementia with Lewy bodies</t>
  </si>
  <si>
    <t>The differentiation of dementia with Lewy bodies (DLB) from Alzheimer's disease (AD) using brain perfusion single photon emission tomography is important but is challenging because these conditions exhibit typical features. The cingulate island sign (CIS) is the most recently identified specific feature of DLB for a differential diagnosis. The current study aimed to examine the usefulness of deep-learning-based imaging classification for the diagnoses of DLB and AD. Furthermore, we investigated whether CIS was emphasized by a deep convolutional neural network (CNN) during differentiation. Brain perfusion single photon emission tomography images from 80 patients, each with DLB and AD, and 80 individuals with normal cognition (NL) were used for training and 20 each for final testing. The CNN was trained on brain surface perfusion images. Gradient-weighted class activation mapping (Grad-CAM) was applied to the CNN to visualize the features that was emphasized by the trained CNN. The binary classifications between DLB and NL, DLB and AD, and AD and NL were 93.1%, 89.3%, and 92.4% accurate, respectively. The CIS ratios closely correlated with the output scores before softmax for DLB-AD discrimination (DLB/AD scores). The Grad-CAM highlighted CIS in the DLB discrimination. Visualization of learning process by guided Grad-CAM revealed that CIS became more focused by the CNN as the training progressed. The DLB/AD score was significantly associated with the three core features of DLB. Deep-learning-based imaging classification was useful for an objective and accurate differentiation of DLB from AD and for predicting clinical features of DLB. The CIS was identified as a specific feature during DLB classification. The visualization of specific features and learning processes could be critical in deep learning to discover new imaging features.</t>
  </si>
  <si>
    <t>A new method for automatic counting of ovarian follicles on whole slide histological images based on convolutional neural network</t>
  </si>
  <si>
    <t>The ovary is a complex endocrine organ that shows significant structural and functional changes in the female reproductive system over recurrent cycles. There are different types of follicles in the ovarian tissue. The reproductive potential of each individual depends on the numbers of these follicles. However, genetic mutations, toxins, and some specific drugs have an effect on follicles. To determine these effects, it is of great importance to count the follicles. The number of follicles in the ovary is usually counted manually by experts, which is a tedious, time-consuming and intense process. In some cases, the experts count the follicles in a subjective way due to their knowledge. In this study, for the first time, a method has been proposed for automatically counting the follicles of ovarian tissue. Our method primarily involves filter-based segmentation applied to whole slide histological images, based on a convolutional neural network (CNN). A new method is also proposed to eliminate the noise that occurs after the segmentation process and to determine the boundaries of the follicles. Finally, the follicles whose boundaries are determined are classified. To evaluate its performance, the results of the proposed method were compared with those obtained by two different experts and the results of the Faster R-CNN model. The number of follicles obtained by the proposed method was very close to the number of follicles counted by the experts. It was also found that the proposed method was much more successful than the Faster R-CNN model.</t>
  </si>
  <si>
    <t>DeNeRD: high-throughput detection of neurons for brain-wide analysis with deep learning</t>
  </si>
  <si>
    <t>Mapping the structure of the mammalian brain at cellular resolution is a challenging task and one that requires capturing key anatomical features at the appropriate level of analysis. Although neuroscientific methods have managed to provide significant insights at the micro and macro level, in order to obtain a whole-brain analysis at a cellular resolution requires a meso-scopic approach. A number of methods can be currently used to detect and count cells, with, nevertheless, significant limitations when analyzing data of high complexity. To overcome some of these constraints, we introduce a fully automated Artificial Intelligence (AI)-based method for whole-brain image processing to Detect Neurons in different brain Regions during Development (DeNeRD). We demonstrate a high performance of our deep neural network in detecting neurons labeled with different genetic markers in a range of imaging planes and imaging modalities.</t>
  </si>
  <si>
    <t>Deep learning model integrating features and novel classifiers fusion for brain tumor segmentation</t>
  </si>
  <si>
    <t>Automatic and precise segmentation and classification of tumor area in medical images is still a challenging task in medical research. Most of the conventional neural network based models usefully connected or convolutional neural networks to perform segmentation and classification. In this research, we present deep learning models using long short term memory (LSTM) and convolutional neural networks (ConvNet) for accurate brain tumor delineation from benchmark medical images. The two different models, that is, ConvNet and LSTM networks are trained using the same data set and combined to form an ensemble to improve the results. We used publicly available MICCAI BRATS 2015 brain cancer data set consisting of MRI images of four modalities T1, T2, T1c, and FLAIR. To enhance the quality of input images, multiple combinations of preprocessing methods such as noise removal, histogram equalization, and edge enhancement are formulated and best performer combination is applied. To cope with the class imbalance problem, class weighting is used in proposed models. The trained models are tested on validation data set taken from the same image set and results obtained from each model are reported. The individual score (accuracy) of ConvNet is found 75% whereas for LSTM based network produced 80% and ensemble fusion produced 82.29% accuracy.</t>
  </si>
  <si>
    <t>S. Iqbal, M. U. Ghani Khan, T. Saba, Z. Mehmood, N. Javaid, A. Rehman and R. Abbasi</t>
  </si>
  <si>
    <t>Microsc Res Tech</t>
  </si>
  <si>
    <t>Brain tumor segmentation in multi-spectral MRI using convolutional neural networks (CNN)</t>
  </si>
  <si>
    <t>A tumor could be found in any area of the brain and could be of any size, shape, and contrast. There may exist multiple tumors of different types in a human brain at the same time. Accurate tumor area segmentation is considered primary step for treatment of brain tumors. Deep Learning is a set of promising techniques that could provide better results as compared to nondeep learning techniques for segmenting timorous part inside a brain. This article presents a deep convolutional neural network (CNN) to segment brain tumors in MRIs. The proposed network uses BRATS segmentation challenge dataset which is composed of images obtained through four different modalities. Accordingly, we present an extended version of existing network to solve segmentation problem. The network architecture consists of multiple neural network layers connected in sequential order with the feeding of Convolutional feature maps at the peer level. Experimental results on BRATS 2015 benchmark data thus show the usability of the proposed approach and its superiority over the other approaches in this area of research.</t>
  </si>
  <si>
    <t>S. Iqbal, M. U. Ghani, T. Saba and A. Rehman</t>
  </si>
  <si>
    <t>Generative Adversarial Network for Medical Images (MI-GAN)</t>
  </si>
  <si>
    <t>Deep learning algorithms produces state-of-the-art results for different machine learning and computer vision tasks. To perform well on a given task, these algorithms require large dataset for training. However, deep learning algorithms lack generalization and suffer from over-fitting whenever trained on small dataset, especially when one is dealing with medical images. For supervised image analysis in medical imaging, having image data along with their corresponding annotated ground-truths is costly as well as time consuming since annotations of the data is done by medical experts manually. In this paper, we propose a new Generative Adversarial Network for Medical Imaging (MI-GAN). The MI-GAN generates synthetic medical images and their segmented masks, which can then be used for the application of supervised analysis of medical images. Particularly, we present MI-GAN for synthesis of retinal images. The proposed method generates precise segmented images better than the existing techniques. The proposed model achieves a dice coefficient of 0.837 on STARE dataset and 0.832 on DRIVE dataset which is state-of-the-art performance on both the datasets.</t>
  </si>
  <si>
    <t>T. Iqbal and H. Ali</t>
  </si>
  <si>
    <t>Classifying Pneumonia among Chest X-Rays Using Transfer Learning</t>
  </si>
  <si>
    <t>Chest radiography has become the modality of choice for diagnosing pneumonia. However, analyzing chest X-ray images may be tedious, time-consuming and requiring expert knowledge that might not be available in less-developed regions. therefore, computer-aided diagnosis systems are needed. Recently, many classification systems based on deep learning have been proposed. Despite their success, the high development cost for deep networks is still a hurdle for deployment. Deep transfer learning (or simply transfer learning) has the merit of reducing the development cost by borrowing architectures from trained models followed by slight fine-tuning of some layers. Nevertheless, whether deep transfer learning is effective over training from scratch in the medical setting remains a research question for many applications. In this work, we investigate the use of deep transfer learning to classify pneumonia among chest X-ray images. Experimental results demonstrated that, with slight fine-tuning, deep transfer learning brings performance advantage over training from scratch. Three models, ResNet-50, Inception V3 and DensetNet121, were trained separately through transfer learning and from scratch. The former can achieve a 4.1% to 52.5% larger area under the curve (AUC) than those obtained by the latter, suggesting the effectiveness of deep transfer learning for classifying pneumonia in chest X-ray images.</t>
  </si>
  <si>
    <t>Implementation of convolutional neural network approach for COVID-19 disease detection</t>
  </si>
  <si>
    <t>In this paper, two novel, powerful, and robust convolutional neural network (CNN) architectures are designed and proposed for two different classification tasks using publicly available data sets. The first architecture is able to decide whether a given chest X-ray image of a patient contains COVID-19 or not with 98.92% average accuracy. The second CNN architecture is able to divide a given chest X-ray image of a patient into three classes (COVID-19 versus normal versus pneumonia) with 98.27% average accuracy. The hyperparameters of both CNN models are automatically determined using Grid Search. Experimental results on large clinical data sets show the effectiveness of the proposed architectures and demonstrate that the proposed algorithms can overcome the disadvantages mentioned above. Moreover, the proposed CNN models are fully automatic in terms of not requiring the extraction of diseased tissue, which is a great improvement of available automatic methods in the literature. To the best of the author's knowledge, this study is the first study to detect COVID-19 disease from given chest X-ray images, using CNN, whose hyperparameters are automatically determined by the Grid Search. Another important contribution of this study is that it is the first CNN-based COVID-19 chest X-ray image classification study that uses the largest possible clinical data set. A total of 1,524 COVID-19, 1,527 pneumonia, and 1524 normal X-ray images are collected. It is aimed to collect the largest number of COVID-19 X-ray images that exist in the literature until the writing of this research paper.</t>
  </si>
  <si>
    <t>E. Irmak</t>
  </si>
  <si>
    <t>Physiol Genomics</t>
  </si>
  <si>
    <t>Fully Automated Segmentation Algorithm for Hematoma Volumetric Analysis in Spontaneous Intracerebral Hemorrhage</t>
  </si>
  <si>
    <t>Background and Purpose- Hematoma volume measurements influence prognosis and treatment decisions in patients with spontaneous intracerebral hemorrhage (ICH). The aims of this study are to derive and validate a fully automated segmentation algorithm for ICH volumetric analysis using deep learning methods. Methods- In-patient computed tomography scans of 300 consecutive adults (age ≥18 years) with spontaneous, supratentorial ICH who were enrolled in the ICHOP (Intracerebral Hemorrhage Outcomes Project; 2009-2018) were separated into training (n=260) and test (n=40) datasets. A fully automated segmentation algorithm was derived using convolutional neural networks, and it was trained on manual segmentations from the training dataset. The algorithm's performance was assessed against manual and semiautomated segmentation methods in the test dataset. Results- The mean volumetric Dice similarity coefficients for the fully automated segmentation algorithm when tested against manual and semiautomated segmentation methods were 0.894±0.264 and 0.905±0.254, respectively. ICH volumes derived from fully automated versus manual (R(2)=0.981; P&lt;0.0001), fully automated versus semiautomated (R(2)=0.978; P&lt;0.0001), and semiautomated versus manual (R(2)=0.990; P&lt;0001) segmentation methods had strong between-group correlations. The fully automated segmentation algorithm (mean 12.0±2.7 s/scan) was significantly faster than both of the manual (mean 201.5±92.2 s/scan; P&lt;0.001) and semiautomated (mean 288.58±160.3 s/scan; P&lt;0.001) segmentation methods. Conclusions- The fully automated segmentation algorithm quantified hematoma volumes from computed tomography scans of supratentorial ICH patients with similar accuracy and substantially greater efficiency compared with manual and semiautomated segmentation methods. External validation of the fully automated segmentation algorithm is warranted.</t>
  </si>
  <si>
    <t>Automated brain extraction of multisequence MRI using artificial neural networks</t>
  </si>
  <si>
    <t>Brain extraction is a critical preprocessing step in the analysis of neuroimaging studies conducted with magnetic resonance imaging (MRI) and influences the accuracy of downstream analyses. The majority of brain extraction algorithms are, however, optimized for processing healthy brains and thus frequently fail in the presence of pathologically altered brain or when applied to heterogeneous MRI datasets. Here we introduce a new, rigorously validated algorithm (termed HD-BET) relying on artificial neural networks that aim to overcome these limitations. We demonstrate that HD-BET outperforms six popular, publicly available brain extraction algorithms in several large-scale neuroimaging datasets, including one from a prospective multicentric trial in neuro-oncology, yielding state-of-the-art performance with median improvements of +1.16 to +2.50 points for the Dice coefficient and -0.66 to -2.51 mm for the Hausdorff distance. Importantly, the HD-BET algorithm, which shows robust performance in the presence of pathology or treatment-induced tissue alterations, is applicable to a broad range of MRI sequence types and is not influenced by variations in MRI hardware and acquisition parameters encountered in both research and clinical practice. For broader accessibility, the HD-BET prediction algorithm is made freely available (www.neuroAI-HD.org) and may become an essential component for robust, automated, high-throughput processing of MRI neuroimaging data.</t>
  </si>
  <si>
    <t>10.1093/jmicro/dfaa007</t>
  </si>
  <si>
    <t>Generative and discriminative model-based approaches to microscopic image restoration and segmentation</t>
  </si>
  <si>
    <t>Image processing is one of the most important applications of recent machine learning (ML) technologies. Convolutional neural networks (CNNs), a popular deep learning-based ML architecture, have been developed for image processing applications. However, the application of ML to microscopic images is limited as microscopic images are often 3D/4D, that is, the image sizes can be very large, and the images may suffer from serious noise generated due to optics. In this review, three types of feature reconstruction applications to microscopic images are discussed, which fully utilize the recent advancements in ML technologies. First, multi-frame super-resolution is introduced, based on the formulation of statistical generative model-based techniques such as Bayesian inference. Second, data-driven image restoration is introduced, based on supervised discriminative model-based ML technique. In this application, CNNs are demonstrated to exhibit preferable restoration performance. Third, image segmentation based on data-driven CNNs is introduced. Image segmentation has become immensely popular in object segmentation based on electron microscopy (EM); therefore, we focus on EM image processing.</t>
  </si>
  <si>
    <t>Microscopy (Oxf)</t>
  </si>
  <si>
    <t>Computer-aided diagnosis of prostate cancer on magnetic resonance imaging using a convolutional neural network algorithm</t>
  </si>
  <si>
    <t>OBJECTIVE: To develop a computer-aided diagnosis (CAD) algorithm with a deep learning architecture for detecting prostate cancer on magnetic resonance imaging (MRI) to promote global standardisation and diminish variation in the interpretation of prostate MRI. PATIENTS AND METHODS: We retrospectively reviewed data from 335 patients with a prostate-specific antigen level of &lt;20 ng/mL who underwent MRI and extended systematic prostate biopsy with or without MRI-targeted biopsy. The data were divided into a training data set (n = 301), which was used to develop the CAD algorithm, and two evaluation data sets (n = 34). A deep convolutional neural network (CNN) was trained using MR images labelled as 'cancer' or 'no cancer' confirmed by the above-mentioned biopsy. Using the CAD algorithm that showed the best diagnostic accuracy with the two evaluation data sets, the data set not used for evaluation was analysed, and receiver operating curve analysis was performed. RESULTS: Graphics processing unit computing required 5.5 h to learn to analyse 2 million images. The time required for the CAD algorithm to evaluate a new image was 30 ms/image. The two algorithms showed area under the curve values of 0.645 and 0.636, respectively, in the validation data sets. The number of patients mistakenly diagnosed as having cancer was 16/17 patients and seven of 17 patients in the two validation data sets, respectively. Zero and two oversights were found in the two validation data sets, respectively. CONCLUSION: We developed a CAD system using a CNN algorithm for the fully automated detection of prostate cancer using MRI, which has the potential to provide reproducible interpretation and a greater level of standardisation and consistency.</t>
  </si>
  <si>
    <t>J. Ishioka, Y. Matsuoka, S. Uehara, Y. Yasuda, T. Kijima, S. Yoshida, M. Yokoyama, K. Saito, K. Kihara, N. Numao, T. Kimura, K. Kudo, I. Kumazawa and Y. Fujii</t>
  </si>
  <si>
    <t>Brain MRI analysis for Alzheimer's disease diagnosis using an ensemble system of deep convolutional neural networks</t>
  </si>
  <si>
    <t>Alzheimer's disease is an incurable, progressive neurological brain disorder. Earlier detection of Alzheimer's disease can help with proper treatment and prevent brain tissue damage. Several statistical and machine learning models have been exploited by researchers for Alzheimer's disease diagnosis. Analyzing magnetic resonance imaging (MRI) is a common practice for Alzheimer's disease diagnosis in clinical research. Detection of Alzheimer's disease is exacting due to the similarity in Alzheimer's disease MRI data and standard healthy MRI data of older people. Recently, advanced deep learning techniques have successfully demonstrated human-level performance in numerous fields including medical image analysis. We propose a deep convolutional neural network for Alzheimer's disease diagnosis using brain MRI data analysis. While most of the existing approaches perform binary classification, our model can identify different stages of Alzheimer's disease and obtains superior performance for early-stage diagnosis. We conducted ample experiments to demonstrate that our proposed model outperformed comparative baselines on the Open Access Series of Imaging Studies dataset.</t>
  </si>
  <si>
    <t>J. Islam and Y. Zhang</t>
  </si>
  <si>
    <t>Brain Inform</t>
  </si>
  <si>
    <t>GAN-based synthetic brain PET image generation</t>
  </si>
  <si>
    <t>In recent days, deep learning technologies have achieved tremendous success in computer vision-related tasks with the help of large-scale annotated dataset. Obtaining such dataset for medical image analysis is very challenging. Working with the limited dataset and small amount of annotated samples makes it difficult to develop a robust automated disease diagnosis model. We propose a novel approach to generate synthetic medical images using generative adversarial networks (GANs). Our proposed model can create brain PET images for three different stages of Alzheimer's disease-normal control (NC), mild cognitive impairment (MCI), and Alzheimer's disease (AD).</t>
  </si>
  <si>
    <t>Imaging-based enrichment criteria using deep learning algorithms for efficient clinical trials in mild cognitive impairment</t>
  </si>
  <si>
    <t>The mild cognitive impairment (MCI) stage of Alzheimer's disease (AD) may be optimal for clinical trials to test potential treatments for preventing or delaying decline to dementia. However, MCI is heterogeneous in that not all cases progress to dementia within the time frame of a trial and some may not have underlying AD pathology. Identifying those MCIs who are most likely to decline during a trial and thus most likely to benefit from treatment will improve trial efficiency and power to detect treatment effects. To this end, using multimodal, imaging-derived, inclusion criteria may be especially beneficial. Here, we present a novel multimodal imaging marker that predicts future cognitive and neural decline from [F-18]fluorodeoxyglucose positron emission tomography (PET), amyloid florbetapir PET, and structural magnetic resonance imaging, based on a new deep learning algorithm (randomized denoising autoencoder marker, rDAm). Using ADNI2 MCI data, we show that using rDAm as a trial enrichment criterion reduces the required sample estimates by at least five times compared with the no-enrichment regime and leads to smaller trials with high statistical power, compared with existing methods.</t>
  </si>
  <si>
    <t>V. K. Ithapu, V. Singh, O. C. Okonkwo, R. J. Chappell, N. M. Dowling and S. C. Johnson</t>
  </si>
  <si>
    <t>Alzheimers Dement</t>
  </si>
  <si>
    <t>Randomized denoising autoencoders for smaller and efficient imaging based AD clinical trials</t>
  </si>
  <si>
    <t>There is growing body of research devoted to designing imaging-based biomarkers that identify Alzheimer's disease (AD) in its prodromal stage using statistical machine learning methods. Recently several authors investigated how clinical trials for AD can be made more efficient (i.e., smaller sample size) using predictive measures from such classification methods. In this paper, we explain why predictive measures given by such SVM type objectives may be less than ideal for use in the setting described above. We give a solution based on a novel deep learning model, randomized denoising autoencoders (rDA), which regresses on training labels y while also accounting for the variance, a property which is very useful for clinical trial design. Our results give strong improvements in sample size estimates over strategies based on multi-kernel learning. Also, rDA predictions appear to more accurately correlate to stages of disease. Separately, our formulation empirically shows how deep architectures can be applied in the large d, small n regime--the default situation in medical imaging. This result is of independent interest.</t>
  </si>
  <si>
    <t>V. K. Ithapul, V. Singh, O. Okonkwo and S. C. Johnson</t>
  </si>
  <si>
    <t>Semi-supervised deep learning of brain tissue segmentation</t>
  </si>
  <si>
    <t>Brain image segmentation is of great importance not only for clinical use but also for neuroscience research. Recent developments in deep neural networks (DNNs) have led to the application of DNNs to brain image segmentation, which required extensive human annotations of whole brain images. Annotating three-dimensional brain images requires laborious efforts by expert anatomists because of the differences among images in terms of their dimensionality, noise, contrast, or ambiguous boundaries that even prevent these experts from necessarily attaining consistency. This paper proposes a semi-supervised learning framework to train a DNN based on a relatively small number of annotated (labeled) images, named atlases, but also a relatively large number of unlabeled images by leveraging image registration to attach pseudo-labels to images that were originally unlabeled. We applied our proposed method to two different datasets: open human brain images and our original marmoset brain images. When provided with the same number of atlases for training, we found our method achieved superior and more stable segmentation results than those by existing registration-based and DNN-based methods.</t>
  </si>
  <si>
    <t>R. Ito, K. Nakae, J. Hata, H. Okano and S. Ishii</t>
  </si>
  <si>
    <t>A deep learning framework for efficient analysis of breast volume and fibroglandular tissue using MR data with strong artifacts</t>
  </si>
  <si>
    <t>PURPOSE: The main purpose of this work is to develop, apply, and evaluate an efficient approach for breast density estimation in magnetic resonance imaging data, which contain strong artifacts including intensity inhomogeneities. METHODS: We present a pipeline for breast density estimation, which consists of intensity inhomogeneity correction, breast volume segmentation, nipple extraction, and fibroglandular tissue segmentation. For the segmentation steps, a well-known deep learning architecture is employed. RESULTS: The average Dice coefficient for the breast parenchyma is [Formula: see text], which outperforms the classical state-of-the-art approach by a margin of [Formula: see text]. CONCLUSION: The proposed solution is accurate and highly efficient and has potential to be applied for big epidemiological data with thousands of participants.</t>
  </si>
  <si>
    <t>Convolutional decoding of thermographic images to locate and quantify honey adulterations</t>
  </si>
  <si>
    <t>In this research, 56 samples of pure honey have been mixed with different concentrations of rice syrup simulating a set of adulterated samples. A thermographic camera was used to extract data regarding the thermal development of the honey. The resulting infrared images were processed via convolutional neural networks (CNNs), a subset of algorithms within deep learning. The CNNs have been trained and optimized using these images to detect the commonly elusive rice syrup in honey in concentrations as low as 1% in weight, as well as quantify it. Finally, the model was successfully validated using images which were initially isolated from the training database. The result was an algorithm capable of identifying adulterated honey from different floral origins and quantifying rice syrup with accuracies of 95% and 93%, respectively. Therefore, CNNs have complemented the thermographic analysis and have shown to be a compelling tool for the control of food quality, thanks to traits such as high sensitivity, speed, and being independent of highly specialized personnel.</t>
  </si>
  <si>
    <t>Talanta</t>
  </si>
  <si>
    <t>Detection of concealed cars in complex cargo X-ray imagery using Deep Learning</t>
  </si>
  <si>
    <t>BACKGROUND: Non-intrusive inspection systems based on X-ray radiography techniques are routinely used at transport hubs to ensure the conformity of cargo content with the supplied shipping manifest. As trade volumes increase and regulations become more stringent, manual inspection by trained operators is less and less viable due to low throughput. Machine vision techniques can assist operators in their task by automating parts of the inspection workflow. Since cars are routinely involved in trafficking, export fraud, and tax evasion schemes, they represent an attractive target for automated detection and flagging for subsequent inspection by operators. OBJECTIVE: Development and evaluation of a novel method for the automated detection of cars in complex X-ray cargo imagery. METHODS: X-ray cargo images from a stream-of-commerce dataset were classified using a window-based scheme. The limited number of car images was addressed by using an oversampling scheme. Different Convolutional Neural Network (CNN) architectures were compared with well-established bag of words approaches. In addition, robustness to concealment was evaluated by projection of objects into car images. RESULTS: CNN approaches outperformed all other methods evaluated, achieving 100% car image classification rate for a false positive rate of 1-in-454. Cars that were partially or completely obscured by other goods, a modus operandi frequently adopted by criminals, were correctly detected. CONCLUSIONS: We believe that this level of performance suggests that the method is suitable for deployment in the field. It is expected that the generic object detection workflow described can be extended to other object classes given the availability of suitable training data.</t>
  </si>
  <si>
    <t>Deep Learning Renal Segmentation for Fully Automated Radiation Dose Estimation in Unsealed Source Therapy</t>
  </si>
  <si>
    <t>BACKGROUND: Convolutional neural networks (CNNs) have been shown to be powerful tools to assist with object detection and-like a human observer-may be trained based on a relatively small cohort of reference subjects. Rapid, accurate organ recognition in medical imaging permits a variety of new quantitative diagnostic techniques. In the case of therapy with targeted radionuclides, it may permit comprehensive radiation dose analysis in a manner that would often be prohibitively time-consuming using conventional methods. METHODS: An automated image segmentation tool was developed based on three-dimensional CNNs to detect right and left kidney contours on non-contrast CT images. Model was trained based on 89 manually contoured cases and tested on a cohort of patients receiving therapy with (177)Lu-prostate-specific membrane antigen-617 for metastatic prostate cancer. Automatically generated contours were compared with those drawn by an expert and assessed for similarity based on dice score, mean distance-to-agreement, and total segmented volume. Further, the contours were applied to voxel dose maps computed from post-treatment quantitative SPECT imaging to estimate renal radiation dose from therapy. RESULTS: Neural network segmentation was able to identify right and left kidneys in all patients with a high degree of accuracy. The system was integrated into the hospital image database, returning contours for a selected study in approximately 90 s. Mean dice score was 0.91 and 0.86 for right and left kidneys, respectively. Poor performance was observed in three patients with cystic kidneys of which only few were included in the training data. No significant difference in mean radiation absorbed dose was observed between the manual and automated algorithms. CONCLUSION: Automated contouring using CNNs shows promise in providing quantitative assessment of functional SPECT and possibly PET images; in this case demonstrating comparable accuracy for radiation dose interpretation in unsealed source therapy relative to a human observer.</t>
  </si>
  <si>
    <t>P. Jackson, N. Hardcastle, N. Dawe, T. Kron, M. S. Hofman and R. J. Hicks</t>
  </si>
  <si>
    <t>Google's lung cancer AI: a promising tool that needs further validation</t>
  </si>
  <si>
    <t>C. Jacobs and B. van Ginneken</t>
  </si>
  <si>
    <t>Nat Rev Clin Oncol</t>
  </si>
  <si>
    <t>Analysis of intensity normalization for optimal segmentation performance of a fully convolutional neural network</t>
  </si>
  <si>
    <t>INTRODUCTION: Convolutional neural networks have begun to surpass classical statistical- and atlas based machine learning techniques in medical image segmentation in recent years, proving to be superior in performance and speed. However, a major challenge that the community faces are mismatch between variability within training and evaluation datasets and therefore a dependency on proper data pre-processing. Intensity normalization is a widely applied technique for reducing the variance of the data for which there are several methods available ranging from uniformity transformation to histogram equalization. The current study analyses the influence of intensity normalization on cerebellum segmentation performance of a convolutional neural network (CNN). METHOD: The study included three population samples with a total number of 218 datasets, all including a T1w MRI data set acquired at 3T and a ground truth segmentation delineating the cerebellum. A 12 layer deep 3D fully convolutional neural network was trained using 150 datasets from one of the population samples. Four different intensity normalization methods were separately applied to pre-process the data, and the CNN was correspondingly trained four times with respect to the different normalization techniques. A quantitative analysis of the segmentation performance, assessed via the Sørensen-Dice similarity coefficient (DSC) of all four CNNs, was performed to investigate the intensity sensitivity of the CNNs. Additionally, the optimal network performance was determined by identifying the best parameter set for intensity normalization. RESULTS: All four normalization methods led to excellent (mean DSC score=0.96) segmentation results when evaluated using known data; however, the segmentation performance differed depending on the applied intensity normalization method when testing with formerly unseen data, in which case the histogram equalization methods outperformed the unit distribution methods. A detailed, systematic analysis of intensity manipulations revealed, that the distribution of input intensities clearly affected the segmentation performance and that for each input dataset a linear intensity modification (shifting and scaling) existed leading to optimal segmentation results. This was further proven by an optimization analysis to find the optimal adjustment for an individual input evaluation sample within each normalization configuration. DISCUSSION: The findings suggest that proper preparation of the evaluation data is more crucial than the exact choice of normalization method to prepare the training data. The histogram equalization methods tested in this study were found to perform this task best, although leaving room for further improvements, as shown by the optimization analysis.</t>
  </si>
  <si>
    <t>N. Jacobsen, A. Deistung, D. Timmann, S. L. Goericke, J. R. Reichenbach and D. Güllmar</t>
  </si>
  <si>
    <t>Three-Class Mammogram Classification Based on Descriptive CNN Features</t>
  </si>
  <si>
    <t>In this paper, a novel classification technique for large data set of mammograms using a deep learning method is proposed. The proposed model targets a three-class classification study (normal, malignant, and benign cases). In our model we have presented two methods, namely, convolutional neural network-discrete wavelet (CNN-DW) and convolutional neural network-curvelet transform (CNN-CT). An augmented data set is generated by using mammogram patches. To enhance the contrast of mammogram images, the data set is filtered by contrast limited adaptive histogram equalization (CLAHE). In the CNN-DW method, enhanced mammogram images are decomposed as its four subbands by means of two-dimensional discrete wavelet transform (2D-DWT), while in the second method discrete curvelet transform (DCT) is used. In both methods, dense scale invariant feature (DSIFT) for all subbands is extracted. Input data matrix containing these subband features of all the mammogram patches is created that is processed as input to convolutional neural network (CNN). Softmax layer and support vector machine (SVM) layer are used to train CNN for classification. Proposed methods have been compared with existing methods in terms of accuracy rate, error rate, and various validation assessment measures. CNN-DW and CNN-CT have achieved accuracy rate of 81.83% and 83.74%, respectively. Simulation results clearly validate the significance and impact of our proposed model as compared to other well-known existing techniques.</t>
  </si>
  <si>
    <t>M. M. Jadoon, Q. Zhang, I. U. Haq, S. Butt and A. Jadoon</t>
  </si>
  <si>
    <t>Automatic biplane left ventricular ejection fraction estimation with mobile point-of-care ultrasound using multi-task learning and adversarial training</t>
  </si>
  <si>
    <t>PURPOSE: Left ventricular ejection fraction (LVEF) is one of the key metrics to assess the heart functionality, and cardiac ultrasound (echo) is a standard imaging modality for EF measurement. There is an emerging interest to exploit the point-of-care ultrasound (POCUS) usability due to low cost and ease of access. In this work, we aim to present a computationally efficient mobile application for accurate LVEF estimation. METHODS: Our proposed mobile application for LVEF estimation runs in real time on Android mobile devices that have either a wired or wireless connection to a cardiac POCUS device. We propose a pipeline for biplane ejection fraction estimation using apical two-chamber (AP2) and apical four-chamber (AP4) echo views. A computationally efficient multi-task deep fully convolutional network is proposed for simultaneous LV segmentation and landmark detection in these views, which is integrated into the LVEF estimation pipeline. An adversarial critic model is used in the training phase to impose a shape prior on the LV segmentation output. RESULTS: The system is evaluated on a dataset of 427 patients. Each patient has a pair of captured AP2 and AP4 echo studies, resulting in a total of more than 40,000 echo frames. The mobile system reaches a noticeably high average Dice score of 92% for LV segmentation, an average Euclidean distance error of 2.85 pixels for the detection of anatomical landmarks used in LVEF calculation, and a median absolute error of 6.2% for LVEF estimation compared to the expert cardiologist's annotations and measurements. CONCLUSION: The proposed system runs in real time on mobile devices. The experiments show the effectiveness of the proposed system for automatic LVEF estimation by demonstrating an adequate correlation with the cardiologist's examination.</t>
  </si>
  <si>
    <t>M. H. Jafari, H. Girgis, N. Van Woudenberg, Z. Liao, R. Rohling, K. Gin, P. Abolmaesumi and T. Tsang</t>
  </si>
  <si>
    <t>Cardiac point-of-care to cart-based ultrasound translation using constrained CycleGAN</t>
  </si>
  <si>
    <t>PURPOSE:  The emerging market of cardiac handheld ultrasound (US) is on the rise. Despite the advantages in ease of access and the lower cost, a gap in image quality can still be observed between the echocardiography (echo) data captured by point-of-care ultrasound (POCUS) compared to conventional cart-based US, which limits the further adaptation of POCUS. In this work, we aim to present a machine learning solution based on recent advances in adversarial training to investigate the feasibility of translating POCUS echo images to the quality level of high-end cart-based US systems. METHODS:  We propose a constrained cycle-consistent generative adversarial architecture for unpaired translation of cardiac POCUS to cart-based US data. We impose a structured shape-wise regularization via a critic segmentation network to preserve the underlying shape of the heart during quality translation. The proposed deep transfer model is constrained to the anatomy of the left ventricle (LV) in apical two-chamber (AP2) echo views. RESULTS:  A total of 1089 echo studies from 841 patients are used in this study. The AP2 frames are captured by POCUS (Philips Lumify and Clarius) and cart-based (Philips iE33 and Vivid E9) US machines. The dataset of quality translation comprises a total of 441 echo studies from 395 patients. Data from both POCUS and cart-based systems of the same patient were available in 122 cases. The deep-quality transfer model is integrated into a pipeline for an automated cardiac evaluation task, namely segmentation of LV in AP2 view. By transferring the low-quality POCUS data to the cart-based US, a significant average improvement of 30% and 34 mm is obtained in the LV segmentation Dice score and Hausdorff distance metrics, respectively. CONCLUSION:  This paper presents the feasibility of a machine learning solution to transform the image quality of POCUS data to that of high-quality high-end cart-based systems. The experiments show that by leveraging the quality translation through the proposed constrained adversarial training, the accuracy of automatic segmentation with POCUS data could be improved.</t>
  </si>
  <si>
    <t>Extraction of skin lesions from non-dermoscopic images for surgical excision of melanoma</t>
  </si>
  <si>
    <t>PURPOSE: Computerized prescreening of suspicious moles and lesions for malignancy is of great importance for assessing the need and the priority of the removal surgery. Detection can be done by images captured by standard cameras, which are more preferable due to low cost and availability. One important step in computerized evaluation is accurate detection of lesion's region, i.e., segmentation of an image into two regions as lesion and normal skin. METHODS: In this paper, a new method based on deep neural networks is proposed for accurate extraction of a lesion region. The input image is preprocessed, and then, its patches are fed to a convolutional neural network. Local texture and global structure of the patches are processed in order to assign pixels to lesion or normal classes. A method for effective selection of training patches is proposed for more accurate detection of a lesion's border. RESULTS: Our results indicate that the proposed method could reach the accuracy of 98.7% and the sensitivity of 95.2% in segmentation of lesion regions over the dataset of clinical images. CONCLUSION: The experimental results of qualitative and quantitative evaluations demonstrate that our method can outperform other state-of-the-art algorithms exist in the literature.</t>
  </si>
  <si>
    <t>M. H. Jafari, E. Nasr-Esfahani, N. Karimi, S. M. R. Soroushmehr, S. Samavi and K. Najarian</t>
  </si>
  <si>
    <t>Localization of common carotid artery transverse section in B-mode ultrasound images using faster RCNN: a deep learning approach</t>
  </si>
  <si>
    <t>Cardiologists can acquire important information related to patients' cardiac health using carotid artery stiffness, its lumen diameter (LD), and its carotid intima-media thickness (cIMT). The sonographers primarily concern about the location of the artery in B-mode ultrasound images. Localization using manual methods is tedious and time-consuming and also may lead to some errors. On the other hand, automated approaches are more objective and can provide the localization of the artery at near real time. Above arterial parameters may be determined after localization of the artery in real time.A novel method of localization of common carotid artery (CCA) transverse section is presented in this work. The method is known as fast region convolutional neural network (FRCNN)-based localization method and is designed using a stack of three layers viz. convolutional layers, fully connected layers, and pooling layers. These organized layers constitute a region proposal network (RPN) and an object class detection network (OCDN). We obtain an outcome as a bounding box along with a score of prediction around the cross-section of the CCA.B-mode ultrasound image database of CCA is split into training and testing set, to accomplish this, three partition methods K = 2, 5, and 10 are used in our work. The training is extended for 30, 200, and 2000 epochs in order to achieve fine-tuned features from the convolutional neural network. After 2000 epochs, we obtain 95% validation accuracy; however, mean of the accuracies up to 2000 epochs is 89.36% for K = 10 partitions protocol (training 90%, testing 10%). Generated CNN model is tested on a different dataset of 433 images and the acquired accuracy is 87.99%. Thus, the proposed method including an advanced deep learning technique demonstrates promising localization for carotid artery transverse section. Graphical abstract.</t>
  </si>
  <si>
    <t>Automatic Quantification of Computed Tomography Features in Acute Traumatic Brain Injury</t>
  </si>
  <si>
    <t>Traumatic brain injury is a complex and diverse medical condition with a high frequency of intracranial abnormalities. These can typically be visualized on a computed tomography (CT) scan, which provides important information for further patient management, such as the need for operative intervention. In order to quantify the extent of acute intracranial lesions and associated secondary injuries, such as midline shift and cisternal compression, visual assessment of CT images has limitations, including observer variability and lack of quantitative interpretation. Automated image analysis can quantify the extent of intracranial abnormalities and provide added value in routine clinical practice. In this article, we present icobrain, a fully automated method that reliably computes acute intracranial lesions volume based on deep learning, cistern volume, and midline shift on the noncontrast CT image of a patient. The accuracy of our method is evaluated on a subset of the multi-center data set from the CENTER-TBI (Collaborative European Neurotrauma Effectiveness Research in Traumatic Brain Injury) study for which expert annotations were used as a reference. Median volume differences between expert assessments and icobrain are 0.07 mL for acute intracranial lesions and -0.01 mL for cistern segmentation. Correlation between expert assessments and icobrain is 0.91 for volume of acute intracranial lesions and 0.94 for volume of the cisterns. For midline shift computations, median error is -0.22 mm, with a correlation of 0.93 with expert assessments.</t>
  </si>
  <si>
    <t>J Neurotrauma</t>
  </si>
  <si>
    <t>Deep-learning-based fully automatic spine centerline detection in CT data</t>
  </si>
  <si>
    <t>In this contribution, we present a fully automatic approach, that is based on two convolution neural networks (CNN) together with a spine tracing algorithm utilizing a population optimization algorithm. Based on the evaluation of 130 CT scans including heavily distorted and complicated cases, it turned out that this new combination enables fast and robust detection with almost 90% of correctly determined spinal centerlines with computing time of fewer than 20 seconds.</t>
  </si>
  <si>
    <t>Exploring the Role of Artificial Intelligence in an Emergency and Trauma Radiology Department</t>
  </si>
  <si>
    <t>Emergency and trauma radiologists, emergency department's physicians and nurses, researchers, departmental leaders, and health policymakers have attempted to discover efficient approaches to enhance the provision of quality patient care. There are increasing expectations for radiology practices to deliver a dedicated emergency radiology service providing 24/7/365 on-site attending radiologist coverage. Emergency radiologists (ERs) are pressed to meet the demand of increased imaging volume, provide accurate reports, maintain a lower proportion of discrepancy rate, and with a rapid report turnaround time of finalized reports. Thus, rendering the radiologists overburdened. The demand for an increased efficiency in providing quality care to acute patients has led to the emergence of artificial intelligence (AI) in the field. AI can be used to assist emergency and trauma radiologists deal with the ever-increasing imaging volume and workload, as AI methods have typically demonstrated a variety of applications in medical image analysis and interpretation, albeit most programs are in a training or validation phase. This article aims to offer an evidence-based discourse about the evolving role of artificial intelligence in assisting the imaging pathway in an emergency and trauma radiology department. We hope to generate a multidisciplinary discourse that addresses the technical processes, the challenges in the labour-intensive process of training, validation and testing of an algorithm, the need for emphasis on ethics, and how an emergency radiologist's role is pivotal in the execution of AI-guided systems within the context of an emergency and trauma radiology department. This exploratory narrative serves the present-day health leadership's information needs by proposing an AI supported and radiologist centered framework depicting the work flow within a department. It is suspected that the use of such a framework, if efficacious, could provide considerable benefits for patient safety and quality of care provided. Additionally, alleviating radiologist burnout and decreasing healthcare costs over time.</t>
  </si>
  <si>
    <t>Can Assoc Radiol J</t>
  </si>
  <si>
    <t>A Cascaded Deep-Learning Framework for Segmentation of Metastatic Brain Tumors Before and After Stereotactic Radiation Therapy()</t>
  </si>
  <si>
    <t>Radiation therapy is a major treatment option for brain metastasis. For radiation treatment planning and outcome evaluation, magnetic resonance (MR) images are acquired before and at multiple sessions after the treatment. Accurate segmentation of brain tumors on MR images is crucial for treatment planning, response evaluation, and developing data-driven models for outcome prediction. Due to the high volume of imaging data acquired from each patient at multiple follow-up sessions, manual tumor segmentation is resource- and time-consuming in clinic, hence developing an automatic segmentation framework is highly desirable. In this work, we proposed a cascaded 2D-3D Unet framework to segment brain tumors automatically on contrast-enhanced T1- weighted images acquired before and at multiple scan sessions after radiotherapy. 2D Unet is a well-known structure for medical image segmentation. 3D Unet is an extension of 2D Unet with a volumetric input image to provide richer spatial information. The limitation of 3D Unet is that it is memory consuming and cannot process large volumetric images. To address this limitation, a large volumetric input of 3D Unet is often patched to smaller volumes which leads to loss of context. To overcome this problem, we proposed using two cascaded 2D Unets to crop the input volume around the tumor area and reduce the input size of the 3D Unet, obviating the need to patch the input images. The framework was trained using images acquired from 96 patients before radiation therapy and tested using images acquired from 10 patients before and at four follow-up scans after radiotherapy. The segmentation results for the images of independent test set demonstrated that the cascaded framework outperformed the 2D and 3D Unets alone, with an average Dice score of 0.9 versus 0.86 and 0.88 for the baseline, and 0.87 versus 0.83 and 0.84 for the first followup. Similar results were obtained for the other follow-up scans.</t>
  </si>
  <si>
    <t>ISSLS PRIZE IN BIOENGINEERING SCIENCE 2017: Automation of reading of radiological features from magnetic resonance images (MRIs) of the lumbar spine without human intervention is comparable with an expert radiologist</t>
  </si>
  <si>
    <t>STUDY DESIGN: Investigation of the automation of radiological features from magnetic resonance images (MRIs) of the lumbar spine. OBJECTIVE: To automate the process of grading lumbar intervertebral discs and vertebral bodies from MRIs. MR imaging is the most common imaging technique used in investigating low back pain (LBP). Various features of degradation, based on MRIs, are commonly recorded and graded, e.g., Modic change and Pfirrmann grading of intervertebral discs. Consistent scoring and grading is important for developing robust clinical systems and research. Automation facilitates this consistency and reduces the time of radiological analysis considerably and hence the expense. METHODS: 12,018 intervertebral discs, from 2009 patients, were graded by a radiologist and were then used to train: (1) a system to detect and label vertebrae and discs in a given scan, and (2) a convolutional neural network (CNN) model that predicts several radiological gradings. The performance of the model, in terms of class average accuracy, was compared with the intra-observer class average accuracy of the radiologist. RESULTS: The detection system achieved 95.6% accuracy in terms of disc detection and labeling. The model is able to produce predictions of multiple pathological gradings that consistently matched those of the radiologist. The model identifies 'Evidence Hotspots' that are the voxels that most contribute to the degradation scores. CONCLUSIONS: Automation of radiological grading is now on par with human performance. The system can be beneficial in aiding clinical diagnoses in terms of objectivity of gradings and the speed of analysis. It can also draw the attention of a radiologist to regions of degradation. This objectivity and speed is an important stepping stone in the investigation of the relationship between MRIs and clinical diagnoses of back pain in large cohorts. LEVEL OF EVIDENCE: Level 3.</t>
  </si>
  <si>
    <t>A. Jamaludin, M. Lootus, T. Kadir, A. Zisserman, J. Urban, M. C. Battié, J. Fairbank and I. McCall</t>
  </si>
  <si>
    <t>10.3389/fcvm.2020.00086</t>
  </si>
  <si>
    <t>Mini Review: Deep Learning for Atrial Segmentation From Late Gadolinium-Enhanced MRIs</t>
  </si>
  <si>
    <t>Segmentation and 3D reconstruction of the human atria is of crucial importance for precise diagnosis and treatment of atrial fibrillation, the most common cardiac arrhythmia. However, the current manual segmentation of the atria from medical images is a time-consuming, labor-intensive, and error-prone process. The recent emergence of artificial intelligence, particularly deep learning, provides an alternative solution to the traditional methods that fail to accurately segment atrial structures from clinical images. This has been illustrated during the recent 2018 Atrial Segmentation Challenge for which most of the challengers developed deep learning approaches for atrial segmentation, reaching high accuracy (&gt;90% Dice score). However, as significant discrepancies exist between the approaches developed, many important questions remain unanswered, such as which deep learning architectures and methods to ensure reliability while achieving the best performance. In this paper, we conduct an in-depth review of the current state-of-the-art of deep learning approaches for atrial segmentation from late gadolinium-enhanced MRIs, and provide critical insights for overcoming the main hindrances faced in this task.</t>
  </si>
  <si>
    <t>Front Cardiovasc Med</t>
  </si>
  <si>
    <t>Human Versus Machine: Comparing a Deep Learning Algorithm to Human Gradings for Detecting Glaucoma on Fundus Photographs</t>
  </si>
  <si>
    <t>PURPOSE: To compare the diagnostic performance of human gradings vs predictions provided by a machine-to-machine (M2M) deep learning (DL) algorithm trained to quantify retinal nerve fiber layer (RNFL) damage on fundus photographs. DESIGN: Evaluation of a machine learning algorithm. METHODS: An M2M DL algorithm trained with RNFL thickness parameters from spectral-domain optical coherence tomography was applied to a subset of 490 fundus photos of 490 eyes of 370 subjects graded by 2 glaucoma specialists for the probability of glaucomatous optical neuropathy (GON), and estimates of cup-to-disc (C/D) ratios. Spearman correlations with standard automated perimetry (SAP) global indices were compared between the human gradings vs the M2M DL-predicted RNFL thickness values. The area under the receiver operating characteristic curves (AUC) and partial AUC for the region of clinically meaningful specificity (85%-100%) were used to compare the ability of each output to discriminate eyes with repeatable glaucomatous SAP defects vs eyes with normal fields. RESULTS: The M2M DL-predicted RNFL thickness had a significantly stronger absolute correlation with SAP mean deviation (rho=0.54) than the probability of GON given by human graders (rho=0.48; P &lt; .001). The partial AUC for the M2M DL algorithm was significantly higher than that for the probability of GON by human graders (partial AUC = 0.529 vs 0.411, respectively; P = .016). CONCLUSION: An M2M DL algorithm performed as well as, if not better than, human graders at detecting eyes with repeatable glaucomatous visual field loss. This DL algorithm could potentially replace human graders in population screening efforts for glaucoma.</t>
  </si>
  <si>
    <t>Detecting Retinal Nerve Fibre Layer Segmentation Errors on Spectral Domain-Optical Coherence Tomography with a Deep Learning Algorithm</t>
  </si>
  <si>
    <t>In this study we developed a deep learning (DL) algorithm that detects errors in retinal never fibre layer (RNFL) segmentation on spectral-domain optical coherence tomography (SDOCT) B-scans using human grades as the reference standard. A dataset of 25,250 SDOCT B-scans reviewed for segmentation errors by human graders was randomly divided into validation plus training (50%) and test (50%) sets. The performance of the DL algorithm was evaluated in the test sample by outputting a probability of having a segmentation error for each B-scan. The ability of the algorithm to detect segmentation errors was evaluated with the area under the receiver operating characteristic (ROC) curve. Mean DL probabilities of segmentation error in the test sample were 0.90 ± 0.17 vs. 0.12 ± 0.22 (P &lt; 0.001) for scans with and without segmentation errors, respectively. The DL algorithm had an area under the ROC curve of 0.979 (95% CI: 0.974 to 0.984) and an overall accuracy of 92.4%. For the B-scans with severe segmentation errors in the test sample, the DL algorithm was 98.9% sensitive. This algorithm can help clinicians and researchers review images for artifacts in SDOCT tests in a timely manner and avoid inaccurate diagnostic interpretations.</t>
  </si>
  <si>
    <t>10.1007/s11883-019-0788-4</t>
  </si>
  <si>
    <t>A Special Report on Changing Trends in Preventive Stroke/Cardiovascular Risk Assessment Via B-Mode Ultrasonography</t>
  </si>
  <si>
    <t>PURPOSE OF REVIEW: Cardiovascular disease (CVD) and stroke risk assessment have been largely based on the success of traditional statistically derived risk calculators such as Pooled Cohort Risk Score or Framingham Risk Score. However, over the last decade, automated computational paradigms such as machine learning (ML) and deep learning (DL) techniques have penetrated into a variety of medical domains including CVD/stroke risk assessment. This review is mainly focused on the changing trends in CVD/stroke risk assessment and its stratification from statistical-based models to ML-based paradigms using non-invasive carotid ultrasonography. RECENT FINDINGS: In this review, ML-based strategies are categorized into two types: non-image (or conventional ML-based) and image-based (or integrated ML-based). The success of conventional (non-image-based) ML-based algorithms lies in the different data-driven patterns or features which are used to train the ML systems. Typically these features are the patients' demographics, serum biomarkers, and multiple clinical parameters. The integrated (image-based) ML-based algorithms integrate the features derived from the ultrasound scans of the arterial walls (such as morphological measurements) with conventional risk factors in ML frameworks. Even though the review covers ML-based system designs for carotid and coronary ultrasonography, the main focus of the review is on CVD/stroke risk scores based on carotid ultrasound. There are two key conclusions from this review: (i) fusion of image-based features with conventional cardiovascular risk factors can lead to more accurate CVD/stroke risk stratification; (ii) the ability to handle multiple sources of information in big data framework using artificial intelligence-based paradigms (such as ML and DL) is likely to be the future in preventive CVD/stroke risk assessment.</t>
  </si>
  <si>
    <t>10.1007/s12272-019-01162-9</t>
  </si>
  <si>
    <t>Applications of deep learning for the analysis of medical data</t>
  </si>
  <si>
    <t>Over the past decade, deep learning has demonstrated superior performances in solving many problems in various fields of medicine compared with other machine learning methods. To understand how deep learning has surpassed traditional machine learning techniques, in this review, we briefly explore the basic learning algorithms underlying deep learning. In addition, the procedures for building deep learning-based classifiers for seizure electroencephalograms and gastric tissue slides are described as examples to demonstrate the simplicity and effectiveness of deep learning applications. Finally, we review the clinical applications of deep learning in radiology, pathology, and drug discovery, where deep learning has been actively adopted. Considering the great advantages of deep learning techniques, deep learning will be increasingly and widely utilized in a wide variety of different areas in medicine in the coming decades.</t>
  </si>
  <si>
    <t>Arch Pharm Res</t>
  </si>
  <si>
    <t>Deep Learning-based Automatic Detection Algorithm for Reducing Overlooked Lung Cancers on Chest Radiographs</t>
  </si>
  <si>
    <t>Background It is uncertain whether a deep learning-based automatic detection algorithm (DLAD) for identifying malignant nodules on chest radiographs will help diagnose lung cancers. Purpose To evaluate the efficacy of using a DLAD in observer performance for the detection of lung cancers on chest radiographs. Materials and Methods Among patients diagnosed with lung cancers between January 2010 and December 2014, 117 patients (median age, 69 years; interquartile range [IQR], 64-74 years; 57 women) were retrospectively identified in whom lung cancers were visible on previous chest radiographs. For the healthy control group, 234 patients (median age, 58 years; IQR, 48-68 years; 123 women) with normal chest radiographs were randomly selected. Nine observers reviewed each chest radiograph, with and without a DLAD. They detected potential lung cancers and determined whether they would recommend chest CT for follow-up. Observer performance was compared with use of the area under the alternative free-response receiver operating characteristic curve (AUC), sensitivity, and rates of chest CT recommendation. Results In total, 105 of the 117 patients had lung cancers that were overlooked on their original radiographs. The average AUC for all observers significantly rose from 0.67 (95% confidence interval [CI]: 0.62, 0.72) without a DLAD to 0.76 (95% CI: 0.71, 0.81) with a DLAD (P &lt; .001). With a DLAD, observers detected more overlooked lung cancers (average sensitivity, 53% [56 of 105 patients] with a DLAD vs 40% [42 of 105 patients] without a DLAD) (P &lt; .001) and recommended chest CT for more patients (62% [66 of 105 patients] with a DLAD vs 47% [49 of 105 patients] without a DLAD) (P &lt; .001). In the healthy control group, no difference existed in the rate of chest CT recommendation (10% [23 of 234 patients] without a DLAD and 8% [20 of 234 patients] with a DLAD) (P = .13). Conclusion Using a deep learning-based automatic detection algorithm may help observers reduce the number of overlooked lung cancers on chest radiographs, without a proportional increase in the number of follow-up chest CT examinations. © RSNA, 2020 Online supplemental material is available for this article.</t>
  </si>
  <si>
    <t>Deep-learning algorithms for the interpretation of chest radiographs to aid in the triage of COVID-19 patients: A multicenter retrospective study</t>
  </si>
  <si>
    <t>The recent medical applications of deep-learning (DL) algorithms have demonstrated their clinical efficacy in improving speed and accuracy of image interpretation. If the DL algorithm achieves a performance equivalent to that achieved by physicians in chest radiography (CR) diagnoses with Coronavirus disease 2019 (COVID-19) pneumonia, the automatic interpretation of the CR with DL algorithms can significantly reduce the burden on clinicians and radiologists in sudden surges of suspected COVID-19 patients. The aim of this study was to evaluate the efficacy of the DL algorithm for detecting COVID-19 pneumonia on CR compared with formal radiology reports. This is a retrospective study of adult patients that were diagnosed as positive COVID-19 cases based on the reverse transcription polymerase chain reaction among all the patients who were admitted to five emergency departments and one community treatment center in Korea from February 18, 2020 to May 1, 2020. The CR images were evaluated with a publicly available DL algorithm. For reference, CR images without chest computed tomography (CT) scans classified as positive for COVID-19 pneumonia were used given that the radiologist identified ground-glass opacity, consolidation, or other infiltration in retrospectively reviewed CR images. Patients with evidence of pneumonia on chest CT scans were also classified as COVID-19 pneumonia positive outcomes. The overall sensitivity and specificity of the DL algorithm for detecting COVID-19 pneumonia on CR were 95.6%, and 88.7%, respectively. The area under the curve value of the DL algorithm for the detection of COVID-19 with pneumonia was 0.921. The DL algorithm demonstrated a satisfactory diagnostic performance comparable with that of formal radiology reports in the CR-based diagnosis of pneumonia in COVID-19 patients. The DL algorithm may offer fast and reliable examinations that can facilitate patient screening and isolation decisions, which can reduce the medical staff workload during COVID-19 pandemic situations.</t>
  </si>
  <si>
    <t>Measurement-oriented deep-learning workflow for improved segmentation of myelin and axons in high-resolution images of human cerebral white matter</t>
  </si>
  <si>
    <t>BACKGROUND: Standard segmentation of high-contrast electron micrographs (EM) identifies myelin accurately but does not translate easily into measurements of individual axons and their myelin, even in cross-sections of parallel fibers. We describe automated segmentation and measurement of each myelinated axon and its sheath in EMs of arbitrarily oriented human white matter from autopsies. NEW METHODS: Preliminary segmentation of myelin, axons and background by machine learning, using selected filters, precedes automated correction of systematic errors. Final segmentation is done by a deep neural network (DNN). Automated measurement of each putative fiber rejects measures encountering pre-defined artifacts and excludes fibers failing to satisfy pre-defined conditions. RESULTS: Improved segmentation of three sets of 30 annotated images each (two sets from human prefrontal white matter and one from human optic nerve) is achieved with a DNN trained only with a subset of the first set from prefrontal white matter. Total number of myelinated axons identified by the DNN differed from expert segmentation by 0.2%, 2.9%, and -5.1%, respectively. G-ratios differed by 2.96%, 0.74% and 2.83%. Intraclass correlation coefficients between DNN and annotated segmentation were mostly &gt;0.9, indicating nearly interchangeable performance. COMPARISON WITH EXISTING METHOD(S): Measurement-oriented studies of arbitrarily oriented fibers from central white matter are rare. Published methods are typically applied to cross-sections of fascicles and measure aggregated areas of myelin sheaths and axons, allowing estimation only of average g-ratio. CONCLUSIONS: Automated segmentation and measurement of axons and myelin is complex. We report a feasible approach that has so far proven comparable to manual segmentation.</t>
  </si>
  <si>
    <t>Deep Learning Method for Mandibular Canal Segmentation in Dental Cone Beam Computed Tomography Volumes</t>
  </si>
  <si>
    <t>Accurate localisation of mandibular canals in lower jaws is important in dental implantology, in which the implant position and dimensions are currently determined manually from 3D CT images by medical experts to avoid damaging the mandibular nerve inside the canal. Here we present a deep learning system for automatic localisation of the mandibular canals by applying a fully convolutional neural network segmentation on clinically diverse dataset of 637 cone beam CT volumes, with mandibular canals being coarsely annotated by radiologists, and using a dataset of 15 volumes with accurate voxel-level mandibular canal annotations for model evaluation. We show that our deep learning model, trained on the coarsely annotated volumes, localises mandibular canals of the voxel-level annotated set, highly accurately with the mean curve distance and average symmetric surface distance being 0.56 mm and 0.45 mm, respectively. These unparalleled accurate results highlight that deep learning integrated into dental implantology workflow could significantly reduce manual labour in mandibular canal annotations.</t>
  </si>
  <si>
    <t>A novel deep learning method for automatic assessment of human sperm images</t>
  </si>
  <si>
    <t>Sperm morphology analysis (SMA) is a very important factor in the diagnosis process of male infertility. This research proposes a novel deep learning algorithm for malformation detection of sperm morphology using human sperm cell images. Our proposed method detects and analyzes different parts of human sperms. First of all, we have prepared an image collection, called the MHSMA dataset, which can be used as a standard benchmark for future machine learning studies in this problem. This collection consists of 1,540 sperm images from 235 patients with male factor infertility. This unique dataset is freely available to the public. After applying data augmentation techniques, we have proposed a sampling method for fixing data imbalance. Then, we have designed a deep neural network architecture and trained it to detect morphological deformities in different parts of human sperm-head, acrosome, and vacuole. Our proposed method is one of the first algorithms that considers the acrosome. In addition, our method can work very well with non-stained and low-resolution images. Our experimental results on the proposed benchmark show the high accuracy of our deep learning algorithm for detection of morphological deformities from images. In these experiments, the proposed algorithm has achieved F(0.5) scores of 84.74%, 83.86%, and 94.65% in acrosome, head, and vacuole abnormality detection, respectively. It should be noted that our algorithm achieves a better accuracy than existing state-of-the-art methods in acrosome and vacuole abnormality detection on the proposed benchmark. Also, our method works very fast. It can classify images in real-time, even on a mainstream laptop computer. This allows an embryologist to quickly decide whether or not the analyzed sperm should be selected.</t>
  </si>
  <si>
    <t>Retinal image assessment using bi-level adaptive morphological component analysis</t>
  </si>
  <si>
    <t>The automated analysis of retinal images is a widely researched area which can help to diagnose several diseases like diabetic retinopathy in early stages of the disease. More specifically, separation of vessels and lesions is very critical as features of these structures are directly related to the diagnosis and treatment process of diabetic retinopathy. The complexity of the retinal image contents especially in images with severe diabetic retinopathy makes detection of vascular structure and lesions difficult. In this paper, a novel framework based on morphological component analysis (MCA) is presented which benefits from the adaptive representations obtained via dictionary learning. In the proposed Bi-level Adaptive MCA (BAMCA), MCA is extended to locally deal with sparse representation of the retinal images at patch level whereas the decomposition process occurs globally at the image level. BAMCA method with appropriately offline learnt dictionaries is adopted to work on retinal images with severe diabetic retinopathy in order to simultaneously separate vessels and exudate lesions as diagnostically useful morphological components. To obtain the appropriate dictionaries, K-SVD dictionary learning algorithm is modified to use a gated error which guides the process toward learning the main structures of the retinal images using vessel or lesion maps. Computational efficiency of the proposed framework is also increased significantly through some improvement leading to noticeable reduction in run time. We experimentally show how effective dictionaries can be learnt which help BAMCA to successfully separate exudate and vessel components from retinal images even in severe cases of diabetic retinopathy. In this paper, in addition to visual qualitative assessment, the performance of the proposed method is quantitatively measured in the framework of vessel and exudate segmentation. The reported experimental results on public datasets demonstrate that the obtained components can be used to achieve competitive results with regard to the state-of-the-art vessel and exudate segmentation methods.</t>
  </si>
  <si>
    <t>Deep learning analysis provides accurate COVID-19 diagnosis on chest computed tomography</t>
  </si>
  <si>
    <t>INTRODUCTION: Computed Tomography is an essential diagnostic tool in the management of COVID-19. Considering the large amount of examinations in high case-load scenarios, an automated tool could facilitate and save critical time in the diagnosis and risk stratification of the disease. METHODS: A novel deep learning derived machine learning (ML) classifier was developed using a simplified programming approach and an open source dataset consisting of 6868 chest CT images from 418 patients which was split into training and validation subsets. The diagnostic performance was then evaluated and compared to experienced radiologists on an independent testing dataset. Diagnostic performance metrics were calculated using Receiver Operating Characteristics (ROC) analysis. Operating points with high positive (&gt;10) and low negative (&lt;0.01) likelihood ratios to stratify the risk of COVID-19 being present were identified and validated. RESULTS: The model achieved an overall accuracy of 0.956 (AUC) on an independent testing dataset of 90 patients. Both rule-in and rule out thresholds were identified and tested. At the rule-in operating point, sensitivity and specificity were 84.4 % and 93.3 % and did not differ from both radiologists (p &gt; 0.05). At the rule-out threshold, sensitivity (100 %) and specificity (60 %) differed significantly from the radiologists (p &lt; 0.05). Likelihood ratios and a Fagan nomogram provide prevalence independent test performance estimates. CONCLUSION: Accurate diagnosis of COVID-19 using a basic deep learning approach is feasible using open-source CT image data. In addition, the machine learning classifier provided validated rule-in and rule-out criteria could be used to stratify the risk of COVID-19 being present.</t>
  </si>
  <si>
    <t>A Deep Learning Approach to Vascular Structure Segmentation in Dermoscopy Colour Images</t>
  </si>
  <si>
    <t>BACKGROUND: Atypical vascular pattern is one of the most important features by differentiating between benign and malignant pigmented skin lesions. Detection and analysis of vascular structures is a necessary initial step for skin mole assessment; it is a prerequisite step to provide an accurate outcome for the widely used 7-point checklist diagnostic algorithm. METHODS: In this research we present a fully automated machine learning approach for segmenting vascular structures in dermoscopy colour images. The U-Net architecture is based on convolutional networks and designed for fast and precise segmentation of images. After preprocessing the images are randomly divided into 146516 patches of 64 × 64 pixels each. RESULTS: On the independent validation dataset including 74 images our implemented method showed high segmentation accuracy. For the U-Net convolutional neural network, an average DSC of 0.84, sensitivity 0.85, and specificity 0.81 has been achieved. CONCLUSION: Vascular structures due to small size and similarity to other local structures create enormous difficulties during the segmentation and assessment process. The use of advanced segmentation methods like deep learning, especially convolutional neural networks, has the potential to improve the accuracy of advanced local structure detection.</t>
  </si>
  <si>
    <t>J. Jaworek-Korjakowska</t>
  </si>
  <si>
    <t>Artificial intelligence in detection and segmentation of internal auditory canal and its nerves using deep learning techniques</t>
  </si>
  <si>
    <t>PURPOSE: Artificial intelligence (AI) in medical imaging is a burgeoning topic that involves the interpretation of complex image structures. The recent advancements in deep learning techniques increase the computational powers to extract vital features without human intervention. The automatic detection and segmentation of subtle tissue such as the internal auditory canal (IAC) and its nerves is a challenging task, and it can be improved using deep learning techniques. METHODS: The main scope of this research is to present an automatic method to detect and segment the IAC and its nerves like the facial nerve, cochlear nerve, inferior vestibular nerve, and superior vestibular nerve. To address this issue, we propose a Mask R-CNN approach driven with U-net to detect and segment the IAC and its nerves. The Mask R-CNN with its backbone network of the RESNET50 model learns a background-based localization policy to produce an actual bounding box of the IAC. Furthermore, the U-net segments the structure related information of IAC and its nerves by learning its features. RESULTS: The proposed method was experimented on clinical datasets of 50 different patients including adults and children. The localization of IAC using Mask R-CNN was evaluated using Intersection of Union (IoU), and segmentation of IAC and its nerves was evaluated using Dice similarity coefficient. CONCLUSIONS: The localization result shows that mean IoU of RESNET50, RESNET101 are 0.79 and 0.74, respectively. The Dice similarity coefficient of IAC and its nerves using region growing, PSO and U-net method scored 92%, 94%, and 96%, respectively. The result shows that the proposed method outperform better in localization and segmentation of IAC and its nerves. Thus, AI aids the radiologists in making the right decisions as the localization and segmentation of IAC is accurate.</t>
  </si>
  <si>
    <t>Image Quality Assessment of Abdominal CT by Use of New Deep Learning Image Reconstruction: Initial Experience</t>
  </si>
  <si>
    <t>OBJECTIVE. The purpose of this study was to perform quantitative and qualitative evaluation of a deep learning image reconstruction (DLIR) algorithm in contrast-enhanced oncologic CT of the abdomen. MATERIALS AND METHODS. Retrospective review (April-May 2019) of the cases of adults undergoing oncologic staging with portal venous phase abdominal CT was conducted for evaluation of standard 30% adaptive statistical iterative reconstruction V (30% ASIR-V) reconstruction compared with DLIR at low, medium, and high strengths. Attenuation and noise measurements were performed. Two radiologists, blinded to examination details, scored six categories while comparing reconstructions for overall image quality, lesion diagnostic confidence, artifacts, image noise and texture, lesion conspicuity, and resolution. RESULTS. DLIR had a better contrast-to-noise ratio than 30% ASIR-V did; high-strength DLIR performed the best. High-strength DLIR was associated with 47% reduction in noise, resulting in a 92-94% increase in contrast-to-noise ratio compared with that of 30% ASIR-V. For overall image quality and image noise and texture, DLIR scored significantly higher than 30% ASIR-V with significantly higher scores as DLIR strength increased. A total of 193 lesions were identified. The lesion diagnostic confidence, conspicuity, and artifact scores were significantly higher for all DLIR levels than for 30% ASIR-V. There was no significant difference in perceived resolution between the reconstruction methods. CONCLUSION. Compared with 30% ASIR-V, DLIR improved CT evaluation of the abdomen in the portal venous phase. DLIR strength should be chosen to balance the degree of desired denoising for a clinical task relative to mild blurring, which increases with progressively higher DLIR strengths.</t>
  </si>
  <si>
    <t>Deep learning based discrimination of soft tissue profiles requiring orthognathic surgery by facial photographs</t>
  </si>
  <si>
    <t>Facial photographs of the subjects are often used in the diagnosis process of orthognathic surgery. The aim of this study was to determine whether convolutional neural networks (CNNs) can judge soft tissue profiles requiring orthognathic surgery using facial photographs alone. 822 subjects with dentofacial dysmorphosis and / or malocclusion were included. Facial photographs of front and right side were taken from all patients. Subjects who did not need orthognathic surgery were classified as Group I (411 subjects). Group II (411 subjects) was set up for cases requiring surgery. CNNs of VGG19 was used for machine learning. 366 of the total 410 data were correctly classified, yielding 89.3% accuracy. The values of accuracy, precision, recall, and F1 scores were 0.893, 0.912, 0.867, and 0.889, respectively. As a result of this study, it was found that CNNs can judge soft tissue profiles requiring orthognathic surgery relatively accurately with the photographs alone.</t>
  </si>
  <si>
    <t>Deep learning-based decision support system for the diagnosis of neoplastic gallbladder polyps on ultrasonography: Preliminary results</t>
  </si>
  <si>
    <t>Ultrasonography (US) has been considered image of choice for gallbladder (GB) polyp, however, it had limitations in differentiating between nonneoplastic polyps and neoplastic polyps. We developed and investigated the usefulness of a deep learning-based decision support system (DL-DSS) for the differential diagnosis of GB polyps on US. We retrospectively collected 535 patients, and they were divided into the development dataset (n = 437) and test dataset (n = 98). The binary classification convolutional neural network model was developed by transfer learning. Using the test dataset, three radiologists with different experience levels retrospectively graded the possibility of a neoplastic polyp using a 5-point confidence scale. The reviewers were requested to re-evaluate their grades using the DL-DSS assistant. The areas under the curve (AUCs) of three reviewers were 0.94, 0.78, and 0.87. The DL-DSS alone showed an AUC of 0.92. With the DL-DSS assistant, the AUCs of the reviewer's improved to 0.95, 0.91, and 0.91. Also, the specificity of the reviewers was improved (65.1-85.7 to 71.4-93.7). The intraclass correlation coefficient (ICC) improved from 0.87 to 0.93. In conclusion, DL-DSS could be used as an assistant tool to decrease the gap between reviewers and to reduce the false positive rate.</t>
  </si>
  <si>
    <t>De-Identification of Facial Features in Magnetic Resonance Images: Software Development Using Deep Learning Technology</t>
  </si>
  <si>
    <t>BACKGROUND: High-resolution medical images that include facial regions can be used to recognize the subject's face when reconstructing 3-dimensional (3D)-rendered images from 2-dimensional (2D) sequential images, which might constitute a risk of infringement of personal information when sharing data. According to the Health Insurance Portability and Accountability Act (HIPAA) privacy rules, full-face photographic images and any comparable image are direct identifiers and considered as protected health information. Moreover, the General Data Protection Regulation (GDPR) categorizes facial images as biometric data and stipulates that special restrictions should be placed on the processing of biometric data. OBJECTIVE: This study aimed to develop software that can remove the header information from Digital Imaging and Communications in Medicine (DICOM) format files and facial features (eyes, nose, and ears) at the 2D sliced-image level to anonymize personal information in medical images. METHODS: A total of 240 cranial magnetic resonance (MR) images were used to train the deep learning model (144, 48, and 48 for the training, validation, and test sets, respectively, from the Alzheimer's Disease Neuroimaging Initiative [ADNI] database). To overcome the small sample size problem, we used a data augmentation technique to create 576 images per epoch. We used attention-gated U-net for the basic structure of our deep learning model. To validate the performance of the software, we adapted an external test set comprising 100 cranial MR images from the Open Access Series of Imaging Studies (OASIS) database. RESULTS: The facial features (eyes, nose, and ears) were successfully detected and anonymized in both test sets (48 from ADNI and 100 from OASIS). Each result was manually validated in both the 2D image plane and the 3D-rendered images. Furthermore, the ADNI test set was verified using Microsoft Azure's face recognition artificial intelligence service. By adding a user interface, we developed and distributed (via GitHub) software named Deface program for medical images as an open-source project. CONCLUSIONS: We developed deep learning-based software for the anonymization of MR images that distorts the eyes, nose, and ears to prevent facial identification of the subject in reconstructed 3D images. It could be used to share medical big data for secondary research while making both data providers and recipients compliant with the relevant privacy regulations.</t>
  </si>
  <si>
    <t>Computer-assisted medical image classification for early diagnosis of oral cancer employing deep learning algorithm</t>
  </si>
  <si>
    <t>PURPOSE: Oral cancer is a complex wide spread cancer, which has high severity. Using advanced technology and deep learning algorithm early detection and classification are made possible. Medical imaging technique, computer-aided diagnosis and detection can make potential changes in cancer treatment. In this research work, we have developed a deep learning algorithm for automated, computer-aided oral cancer detecting system by investigating patient hyperspectral images. METHODS: To validate the proposed regression-based partitioned deep learning algorithm, we compare the performance with other techniques by its classification accuracy, specificity, and sensitivity. For the accurate medical image classification objective, we demonstrate a new structure of partitioned deep Convolution Neural Network (CNN) with two partitioned layers for labeling and classify by labeling region of interest in multidimensional hyperspectral image. RESULTS: The performance of the partitioned deep CNN was verified by classification accuracy. We have obtained classification accuracy of 91.4% with sensitivity 0.94 and a specificity of 0.91 for 100 image data sets training for task classification of cancerous tumor with benign and for task classification of cancerous tumor with normal tissue accuracy of 94.5% for 500 training patterns was obtained. CONCLUSIONS: We compared the obtained results from another traditional medical image classification algorithm. From the obtained result, we identify that the quality of diagnosis is increased by proposed regression-based partitioned CNN learning algorithm for a complex medical image of oral cancer diagnosis.</t>
  </si>
  <si>
    <t>P. R. Jeyaraj and E. R. Samuel Nadar</t>
  </si>
  <si>
    <t>J Cancer Res Clin Oncol</t>
  </si>
  <si>
    <t>Mutual Information based hybrid model and deep learning for Acute Lymphocytic Leukemia detection in single cell blood smear images</t>
  </si>
  <si>
    <t>BACKGROUND AND OBJECTIVE: Due to the development in digital microscopic imaging, image processing and classification has become an interesting area for diagnostic research. Various techniques are available in the literature for the detection of Acute Lymphocytic Leukemia from the single cell blood smear images. The purpose of this work is to develop an effective method for leukemia detection. METHODS: This work has developed deep learning based leukemia detection module from the blood smear images. Here, the detection scheme carries out pre-processing, segmentation, feature extraction and classification. The segmentation is done by the proposed Mutual Information (MI) based hybrid model, which combines the segmentation results of the active contour model and fuzzy C means algorithm. Then, from the segmented images, the statistical and the Local Directional Pattern (LDP) features are extracted and provided to the proposed Chronological Sine Cosine Algorithm (SCA) based Deep CNN classifier for the classification. RESULTS: For the experimentation, the blood smear images are considered from the AA-IDB2 database and evaluated based on metrics, such as True Positive Rate (TPR), True Negative Rate (TNR), and accuracy. Simulation results reveal that the proposed Chronological SCA based Deep CNN classifier has the accuracy of 98.7%. CONCLUSIONS: The performance of the proposed Chronological SCA-based Deep CNN classifier is compared with the state-of-the-art methods. The analysis shows that the proposed classifier has comparatively improved performance and determines the leukemia from the blood smear images.</t>
  </si>
  <si>
    <t>Multi-Shell D-MRI Reconstruction via Residual Learning utilizing Encoder-Decoder Network with Attention (MSR-Net)</t>
  </si>
  <si>
    <t>Contemporary diffusion MRI based analysis with HARDI, which provides more accurate fiber orientation, can be performed using single or multiple b-values (single or multi-shell). Single shell HARDI cannot provide volume fraction for different tissue types, which can produce bias and noisier results in estimation of fiber ODF. Multi-shell acquisition can resolve this issue. However, it requires more scanning time and is therefore not very well suited in clinical setting. Considering this, we propose a novel deep learning architecture, MSR-Net, for reconstruction of diffusion MRI volumes for some b-value using acquisitions at another b-value. In this work, we demonstrate this for b = 2000 s/mm(2) and b = 1000 s/mm(2). We learn such a transformation in the space of spherical harmonic coefficients. The proposed network consists of encoder-decoder along-with an attention module and a feature module. We have considered L2 and Content loss for optimizing and improving the performance. We have trained and validated the network using the HCP data-set with standard qualitative and quantitative performance measures.</t>
  </si>
  <si>
    <t>ADR-Net: Context extraction network based on M-Net for medical image segmentation</t>
  </si>
  <si>
    <t>PURPOSE: Medical image segmentation is an essential component of medical image analysis. Accurate segmentation can assist doctors in diagnosis and relieve their fatigue. Although several image segmentation methods based on U-Net have been proposed, their performances have been observed to be suboptimal in the case of small-sized objects. To address this shortcoming, a novel network architecture is proposed in this study to enhance segmentation performance on small medical targets. METHODS: In this paper, we propose a joint multi-scale context attention network architecture to simultaneously capture higher level semantic information and spatial information. In order to obtain a greater number of feature maps during decoding, the network concatenates the images of side inputs by down-sampling during the encoding phase. In the bottleneck layer of the network, dense atrous convolution (DAC) and multi-scale residual pyramid pooling (RMP) modules are exploited to better capture high-level semantic information and spatial information. To improve the segmentation performance on small targets, the attention gate (AG) block is used to effectively suppress feature activation in uncorrelated regions and highlight the target area. RESULTS: The proposed model is first evaluated on the public dataset DRIVE, on which it performs significantly better than the basic framework in terms of sensitivity (SE), intersection-over-union (IOU), and area under the receiver operating characteristic curve (AUC). In particular, the SE and IOU are observed to increase by 7.46% and 5.97%, respectively. Further, the evaluation indices exhibit improvements compared to those of state-of-the-art methods as well, with SE and IOU increasing by 3.58% and 3.26%, respectively. Additionally, in order to demonstrate the generalizability of the proposed architecture, we evaluate our model on three other challenging datasets. The respective performances are observed to be better than those of state-of-the-art network architectures on the same datasets. Moreover, we use lung segmentation as a comparative experiment to demonstrate the transferability of the advantageous properties of the proposed approach in the context of small target segmentation to the segmentation of large targets. Finally, an ablation study is conducted to investigate the individual contributions of the AG block, the DAC block, and the RMP block to the performance of the network. CONCLUSIONS: The proposed method is evaluated on various datasets. Experimental results demonstrate that the proposed model performs better than state-of-the-art methods in medical image segmentation of small targets.</t>
  </si>
  <si>
    <t>3D APA-Net: 3D Adversarial Pyramid Anisotropic Convolutional Network for Prostate Segmentation in MR Images</t>
  </si>
  <si>
    <t>Accurate and reliable segmentation of the prostate gland using magnetic resonance (MR) imaging has critical importance for the diagnosis and treatment of prostate diseases, especially prostate cancer. Although many automated segmentation approaches, including those based on deep learning have been proposed, the segmentation performance still has room for improvement due to the large variability in image appearance, imaging interference, and anisotropic spatial resolution. In this paper, we propose the 3D adversarial pyramid anisotropic convolutional deep neural network (3D APA-Net) for prostate segmentation in MR images. This model is composed of a generator (i.e., 3D PA-Net) that performs image segmentation and a discriminator (i.e., a six-layer convolutional neural network) that differentiates between a segmentation result and its corresponding ground truth. The 3D PA-Net has an encoder-decoder architecture, which consists of a 3D ResNet encoder, an anisotropic convolutional decoder, and multi-level pyramid convolutional skip connections. The anisotropic convolutional blocks can exploit the 3D context information of the MR images with anisotropic resolution, the pyramid convolutional blocks address both voxel classification and gland localization issues, and the adversarial training regularizes 3D PA-Net and thus enables it to generate spatially consistent and continuous segmentation results. We evaluated the proposed 3D APA-Net against several state-of-the-art deep learning-based segmentation approaches on two public databases and the hybrid of the two. Our results suggest that the proposed model outperforms the compared approaches on three databases and could be used in a routine clinical workflow.</t>
  </si>
  <si>
    <t>Automatic food detection in egocentric images using artificial intelligence technology</t>
  </si>
  <si>
    <t>OBJECTIVE: To develop an artificial intelligence (AI)-based algorithm which can automatically detect food items from images acquired by an egocentric wearable camera for dietary assessment. DESIGN: To study human diet and lifestyle, large sets of egocentric images were acquired using a wearable device, called eButton, from free-living individuals. Three thousand nine hundred images containing real-world activities, which formed eButton data set 1, were manually selected from thirty subjects. eButton data set 2 contained 29 515 images acquired from a research participant in a week-long unrestricted recording. They included both food- and non-food-related real-life activities, such as dining at both home and restaurants, cooking, shopping, gardening, housekeeping chores, taking classes, gym exercise, etc. All images in these data sets were classified as food/non-food images based on their tags generated by a convolutional neural network. RESULTS: A cross data-set test was conducted on eButton data set 1. The overall accuracy of food detection was 91·5 and 86·4 %, respectively, when one-half of data set 1 was used for training and the other half for testing. For eButton data set 2, 74·0 % sensitivity and 87·0 % specificity were obtained if both 'food' and 'drink' were considered as food images. Alternatively, if only 'food' items were considered, the sensitivity and specificity reached 85·0 and 85·8 %, respectively. CONCLUSIONS: The AI technology can automatically detect foods from low-quality, wearable camera-acquired real-world egocentric images with reasonable accuracy, reducing both the burden of data processing and privacy concerns.</t>
  </si>
  <si>
    <t>Public Health Nutr</t>
  </si>
  <si>
    <t>Multi-modality self-attention aware deep network for 3D biomedical segmentation</t>
  </si>
  <si>
    <t>BACKGROUND: Deep learning based on segmentation models have been gradually applied in biomedical images and achieved state-of-the-art performance for 3D biomedical segmentation. However, most of existing biomedical segmentation researches take account of the application cases with adapting a single type of medical images from the corresponding examining method. Considering of practical clinic application of the radiology examination for diseases, the multiple image examination methods are normally required for final diagnosis especially in some severe diseases like cancers. Therefore, by considering the cases of employing multi-modal images and exploring the effective multi-modality fusion based on deep networks, we do the research to make full use of complementary information of multi-modal images referring to the clinic experiences of radiologists in image analysis. METHODS: Referring to the human radiologist diagnosis experience, we discuss and propose a new self-attention aware mechanism to improve the segmentation performance by paying the different attention on different modal images and different symptoms. Firstly, we propose a multi-path encoder and decoder deep network for 3D biomedical segmentation. Secondly, to leverage the complementary information among different modalities, we introduce a structure of attention mechanism called the Multi-Modality Self-Attention Aware (MMSA) convolution. Multi-modal images we used in the paper are different modalities of MR scanning images, which are input into the network separately. Then self-attention weight fusion of multi-modal features is performed with our proposed MMSA, which can adaptively adjust the fusion weights according to the learned contribution degree of different modalities and different features revealing the different symptoms from the labeled data. RESULTS: Experiments have been done on the public competition dataset BRATS-2015. The results show that our proposed method achieves dice scores of 0.8726, 0.6563, 0.8313 for the whole tumor, the tumor core and the enhancing tumor core, respectively. Comparing with the U-Net with SE block, the scores are increased by 0.0212,0.031,0.0304. CONCLUSIONS: We present a multi-modality self-attention aware convolution, which have better segmentation results based on the adaptive weighting fusion mechanism with exploiting the multiple medical image modalities. Experimental results demonstrate the effectiveness of our method and prominent application in the multi-modality fusion based medical image analysis.</t>
  </si>
  <si>
    <t>3-To-1 Pipeline: Restructuring Transfer Learning Pipelines for Medical Imaging Classification via Optimized GAN Synthetic Images</t>
  </si>
  <si>
    <t>The difficulty of applying deep learning algorithms to biomedical imaging systems arises from a lack of training images. An existing workaround to the lack of medical training images involves pre-training deep learning models on ImageNet, a non-medical dataset with millions of training images. However, the modality of ImageNet's dataset samples consisting of natural images in RGB frequently differs from the modality of medical images, consisting largely of images in grayscale such as X-ray and MRI scan imaging. While this method may be effectively applied to non-medical tasks such as human face detection, it proves ineffective in many areas of medical imaging. Recently proposed generative models such as Generative Adversarial Networks (GANs) are able to synthesize new medical images. By utilizing generated images, we may overcome the modality gap arising from current transfer learning methods. In this paper, we propose a training pipeline which outperforms both conventional GAN-synthetic methods and transfer learning methods.</t>
  </si>
  <si>
    <t>Improving the malignancy characterization of hepatocellular carcinoma using deeply supervised cross modal transfer learning for non-enhanced MR</t>
  </si>
  <si>
    <t>The malignancy characterization of hepatocellular carcinoma (HCC) is remarkably significant in clinical practice. In this work, we propose a deeply supervised cross modal transfer learning method to remarkably improve the malignancy characterization of HCC based on non-enhanced MR. First, we use samples of non-enhanced and contrast-enhanced MR for pre-training a deep learning network to learn the cross modal relationship between the non-enhanced modal and enhanced modal. Then, the parameters of the pre-trained across modal representation are transferred to a second deep learning model for fine-tuning based only on non-enhanced MR for malignancy characterization of HCC. Specifically, a deeply supervised network is designed to enhance the stability of the second deep learning model and further improve the performance of lesion characterization. Importantly, only non-enhanced MR of HCC is required for the malignancy characterization in the training and test phase of the second deep learning model. Experiments of one hundred and fifteen clinical HCCs demonstrate that the proposed deeply supervised cross modal transfer learning method can significantly improve the malignancy characterization of HCC based on non-enhanced MR.</t>
  </si>
  <si>
    <t>Diagnosis of left ventricular hypertrophy using convolutional neural network</t>
  </si>
  <si>
    <t>BACKGROUND: Clinically, doctors obtain the left ventricular posterior wall thickness (LVPWT) mainly by observing ultrasonic echocardiographic video stream to capture a single frame of images with diagnostic significance, and then mark two key points on both sides of the posterior wall of the left ventricle with their own experience for computer measurement. In the actual measurement, the doctor's selection point is subjective, and difficult to accurately locate the edge, which will bring errors to the measurement results. METHODS: In this paper, a convolutional neural network model of left ventricular posterior wall positioning was built under the TensorFlow framework, and the target region images were obtained after the positioning results were processed by non-local mean filtering and opening operation. Then the edge detection algorithm based on threshold segmentation is used. After the contour was extracted by adjusting the segmentation threshold through prior analysis and the OTSU algorithm, the design algorithm completed the computer selection point measurement of the thickness of the posterior wall of the left ventricle. RESULTS: The proposed method can effectively extract the left ventricular posterior wall contour and measure its thickness. The experimental results show that the relative error between the measurement result and the hospital measurement value is less than 15%, which is less than 20% of the acceptable repeatability error in clinical practice. CONCLUSIONS: Therefore, the measurement method proposed in this paper has the advantages of less manual intervention, and the processing method is reasonable and has practical value.</t>
  </si>
  <si>
    <t>Development and application of artificial intelligence in cardiac imaging</t>
  </si>
  <si>
    <t>In this review, we describe the technical aspects of artificial intelligence (AI) in cardiac imaging, starting with radiomics, basic algorithms of deep learning and application tasks of algorithms, until recently the availability of the public database. Subsequently, we conducted a systematic literature search for recently published clinically relevant studies on AI in cardiac imaging. As a result, 24 and 14 studies using CT and MRI, respectively, were included and summarized. From these studies, it can be concluded that AI is widely applied in cardiac applications in the clinic, including coronary calcium scoring, coronary CT angiography, fractional flow reserve CT, plaque analysis, left ventricular myocardium analysis, diagnosis of myocardial infarction, prognosis of coronary artery disease, assessment of cardiac function, and diagnosis and prognosis of cardiomyopathy. These advancements show that AI has a promising prospect in cardiac imaging.</t>
  </si>
  <si>
    <t>Denoising of 3D magnetic resonance images with multi-channel residual learning of convolutional neural network</t>
  </si>
  <si>
    <t>PURPOSE: To test if the proposed deep learning based denoising method denoising convolutional neural networks (DnCNN) with residual learning and multi-channel strategy can denoise three dimensional MR images with Rician noise robustly. MATERIALS AND METHODS: Multi-channel DnCNN (MCDnCNN) method with two training strategies was developed to denoise MR images with and without a specific noise level, respectively. To evaluate our method, three datasets from two public data sources of IXI dataset and Brainweb, including T1 weighted MR images acquired at 1.5 and 3 T as well as MR images simulated with a widely used MR simulator, were randomly selected and artificially added with different noise levels ranging from 1 to 15%. For comparison, four other state-of-the-art denoising methods were also tested using these datasets. RESULTS: In terms of the highest peak-signal-to-noise-ratio and global of structure similarity index, our proposed MCDnCNN model for a specific noise level showed the most robust denoising performance in all three datasets. Next to that, our general noise-applicable model also performed better than the rest four methods in two datasets. Furthermore, our training model showed good general applicability. CONCLUSION: Our proposed MCDnCNN model has been demonstrated to robustly denoise three dimensional MR images with Rician noise.</t>
  </si>
  <si>
    <t>D. Jiang, W. Dou, L. Vosters, X. Xu, Y. Sun and T. Tan</t>
  </si>
  <si>
    <t>An Automatic Detection System of Lung Nodule Based on Multigroup Patch-Based Deep Learning Network</t>
  </si>
  <si>
    <t>High-efficiency lung nodule detection dramatically contributes to the risk assessment of lung cancer. It is a significant and challenging task to quickly locate the exact positions of lung nodules. Extensive work has been done by researchers around this domain for approximately two decades. However, previous computer-aided detection (CADe) schemes are mostly intricate and time-consuming since they may require more image processing modules, such as the computed tomography image transformation, the lung nodule segmentation, and the feature extraction, to construct a whole CADe system. It is difficult for these schemes to process and analyze enormous data when the medical images continue to increase. Besides, some state of the art deep learning schemes may be strict in the standard of database. This study proposes an effective lung nodule detection scheme based on multigroup patches cut out from the lung images, which are enhanced by the Frangi filter. Through combining two groups of images, a four-channel convolution neural networks model is designed to learn the knowledge of radiologists for detecting nodules of four levels. This CADe scheme can acquire the sensitivity of 80.06% with 4.7 false positives per scan and the sensitivity of 94% with 15.1 false positives per scan. The results demonstrate that the multigroup patch-based learning system is efficient to improve the performance of lung nodule detection and greatly reduce the false positives under a huge amount of image data.</t>
  </si>
  <si>
    <t>H. Jiang, H. Ma, W. Qian, M. Gao, Y. Li, J. Hongyang, M. He, Q. Wei, G. Mengdi and L. Yan</t>
  </si>
  <si>
    <t>Transfer learning on T1-weighted images for brain age estimation</t>
  </si>
  <si>
    <t>Due to both the hidden nature and the irreversibility of Alzheimers disease (AD), it has become the killer of the elderly and is thus the focus of much attention in the medical field. Radiologists compare the predicted brain age with the ground truth in order to provide a preliminary analysis of AD, which helps doctors diagnose AD as early in its development as possible. In this paper, a transfer learning-based method of predicting brain age using MR images and dataset of a public brain was proposed. In order to get the best transfer results, we froze different layers and only fine-tuned the remaining layers. We used three planes of brain MR images together to predict age for the first time and experiment results showed that the proposed method performs better than the state-of-the-art method under mean absolute error metric by 0.6 years. In addition, to explore the relationship between brain MR images of different planes and predicted age accuracy, we used three different planes of brain MR images to predict age respectively for the first time and found that sagittal plane MR images outperformed two other planes in age estimation. Finally, our research identified, the effective regions that contribute to brain age estimation for cognitively normal individuals and for AD patients with deep learning. For AD patients, the effective region is mainly concentrated in the frontal lobe of the brain, verifying the relevant medical conclusions about AD.</t>
  </si>
  <si>
    <t>Multiple Resolution Residually Connected Feature Streams for Automatic Lung Tumor Segmentation From CT Images</t>
  </si>
  <si>
    <t>Volumetric lung tumor segmentation and accurate longitudinal tracking of tumor volume changes from computed tomography images are essential for monitoring tumor response to therapy. Hence, we developed two multiple resolution residually connected network (MRRN) formulations called incremental-MRRN and dense-MRRN. Our networks simultaneously combine features across multiple image resolution and feature levels through residual connections to detect and segment the lung tumors. We evaluated our method on a total of 1210 non-small cell (NSCLC) lung tumors and nodules from three data sets consisting of 377 tumors from the open-source Cancer Imaging Archive (TCIA), 304 advanced stage NSCLC treated with anti- PD-1 checkpoint immunotherapy from internal institution MSKCC data set, and 529 lung nodules from the Lung Image Database Consortium (LIDC). The algorithm was trained using 377 tumors from the TCIA data set and validated on the MSKCC and tested on LIDC data sets. The segmentation accuracy compared to expert delineations was evaluated by computing the dice similarity coefficient, Hausdorff distances, sensitivity, and precision metrics. Our best performing incremental-MRRN method produced the highest DSC of 0.74 ± 0.13 for TCIA, 0.75±0.12 for MSKCC, and 0.68±0.23 for the LIDC data sets. There was no significant difference in the estimations of volumetric tumor changes computed using the incremental-MRRN method compared with the expert segmentation. In summary, we have developed a multi-scale CNN approach for volumetrically segmenting lung tumors which enables accurate, automated identification of and serial measurement of tumor volumes in the lung.</t>
  </si>
  <si>
    <t>Self-derived organ attention for unpaired CT-MRI deep domain adaptation based MRI segmentation</t>
  </si>
  <si>
    <t>To develop and evaluate a deep learning method to segment parotid glands from MRI using unannotated MRI and unpaired expert-segmented CT datasets. We introduced a new self-derived organ attention deep learning network for combined CT to MRI image-to-image translation (I2I) and MRI segmentation, all trained as an end-to-end network. The expert segmentations available on CT scans were combined with the I2I translated pseudo MR images to train the MRI segmentation network. Once trained, the MRI segmentation network alone is required. We introduced an organ attention discriminator that constrains the CT to MR generator to synthesize pseudo MR images that preserve organ geometry and appearance statistics as in real MRI. The I2I translation network training was regularized using the organ attention discriminator, global image-matching discriminator, and cycle consistency losses. MRI segmentation training was regularized by using cross-entropy loss. Segmentation performance was compared against multiple domain adaptation-based segmentation methods using the Dice similarity coefficient (DSC) and Hausdorff distance at the 95th percentile (HD95). All networks were trained using 85 unlabeled T2-weighted fat suppressed (T2wFS) MRIs and 96 expert-segmented CT scans. Performance upper-limit was based on fully supervised MRI training done using the 85 T2wFS MRI with expert segmentations. Independent evaluation was performed on 77 MRIs never used in training. The proposed approach achieved the highest accuracy (left parotid: DSC 0.82 ± 0.03, HD95 2.98 ± 1.01 mm; right parotid: 0.81 ± 0.05, HD95 3.14 ± 1.17 mm) compared to other methods. This accuracy was close to the reference fully supervised MRI segmentation (DSC of 0.84 ± 0.04, a HD95 of 2.24 ± 0.77 mm for the left parotid, and a DSC of 0.84 ± 0.06 and HD95 of 2.32 ± 1.37 mm for the right parotid glands).</t>
  </si>
  <si>
    <t>Cross-modality (CT-MRI) prior augmented deep learning for robust lung tumor segmentation from small MR datasets</t>
  </si>
  <si>
    <t>PURPOSE: Accurate tumor segmentation is a requirement for magnetic resonance (MR)-based radiotherapy. Lack of large expert annotated MR datasets makes training deep learning models difficult. Therefore, a cross-modality (MR-CT) deep learning segmentation approach that augments training data using pseudo MR images produced by transforming expert-segmented CT images was developed. METHODS: Eighty-one T2-weighted MRI scans from 28 patients with non-small cell lung cancers (nine with pretreatment and weekly MRI and the remainder with pre-treatment MRI scans) were analyzed. Cross-modality model encoding the transformation of CT to pseudo MR images resembling T2w MRI was learned as a generative adversarial deep learning network. This model was used to translate 377 expert segmented non-small cell lung cancer CT scans from the Cancer Imaging Archive into pseudo MRI that served as additional training set. This method was benchmarked against shallow learning using random forest, standard data augmentation, and three state-of-the art adversarial learning-based cross-modality data (pseudo MR) augmentation methods. Segmentation accuracy was computed using Dice similarity coefficient (DSC), Hausdorff distance metrics, and volume ratio. RESULTS: The proposed approach produced the lowest statistical variability in the intensity distribution between pseudo and T2w MR images measured as Kullback-Leibler divergence of 0.069. This method produced the highest segmentation accuracy with a DSC of (0.75 ± 0.12) and the lowest Hausdorff distance of (9.36 mm ± 6.00 mm) on the test dataset using a U-Net structure. This approach produced highly similar estimations of tumor growth as an expert (P = 0.37). CONCLUSIONS: A novel deep learning MR segmentation was developed that overcomes the limitation of learning robust models from small datasets by leveraging learned cross-modality information using a model that explicitly incorporates knowledge of tumors in modality translation to augment segmentation training. The results show the feasibility of the approach and the corresponding improvement over the state-of-the-art methods.</t>
  </si>
  <si>
    <t>[Using stacked neural network to improve the auto-segmentation accuracy of Graves' ophthalmopathy target volumes for radiotherapy]</t>
  </si>
  <si>
    <t>Compared with the previous automatic segmentation neural network for the target area which considered the target area as an independent area, a stacked neural network which uses the position and shape information of the organs around the target area to regulate the shape and position of the target area through the superposition of multiple networks and fusion of spatial position information to improve the segmentation accuracy on medical images was proposed in this paper. Taking the Graves' ophthalmopathy disease as an example, the left and right radiotherapy target areas were segmented by the stacked neural network based on the fully convolutional neural network. The volume Dice similarity coefficient (DSC) and bidirectional Hausdorff distance (HD) were calculated based on the target area manually drawn by the doctor. Compared with the full convolutional neural network, the stacked neural network segmentation results can increase the volume DSC on the left and right sides by 1.7% and 3.4% respectively, while the two-way HD on the left and right sides decrease by 0.6. The results show that the stacked neural network improves the degree of coincidence between the automatic segmentation result and the doctor's delineation of the target area, while reducing the segmentation error of small areas. The stacked neural network can effectively improve the accuracy of the automatic delineation of the radiotherapy target area of Graves' ophthalmopathy.</t>
  </si>
  <si>
    <t>COVID-19 CT Image Synthesis with a Conditional Generative Adversarial Network</t>
  </si>
  <si>
    <t>Coronavirus disease 2019 (COVID-19) is an ongoing global pandemic that has spread rapidly since December 2019. Real-time reverse transcription polymerase chain reaction (rRT-PCR) and chest computed tomography (CT) imaging both play an important role in COVID-19 diagnosis. Chest CT imaging offers the benefits of quick reporting, a low cost, and high sensitivity for the detection of pulmonary infection. Recently, deep-learning-based computer vision methods have demonstrated great promise for use in medical imaging applications, including X-rays, magnetic resonance imaging, and CT imaging. However, training a deep-learning model requires large volumes of data, and medical staff faces a high risk when collecting COVID-19 CT data due to the high infectivity of the disease. Another issue is the lack of experts available for data labeling. In order to meet the data requirements for COVID-19 CT imaging, we propose a CT image synthesis approach based on a conditional generative adversarial network that can effectively generate high-quality and realistic COVID-19 CT images for use in deep-learning-based medical imaging tasks. Experimental results show that the proposed method outperforms other state-of-the-art image synthesis methods with the generated COVID-19 CT images and indicates promising for various machine learning applications including semantic segmentation and classification.</t>
  </si>
  <si>
    <t>Optic Disc and Cup Segmentation with Blood Vessel Removal from Fundus Images for Glaucoma Detection</t>
  </si>
  <si>
    <t>Glaucoma is one of the major causes of blindness. Researchers keep looking for better ways to detect glaucoma in its early stage before it gets worse and cannot be cured. Among existing methods, the vertical cup to disc ratio (CDR) has been found to be effective for glaucoma measurement, which is calculated from the diameters of the optic cup and disc regions. Therefore, in order to achieve a more accurate CDR, a good segmentation of the optic disc and cup regions is quite important. Noting that the shape of the disc and cup regions can be assumed to be an ellipse, in this work we propose to find the minimal bounding boxes for the two regions based on the recent advances of deep learning. Also, considering blood vessels, passing through the disc area in a fundus image, can affect the detection of the bounding boxes, we further propose to remove the blood vessels beforehand in order to further boost the overall performance. Comprehensive experiments show that our proposed method achieves state-of-the-art performance on ORIGA-650 for optic disc and cup segmentation.</t>
  </si>
  <si>
    <t>Y. Jiang, H. Xia, Y. Xu, J. Cheng, H. Fu, L. Duan, Z. Meng and J. Liu</t>
  </si>
  <si>
    <t>Augmentation of CBCT Reconstructed From Under-Sampled Projections Using Deep Learning</t>
  </si>
  <si>
    <t>Edges tend to be over-smoothed in total variation (TV) regularized under-sampled images. In this paper, symmetric residual convolutional neural network (SR-CNN), a deep learning based model, was proposed to enhance the sharpness of edges and detailed anatomical structures in under-sampled cone-beam computed tomography (CBCT). For training, CBCT images were reconstructed using TV-based method from limited projections simulated from the ground truth CT, and were fed into SR-CNN, which was trained to learn a restoring pattern from under-sampled images to the ground truth. For testing, under-sampled CBCT was reconstructed using TV regularization and was then augmented by SR-CNN. Performance of SR-CNN was evaluated using phantom and patient images of various disease sites acquired at different institutions both qualitatively and quantitatively using structure similarity (SSIM) and peak signal-to-noise ratio (PSNR). SR-CNN substantially enhanced image details in the TV-based CBCT across all experiments. In the patient study using real projections, SR-CNN augmented CBCT images reconstructed from as low as 120 half-fan projections to image quality comparable to the reference fully-sampled FDK reconstruction using 900 projections. In the tumor localization study, improvements in the tumor localization accuracy were made by the SR-CNN augmented images compared with the conventional FDK and TV-based images. SR-CNN demonstrated robustness against noise levels and projection number reductions and generalization for various disease sites and datasets from different institutions. Overall, the SR-CNN-based image augmentation technique was efficient and effective in considerably enhancing edges and anatomical structures in under-sampled 3D/4D-CBCT, which can be very valuable for image-guided radiotherapy.</t>
  </si>
  <si>
    <t>A multi-scale framework with unsupervised joint training of convolutional neural networks for pulmonary deformable image registration</t>
  </si>
  <si>
    <t>To achieve accurate and fast deformable image registration (DIR) for pulmonary CT, we proposed a Multi-scale DIR framework with unsupervised Joint training of Convolutional Neural Network (MJ-CNN). MJ-CNN contains three models at multi-scale levels for a coarse-to-fine DIR to avoid being trapped in a local minimum. It is trained based on image similarity and deformation vector field (DVF) smoothness, requiring no supervision of ground-truth DVF. The three models are first trained sequentially and separately for their own registration tasks, and then are trained jointly for an end-to-end optimization under the multi-scale framework. In this study, MJ-CNN was trained using public SPARE 4D-CT data. The trained MJ-CNN was then evaluated on public DIR-LAB 4D-CT dataset as well as clinical CT-to-CBCT and CBCT-to-CBCT registration. For 4D-CT inter-phase registration, MJ-CNN achieved comparable accuracy to conventional iteration optimization-based methods, and showed the smallest registration errors compared to recently published deep learning-based DIR methods, demonstrating the efficacy of the proposed multi-scale joint training scheme. Besides, MJ-CNN trained using one dataset (SPARE) could generalize to a different dataset (DIR-LAB) acquired by different scanners and imaging protocols. Furthermore, MJ-CNN trained on 4D-CTs also performed well on CT-to-CBCT and CBCT-to-CBCT registration without any re-training or fine-tuning, demonstrating MJ-CNN's robustness against applications and imaging techniques. MJ-CNN took about 1.4 s for DVF estimation and required no manual-tuning of parameters during the evaluation. MJ-CNN is able to perform accurate DIR for pulmonary CT with nearly real-time speed, making it very applicable for clinical tasks.</t>
  </si>
  <si>
    <t>Retinal blood vessel segmentation using fully convolutional network with transfer learning</t>
  </si>
  <si>
    <t>Since the retinal blood vessel has been acknowledged as an indispensable element in both ophthalmological and cardiovascular disease diagnosis, the accurate segmentation of the retinal vessel tree has become the prerequisite step for automated or computer-aided diagnosis systems. In this paper, a supervised method is presented based on a pre-trained fully convolutional network through transfer learning. This proposed method has simplified the typical retinal vessel segmentation problem from full-size image segmentation to regional vessel element recognition and result merging. Meanwhile, additional unsupervised image post-processing techniques are applied to this proposed method so as to refine the final result. Extensive experiments have been conducted on DRIVE, STARE, CHASE_DB1 and HRF databases, and the accuracy of the cross-database test on these four databases is state-of-the-art, which also presents the high robustness of the proposed approach. This successful result has not only contributed to the area of automated retinal blood vessel segmentation but also supports the effectiveness of transfer learning when applying deep learning technique to medical imaging.</t>
  </si>
  <si>
    <t>Z. Jiang, H. Zhang, Y. Wang and S. B. Ko</t>
  </si>
  <si>
    <t>Deep Convolutional Neural Networks-Based Automatic Breast Segmentation and Mass Detection in DCE-MRI</t>
  </si>
  <si>
    <t>Breast segmentation and mass detection in medical images are important for diagnosis and treatment follow-up. Automation of these challenging tasks can assist radiologists by reducing the high manual workload of breast cancer analysis. In this paper, deep convolutional neural networks (DCNN) were employed for breast segmentation and mass detection in dynamic contrast-enhanced magnetic resonance imaging (DCE-MRI). First, the region of the breasts was segmented from the remaining body parts by building a fully convolutional neural network based on U-Net++. Using the method of deep learning to extract the target area can help to reduce the interference external to the breast. Second, a faster region with convolutional neural network (Faster RCNN) was used for mass detection on segmented breast images. The dataset of DCE-MRI used in this study was obtained from 75 patients, and a 5-fold cross validation method was adopted. The statistical analysis of breast region segmentation was carried out by computing the Dice similarity coefficient (DSC), Jaccard coefficient, and segmentation sensitivity. For validation of breast mass detection, the sensitivity with the number of false positives per case was computed and analyzed. The Dice and Jaccard coefficients and the segmentation sensitivity value for breast region segmentation were 0.951, 0.908, and 0.948, respectively, which were better than those of the original U-Net algorithm, and the average sensitivity for mass detection achieved 0.874 with 3.4 false positives per case.</t>
  </si>
  <si>
    <t>Self-supervised Contrastive Video-Speech Representation Learning for Ultrasound</t>
  </si>
  <si>
    <t>In medical imaging, manual annotations can be expensive to acquire and sometimes infeasible to access, making conventional deep learning-based models difficult to scale. As a result, it would be beneficial if useful representations could be derived from raw data without the need for manual annotations. In this paper, we propose to address the problem of self-supervised representation learning with multi-modal ultrasound video-speech raw data. For this case, we assume that there is a high correlation between the ultrasound video and the corresponding narrative speech audio of the sonographer. In order to learn meaningful representations, the model needs to identify such correlation and at the same time understand the underlying anatomical features. We designed a framework to model the correspondence between video and audio without any kind of human annotations. Within this framework, we introduce cross-modal contrastive learning and an affinity-aware self-paced learning scheme to enhance correlation modelling. Experimental evaluations on multi-modal fetal ultrasound video and audio show that the proposed approach is able to learn strong representations and transfers well to downstream tasks of standard plane detection and eye-gaze prediction.</t>
  </si>
  <si>
    <t>Self-Supervised Representation Learning for Ultrasound Video</t>
  </si>
  <si>
    <t>Recent advances in deep learning have achieved promising performance for medical image analysis, while in most cases ground-truth annotations from human experts are necessary to train the deep model. In practice, such annotations are expensive to collect and can be scarce for medical imaging applications. Therefore, there is significant interest in learning representations from unlabelled raw data. In this paper, we propose a self-supervised learning approach to learn meaningful and transferable representations from medical imaging video without any type of human annotation. We assume that in order to learn such a representation, the model should identify anatomical structures from the unlabelled data. Therefore we force the model to address anatomy-aware tasks with free supervision from the data itself. Specifically, the model is designed to correct the order of a reshuffled video clip and at the same time predict the geometric transformation applied to the video clip. Experiments on fetal ultrasound video show that the proposed approach can effectively learn meaningful and strong representations, which transfer well to downstream tasks like standard plane detection and saliency prediction.</t>
  </si>
  <si>
    <t>Tox_(R)CNN: Deep learning-based nuclei profiling tool for drug toxicity screening</t>
  </si>
  <si>
    <t>Toxicity is an important factor in failed drug development, and its efficient identification and prediction is a major challenge in drug discovery. We have explored the potential of microscopy images of fluorescently labeled nuclei for the prediction of toxicity based on nucleus pattern recognition. Deep learning algorithms obtain abstract representations of images through an automated process, allowing them to efficiently classify complex patterns, and have become the state-of-the art in machine learning for computer vision. Here, deep convolutional neural networks (CNN) were trained to predict toxicity from images of DAPI-stained cells pre-treated with a set of drugs with differing toxicity mechanisms. Different cropping strategies were used for training CNN models, the nuclei-cropping-based Tox_CNN model outperformed other models classifying cells according to health status. Tox_CNN allowed automated extraction of feature maps that clustered compounds according to mechanism of action. Moreover, fully automated region-based CNNs (RCNN) were implemented to detect and classify nuclei, providing per-cell toxicity prediction from raw screening images. We validated both Tox_(R)CNN models for detection of pre-lethal toxicity from nuclei images, which proved to be more sensitive and have broader specificity than established toxicity readouts. These models predicted toxicity of drugs with mechanisms of action other than those they had been trained for and were successfully transferred to other cell assays. The Tox_(R)CNN models thus provide robust, sensitive, and cost-effective tools for in vitro screening of drug-induced toxicity. These models can be adopted for compound prioritization in drug screening campaigns, and could thereby increase the efficiency of drug discovery.</t>
  </si>
  <si>
    <t>D. Jimenez-Carretero, V. Abrishami, L. Fernández-de-Manuel, I. Palacios, A. Quílez-Álvarez, A. Díez-Sánchez, M. A. Del Pozo and M. C. Montoya</t>
  </si>
  <si>
    <t>Precise proximal femur fracture classification for interactive training and surgical planning</t>
  </si>
  <si>
    <t>PURPOSE: Demonstrate the feasibility of a fully automatic computer-aided diagnosis (CAD) tool, based on deep learning, that localizes and classifies proximal femur fractures on X-ray images according to the AO classification. The proposed framework aims to improve patient treatment planning and provide support for the training of trauma surgeon residents. MATERIAL AND METHODS: A database of 1347 clinical radiographic studies was collected. Radiologists and trauma surgeons annotated all fractures with bounding boxes and provided a classification according to the AO standard. In all experiments, the dataset was split patient-wise in three with the ratio 70%:10%:20% to build the training, validation and test sets, respectively. ResNet-50 and AlexNet architectures were implemented as deep learning classification and localization models, respectively. Accuracy, precision, recall and [Formula: see text]-score were reported as classification metrics. Retrieval of similar cases was evaluated in terms of precision and recall. RESULTS: The proposed CAD tool for the classification of radiographs into types A, B and not-fractured reaches a [Formula: see text]-score of 87% and AUC of 0.95. When classifying fractures versus not-fractured cases it improves up to 94% and 0.98. Prior localization of the fracture results in an improvement with respect to full-image classification. In total, 100% of the predicted centers of the region of interest are contained in the manually provided bounding boxes. The system retrieves on average 9 relevant images (from the same class) out of 10 cases. CONCLUSION: Our CAD scheme localizes, detects and further classifies proximal femur fractures achieving results comparable to expert-level and state-of-the-art performance. Our auxiliary localization model was highly accurate predicting the region of interest in the radiograph. We further investigated several strategies of verification for its adoption into the daily clinical routine. A sensitivity analysis of the size of the ROI and image retrieval as a clinical use case were presented.</t>
  </si>
  <si>
    <t>Optic Disc Segmentation Using Attention-Based U-Net and the Improved Cross-Entropy Convolutional Neural Network</t>
  </si>
  <si>
    <t>Medical image segmentation is an important part of medical image analysis. With the rapid development of convolutional neural networks in image processing, deep learning methods have achieved great success in the field of medical image processing. Deep learning is also used in the field of auxiliary diagnosis of glaucoma, and the effective segmentation of the optic disc area plays an important assistant role in the diagnosis of doctors in the clinical diagnosis of glaucoma. Previously, many U-Net-based optic disc segmentation methods have been proposed. However, the channel dependence of different levels of features is ignored. The performance of fundus image segmentation in small areas is not satisfactory. In this paper, we propose a new aggregation channel attention network to make full use of the influence of context information on semantic segmentation. Different from the existing attention mechanism, we exploit channel dependencies and integrate information of different scales into the attention mechanism. At the same time, we improved the basic classification framework based on cross entropy, combined the dice coefficient and cross entropy, and balanced the contribution of dice coefficients and cross entropy loss to the segmentation task, which enhanced the performance of the network in small area segmentation. The network retains more image features, restores the significant features more accurately, and further improves the segmentation performance of medical images. We apply it to the fundus optic disc segmentation task. We demonstrate the segmentation performance of the model on the Messidor dataset and the RIM-ONE dataset, and evaluate the proposed architecture. Experimental results show that our network architecture improves the prediction performance of the base architectures under different datasets while maintaining the computational efficiency. The results render that the proposed technologies improve the segmentation with 0.0469 overlapping error on Messidor.</t>
  </si>
  <si>
    <t>Development and evaluation of an artificial intelligence system for COVID-19 diagnosis</t>
  </si>
  <si>
    <t>Early detection of COVID-19 based on chest CT enables timely treatment of patients and helps control the spread of the disease. We proposed an artificial intelligence (AI) system for rapid COVID-19 detection and performed extensive statistical analysis of CTs of COVID-19 based on the AI system. We developed and evaluated our system on a large dataset with more than 10 thousand CT volumes from COVID-19, influenza-A/B, non-viral community acquired pneumonia (CAP) and non-pneumonia subjects. In such a difficult multi-class diagnosis task, our deep convolutional neural network-based system is able to achieve an area under the receiver operating characteristic curve (AUC) of 97.81% for multi-way classification on test cohort of 3,199 scans, AUC of 92.99% and 93.25% on two publicly available datasets, CC-CCII and MosMedData respectively. In a reader study involving five radiologists, the AI system outperforms all of radiologists in more challenging tasks at a speed of two orders of magnitude above them. Diagnosis performance of chest x-ray (CXR) is compared to that of CT. Detailed interpretation of deep network is also performed to relate system outputs with CT presentations. The code is available at https://github.com/ChenWWWeixiang/diagnosis_covid19 .</t>
  </si>
  <si>
    <t>Fully automated intracranial aneurysm detection and segmentation from digital subtraction angiography series using an end-to-end spatiotemporal deep neural network</t>
  </si>
  <si>
    <t>BACKGROUND: Intracranial aneurysms (IAs) are common in the population and may cause death. OBJECTIVE: To develop a new fully automated detection and segmentation deep neural network based framework to assist neurologists in evaluating and contouring intracranial aneurysms from 2D+time digital subtraction angiography (DSA) sequences during diagnosis. METHODS: The network structure is based on a general U-shaped design for medical image segmentation and detection. The network includes a fully convolutional technique to detect aneurysms in high-resolution DSA frames. In addition, a bidirectional convolutional long short-term memory module is introduced at each level of the network to capture the change in contrast medium flow across the 2D DSA frames. The resulting network incorporates both spatial and temporal information from DSA sequences and can be trained end-to-end. Furthermore, deep supervision was implemented to help the network converge. The proposed network structure was trained with 2269 DSA sequences from 347 patients with IAs. After that, the system was evaluated on a blind test set with 947 DSA sequences from 146 patients. RESULTS: Of the 354 aneurysms, 316 (89.3%) were successfully detected, corresponding to a patient level sensitivity of 97.7% at an average false positive number of 3.77 per sequence. The system runs for less than one second per sequence with an average dice coefficient score of 0.533. CONCLUSIONS: This deep neural network assists in successfully detecting and segmenting aneurysms from 2D DSA sequences, and can be used in clinical practice.</t>
  </si>
  <si>
    <t>Deep learning-enabled accurate normalization of reconstruction kernel effects on emphysema quantification in low-dose CT</t>
  </si>
  <si>
    <t>Lung densitometry is being frequently adopted in CT-based emphysema quantification, yet known to be affected by the choice of reconstruction kernel. This study presents a two-step deep learning architecture that enables accurate normalization of reconstruction kernel effects on emphysema quantification in low-dose CT. Deep learning is used to convert a CT image of a sharp kernel to that of a standard kernel with restoration of truncation artifacts and smoothing-free pixel size normalization. We selected 353 scans reconstructed by both standard and sharp kernels from four different CT scanners from the United States National Lung Screening Trial program database. A truncation artifact correction model was constructed with a combination of histogram extrapolation and a deep learning model trained with truncated and non-truncated image sets. Then, we performed frequency domain zero-padding to normalize reconstruction field of view effects while preventing image smoothing effects. The kernel normalization model has a U-Net based architecture trained for each CT scanner dataset. Three lung density measurements including relative lung area under 950 HU (RA950), lower 15th percentile threshold (perc15), and mean lung density were obtained in the datasets from standard, sharp, and normalized kernels. The effect of kernel normalization was evaluated with pair-wise differences in lung density metrics. The mean of pair-wise differences in RA950 between standard and sharp kernel reconstructions was reduced from 10.75% to  -0.07% using kernel normalization. The difference for perc15 decreased from  -31.03 HU to  -0.30 HU after kernel normalization. Our study demonstrated the feasibility of applying deep learning techniques for normalizing CT kernel effects, thereby reducing the kernel-induced variability in lung density measurements. The deep learning model could increase the accuracy of emphysema quantification, thereby allowing reliable surveillance of emphysema in lung cancer screening even when follow-up CT scans are acquired with different reconstruction kernels.</t>
  </si>
  <si>
    <t>A deep 3D residual CNN for false-positive reduction in pulmonary nodule detection</t>
  </si>
  <si>
    <t>PURPOSE: The automatic detection of pulmonary nodules using CT scans improves the efficiency of lung cancer diagnosis, and false-positive reduction plays a significant role in the detection. In this paper, we focus on the false-positive reduction task and propose an effective method for this task. METHODS: We construct a deep 3D residual CNN (convolution neural network) to reduce false-positive nodules from candidate nodules. The proposed network is much deeper than the traditional 3D CNNs used in medical image processing. Specifically, in the network, we design a spatial pooling and cropping (SPC) layer to extract multilevel contextual information of CT data. Moreover, we employ an online hard sample selection strategy in the training process to make the network better fit hard samples (e.g., nodules with irregular shapes). RESULTS: Our method is evaluated on 888 CT scans from the dataset of the LUNA16 Challenge. The free-response receiver operating characteristic (FROC) curve shows that the proposed method achieves a high detection performance. CONCLUSIONS: Our experiments confirm that our method is robust and that the SPC layer helps increase the prediction accuracy. Additionally, the proposed method can easily be extended to other 3D object detection tasks in medical image processing.</t>
  </si>
  <si>
    <t>H. Jin, Z. Li, R. Tong and L. Lin</t>
  </si>
  <si>
    <t>Automatic detection of non-perfusion areas in diabetic macular edema from fundus fluorescein angiography for decision making using deep learning</t>
  </si>
  <si>
    <t>Vision loss caused by diabetic macular edema (DME) can be prevented by early detection and laser photocoagulation. As there is no comprehensive detection technique to recognize NPA, we proposed an automatic detection method of NPA on fundus fluorescein angiography (FFA) in DME. The study included 3,014 FFA images of 221 patients with DME. We use 3 convolutional neural networks (CNNs), including DenseNet, ResNet50, and VGG16, to identify non-perfusion regions (NP), microaneurysms, and leakages in FFA images. The NPA was segmented using attention U-net. To validate its performance, we applied our detection algorithm on 249 FFA images in which the NPA areas were manually delineated by 3 ophthalmologists. For DR lesion classification, area under the curve is 0.8855 for NP regions, 0.9782 for microaneurysms, and 0.9765 for leakage classifier. The average precision of NP region overlap ratio is 0.643. NP regions of DME in FFA images are identified based a new automated deep learning algorithm. This study is an in-depth study from computer-aided diagnosis to treatment, and will be the theoretical basis for the application of intelligent guided laser.</t>
  </si>
  <si>
    <t>Deep learning enables structured illumination microscopy with low light levels and enhanced speed</t>
  </si>
  <si>
    <t>Structured illumination microscopy (SIM) surpasses the optical diffraction limit and offers a two-fold enhancement in resolution over diffraction limited microscopy. However, it requires both intense illumination and multiple acquisitions to produce a single high-resolution image. Using deep learning to augment SIM, we obtain a five-fold reduction in the number of raw images required for super-resolution SIM, and generate images under extreme low light conditions (at least 100× fewer photons). We validate the performance of deep neural networks on different cellular structures and achieve multi-color, live-cell super-resolution imaging with greatly reduced photobleaching.</t>
  </si>
  <si>
    <t>Gait characteristics and clinical relevance of hereditary spinocerebellar ataxia on deep learning</t>
  </si>
  <si>
    <t>BACKGROUND: Deep learning has always been at the forefront of scientific research. It has also been applied to medical research. Hereditary spinocerebellar ataxia (SCA) is characterized by gait abnormalities and is usually evaluated semi-quantitatively by scales. However, more detailed gait characteristics of SCA and related objective methods have not yet been established. Therefore, the purpose of this study was to evaluate the gait characteristics of SCA patients, as well as to analyze the correlation between gait parameters, clinical scales, and imaging on deep learning. METHODS: Twenty SCA patients diagnosed by genetic detection were included in the study. Ten patients who were tested via functional magnetic resonance imaging (fMRI) were included in the SCA imaging subgroup. All SCA patients were evaluated with the International Cooperative Ataxia Rating Scale (ICARS) and Scale for the Assessment and Rating of Ataxia (SARA) clinical scales. The gait control group included 16 healthy subjects, and the imaging control group included seven healthy subjects. Gait data consisting of 10 m of free walking of each individual in the SCA group and the gait control group were detected by wearable gait-detection equipment. Stride length, stride time, velocity, supporting-phase percentage, and swinging-phase percentage were extracted as gait parameters. Cerebellar volume and the midsagittal cerebellar proportion in the posterior fossa (MRVD) were calculated according to MR. RESULTS: There were significant differences in stride length, velocity, supporting-phase percentage, and swinging-phase percentage between the SCA group and the gait control group. The stride length and stride velocity of SCA groups were lower while supporting phase was longer than those of the gait control group. SCA group's velocity was negatively correlated with both the ICARS and SARA scores. The cerebellar volume and MRVD of the SCA imaging subgroup were significantly smaller than those of the imaging control group. MRVD was significantly correlated with ICARS and SARA scores, as well as stride velocity variability. CONCLUSION: SCA gait parameters were characterized by a reduced stride length, slower walking velocity, and longer supporting phase. Additionally, a smaller cerebellar volume correlated with an increased irregularity in gait. Gait characteristics exhibited considerable clinical relevance to hereditary SCA. We conclude that a combination of gait parameters, ataxia scales, and MRVD may represent more objective markers for clinical evaluations of SCA.</t>
  </si>
  <si>
    <t>Prognosis of cervical myelopathy based on diffusion tensor imaging with artificial intelligence methods</t>
  </si>
  <si>
    <t>Diffusion tensor imaging (DTI) has been proposed for the prognosis of cervical myelopathy (CM), but the manual analysis of DTI features is complicated and time consuming. This study evaluated the potential of artificial intelligence (AI) methods in the analysis of DTI for the prognosis of CM. Seventy-five patients who underwent surgical treatment for CM were recruited for DTI imaging and were divided into two groups based on their one-year follow-up recovery. The DTI features of fractional anisotropy, axial diffusivity, radial diffusivity, and mean diffusivity were extracted from DTI maps of all cervical levels. Conventional AI models using logistic regression (LR), k-nearest neighbors (KNN), and a radial basis function kernel support vector machine (RBF-SVM) were built using these DTI features. In addition, a deep learning model was applied to the DTI maps. Their performances were compared using 50 repeated 10-fold cross-validations. The accuracy of the classifications reached 74.2% ± 1.6% for LR, 85.6% ± 1.4% for KNN, 89.7% ± 1.6% for RBF-SVM, and 59.2% ± 3.8% for the deep leaning model. The RBF-SVM algorithm achieved the best accuracy, with sensitivity and specificity of 85.0% ± 3.4% and 92.4% ± 1.9% respectively. This finding indicates that AI methods are feasible and effective for DTI analysis for the prognosis of CM.</t>
  </si>
  <si>
    <t>NMR Biomed</t>
  </si>
  <si>
    <t>Multi-task recurrent convolutional network with correlation loss for surgical video analysis</t>
  </si>
  <si>
    <t>Surgical tool presence detection and surgical phase recognition are two fundamental yet challenging tasks in surgical video analysis as well as very essential components in various applications in modern operating rooms. While these two analysis tasks are highly correlated in clinical practice as the surgical process is typically well-defined, most previous methods tackled them separately, without making full use of their relatedness. In this paper, we present a novel method by developing a multi-task recurrent convolutional network with correlation loss (MTRCNet-CL) to exploit their relatedness to simultaneously boost the performance of both tasks. Specifically, our proposed MTRCNet-CL model has an end-to-end architecture with two branches, which share earlier feature encoders to extract general visual features while holding respective higher layers targeting for specific tasks. Given that temporal information is crucial for phase recognition, long-short term memory (LSTM) is explored to model the sequential dependencies in the phase recognition branch. More importantly, a novel and effective correlation loss is designed to model the relatedness between tool presence and phase identification of each video frame, by minimizing the divergence of predictions from the two branches. Mutually leveraging both low-level feature sharing and high-level prediction correlating, our MTRCNet-CL method can encourage the interactions between the two tasks to a large extent, and hence can bring about benefits to each other. Extensive experiments on a large surgical video dataset (Cholec80) demonstrate outstanding performance of our proposed method, consistently exceeding the state-of-the-art methods by a large margin, e.g., 89.1% v.s. 81.0% for the mAP in tool presence detection and 87.4% v.s. 84.5% for F1 score in phase recognition.</t>
  </si>
  <si>
    <t>How many models/atlases are needed as priors for capturing anatomic population variations?</t>
  </si>
  <si>
    <t>Many medical image processing and analysis operations can benefit a great deal from prior information encoded in the form of models/atlases to capture variations over a population in form, shape, anatomic layout, and image appearance of objects. However, two fundamental questions have not been addressed in the literature: How many models/atlases are needed for optimally encoding prior information to address the differing body habitus factor in that population? and Images of how many subjects in the given population are needed to optimally harness prior information? We propose a method to seek answers to these questions. We assume that there is a well-defined body region of interest and a subject population under consideration, and that we are given a set of representative images of the body region for the population. After images are trimmed to the exact body region, a hierarchical agglomerative clustering algorithm partitions the set of images into a specified number of groups by using pairwise image (dis)similarity as a cost function. Optionally the images may be pre-registered among themselves prior to this partitioning operation. We define a measure called Residual Dissimilarity (RD) to determine the goodness of each partition. We then ascertain how RD varies as a function of the number of elements in the partition for finding the optimum number(s) of groups. Breakpoints in this function are taken as the recommended number of groups/models/atlases. Our results from analysis of sizeable CT data sets of adult patients from two body regions - thorax (346) and head and neck (298) - can be summarized as follows. (1) A minimum of 5 to 8 groups (or models/atlases) seems essential to properly capture information about differing anatomic forms and body habitus. (2) A minimum of 150 images from different subjects in a population seems essential to cover the anatomical variations for a given body region. (3) In grouping, body habitus variations seem to override differences due to other factors such as gender, with/without contrast enhancement in image acquisition, and presence of moderate pathology. This method may be helpful for constructing high quality models/atlases from a sufficiently large population of images and in optimally selecting the training image sets needed in deep learning strategies.</t>
  </si>
  <si>
    <t>A preliminary attempt to visualize nigrosome 1 in the substantia nigra for Parkinson's disease at 3T: An efficient susceptibility map-weighted imaging (SMWI) with quantitative susceptibility mapping using deep neural network (QSMnet)</t>
  </si>
  <si>
    <t>PURPOSE: Visibility of nigrosome 1 in the substantia nigra (SN) is used as an MR imaging biomarker for Parkinson's disease. Because of lower susceptibility induced tissue contrast and SNR visualization of the SN pars compacta (SNPC) using conventional imaging technique in the clinical field strength (≤3T) has been limited. Susceptibility map-weighted imaging (SMWI) has been proposed to visualize SNPC at 3T. To better visualize nigrosome 1 and SN areas using SMWI, accurate estimation of the quantitative susceptibility mapping (QSM) map is essential. In SMWI processing, however, QSM processing time using conventional algorithms is the most time-consuming step and may limit clinical use. In this study, we introduce an efficient SMWI processing approach using the deep neural network (QSMnet). To improve the processing speed of SMWI while maintaining similar image quality to that obtained with the conventional method, QSMnet was applied to generate a susceptibility mask for SMWI processing. METHODS: To conduct a deep learning-based image to image operation modified QSMnet was utilized. The network was trained with in vivo MR data from 57 healthy controls. To validate SMWI results from QSMnet, four datasets from healthy controls were used as the test datasets. As a preliminary attempt to explore the clinical applicability, Parkinson's disease patient data were additionally tested. The SWMI images generated by QSMnet and conventional model-based QSM outputs were compared. To validate SMWI results, region of interest (ROI) analysis was performed. The mean signal values at the nigrosome 1 and the surrounding regions were measured to calculate contrast-to-noise ratio (CNR). RESULTS: The experimental results confirmed that the proposed approach using QSMnet provided similar QSM and SMWI compared to that obtained with conventional iLSQR while the processing speed was much improved (5.4 times faster). The QSM results from QSMnet show similar tissue contrast with results from iLSQR. When compared, the absolute mean intensity difference between two methods near the nigrosome 1 was 0.015 ppm. SMWI results using susceptibility masks from QSMnet demonstrated signal distribution and tissue contrast that was comparable with those results from the conventional iLSQR method. The absolute difference maps of SMWI were calculated to show the similarity between the two methods. The overall mean absolute difference value in the presented ROIs obtained from healthy controls (n = 4) and a PD patient (n = 1) were 2.31 and 1.81, respectively. Mean CNR values (10 ROIs; n = 5; including both sides; 1.42 for QSMnet; 1.43 for iLSQR) between SN and nigrosome 1 in SMWI results obtained by ROI analysis were similar (P = 0.724). CONCLUSIONS: In this study, we assessed an efficient approach for SMWI visualizing SN and nigrosome 1 on 3T. QSMnet provides a similar SMWI image to that obtained with the conventional iterative QSM algorithm and improves QSM processing speed by avoiding iterative computation. Since QSM is the most time-consuming step of SMWI processing, QSMnet can help to achieve a higher processing speed of SMWI. These results suggest that SMWI imaging with susceptibility masks using QSMnet is a more efficient approach.</t>
  </si>
  <si>
    <t>Deep learning detection of informative features in tau PET for Alzheimer's disease classification</t>
  </si>
  <si>
    <t>BACKGROUND: Alzheimer's disease (AD) is the most common type of dementia, typically characterized by memory loss followed by progressive cognitive decline and functional impairment. Many clinical trials of potential therapies for AD have failed, and there is currently no approved disease-modifying treatment. Biomarkers for early detection and mechanistic understanding of disease course are critical for drug development and clinical trials. Amyloid has been the focus of most biomarker research. Here, we developed a deep learning-based framework to identify informative features for AD classification using tau positron emission tomography (PET) scans. RESULTS: The 3D convolutional neural network (CNN)-based classification model of AD from cognitively normal (CN) yielded an average accuracy of 90.8% based on five-fold cross-validation. The LRP model identified the brain regions in tau PET images that contributed most to the AD classification from CN. The top identified regions included the hippocampus, parahippocampus, thalamus, and fusiform. The layer-wise relevance propagation (LRP) results were consistent with those from the voxel-wise analysis in SPM12, showing significant focal AD associated regional tau deposition in the bilateral temporal lobes including the entorhinal cortex. The AD probability scores calculated by the classifier were correlated with brain tau deposition in the medial temporal lobe in MCI participants (r = 0.43 for early MCI and r = 0.49 for late MCI). CONCLUSION: A deep learning framework combining 3D CNN and LRP algorithms can be used with tau PET images to identify informative features for AD classification and may have application for early detection during prodromal stages of AD.</t>
  </si>
  <si>
    <t>Holographic deep learning for rapid optical screening of anthrax spores</t>
  </si>
  <si>
    <t>Establishing early warning systems for anthrax attacks is crucial in biodefense. Despite numerous studies for decades, the limited sensitivity of conventional biochemical methods essentially requires preprocessing steps and thus has limitations to be used in realistic settings of biological warfare. We present an optical method for rapid and label-free screening of Bacillus anthracis spores through the synergistic application of holographic microscopy and deep learning. A deep convolutional neural network is designed to classify holographic images of unlabeled living cells. After training, the network outperforms previous techniques in all accuracy measures, achieving single-spore sensitivity and subgenus specificity. The unique representation learning capability of deep learning enables direct training from raw images instead of manually extracted features. The method automatically recognizes key biological traits encoded in the images and exploits them as fingerprints. This remarkable learning ability makes the proposed method readily applicable to classifying various single cells in addition to B. anthracis, as demonstrated for the diagnosis of Listeria monocytogenes, without any modification. We believe that our strategy will make holographic microscopy more accessible to medical doctors and biomedical scientists for easy, rapid, and accurate point-of-care diagnosis of pathogens.</t>
  </si>
  <si>
    <t>Y. Jo, S. Park, J. Jung, J. Yoon, H. Joo, M. H. Kim, S. J. Kang, M. C. Choi, S. Y. Lee and Y. Park</t>
  </si>
  <si>
    <t>Sci Adv</t>
  </si>
  <si>
    <t>Fully automatic estimation of pelvic sagittal inclination from anterior-posterior radiography image using deep learning framework</t>
  </si>
  <si>
    <t>BACKGROUND AND OBJECTIVE: Malposition of the acetabular component causes dislocation and prosthetic impingement after Total Hip Arthroplasty (THA), which significantly affects the postoperative quality of life and implant longevity. The position of the acetabular component is determined by the Pelvic Sagittal Inclination (PSI), which not only varies among different people but also changes in different positions. It is important to recognize individual dynamic changes of the PSI for patient-specific planning of the THA. Previously PSI was estimated by registering the CT and radiography images. In this study, we introduce a new method for accurate estimation of functional PSI without requiring CT image in order to lower radiation exposure of the patient which opens up the possibility of increasing its application in a larger number of hospitals where CT is not acquired as a routine protocol. METHODS: The proposed method consists of two main steps: First, the Mask R-CNN framework was employed to segment the pelvic shape from the background in the radiography images. Then, following the segmentation network, another convolutional network regressed the PSI angle. We employed a transfer learning paradigm where the network weights were initialized by non-medical images followed by fine-tuning using radiography images. Furthermore, in the training process, augmented data was generated to improve the performance of both networks. We analyzed the role of segmentation network in our system and investigated the Mask R-CNN performance in comparison with the U-Net, which is commonly used for the medical image segmentation. RESULTS: In this study, the Mask R-CNN utilizing multi-task learning, transfer learning, and data augmentation techniques achieve 0.960 ± 0.008 DICE coefficient, which significantly outperforms the U-Net. The cascaded system is capable of estimating the PSI with 4.04° ± 3.39° error for the radiography images. CONCLUSIONS: The proposed framework suggests a fully automatic and robust estimation of the PSI using only an anterior-posterior radiography image.</t>
  </si>
  <si>
    <t>A. Jodeiri, R. A. Zoroofi, Y. Hiasa, M. Takao, N. Sugano, Y. Sato and Y. Otake</t>
  </si>
  <si>
    <t>Conditional generative adversarial network for 3D rigid-body motion correction in MRI</t>
  </si>
  <si>
    <t>PURPOSE: Subject motion in MRI remains an unsolved problem; motion during image acquisition may cause blurring and artifacts that severely degrade image quality. In this work, we approach motion correction as an image-to-image translation problem, which refers to the approach of training a deep neural network to predict an image in 1 domain from an image in another domain. Specifically, the purpose of this work was to develop and train a conditional generative adversarial network to predict artifact-free brain images from motion-corrupted data. METHODS: An open source MRI data set comprising T(2) *-weighted, FLASH magnitude, and phase brain images for 53 patients was used to generate complex image data for motion simulation. To simulate rigid motion, rotations and translations were applied to the image data based on randomly generated motion profiles. A conditional generative adversarial network, comprising a generator and discriminator networks, was trained using the motion-corrupted and corresponding ground truth (original) images as training pairs. RESULTS: The images predicted by the conditional generative adversarial network have improved image quality compared to the motion-corrupted images. The mean absolute error between the motion-corrupted and ground-truth images of the test set was 16.4% of the image mean value, whereas the mean absolute error between the conditional generative adversarial network-predicted and ground-truth images was 10.8% The network output also demonstrated improved peak SNR and structural similarity index for all test-set images. CONCLUSION: The images predicted by the conditional generative adversarial network have quantitatively and qualitatively improved image quality compared to the motion-corrupted images.</t>
  </si>
  <si>
    <t>10.1055/s-0039-3400265</t>
  </si>
  <si>
    <t>Improving the Speed of MRI with Artificial Intelligence</t>
  </si>
  <si>
    <t>Magnetic resonance imaging (MRI) is a leading image modality for the assessment of musculoskeletal (MSK) injuries and disorders. A significant drawback, however, is the lengthy data acquisition. This issue has motivated the development of methods to improve the speed of MRI. The field of artificial intelligence (AI) for accelerated MRI, although in its infancy, has seen tremendous progress over the past 3 years. Promising approaches include deep learning methods for reconstructing undersampled MRI data and generating high-resolution from low-resolution data. Preliminary studies show the promise of the variational network, a state-of-the-art technique, to generalize to many different anatomical regions and achieve comparable diagnostic accuracy as conventional methods. This article discusses the state-of-the-art methods, considerations for clinical applicability, followed by future perspectives for the field.</t>
  </si>
  <si>
    <t>EEG-based outcome prediction after cardiac arrest with convolutional neural networks: Performance and visualization of discriminative features</t>
  </si>
  <si>
    <t>Prognostication for comatose patients after cardiac arrest is a difficult but essential task. Currently, visual interpretation of electroencephalogram (EEG) is one of the main modality used in outcome prediction. There is a growing interest in computer-assisted EEG interpretation, either to overcome the possible subjectivity of visual interpretation, or to identify complex features of the EEG signal. We used a one-dimensional convolutional neural network (CNN) to predict functional outcome based on 19-channel-EEG recorded from 267 adult comatose patients during targeted temperature management after CA. The area under the receiver operating characteristic curve (AUC) on the test set was 0.885. Interestingly, model architecture and fine-tuning only played a marginal role in classification performance. We then used gradient-weighted class activation mapping (Grad-CAM) as visualization technique to identify which EEG features were used by the network to classify an EEG epoch as favorable or unfavorable outcome, and also to understand failures of the network. Grad-CAM showed that the network relied on similar features than classical visual analysis for predicting unfavorable outcome (suppressed background, epileptiform transients). This study confirms that CNNs are promising models for EEG-based prognostication in comatose patients, and that Grad-CAM can provide explanation for the models' decision-making, which is of utmost importance for future use of deep learning models in a clinical setting.</t>
  </si>
  <si>
    <t>Impact of pre-analytical variables on deep learning accuracy in histopathology</t>
  </si>
  <si>
    <t>AIMS: Machine learning (ML) binary classification in diagnostic histopathology is an area of intense investigation. Several assumptions, including training image quality/format and the number of training images required, appear to be similar in many studies irrespective of the paucity of supporting evidence. We empirically compared training image file type, training set size, and two common convolutional neural networks (CNNs) using transfer learning (ResNet50 and SqueezeNet). METHODS AND RESULTS: Thirty haematoxylin and eosin (H&amp;E)-stained slides with carcinoma or normal tissue from three tissue types (breast, colon, and prostate) were photographed, generating 3000 partially overlapping images (1000 per tissue type). These lossless Portable Networks Graphics (PNGs) images were converted to lossy Joint Photographic Experts Group (JPG) images. Tissue type-specific binary classification ML models were developed by the use of all PNG or JPG images, and repeated with a subset of 500, 200, 100, 50, 30 and 10 images. Eleven models were generated for each tissue type, at each quantity of training images, for each file type, and for each CNN, resulting in 924 models. Internal accuracies and generalisation accuracies were compared. There was no meaningful significant difference in accuracies between PNG and JPG models. Models trained with more images did not invariably perform better. ResNet50 typically outperformed SqueezeNet. Models were generalisable within a tissue type but not across tissue types. CONCLUSIONS: Lossy JPG images were not inferior to lossless PNG images in our models. Large numbers of unique H&amp;E-stained slides were not required for training optimal ML models. This reinforces the need for an evidence-based approach to best practices for histopathological ML.</t>
  </si>
  <si>
    <t>A. D. Jones, J. P. Graff, M. Darrow, A. Borowsky, K. A. Olson, R. Gandour-Edwards, A. Datta Mitra, D. Wei, G. Gao, B. Durbin-Johnson and H. H. Rashidi</t>
  </si>
  <si>
    <t>Histopathology</t>
  </si>
  <si>
    <t>Brain age prediction using deep learning uncovers associated sequence variants</t>
  </si>
  <si>
    <t>Machine learning algorithms can be trained to estimate age from brain structural MRI. The difference between an individual's predicted and chronological age, predicted age difference (PAD), is a phenotype of relevance to aging and brain disease. Here, we present a new deep learning approach to predict brain age from a T1-weighted MRI. The method was trained on a dataset of healthy Icelanders and tested on two datasets, IXI and UK Biobank, utilizing transfer learning to improve accuracy on new sites. A genome-wide association study (GWAS) of PAD in the UK Biobank data (discovery set: [Formula: see text], replication set: [Formula: see text]) yielded two sequence variants, rs1452628-T ([Formula: see text], [Formula: see text]) and rs2435204-G ([Formula: see text], [Formula: see text]). The former is near KCNK2 and correlates with reduced sulcal width, whereas the latter correlates with reduced white matter surface area and tags a well-known inversion at 17q21.31 (H2).</t>
  </si>
  <si>
    <t>Fusing learned representations from Riesz Filters and Deep CNN for lung tissue classification</t>
  </si>
  <si>
    <t>A novel method to detect and classify several classes of diseased and healthy lung tissue in CT (Computed Tomography), based on the fusion of Riesz and deep learning features, is presented. First, discriminative parametric lung tissue texture signatures are learned from Riesz representations using a one-versus-one approach. The signatures are generated for four diseased tissue types and a healthy tissue class, all of which frequently appear in the publicly available Interstitial Lung Diseases (ILD) dataset used in this article. Because the Riesz wavelets are steerable, they can easily be made invariant to local image rotations, a property that is desirable when analyzing lung tissue micro-architectures in CT images. Second, features from deep Convolutional Neural Networks (CNN) are computed by fine-tuning the Inception V3 architecture using an augmented version of the same ILD dataset. Because CNN features are both deep and non-parametric, they can accurately model virtually any pattern that is useful for tissue discrimination, and they are the de facto standard for many medical imaging tasks. However, invariance to local image rotations is not explicitly implemented and can only be approximated with rotation-based data augmentation. This motivates the fusion of Riesz and deep CNN features, as the two techniques are very complementary. The two learned representations are combined in a joint softmax model for final classification, where early and late feature fusion schemes are compared. The experimental results show that a late fusion of the independent probabilities leads to significant improvements in classification performance when compared to each of the separate feature representations and also compared to an ensemble of deep learning approaches.</t>
  </si>
  <si>
    <t>R. Joyseeree, S. Otálora, H. Müller and A. Depeursinge</t>
  </si>
  <si>
    <t>[Detection of white blood cells in microscopic leucorrhea images based on deep active learning]</t>
  </si>
  <si>
    <t>The number of white blood cells in the leucorrhea microscopic image can indicate the severity of vaginal inflammation. At present, the detection of white blood cells in leucorrhea mainly relies on manual microscopy by medical experts, which is time-consuming, expensive and error-prone. In recent years, some studies have proposed to implement intelligent detection of leucorrhea white blood cells based on deep learning technology. However, such methods usually require manual labeling of a large number of samples as training sets, and the labeling cost is high. Therefore, this study proposes the use of deep active learning algorithms to achieve intelligent detection of white blood cells in leucorrhea microscopic images. In the active learning framework, a small number of labeled samples were firstly used as the basic training set, and a faster region convolutional neural network (Faster R-CNN) training detection model was performed. Then the most valuable samples were automatically selected for manual annotation, and the training set and the corresponding detection model were iteratively updated, which made the performance of the model continue to increase. The experimental results show that the deep active learning technology can obtain higher detection accuracy under less manual labeling samples, and the average precision of white blood cell detection could reach 90.6%, which meets the requirements of clinical routine examination.</t>
  </si>
  <si>
    <t>Early Diagnosis of Alzheimer's Disease Based on Resting-State Brain Networks and Deep Learning</t>
  </si>
  <si>
    <t>Computerized healthcare has undergone rapid development thanks to the advances in medical imaging and machine learning technologies. Especially, recent progress on deep learning opens a new era for multimedia based clinical decision support. In this paper, we use deep learning with brain network and clinical relevant text information to make early diagnosis of Alzheimer's Disease (AD). The clinical relevant text information includes age, gender, and ApoE gene of the subject. The brain network is constructed by computing the functional connectivity of brain regions using resting-state functional magnetic resonance imaging (R-fMRI) data. A targeted autoencoder network is built to distinguish normal aging from mild cognitive impairment, an early stage of AD. The proposed method reveals discriminative brain network features effectively and provides a reliable classifier for AD detection. Compared to traditional classifiers based on R-fMRI time series data, about 31.21 percent improvement of the prediction accuracy is achieved by the proposed deep learning method, and the standard deviation reduces by 51.23 percent in the best case that means our prediction model is more stable and reliable compared to the traditional methods. Our work excavates deep learning's advantages of classifying high-dimensional multimedia data in medical services, and could help predict and prevent AD at an early stage.</t>
  </si>
  <si>
    <t>R. Ju, C. Hu, P. Zhou and Q. Li</t>
  </si>
  <si>
    <t>ONCOhabitats: A system for glioblastoma heterogeneity assessment through MRI</t>
  </si>
  <si>
    <t>BACKGROUND: Neuroimaging analysis is currently crucial for an early assessment of glioblastoma, to help improving treatment and tumor follow-up. To this end, multiple functional and morphological MRI sequences are usually employed, requiring the development of automated tools capable to extract the relevant information from these sources. In this work we present ONCOhabitats (https://www.oncohabitats.upv.es): an online open access system for glioblastoma analysis based on MRI data. METHODS: ONCOhabitats provides two main services for untreated glioblastomas: (1) malignant tissue segmentation, and (2) vascular heterogeneity assessment of the tumor. The segmentation service implements a deep patch-wise 3D Convolutional Neural Network with residual connections. The vascular heterogeneity assessment service implements the Hemodynamic Tissue Signature (HTS) method patented in P201431289, which aims to identify habitats within the tumor with early prognostic capabilities. RESULTS: The segmentation service was validated against the BRATS 2017 reference dataset, showing comparable results with current state-of-the-art methods (whole tumor Dice segmentation: 0.89). The vascular heterogeneity assessment service was validated in a retrospective cohort of 50 patients, in a study focused on predicting patient overall survival based on the HTS habitats. Cox proportional hazard regression analysis and Kaplan-Meier survival study showed significant positive correlations (p-value &lt;.05) between the HTS habitats and patient overall survival. ONCOhabitats system also generates radiological reports for each service, including volumetries and perfusion measurements of the different regions of the lesion. CONCLUSION: ONCOhabitats system provides open-access services for glioblastoma heterogeneity assessment, implementing consolidated state-of-the-art techniques for medical image analysis. Additionally, we also give access to the scientific community to our computational resources, offering a computational capacity of about 300 cases per day.</t>
  </si>
  <si>
    <t>J. Juan-Albarracín, E. Fuster-Garcia, G. A. García-Ferrando and J. M. García-Gómez</t>
  </si>
  <si>
    <t>Automated left ventricular myocardium segmentation using 3D deeply supervised attention U-net for coronary computed tomography angiography; CT myocardium segmentation</t>
  </si>
  <si>
    <t>PURPOSE: Segmentation of left ventricular myocardium (LVM) in coronary computed tomography angiography (CCTA) is important for diagnosis of cardiovascular diseases. Due to poor image contrast and large variation in intensity and shapes, LVM segmentation for CCTA is a challenging task. The purpose of this work is to develop a region-based deep learning method to automatically detect and segment the LVM solely based on CCTA images. METHODS: We developed a 3D deeply supervised U-Net, which incorporates attention gates (AGs) to focus on the myocardial boundary structures, to segment LVM contours from CCTA. The deep attention U-Net (DAU-Net) was trained on the patients' CCTA images, with a manual contour-derived binary mask used as the learning-based target. The network was supervised by a hybrid loss function, which combined logistic loss and Dice loss to simultaneously measure the similarities and discrepancies between the prediction and training datasets. To evaluate the accuracy of the segmentation, we retrospectively investigated 100 patients with suspected or confirmed coronary artery disease (CAD). The LVM volume was segmented by the proposed method and compared with physician-approved clinical contours. Quantitative metrics used were Dice similarity coefficient (DSC), Hausdorff distance (HD), mean surface distance (MSD), residual mean square distance (RMSD), the center of mass distance (CMD), and volume difference (VOD). RESULTS: The proposed method created contours with very good agreement to the ground truth contours. Our proposed segmentation approach is benchmarked primarily using fivefold cross validation. Model prediction correlated and agreed well with manual contour. The mean DSC of the contours delineated by our method was 91.6% among all patients. The resultant HD was 6.840 ± 4.410 mm. The proposed method also resulted in a small CMD (1.058 ± 1.245 mm) and VOD (1.640 ± 1.777 cc). Among all patients, the MSD and RMSD were 0.433 ± 0.209 mm and 0.724 ± 0.375 mm, respectively, between ground truth and LVM volume resulting from the proposed method. CONCLUSIONS: We developed a novel deep learning-based approach for the automated segmentation of the LVM on CCTA images. We demonstrated the high accuracy of the proposed learning-based segmentation method through comparison with ground truth contour of 100 clinical patient cases using six quantitative metrics. These results show the potential of using automated LVM segmentation for computer-aided delineation of CADs in the clinical setting.</t>
  </si>
  <si>
    <t>Automated detection of vulnerable plaque in intravascular ultrasound images</t>
  </si>
  <si>
    <t>Acute coronary syndrome (ACS) is a syndrome caused by a decrease in blood flow in the coronary arteries. The ACS is usually related to coronary thrombosis and is primarily caused by plaque rupture followed by plaque erosion and calcified nodule. Thin-cap fibroatheroma (TCFA) is known to be the most similar lesion morphologically to a plaque rupture. In this paper, we propose methods to classify TCFA using various machine learning classifiers including feed-forward neural network (FNN), K-nearest neighbor (KNN), random forest (RF), and convolutional neural network (CNN) to figure out a classifier that shows optimal TCFA classification accuracy. In addition, we suggest pixel range-based feature extraction method to extract the ratio of pixels in the different region of interests to reflect the physician's TCFA discrimination criteria. Our feature extraction method examines the pixel distribution of the intravascular ultrasound (IVUS) image at a given ROI, which allows us to extract general characteristics of the IVUS image while simultaneously reflecting the different properties of the vessel's substances such as necrotic core and calcified nodule depending on the brightness of the pixel. A total of 12,325 IVUS images were labeled with corresponding optical coherence tomography (OCT) images to train and evaluate the classifiers. We achieved 0.859, 0.848, 0.844, and 0.911 area under the ROC curve (AUC) in the order of using FNN, KNN, RF, and CNN classifiers. As a result, the CNN classifier performed best and the top 10 features of the feature-based classifiers (FNN, KNN, RF) were found to be similar to the physician's TCFA diagnostic criteria. Graphical Abstract AUC result of proposed classifiers.</t>
  </si>
  <si>
    <t>T. J. Jun, S. J. Kang, J. G. Lee, J. Kweon, W. Na, D. Kang, D. Kim, D. Kim and Y. H. Kim</t>
  </si>
  <si>
    <t>Deep-learned 3D black-blood imaging using automatic labelling technique and 3D convolutional neural networks for detecting metastatic brain tumors</t>
  </si>
  <si>
    <t>Black-blood (BB) imaging is used to complement contrast-enhanced 3D gradient-echo (CE 3D-GRE) imaging for detecting brain metastases, requiring additional scan time. In this study, we proposed deep-learned 3D BB imaging with an auto-labelling technique and 3D convolutional neural networks for brain metastases detection without additional BB scan. Patients were randomly selected for training (29 sets) and testing (36 sets). Two neuroradiologists independently evaluated deep-learned and original BB images, assessing the degree of blood vessel suppression and lesion conspicuity. Vessel signals were effectively suppressed in all patients. The figure of merits, which indicate the diagnostic performance of radiologists, were 0.9708 with deep-learned BB and 0.9437 with original BB imaging, suggesting that the deep-learned BB imaging is highly comparable to the original BB imaging (difference was not significant; p = 0.2142). In per patient analysis, sensitivities were 100% for both deep-learned and original BB imaging; however, the original BB imaging indicated false positive results for two patients. In per lesion analysis, sensitivities were 90.3% for deep-learned and 100% for original BB images. There were eight false positive lesions on the original BB imaging but only one on the deep-learned BB imaging. Deep-learned 3D BB imaging can be effective for brain metastases detection.</t>
  </si>
  <si>
    <t>Y. Jun, T. Eo, T. Kim, H. Shin, D. Hwang, S. H. Bae, Y. W. Park, H. J. Lee, B. W. Choi and S. S. Ahn</t>
  </si>
  <si>
    <t>Parallel imaging in time-of-flight magnetic resonance angiography using deep multistream convolutional neural networks</t>
  </si>
  <si>
    <t>PURPOSE: To develop and evaluate a method of parallel imaging time-of-flight (TOF) MRA using deep multistream convolutional neural networks (CNNs). METHODS: A deep parallel imaging network (DPI-net) was developed to reconstruct 3D multichannel MRA from undersampled data. It comprises 2 deep-learning networks: a network of multistream CNNs for extracting feature maps of multichannel images and a network of reconstruction CNNs for reconstructing images from the multistream network output feature maps. The images were evaluated using normalized root mean square error (NRMSE), peak signal-to-noise ratio (PSNR), and structural similarity (SSIM) values, and the visibility of blood vessels was assessed by measuring the vessel sharpness of middle and posterior cerebral arteries on axial maximum intensity projection (MIP) images. Vessel sharpness was compared using paired t tests, between DPI-net, 2 conventional parallel imaging methods (SAKE and ESPIRiT), and a deep-learning method (U-net). RESULTS: DPI-net showed superior performance in reconstructing vessel signals in both axial slices and MIP images for all reduction factors. This was supported by the quantitative metrics, with DPI-net showing the lowest NRMSE, the highest PSNR and SSIM (except R = 3.8 on sagittal MIP images, and R = 5.7 on axial slices and sagittal MIP images), and significantly higher vessel sharpness values than the other methods. CONCLUSION: DPI-net was effective in reconstructing 3D TOF MRA from highly undersampled multichannel MR data, achieving superior performance, both quantitatively and qualitatively, over conventional parallel imaging and other deep-learning methods.</t>
  </si>
  <si>
    <t>Deep-learning-assisted automatic digitization of applicators in 3D CT image-based high-dose-rate brachytherapy of gynecological cancer</t>
  </si>
  <si>
    <t>PURPOSE: Applicator digitization is one of the most critical steps in 3D high-dose-rate brachytherapy (HDRBT) treatment planning. Motivated by recent advances in deep-learning, we propose a deep-learning-assisted applicator digitization method for 3D CT image-based HDRBT. This study demonstrates its feasibility and potential in gynecological cancer HDRBT. METHODS AND MATERIALS: Our method consisted of two steps. The first step used a U-net to segment applicator regions. We trained the U-net using two-dimensional CT images with a tandem-and-ovoid (T&amp;O) applicator and corresponding applicator mask images. The second step applied a spectral clustering method and a polynomial curve fitting method to extract applicator central paths. We evaluated the accuracy, efficiency, and robustness of our method in different scenarios including other T&amp;O cases that were not used in training, a T&amp;O case scanned with cone-beam CT, and Y-tandem and cylinder-applicator cases. RESULTS: In test cases with a T&amp;O applicator, average 3D Dice similarity coefficient between automatic and manual segmented applicator regions was 0.93. Average distance between tip positions and average Hausdorff distance between applicator channels determined by our method and manually were 0.64 mm and 0.68 mm, respectively. Although trained only using CT images of T&amp;O cases, our tool can also digitize Y-tandem, cylinder applicator, and T&amp;O applicator scanned in cone-beam CT with error of tip position and Hausdorff distance &lt;1 mm. Computation time was ∼15 s per case. CONCLUSIONS: We have developed a deep-learning-assisted applicator digitization tool for 3D CT image-based HDRBT of gynecological cancer. The achieved accuracy, efficiency, and robustness made our tool clinically attractive.</t>
  </si>
  <si>
    <t>Brachytherapy</t>
  </si>
  <si>
    <t>Classification of lung nodules in CT scans using three-dimensional deep convolutional neural networks with a checkpoint ensemble method</t>
  </si>
  <si>
    <t>BACKGROUND: Accurately detecting and examining lung nodules early is key in diagnosing lung cancers and thus one of the best ways to prevent lung cancer deaths. Radiologists spend countless hours detecting small spherical-shaped nodules in computed tomography (CT) images. In addition, even after detecting nodule candidates, a considerable amount of effort and time is required for them to determine whether they are real nodules. The aim of this paper is to introduce a high performance nodule classification method that uses three dimensional deep convolutional neural networks (DCNNs) and an ensemble method to distinguish nodules between non-nodules. METHODS: In this paper, we use a three dimensional deep convolutional neural network (3D DCNN) with shortcut connections and a 3D DCNN with dense connections for lung nodule classification. The shortcut connections and dense connections successfully alleviate the gradient vanishing problem by allowing the gradient to pass quickly and directly. Connections help deep structured networks to obtain general as well as distinctive features of lung nodules. Moreover, we increased the dimension of DCNNs from two to three to capture 3D features. Compared with shallow 3D CNNs used in previous studies, deep 3D CNNs more effectively capture the features of spherical-shaped nodules. In addition, we use an alternative ensemble method called the checkpoint ensemble method to boost performance. RESULTS: The performance of our nodule classification method is compared with that of the state-of-the-art methods which were used in the LUng Nodule Analysis 2016 Challenge. Our method achieves higher competition performance metric (CPM) scores than the state-of-the-art methods using deep learning. In the experimental setup ESB-ALL, the 3D DCNN with shortcut connections and the 3D DCNN with dense connections using the checkpoint ensemble method achieved the highest CPM score of 0.910. CONCLUSION: The result demonstrates that our method of using a 3D DCNN with shortcut connections, a 3D DCNN with dense connections, and the checkpoint ensemble method is effective for capturing 3D features of nodules and distinguishing nodules between non-nodules.</t>
  </si>
  <si>
    <t>H. Jung, B. Kim, I. Lee, J. Lee and J. Kang</t>
  </si>
  <si>
    <t>Detection of masses in mammograms using a one-stage object detector based on a deep convolutional neural network</t>
  </si>
  <si>
    <t>Several computer aided diagnosis (CAD) systems have been developed for mammography. They are widely used in certain countries such as the U.S. where mammography studies are conducted more frequently; however, they are not yet globally employed for clinical use due to their inconsistent performance, which can be attributed to their reliance on hand-crafted features. It is difficult to use hand-crafted features for mammogram images that vary due to factors such as the breast density of patients and differences in imaging devices. To address these problems, several studies have leveraged a deep convolutional neural network that does not require hand-crafted features. Among the recent object detectors, RetinaNet is particularly promising as it is a simpler one-stage object detector that is fast and efficient while achieving state-of-the-art performance. RetinaNet has been proven to perform conventional object detection tasks but has not been tested on detecting masses in mammograms. Thus, we propose a mass detection model based on RetinaNet. To validate its performance in diverse use cases, we construct several experimental setups using the public dataset INbreast and the in-house dataset GURO. In addition to training and testing on the same dataset (i.e., training and testing on INbreast), we evaluate our mass detection model in setups using additional training data (i.e., training on INbreast + GURO and testing on INbreast). We also evaluate our model in setups using pre-trained weights (i.e., using weights pre-trained on GURO, training and testing on INbreast). In all the experiments, our mass detection model achieves comparable or better performance than more complex state-of-the-art models including the two-stage object detector. Also, the results show that using the weights pre-trained on datasets achieves similar performance as directly using datasets in the training phase. Therefore, we make our mass detection model's weights pre-trained on both GURO and INbreast publicly available. We expect that researchers who train RetinaNet on their in-house dataset for the mass detection task can use our pre-trained weights to leverage the features extracted from the datasets.</t>
  </si>
  <si>
    <t>H. Jung, B. Kim, I. Lee, M. Yoo, J. Lee, S. Ham, O. Woo and J. Kang</t>
  </si>
  <si>
    <t>Deep-learning assisted automatic digitization of interstitial needles in 3D CT image based high dose-rate brachytherapy of gynecological cancer</t>
  </si>
  <si>
    <t>Digitization of interstitial needles is a complicated and tedious process for the treatment planning of 3D CT image based interstitial high dose-rate brachytherapy (HDRBT) of gynecological cancer. We developed a deep-learning assisted auto-digitization method for interstitial needles. The digitization method consisted of two steps. The first step used a deep neural network with a U-net structure to segment all needles from CT images. The second step simultaneously clustered the segmented voxels into different needle groups and generated the needle central trajectories by solving an optimization problem. We evaluated the effectiveness of the developed method in ten interstitial HDRBT patient cases that were not used in the training of the U-net. Average number of needles per case was 20.7. For the segmentation step, average Dice similarity coefficient between automatic and manual segmentation was 0.93. For the digitization step, Hausdorff distance between needle trajectories determined by our method and manually by qualified medical physicists was ~0.71 mm on average and mean difference of tip positions was ~0.63 mm, which were considered acceptable for HDRBT treatment planning. It took ~5 min to complete the digitization process of an interstitial HDRBT case. The achieved accuracy and efficiency made our method clinically attractive.</t>
  </si>
  <si>
    <t>Iterative deep convolutional encoder-decoder network for medical image segmentation</t>
  </si>
  <si>
    <t>In this paper, we propose a novel medical image segmentation using iterative deep learning framework. We have combined an iterative learning approach and an encoder-decoder network to improve segmentation results, which enables to precisely localize the regions of interest (ROIs) including complex shapes or detailed textures of medical images in an iterative manner. The proposed iterative deep convolutional encoder-decoder network consists of two main paths: convolutional encoder path and convolutional decoder path with iterative learning. Experimental results show that the proposed iterative deep learning framework is able to yield excellent medical image segmentation performances for various medical images. The effectiveness of the proposed method has been proved by comparing with other state-of-the-art medical image segmentation methods.</t>
  </si>
  <si>
    <t>K. Jung Uk, K. Hak Gu and R. Yong Man</t>
  </si>
  <si>
    <t>10.1007/s00117-018-0426-0</t>
  </si>
  <si>
    <t>[Basics and applications of Natural Language Processing (NLP) in radiology]</t>
  </si>
  <si>
    <t>BACKGROUND: Due to the increasing demands in radiology, applications that enable quality assurance and continuous process optimization are required. OBJECTIVE: The principles of Natural Language Processing (NLP) as a computer-based method for structuring of free text reports are explained and application scenarios are sketched. MATERIALS UND METHODS: The structuring of free texts succeeds by several theories, linguistic techniques (word meanings, word context, negations), statistical methods with rules and currently with deep learning approaches. Medical encyclopedias, such as RadLex®, are suitable for coding findings. NLP was used in our own radiology clinic to check the quality of 3756 CT reports. RESULTS: In our case study, NLP proved to be a helpful, automated tool for internal quality testing. DISCUSSION: NLP offers numerous application scenarios for decision support and for quality management in radiology.</t>
  </si>
  <si>
    <t>F. Jungmann, S. Kuhn and B. Kämpgen</t>
  </si>
  <si>
    <t>pymia: A Python package for data handling and evaluation in deep learning-based medical image analysis</t>
  </si>
  <si>
    <t>BACKGROUND AND OBJECTIVE: Deep learning enables tremendous progress in medical image analysis. One driving force of this progress are open-source frameworks like TensorFlow and PyTorch. However, these frameworks rarely address issues specific to the domain of medical image analysis, such as 3-D data handling and distance metrics for evaluation. pymia, an open-source Python package, tries to address these issues by providing flexible data handling and evaluation independent of the deep learning framework. METHODS: The pymia package provides data handling and evaluation functionalities. The data handling allows flexible medical image handling in every commonly used format (e.g., 2-D, 2.5-D, and 3-D; full- or patch-wise). Even data beyond images like demographics or clinical reports can easily be integrated into deep learning pipelines. The evaluation allows stand-alone result calculation and reporting, as well as performance monitoring during training using a vast amount of domain-specific metrics for segmentation, reconstruction, and regression. RESULTS: The pymia package is highly flexible, allows for fast prototyping, and reduces the burden of implementing data handling routines and evaluation methods. While data handling and evaluation are independent of the deep learning framework used, they can easily be integrated into TensorFlow and PyTorch pipelines. The developed package was successfully used in a variety of research projects for segmentation, reconstruction, and regression. CONCLUSIONS: The pymia package fills the gap of current deep learning frameworks regarding data handling and evaluation in medical image analysis. It is available at https://github.com/rundherum/pymia and can directly be installed from the Python Package Index using pip install pymia.</t>
  </si>
  <si>
    <t>WGAN domain adaptation for the joint optic disc-and-cup segmentation in fundus images</t>
  </si>
  <si>
    <t>PURPOSE: The cup-to-disc ratio (CDR), a clinical metric of the relative size of the optic cup to the optic disc, is a key indicator of glaucoma, a chronic eye disease leading to loss of vision. CDR can be measured from fundus images through the segmentation of optic disc and optic cup . Deep convolutional networks have been proposed to achieve biomedical image segmentation with less time and more accuracy, but requires large amounts of annotated training data on a target domain, which is often unavailable. Unsupervised domain adaptation framework alleviates this problem through leveraging off-the-shelf labeled data from its relevant source domains, which is realized by learning domain invariant features and improving the generalization capabilities of the segmentation model. METHODS: In this paper, we propose a WGAN domain adaptation framework for detecting optic disc-and-cup boundary in fundus images. Specifically, we build a novel adversarial domain adaptation framework that is guided by Wasserstein distance, therefore with better stability and convergence than typical adversarial methods. We finally evaluate our approach on publicly available datasets. RESULTS: Our experiments show that the proposed approach improves Intersection-over-Union score for optic disc-and-cup segmentation, Dice score and reduces the root-mean-square error of cup-to-disc ratio, when we compare it with direct transfer learning and other state-of-the-art adversarial domain adaptation methods. CONCLUSION: With this work, we demonstrate that WGAN guided domain adaptation obtains a state-of-the-art performance for the joint optic disc-and-cup segmentation in fundus images.</t>
  </si>
  <si>
    <t>Deep learning networks on chronic liver disease assessment with fine-tuning of shear wave elastography image sequences</t>
  </si>
  <si>
    <t>Chronic liver disease (CLD) is currently one of the major causes of death worldwide. If not treated, it may lead to cirrhosis, hepatic carcinoma and death. Ultrasound (US) shear wave elastography (SWE) is a relatively new, popular, non-invasive technique among radiologists. Although many studies have been published validating the SWE technique either in a clinical setting, or by applying machine learning on SWE elastograms, minimal work has been done on comparing the performance of popular pre-trained deep learning networks on CLD assessment. Currently available literature reports suggest technical advancements on specific deep learning structures, with specific inputs and usually on a limited CLD fibrosis stage class group, with limited comparison on competitive deep learning schemes fed with different input types. The aim of the present study is to compare some popular deep learning pre-trained networks using temporally stable and full elastograms, with or without augmentation as well as propose suitable deep learning schemes for CLD diagnosis and progress assessment. 200 liver biopsy validated patients with CLD, underwent US SWE examination. Four images from the same liver area were saved to extract elastograms and processed to exclude areas that were temporally unstable. Then, full and temporally stable masked elastograms for each patient were separately fed into GoogLeNet, AlexNet, VGG16, ResNet50 and DenseNet201 with and without augmentation. The networks were tested for differentiation of CLD stages in seven classification schemes over 30 repetitions using liver biopsy as the reference. All networks achieved maximum mean accuracies ranging from 87.2%-97.4% and area under the receiver operating characteristic curves (AUCs) ranging from 0.979-0.990 while the radiologists had AUCs ranging from 0.800-0.870. ResNet50 and DenseNet201 had better average performance than the other networks. The use of the temporal stability mask led to improved performance on about 50% of inputs and network combinations while augmentation led to lower performance for all networks. These findings can provide potential networks with higher accuracy and better setting in the CLD diagnosis and progress assessment. A larger data set would help identify the best network and settings for CLD assessment in clinical practice.</t>
  </si>
  <si>
    <t>A Novel Hybrid Feature Extraction Model for Classification on Pulmonary Nodules</t>
  </si>
  <si>
    <t>In this paper an improved Computer Aided Design system can offer a second opinion to radiologists on early diagnosis of pulmonary nodules on CT (Computer Tomography) images. A Deep Convolutional Neural Network (DCNN) method is used for feature extraction and hybridize as combination of Convolutional Neural Network (CNN), Histogram of Oriented Gradient (HOG), Extended Histogram of Oriented Gradients (ExHOG) and Local Binary Pattern (LBP). A combination of shape, texture, scaling, rotation, translation features extracted using HOG, LBP and CNN. The Homogeneous descriptors used to extract the feature of lung images from Lung Image Database Consortium (LIDC) are given to classifiers Support Vector Machine (SVM), K-Nearest Neighbour (KNN), Decision Tree and Random Forest to classify nodules and non-nodules. Experimental results demonstrate the effectiveness of the proposed method in terms of accuracy which gives best result than the competing methods.</t>
  </si>
  <si>
    <t>S. P. Kailasam and M. M. Sathik</t>
  </si>
  <si>
    <t>Asian Pac J Cancer Prev</t>
  </si>
  <si>
    <t>10.1007/s12194-019-00520-y</t>
  </si>
  <si>
    <t>Overview of image-to-image translation by use of deep neural networks: denoising, super-resolution, modality conversion, and reconstruction in medical imaging</t>
  </si>
  <si>
    <t>Since the advent of deep convolutional neural networks (DNNs), computer vision has seen an extremely rapid progress that has led to huge advances in medical imaging. Every year, many new methods are reported at conferences such as the International Conference on Medical Image Computing and Computer-Assisted Intervention and Machine Learning for Medical Image Reconstruction, or published online at the preprint server arXiv. There is a plethora of surveys on applications of neural networks in medical imaging (see [1] for a relatively recent comprehensive survey). This article does not aim to cover all aspects of the field, but focuses on a particular topic, image-to-image translation. Although the topic may not sound familiar, it turns out that many seemingly irrelevant applications can be understood as instances of image-to-image translation. Such applications include (1) noise reduction, (2) super-resolution, (3) image synthesis, and (4) reconstruction. The same underlying principles and algorithms work for various tasks. Our aim is to introduce some of the key ideas on this topic from a uniform viewpoint. We introduce core ideas and jargon that are specific to image processing by use of DNNs. Having an intuitive grasp of the core ideas of applications of neural networks in medical imaging and a knowledge of technical terms would be of great help to the reader for understanding the existing and future applications. Most of the recent applications which build on image-to-image translation are based on one of two fundamental architectures, called pix2pix and CycleGAN, depending on whether the available training data are paired or unpaired (see Sect. 1.3). We provide codes ([2, 3]) which implement these two architectures with various enhancements. Our codes are available online with use of the very permissive MIT license. We provide a hands-on tutorial for training a model for denoising based on our codes (see Sect. 6). We hope that this article, together with the codes, will provide both an overview and the details of the key algorithms and that it will serve as a basis for the development of new applications.</t>
  </si>
  <si>
    <t>Automated prediction of dosimetric eligibility of patients with prostate cancer undergoing intensity-modulated radiation therapy using a convolutional neural network</t>
  </si>
  <si>
    <t>The quality of radiotherapy has greatly improved due to the high precision achieved by intensity-modulated radiation therapy (IMRT). Studies have been conducted to increase the quality of planning and reduce the costs associated with planning through automated planning method; however, few studies have used the deep learning method for optimization of planning. The purpose of this study was to propose an automated method based on a convolutional neural network (CNN) for predicting the dosimetric eligibility of patients with prostate cancer undergoing IMRT. Sixty patients with prostate cancer who underwent IMRT were included in the study. Treatment strategy involved division of the patients into two groups, namely, meeting all dose constraints and not meeting all dose constraints, by experienced medical physicists. We used AlexNet (i.e., one of common CNN architectures) for CNN-based methods to predict the two groups. An AlexNet CNN pre-trained on ImageNet was fine-tuned. Two dataset formats were used as input data: planning computed tomography (CT) images and structure labels. Five-fold cross-validation was used, and performance metrics included sensitivity, specificity, and prediction accuracy. Class activation mapping was used to visualize the internal representation learned by the CNN. Prediction accuracies of the model with the planning CT image dataset and that with the structure label dataset were 56.7 ± 9.7% and 70.0 ± 11.3%, respectively. Moreover, the model with structure labels focused on areas associated with dose constraints. These results revealed the potential applicability of deep learning to the treatment planning of patients with prostate cancer undergoing IMRT.</t>
  </si>
  <si>
    <t>T. Kajikawa, N. Kadoya, K. Ito, Y. Takayama, T. Chiba, S. Tomori, K. Takeda and K. Jingu</t>
  </si>
  <si>
    <t>Unsupervised Deep Learning Applied to Breast Density Segmentation and Mammographic Risk Scoring</t>
  </si>
  <si>
    <t>Mammographic risk scoring has commonly been automated by extracting a set of handcrafted features from mammograms, and relating the responses directly or indirectly to breast cancer risk. We present a method that learns a feature hierarchy from unlabeled data. When the learned features are used as the input to a simple classifier, two different tasks can be addressed: i) breast density segmentation, and ii) scoring of mammographic texture. The proposed model learns features at multiple scales. To control the models capacity a novel sparsity regularizer is introduced that incorporates both lifetime and population sparsity. We evaluated our method on three different clinical datasets. Our state-of-the-art results show that the learned breast density scores have a very strong positive relationship with manual ones, and that the learned texture scores are predictive of breast cancer. The model is easy to apply and generalizes to many other segmentation and scoring problems.</t>
  </si>
  <si>
    <t>M. Kallenberg, K. Petersen, M. Nielsen, A. Y. Ng, D. Pengfei, C. Igel, C. M. Vachon, K. Holland, R. R. Winkel, N. Karssemeijer and M. Lillholm</t>
  </si>
  <si>
    <t>10.1080/17453674.2019.1711323</t>
  </si>
  <si>
    <t>Deep learning in fracture detection: a narrative review</t>
  </si>
  <si>
    <t>Artificial intelligence (AI) is a general term that implies the use of a computer to model intelligent behavior with minimal human intervention. AI, particularly deep learning, has recently made substantial strides in perception tasks allowing machines to better represent and interpret complex data. Deep learning is a subset of AI represented by the combination of artificial neuron layers. In the last years, deep learning has gained great momentum. In the field of orthopaedics and traumatology, some studies have been done using deep learning to detect fractures in radiographs. Deep learning studies to detect and classify fractures on computed tomography (CT) scans are even more limited. In this narrative review, we provide a brief overview of deep learning technology: we (1) describe the ways in which deep learning until now has been applied to fracture detection on radiographs and CT examinations; (2) discuss what value deep learning offers to this field; and finally (3) comment on future directions of this technology.</t>
  </si>
  <si>
    <t>New methods of removing debris and high-throughput counting of cyst nematode eggs extracted from field soil</t>
  </si>
  <si>
    <t>The soybean cyst nematode (SCN), Heterodera glycines, is the most damaging pathogen of soybeans in the United States. To assess the severity of nematode infestations in the field, SCN egg population densities are determined. Cysts (dead females) of the nematode must be extracted from soil samples and then ground to extract the eggs within. Sucrose centrifugation commonly is used to separate debris from suspensions of extracted nematode eggs. We present a method using OptiPrep as a density gradient medium with improved separation and recovery of extracted eggs compared to the sucrose centrifugation technique. Also, computerized methods were developed to automate the identification and counting of nematode eggs from the processed samples. In one approach, a high-resolution scanner was used to take static images of extracted eggs and debris on filter papers, and a deep learning network was trained to identify and count the eggs among the debris. In the second approach, a lensless imaging setup was developed using off-the-shelf components, and the processed egg samples were passed through a microfluidic flow chip made from double-sided adhesive tape. Holographic videos were recorded of the passing eggs and debris, and the videos were reconstructed and processed by custom software program to obtain egg counts. The performance of the software programs for egg counting was characterized with SCN-infested soil collected from two farms, and the results using these methods were compared with those obtained through manual counting.</t>
  </si>
  <si>
    <t>Deep Learning of Static and Dynamic Brain Functional Networks for Early MCI Detection</t>
  </si>
  <si>
    <t>While convolutional neural network (CNN) has been demonstrating powerful ability to learn hierarchical spatial features from medical images, it is still difficult to apply it directly to resting-state functional MRI (rs-fMRI) and the derived brain functional networks (BFNs). We propose a novel CNN framework to simultaneously learn embedded features from BFNs for brain disease diagnosis. Since BFNs can be built by considering both static and dynamic functional connectivity (FC), we first decompose rs-fMRI into multiple static BFNs with modified independent component analysis. Then, the voxel-wise variability in dynamic FC is used to quantify BFN dynamics. A set of paired 3D images representing static/dynamic BFNs can be fed into 3D CNNs, from which we can hierarchically and simultaneously learn static/dynamic BFN features. As a result, the dynamic BFN features can complement static BFN features and, at the meantime, different BFNs can help each other toward a joint and better classification. We validate our method with a publicly accessible, large cohort of rs-fMRI dataset in early-stage mild cognitive impairment (eMCI) diagnosis, which is one of the most challenging problems to the clinicians. By comparing with a conventional method, our method shows significant diagnostic performance improvement by almost 10%. This result demonstrates the effectiveness of deep learning in preclinical Alzheimer's disease diagnosis, based on the complex and high-dimensional voxel-wise spatiotemporal patterns of the resting-state brain functional connectomics. The framework provides a new but intuitive way to fully exploit deeply embedded diagnostic features from rs-fMRI for a better-individualized diagnosis of various neurological diseases.</t>
  </si>
  <si>
    <t>T. E. Kam, H. Zhang, Z. Jiao and D. Shen</t>
  </si>
  <si>
    <t>A Novel Deep Learning Framework on Brain Functional Networks for Early MCI Diagnosis</t>
  </si>
  <si>
    <t>Although alternations of brain functional networks (BFNs) derived from resting-state functional magnetic resonance imaging (rs-fMRI) have been considered as promising biomarkers for early Alzheimer's disease (AD) diagnosis, it is still challenging to perform individualized diagnosis, especially at the very early stage of preclinical stage of AD, i.e., early mild cognitive impairment (eMCI). Recently, convolutional neural networks (CNNs) show powerful ability in computer vision and image analysis applications, but there is still a gap for directly applying CNNs to rs-fMRI-based disease diagnosis. In this paper, we propose a novel multiple-BFN-based 3D CNN framework that can automatically and deeply learn complex, high-level, hierarchical diagnostic features from various independent component analysis-derived BFNs. More importantly, the embedded features of different BFNs could comprehensively support each other towards a more accurate eMCI diagnosis in a unified model. The performance of the proposed method is validated by a large-sample, multisite, rigorously controlled publicly accessible dataset. The proposed framework can also be conveniently and straightforwardly applied to individualized diagnosis of various neurological and psychiatric diseases.</t>
  </si>
  <si>
    <t>T. E. Kam, H. Zhang and D. Shen</t>
  </si>
  <si>
    <t>Diagnosis of Myotonic Dystrophy Based on Resting State fMRI Using Convolutional Neural Networks</t>
  </si>
  <si>
    <t>Myotonic dystrophies (DM) are neuromuscular conditions that cause widespread effects throughout the body. There are brain white matter changes on MRI in patients with DM that correlate with neuropsychological functional changes. How these brain alterations causally relate to the presence and severity of cognitive symptoms remains largely unknown. Deep neural networks have significantly improved the performance of image classification of huge datasets. However, its application in brain imaging is limited and not well described, due to the scarcity of labeled training data. In this work, we propose an approach for the diagnosis of DM based on a spatio-temporal deep learning paradigm. The obtained accuracy (73.71%) and sensitivities and specificities showed that the implemented approach based on 4-D convolutional neural networks leads to a compact, discriminative, and fast computing DM-based clinical medical decision support system.Clinical relevance- Many adults with DM experience cognitive and neurological effects impacting their quality of life, and ability to maintain employment. A robust and reliable DM-based clinical decision support system may help reduce the long diagnostic delay common to DM. Furthermore, it can help neurologists better understand the pathophysiology of the disease and analyze effects of new drugs that aim to address the neurological symptoms of DM.</t>
  </si>
  <si>
    <t>Construction of a system using a deep learning algorithm to count cell numbers in nanoliter wells for viable single-cell experiments</t>
  </si>
  <si>
    <t>For single-cell experiments, it is important to accurately count the number of viable cells in a nanoliter well. We used a deep learning-based convolutional neural network (CNN) on a large amount of digital data obtained as microscopic images. The training set consisted of 103 019 samples, each representing a microscopic grayscale image. After extensive training, the CNN was able to classify the samples into four categories, i.e., 0, 1, 2, and more than 2 cells per well, with an accuracy of 98.3% when compared to determination by two trained technicians. By analyzing the samples for which judgments were discordant, we found that the judgment by technicians was relatively correct although cell counting was often difficult by the images of discordant samples. Based on the results, the system was further enhanced by introducing a new algorithm in which the highest outputs from CNN were used, increasing the accuracy to higher than 99%. Our system was able to classify the data even from wells with a different shape. No other tested machine learning algorithm showed a performance higher than that of our system. The presented CNN system is expected to be useful for various single-cell experiments, and for high-throughput and high-content screening.</t>
  </si>
  <si>
    <t>T. Kamatani, K. Fukunaga, K. Miyata, Y. Shirasaki, J. Tanaka, R. Baba, M. Matsusaka, N. Kamatani, K. Moro, T. Betsuyaku and S. Uemura</t>
  </si>
  <si>
    <t>Keratoconus detection using deep learning of colour-coded maps with anterior segment optical coherence tomography: a diagnostic accuracy study</t>
  </si>
  <si>
    <t>OBJECTIVE: To evaluate the diagnostic accuracy of keratoconus using deep learning of the colour-coded maps measured with the swept-source anterior segment optical coherence tomography (AS-OCT). DESIGN: A diagnostic accuracy study. SETTING: A single-centre study. PARTICIPANTS: A total of 304 keratoconic eyes (grade 1 (108 eyes), 2 (75 eyes), 3 (42 eyes) and 4 (79 eyes)) according to the Amsler-Krumeich classification, and 239 age-matched healthy eyes. MAIN OUTCOME MEASURES: The diagnostic accuracy of keratoconus using deep learning of six colour-coded maps (anterior elevation, anterior curvature, posterior elevation, posterior curvature, total refractive power and pachymetry map). RESULTS: Deep learning of the arithmetical mean output data of these six maps showed an accuracy of 0.991 in discriminating between normal and keratoconic eyes. For single map analysis, posterior elevation map (0.993) showed the highest accuracy, followed by posterior curvature map (0.991), anterior elevation map (0.983), corneal pachymetry map (0.982), total refractive power map (0.978) and anterior curvature map (0.976), in discriminating between normal and keratoconic eyes. This deep learning also showed an accuracy of 0.874 in classifying the stage of the disease. Posterior curvature map (0.869) showed the highest accuracy, followed by corneal pachymetry map (0.845), anterior curvature map (0.836), total refractive power map (0.836), posterior elevation map (0.829) and anterior elevation map (0.820), in classifying the stage. CONCLUSIONS: Deep learning using the colour-coded maps obtained by the AS-OCT effectively discriminates keratoconus from normal corneas, and furthermore classifies the grade of the disease. It is suggested that this will become an aid for improving the diagnostic accuracy of keratoconus in daily practice. CLINICAL TRIAL REGISTRATION NUMBER: 000034587.</t>
  </si>
  <si>
    <t>10.1007/978-981-13-1396-7_7</t>
  </si>
  <si>
    <t>Muscle Segmentation for Orthopedic Interventions</t>
  </si>
  <si>
    <t>Skeletal muscle segmentation techniques can help orthopedic interventions in various scenes. In this chapter, we describe two methods of skeletal muscle segmentation on 3D CT images. The first method is based on a computational anatomical model, and the second method is a deep learning-based method. The computational anatomy-based methods are modeling the muscle shape with its running and use it for segmentation. In the deep learning-based methods, the muscle regions are directly acquired automatically. Both approaches can obtain muscle regions including shape, area, volume, and some other image texture features. And it is desirable that the method be selected by the required orthopedic intervention. Here, we show each design philosophy and features of a representative method. We discuss the various examples of site-specific segmentation of skeletal muscle in non-contrast images using torso CT and whole-body CT including in cervical, thoracoabdominal, surface and deep muscles. And we also mention the possibility of application to orthopedic intervention.</t>
  </si>
  <si>
    <t>N. Kamiya</t>
  </si>
  <si>
    <t>10.1007/978-3-030-33128-3_11</t>
  </si>
  <si>
    <t>Deep Learning Technique for Musculoskeletal Analysis</t>
  </si>
  <si>
    <t>Advancements in musculoskeletal analysis have been achieved by adopting deep learning technology in image recognition and analysis. Unlike musculoskeletal modeling based on computational anatomy, deep learning-based methods can obtain muscle information automatically. Through analysis of image features, both approaches can obtain muscle characteristics such as shape, volume, and area, and derive additional information by analyzing other image textures. In this chapter, we first discuss the necessity of musculoskeletal analysis and the required image processing technology. Then, the limitations of skeletal muscle recognition based on conventional handcrafted features are discussed, and developments in skeletal muscle recognition using machine learning and deep learning technology are described. Next, a technique for analyzing musculoskeletal systems using whole-body computed tomography (CT) images is shown. This study aims to achieve automatic recognition of skeletal muscles throughout the body and automatic classification of atrophic muscular disease using only image features, to demonstrate an application of whole-body musculoskeletal analysis driven by deep learning. Finally, we discuss future development of musculoskeletal analysis that effectively combines deep learning with handcrafted feature-based modeling techniques.</t>
  </si>
  <si>
    <t>Enhancing images of shale formations by a hybrid stochastic and deep learning algorithm</t>
  </si>
  <si>
    <t>Accounting for the morphology of shale formations, which represent highly heterogeneous porous media, is a difficult problem. Although two- or three-dimensional images of such formations may be obtained and analyzed, they either do not capture the nanoscale features of the porous media, or they are too small to be an accurate representative of the media, or both. Increasing the resolution of such images is also costly. While high-resolution images may be used to train a deep-learning network in order to increase the quality of low-resolution images, an important obstacle is the lack of a large number of images for the training, as the accuracy of the network's predictions depends on the extent of the training data. Generating a large number of high-resolution images by experimental means is, however, very time consuming and costly, hence limiting the application of deep-learning algorithms to such an important class of problems. To address the issue we propose a novel hybrid algorithm by which a stochastic reconstruction method is used to generate a large number of plausible images of a shale formation, using very few input images at very low cost, and then train a deep-learning convolutional network by the stochastic realizations. We refer to the method as hybrid stochastic deep-learning (HSDL) algorithm. The results indicate promising improvement in the quality of the images, the accuracy of which is confirmed by visual, as well as quantitative comparison between several of their statistical properties. The results are also compared with those obtained by the regular deep learning algorithm without using an enriched and large dataset for training, as well as with those generated by bicubic interpolation.</t>
  </si>
  <si>
    <t>U-NetPlus: A Modified Encoder-Decoder U-Net Architecture for Semantic and Instance Segmentation of Surgical Instruments from Laparoscopic Images</t>
  </si>
  <si>
    <t>With the advent of robot-assisted surgery, there has been a paradigm shift in medical technology for minimally invasive surgery. However, it is very challenging to track the position of the surgical instruments in a surgical scene, and accurate detection &amp; identification of surgical tools is paramount. Deep learning-based semantic segmentation in frames of surgery videos has the potential to facilitate this task. In this work, we modify the U-Net architecture by introducing a pre-trained encoder and re-design the decoder part, by replacing the transposed convolution operation with an upsampling operation based on nearest-neighbor (NN) interpolation. To further improve performance, we also employ a very fast and flexible data augmentation technique. We trained the framework on 8 × 225 frame sequences of robotic surgical videos available through the MICCAI 2017 EndoVis Challenge dataset and tested it on 8 × 75 frame and 2 × 300 frame videos. Using our U-NetPlus architecture, we report a 90.20% DICE for binary segmentation, 76.26% DICE for instrument part segmentation, and 46.07% for instrument type (i.e., all instruments) segmentation, outperforming the results of previous techniques implemented and tested on these data.</t>
  </si>
  <si>
    <t>Development and evaluation of inexpensive automated deep learning-based imaging systems for embryology</t>
  </si>
  <si>
    <t>Embryo assessment and selection is a critical step in an in vitro fertilization (IVF) procedure. Current embryo assessment approaches such as manual microscopy analysis done by embryologists or semi-automated time-lapse imaging systems are highly subjective, time-consuming, or expensive. Availability of cost-effective and easy-to-use hardware and software for embryo image data acquisition and analysis can significantly empower embryologists towards more efficient clinical decisions both in resource-limited and resource-rich settings. Here, we report the development of two inexpensive (&lt;$100 and &lt;$5) and automated imaging platforms that utilize advances in artificial intelligence (AI) for rapid, reliable, and accurate evaluations of embryo morphological qualities. Using a layered learning approach, we have shown that network models pre-trained with high quality embryo image data can be re-trained using data recorded on such low-cost, portable optical systems for embryo assessment and classification when relatively low-resolution image data are used. Using two test sets of 272 and 319 embryo images recorded on the reported stand-alone and smartphone optical systems, we were able to classify embryos based on their cell morphology with &gt;90% accuracy.</t>
  </si>
  <si>
    <t>Lab Chip</t>
  </si>
  <si>
    <t>SiameseGAN: A Generative Model for Denoising of Spectral Domain Optical Coherence Tomography Images</t>
  </si>
  <si>
    <t>Optical coherence tomography (OCT) is a standard diagnostic imaging method for assessment of ophthalmic diseases. The speckle noise present in the high-speed OCT images hampers its clinical utility, especially in Spectral-Domain Optical Coherence Tomography (SDOCT). In this work, a new deep generative model, called as SiameseGAN, for denoising Low signal-to-noise ratio (LSNR) B-scans of SDOCT has been developed. SiameseGAN is a Generative Adversarial Network (GAN) equipped with a siamese twin network. The siamese network module of the proposed SiameseGAN model helps the generator to generate denoised images that are closer to groundtruth images in the feature space, while the discriminator helps in making sure they are realistic images. This approach, unlike baseline dictionary learning technique (MSBTD), does not require an apriori high-quality image from the target imaging subject for denoising and takes less time for denoising. Moreover, various deep learning models that have been shown to be effective in performing denoising task in the SDOCT imaging were also deployed in this work. A qualitative and quantitative comparison on the performance of proposed method with these state-of-the-art denoising algorithms has been performed. The experimental results show that the speckle noise can be effectively mitigated using the proposed SiameseGAN along with faster denoising unlike existing approaches.</t>
  </si>
  <si>
    <t>A Heuristic Neural Network Structure Relying on Fuzzy Logic for Images Scoring</t>
  </si>
  <si>
    <t>Traditional deep learning methods are sub-optimal in classifying ambiguity features, which often arise in noisy and hard to predict categories, especially, to distinguish semantic scoring. Semantic scoring, depending on semantic logic to implement evaluation, inevitably contains fuzzy description and misses some concepts, for example, the ambiguous relationship between normal and probably normal always presents unclear boundaries (normal - more likely normal - probably normal). Thus, human error is common when annotating images. Differing from existing methods that focus on modifying kernel structure of neural networks, this study proposes a dominant fuzzy fully connected layer (FFCL) for Breast Imaging Reporting and Data System (BI-RADS) scoring and validates the universality of this proposed structure. This proposed model aims to develop complementary properties of scoring for semantic paradigms, while constructing fuzzy rules based on analyzing human thought patterns, and to particularly reduce the influence of semantic conglutination. Specifically, this semantic-sensitive defuzzier layer projects features occupied by relative categories into semantic space, and a fuzzy decoder modifies probabilities of the last output layer referring to the global trend. Moreover, the ambiguous semantic space between two relative categories shrinks during the learning phases, as the positive and negative growth trends of one category appearing among its relatives were considered. We first used the Euclidean Distance (ED) to zoom in the distance between the real scores and the predicted scores, and then employed two sample t test method to evidence the advantage of the FFCL architecture. Extensive experimental results performed on the CBIS-DDSM dataset show that our FFCL structure can achieve superior performances for both triple and multiclass classification in BI-RADS scoring, outperforming the state-of-the-art methods.</t>
  </si>
  <si>
    <t>IEEE Trans Fuzzy Syst</t>
  </si>
  <si>
    <t>Deep Convolutional Framelet Denosing for Low-Dose CT via Wavelet Residual Network</t>
  </si>
  <si>
    <t>Model-based iterative reconstruction algorithms for low-dose X-ray computed tomography (CT) are computationally expensive. To address this problem, we recently proposed a deep convolutional neural network (CNN) for low-dose X-ray CT and won the second place in 2016 AAPM Low-Dose CT Grand Challenge. However, some of the textures were not fully recovered. To address this problem, here we propose a novel framelet-based denoising algorithm using wavelet residual network which synergistically combines the expressive power of deep learning and the performance guarantee from the framelet-based denoising algorithms. The new algorithms were inspired by the recent interpretation of the deep CNN as a cascaded convolution framelet signal representation. Extensive experimental results confirm that the proposed networks have significantly improved performance and preserve the detail texture of the original images.</t>
  </si>
  <si>
    <t>E. Kang, W. Chang, J. Yoo and J. C. Ye</t>
  </si>
  <si>
    <t>Cycle-consistent adversarial denoising network for multiphase coronary CT angiography</t>
  </si>
  <si>
    <t>PURPOSE: In multiphase coronary CT angiography (CTA), a series of CT images are taken at different levels of radiation dose during the examination. Although this reduces the total radiation dose, the image quality during the low-dose phases is significantly degraded. Recently, deep neural network approaches based on supervised learning technique have demonstrated impressive performance improvement over conventional model-based iterative methods for low-dose CT. However, matched low- and routine-dose CT image pairs are difficult to obtain in multiphase CT. To address this problem, we aim at developing a new deep learning framework. METHOD: We propose an unsupervised learning technique that can remove the noise of the CT images in the low-dose phases by learning from the CT images in the routine dose phases. Although a supervised learning approach is not applicable due to the differences in the underlying heart structure in two phases, the images are closely related in two phases, so we propose a cycle-consistent adversarial denoising network to learn the mapping between the low- and high-dose cardiac phases. RESULTS: Experimental results showed that the proposed method effectively reduces the noise in the low-dose CT image while preserving detailed texture and edge information. Moreover, thanks to the cyclic consistency and identity loss, the proposed network does not create any artificial features that are not present in the input images. Visual grading and quality evaluation also confirm that the proposed method provides significant improvement in diagnostic quality. CONCLUSIONS: The proposed network can learn the image distributions from the routine-dose cardiac phases, which is a big advantage over the existing supervised learning networks that need exactly matched low- and routine-dose CT images. Considering the effectiveness and practicability of the proposed method, we believe that the proposed can be applied for many other CT acquisition protocols.</t>
  </si>
  <si>
    <t>E. Kang, H. J. Koo, D. H. Yang, J. B. Seo and J. C. Ye</t>
  </si>
  <si>
    <t>A deep convolutional neural network using directional wavelets for low-dose X-ray CT reconstruction</t>
  </si>
  <si>
    <t>PURPOSE: Due to the potential risk of inducing cancer, radiation exposure by X-ray CT devices should be reduced for routine patient scanning. However, in low-dose X-ray CT, severe artifacts typically occur due to photon starvation, beam hardening, and other causes, all of which decrease the reliability of the diagnosis. Thus, a high-quality reconstruction method from low-dose X-ray CT data has become a major research topic in the CT community. Conventional model-based de-noising approaches are, however, computationally very expensive, and image-domain de-noising approaches cannot readily remove CT-specific noise patterns. To tackle these problems, we want to develop a new low-dose X-ray CT algorithm based on a deep-learning approach. METHOD: We propose an algorithm which uses a deep convolutional neural network (CNN) which is applied to the wavelet transform coefficients of low-dose CT images. More specifically, using a directional wavelet transform to extract the directional component of artifacts and exploit the intra- and inter- band correlations, our deep network can effectively suppress CT-specific noise. In addition, our CNN is designed with a residual learning architecture for faster network training and better performance. RESULTS: Experimental results confirm that the proposed algorithm effectively removes complex noise patterns from CT images derived from a reduced X-ray dose. In addition, we show that the wavelet-domain CNN is efficient when used to remove noise from low-dose CT compared to existing approaches. Our results were rigorously evaluated by several radiologists at the Mayo Clinic and won second place at the 2016 Low-Dose CT Grand Challenge. CONCLUSIONS: To the best of our knowledge, this work is the first deep-learning architecture for low-dose CT reconstruction which has been rigorously evaluated and proven to be effective. In addition, the proposed algorithm, in contrast to existing model-based iterative reconstruction (MBIR) methods, has considerable potential to benefit from large data sets. Therefore, we believe that the proposed algorithm opens a new direction in the area of low-dose CT research.</t>
  </si>
  <si>
    <t>E. Kang, J. Min and J. C. Ye</t>
  </si>
  <si>
    <t>Identifying non-O157 Shiga toxin-producing Escherichia coli (STEC) using deep learning methods with hyperspectral microscope images</t>
  </si>
  <si>
    <t>Non-O157 Shiga toxin-producing Escherichia coli (STEC) serogroups such as O26, O45, O103, O111, O121 and O145 often cause illness to people in the United States and the conventional identification of these Big-Six are complex. The label-free hyperspectral microscope imaging (HMI) method, which provides spectral fingerprints information of bacterial cells, was employed to classify serogroups at the cellular level. In spectral analysis, principal component analysis (PCA) method and stacked auto-encoder (SAE) method were conducted to extract principal spectral features for classification task. Based on these features, multiple classifiers including linear discriminant analysis (LDA), support vector machine (SVM) and soft-max regression (SR) methods were evaluated. Different sizes of datasets were also tested in search for the suitable classification models. Among the results, SAE-based classification models performed better than PCA-based models, achieving classification accuracy of SAE-LDA (93.5%), SAE-SVM (94.9%) and SAE-SR (94.6%), respectively. In contrast, classification results of PCA-based methods such as PCA-LDA, PCA-SVM and PCA-SR were only 75.5%, 85.7% and 77.1%, respectively. The results also suggested the increasing number of training samples have positive effects on classification models. Taking advantage of increasing dataset, the SAE-SR classification model finally performed better than others with average accuracy of 94.9% in classifying STEC serogroups. Specifically, O103 serogroup was classified with the highest accuracy of 97.4%, followed by O111 (96.5%), O26 (95.3%), O121 (95%), O145 (92.9%) and O45 (92.4%), respectively. Thus, the HMI technology coupled with SAE-SR classification model has the potential for Big-Six identification.</t>
  </si>
  <si>
    <t>Spectrochim Acta A Mol Biomol Spectrosc</t>
  </si>
  <si>
    <t>10.1002/hbm.24210</t>
  </si>
  <si>
    <t>Adaptive template generation for amyloid PET using a deep learning approach</t>
  </si>
  <si>
    <t>Accurate spatial normalization (SN) of amyloid positron emission tomography (PET) images for Alzheimer's disease assessment without coregistered anatomical magnetic resonance imaging (MRI) of the same individual is technically challenging. In this study, we applied deep neural networks to generate individually adaptive PET templates for robust and accurate SN of amyloid PET without using matched 3D MR images. Using 681 pairs of simultaneously acquired (11) C-PIB PET and T1-weighted 3D MRI scans of AD, MCI, and cognitively normal subjects, we trained and tested two deep neural networks [convolutional auto-encoder (CAE) and generative adversarial network (GAN)] that produce adaptive best PET templates. More specifically, the networks were trained using 685,100 pieces of augmented data generated by rotating 527 randomly selected datasets and validated using 154 datasets. The input to the supervised neural networks was the 3D PET volume in native space and the label was the spatially normalized 3D PET image using the transformation parameters obtained from MRI-based SN. The proposed deep learning approach significantly enhanced the quantitative accuracy of MRI-less amyloid PET assessment by reducing the SN error observed when an average amyloid PET template is used. Given an input image, the trained deep neural networks rapidly provide individually adaptive 3D PET templates without any discontinuity between the slices (in 0.02 s). As the proposed method does not require 3D MRI for the SN of PET images, it has great potential for use in routine analysis of amyloid PET images in clinical practice and research.</t>
  </si>
  <si>
    <t>Pretreatment Identification of Head and Neck Cancer Nodal Metastasis and Extranodal Extension Using Deep Learning Neural Networks</t>
  </si>
  <si>
    <t>Identification of nodal metastasis and tumor extranodal extension (ENE) is crucial for head and neck cancer management, but currently only can be diagnosed via postoperative pathology. Pretreatment, radiographic identification of ENE, in particular, has proven extremely difficult for clinicians, but would be greatly influential in guiding patient management. Here, we show that a deep learning convolutional neural network can be trained to identify nodal metastasis and ENE with excellent performance that surpasses what human clinicians have historically achieved. We trained a 3-dimensional convolutional neural network using a dataset of 2,875 CT-segmented lymph node samples with correlating pathology labels, cross-validated and fine-tuned on 124 samples, and conducted testing on a blinded test set of 131 samples. On the blinded test set, the model predicted ENE and nodal metastasis each with area under the receiver operating characteristic curve (AUC) of 0.91 (95%CI: 0.85-0.97). The model has the potential for use as a clinical decision-making tool to help guide head and neck cancer patient management.</t>
  </si>
  <si>
    <t>B. H. Kann, S. Aneja, G. V. Loganadane, J. R. Kelly, S. M. Smith, R. H. Decker, J. B. Yu, H. S. Park, W. G. Yarbrough, A. Malhotra, B. A. Burtness and Z. A. Husain</t>
  </si>
  <si>
    <t>Multi-Institutional Validation of Deep Learning for Pretreatment Identification of Extranodal Extension in Head and Neck Squamous Cell Carcinoma</t>
  </si>
  <si>
    <t>PURPOSE: Extranodal extension (ENE) is a well-established poor prognosticator and an indication for adjuvant treatment escalation in patients with head and neck squamous cell carcinoma (HNSCC). Identification of ENE on pretreatment imaging represents a diagnostic challenge that limits its clinical utility. We previously developed a deep learning algorithm that identifies ENE on pretreatment computed tomography (CT) imaging in patients with HNSCC. We sought to validate our algorithm performance for patients from a diverse set of institutions and compare its diagnostic ability to that of expert diagnosticians. METHODS: We obtained preoperative, contrast-enhanced CT scans and corresponding pathology results from two external data sets of patients with HNSCC: an external institution and The Cancer Genome Atlas (TCGA) HNSCC imaging data. Lymph nodes were segmented and annotated as ENE-positive or ENE-negative on the basis of pathologic confirmation. Deep learning algorithm performance was evaluated and compared directly to two board-certified neuroradiologists. RESULTS: A total of 200 lymph nodes were examined in the external validation data sets. For lymph nodes from the external institution, the algorithm achieved an area under the receiver operating characteristic curve (AUC) of 0.84 (83.1% accuracy), outperforming radiologists' AUCs of 0.70 and 0.71 (P = .02 and P = .01). Similarly, for lymph nodes from the TCGA, the algorithm achieved an AUC of 0.90 (88.6% accuracy), outperforming radiologist AUCs of 0.60 and 0.82 (P &lt; .0001 and P = .16). Radiologist diagnostic accuracy improved when receiving deep learning assistance. CONCLUSION: Deep learning successfully identified ENE on pretreatment imaging across multiple institutions, exceeding the diagnostic ability of radiologists with specialized head and neck experience. Our findings suggest that deep learning has utility in the identification of ENE in patients with HNSCC and has the potential to be integrated into clinical decision making.</t>
  </si>
  <si>
    <t>J Clin Oncol</t>
  </si>
  <si>
    <t>Full-Dose PET Image Estimation from Low-Dose PET Image Using Deep Learning: a Pilot Study</t>
  </si>
  <si>
    <t>Positron emission tomography (PET) imaging is an effective tool used in determining disease stage and lesion malignancy; however, radiation exposure to patients and technicians during PET scans continues to draw concern. One way to minimize radiation exposure is to reduce the dose of radioactive tracer administered in order to obtain the scan. Yet, low-dose images are inherently noisy and have poor image quality making them difficult to read. This paper proposes the use of a deep learning model that takes specific image features into account in the loss function to denoise low-dose PET image slices and estimate their full-dose image quality equivalent. Testing on low-dose image slices indicates a significant improvement in image quality that is comparable to the ground truth full-dose image slices. Additionally, this approach can lower the cost of conducting a PET scan since less radioactive material is required per scan, which may promote the usage of PET scans for medical diagnosis.</t>
  </si>
  <si>
    <t>Identifying Phenogroups in patients with subclinical diastolic dysfunction using unsupervised statistical learning</t>
  </si>
  <si>
    <t>BACKGROUND: Subclinical diastolic dysfunction is a precursor for developing heart failure with preserved ejection fraction (HFpEF); yet not all patients progress to HFpEF. Our objective was to evaluate clinical and echocardiographic variables to identify patients who develop HFpEF. METHODS: Clinical, laboratory, and echocardiographic data were retrospectively collected for 81 patients without HF and 81 matched patients with HFpEF at the time of first documentation of subclinical diastolic dysfunction. Density-based clustering or hierarchical clustering to group patients was based on 65 total variables including 19 categorical and 46 numerical variables. Logistic regression analysis was conducted on the entire study population as well as each individual cluster to identify independent predictors of HFpEF. RESULTS: Unsupervised clustering identified 3 subgroups which differed in gender composition, severity of cardiac hypertrophy and aortic stenosis, NT-proBNP, percentage of patients who progressed to HFpEF, and timing of disease progression from diastolic dysfunction to HFpEF to death. Clusters that had higher percentages of women had progressively milder cardiac hypertrophy, less severe aortic stenosis, lower NT-proBNP, were diagnosed at an older age with HFpEF, and survived to an older age. Independent predictors of HFpEF for the entire cohort included diabetes, chronic kidney disease, atrial fibrillation, and diuretic use, with additional predictive variables found for each cluster. CONCLUSIONS: Cluster analysis can identify phenotypically distinct subgroups of patients with diastolic dysfunction. Clusters differ in HFpEF and mortality outcome. In addition, the variables that correlate with and predict HFpEF outcome differ among clusters.</t>
  </si>
  <si>
    <t>BMC Cardiovasc Disord</t>
  </si>
  <si>
    <t>Semantic segmentation of HeLa cells: An objective comparison between one traditional algorithm and four deep-learning architectures</t>
  </si>
  <si>
    <t>The quantitative study of cell morphology is of great importance as the structure and condition of cells and their structures can be related to conditions of health or disease. The first step towards that, is the accurate segmentation of cell structures. In this work, we compare five approaches, one traditional and four deep-learning, for the semantic segmentation of the nuclear envelope of cervical cancer cells commonly known as HeLa cells. Images of a HeLa cancer cell were semantically segmented with one traditional image-processing algorithm and four three deep learning architectures: VGG16, ResNet18, Inception-ResNet-v2, and U-Net. Three hundred slices, each 2000 × 2000 pixels, of a HeLa Cell were acquired with Serial Block Face Scanning Electron Microscopy. The first three deep learning architectures were pre-trained with ImageNet and then fine-tuned with transfer learning. The U-Net architecture was trained from scratch with 36, 000 training images and labels of size 128 × 128. The image-processing algorithm followed a pipeline of several traditional steps like edge detection, dilation and morphological operators. The algorithms were compared by measuring pixel-based segmentation accuracy and Jaccard index against a labelled ground truth. The results indicated a superior performance of the traditional algorithm (Accuracy = 99%, Jaccard = 93%) over the deep learning architectures: VGG16 (93%, 90%), ResNet18 (94%, 88%), Inception-ResNet-v2 (94%, 89%), and U-Net (92%, 56%).</t>
  </si>
  <si>
    <t>Lightweight deep learning models for detecting COVID-19 from chest X-ray images</t>
  </si>
  <si>
    <t>Deep learning methods have already enjoyed an unprecedented success in medical imaging problems. Similar success has been evidenced when it comes to the detection of COVID-19 from medical images, therefore deep learning approaches are considered good candidates for detecting this disease, in collaboration with radiologists and/or physicians. In this paper, we propose a new approach to detect COVID-19 via exploiting a conditional generative adversarial network to generate synthetic images for augmenting the limited amount of data available. Additionally, we propose two deep learning models following a lightweight architecture, commensurating with the overall amount of data available. Our experiments focused on both binary classification for COVID-19 vs Normal cases and multi-classification that includes a third class for bacterial pneumonia. Our models achieved a competitive performance compared to other studies in literature and also a ResNet8 model. Our best performing binary model achieved 98.7% accuracy, 100% sensitivity and 98.3% specificity, while our three-class model achieved 98.3% accuracy, 99.3% sensitivity and 98.1% specificity. Moreover, via adopting a testing protocol proposed in literature, our models proved to be more robust and reliable in COVID-19 detection than a baseline ResNet8, making them good candidates for detecting COVID-19 from posteroanterior chest X-ray images.</t>
  </si>
  <si>
    <t>Realizing 5G- and AI-based doctor-to-doctor remote diagnosis: opportunities, challenges, and prospects</t>
  </si>
  <si>
    <t>Fifth Generation (5G) mobile communications technology became available in Japan as of the end of March 2020. The Ministry of Internal Affairs and Communications (MIC) is proceeding with a plan to use 5G for a doctor-to-doctor remote diagnosis system. This remote diagnosis offers patients the benefit of receiving advanced medical care without having to travel long distances. The provision of a remote diagnosis will provide elderly patients in rural areas with an earlier diagnosis without burdening patients in Japan where the aging population and the uneven distribution of doctors are increasing. However, the system will increase the burden on specialists by expanding the doctor's catchment area. As a solution to that problem, deep learning-based artificial intelligence (AI) is expected to reduce the burden on doctors. In order to realize 5G- and AI-based real-time diagnostic support, diagnostic imaging using AI and an AI model that provides instructions are required. This is because ultrasonography and endoscopy, which can be used for remote diagnosis, do not acquire data on fixed areas like a CT or MRI scan. The AI model needs to instruct the doctor at the patient's home in order to collect appropriate information in accordance with the patient's symptoms and status. In order to build an interactive AI model, the interactions between doctors who are making a remote diagnosis should be recorded as training data and a 5G-based remote diagnosis system should be created. A remote diagnostic support system incorporating 5G and interactive diagnostic imaging incorporating AI will result in a system that places less of a burden on patients and doctors.</t>
  </si>
  <si>
    <t>Biosci Trends</t>
  </si>
  <si>
    <t>Reagent-Free and Rapid Assessment of T Cell Activation State Using Diffraction Phase Microscopy and Deep Learning</t>
  </si>
  <si>
    <t>CD8(+) T cells constitute an essential compartment of the adaptive immune system. During immune responses, naı̈ve T cells become functional, as they are primed with their cognate determinants by the antigen presenting cells. Current methods of identifying activated CD8(+) T cells are laborious, time-consuming and expensive due to the extensive list of required reagents. Here, we demonstrate an optical imaging approach featuring quantitative phase imaging to distinguish activated CD8(+) T cells from naı̈ve CD8(+) T cells in a rapid and reagent-free manner. We measured the dry mass of live cells and employed transport-based morphometry to better understand their differential morphological attributes. Our results reveal that, upon activation, the dry cell mass of T cells increases significantly in comparison to that of unstimulated cells. By employing deep learning formalism, we are able to accurately predict the population ratios of unknown mixed population based on the acquired quantitative phase images. We envision that, with further refinement, this label-free method of T cell phenotyping will lead to a rapid and cost-effective platform for assaying T cell responses to candidate antigens in the near future.</t>
  </si>
  <si>
    <t>Deep learning with noisy labels: Exploring techniques and remedies in medical image analysis</t>
  </si>
  <si>
    <t>Supervised training of deep learning models requires large labeled datasets. There is a growing interest in obtaining such datasets for medical image analysis applications. However, the impact of label noise has not received sufficient attention. Recent studies have shown that label noise can significantly impact the performance of deep learning models in many machine learning and computer vision applications. This is especially concerning for medical applications, where datasets are typically small, labeling requires domain expertise and suffers from high inter- and intra-observer variability, and erroneous predictions may influence decisions that directly impact human health. In this paper, we first review the state-of-the-art in handling label noise in deep learning. Then, we review studies that have dealt with label noise in deep learning for medical image analysis. Our review shows that recent progress on handling label noise in deep learning has gone largely unnoticed by the medical image analysis community. To help achieve a better understanding of the extent of the problem and its potential remedies, we conducted experiments with three medical imaging datasets with different types of label noise, where we investigated several existing strategies and developed new methods to combat the negative effect of label noise. Based on the results of these experiments and our review of the literature, we have made recommendations on methods that can be used to alleviate the effects of different types of label noise on deep models trained for medical image analysis. We hope that this article helps the medical image analysis researchers and developers in choosing and devising new techniques that effectively handle label noise in deep learning.</t>
  </si>
  <si>
    <t>LEARNING TO DETECT BRAIN LESIONS FROM NOISY ANNOTATIONS</t>
  </si>
  <si>
    <t>Supervised training of deep neural networks in medical imaging applications relies heavily on expert-provided annotations. These annotations, however, are often imperfect, as voxel-by-voxel labeling of structures on 3D images is difficult and laborious. In this paper, we focus on one common type of label imperfection, namely, false negatives. Focusing on brain lesion detection, we propose a method to train a convolutional neural network (CNN) to segment lesions while simultaneously improving the quality of the training labels by identifying false negatives and adding them to the training labels. To identify lesions missed by annotators in the training data, our method makes use of the 1) CNN predictions, 2) prediction uncertainty estimated during training, and 3) prior knowledge about lesion size and features. On a dataset of 165 scans of children with tuberous sclerosis complex from five centers, our method achieved better lesion detection and segmentation accuracy than the baseline CNN trained on the noisy labels, and than several alternative techniques.</t>
  </si>
  <si>
    <t>Prostate segmentation in MRI using a convolutional neural network architecture and training strategy based on statistical shape models</t>
  </si>
  <si>
    <t>PURPOSE: Most of the existing convolutional neural network (CNN)-based medical image segmentation methods are based on methods that have originally been developed for segmentation of natural images. Therefore, they largely ignore the differences between the two domains, such as the smaller degree of variability in the shape and appearance of the target volume and the smaller amounts of training data in medical applications. We propose a CNN-based method for prostate segmentation in MRI that employs statistical shape models to address these issues. METHODS: Our CNN predicts the location of the prostate center and the parameters of the shape model, which determine the position of prostate surface keypoints. To train such a large model for segmentation of 3D images using small data (1) we adopt a stage-wise training strategy by first training the network to predict the prostate center and subsequently adding modules for predicting the parameters of the shape model and prostate rotation, (2) we propose a data augmentation method whereby the training images and their prostate surface keypoints are deformed according to the displacements computed based on the shape model, and (3) we employ various regularization techniques. RESULTS: Our proposed method achieves a Dice score of 0.88, which is obtained by using both elastic-net and spectral dropout for regularization. Compared with a standard CNN-based method, our method shows significantly better segmentation performance on the prostate base and apex. Our experiments also show that data augmentation using the shape model significantly improves the segmentation results. CONCLUSIONS: Prior knowledge about the shape of the target organ can improve the performance of CNN-based segmentation methods, especially where image features are not sufficient for a precise segmentation. Statistical shape models can also be employed to synthesize additional training data that can ease the training of large CNNs.</t>
  </si>
  <si>
    <t>D. Karimi, G. Samei, C. Kesch, G. Nir and S. E. Salcudean</t>
  </si>
  <si>
    <t>Accurate and robust deep learning-based segmentation of the prostate clinical target volume in ultrasound images</t>
  </si>
  <si>
    <t>The goal of this work was to develop a method for accurate and robust automatic segmentation of the prostate clinical target volume in transrectal ultrasound (TRUS) images for brachytherapy. These images can be difficult to segment because of weak or insufficient landmarks or strong artifacts. We devise a method, based on convolutional neural networks (CNNs), that produces accurate segmentations on easy and difficult images alike. We propose two strategies to achieve improved segmentation accuracy on difficult images. First, for CNN training we adopt an adaptive sampling strategy, whereby the training process is encouraged to pay more attention to images that are difficult to segment. Secondly, we train a CNN ensemble and use the disagreement among this ensemble to identify uncertain segmentations and to estimate a segmentation uncertainty map. We improve uncertain segmentations by utilizing the prior shape information in the form of a statistical shape model. Our method achieves Hausdorff distance of 2.7 ± 2.3 mm and Dice score of 93.9 ± 3.5%. Comparisons with several competing methods show that our method achieves significantly better results and reduces the likelihood of committing large segmentation errors. Furthermore, our experiments show that our approach to estimating segmentation uncertainty is better than or on par with recent methods for estimation of prediction uncertainty in deep learning models. Our study demonstrates that estimation of model uncertainty and use of prior shape information can significantly improve the performance of CNN-based medical image segmentation methods, especially on difficult images.</t>
  </si>
  <si>
    <t>D. Karimi, Q. Zeng, P. Mathur, A. Avinash, S. Mahdavi, I. Spadinger, P. Abolmaesumi and S. E. Salcudean</t>
  </si>
  <si>
    <t>Fully‑automated deep‑learning segmentation of pediatric cardiovascular magnetic resonance of patients with complex congenital heart diseases</t>
  </si>
  <si>
    <t>BACKGROUND: For the growing patient population with congenital heart disease (CHD), improving clinical workflow, accuracy of diagnosis, and efficiency of analyses are considered unmet clinical needs. Cardiovascular magnetic resonance (CMR) imaging offers non-invasive and non-ionizing assessment of CHD patients. However, although CMR data facilitates reliable analysis of cardiac function and anatomy, clinical workflow mostly relies on manual analysis of CMR images, which is time consuming. Thus, an automated and accurate segmentation platform exclusively dedicated to pediatric CMR images can significantly improve the clinical workflow, as the present work aims to establish. METHODS: Training artificial intelligence (AI) algorithms for CMR analysis requires large annotated datasets, which are not readily available for pediatric subjects and particularly in CHD patients. To mitigate this issue, we devised a novel method that uses a generative adversarial network (GAN) to synthetically augment the training dataset via generating synthetic CMR images and their corresponding chamber segmentations. In addition, we trained and validated a deep fully convolutional network (FCN) on a dataset, consisting of [Formula: see text] pediatric subjects with complex CHD, which we made publicly available. Dice metric, Jaccard index and Hausdorff distance as well as clinically-relevant volumetric indices are reported to assess and compare our platform with other algorithms including U-Net and cvi42, which is used in clinics. RESULTS: For congenital CMR dataset, our FCN model yields an average Dice metric of [Formula: see text] and [Formula: see text] for LV at end-diastole and end-systole, respectively, and [Formula: see text] and [Formula: see text] for RV at end-diastole and end-systole, respectively. Using the same dataset, the cvi42, resulted in [Formula: see text], [Formula: see text], [Formula: see text] and [Formula: see text] for LV and RV at end-diastole and end-systole, and the U-Net architecture resulted in [Formula: see text], [Formula: see text], [Formula: see text] and [Formula: see text] for LV and RV at end-diastole and end-systole, respectively. CONCLUSIONS: The chambers' segmentation results from our fully-automated method showed strong agreement with manual segmentation and no significant statistical difference was found by two independent statistical analyses. Whereas cvi42 and U-Net segmentation results failed to pass the t-test. Relying on these outcomes, it can be inferred that by taking advantage of GANs, our method is clinically relevant and can be used for pediatric and congenital CMR segmentation and analysis.</t>
  </si>
  <si>
    <t>10.1016/j.cmpb.2020.105728</t>
  </si>
  <si>
    <t>Neuroimaging and deep learning for brain stroke detection - A review of recent advancements and future prospects</t>
  </si>
  <si>
    <t>BACKGROUND AND OBJECTIVE: In recent years, deep learning algorithms have created a massive impact on addressing research challenges in different domains. The medical field also greatly benefits from the use of improving deep learning models which save time and produce accurate results. This research aims to emphasize the impact of deep learning models in brain stroke detection and lesion segmentation. This is achieved by discussing the state of the art approaches proposed by the recent works in this field. METHODS: In this study, the advancements in stroke lesion detection and segmentation were focused. The survey analyses 113 research papers published in different academic research databases. The research articles have been filtered out based on specific criteria to obtain the most prominent insights related to stroke lesion detection and segmentation. RESULTS: The features of the stroke lesion vary based on the type of imaging modality. To develop an effective method for stroke lesion detection, the features need to be carefully extracted from the input images. This review takes an attempt to categorize and discuss the different deep architectures employed for stroke lesion detection and segmentation, based on the underlying imaging modality. This further assists in understanding the relevance of the two-deep neural network components in medical image analysis namely Convolutional Neural Network (CNN) and Fully Convolutional Network (FCN). It hints at other possible deep architectures that can be proposed for better results towards stroke lesion detection. Also, the emerging trends and breakthroughs in stroke detection have been detailed in this evaluation. CONCLUSION: This work concludes by examining the technical and non-technical challenges faced by researchers and indicate the future implications in stroke detection. It could support the bio-medical researchers to propose better solutions for stroke lesion detection.</t>
  </si>
  <si>
    <t>Learning distinctive filters for COVID-19 detection from chest X-ray using shuffled residual CNN</t>
  </si>
  <si>
    <t>COVID-19 is a deadly viral infection that has brought a significant threat to human lives. Automatic diagnosis of COVID-19 from medical imaging enables precise medication, helps to control community outbreak, and reinforces coronavirus testing methods in place. While there exist several challenges in manually inferring traces of this viral infection from X-ray, Convolutional Neural Network (CNN) can mine data patterns that capture subtle distinctions between infected and normal X-rays. To enable automated learning of such latent features, a custom CNN architecture has been proposed in this research. It learns unique convolutional filter patterns for each kind of pneumonia. This is achieved by restricting certain filters in a convolutional layer to maximally respond only to a particular class of pneumonia/COVID-19. The CNN architecture integrates different convolution types to aid better context for learning robust features and strengthen gradient flow between layers. The proposed work also visualizes regions of saliency on the X-ray that have had the most influence on CNN's prediction outcome. To the best of our knowledge, this is the first attempt in deep learning to learn custom filters within a single convolutional layer for identifying specific pneumonia classes. Experimental results demonstrate that the proposed work has significant potential in augmenting current testing methods for COVID-19. It achieves an F1-score of 97.20% and an accuracy of 99.80% on the COVID-19 X-ray set.</t>
  </si>
  <si>
    <t>Appl Soft Comput</t>
  </si>
  <si>
    <t>Predicting survival from colorectal cancer histology slides using deep learning: A retrospective multicenter study</t>
  </si>
  <si>
    <t>BACKGROUND: For virtually every patient with colorectal cancer (CRC), hematoxylin-eosin (HE)-stained tissue slides are available. These images contain quantitative information, which is not routinely used to objectively extract prognostic biomarkers. In the present study, we investigated whether deep convolutional neural networks (CNNs) can extract prognosticators directly from these widely available images. METHODS AND FINDINGS: We hand-delineated single-tissue regions in 86 CRC tissue slides, yielding more than 100,000 HE image patches, and used these to train a CNN by transfer learning, reaching a nine-class accuracy of &gt;94% in an independent data set of 7,180 images from 25 CRC patients. With this tool, we performed automated tissue decomposition of representative multitissue HE images from 862 HE slides in 500 stage I-IV CRC patients in the The Cancer Genome Atlas (TCGA) cohort, a large international multicenter collection of CRC tissue. Based on the output neuron activations in the CNN, we calculated a deep stroma score, which was an independent prognostic factor for overall survival (OS) in a multivariable Cox proportional hazard model (hazard ratio [HR] with 95% confidence interval [CI]: 1.99 [1.27-3.12], p = 0.0028), while in the same cohort, manual quantification of stromal areas and a gene expression signature of cancer-associated fibroblasts (CAFs) were only prognostic in specific tumor stages. We validated these findings in an independent cohort of 409 stage I-IV CRC patients from the Darmkrebs: Chancen der Verhütung durch Screening (DACHS) study who were recruited between 2003 and 2007 in multiple institutions in Germany. Again, the score was an independent prognostic factor for OS (HR 1.63 [1.14-2.33], p = 0.008), CRC-specific OS (HR 2.29 [1.5-3.48], p = 0.0004), and relapse-free survival (RFS; HR 1.92 [1.34-2.76], p = 0.0004). A prospective validation is required before this biomarker can be implemented in clinical workflows. CONCLUSIONS: In our retrospective study, we show that a CNN can assess the human tumor microenvironment and predict prognosis directly from histopathological images.</t>
  </si>
  <si>
    <t>J. N. Kather, J. Krisam, P. Charoentong, T. Luedde, E. Herpel, C. A. Weis, T. Gaiser, A. Marx, N. A. Valous, D. Ferber, L. Jansen, C. C. Reyes-Aldasoro, I. Zörnig, D. Jäger, H. Brenner, J. Chang-Claude, M. Hoffmeister and N. Halama</t>
  </si>
  <si>
    <t>Neural Network Detection and Segmentation of Mental Foramen in Panoramic Imaging</t>
  </si>
  <si>
    <t>Objective: To apply the technique of deep learning on a small dataset of panoramic images for the detection and segmentation of the mental foramen (MF). Study design: In this study we used in-house dataset created within the School of Dental Medicine, Tel Aviv University. The dataset contained randomly chosen and anonymized 112 digital panoramic X-ray images and corresponding segmentations of MF. In order to solve the task of segmentation of the MF we used a single fully convolution neural network, that was based on U-net as well as a cascade architecture. 70% of the data were randomly chosen for training, 15% for validation and accuracy was tested on 15%. The model was trained using NVIDIA GeForce GTX 1080 GPU. The SPSS software, version 17.0 (Chicago, IL, USA) was used for the statistical analysis. The study was approved by the ethical committee of Tel Aviv University. Results: The best results of the dice similarity coefficient ( DSC), precision, recall, MF-wise true positive rate (MF(TPR)) and MF-wise false positive rate (MF(FPR)) in single networks were 49.51%, 71.13%, 68.24%, 87.81% and 14.08%, respectively. The cascade of networks has shown better results than simple networks in recall and MF(TPR), which were 88.83%, 93.75%, respectively, while DSC and precision achieved the lowest values, 31.77% and 23.92%, respectively. Conclusions: Currently, the U-net, one of the most used neural network architectures for biomedical application, was effectively used in this study. Methods based on deep learning are extremely important for automatic detection and segmentation in radiology and require further development.</t>
  </si>
  <si>
    <t>J Clin Pediatr Dent</t>
  </si>
  <si>
    <t>Atherosclerotic carotid plaque on panoramic radiographs: neural network detection</t>
  </si>
  <si>
    <t>AIM: Atherosclerotic carotid plaques (ACPs) constitute the main etiological factor in about 15% of strokes. ACPs can be detected on routine dental panoramic radiographs. As these are one of the most commonly performed dental images, they can be used as a source of available data for computerized methods of automatic detection of ACPs in order to significantly increase their timely diagnosis. The aim of this study was to present the potential of applying deep learning methodology to detect ACPs on routine panoramic radiographs with the ultimate goal of preventing strokes. METHODS: The Faster Region-based Convolutional Neural Network (Faster R-CNN) for deep learning was used. The operation of the algorithm was assessed on a small dataset of 65 panoramic images. As the available training data was limited, data augmentation was performed by changing the brightness and randomly flipping and rotating cropped regions of interest in multiple angles. Receiver operating characteristic (ROC) analysis was performed to calculate the accuracy of detection. RESULTS: ACPs were detected with a sensitivity of 75%, a specificity of 80%, and an accuracy of 83%. The ROC analysis showed a significant area under curve (AUC), different from 0.5. CONCLUSIONS: The novelty of the study lies in showing the efficiency of a deep learning method for the detection of ACPs on routine panoramic images based on a small dataset. Further improvement is needed as regards the application of the algorithm to the level of introducing this methodology in routine dental practice for stroke prevention.</t>
  </si>
  <si>
    <t>Toward automatic C-arm positioning for standard projections in orthopedic surgery</t>
  </si>
  <si>
    <t>PURPOSE: Guidance and quality control in orthopedic surgery increasingly rely on intra-operative fluoroscopy using a mobile C-arm. The accurate acquisition of standardized and anatomy-specific projections is essential in this process. The corresponding iterative positioning of the C-arm is error prone and involves repeated manual acquisitions or even continuous fluoroscopy. To reduce time and radiation exposure for patients and clinical staff and to avoid errors in fracture reduction or implant placement, we aim at guiding-and in the long-run automating-this procedure. METHODS: In contrast to the state of the art, we tackle this inherently ill-posed problem without requiring patient-individual prior information like preoperative computed tomography (CT) scans, without the need of registration and without requiring additional technical equipment besides the projection images themselves. We propose learning the necessary anatomical hints for efficient C-arm positioning from in silico simulations, leveraging masses of 3D CTs. Specifically, we propose a convolutional neural network regression model that predicts 5 degrees of freedom pose updates directly from a first X-ray image. The method is generalizable to different anatomical regions and standard projections. RESULTS: Quantitative and qualitative validation was performed for two clinical applications involving two highly dissimilar anatomies, namely the lumbar spine and the proximal femur. Starting from one initial projection, the mean absolute pose error to the desired standard pose is iteratively reduced across different anatomy-specific standard projections. Acquisitions of both hip joints on 4 cadavers allowed for an evaluation on clinical data, demonstrating that the approach generalizes without retraining. CONCLUSION: Overall, the results suggest the feasibility of an efficient deep learning-based automated positioning procedure, which is trained on simulations. Our proposed 2-stage approach for C-arm positioning significantly improves accuracy on synthetic images. In addition, we demonstrated that learning based on simulations translates to acceptable performance on real X-rays.</t>
  </si>
  <si>
    <t>Deep learning enables automated localization of the metastatic lymph node for thyroid cancer on (131)I post-ablation whole-body planar scans</t>
  </si>
  <si>
    <t>The accurate detection of radioactive iodine-avid lymph node (LN) metastasis on (131)I post-ablation whole-body planar scans (RxWBSs) is important in tracking the progression of the metastatic lymph nodes (mLNs) of patients with papillary thyroid cancer (PTC). However, severe noise artifacts and the indiscernible location of the mLN from adjacent tissues with similar gray-scale values make clinical decisions extremely challenging. This study aims (i) to develop a multilayer fully connected deep network (MFDN) for the automatic recognition of mLNs from thyroid remnant tissue by utilizing the dataset of RxWBSs and (ii) to evaluate its diagnostic performance using post-ablation single-photon emission computed tomography. Image patches focused on the mLN and remnant tissues along with their variations of probability of pixel positions were fed as inputs to the network. With this efficient automatic approach, we achieved a high F1-score and outperformed the physician score (P &lt; 0.001) in detecting mLNs. Competitive segmentation networks on RxWBS displayed moderate performance for the mLN but remained robust for the remnant tissue. Our results demonstrated that the generalization performance with the multiple layers by replicating signal transmission overcome the constraint of local minimum optimization, it can be suitable to localize the unstable location of mLN region on RxWBS and therefore MFDN can be useful in clinical decision-making to track mLN progression for PTC.</t>
  </si>
  <si>
    <t>Comparison of semi-automatic and deep learning-based automatic methods for liver segmentation in living liver transplant donors</t>
  </si>
  <si>
    <t>PURPOSE: To compare the accuracy and repeatability of emerging machine learning based (i.e. deep) automatic segmentation algorithms with those of well-established semi-automatic (interactive) methods for determining liver volume in living liver transplant donors at computerized tomography (CT) imaging. METHODS: A total of 12 (6 semi-, 6 full-automatic) methods are evaluated. The semi-automatic segmentation algorithms are based on both traditional iterative models including watershed, fast marching, region growing, active contours and modern techniques including robust statistical segmenter and super-pixels. These methods entail some sort of interaction mechanism such as placing initialization seeds on images or determining a parameter range. The automatic methods are based on deep learning and they include three framework templates (DeepMedic, NiftyNet and U-Net) the first two of which are applied with default parameter sets and the last two involve adapted novel model designs. For 20 living donors (6 training and 12 test datasets), a group of imaging scientists and radiologists created ground truths by performing manual segmentations on contrast material-enhanced CT images. Each segmentation is evaluated using five metrics (i.e. volume overlap and relative volume errors, average/RMS/maximum symmetrical surface distances). The results are mapped to a scoring system and a final grade is calculated by taking their average. Accuracy and repeatability were evaluated using slice by slice comparisons and volumetric analysis. Diversity and complementarity are observed through heatmaps. Majority voting and Simultaneous Truth and Performance Level Estimation (STAPLE) algorithms are utilized to obtain the fusion of the individual results. RESULTS: The top four methods are determined to be automatic deep models having 79.63, 79.46 and 77.15 and 74.50 scores. Intra-user score is determined as 95.14. Overall, deep automatic segmentation outperformed interactive techniques on all metrics. The mean volume of liver of ground truth is found to be 1409.93 mL ± 271.28 mL, while it is calculated as 1342.21 mL ± 231.24 mL using automatic and 1201.26 mL ± 258.13 mL using interactive methods, showing higher accuracy and less variation on behalf of automatic methods. The qualitative analysis of segmentation results showed significant diversity and complementarity enabling the idea of using ensembles to obtain superior results. The fusion of automatic methods reached 83.87 with majority voting and 86.20 using STAPLE that are only slightly less than fusion of all methods that achieved 86.70 (majority voting) and 88.74 (STAPLE). CONCLUSION: Use of the new deep learning based automatic segmentation algorithms substantially increases the accuracy and repeatability for segmentation and volumetric measurements of liver. Fusion of automatic methods based on ensemble approaches exhibits best results almost without any additional time cost due to potential parallel execution of multiple models.</t>
  </si>
  <si>
    <t>Image synthesis with deep convolutional generative adversarial networks for material decomposition in dual-energy CT from a kilovoltage CT</t>
  </si>
  <si>
    <t>Generative Adversarial Networks (GANs) have been widely used and it is expected to use for the clinical examination and image. The objective of the current study was to synthesize material decomposition images of bone-water (bone(water)) and fat-water (fat(water)) reconstructed from dual-energy computed tomography (DECT) using an equivalent kilovoltage-CT (kV-CT) image and a deep conditional GAN. The effective atomic number images were reconstructed using DECT. We used 18,084 images of 28 patients divided into two datasets: the training data for the model included 16,146 images (20 patients) and the test data for evaluation included 1938 images (8 patients). Image prediction frameworks of the equivalent single energy CT images at 120 kVp to the effective atomic number images were created. The image-synthesis framework was based on a CNN with a generator and discriminator. The mean absolute error (MAE), relative mean square error (MSE), relative root mean square error (RMSE), peak signal-to-noise ratio (PSNR), structural similarity index (SSIM), and mutual information (MI) were evaluated. The Hounsfield unit (HU) difference between the synthesized and reference material decomposition images of bone(water) and fat(water) were within 5.3 HU and 20.3 HU, respectively. The average MAE, MSE, RMSE, SSIM, and MI of the synthesized and reference material decomposition of the bone(water) images were 0.8, 1.3, 0.9, 0.9, 55.3, and 0.8, respectively. The average MAE, MSE, RMSE, SSIM, and MI of the synthesized and reference material decomposition of the fat(water) images were 0.0, 0.0, 0.1, 0.9, 72.1, and 1.4, respectively. The proposed model can act as a suitable alternative to the existing methods for the reconstruction of material decomposition images of bone(water) and fat(water) reconstructed via DECT from kV-CT.</t>
  </si>
  <si>
    <t>BrainNetCNN: Convolutional neural networks for brain networks; towards predicting neurodevelopment</t>
  </si>
  <si>
    <t>We propose BrainNetCNN, a convolutional neural network (CNN) framework to predict clinical neurodevelopmental outcomes from brain networks. In contrast to the spatially local convolutions done in traditional image-based CNNs, our BrainNetCNN is composed of novel edge-to-edge, edge-to-node and node-to-graph convolutional filters that leverage the topological locality of structural brain networks. We apply the BrainNetCNN framework to predict cognitive and motor developmental outcome scores from structural brain networks of infants born preterm. Diffusion tensor images (DTI) of preterm infants, acquired between 27 and 46 weeks gestational age, were used to construct a dataset of structural brain connectivity networks. We first demonstrate the predictive capabilities of BrainNetCNN on synthetic phantom networks with simulated injury patterns and added noise. BrainNetCNN outperforms a fully connected neural-network with the same number of model parameters on both phantoms with focal and diffuse injury patterns. We then apply our method to the task of joint prediction of Bayley-III cognitive and motor scores, assessed at 18 months of age, adjusted for prematurity. We show that our BrainNetCNN framework outperforms a variety of other methods on the same data. Furthermore, BrainNetCNN is able to identify an infant's postmenstrual age to within about 2 weeks. Finally, we explore the high-level features learned by BrainNetCNN by visualizing the importance of each connection in the brain with respect to predicting the outcome scores. These findings are then discussed in the context of the anatomy and function of the developing preterm infant brain.</t>
  </si>
  <si>
    <t>J. Kawahara, C. J. Brown, S. P. Miller, B. G. Booth, V. Chau, R. E. Grunau, J. G. Zwicker and G. Hamarneh</t>
  </si>
  <si>
    <t>Development of Combination Methods for Detecting Malignant Uptakes Based on Physiological Uptake Detection Using Object Detection With PET-CT MIP Images</t>
  </si>
  <si>
    <t>Deep learning technology is now used for medical imaging. YOLOv2 is an object detection model using deep learning. Here, we applied YOLOv2 to FDG-PET images to detect the physiological uptake on the images. We also investigated the detection precision of abnormal uptake by a combined technique with YOLOv2. Using 3,500 maximum intensity projection (MIP) images of 500 cases of whole-body FDG-PET examinations, we manually drew rectangular regions of interest with the size of each physiological uptake to create a dataset. Using YOLOv2, we performed image training as transfer learning by initial weight. We evaluated YOLOv2's physiological uptake detection by determining the intersection over union (IoU), average precision (AP), mean average precision (mAP), and frames per second (FPS). We also developed a combination method for detecting abnormal uptake by subtracting the YOLOv2-detected physiological uptake. We calculated the coverage rate, false-positive rate, and false-negative rate by comparing the combination method-generated color map with the abnormal findings identified by experienced radiologists. The APs for physiological uptakes were: brain, 0.993; liver, 0.913; and bladder, 0.879. The mAP was 0.831 for all classes with the IoU threshold value 0.5. Each subset's average FPS was 31.60 ± 4.66. The combination method's coverage rate, false-positive rate, and false-negative rate for detecting abnormal uptake were 0.9205 ± 0.0312, 0.3704 ± 0.0213, and 0.1000 ± 0.0774, respectively. The physiological uptake of FDG-PET on MIP images was quickly and precisely detected using YOLOv2. The combination method, which can be utilized the characteristics of the detector by YOLOv2, detected the radiologist-identified abnormalities with a high coverage rate. The detectability and fast response would thus be useful as a diagnostic tool.</t>
  </si>
  <si>
    <t>A convolutional neural network-based system to classify patients using FDG PET/CT examinations</t>
  </si>
  <si>
    <t>BACKGROUND: As the number of PET/CT scanners increases and FDG PET/CT becomes a common imaging modality for oncology, the demands for automated detection systems on artificial intelligence (AI) to prevent human oversight and misdiagnosis are rapidly growing. We aimed to develop a convolutional neural network (CNN)-based system that can classify whole-body FDG PET as 1) benign, 2) malignant or 3) equivocal. METHODS: This retrospective study investigated 3485 sequential patients with malignant or suspected malignant disease, who underwent whole-body FDG PET/CT at our institute. All the cases were classified into the 3 categories by a nuclear medicine physician. A residual network (ResNet)-based CNN architecture was built for classifying patients into the 3 categories. In addition, we performed a region-based analysis of CNN (head-and-neck, chest, abdomen, and pelvic region). RESULTS: There were 1280 (37%), 1450 (42%), and 755 (22%) patients classified as benign, malignant and equivocal, respectively. In the patient-based analysis, CNN predicted benign, malignant and equivocal images with 99.4, 99.4, and 87.5% accuracy, respectively. In region-based analysis, the prediction was correct with the probability of 97.3% (head-and-neck), 96.6% (chest), 92.8% (abdomen) and 99.6% (pelvic region), respectively. CONCLUSION: The CNN-based system reliably classified FDG PET images into 3 categories, indicating that it could be helpful for physicians as a double-checking system to prevent oversight and misdiagnosis.</t>
  </si>
  <si>
    <t>BMC Cancer</t>
  </si>
  <si>
    <t>10.1186/s12968-020-00683-3</t>
  </si>
  <si>
    <t>Reference ranges (normal values) for cardiovascular magnetic resonance (CMR) in adults and children: 2020 update</t>
  </si>
  <si>
    <t>Cardiovascular magnetic resonance (CMR) enables assessment and quantification of morphological and functional parameters of the heart, including chamber size and function, diameters of the aorta and pulmonary arteries, flow and myocardial relaxation times. Knowledge of reference ranges (normal values) for quantitative CMR is crucial to interpretation of results and to distinguish normal from disease. Compared to the previous version of this review published in 2015, we present updated and expanded reference values for morphological and functional CMR parameters of the cardiovascular system based on the peer-reviewed literature and current CMR techniques. Further, databases and references for deep learning methods are included.</t>
  </si>
  <si>
    <t>MRI-only brain radiotherapy: Assessing the dosimetric accuracy of synthetic CT images generated using a deep learning approach</t>
  </si>
  <si>
    <t>PURPOSE: This study assessed the dosimetric accuracy of synthetic CT images generated from magnetic resonance imaging (MRI) data for focal brain radiation therapy, using a deep learning approach. MATERIAL AND METHODS: We conducted a study in 77 patients with brain tumors who had undergone both MRI and computed tomography (CT) imaging as part of their simulation for external beam treatment planning. We designed a generative adversarial network (GAN) to generate synthetic CT images from MRI images. We used Mutual Information (MI) as the loss function in the generator to overcome the misalignment between MRI and CT images (unregistered data). The model was trained using all MRI slices with corresponding CT slices from each training subject's MRI/CT pair. RESULTS: The proposed GAN method produced an average mean absolute error (MAE) of 47.2 ± 11.0 HU over 5-fold cross validation. The overall mean Dice similarity coefficient between CT and synthetic CT images was 80% ± 6% in bone for all test data. Though training a GAN model may take several hours, the model only needs to be trained once. Generating a complete synthetic CT volume for each new patient MRI volume using a trained GAN model took only one second. CONCLUSIONS: The GAN model we developed produced highly accurate synthetic CT images from conventional, single-sequence MRI images in seconds. Our proposed method has strong potential to perform well in a clinical workflow for MRI-only brain treatment planning.</t>
  </si>
  <si>
    <t>[Application of 3D U-net in automatic segmentation of middle ear surgery structures in temporal bone CT]</t>
  </si>
  <si>
    <t>Objective:To study the feasibility of fully automatic segmentation of labyrinth, facial nerve and ossicles in clinical routine temporal bone CT images based on 3D U-net neural network. Method:Clinical data were divided into two groups: ①Normal group: data were randomly assigned from 30 patients for routine temporal bone CT examination; ②Abnormal group: cochlear, ossicles and facial nerve morphology variation of 1 case each. The structures of facial nerve, labyrinth and ossicles were manually initial segmented and fine segmented by 2 clinicians with Mimics 20.0. Three-dimensional convolutional neural network（3D U-Net） was selected to conduct deep learning on the same data. The dice similarity coefficient（DSC） was used as the evaluation index. Result:The 3D U-net neural network was used to automatically segment the labyrinth, ossicles and facial nerve in the routine temporal bone CT. In the normal group, the DSC of labyrinth, ossicles and facial nerve were 0.79±0.03, 0.64±0.05 and 0.49±0.09, respectively. In the abnormal group, the DSC of these structures were 0.71, 0.54 and 0.40. Conclusion:According to the anatomical characteristics of the temporal bone, the labyrinth, ossicles and the facial nerve can be totally automatic segmented by 3D U-net neural network, and the accuracy was closed to that of manual segmentation. This method is feasible, fast and accurate.</t>
  </si>
  <si>
    <t>Lin Chung Er Bi Yan Hou Tou Jing Wai Ke Za Zhi</t>
  </si>
  <si>
    <t>An unsupervised deep learning method for multi-coil cine MRI</t>
  </si>
  <si>
    <t>Deep learning has achieved good success in cardiac magnetic resonance imaging (MRI) reconstruction, in which convolutional neural networks (CNNs) learn a mapping from the undersampled k-space to the fully sampled images. Although these deep learning methods can improve the reconstruction quality compared with iterative methods without requiring complex parameter selection or lengthy reconstruction time, the following issues still need to be addressed: 1) all these methods are based on big data and require a large amount of fully sampled MRI data, which is always difficult to obtain for cardiac MRI; 2) the effect of coil correlation on reconstruction in deep learning methods for dynamic MR imaging has never been studied. In this paper, we propose an unsupervised deep learning method for multi-coil cine MRI via a time-interleaved sampling strategy. Specifically, a time-interleaved acquisition scheme is utilized to build a set of fully encoded reference data by directly merging the k-space data of adjacent time frames. Then these fully encoded data can be used to train a parallel network for reconstructing images of each coil separately. Finally, the images from each coil are combined via a CNN to implicitly explore the correlations between coils. The comparisons with classic k-t FOCUSS, k-t SLR, L+S and KLR methods on in vivo datasets show that our method can achieve improved reconstruction results in an extremely short amount of time.</t>
  </si>
  <si>
    <t>Development and validation of a deep-learning algorithm for the detection of neovascular age-related macular degeneration from colour fundus photographs</t>
  </si>
  <si>
    <t>IMPORTANCE: Detection of early onset neovascular age-related macular degeneration (AMD) is critical to protecting vision. BACKGROUND: To describe the development and validation of a deep-learning algorithm (DLA) for the detection of neovascular age-related macular degeneration. DESIGN: Development and validation of a DLA using retrospective datasets. PARTICIPANTS: We developed and trained the DLA using 56 113 retinal images and an additional 86 162 images from an independent dataset to externally validate the DLA. All images were non-stereoscopic and retrospectively collected. METHODS: The internal validation dataset was derived from real-world clinical settings in China. Gold standard grading was assigned when consensus was reached by three individual ophthalmologists. The DLA classified 31 247 images as gradable and 24 866 as ungradable (poor quality or poor field definition). These ungradable images were used to create a classification model for image quality. Efficiency and diagnostic accuracy were tested using 86 162 images derived from the Melbourne Collaborative Cohort Study. Neovascular AMD and/or ungradable outcome in one or both eyes was considered referable. MAIN OUTCOME MEASURES: Area under the receiver operating characteristic curve (AUC), sensitivity and specificity. RESULTS: In the internal validation dataset, the AUC, sensitivity and specificity of the DLA for neovascular AMD was 0.995, 96.7%, 96.4%, respectively. Testing against the independent external dataset achieved an AUC, sensitivity and specificity of 0.967, 100% and 93.4%, respectively. More than 60% of false positive cases displayed other macular pathologies. Amongst the false negative cases (internal validation dataset only), over half (57.2%) proved to be undetected detachment of the neurosensory retina or RPE layer. CONCLUSIONS AND RELEVANCE: This DLA shows robust performance for the detection of neovascular AMD amongst retinal images from a multi-ethnic sample and under different imaging protocols. Further research is warranted to investigate where this technology could be best utilized within screening and research settings.</t>
  </si>
  <si>
    <t>Clin Exp Ophthalmol</t>
  </si>
  <si>
    <t>10.1002/jmri.26598</t>
  </si>
  <si>
    <t>Recommendations towards standards for quantitative MRI (qMRI) and outstanding needs</t>
  </si>
  <si>
    <t>5 Technical Efficacy: Stage 5 J. Magn. Reson. Imaging 2019.</t>
  </si>
  <si>
    <t>A Deep Learning Approach for Automated Detection of Geographic Atrophy from Color Fundus Photographs</t>
  </si>
  <si>
    <t>PURPOSE: To assess the utility of deep learning in the detection of geographic atrophy (GA) from color fundus photographs and to explore potential utility in detecting central GA (CGA). DESIGN: A deep learning model was developed to detect the presence of GA in color fundus photographs, and 2 additional models were developed to detect CGA in different scenarios. PARTICIPANTS: A total of 59 812 color fundus photographs from longitudinal follow-up of 4582 participants in the Age-Related Eye Disease Study (AREDS) dataset. Gold standard labels were from human expert reading center graders using a standardized protocol. METHODS: A deep learning model was trained to use color fundus photographs to predict GA presence from a population of eyes with no AMD to advanced AMD. A second model was trained to predict CGA presence from the same population. A third model was trained to predict CGA presence from the subset of eyes with GA. For training and testing, 5-fold cross-validation was used. For comparison with human clinician performance, model performance was compared with that of 88 retinal specialists. MAIN OUTCOME MEASURES: Area under the curve (AUC), accuracy, sensitivity, specificity, and precision. RESULTS: The deep learning models (GA detection, CGA detection from all eyes, and centrality detection from GA eyes) had AUCs of 0.933-0.976, 0.939-0.976, and 0.827-0.888, respectively. The GA detection model had accuracy, sensitivity, specificity, and precision of 0.965 (95% confidence interval [CI], 0.959-0.971), 0.692 (0.560-0.825), 0.978 (0.970-0.985), and 0.584 (0.491-0.676), respectively, compared with 0.975 (0.971-0.980), 0.588 (0.468-0.707), 0.982 (0.978-0.985), and 0.368 (0.230-0.505) for the retinal specialists. The CGA detection model had values of 0.966 (0.957-0.975), 0.763 (0.641-0.885), 0.971 (0.960-0.982), and 0.394 (0.341-0.448). The centrality detection model had values of 0.762 (0.725-0.799), 0.782 (0.618-0.945), 0.729 (0.543-0.916), and 0.799 (0.710-0.888). CONCLUSIONS: A deep learning model demonstrated high accuracy for the automated detection of GA. The AUC was noninferior to that of human retinal specialists. Deep learning approaches may also be applied to the identification of CGA. The code and pretrained models are publicly available at https://github.com/ncbi-nlp/DeepSeeNet.</t>
  </si>
  <si>
    <t>A Task-Optimized Neural Network Replicates Human Auditory Behavior, Predicts Brain Responses, and Reveals a Cortical Processing Hierarchy</t>
  </si>
  <si>
    <t>A core goal of auditory neuroscience is to build quantitative models that predict cortical responses to natural sounds. Reasoning that a complete model of auditory cortex must solve ecologically relevant tasks, we optimized hierarchical neural networks for speech and music recognition. The best-performing network contained separate music and speech pathways following early shared processing, potentially replicating human cortical organization. The network performed both tasks as well as humans and exhibited human-like errors despite not being optimized to do so, suggesting common constraints on network and human performance. The network predicted fMRI voxel responses substantially better than traditional spectrotemporal filter models throughout auditory cortex. It also provided a quantitative signature of cortical representational hierarchy-primary and non-primary responses were best predicted by intermediate and late network layers, respectively. The results suggest that task optimization provides a powerful set of tools for modeling sensory systems.</t>
  </si>
  <si>
    <t>Montage based 3D Medical Image Retrieval from Traumatic Brain Injury Cohort using Deep Convolutional Neural Network</t>
  </si>
  <si>
    <t>Brain imaging analysis on clinically acquired computed tomography (CT) is essential for the diagnosis, risk prediction of progression, and treatment of the structural phenotypes of traumatic brain injury (TBI). However, in real clinical imaging scenarios, entire body CT images (e.g., neck, abdomen, chest, pelvis) are typically captured along with whole brain CT scans. For instance, in a typical sample of clinical TBI imaging cohort, only ~15% of CT scans actually contain whole brain CT images suitable for volumetric brain analyses; the remaining are partial brain or non-brain images. Therefore, a manual image retrieval process is typically required to isolate the whole brain CT scans from the entire cohort. However, the manual image retrieval is time and resource consuming and even more difficult for the larger cohorts. To alleviate the manual efforts, in this paper we propose an automated 3D medical image retrieval pipeline, called deep montage-based image retrieval (dMIR), which performs classification on 2D montage images via a deep convolutional neural network. The novelty of the proposed method for image processing is to characterize the medical image retrieval task based on the montage images. In a cohort of 2000 clinically acquired TBI scans, 794 scans were used as training data, 206 scans were used as validation data, and the remaining 1000 scans were used as testing data. The proposed achieved accuracy=1.0, recall=1.0, precision=1.0, f1=1.0 for validation data, while achieved accuracy=0.988, recall=0.962, precision=0.962, f1=0.962 for testing data. Thus, the proposed dMIR is able to perform accurate CT whole brain image retrieval from large-scale clinical cohorts.</t>
  </si>
  <si>
    <t>C. I. Kerley, Y. Huo, S. Chaganti, S. Bao, M. B. Patel and B. A. Landman</t>
  </si>
  <si>
    <t>NF-RCNN: Heart localization and right ventricle wall motion abnormality detection in cardiac MRI</t>
  </si>
  <si>
    <t>Convolutional neural networks (CNNs) are extensively used in cardiac image analysis. However, heart localization has become a prerequisite to these networks since it decreases the size of input images. Accordingly, recent CNNs benefit from deeper architectures in gaining abstract semantic information. In the present study, a deep learning-based method was developed for heart localization in cardiac MR images. Further, Network in Network (NIN) was used as the region proposal network (RPN) of the faster R-CNN, and then NIN Faster-RCNN (NF-RCNN) was proposed. NIN architecture is formed based on MLPCONV layer, a combination of convolutional network and multilayer perceptron (MLP). Therefore, it could deal with the complicated structures of MR images. Furthermore, two sets of cardiac MRI dataset were used to evaluate the network, and all the evaluation metrics indicated an absolute superiority of the proposed network over all related networks. In addition, FROC curve, precision-recall (PR) analysis, and mean localization error were employed to evaluate the proposed network. In brief, the results included an AUC value of 0.98 for FROC curve, a mean average precision of 0.96 for precision-recall curve, and a mean localization error of 6.17 mm. Moreover, a deep learning-based approach for the right ventricle wall motion analysis (WMA) was performed on the first dataset and the effect of the heart localization on this algorithm was studied. The results revealed that NF-RCNN increased the speed and decreased the required memory significantly.</t>
  </si>
  <si>
    <t>Identifying Medical Diagnoses and Treatable Diseases by Image-Based Deep Learning</t>
  </si>
  <si>
    <t>The implementation of clinical-decision support algorithms for medical imaging faces challenges with reliability and interpretability. Here, we establish a diagnostic tool based on a deep-learning framework for the screening of patients with common treatable blinding retinal diseases. Our framework utilizes transfer learning, which trains a neural network with a fraction of the data of conventional approaches. Applying this approach to a dataset of optical coherence tomography images, we demonstrate performance comparable to that of human experts in classifying age-related macular degeneration and diabetic macular edema. We also provide a more transparent and interpretable diagnosis by highlighting the regions recognized by the neural network. We further demonstrate the general applicability of our AI system for diagnosis of pediatric pneumonia using chest X-ray images. This tool may ultimately aid in expediting the diagnosis and referral of these treatable conditions, thereby facilitating earlier treatment, resulting in improved clinical outcomes. VIDEO ABSTRACT.</t>
  </si>
  <si>
    <t>D. S. Kermany, M. Goldbaum, W. Cai, C. C. S. Valentim, H. Liang, S. L. Baxter, A. McKeown, G. Yang, X. Wu, F. Yan, J. Dong, M. K. Prasadha, J. Pei, M. Y. L. Ting, J. Zhu, C. Li, S. Hewett, J. Dong, I. Ziyar, A. Shi, R. Zhang, L. Zheng, R. Hou, W. Shi, X. Fu, Y. Duan, V. A. N. Huu, C. Wen, E. D. Zhang, C. L. Zhang, O. Li, X. Wang, M. A. Singer, X. Sun, J. Xu, A. Tafreshi, M. A. Lewis, H. Xia and K. Zhang</t>
  </si>
  <si>
    <t>Constrained-CNN losses for weakly supervised segmentation</t>
  </si>
  <si>
    <t>Weakly-supervised learning based on, e.g., partially labelled images or image-tags, is currently attracting significant attention in CNN segmentation as it can mitigate the need for full and laborious pixel/voxel annotations. Enforcing high-order (global) inequality constraints on the network output (for instance, to constrain the size of the target region) can leverage unlabeled data, guiding the training process with domain-specific knowledge. Inequality constraints are very flexible because they do not assume exact prior knowledge. However, constrained Lagrangian dual optimization has been largely avoided in deep networks, mainly for computational tractability reasons. To the best of our knowledge, the method of Pathak et al. (2015a) is the only prior work that addresses deep CNNs with linear constraints in weakly supervised segmentation. It uses the constraints to synthesize fully-labeled training masks (proposals) from weak labels, mimicking full supervision and facilitating dual optimization. We propose to introduce a differentiable penalty, which enforces inequality constraints directly in the loss function, avoiding expensive Lagrangian dual iterates and proposal generation. From constrained-optimization perspective, our simple penalty-based approach is not optimal as there is no guarantee that the constraints are satisfied. However, surprisingly, it yields substantially better results than the Lagrangian-based constrained CNNs in Pathak et al. (2015a), while reducing the computational demand for training. By annotating only a small fraction of the pixels, the proposed approach can reach a level of segmentation performance that is comparable to full supervision on three separate tasks. While our experiments focused on basic linear constraints such as the target-region size and image tags, our framework can be easily extended to other non-linear constraints, e.g., invariant shape moments (Klodt and Cremers, 2011) and other region statistics (Lim et al., 2014). Therefore, it has the potential to close the gap between weakly and fully supervised learning in semantic medical image segmentation. Our code is publicly available.</t>
  </si>
  <si>
    <t>H. Kervadec, J. Dolz, M. Tang, E. Granger, Y. Boykov and I. Ben Ayed</t>
  </si>
  <si>
    <t>Automated cell boundary and 3D nuclear segmentation of cells in suspension</t>
  </si>
  <si>
    <t>To characterize cell types, cellular functions and intracellular processes, an understanding of the differences between individual cells is required. Although microscopy approaches have made tremendous progress in imaging cells in different contexts, the analysis of these imaging data sets is a long-standing, unsolved problem. The few robust cell segmentation approaches that exist often rely on multiple cellular markers and complex time-consuming image analysis. Recently developed deep learning approaches can address some of these challenges, but they require tremendous amounts of data and well-curated reference data sets for algorithm training. We propose an alternative experimental and computational approach, called CellDissect, in which we first optimize specimen preparation and data acquisition prior to image processing to generate high quality images that are easier to analyze computationally. By focusing on fixed suspension and dissociated adherent cells, CellDissect relies only on widefield images to identify cell boundaries and nuclear staining to automatically segment cells in two dimensions and nuclei in three dimensions. This segmentation can be performed on a desktop computer or a computing cluster for higher throughput. We compare and evaluate the accuracy of different nuclear segmentation approaches against manual expert cell segmentation for different cell lines acquired with different imaging modalities.</t>
  </si>
  <si>
    <t>Analysis of COVID-19 Infections on a CT Image Using DeepSense Model</t>
  </si>
  <si>
    <t>In this paper, a data mining model on a hybrid deep learning framework is designed to diagnose the medical conditions of patients infected with the coronavirus disease 2019 (COVID-19) virus. The hybrid deep learning model is designed as a combination of convolutional neural network (CNN) and recurrent neural network (RNN) and named as DeepSense method. It is designed as a series of layers to extract and classify the related features of COVID-19 infections from the lungs. The computerized tomography image is used as an input data, and hence, the classifier is designed to ease the process of classification on learning the multidimensional input data using the Expert Hidden layers. The validation of the model is conducted against the medical image datasets to predict the infections using deep learning classifiers. The results show that the DeepSense classifier offers accuracy in an improved manner than the conventional deep and machine learning classifiers. The proposed method is validated against three different datasets, where the training data are compared with 70%, 80%, and 90% training data. It specifically provides the quality of the diagnostic method adopted for the prediction of COVID-19 infections in a patient.</t>
  </si>
  <si>
    <t>Front Public Health</t>
  </si>
  <si>
    <t>Automatic brain tissue segmentation in fetal MRI using convolutional neural networks</t>
  </si>
  <si>
    <t>MR images of fetuses allow clinicians to detect brain abnormalities in an early stage of development. The cornerstone of volumetric and morphologic analysis in fetal MRI is segmentation of the fetal brain into different tissue classes. Manual segmentation is cumbersome and time consuming, hence automatic segmentation could substantially simplify the procedure. However, automatic brain tissue segmentation in these scans is challenging owing to artifacts including intensity inhomogeneity, caused in particular by spontaneous fetal movements during the scan. Unlike methods that estimate the bias field to remove intensity inhomogeneity as a preprocessing step to segmentation, we propose to perform segmentation using a convolutional neural network that exploits images with synthetically introduced intensity inhomogeneity as data augmentation. The method first uses a CNN to extract the intracranial volume. Thereafter, another CNN with the same architecture is employed to segment the extracted volume into seven brain tissue classes: cerebellum, basal ganglia and thalami, ventricular cerebrospinal fluid, white matter, brain stem, cortical gray matter and extracerebral cerebrospinal fluid. To make the method applicable to slices showing intensity inhomogeneity artifacts, the training data was augmented by applying a combination of linear gradients with random offsets and orientations to image slices without artifacts. To evaluate the performance of the method, Dice coefficient (DC) and Mean surface distance (MSD) per tissue class were computed between automatic and manual expert annotations. When the training data was enriched by simulated intensity inhomogeneity artifacts, the average achieved DC over all tissue classes and images increased from 0.77 to 0.88, and MSD decreased from 0.78 mm to 0.37 mm. These results demonstrate that the proposed approach can potentially replace or complement preprocessing steps, such as bias field corrections, and thereby improve the segmentation performance.</t>
  </si>
  <si>
    <t>Automatic extraction of the intracranial volume in fetal and neonatal MR scans using convolutional neural networks</t>
  </si>
  <si>
    <t>MR images of infants and fetuses allow non-invasive analysis of the brain. Quantitative analysis of brain development requires automatic brain tissue segmentation that is typically preceded by segmentation of the intracranial volume (ICV). Fast changes in the size and morphology of the developing brain, motion artifacts, and large variation in the field of view make ICV segmentation a challenging task. We propose an automatic method for segmentation of the ICV in fetal and neonatal MRI scans. The method was developed and tested with a diverse set of scans regarding image acquisition parameters (i.e. field strength, image acquisition plane, image resolution), infant age (23-45 weeks post menstrual age), and pathology (posthaemorrhagic ventricular dilatation, stroke, asphyxia, and Down syndrome). The results demonstrate that the method achieves accurate segmentation with a Dice coefficient (DC) ranging from 0.98 to 0.99 in neonatal and fetal scans regardless of image acquisition parameters or patient characteristics. Hence, the algorithm provides a generic tool for segmentation of the ICV that may be used as a preprocessing step for brain tissue segmentation in fetal and neonatal brain MR scans.</t>
  </si>
  <si>
    <t>CoroNet: A deep neural network for detection and diagnosis of COVID-19 from chest x-ray images</t>
  </si>
  <si>
    <t>BACKGROUND AND OBJECTIVE: The novel Coronavirus also called COVID-19 originated in Wuhan, China in December 2019 and has now spread across the world. It has so far infected around 1.8 million people and claimed approximately 114,698 lives overall. As the number of cases are rapidly increasing, most of the countries are facing shortage of testing kits and resources. The limited quantity of testing kits and increasing number of daily cases encouraged us to come up with a Deep Learning model that can aid radiologists and clinicians in detecting COVID-19 cases using chest X-rays. METHODS: In this study, we propose CoroNet, a Deep Convolutional Neural Network model to automatically detect COVID-19 infection from chest X-ray images. The proposed model is based on Xception architecture pre-trained on ImageNet dataset and trained end-to-end on a dataset prepared by collecting COVID-19 and other chest pneumonia X-ray images from two different publically available databases. RESULTS: CoroNet has been trained and tested on the prepared dataset and the experimental results show that our proposed model achieved an overall accuracy of 89.6%, and more importantly the precision and recall rate for COVID-19 cases are 93% and 98.2% for 4-class cases (COVID vs Pneumonia bacterial vs pneumonia viral vs normal). For 3-class classification (COVID vs Pneumonia vs normal), the proposed model produced a classification accuracy of 95%. The preliminary results of this study look promising which can be further improved as more training data becomes available. CONCLUSION: CoroNet achieved promising results on a small prepared dataset which indicates that given more data, the proposed model can achieve better results with minimum pre-processing of data. Overall, the proposed model substantially advances the current radiology based methodology and during COVID-19 pandemic, it can be very helpful tool for clinical practitioners and radiologists to aid them in diagnosis, quantification and follow-up of COVID-19 cases.</t>
  </si>
  <si>
    <t>Brain tumor classification in MRI image using convolutional neural network</t>
  </si>
  <si>
    <t>Brain tumor is a severe cancer disease caused by uncontrollable and abnormal partitioning of cells. Recent progress in the field of deep learning has helped the health industry in Medical Imaging for Medical Diagnostic of many diseases. For Visual learning and Image Recognition, task CNN is the most prevalent and commonly used machine learning algorithm. Similarly, in our paper, we introduce the convolutional neural network (CNN) approach along with Data Augmentation and Image Processing to categorize brain MRI scan images into cancerous and non-cancerous. Using the transfer learning approach we compared the performance of our scratched CNN model with pre-trained VGG-16, ResNet-50, and Inception-v3 models. As the experiment is tested on a very small dataset but the experimental result shows that our model accuracy result is very effective and have very low complexity rate by achieving 100% accuracy, while VGG-16 achieved 96%, ResNet-50 achieved 89% and Inception-V3 achieved 75% accuracy. Our model requires very less computational power and has much better accuracy results as compared to other pre-trained models.</t>
  </si>
  <si>
    <t>Automatic detection of tympanic membrane and middle ear infection from oto-endoscopic images via convolutional neural networks</t>
  </si>
  <si>
    <t>Convolutional neural networks (CNNs), a popular type of deep neural network, have been actively applied to image recognition, object detection, object localization, semantic segmentation, and object instance segmentation. Accordingly, the applicability of deep learning to the analysis of medical images has increased. This paper presents a novel application of state-of-the-art CNN models, such as DenseNet, to the automatic detection of the tympanic membrane (TM) and middle ear (ME) infection. We collected 2,484 oto-endoscopic images (OEIs) and classified them into one of three categories: normal, chronic otitis media (COM) with TM perforation, and otitis media with effusion (OME). Our results indicate that CNN models have significant potential for the automatic recognition of TM and ME infections, demonstrating a competitive accuracy of 95% in classifying TM and middle ear effusion (MEE) from OEIs. In addition to accuracy measurement, our approach achieves nearly perfect measures of 0.99 in terms of the average area under the receiver operating characteristics curve (AUROC). All these results indicate robust performance when recognizing TM and ME effusions in OEIs. Visualization through a class activation mapping (CAM) heatmap demonstrates that our proposed model performs prediction based on the correct region of OEIs. All these outcomes ensure the reliability of our method; hence, the study can aid otolaryngologists and primary care physicians in real-world scenarios.</t>
  </si>
  <si>
    <t>10.1007/s11883-019-0766-x</t>
  </si>
  <si>
    <t>Rheumatoid Arthritis: Atherosclerosis Imaging and Cardiovascular Risk Assessment Using Machine and Deep Learning-Based Tissue Characterization</t>
  </si>
  <si>
    <t>PURPOSE OF THE REVIEW: Rheumatoid arthritis (RA) is a chronic, autoimmune disease which may result in a higher risk of cardiovascular (CV) events and stroke. Tissue characterization and risk stratification of patients with rheumatoid arthritis are a challenging problem. Risk stratification of RA patients using traditional risk factor-based calculators either underestimates or overestimates the CV risk. Advancements in medical imaging have facilitated early and accurate CV risk stratification compared to conventional cardiovascular risk calculators. RECENT FINDING: In recent years, a link between carotid atherosclerosis and rheumatoid arthritis has been widely discussed by multiple studies. Imaging the carotid artery using 2-D ultrasound is a noninvasive, economic, and efficient imaging approach that provides an atherosclerotic plaque tissue-specific image. Such images can help to morphologically characterize the plaque type and accurately measure vital phenotypes such as media wall thickness and wall variability. Intelligence-based paradigms such as machine learning- and deep learning-based techniques not only automate the risk characterization process but also provide an accurate CV risk stratification for better management of RA patients. This review provides a brief understanding of the pathogenesis of RA and its association with carotid atherosclerosis imaged using the B-mode ultrasound technique. Lacunas in traditional risk scores and the role of machine learning-based tissue characterization algorithms are discussed and could facilitate cardiovascular risk assessment in RA patients. The key takeaway points from this review are the following: (i) inflammation is a common link between RA and atherosclerotic plaque buildup, (ii) carotid ultrasound is a better choice to characterize the atherosclerotic plaque tissues in RA patients, and (iii) intelligence-based paradigms are useful for accurate tissue characterization and risk stratification of RA patients.</t>
  </si>
  <si>
    <t>A Computer-Aided Decision Support System for Detection and Localization of Cutaneous Vasculature in Dermoscopy Images Via Deep Feature Learning</t>
  </si>
  <si>
    <t>Vascular structures of skin are important biomarkers in diagnosis and assessment of cutaneous conditions. Presence and distribution of lesional vessels are associated with specific abnormalities. Therefore, detection and localization of cutaneous vessels provide critical information towards diagnosis and stage status of diseases. However, cutaneous vessels are highly variable in shape, size, color and architecture, which complicate the detection task. Considering the large variability of these structures, conventional vessel detection techniques lack the generalizability to detect different vessel types and require separate algorithms to be designed for each type. Furthermore, such techniques are highly dependent on precise hand-crafted features which are time-consuming and computationally inefficient. As a solution, we propose a data-driven feature learning framework based on stacked sparse auto-encoders (SSAE) for comprehensive detection of cutaneous vessels. Each training image is divided into small patches of either containing or non-containing vasculature. A multilayer SSAE is designed to learn hidden features of the data in hierarchical layers in an unsupervised manner. The high-level learned features are subsequently fed into a classifier which categorizes each patch into absence or presence of vasculature and localizes vessels within the lesion. Over a test set of 3095 patches derived from 200 images, the proposed framework demonstrated superior performance of 95.4% detection accuracy over a variety of vessel patterns; outperforming other techniques by achieving the highest positive predictive value of 94.7%. The proposed Computer-Aided Diagnosis (CAD) framework can serve as a decision support system assisting dermatologists for more accurate diagnosis, especially in teledermatology applications in remote areas.</t>
  </si>
  <si>
    <t>P. Kharazmi, J. Zheng, H. Lui, Z. Jane Wang and T. K. Lee</t>
  </si>
  <si>
    <t>10.1183/16000617.0181-2020</t>
  </si>
  <si>
    <t>Artificial intelligence in pulmonary medicine: computer vision, predictive model and COVID-19</t>
  </si>
  <si>
    <t>Artificial intelligence (AI) is transforming healthcare delivery. The digital revolution in medicine and healthcare information is prompting a staggering growth of data intertwined with elements from many digital sources such as genomics, medical imaging and electronic health records. Such massive growth has sparked the development of an increasing number of AI-based applications that can be deployed in clinical practice. Pulmonary specialists who are familiar with the principles of AI and its applications will be empowered and prepared to seize future practice and research opportunities. The goal of this review is to provide pulmonary specialists and other readers with information pertinent to the use of AI in pulmonary medicine. First, we describe the concept of AI and some of the requisites of machine learning and deep learning. Next, we review some of the literature relevant to the use of computer vision in medical imaging, predictive modelling with machine learning, and the use of AI for battling the novel severe acute respiratory syndrome-coronavirus-2 pandemic. We close our review with a discussion of limitations and challenges pertaining to the further incorporation of AI into clinical pulmonary practice.</t>
  </si>
  <si>
    <t>Eur Respir Rev</t>
  </si>
  <si>
    <t>Fully convolutional multi-scale residual DenseNets for cardiac segmentation and automated cardiac diagnosis using ensemble of classifiers</t>
  </si>
  <si>
    <t>Deep fully convolutional neural network (FCN) based architectures have shown great potential in medical image segmentation. However, such architectures usually have millions of parameters and inadequate number of training samples leading to over-fitting and poor generalization. In this paper, we present a novel DenseNet based FCN architecture for cardiac segmentation which is parameter and memory efficient. We propose a novel up-sampling path which incorporates long skip and short-cut connections to overcome the feature map explosion in conventional FCN based architectures. In order to process the input images at multiple scales and view points simultaneously, we propose to incorporate Inception module's parallel structures. We propose a novel dual loss function whose weighting scheme allows to combine advantages of cross-entropy and Dice loss leading to qualitative improvements in segmentation. We demonstrate computational efficacy of incorporating conventional computer vision techniques for region of interest detection in an end-to-end deep learning based segmentation framework. From the segmentation maps we extract clinically relevant cardiac parameters and hand-craft features which reflect the clinical diagnostic analysis and train an ensemble system for cardiac disease classification. We validate our proposed network architecture on three publicly available datasets, namely: (i) Automated Cardiac Diagnosis Challenge (ACDC-2017), (ii) Left Ventricular segmentation challenge (LV-2011), (iii) 2015 Kaggle Data Science Bowl cardiac challenge data. Our approach in ACDC-2017 challenge stood second place for segmentation and first place in automated cardiac disease diagnosis tasks with an accuracy of 100% on a limited testing set (n=50). In the LV-2011 challenge our approach attained 0.74 Jaccard index, which is so far the highest published result in fully automated algorithms. In the Kaggle challenge our approach for LV volume gave a Continuous Ranked Probability Score (CRPS) of 0.0127, which would have placed us tenth in the original challenge. Our approach combined both cardiac segmentation and disease diagnosis into a fully automated framework which is computationally efficient and hence has the potential to be incorporated in computer-aided diagnosis (CAD) tools for clinical application.</t>
  </si>
  <si>
    <t>M. Khened, V. A. Kollerathu and G. Krishnamurthi</t>
  </si>
  <si>
    <t>Deep Tissue Sequencing Using Hypodermoscopy and Augmented Intelligence to Analyze Atypical Pigmented Lesions</t>
  </si>
  <si>
    <t>BACKGROUND: Over the past decade, new technologies, devices, and methods have been developed to assist in the diagnosis of cutaneous melanocytic lesions. OBJECTIVE: Our objective was to evaluate the performance of an augmented intelligence system in the assessment of atypical pigmented lesions. METHODS: Nine atypical pigmented lesions on 8 patients were evaluated prior to surgical removal. No lesions had received previous treatment other than a diagnostic biopsy. Prior to surgical removal, each lesion was evaluated by an Augmented Intelligence Dermal Imager (AID) and the assessment parameters reviewed in light of the final histopathological diagnosis. RESULTS: The AID was used to evaluate a limited set of atypical pigmented lesions and showed sensitivity and specificity of 82% and 61%, respectively, based on its internal risk assessment algorithms. LIMITATIONS: These cases represent early assessments of the AID in a clinical setting, all prior assessments having been carried out on digital images. The information received from these evaluations requires further validation and analysis to be able to extrapolate its clinical usefulness. CONCLUSION: The AID combines dermoscopy, hypodermoscopy, and a trained augmented algorithm to produce a diffusion map representing the features of each lesion compared to the learned characteristics from a database of known dermoscopy images of lesions with definitive prior diagnosis. The information gathered from the diffusion map might be used to calculate a malignancy risk factor for the lesion compared to known melanoma features. This malignancy risk factor could be helpful in providing information to justify the biopsy of an atypical pigmented lesion.</t>
  </si>
  <si>
    <t>I. Khodadad, J. Shafiee, A. Wong, F. Kazemzadeh and J. Arlette</t>
  </si>
  <si>
    <t>J Cutan Med Surg</t>
  </si>
  <si>
    <t>Fundus images analysis using deep features for detection of exudates, hemorrhages and microaneurysms</t>
  </si>
  <si>
    <t>BACKGROUND: Convolution neural networks have been considered for automatic analysis of fundus images to detect signs of diabetic retinopathy but suffer from low sensitivity. METHODS: This study has proposed an alternate method using probabilistic output from Convolution neural network to automatically and simultaneously detect exudates, hemorrhages and microaneurysms. The method was evaluated using two approaches: patch and image-based analysis of the fundus images on two public databases: DIARETDB1 and e-Ophtha. The novelty of the proposed method is that the images were analyzed using probability maps generated by score values of the softmax layer instead of the use of the binary output. RESULTS: The sensitivity of the proposed approach was 0.96, 0.84 and 0.85 for detection of exudates, hemorrhages and microaneurysms, respectively when considering patch-based analysis. The results show overall accuracy for DIARETDB1 was 97.3% and 86.6% for e-Ophtha. The error rate for image-based analysis was also significantly reduced when compared with other works. CONCLUSION: The proposed method provides the framework for convolution neural network-based analysis of fundus images to identify exudates, hemorrhages, and microaneurysms. It obtained accuracy and sensitivity which were significantly better than the reported studies and makes it suitable for automatic diabetic retinopathy signs detection.</t>
  </si>
  <si>
    <t>P. Khojasteh, B. Aliahmad and D. K. Kumar</t>
  </si>
  <si>
    <t>BMC Ophthalmol</t>
  </si>
  <si>
    <t>Exudate detection in fundus images using deeply-learnable features</t>
  </si>
  <si>
    <t>Presence of exudates on a retina is an early sign of diabetic retinopathy, and automatic detection of these can improve the diagnosis of the disease. Convolutional Neural Networks (CNNs) have been used for automatic exudate detection, but with poor performance. This study has investigated different deep learning techniques to maximize the sensitivity and specificity. We have compared multiple deep learning methods, and both supervised and unsupervised classifiers for improving the performance of automatic exudate detection, i.e., CNNs, pre-trained Residual Networks (ResNet-50) and Discriminative Restricted Boltzmann Machines. The experiments were conducted on two publicly available databases: (i) DIARETDB1 and (ii) e-Ophtha. The results show that ResNet-50 with Support Vector Machines outperformed other networks with an accuracy and sensitivity of 98% and 0.99, respectively. This shows that ResNet-50 can be used for the analysis of the fundus images to detect exudates.</t>
  </si>
  <si>
    <t>Contour-aware multi-label chest X-ray organ segmentation</t>
  </si>
  <si>
    <t>PURPOSE: Segmentation of organs from chest X-ray images is an essential task for an accurate and reliable diagnosis of lung diseases and chest organ morphometry. In this study, we investigated the benefits of augmenting state-of-the-art deep convolutional neural networks (CNNs) for image segmentation with organ contour information and evaluated the performance of such augmentation on segmentation of lung fields, heart, and clavicles from chest X-ray images. METHODS: Three state-of-the-art CNNs were augmented, namely the UNet and LinkNet architecture with the ResNeXt feature extraction backbone, and the Tiramisu architecture with the DenseNet. All CNN architectures were trained on ground-truth segmentation masks and additionally on the corresponding contours. The contribution of such contour-based augmentation was evaluated against the contour-free architectures, and 20 existing algorithms for lung field segmentation. RESULTS: The proposed contour-aware segmentation improved the segmentation performance, and when compared against existing algorithms on the same publicly available database of 247 chest X-ray images, the UNet architecture with the ResNeXt50 encoder combined with the contour-aware approach resulted in the best overall segmentation performance, achieving a Jaccard overlap coefficient of 0.971, 0.933, and 0.903 for the lung fields, heart, and clavicles, respectively. CONCLUSION: In this study, we proposed to augment CNN architectures for CXR segmentation with organ contour information and were able to significantly improve segmentation accuracy and outperform all existing solution using a public chest X-ray database.</t>
  </si>
  <si>
    <t>Enhancement of Multimodal Microwave-Ultrasound Breast Imaging Using a Deep-Learning Technique</t>
  </si>
  <si>
    <t>We present a deep learning method used in conjunction with dual-modal microwave-ultrasound imaging to produce tomographic reconstructions of the complex-valued permittivity of numerical breast phantoms. We also assess tumor segmentation performance using the reconstructed permittivity as a feature. The contrast source inversion (CSI) technique is used to create the complex-permittivity images of the breast with ultrasound-derived tissue regions utilized as prior information. However, imaging artifacts make the detection of tumors difficult. To overcome this issue we train a convolutional neural network (CNN) that takes in, as input, the dual-modal CSI reconstruction and attempts to produce the true image of the complex tissue permittivity. The neural network consists of successive convolutional and downsampling layers, followed by successive deconvolutional and upsampling layers based on the U-Net architecture. To train the neural network, the input-output pairs consist of CSI's dual-modal reconstructions, along with the true numerical phantom images from which the microwave scattered field was synthetically generated. The reconstructed permittivity images produced by the CNN show that the network is not only able to remove the artifacts that are typical of CSI reconstructions, but can also improve the detectability of tumors. The performance of the CNN is assessed using a four-fold cross-validation on our dataset that shows improvement over CSI both in terms of reconstruction error and tumor segmentation performance.</t>
  </si>
  <si>
    <t>A collaborative computer aided diagnosis (C-CAD) system with eye-tracking, sparse attentional model, and deep learning</t>
  </si>
  <si>
    <t>Computer aided diagnosis (CAD) tools help radiologists to reduce diagnostic errors such as missing tumors and misdiagnosis. Vision researchers have been analyzing behaviors of radiologists during screening to understand how and why they miss tumors or misdiagnose. In this regard, eye-trackers have been instrumental in understanding visual search processes of radiologists. However, most relevant studies in this aspect are not compatible with realistic radiology reading rooms. In this study, we aim to develop a paradigm shifting CAD system, called collaborative CAD (C-CAD), that unifies CAD and eye-tracking systems in realistic radiology room settings. We first developed an eye-tracking interface providing radiologists with a real radiology reading room experience. Second, we propose a novel algorithm that unifies eye-tracking data and a CAD system. Specifically, we present a new graph based clustering and sparsification algorithm to transform eye-tracking data (gaze) into a graph model to interpret gaze patterns quantitatively and qualitatively. The proposed C-CAD collaborates with radiologists via eye-tracking technology and helps them to improve their diagnostic decisions. The C-CAD uses radiologists' search efficiency by processing their gaze patterns. Furthermore, the C-CAD incorporates a deep learning algorithm in a newly designed multi-task learning platform to segment and diagnose suspicious areas simultaneously. The proposed C-CAD system has been tested in a lung cancer screening experiment with multiple radiologists, reading low dose chest CTs. Promising results support the efficiency, accuracy and applicability of the proposed C-CAD system in a real radiology room setting. We have also shown that our framework is generalizable to more complex applications such as prostate cancer screening with multi-parametric magnetic resonance imaging (mp-MRI).</t>
  </si>
  <si>
    <t>N. Khosravan, H. Celik, B. Turkbey, E. C. Jones, B. Wood and U. Bagci</t>
  </si>
  <si>
    <t>Visual enhancement of Cone-beam CT by use of CycleGAN</t>
  </si>
  <si>
    <t>PURPOSE: Cone-beam computed tomography (CBCT) offers advantages over conventional fan-beam CT in that it requires a shorter time and less exposure to obtain images. However, CBCT images suffer from low soft-tissue contrast, noise, and artifacts compared to conventional fan-beam CT images. Therefore, it is essential to improve the image quality of CBCT. METHODS: In this paper, we propose a synthetic approach to translate CBCT images with deep neural networks. Our method requires only unpaired and unaligned CBCT images and planning fan-beam CT (PlanCT) images for training. The CBCT images and PlanCT images may be obtained from other patients as long as they are acquired with the same scanner settings. Once trained, three-dimensionally reconstructed CBCT images can be directly translated into high-quality PlanCT-like images. RESULTS: We demonstrate the effectiveness of our method with images obtained from 20 prostate patients, and provide a statistical and visual comparison. The image quality of the translated images shows substantial improvement in voxel values, spatial uniformity, and artifact suppression compared to those of the original CBCT. The anatomical structures of the original CBCT images were also well preserved in the translated images. CONCLUSIONS: Our method produces visually PlanCT-like images from CBCT images while preserving anatomical structures.</t>
  </si>
  <si>
    <t>10.1007/978-3-030-33128-3_3</t>
  </si>
  <si>
    <t>Deep Learning for Pulmonary Image Analysis: Classification, Detection, and Segmentation</t>
  </si>
  <si>
    <t>Image-based computer-aided diagnosis (CAD) algorithms by the use of convolutional neural network (CNN) which do not require the image-feature extractor are powerful compared with conventional feature-based CAD algorithms which require the image-feature extractor for classification of lung abnormalities. Moreover, computer-aided detection and segmentation algorithms by the use of CNN are useful for analysis of lung abnormalities. Deep learning will improve the performance of CAD systems dramatically. Therefore, they will change the roles of radiologists in the near future. In this article, we introduce development and evaluation of such image-based CAD algorithms for various kinds of lung abnormalities such as lung nodules and diffuse lung diseases.</t>
  </si>
  <si>
    <t>Deep Learning Based Noise Reduction for Brain MR Imaging: Tests on Phantoms and Healthy Volunteers</t>
  </si>
  <si>
    <t>PURPOSE: To test whether our proposed denoising approach with deep learning-based reconstruction (dDLR) can effectively denoise brain MR images. METHODS: In an initial experimental study, we obtained brain images from five volunteers and added different artificial noise levels. Denoising was applied to the modified images using a denoising convolutional neural network (DnCNN), a shrinkage convolutional neural network (SCNN), and dDLR. Using these brain MR images, we compared the structural similarity (SSIM) index and peak signal-to-noise ratio (PSNR) between the three denoising methods. Two neuroradiologists assessed the image quality of the three types of images. In the clinical study, we evaluated the denoising effect of dDLR in brain images with different levels of actual noise such as thermal noise. Specifically, we obtained 2D-T(2)-weighted image, 2D-fluid-attenuated inversion recovery (FLAIR) and 3D-magnetization-prepared rapid acquisition with gradient echo (MPRAGE) from 15 healthy volunteers at two different settings for the number of image acquisitions (NAQ): NAQ2 and NAQ5. We reconstructed dDLR-processed NAQ2 from NAQ2, then compared with SSIM and PSNR. Two neuroradiologists separately assessed the image quality of NAQ5, NAQ2 and dDLR-NAQ2. Statistical analysis was performed in the experimental and clinical study. In the clinical study, the inter-observer agreement was also assessed. RESULTS: In the experimental study, PSNR and SSIM for dDLR were statistically higher than those of DnCNN and SCNN (P &lt; 0.001). The image quality of dDLR was also superior to DnCNN and SCNN. In the clinical study, dDLR-NAQ2 was significantly better than NAQ2 images for SSIM and PSNR in all three sequences (P &lt; 0.05), except for PSNR in FLAIR. For all qualitative items, dDLR-NAQ2 had equivalent or better image quality than NAQ5, and superior quality to that of NAQ2 (P &lt; 0.05), for all criteria except artifact. The inter-observer agreement ranged from substantial to near perfect. CONCLUSION: dDLR reduces image noise while preserving image quality on brain MR images.</t>
  </si>
  <si>
    <t>Magn Reson Med Sci</t>
  </si>
  <si>
    <t>Cross-modality deep learning: Contouring of MRI data from annotated CT data only</t>
  </si>
  <si>
    <t>PURPOSE: Online adaptive radiotherapy would greatly benefit from the development of reliable auto-segmentation algorithms for organs-at-risk and radiation targets. Current practice of manual segmentation is subjective and time-consuming. While deep learning-based algorithms offer ample opportunities to solve this problem, they typically require large datasets. However, medical imaging data are generally sparse, in particular annotated MR images for radiotherapy. In this study, we developed a method to exploit the wealth of publicly available, annotated CT images to generate synthetic MR images, which could then be used to train a convolutional neural network (CNN) to segment the parotid glands on MR images of head and neck cancer patients. METHODS: Imaging data comprised 202 annotated CT and 27 annotated MR images. The unpaired CT and MR images were fed into a 2D CycleGAN network to generate synthetic MR images from the CT images. Annotations of axial slices of the synthetic images were generated by propagating the CT contours. These were then used to train a 2D CNN. We assessed the segmentation accuracy using the real MR images as test dataset. The accuracy was quantified with the 3D Dice similarity coefficient (DSC), Hausdorff distance (HD), and mean surface distance (MSD) between manual and auto-generated contours. We benchmarked the approach by a comparison to the interobserver variation determined for the real MR images, as well as to the accuracy when training the 2D CNN to segment the CT images. RESULTS: The determined accuracy (DSC: 0.77±0.07, HD: 18.04±12.59mm, MSD: 2.51±1.47mm) was close to the interobserver variation (DSC: 0.84±0.06, HD: 10.85±5.74mm, MSD: 1.50±0.77mm), as well as to the accuracy when training the 2D CNN to segment the CT images (DSC: 0.81±0.07, HD: 13.00±7.61mm, MSD: 1.87±0.84mm). CONCLUSIONS: The introduced cross-modality learning technique can be of great value for segmentation problems with sparse training data. We anticipate using this method with any nonannotated MRI dataset to generate annotated synthetic MR images of the same type via image style transfer from annotated CT images. Furthermore, as this technique allows for fast adaptation of annotated datasets from one imaging modality to another, it could prove useful for translating between large varieties of MRI contrasts due to differences in imaging protocols within and between institutions.</t>
  </si>
  <si>
    <t>Estimating Retinal Sensitivity Using Optical Coherence Tomography With Deep-Learning Algorithms in Macular Telangiectasia Type 2</t>
  </si>
  <si>
    <t>IMPORTANCE: As currently used, microperimetry is a burdensome clinical testing modality for testing retinal sensitivity requiring long testing times and trained technicians. OBJECTIVE: To create a deep-learning network that could directly estimate function from structure de novo to provide an en face high-resolution map of estimated retinal sensitivity. DESIGN, SETTING, AND PARTICIPANTS: A cross-sectional imaging study using data collected between January 1, 2016, and November 30, 2017, from the Natural History Observation and Registry of macular telangiectasia type 2 (MacTel) evaluated 38 participants with confirmed MacTel from 2 centers. MAIN OUTCOMES AND MEASURES: Mean absolute error of estimated compared with observed retinal sensitivity. Observed retinal sensitivity was obtained with fundus-controlled perimetry (microperimetry). Estimates of retinal sensitivity were made with deep-learning models that learned on superpositions of high-resolution optical coherence tomography (OCT) scans and microperimetry results. Those predictions were used to create high-density en face sensitivity maps of the macula. Training, validation, and test sets were segregated at the patient level. RESULTS: A total of 2499 microperimetry sensitivities were mapped onto 1708 OCT B-scans from 63 eyes of 38 patients (mean [SD] age, 74.3 [9.7] years; 15 men [39.5%]). The numbers of examples for our algorithm were 67 899 (103 053 after data augmentation) for training, 1695 for validation, and 1212 for testing. Mean absolute error results were 4.51 dB (95% CI, 4.36-4.65 dB) when using linear regression and 3.66 dB (95% CI, 3.53-3.78 dB) when using the LeNet model. Using a 49.9 million-variable deep-learning model, a mean absolute error of 3.36 dB (95% CI, 3.25-3.48 dB) of retinal sensitivity for validation and test was achieved. Correlation showed a high degree of agreement (Pearson correlation r = 0.78). By paired Wilcoxon rank sum test, our model significantly outperformed these 2 baseline models (P &lt; .001). CONCLUSIONS AND RELEVANCE: High-resolution en face maps of estimated retinal sensitivities were created in eyes with MacTel. The maps were of unequalled resolution compared with microperimetry and were able to correctly delineate functionally healthy and impaired retina. This model may be useful to monitor structural and functional disease progression and has potential as an objective surrogate outcome measure in investigational trials.</t>
  </si>
  <si>
    <t>Y. Kihara, T. F. C. Heeren, C. S. Lee, Y. Wu, S. Xiao, S. Tzaridis, F. G. Holz, P. Charbel Issa, C. A. Egan and A. Y. Lee</t>
  </si>
  <si>
    <t>10.1002/jmri.27001</t>
  </si>
  <si>
    <t>Deep Learning for Lesion Detection, Progression, and Prediction of Musculoskeletal Disease</t>
  </si>
  <si>
    <t>Deep learning is one of the most exciting new areas in medical imaging. This review article provides a summary of the current clinical applications of deep learning for lesion detection, progression, and prediction of musculoskeletal disease on radiographs, computed tomography (CT), magnetic resonance imaging (MRI), and nuclear medicine. Deep-learning methods have shown success for estimating pediatric bone age, detecting fractures, and assessing the severity of osteoarthritis on radiographs. In particular, the high diagnostic performance of deep-learning approaches for estimating pediatric bone age and detecting fractures suggests that the new technology may soon become available for use in clinical practice. Recent studies have also documented the feasibility of using deep-learning methods for identifying a wide variety of pathologic abnormalities on CT and MRI including internal derangement, metastatic disease, infection, fractures, and joint degeneration. However, the detection of musculoskeletal disease on CT and especially MRI is challenging, as it often requires analyzing complex abnormalities on multiple slices of image datasets with different tissue contrasts. Thus, additional technical development is needed to create deep-learning methods for reliable and repeatable interpretation of musculoskeletal CT and MRI examinations. Furthermore, the diagnostic performance of all deep-learning methods for detecting and characterizing musculoskeletal disease must be evaluated in prospective studies using large image datasets acquired at different institutions with different imaging parameters and different imaging hardware before they can be implemented in clinical practice. LEVEL OF EVIDENCE: 5 TECHNICAL EFFICACY STAGE: 2 J. MAGN. RESON. IMAGING 2020;52:1607-1619.</t>
  </si>
  <si>
    <t>A performance comparison of convolutional neural network-based image denoising methods: The effect of loss functions on low-dose CT images</t>
  </si>
  <si>
    <t>PURPOSE: Convolutional neural network (CNN)-based image denoising techniques have shown promising results in low-dose CT denoising. However, CNN often introduces blurring in denoised images when trained with a widely used pixel-level loss function. Perceptual loss and adversarial loss have been proposed recently to further improve the image denoising performance. In this paper, we investigate the effect of different loss functions on image denoising performance using task-based image quality assessment methods for various signals and dose levels. METHODS: We used a modified version of U-net that was effective at reducing the correlated noise in CT images. The loss functions used for comparison were two pixel-level losses (i.e., the mean-squared error and the mean absolute error), Visual Geometry Group network-based perceptual loss (VGG loss), adversarial loss used to train the Wasserstein generative adversarial network with gradient penalty (WGAN-GP), and their weighted summation. Each image denoising method was applied to reconstructed images and sinogram images independently and validated using the extended cardiac-torso (XCAT) simulation and Mayo Clinic datasets. In the XCAT simulation, we generated fan-beam CT datasets with four different dose levels (25%, 50%, 75%, and 100% of a normal-dose level) using 10 XCAT phantoms and inserted signals in a test set. The signals had two different shapes (spherical and spiculated), sizes (4 and 12 mm), and contrast levels (60 and 160 HU). To evaluate signal detectability, we used a detection task SNR (tSNR) calculated from a non-prewhitening model observer with an eye filter. We also measured the noise power spectrum (NPS) and modulation transfer function (MTF) to compare the noise and signal transfer properties. RESULTS: Compared to CNNs without VGG loss, VGG-loss-based CNNs achieved a more similar tSNR to that of the normal-dose CT for all signals at different dose levels except for a small signal at the 25% dose level. For a low-contrast signal at 25% or 50% dose, adding other losses to the VGG loss showed more improved performance than only using VGG loss. The NPS shapes from VGG-loss-based CNN closely matched that of normal-dose CT images while CNN without VGG loss overly reduced the mid-high-frequency noise power at all dose levels. MTF also showed VGG-loss-based CNN with better-preserved high resolution for all dose and contrast levels. It is also observed that additional WGAN-GP loss helps improve the noise and signal transfer properties of VGG-loss-based CNN. CONCLUSIONS: The evaluation results using tSNR, NPS, and MTF indicate that VGG-loss-based CNNs are more effective than those without VGG loss for natural denoising of low-dose images and WGAN-GP loss improves the denoising performance of VGG-loss-based CNNs, which corresponds with the qualitative evaluation.</t>
  </si>
  <si>
    <t>Artificial intelligence in fracture detection: transfer learning from deep convolutional neural networks</t>
  </si>
  <si>
    <t>AIM: To identify the extent to which transfer learning from deep convolutional neural networks (CNNs), pre-trained on non-medical images, can be used for automated fracture detection on plain radiographs. MATERIALS AND METHODS: The top layer of the Inception v3 network was re-trained using lateral wrist radiographs to produce a model for the classification of new studies as either fracture or no fracture. The model was trained on a total of 11,112 images, after an eightfold data augmentation technique, from an initial set of 1,389 radiographs (695 fracture and 694 no fracture). The training data set was split 80:10:10 into training, validation, and test groups, respectively. An additional 100 wrist radiographs, comprising 50 fracture and 50 no fracture images, were used for final testing and statistical analysis. RESULTS: The area under the receiver operator characteristic curve (AUC) for this test was 0.954. Setting the diagnostic cut-off at a threshold designed to maximise both sensitivity and specificity resulted in values of 0.9 and 0.88, respectively. CONCLUSION: The AUC scores for this test were comparable to state-of-the-art providing proof of concept for transfer learning from CNNs in fracture detection on plain radiographs. This was achieved using only a moderate sample size. This technique is largely transferable, and therefore, has many potential applications in medical imaging, which may lead to significant improvements in workflow productivity and in clinical risk reduction.</t>
  </si>
  <si>
    <t>D. H. Kim and T. MacKinnon</t>
  </si>
  <si>
    <t>Design Characteristics of Studies Reporting the Performance of Artificial Intelligence Algorithms for Diagnostic Analysis of Medical Images: Results from Recently Published Papers</t>
  </si>
  <si>
    <t>OBJECTIVE: To evaluate the design characteristics of studies that evaluated the performance of artificial intelligence (AI) algorithms for the diagnostic analysis of medical images. MATERIALS AND METHODS: PubMed MEDLINE and Embase databases were searched to identify original research articles published between January 1, 2018 and August 17, 2018 that investigated the performance of AI algorithms that analyze medical images to provide diagnostic decisions. Eligible articles were evaluated to determine 1) whether the study used external validation rather than internal validation, and in case of external validation, whether the data for validation were collected, 2) with diagnostic cohort design instead of diagnostic case-control design, 3) from multiple institutions, and 4) in a prospective manner. These are fundamental methodologic features recommended for clinical validation of AI performance in real-world practice. The studies that fulfilled the above criteria were identified. We classified the publishing journals into medical vs. non-medical journal groups. Then, the results were compared between medical and non-medical journals. RESULTS: Of 516 eligible published studies, only 6% (31 studies) performed external validation. None of the 31 studies adopted all three design features: diagnostic cohort design, the inclusion of multiple institutions, and prospective data collection for external validation. No significant difference was found between medical and non-medical journals. CONCLUSION: Nearly all of the studies published in the study period that evaluated the performance of AI algorithms for diagnostic analysis of medical images were designed as proof-of-concept technical feasibility studies and did not have the design features that are recommended for robust validation of the real-world clinical performance of AI algorithms.</t>
  </si>
  <si>
    <t>Inconsistency in the use of the term validation in studies reporting the performance of deep learning algorithms in providing diagnosis from medical imaging</t>
  </si>
  <si>
    <t>BACKGROUND: The development of deep learning (DL) algorithms is a three-step process-training, tuning, and testing. Studies are inconsistent in the use of the term validation, with some using it to refer to tuning and others testing, which hinders accurate delivery of information and may inadvertently exaggerate the performance of DL algorithms. We investigated the extent of inconsistency in usage of the term validation in studies on the accuracy of DL algorithms in providing diagnosis from medical imaging. METHODS AND FINDINGS: We analyzed the full texts of research papers cited in two recent systematic reviews. The papers were categorized according to whether the term validation was used to refer to tuning alone, both tuning and testing, or testing alone. We analyzed whether paper characteristics (i.e., journal category, field of study, year of print publication, journal impact factor [JIF], and nature of test data) were associated with the usage of the terminology using multivariable logistic regression analysis with generalized estimating equations. Of 201 papers published in 125 journals, 118 (58.7%), 9 (4.5%), and 74 (36.8%) used the term to refer to tuning alone, both tuning and testing, and testing alone, respectively. A weak association was noted between higher JIF and using the term to refer to testing (i.e., testing alone or both tuning and testing) instead of tuning alone (vs. JIF &lt;5; JIF 5 to 10: adjusted odds ratio 2.11, P = 0.042; JIF &gt;10: adjusted odds ratio 2.41, P = 0.089). Journal category, field of study, year of print publication, and nature of test data were not significantly associated with the terminology usage. CONCLUSIONS: Existing literature has a significant degree of inconsistency in using the term validation when referring to the steps in DL algorithm development. Efforts are needed to improve the accuracy and clarity in the terminology usage.</t>
  </si>
  <si>
    <t>Applying Data-driven Imaging Biomarker in Mammography for Breast Cancer Screening: Preliminary Study</t>
  </si>
  <si>
    <t>We assessed the feasibility of a data-driven imaging biomarker based on weakly supervised learning (DIB; an imaging biomarker derived from large-scale medical image data with deep learning technology) in mammography (DIB-MG). A total of 29,107 digital mammograms from five institutions (4,339 cancer cases and 24,768 normal cases) were included. After matching patients' age, breast density, and equipment, 1,238 and 1,238 cases were chosen as validation and test sets, respectively, and the remainder were used for training. The core algorithm of DIB-MG is a deep convolutional neural network; a deep learning algorithm specialized for images. Each sample (case) is an exam composed of 4-view images (RCC, RMLO, LCC, and LMLO). For each case in a training set, the cancer probability inferred from DIB-MG is compared with the per-case ground-truth label. Then the model parameters in DIB-MG are updated based on the error between the prediction and the ground-truth. At the operating point (threshold) of 0.5, sensitivity was 75.6% and 76.1% when specificity was 90.2% and 88.5%, and AUC was 0.903 and 0.906 for the validation and test sets, respectively. This research showed the potential of DIB-MG as a screening tool for breast cancer.</t>
  </si>
  <si>
    <t>E. K. Kim, H. E. Kim, K. Han, B. J. Kang, Y. M. Sohn, O. H. Woo and C. W. Lee</t>
  </si>
  <si>
    <t>Comparison of Shallow and Deep Learning Methods on Classifying the Regional Pattern of Diffuse Lung Disease</t>
  </si>
  <si>
    <t>This study aimed to compare shallow and deep learning of classifying the patterns of interstitial lung diseases (ILDs). Using high-resolution computed tomography images, two experienced radiologists marked 1200 regions of interest (ROIs), in which 600 ROIs were each acquired using a GE or Siemens scanner and each group of 600 ROIs consisted of 100 ROIs for subregions that included normal and five regional pulmonary disease patterns (ground-glass opacity, consolidation, reticular opacity, emphysema, and honeycombing). We employed the convolution neural network (CNN) with six learnable layers that consisted of four convolution layers and two fully connected layers. The classification results were compared with the results classified by a shallow learning of a support vector machine (SVM). The CNN classifier showed significantly better performance for accuracy compared with that of the SVM classifier by 6-9%. As the convolution layer increases, the classification accuracy of the CNN showed better performance from 81.27 to 95.12%. Especially in the cases showing pathological ambiguity such as between normal and emphysema cases or between honeycombing and reticular opacity cases, the increment of the convolution layer greatly drops the misclassification rate between each case. Conclusively, the CNN classifier showed significantly greater accuracy than the SVM classifier, and the results implied structural characteristics that are inherent to the specific ILD patterns.</t>
  </si>
  <si>
    <t>G. B. Kim, K. H. Jung, Y. Lee, H. J. Kim, N. Kim, S. Jun, J. B. Seo and D. A. Lynch</t>
  </si>
  <si>
    <t>Preoperative CT-based Deep Learning Model for Predicting Disease-Free Survival in Patients with Lung Adenocarcinomas</t>
  </si>
  <si>
    <t>Background Deep learning models have the potential for lung cancer prognostication, but model output as an independent prognostic factor must be validated with clinical risk factors. Purpose To develop and validate a preoperative CT-based deep learning model for predicting disease-free survival in patients with lung adenocarcinoma. Materials and Methods In this retrospective study, a deep learning model was trained to extract prognostic information from preoperative CT examinations. Data set 1 for training, tuning, and internal validation consisted of patients with T1-4N0M0 adenocarcinoma resected between 2009 and 2015. Data set 2 for external validation included patients with clinical T1-2aN0M0 (stage I) adenocarcinomas resected in 2014. Discrimination was assessed by using Harrell C index and benchmarked against the clinical T category. The Greenwood-Nam-D'Agostino test was used for model calibration. The multivariable-adjusted hazard ratios (HRs) were analyzed with clinical prognostic factors by using the Cox regression. Results Evaluated were 800 patients (median age, 64 years; interquartile range, 56-70 years; 450 women) in data set 1 and 108 patients (median age, 63 years; interquartile range, 57-71 years; 60 women) in data set 2. The C indexes were 0.74-0.80 in the internal validation and 0.71-0.78 in the external validation, both comparable with the clinical T category (0.78 in the internal validation and 0.74 in the external validation; all P &gt; .05). The model exhibited good calibration in all data sets (P &gt; .05). Multivariable Cox regression revealed that model outputs were independent prognostic factors (hazard ratio [HR] of the categorical output, 2.5 [95% confidence interval {CI}: 1.03, 5.9; P = .04] in the internal validation and 3.6 [95% CI: 1.6, 8.5; P = .003] in the external validation). Other than the deep learning model, only smoking status (HR, 3.4; 95% CI: 1.4, 8.5; P = .007) contributed further to prediction of disease-free survival for patients after resection of clinical stage I adenocarcinomas. Conclusion A deep learning model for chest CT predicted disease-free survival for patients undergoing an operation for clinical stage I lung adenocarcinoma. © RSNA, 2020 Online supplemental material is available for this article. See also the editorial by Shaffer in this issue.</t>
  </si>
  <si>
    <t>CT-based deep learning model to differentiate invasive pulmonary adenocarcinomas appearing as subsolid nodules among surgical candidates: comparison of the diagnostic performance with a size-based logistic model and radiologists</t>
  </si>
  <si>
    <t>OBJECTIVES: To evaluate the deep learning models for differentiating invasive pulmonary adenocarcinomas (IACs) among subsolid nodules (SSNs) considered for resection in a retrospective diagnostic cohort in comparison with a size-based logistic model and expert radiologists. METHODS: This study included 525 patients (309 women; median, 62 years) to develop models, and an independent cohort of 101 patients (57 women; median, 66 years) was used for validation. A size-based logistic model and deep learning models using 2.5-dimension (2.5D) and three-dimension (3D) CT images were developed to discriminate IAC from less invasive pathologies. Overall performance, discrimination, and calibration were assessed. Diagnostic performances of the three thoracic radiologists were compared with those of the deep learning model. RESULTS: The overall performances of the deep learning models (Brier score, 0.122 for the 2.5D DenseNet and 0.121 for the 3D DenseNet) were superior to those of the size-based logistic model (Brier score, 0.198). The area under the receiver operating characteristic curve (AUC) of the 2.5D DenseNet (0.921) was significantly higher than that of the 3D DenseNet (0.835; p = 0.037) and the size-based logistic model (0.836; p = 0.009). At equally high sensitivities of 90%, the 2.5D DenseNet showed significantly higher specificity (88.2%; all p &lt; 0.05) and positive predictive value (97.4%; all p &lt; 0.05) than other models. Model calibration was poor for all models (all p &lt; 0.05). The 2.5D DenseNet had a comparable performance with the radiologists (AUC, 0.848-0.910). CONCLUSION: The 2.5D DenseNet model could be used as a highly sensitive and specific diagnostic tool to differentiate IACs among SSNs for surgical candidates. KEY POINTS: • The deep learning model developed using 2.5D DenseNet showed higher overall performance and discrimination than the size-based logistic model for the differentiation of invasive adenocarcinomas among subsolid nodules for surgical candidates. • The 2.5D DenseNet demonstrated a thoracic radiologist-level diagnostic performance and had higher specificity (88.2%) at equal sensitivities (90%) than the size-based logistic model (specificity, 52.9%). • The 2.5D DenseNet could be used to reduce potential overtreatment for the indolent subsolid nodules or to select candidates for sublobar resection instead of the standard lobectomy.</t>
  </si>
  <si>
    <t>Test-retest reproducibility of a deep learning-based automatic detection algorithm for the chest radiograph</t>
  </si>
  <si>
    <t>OBJECTIVES: To perform test-retest reproducibility analyses for deep learning-based automatic detection algorithm (DLAD) using two stationary chest radiographs (CRs) with short-term intervals, to analyze influential factors on test-retest variations, and to investigate the robustness of DLAD to simulated post-processing and positional changes. METHODS: This retrospective study included patients with pulmonary nodules resected in 2017. Preoperative CRs without interval changes were used. Test-retest reproducibility was analyzed in terms of median differences of abnormality scores, intraclass correlation coefficients (ICC), and 95% limits of agreement (LoA). Factors associated with test-retest variation were investigated using univariable and multivariable analyses. Shifts in classification between the two CRs were analyzed using pre-determined cutoffs. Radiograph post-processing (blurring and sharpening) and positional changes (translations in x- and y-axes, rotation, and shearing) were simulated and agreement of abnormality scores between the original and simulated CRs was investigated. RESULTS: Our study analyzed 169 patients (median age, 65 years; 91 men). The median difference of abnormality scores was 1-2% and ICC ranged from 0.83 to 0.90. The 95% LoA was approximately ± 30%. Test-retest variation was negatively associated with solid portion size (β, - 0.50; p = 0.008) and good nodule conspicuity (β, - 0.94; p &lt; 0.001). A small fraction (15/169) showed discordant classifications when the high-specificity cutoff (46%) was applied to the model outputs (p = 0.04). DLAD was robust to the simulated positional change (ICC, 0.984, 0.996), but relatively less robust to post-processing (ICC, 0.872, 0.968). CONCLUSIONS: DLAD was robust to the test-retest variation. However, inconspicuous nodules may cause fluctuations of the model output and subsequent misclassifications. KEY POINTS: • The deep learning-based automatic detection algorithm was robust to the test-retest variation of the chest radiographs in general. • The test-retest variation was negatively associated with solid portion size and good nodule conspicuity. • High-specificity cutoff (46%) resulted in discordant classifications of 8.9% (15/169; p = 0.04) between the test-retest radiographs.</t>
  </si>
  <si>
    <t>Deep neural network predicts emotional responses of the human brain from functional magnetic resonance imaging</t>
  </si>
  <si>
    <t>An artificial neural network with multiple hidden layers (known as a deep neural network, or DNN) was employed as a predictive model (DNN(p)) for the first time to predict emotional responses using whole-brain functional magnetic resonance imaging (fMRI) data from individual subjects. During fMRI data acquisition, 10 healthy participants listened to 80 International Affective Digital Sound stimuli and rated their own emotions generated by each sound stimulus in terms of the arousal, dominance, and valence dimensions. The whole-brain spatial patterns from a general linear model (i.e., beta-valued maps) for each sound stimulus and the emotional response ratings were used as the input and output for the DNN(P), respectively. Based on a nested five-fold cross-validation scheme, the paired input and output data were divided into training (three-fold), validation (one-fold), and test (one-fold) data. The DNN(P) was trained and optimized using the training and validation data and was tested using the test data. The Pearson's correlation coefficients between the rated and predicted emotional responses from our DNN(P) model with weight sparsity optimization (mean ± standard error 0.52 ± 0.02 for arousal, 0.51 ± 0.03 for dominance, and 0.51 ± 0.03 for valence, with an input denoising level of 0.3 and a mini-batch size of 1) were significantly greater than those of DNN models with conventional regularization schemes including elastic net regularization (0.15 ± 0.05, 0.15 ± 0.06, and 0.21 ± 0.04 for arousal, dominance, and valence, respectively), those of shallow models including logistic regression (0.11 ± 0.04, 0.10 ± 0.05, and 0.17 ± 0.04 for arousal, dominance, and valence, respectively; average of logistic regression and sparse logistic regression), and those of support vector machine-based predictive models (SVM(p)s; 0.12 ± 0.06, 0.06 ± 0.06, and 0.10 ± 0.06 for arousal, dominance, and valence, respectively; average of linear and non-linear SVM(p)s). This difference was confirmed to be significant with a Bonferroni-corrected p-value of less than 0.001 from a one-way analysis of variance (ANOVA) and subsequent paired t-test. The weights of the trained DNN(P)s were interpreted and input patterns that maximized or minimized the output of the DNN(P)s (i.e., the emotional responses) were estimated. Based on a binary classification of each emotion category (e.g., high arousal vs. low arousal), the error rates for the DNN(P) (31.2% ± 1.3% for arousal, 29.0% ± 1.7% for dominance, and 28.6% ± 3.0% for valence) were significantly lower than those for the linear SVM(P) (44.7% ± 2.0%, 50.7% ± 1.7%, and 47.4% ± 1.9% for arousal, dominance, and valence, respectively) and the non-linear SVM(P) (48.8% ± 2.3%, 52.2% ± 1.9%, and 46.4% ± 1.3% for arousal, dominance, and valence, respectively), as confirmed by the Bonferroni-corrected p &lt; 0.001 from the one-way ANOVA. Our study demonstrates that the DNN(p) model is able to reveal neuronal circuitry associated with human emotional processing - including structures in the limbic and paralimbic areas, which include the amygdala, prefrontal areas, anterior cingulate cortex, insula, and caudate. Our DNN(p) model was also able to use activation patterns in these structures to predict and classify emotional responses to stimuli.</t>
  </si>
  <si>
    <t>H. C. Kim, P. A. Bandettini and J. H. Lee</t>
  </si>
  <si>
    <t>Automatic evaluation of fetal head biometry from ultrasound images using machine learning</t>
  </si>
  <si>
    <t>OBJECTIVE: Ultrasound-based fetal biometric measurements, such as head circumference (HC) and biparietal diameter (BPD), are frequently used to evaluate gestational age and diagnose fetal central nervous system pathology. Because manual measurements are operator-dependent and time-consuming, much research is being actively conducted on automated methods. However, the existing automated methods are still not satisfactory in terms of accuracy and reliability, owing to difficulties dealing with various artefacts in ultrasound images. APPROACH: Using the proposed method, a labeled dataset containing 102 ultrasound images was used for training, and validation was performed with 70 ultrasound images. MAIN RESULTS: A success rate of 91.43% and 100% for HC and BPD estimations, respectively, and an accuracy of 87.14% for the plane acceptance check. SIGNIFICANCE: This paper focuses on fetal head biometry and proposes a deep-learning-based method for estimating HC and BPD with a high degree of accuracy and reliability.</t>
  </si>
  <si>
    <t>Multi-slice representational learning of convolutional neural network for Alzheimer's disease classification using positron emission tomography</t>
  </si>
  <si>
    <t>BACKGROUND: Alzheimer's Disease (AD) is a degenerative brain disorder that often occurs in people over 65 years old. As advanced AD is difficult to manage, accurate diagnosis of the disorder is critical. Previous studies have revealed effective deep learning methods of classification. However, deep learning methods require a large number of image datasets. Moreover, medical images are affected by various environmental factors. In the current study, we propose a deep learning-based method for diagnosis of Alzheimer's disease (AD) that is less sensitive to different datasets for external validation, based upon F-18 fluorodeoxyglucose positron emission tomography/computed tomography (FDG-PET/CT). RESULTS: The accuracy, sensitivity, and specificity of our proposed network were 86.09%, 80.00%, and 92.96% (respectively) using our dataset, and 91.02%, 87.93%, and 93.57% (respectively) using the Alzheimer's Disease Neuroimaging Initiative (ADNI) dataset. We observed that our model classified AD and normal cognitive (NC) cases based on the posterior cingulate cortex (PCC), where pathological changes occur in AD. The performance of the GAP layer was considered statistically significant compared to the fully connected layer in both datasets for accuracy, sensitivity, and specificity (p &lt; 0.01). In addition, performance comparison between the ADNI dataset and our dataset showed no statistically significant differences in accuracy, sensitivity, and specificity (p &gt; 0.05). CONCLUSIONS: The proposed model demonstrated the effectiveness of AD classification using the GAP layer. Our model learned the AD features from PCC in both the ADNI and Severance datasets, which can be seen in the heatmap. Furthermore, we showed that there were no significant differences in performance using statistical analysis.</t>
  </si>
  <si>
    <t>Malocclusion Classification on 3D Cone-Beam CT Craniofacial Images Using Multi-Channel Deep Learning Models()</t>
  </si>
  <si>
    <t>Analyzing and interpreting cone-beam computed tomography (CBCT) images is a complicated and often time-consuming process. In this study, we present two different architectures of multi-channel deep learning (DL) models: Ensemble and Synchronized multi-channel, to automatically identify and classify skeletal malocclusions from 3D CBCT craniofacial images. These multi-channel models combine three individual single-channel base models using a voting scheme and a two-step learning process, respectively, to simultaneously extract and learn a visual representation from three different directional views of 2D images generated from a single 3D CBCT image. We also employ a visualization method called Class-selective Relevance Mapping (CRM) to explain the learned behavior of our DL models by localizing and highlighting a discriminative area within an input image. Our multi-channel models achieve significantly better performance overall (accuracy exceeding 93%), compared to single-channel DL models that only take one specific directional view of 2D projected image as an input. In addition, CRM visually demonstrates that a DL model based on the sagittal-left view of 2D images outperforms those based on other directional 2D images.Clinical Relevance- the proposed method aims at assisting orthodontist to determine the best treatment path for the patient be it orthodontic or surgical treatment or a combination of both.</t>
  </si>
  <si>
    <t>Visual Interpretation of Convolutional Neural Network Predictions in Classifying Medical Image Modalities</t>
  </si>
  <si>
    <t>Deep learning (DL) methods are increasingly being applied for developing reliable computer-aided detection (CADe), diagnosis (CADx), and information retrieval algorithms. However, challenges in interpreting and explaining the learned behavior of the DL models hinders their adoption and use in real-world systems. In this study, we propose a novel method called Class-selective Relevance Mapping (CRM) for localizing and visualizing discriminative regions of interest (ROI) within a medical image. Such visualizations offer improved explanation of the convolutional neural network (CNN)-based DL model predictions. We demonstrate CRM effectiveness in classifying medical imaging modalities toward automatically labeling them for visual information retrieval applications. The CRM is based on linear sum of incremental mean squared errors (MSE) calculated at the output layer of the CNN model. It measures both positive and negative contributions of each spatial element in the feature maps produced from the last convolution layer leading to correct classification of an input image. A series of experiments on a multi-modality CNN model designed for classifying seven different types of image modalities shows that the proposed method is significantly better in detecting and localizing the discriminative ROIs than other state of the art class-activation methods. Further, to visualize its effectiveness we generate class-specific ROI maps by averaging the CRM scores of images in each modality class, and characterize the visual explanation through their different size, shape, and location for our multi-modality CNN model that achieved over 98% performance on a dataset constructed from publicly available images.</t>
  </si>
  <si>
    <t>I. Kim, S. Rajaraman and S. Antani</t>
  </si>
  <si>
    <t>Deep neural network with weight sparsity control and pre-training extracts hierarchical features and enhances classification performance: Evidence from whole-brain resting-state functional connectivity patterns of schizophrenia</t>
  </si>
  <si>
    <t>Functional connectivity (FC) patterns obtained from resting-state functional magnetic resonance imaging data are commonly employed to study neuropsychiatric conditions by using pattern classifiers such as the support vector machine (SVM). Meanwhile, a deep neural network (DNN) with multiple hidden layers has shown its ability to systematically extract lower-to-higher level information of image and speech data from lower-to-higher hidden layers, markedly enhancing classification accuracy. The objective of this study was to adopt the DNN for whole-brain resting-state FC pattern classification of schizophrenia (SZ) patients vs. healthy controls (HCs) and identification of aberrant FC patterns associated with SZ. We hypothesized that the lower-to-higher level features learned via the DNN would significantly enhance the classification accuracy, and proposed an adaptive learning algorithm to explicitly control the weight sparsity in each hidden layer via L1-norm regularization. Furthermore, the weights were initialized via stacked autoencoder based pre-training to further improve the classification performance. Classification accuracy was systematically evaluated as a function of (1) the number of hidden layers/nodes, (2) the use of L1-norm regularization, (3) the use of the pre-training, (4) the use of framewise displacement (FD) removal, and (5) the use of anatomical/functional parcellation. Using FC patterns from anatomically parcellated regions without FD removal, an error rate of 14.2% was achieved by employing three hidden layers and 50 hidden nodes with both L1-norm regularization and pre-training, which was substantially lower than the error rate from the SVM (22.3%). Moreover, the trained DNN weights (i.e., the learned features) were found to represent the hierarchical organization of aberrant FC patterns in SZ compared with HC. Specifically, pairs of nodes extracted from the lower hidden layer represented sparse FC patterns implicated in SZ, which was quantified by using kurtosis/modularity measures and features from the higher hidden layer showed holistic/global FC patterns differentiating SZ from HC. Our proposed schemes and reported findings attained by using the DNN classifier and whole-brain FC data suggest that such approaches show improved ability to learn hidden patterns in brain imaging data, which may be useful for developing diagnostic tools for SZ and other neuropsychiatric disorders and identifying associated aberrant FC patterns.</t>
  </si>
  <si>
    <t>J. Kim, V. D. Calhoun, E. Shim and J. H. Lee</t>
  </si>
  <si>
    <t>Fast learning method for convolutional neural networks using extreme learning machine and its application to lane detection</t>
  </si>
  <si>
    <t>Deep learning has received significant attention recently as a promising solution to many problems in the area of artificial intelligence. Among several deep learning architectures, convolutional neural networks (CNNs) demonstrate superior performance when compared to other machine learning methods in the applications of object detection and recognition. We use a CNN for image enhancement and the detection of driving lanes on motorways. In general, the process of lane detection consists of edge extraction and line detection. A CNN can be used to enhance the input images before lane detection by excluding noise and obstacles that are irrelevant to the edge detection result. However, training conventional CNNs requires considerable computation and a big dataset. Therefore, we suggest a new learning algorithm for CNNs using an extreme learning machine (ELM). The ELM is a fast learning method used to calculate network weights between output and hidden layers in a single iteration and thus, can dramatically reduce learning time while producing accurate results with minimal training data. A conventional ELM can be applied to networks with a single hidden layer; as such, we propose a stacked ELM architecture in the CNN framework. Further, we modify the backpropagation algorithm to find the targets of hidden layers and effectively learn network weights while maintaining performance. Experimental results confirm that the proposed method is effective in reducing learning time and improving performance.</t>
  </si>
  <si>
    <t>10.1002/hbm.24207</t>
  </si>
  <si>
    <t>Identification of Alzheimer's disease and mild cognitive impairment using multimodal sparse hierarchical extreme learning machine</t>
  </si>
  <si>
    <t>Different modalities such as structural MRI, FDG-PET, and CSF have complementary information, which is likely to be very useful for diagnosis of AD and MCI. Therefore, it is possible to develop a more effective and accurate AD/MCI automatic diagnosis method by integrating complementary information of different modalities. In this paper, we propose multi-modal sparse hierarchical extreme leaning machine (MSH-ELM). We used volume and mean intensity extracted from 93 regions of interest (ROIs) as features of MRI and FDG-PET, respectively, and used p-tau, t-tau, and Aβ42 as CSF features. In detail, high-level representation was individually extracted from each of MRI, FDG-PET, and CSF using a stacked sparse extreme learning machine auto-encoder (sELM-AE). Then, another stacked sELM-AE was devised to acquire a joint hierarchical feature representation by fusing the high-level representations obtained from each modality. Finally, we classified joint hierarchical feature representation using a kernel-based extreme learning machine (KELM). The results of MSH-ELM were compared with those of conventional ELM, single kernel support vector machine (SK-SVM), multiple kernel support vector machine (MK-SVM) and stacked auto-encoder (SAE). Performance was evaluated through 10-fold cross-validation. In the classification of AD vs. HC and MCI vs. HC problem, the proposed MSH-ELM method showed mean balanced accuracies of 96.10% and 86.46%, respectively, which is much better than those of competing methods. In summary, the proposed algorithm exhibits consistently better performance than SK-SVM, ELM, MK-SVM and SAE in the two binary classification problems (AD vs. HC and MCI vs. HC).</t>
  </si>
  <si>
    <t>DeNTNet: Deep Neural Transfer Network for the detection of periodontal bone loss using panoramic dental radiographs</t>
  </si>
  <si>
    <t>In this study, a deep learning-based method for developing an automated diagnostic support system that detects periodontal bone loss in the panoramic dental radiographs is proposed. The presented method called DeNTNet not only detects lesions but also provides the corresponding teeth numbers of the lesion according to dental federation notation. DeNTNet applies deep convolutional neural networks(CNNs) using transfer learning and clinical prior knowledge to overcome the morphological variation of the lesions and imbalanced training dataset. With 12,179 panoramic dental radiographs annotated by experienced dental clinicians, DeNTNet was trained, validated, and tested using 11,189, 190, and 800 panoramic dental radiographs, respectively. Each experimental model was subjected to comparative study to demonstrate the validity of each phase of the proposed method. When compared to the dental clinicians, DeNTNet achieved the F1 score of 0.75 on the test set, whereas the average performance of dental clinicians was 0.69.</t>
  </si>
  <si>
    <t>Detection of Hepatocellular Carcinoma in Contrast-Enhanced Magnetic Resonance Imaging Using Deep Learning Classifier: A Multi-Center Retrospective Study</t>
  </si>
  <si>
    <t>Hepatocellular carcinoma (HCC) is one of the most common malignant tumors and a leading cause of cancer-related death worldwide. We propose a fully automated deep learning model to detect HCC using hepatobiliary phase magnetic resonance images from 549 patients who underwent surgical resection. Our model used a fine-tuned convolutional neural network and achieved 87% sensitivity and 93% specificity for the detection of HCCs with an external validation data set (54 patients). We also confirmed whether the lesion detected by our deep learning model is a true lesion using a class activation map.</t>
  </si>
  <si>
    <t>Computerized Bone Age Estimation Using Deep Learning Based Program: Evaluation of the Accuracy and Efficiency</t>
  </si>
  <si>
    <t>OBJECTIVE: The purpose of this study is to evaluate the accuracy and efficiency of a new automatic software system for bone age assessment and to validate its feasibility in clinical practice. MATERIALS AND METHODS: A Greulich-Pyle method-based deep-learning technique was used to develop the automatic software system for bone age determination. Using this software, bone age was estimated from left-hand radiographs of 200 patients (3-17 years old) using first-rank bone age (software only), computer-assisted bone age (two radiologists with software assistance), and Greulich-Pyle atlas-assisted bone age (two radiologists with Greulich-Pyle atlas assistance only). The reference bone age was determined by the consensus of two experienced radiologists. RESULTS: First-rank bone ages determined by the automatic software system showed a 69.5% concordance rate and significant correlations with the reference bone age (r = 0.992; p &lt; 0.001). Concordance rates increased with the use of the automatic software system for both reviewer 1 (63.0% for Greulich-Pyle atlas-assisted bone age vs 72.5% for computer-assisted bone age) and reviewer 2 (49.5% for Greulich-Pyle atlas-assisted bone age vs 57.5% for computer-assisted bone age). Reading times were reduced by 18.0% and 40.0% for reviewers 1 and 2, respectively. CONCLUSION: Automatic software system showed reliably accurate bone age estimations and appeared to enhance efficiency by reducing reading times without compromising the diagnostic accuracy.</t>
  </si>
  <si>
    <t>J. R. Kim, W. H. Shim, H. M. Yoon, S. H. Hong, J. S. Lee, Y. A. Cho and S. Kim</t>
  </si>
  <si>
    <t>Development of an automatic muscle atrophy measuring algorithm to calculate the ratio of supraspinatus in supraspinous fossa using deep learning</t>
  </si>
  <si>
    <t>BACKGROUND AND OBJECTIVE: Rotator cuff muscle tear is one of the most frequent reason of operations in orthopedic surgery. There are several clinical indicators such as Goutallier grade and occupation ratio in the diagnosis and surgery of these diseases, but subjective intervention of the diagnosis is an obstacle in accurately detecting the correct region. METHODS: Therefore, in this paper, we propose a fully convolutional deep learning algorithm to quantitatively detect the fossa and muscle region by measuring the occupation ratio of supraspinatus in the supraspinous fossa. In the development and performance evaluation of the algorithm, 240 patients MRI dataset with various disease severities were included. RESULTS: As a result, the pixel-wise accuracy of the developed algorithm is 0.9984 ± 0.073 in the fossa region and 0.9988 ± 0.065 in the muscle region. The dice coefficient is 0.9718 ± 0.012 in the fossa region and 0.9463 ± 0.047 in the muscle region. CONCLUSIONS: We expect that the proposed convolutional neural network can improve the efficiency and objectiveness of diagnosis by quantifying the index used in the orthopedic rotator cuff tear.</t>
  </si>
  <si>
    <t>Performance of the deep convolutional neural network based magnetic resonance image scoring algorithm for differentiating between tuberculous and pyogenic spondylitis</t>
  </si>
  <si>
    <t>The purpose of this study was to evaluate the performance of the deep convolutional neural network (DCNN) in differentiating between tuberculous and pyogenic spondylitis on magnetic resonance (MR) imaging, compared to the performance of three skilled radiologists. This clinical retrospective study used spine MR images of 80 patients with tuberculous spondylitis and 81 patients with pyogenic spondylitis that was bacteriologically and/or histologically confirmed from January 2007 to December 2016. Supervised training and validation of the DCNN classifier was performed with four-fold cross validation on a patient-level independent split. The object detection and classification model was implemented as a DCNN and was designed to calculate the deep-learning scores of individual patients to reach a conclusion. Three musculoskeletal radiologists blindly interpreted the images. The diagnostic performances of the DCNN classifier and of the three radiologists were expressed as receiver operating characteristic (ROC) curves, and the areas under the ROC curves (AUCs) were compared using a bootstrap resampling procedure. When comparing the AUC value of the DCNN classifier (0.802) with the pooled AUC value of the three readers (0.729), there was no significant difference (P = 0.079). In differentiating between tuberculous and pyogenic spondylitis using MR images, the performance of the DCNN classifier was comparable to that of three skilled radiologists.</t>
  </si>
  <si>
    <t>K. Kim, S. Kim, Y. H. Lee, S. H. Lee, H. S. Lee and S. Kim</t>
  </si>
  <si>
    <t>Penalized PET Reconstruction Using Deep Learning Prior and Local Linear Fitting</t>
  </si>
  <si>
    <t>Motivated by the great potential of deep learning in medical imaging, we propose an iterative positron emission tomography reconstruction framework using a deep learning-based prior. We utilized the denoising convolutional neural network (DnCNN) method and trained the network using full-dose images as the ground truth and low dose images reconstructed from downsampled data by Poisson thinning as input. Since most published deep networks are trained at a predetermined noise level, the noise level disparity of training and testing data is a major problem for their applicability as a generalized prior. In particular, the noise level significantly changes in each iteration, which can potentially degrade the overall performance of iterative reconstruction. Due to insufficient existing studies, we conducted simulations and evaluated the degradation of performance at various noise conditions. Our findings indicated that DnCNN produces additional bias induced by the disparity of noise levels. To address this issue, we propose a local linear fitting function incorporated with the DnCNN prior to improve the image quality by preventing unwanted bias. We demonstrate that the resultant method is robust against noise level disparities despite the network being trained at a predetermined noise level. By means of bias and standard deviation studies via both simulations and clinical experiments, we show that the proposed method outperforms conventional methods based on total variation and non-local means penalties. We thereby confirm that the proposed method improves the reconstruction result both quantitatively and qualitatively.</t>
  </si>
  <si>
    <t>K. Kim, D. Wu, K. Gong, J. Dutta, J. H. Kim, Y. D. Son, H. K. Kim, G. El Fakhri and Q. Li</t>
  </si>
  <si>
    <t>Improving Arterial Spin Labeling by Using Deep Learning</t>
  </si>
  <si>
    <t>Purpose To develop a deep learning algorithm that generates arterial spin labeling (ASL) perfusion images with higher accuracy and robustness by using a smaller number of subtraction images. Materials and Methods For ASL image generation from pair-wise subtraction, we used a convolutional neural network (CNN) as a deep learning algorithm. The ground truth perfusion images were generated by averaging six or seven pairwise subtraction images acquired with (a) conventional pseudocontinuous arterial spin labeling from seven healthy subjects or (b) Hadamard-encoded pseudocontinuous ASL from 114 patients with various diseases. CNNs were trained to generate perfusion images from a smaller number (two or three) of subtraction images and evaluated by means of cross-validation. CNNs from the patient data sets were also tested on 26 separate stroke data sets. CNNs were compared with the conventional averaging method in terms of mean square error and radiologic score by using a paired t test and/or Wilcoxon signed-rank test. Results Mean square errors were approximately 40% lower than those of the conventional averaging method for the cross-validation with the healthy subjects and patients and the separate test with the patients who had experienced a stroke (P &lt; .001). Region-of-interest analysis in stroke regions showed that cerebral blood flow maps from CNN (mean ± standard deviation, 19.7 mL per 100 g/min ± 9.7) had smaller mean square errors than those determined with the conventional averaging method (43.2 ± 29.8) (P &lt; .001). Radiologic scoring demonstrated that CNNs suppressed noise and motion and/or segmentation artifacts better than the conventional averaging method did (P &lt; .001). Conclusion CNNs provided superior perfusion image quality and more accurate perfusion measurement compared with those of the conventional averaging method for generation of ASL images from pair-wise subtraction images. (©) RSNA, 2017.</t>
  </si>
  <si>
    <t>K. H. Kim, S. H. Choi and S. H. Park</t>
  </si>
  <si>
    <t>Improving resolution of MR images with an adversarial network incorporating images with different contrast</t>
  </si>
  <si>
    <t>PURPOSE: The routine MRI scan protocol consists of multiple pulse sequences that acquire images of varying contrast. Since high frequency contents such as edges are not significantly affected by image contrast, down-sampled images in one contrast may be improved by high resolution (HR) images acquired in another contrast, reducing the total scan time. In this study, we propose a new deep learning framework that uses HR MR images in one contrast to generate HR MR images from highly down-sampled MR images in another contrast. MATERIALS AND METHODS: The proposed convolutional neural network (CNN) framework consists of two CNNs: (a) a reconstruction CNN for generating HR images from the down-sampled images using HR images acquired with a different MRI sequence and (b) a discriminator CNN for improving the perceptual quality of the generated HR images. The proposed method was evaluated using a public brain tumor database and in vivo datasets. The performance of the proposed method was assessed in tumor and no-tumor cases separately, with perceptual image quality being judged by a radiologist. To overcome the challenge of training the network with a small number of available in vivo datasets, the network was pretrained using the public database and then fine-tuned using the small number of in vivo datasets. The performance of the proposed method was also compared to that of several compressed sensing (CS) algorithms. RESULTS: Incorporating HR images of another contrast improved the quantitative assessments of the generated HR image in reference to ground truth. Also, incorporating a discriminator CNN yielded perceptually higher image quality. These results were verified in regions of normal tissue as well as tumors for various MRI sequences from pseudo k-space data generated from the public database. The combination of pretraining with the public database and fine-tuning with the small number of real k-space datasets enhanced the performance of CNNs in in vivo application compared to training CNNs from scratch. The proposed method outperformed the compressed sensing methods. CONCLUSIONS: The proposed method can be a good strategy for accelerating routine MRI scanning.</t>
  </si>
  <si>
    <t>K. H. Kim, W. J. Do and S. H. Park</t>
  </si>
  <si>
    <t>Deep Learning in Medical Imaging</t>
  </si>
  <si>
    <t>The artificial neural network (ANN), one of the machine learning (ML) algorithms, inspired by the human brain system, was developed by connecting layers with artificial neurons. However, due to the low computing power and insufficient learnable data, ANN has suffered from overfitting and vanishing gradient problems for training deep networks. The advancement of computing power with graphics processing units and the availability of large data acquisition, deep neural network outperforms human or other ML capabilities in computer vision and speech recognition tasks. These potentials are recently applied to healthcare problems, including computer-aided detection/diagnosis, disease prediction, image segmentation, image generation, etc. In this review article, we will explain the history, development, and applications in medical imaging.</t>
  </si>
  <si>
    <t>M. Kim, J. Yun, Y. Cho, K. Shin, R. Jang, H. J. Bae and N. Kim</t>
  </si>
  <si>
    <t>Neurospine</t>
  </si>
  <si>
    <t>Fine-Grain Segmentation of the Intervertebral Discs from MR Spine Images Using Deep Convolutional Neural Networks: BSU-Net</t>
  </si>
  <si>
    <t>We propose a new deep learning network capable of successfully segmenting intervertebral discs and their complex boundaries from magnetic resonance (MR) spine images. The existing U-network (U-net) is known to perform well in various segmentation tasks in medical images; however, its performance with respect to details of segmentation such as boundaries is limited by the structural limitations of a max-pooling layer that plays a key role in feature extraction process in the U-net. We designed a modified convolutional and pooling layer scheme and applied a cascaded learning method to overcome these structural limitations of the max-pooling layer of a conventional U-net. The proposed network achieved 3% higher Dice similarity coefficient (DSC) than conventional U-net for intervertebral disc segmentation (89.44% vs. 86.44%, respectively; p &lt; 0.001). For intervertebral disc boundary segmentation, the proposed network achieved 10.46% higher DSC than conventional U-net (54.62% vs. 44.16%, respectively; p &lt; 0.001).</t>
  </si>
  <si>
    <t>S. Kim, W. C. Bae, K. Masuda, C. B. Chung and D. Hwang</t>
  </si>
  <si>
    <t>Appl Sci (Basel)</t>
  </si>
  <si>
    <t>Performance of deep learning-based algorithm for detection of ileocolic intussusception on abdominal radiographs of young children</t>
  </si>
  <si>
    <t>The purpose of this study was to develop and test the performance of a deep learning-based algorithm to detect ileocolic intussusception using abdominal radiographs of young children. For the training set, children (≤5 years old) who underwent abdominal radiograph and ultrasonography (US) for suspicion of intussusception from March 2005 to December 2017 were retrospectively included and divided into control and intussusception groups according to the US results. A YOLOv3-based algorithm was developed to recognize the rectangular area of the right abdomen and to diagnose intussusception. For the validation set, children (≤5 years old) who underwent both radiograph and US from January to August 2018 with the suspicion of intussusception were included. Diagnostic performances of an algorithm and radiologists were compared. Total 681 children including 242 children in intussusception group were included in the training set and 75 children including 25 children in intussusception group were included in the validation set. The sensitivity of the algorithm was higher compared with that of the radiologists (0.76 vs. 0.46, p = 0.013), while specificity was not different between the algorithm and the radiologists (0.96 vs. 0.92, p = 0.32). Deep learning-based algorithm can aid screening of intussusception using abdominal radiography in young children.</t>
  </si>
  <si>
    <t>Deep transfer learning-based hologram classification for molecular diagnostics</t>
  </si>
  <si>
    <t>Lens-free digital in-line holography (LDIH) is a promising microscopic tool that overcomes several drawbacks (e.g., limited field of view) of traditional lens-based microcopy. However, extensive computation is required to reconstruct object images from the complex diffraction patterns produced by LDIH. This limits LDIH utility for point-of-care applications, particularly in resource limited settings. We describe a deep transfer learning (DTL) based approach to process LDIH images in the context of cellular analyses. Specifically, we captured holograms of cells labeled with molecular-specific microbeads and trained neural networks to classify these holograms without reconstruction. Using raw holograms as input, the trained networks were able to classify individual cells according to the number of cell-bound microbeads. The DTL-based approach including a VGG19 pretrained network showed robust performance with experimental data. Combined with the developed DTL approach, LDIH could be realized as a low-cost, portable tool for point-of-care diagnostics.</t>
  </si>
  <si>
    <t>S. J. Kim, C. Wang, B. Zhao, H. Im, J. Min, H. J. Choi, J. Tadros, N. R. Choi, C. M. Castro, R. Weissleder, H. Lee and K. Lee</t>
  </si>
  <si>
    <t>Visually interpretable deep network for diagnosis of breast masses on mammograms</t>
  </si>
  <si>
    <t>Recently, deep learning technology has achieved various successes in medical image analysis studies including computer-aided diagnosis (CADx). However, current CADx approaches based on deep learning have a limitation in interpreting diagnostic decisions. The limited interpretability is a major challenge for practical use of current deep learning approaches. In this paper, a novel visually interpretable deep network framework is proposed to provide diagnostic decisions with visual interpretation. The proposed method is motivated by the fact that the radiologists characterize breast masses according to the breast imaging reporting and data system (BIRADS). The proposed deep network framework consists of a BIRADS guided diagnosis network and a BIRADS critic network. A 2D map, named BIRADS guide map, is generated in the inference process of the deep network. The visual features extracted from the breast masses could be refined by the BIRADS guide map, which helps the deep network to focus on more informative areas. The BIRADS critic network makes the BIRADS guide map to be relevant to the characterization of masses in terms of BIRADS description. To verify the proposed method, comparative experiments have been conducted on public mammogram database. On the independent test set (170 malignant masses and 170 benign masses), the proposed method was found to have significantly higher performance compared to the deep network approach without using the BIRADS guide map (p  &lt;  0.05). Moreover, the visualization was conducted to show the location where the deep network exploited more information. This study demonstrated that the proposed visually interpretable CADx framework could be a promising approach for visually interpreting the diagnostic decision of the deep network.</t>
  </si>
  <si>
    <t>S. T. Kim, J. H. Lee, H. Lee and Y. M. Ro</t>
  </si>
  <si>
    <t>Machine learning for detecting moyamoya disease in plain skull radiography using a convolutional neural network</t>
  </si>
  <si>
    <t>BACKGROUND: Recently, innovative attempts have been made to identify moyamoya disease (MMD) by focusing on the morphological differences in the head of MMD patients. Following the recent revolution in the development of deep learning (DL) algorithms, we designed this study to determine whether DL can distinguish MMD in plain skull radiograph images. METHODS: Three hundred forty-five skull images were collected as an MMD-labeled dataset from patients aged 18 to 50 years with definite MMD. As a control-labeled data set, 408 skull images of trauma patients were selected by age and sex matching. Skull images were partitioned into training and test datasets at a 7:3 ratio using permutation. A total of six convolution layers were designed and trained. The accuracy and area under the receiver operating characteristic (AUROC) curve were evaluated as classifier performance. To identify areas of attention, gradient-weighted class activation mapping was applied. External validation was performed with a new dataset from another hospital. FINDINGS: For the institutional test set, the classifier predicted the true label with 84·1% accuracy. Sensitivity and specificity were both 0·84. AUROC was 0·91. MMD was predicted by attention to the lower face in most cases. Overall accuracy for external validation data set was 75·9%. INTERPRETATION: DL can distinguish MMD cases within specific ages from controls in plain skull radiograph images with considerable accuracy and AUROC. The viscerocranium may play a role in MMD-related skull features. FUND: This work was supported by grant no. 18-2018-029 from the Seoul National University Bundang Hospital Research Fund.</t>
  </si>
  <si>
    <t>T. Kim, J. Heo, D. K. Jang, L. Sunwoo, J. Kim, K. J. Lee, S. H. Kang, S. J. Park, O. K. Kwon and C. W. Oh</t>
  </si>
  <si>
    <t>Technical Note: Real-time 3D MRI in the presence of motion for MRI-guided radiotherapy: 3D Dynamic keyhole imaging with super-resolution</t>
  </si>
  <si>
    <t>PURPOSE: The purpose of this study was to present real-time three-dimensional (3D) magnetic resonance imaging (MRI) in the presence of motion for MRI-guided radiotherapy (MRgRT) using dynamic keyhole imaging for high-temporal acquisition and super-resolution generative (SRG) model for high-spatial reconstruction. METHOD: We propose a unique real-time 3D MRI technique by combining a data sharing technique (3D dynamic keyhole imaging) with a SRG model using cascaded deep learning technique. 3D dynamic keyhole imaging utilizes the data sharing mechanism by combining keyhole central k-space data acquired in real-time with high-spatial, high-temporal resolution prior peripheral k-space data at various motion positions prepared by the SRG model. The efficacy of the 3D dynamic keyhole imaging with super-resolution (SR_dKeyhole) was compared to the ground-truth super-resolution images with the original full k-space data. It was also compared with the zero-filling reconstruction (zero-filling), conventional keyhole reconstruction with low-spatial high-temporal prior data (LR_cKeyhole), and conventional keyhole reconstruction with super-resolution prior data (SR_cKeyhole). RESULTS: High-spatial, high-temporal resolution 3D MRI datasets (1.5 × 1.5 × 6 mm(3) ) were generated from low-spatial, high-temporal resolution 3D MRI datasets (6 × 6 × 6 mm(3) ) using the cascaded deep learning SRG framework (&lt;100 ms/volume). 3D dynamic keyhole imaging with the SRG model provided high-spatial, high-temporal resolution images (1.5 × 1.5 × 6 mm(3) , 455 ms) with the highest similarity to the ground-truth SR images without any noticeable artifacts. Structural similarity indices (SSIM) of the reconstructed 3D MRI to the original SR 3D MRI were 0.65, 0.66, 0.86, and 0.89 for zero-filling, LR_cKeyhole, SR_cKeyhole, and SR_dKeyhole, respectively (1 for identical image). In addition, average value of image relative error (IRE) of the reconstructed 3D MRI to the original SR 3D MRI were 0.169, 0.191, 0.079, and 0.067 for zero-filling, LR_cKeyhole, SR_cKeyhole, and SR_dKeyhole, respectively (0 for identical image). CONCLUSIONS: We demonstrated that high-spatial, high-temporal resolution 3D MRI was feasible by combing 3D dynamic keyhole imaging with a SRG model in terms of image quality and imaging time. The proposed technique can be utilized for real-time 3D MRgRT.</t>
  </si>
  <si>
    <t>10.1080/17476348.2020.1697853</t>
  </si>
  <si>
    <t>Management of incidental pulmonary nodules: current strategies and future perspectives</t>
  </si>
  <si>
    <t>Introduction: Detection and characterization of pulmonary nodules is an important issue, because the process is the first step in the management of lung cancers.Areas covered: Literature review was performed on May 15 2019 by using the PubMed, US National Library of Medicine National Institutes of Health, and the National Center for Biotechnology information. CT features helping identify the druggable mutations and predict the prognosis of malignant nodules were presented. Technical advancements in MRI and PET/CT were introduced for providing functional information about malignant nodules. Advances in various tissue biopsy techniques enabling molecular analysis and histologic diagnosis of indeterminate nodules were also presented. New techniques such as radiomics, deep learning (DL) technology, and artificial intelligence showing promise in differentiating between malignant and benign nodules were summarized. Recently, updated management guidelines for solid and subsolid nodules incidentally detected on CT were described. Risk stratification and prediction models for indeterminate nodules under active investigation were briefly summarized.Expert opinion: Advancement in CT knowledge has led to a better correlation between CT features and genomic alterations or tumor histology. Recent advances like PET/CT, MRI, radiomics, and DL-based approach have shown promising results in the characterization and prognostication of pulmonary nodules.</t>
  </si>
  <si>
    <t>Expert Rev Respir Med</t>
  </si>
  <si>
    <t>Ruling out rotator cuff tear in shoulder radiograph series using deep learning: redefining the role of conventional radiograph</t>
  </si>
  <si>
    <t>OBJECTIVE: To develop a deep learning algorithm that can rule out significant rotator cuff tear based on conventional shoulder radiographs in patients suspected of rotator cuff tear. METHODS: The algorithm was developed using 6793 shoulder radiograph series performed between January 2015 and June 2018, which were labeled based on ultrasound or MRI conducted within 90 days, and clinical information (age, sex, dominant side, history of trauma, degree of pain). The output was the probability of significant rotator cuff tear (supraspinatus/infraspinatus complex tear with &gt; 50% of tendon thickness). An operating point corresponding to sensitivity of 98% was set to achieve high negative predictive value (NPV) and low negative likelihood ratio (LR-). The performance of the algorithm was tested with 1095 radiograph series performed between July and December 2018. Subgroup analysis using Fisher's exact test was performed to identify factors (clinical information, radiography vendor, advanced imaging modality) associated with negative test results and NPV. RESULTS: Sensitivity, NPV, and LR- were 97.3%, 96.6%, and 0.06, respectively. The deep learning algorithm could rule out significant rotator cuff tear in about 30% of patients suspected of rotator cuff tear. The subgroup analysis showed that age &lt; 60 years (p &lt; 0.001), non-dominant side (p &lt; 0.001), absence of trauma history (p = 0.001), and ultrasound examination (p &lt; 0.001) were associated with negative test results. NPVs were higher in patients with age &lt; 60 years (p = 0.024) and examined with ultrasound (p &lt; 0.001). CONCLUSION: The deep learning algorithm could accurately rule out significant rotator cuff tear based on shoulder radiographs. KEY POINTS: • The deep learning algorithm can rule out significant rotator cuff tear with a negative likelihood ratio of 0.06 and a negative predictive value of 96.6%. • The deep learning algorithm can guide patients with significant rotator cuff tear to additional shoulder ultrasound or MRI with a sensitivity of 97.3%. • The deep learning algorithm could rule out significant rotator cuff tear in about 30% of patients with clinically suspected rotator cuff tear.</t>
  </si>
  <si>
    <t>Deep Learning in Diagnosis of Maxillary Sinusitis Using Conventional Radiography</t>
  </si>
  <si>
    <t>OBJECTIVES: The aim of this study was to compare the diagnostic performance of a deep learning algorithm with that of radiologists in diagnosing maxillary sinusitis on Waters' view radiographs. MATERIALS AND METHODS: Among 80,475 Waters' view radiographs, examined between May 2003 and February 2017, 9000 randomly selected cases were classified as normal or maxillary sinusitis based on radiographic findings and divided into training (n = 8000) and validation (n = 1000) sets to develop a deep learning algorithm. Two test sets composed of Waters' view radiographs with concurrent paranasal sinus computed tomography were labeled based on computed tomography findings: one with temporal separation (n = 140) and the other with geographic separation (n = 200) from the training set. Area under the receiver operating characteristics curve (AUC), sensitivity, and specificity of the algorithm and 5 radiologists were assessed. Interobserver agreement between the algorithm and majority decision of the radiologists was measured. The correlation coefficient between the predicted probability of the algorithm and average confidence level of the radiologists was determined. RESULTS: The AUCs of the deep learning algorithm were 0.93 and 0.88 for the temporal and geographic external test sets, respectively. The AUCs of the radiologists were 0.83 to 0.89 for the temporal and 0.75 to 0.84 for the geographic external test sets. The deep learning algorithm showed statistically significantly higher AUC than radiologist in both test sets. In terms of sensitivity and specificity, the deep learning algorithm was comparable to the radiologists. A strong interobserver agreement was noted between the algorithm and radiologists (Cohen κ coefficient, 0.82). The correlation coefficient between the predicted probability of the algorithm and confidence level of radiologists was 0.89 and 0.84 for the 2 test sets, respectively. CONCLUSIONS: The deep learning algorithm could diagnose maxillary sinusitis on Waters' view radiograph with superior AUC and comparable sensitivity and specificity to those of radiologists.</t>
  </si>
  <si>
    <t>Y. Kim, K. J. Lee, L. Sunwoo, D. Choi, C. M. Nam, J. Cho, J. Kim, Y. J. Bae, R. E. Yoo, B. S. Choi, C. Jung and J. H. Kim</t>
  </si>
  <si>
    <t>EVCMR: A tool for the quantitative evaluation and visualization of cardiac MRI data</t>
  </si>
  <si>
    <t>Quantitative evaluation of diseased myocardium in cardiac magnetic resonance imaging (MRI) plays an important role in the diagnosis and prognosis of cardiovascular disease. The development of a user interface with state-of-the-art techniques would be beneficial for the efficient post-processing and analysis of cardiac images. The aim of this study was to develop a custom user interface tool for the quantitative evaluation of the short-axis left ventricle (LV) and myocardium. Modules for cine, perfusion, late gadolinium enhancement (LGE), and T1 mapping data analyses were developed in Python, and a module for three-dimensional (3D) visualization was implemented using PyQtGraph library. The U-net segmentation and manual contour correction in the user interface were effective in generating reference myocardial segmentation masks, which helped obtain labeled data for deep learning model training. The proposed U-net segmentation resulted in a mean Dice score of 0.87 (±0.02) in cine diastolic myocardial segmentation. The LV mass measurement of the proposed method showed good agreement with that of manual segmentation (intraclass correlation coefficient = 0.97, mean difference and 95% Bland-Altman limits of agreement = 4.4 ± 12.2 g). C++ implementation of voxel-wise T1 mapping and its binding via pybind11 led to a significant computational gain in calculating the T1 maps. The 3D visualization enabled fast user interactions in rotating and zooming-in/out of the 3D myocardium and scar transmurality. The custom tool has the potential to provide a fast and comprehensive analysis of the LV and myocardium from multi-parametric MRI data in clinical settings.</t>
  </si>
  <si>
    <t>Evaluation of Diffusion Lesion Volume Measurements in Acute Ischemic Stroke Using Encoder-Decoder Convolutional Network</t>
  </si>
  <si>
    <t>Background and Purpose- Automatic segmentation of cerebral infarction on diffusion-weighted imaging (DWI) is typically performed based on a fixed apparent diffusion coefficient (ADC) threshold. Fixed ADC threshold methods may not be accurate because ADC values vary over time after stroke onset. Deep learning has the potential to improve the accuracy, provided that a large set of correctly annotated lesion data is used for training. The purpose of this study was to evaluate deep learning-based methods and compare them with commercial software in terms of lesion volume measurements. Methods- U-net, an encoder-decoder convolutional neural network, was adopted to train segmentation models. Two U-net models were developed: a U-net (DWI+ADC) model, trained on DWI and ADC data, and a U-net (DWI) model, trained on DWI data only. A total of 296 subjects were used for training and 134 for external validation. An expert neurologist manually delineated the stroke lesions on DWI images, which were used as the ground-truth reference. Lesion volume measurements from the U-net methods were compared against the expert's manual segmentation and Rapid Processing of Perfusion and Diffusion (RAPID; iSchemaView Inc) analysis. Results- In external validation, U-net (DWI+ADC) showed the highest intraclass correlation coefficient with manual segmentation (intraclass correlation coefficient, 1.0; 95% CI, 0.99-1.00) and sufficiently high correlation with the RAPID results (intraclass correlation coefficient, 0.99; 95% CI, 0.98-0.99). U-net (DWI+ADC) and manual segmentation resulted in the smallest 95% Bland-Altman limits of agreement (-5.31 to 4.93 mL) with a mean difference of -0.19 mL. Conclusions- The presented deep learning-based method is fully automatic and shows a high correlation of diffusion lesion volume measurements with manual segmentation and commercial software. The method has the potential to be used in patient selection for endovascular reperfusion therapy in the late time window of acute stroke.</t>
  </si>
  <si>
    <t>Effects of Hypertension, Diabetes, and Smoking on Age and Sex Prediction from Retinal Fundus Images</t>
  </si>
  <si>
    <t>Retinal fundus images are used to detect organ damage from vascular diseases (e.g. diabetes mellitus and hypertension) and screen ocular diseases. We aimed to assess convolutional neural network (CNN) models that predict age and sex from retinal fundus images in normal participants and in participants with underlying systemic vascular-altered status. In addition, we also tried to investigate clues regarding differences between normal ageing and vascular pathologic changes using the CNN models. In this study, we developed CNN age and sex prediction models using 219,302 fundus images from normal participants without hypertension, diabetes mellitus (DM), and any smoking history. The trained models were assessed in four test-sets with 24,366 images from normal participants, 40,659 images from hypertension participants, 14,189 images from DM participants, and 113,510 images from smokers. The CNN model accurately predicted age in normal participants; the correlation between predicted age and chronologic age was R(2) = 0.92, and the mean absolute error (MAE) was 3.06 years. MAEs in test-sets with hypertension (3.46 years), DM (3.55 years), and smoking (2.65 years) were similar to that of normal participants; however, R(2) values were relatively low (hypertension, R(2) = 0.74; DM, R(2) = 0.75; smoking, R(2) = 0.86). In subgroups with participants over 60 years, the MAEs increased to above 4.0 years and the accuracies declined for all test-sets. Fundus-predicted sex demonstrated acceptable accuracy (area under curve &gt; 0.96) in all test-sets. Retinal fundus images from participants with underlying vascular-altered conditions (hypertension, DM, or smoking) indicated similar MAEs and low coefficients of determination (R(2)) between the predicted age and chronologic age, thus suggesting that the ageing process and pathologic vascular changes exhibit different features. Our models demonstrate the most improved performance yet and provided clues to the relationship and difference between ageing and pathologic changes from underlying systemic vascular conditions. In the process of fundus change, systemic vascular diseases are thought to have a different effect from ageing. Research in context. Evidence before this study. The human retina and optic disc continuously change with ageing, and they share physiologic or pathologic characteristics with brain and systemic vascular status. As retinal fundus images provide high-resolution in-vivo images of retinal vessels and parenchyma without any invasive procedure, it has been used to screen ocular diseases and has attracted significant attention as a predictive biomarker for cerebral and systemic vascular diseases. Recently, deep neural networks have revolutionised the field of medical image analysis including retinal fundus images and shown reliable results in predicting age, sex, and presence of cardiovascular diseases. Added value of this study. This is the first study demonstrating how a convolutional neural network (CNN) trained using retinal fundus images from normal participants measures the age of participants with underlying vascular conditions such as hypertension, diabetes mellitus (DM), or history of smoking using a large database, SBRIA, which contains 412,026 retinal fundus images from 155,449 participants. Our results indicated that the model accurately predicted age in normal participants, while correlations (coefficient of determination, R(2)) in test-sets with hypertension, DM, and smoking were relatively low. Additionally, a subgroup analysis indicated that mean absolute errors (MAEs) increased and accuracies declined significantly in subgroups with participants over 60 years of age in both normal participants and participants with vascular-altered conditions. These results suggest that pathologic retinal vascular changes occurring in systemic vascular diseases are different form the changes in spontaneous ageing process, and the ageing process observed in retinal fundus images may saturate at age about 60 years. Implications of all available evidence. Based on this study and previous reports, the CNN could accurately and reliably predict age and sex using retinal fundus images. The fact that retinal changes caused by ageing and systemic vascular diseases occur differently motivates one to understand the retina deeper. Deep learning-based fundus image reading may be a more useful and beneficial tool for screening and diagnosing systemic and ocular diseases after further development.</t>
  </si>
  <si>
    <t>Optimal matrix size of chest radiographs for computer-aided detection on lung nodule or mass with deep learning</t>
  </si>
  <si>
    <t>OBJECTIVES: To investigate the optimal input matrix size for deep learning-based computer-aided detection (CAD) of nodules and masses on chest radiographs. METHODS: We retrospectively collected 2088 abnormal (nodule/mass) and 352 normal chest radiographs from two institutions. Three thoracic radiologists drew 2758 abnormalities regions. A total of 1736 abnormal chest radiographs were used for training and tuning convolutional neural networks (CNNs). The remaining 352 abnormal and 352 normal chest radiographs were used as a test set. Two CNNs (Mask R-CNN and RetinaNet) were selected to validate the effects of the squared different matrix size of chest radiograph (256, 448, 896, 1344, and 1792). For comparison, figure of merit (FOM) of jackknife free-response receiver operating curve and sensitivity were obtained. RESULTS: In Mask R-CNN, matrix size 896 and 1344 achieved significantly higher FOM (0.869 and 0.856, respectively) for detecting abnormalities than 256, 448, and 1792 (0.667-0.820) (p &lt; 0.05). In RetinaNet, matrix size 896 was significantly higher FOM (0.906) than others (0.329-0.832) (p &lt; 0.05). For sensitivity of abnormalities, there was a tendency to increase sensitivity when lesion size increases. For small nodules (&lt; 10 mm), the sensitivities were 0.418 and 0.409, whereas the sensitivities were 0.937 and 0.956 for masses. Matrix size 896 and 1344 in Mask R-CNN and matrix size 896 in RetinaNet showed significantly higher sensitivity than others (p &lt; 0.05). CONCLUSIONS: Matrix size 896 had the highest performance for various sizes of abnormalities using different CNNs. The optimal matrix size of chest radiograph could improve CAD performance without additional training data. KEY POINTS: • Input matrix size significantly affected the performance of a deep learning-based CAD for detection of nodules or masses on chest radiographs. • The matrix size 896 showed the best performance in two different CNN detection models. • The optimal matrix size of chest radiographs could enhance CAD performance without additional training data.</t>
  </si>
  <si>
    <t>Web-Based Spine Segmentation Using Deep Learning in Computed Tomography Images</t>
  </si>
  <si>
    <t>OBJECTIVES: Back pain, especially lower back pain, is experienced in 60% to 80% of adults at some points during their lives. Various studies have found that lower back pain is a very common problem among adolescents, and the highest incidence rates are for adults in their 30s. There has been a remarkable increase in using computer-aided diagnosis to assist doctors in the interpretation of medical images. Spine segmentation in computed tomography (CT) scans using algorithmic methods allows improved diagnosis of back pain. METHODS: In this study, we developed a web-based automatic spine segmentation method using deep learning and obtained the dice coefficient by comparison with the predicted image. Our method is based on convolutional neural networks for segmentation. More specifically, we train a hierarchical data format file using U-Net architecture and then insert the test data label to perform segmentation. Thus, we obtained more specific and detailed results. A total of 344 CT images were used in the experiment. Of these, 330 were used for learning, and the remaining 14 for testing. RESULTS: Our method achieved an average dice coefficient of 90.4%, a precision of 96.81%, and an F1-score of 91.64%. CONCLUSIONS: The proposed web-based deep learning approach can be very practical and accurate for spine segmentation as a diagnostic method.</t>
  </si>
  <si>
    <t>Healthc Inform Res</t>
  </si>
  <si>
    <t>Prospective, comparative evaluation of a deep neural network and dermoscopy in the diagnosis of onychomycosis</t>
  </si>
  <si>
    <t>BACKGROUND: Onychomycosis is the most common nail disorder and is associated with diagnostic challenges. Emerging non-invasive, real-time techniques such as dermoscopy and deep convolutional neural networks have been proposed for the diagnosis of this condition. However, comparative studies of the two tools in the diagnosis of onychomycosis have not previously been conducted. OBJECTIVES: This study evaluated the diagnostic abilities of a deep neural network (http://nail.modelderm.com) and dermoscopic examination in patients with onychomycosis. METHODS: A prospective observational study was performed in patients presenting with dystrophic features in the toenails. Clinical photographs were taken by research assistants, and the ground truth was determined either by direct microscopy using the potassium hydroxide test or by fungal culture. Five board-certified dermatologists determined a diagnosis of onychomycosis using the clinical photographs. The diagnosis was also made using the algorithm and dermoscopic examination. RESULTS: A total of 90 patients (mean age, 55.3; male, 43.3%) assessed between September 2018 and July 2019 were included in the analysis. The detection of onychomycosis using the algorithm (AUC, 0.751; 95% CI, 0.646-0.856) and that by dermoscopy (AUC, 0.755; 95% CI, 0.654-0.855) were seen to be comparable (Delong's test; P = 0.952). The sensitivity and specificity of the algorithm at the operating point were 70.2% and 72.7%, respectively. The sensitivity and specificity of diagnosis by the five dermatologists were 73.0% and 49.7%, respectively. The Youden index of the algorithm (0.429) was also comparable to that of the dermatologists' diagnosis (0.230±0.176; Wilcoxon rank-sum test; P = 0.667). CONCLUSIONS: As a standalone method, the algorithm analyzed photographs taken by non-physician and showed comparable accuracy for the diagnosis of onychomycosis to that made by experienced dermatologists and by dermoscopic examination. Large sample size and world-wide, multicentered studies should be investigated to prove the performance of the algorithm.</t>
  </si>
  <si>
    <t>The Effect of CT Scan Parameters on the Measurement of CT Radiomic Features: A Lung Nodule Phantom Study</t>
  </si>
  <si>
    <t>The purpose of this study was to explore the effects of CT slice thickness, reconstruction algorithm, and radiation dose on quantification of CT features to characterize lung nodules using a chest phantom. Spherical lung nodule phantoms of known densities (-630 and + 100 HU) were inserted into an anthropomorphic thorax phantom. CT scan was performed ten times with relocations. CT data were reconstructed using 12 different imaging settings; three different slice thicknesses of 1.25, 2.5, and 5.0 mm, two reconstruction kernels of sharp and standard, and two radiation dose of 30 mAs and 12 mAs. Lesions were segmented using a semiautomated method. Twenty representative CT quantitative features representing CT density and texture were compared using multiple regression analysis. In 100 HU nodule phantoms, 18 and 19 among 20 computer features showed significant difference between different mAs and reconstruction algorithms, respectively (p ≤ 0.05). 20, 19, and 19 computer features showed difference between slice thickness of 5.0 vs 1.25, 5.0 vs 2.5, and 2.5 vs 1.25 mm, respectively (p ≤ 0.05). In -630 HU nodule phantoms, 18 and 19 showed significant difference between different mAs and reconstruction algorithms, respectively (p ≤ 0.05). 18, 11, and 17 computer features showed difference between slice thickness of 5.0 vs 1.25, 5.0 vs 2.5, and 2.5 vs 1.25 mm, respectively (p ≤ 0.05). When comparing the absolute value of regression coefficient, the effect of slice thickness in 100 HU nodule and reconstruction algorithm in -630 HU nodule was greater than the effect of remaining scan parameters. The slice thickness, mAs, and reconstruction algorithm had a significant impact on the quantitative image features. In clinical studies involving deep learning or radiomics, it should be noted that differences in values can occur when using computer features obtained from different CT scan parameters in combination. Therefore, when interpreting the statistical analysis results, it is necessary to reflect the difference in the computer features depending on the scan parameters.</t>
  </si>
  <si>
    <t>Artificial neural networks and pathologists recognize basal cell carcinomas based on different histological patterns</t>
  </si>
  <si>
    <t>Recent advances in artificial intelligence, particularly in the field of deep learning, have enabled researchers to create compelling algorithms for medical image analysis. Histological slides of basal cell carcinomas (BCCs), the most frequent skin tumor, are accessed by pathologists on a daily basis and are therefore well suited for automated prescreening by neural networks for the identification of cancerous regions and swift tumor classification.In this proof-of-concept study, we implemented an accurate and intuitively interpretable artificial neural network (ANN) for the detection of BCCs in histological whole-slide images (WSIs). Furthermore, we identified and compared differences in the diagnostic histological features and recognition patterns relevant for machine learning algorithms vs. expert pathologists.An attention-ANN was trained with WSIs of BCCs to identify tumor regions (n = 820). The diagnosis-relevant regions used by the ANN were compared to regions of interest for pathologists, detected by eye-tracking techniques.This ANN accurately identified BCC tumor regions on images of histologic slides (area under the ROC curve: 0.993, 95% CI: 0.990-0.995; sensitivity: 0.965, 95% CI: 0.951-0.979; specificity: 0.910, 95% CI: 0.859-0.960). The ANN implicitly calculated a weight matrix, indicating the regions of a histological image that are important for the prediction of the network. Interestingly, compared to pathologists' eye-tracking results, machine learning algorithms rely on significantly different recognition patterns for tumor identification (p &lt; 10(-4)).To conclude, we found on the example of BCC WSIs, that histopathological images can be efficiently and interpretably analyzed by state-of-the-art machine learning techniques. Neural networks and machine learning algorithms can potentially enhance diagnostic precision in digital pathology and uncover hitherto unused classification patterns.</t>
  </si>
  <si>
    <t>Mod Pathol</t>
  </si>
  <si>
    <t>A novel automated image analysis system using deep convolutional neural networks can assist to differentiate MDS and AA</t>
  </si>
  <si>
    <t>Detection of dysmorphic cells in peripheral blood (PB) smears is essential in diagnostic screening of hematological diseases. Myelodysplastic syndromes (MDS) are hematopoietic neoplasms characterized by dysplastic and ineffective hematopoiesis, which diagnosis is mainly based on morphological findings of PB and bone marrow. We developed an automated diagnostic support system of MDS by combining an automated blood cell image-recognition system using a deep learning system (DLS) powered by convolutional neural networks (CNNs) with a decision-making system using extreme gradient boosting (XGBoost). The DLS of blood cell image-recognition has been trained using datasets consisting of 695,030 blood cell images taken from 3,261 PB smears including hematopoietic malignancies. The DLS simultaneously classified 17 blood cell types and 97 morphological features of such cells with &gt;93.5% sensitivity and &gt;96.0% specificity. The automated MDS diagnostic system successfully differentiated MDS from aplastic anemia (AA) with high accuracy; 96.2% of sensitivity and 100% of specificity (AUC 0.990). This is the first CNN-based automated initial diagnostic system for MDS using PB smears, which is applicable to develop new automated diagnostic systems for various hematological disorders.</t>
  </si>
  <si>
    <t>Convolutional Neural Networks Promising in Lung Cancer T-Parameter Assessment on Baseline FDG-PET/CT</t>
  </si>
  <si>
    <t>AIM: To develop an algorithm, based on convolutional neural network (CNN), for the classification of lung cancer lesions as T1-T2 or T3-T4 on staging fluorodeoxyglucose positron emission tomography (FDG-PET)/CT images. METHODS: We retrospectively selected a cohort of 472 patients (divided in the training, validation, and test sets) submitted to staging FDG-PET/CT within 60 days before biopsy or surgery. TNM system seventh edition was used as reference. Postprocessing was performed to generate an adequate dataset. The input of CNNs was a bounding box on both PET and CT images, cropped around the lesion centre. The results were classified as Correct (concordance between reference and prediction) and Incorrect (discordance between reference and prediction). Accuracy (Correct/[Correct + Incorrect]), recall (Correctly predicted T3-T4/[all T3-T4]), and specificity (Correctly predicted T1-T2/[all T1-T2]), as commonly defined in deep learning models, were used to evaluate CNN performance. The area under the curve (AUC) was calculated for the final model. RESULTS: The algorithm, composed of two networks (a feature extractor and a classifier), developed and tested achieved an accuracy, recall, specificity, and AUC of 87%, 69%, 69%, and 0.83; 86%, 77%, 70%, and 0.73; and 90%, 47%, 67%, and 0.68 in the training, validation, and test sets, respectively. CONCLUSION: We obtained proof of concept that CNNs can be used as a tool to assist in the staging of patients affected by lung cancer.</t>
  </si>
  <si>
    <t>M. Kirienko, M. Sollini, G. Silvestri, S. Mognetti, E. Voulaz, L. Antunovic, A. Rossi, L. Antiga and A. Chiti</t>
  </si>
  <si>
    <t>A probabilistic atlas of the human inner ear's bony labyrinth enables reliable atlas-based segmentation of the total fluid space</t>
  </si>
  <si>
    <t>Intravenous contrast agent-enhanced magnetic resonance imaging of the endolymphatic space (ELS) of the inner ear permits direct, in-vivo, non-invasive visualization of labyrinthine structures and thus verification of endolymphatic hydrops (ELH). However, current volumetric assessment approaches lack normalization. The aim of this study was to develop a probabilistic atlas of the inner ear's bony labyrinth as a first step towards an automated and reproducible volume-based quantification of the ELS. The study included three different datasets: a source dataset (D1) to build the probabilistic atlas and two testing sets (D2, D3). D1 included 24 right-handed patients (12 females; mean age 51.5 ± 3.9 years) and D2 5 patients (3 female; mean age 48.8 ± 5.01 years) with vestibular migraine without ELH or any measurable vestibular deficits. D3 consisted of five patients (one female; mean age 46 ± 5.2 years) suffering from unilateral Menière's disease and ELH. Data processing comprised three steps: preprocessing using an affine and deformable fusion registration pipeline, computation of an atlas for the left and right inner ear using a label-assisted approach, and validation of the atlas based on localizing and segmenting previously unseen ears. The three-dimensional probabilistic atlas of the inner ear's bony labyrinth consisted of the internal acoustic meatus and inner ears (including cochlea, otoliths, and semicircular canals) for both sides separately. The analyses showed a high level of agreement between the atlas-based segmentation and the manual gold standard with an overlap of 89% for the right ear and 86% for the left ear (measured by dice scores). This probabilistic in vivo atlas of the human inner ear's bony labyrinth and thus of the inner ear's total fluid space for both ears represents a necessary step towards a normalized, easily reproducible and reliable volumetric quantification of the perilymphatic and endolymphatic space in view of MR volumetric assessment of ELH. The proposed atlas lays the groundwork for state-of-the-art approaches (e.g., deep learning) and will be provided to the scientific community.</t>
  </si>
  <si>
    <t>J Neurol</t>
  </si>
  <si>
    <t>Deep learning to differentiate parkinsonian disorders separately using single midsagittal MR imaging: a proof of concept study</t>
  </si>
  <si>
    <t>OBJECTIVES: To evaluate the diagnostic performance of deep learning with the convolutional neural networks (CNN) to distinguish each representative parkinsonian disorder using MRI. METHODS: This clinical retrospective study was approved by the institutional review board, and the requirement for written informed consent was waived. Midsagittal T1-weighted MRI of a total of 419 subjects (125 Parkinson's disease (PD), 98 progressive supranuclear palsy (PSP), and 54 multiple system atrophy with predominant parkinsonian features (MSA-P) patients, and 142 normal subjects) between January 2012 and April 2016 was retrospectively assessed. To deal with the overfitting problem of deep learning, all subjects were randomly divided into training (85%) and validation (15%) data sets with the same proportions of each disease and normal subjects. We trained the CNN to distinguish each parkinsonian disorder using single midsagittal T1-weighted MRI with a training group to minimize the differences between predicted output probabilities and the clinical diagnoses; then, we adopted the trained CNN to the validation data set. Subjects were classified into each parkinsonian disorder or normal condition according to the final diagnosis of the trained CNN, and we assessed the diagnostic performance of the CNN. RESULTS: The accuracies of diagnostic performances regarding PD, PSP, MSA-P, and normal subjects were 96.8, 93.7, 95.2, and 98.4%, respectively. The areas under the receiver operating characteristic curves for distinguishing each condition from others (PD, PSP, MSA-P, and normal subjects) were 0.995, 0.982, 0.990, and 1.000, respectively. CONCLUSION: Deep learning with CNN enables highly accurate discrimination of parkinsonian disorders using MRI. KEY POINTS: • Deep learning convolution neural network achieves differential diagnosis of PD, PSP, MSA-P, and normal controls with an accuracy of 96.8, 93.7, 95.2, and 98.4%, respectively. • The areas under the curves for distinguishing between PD, PSP, MSA-P, and normality were 0.995, 0.982, 0.990, and 1.000, respectively. • CNN may learn important features that humans not notice, and has a possibility to perform previously impossible diagnoses.</t>
  </si>
  <si>
    <t>Preliminary study on the application of deep learning system to diagnosis of Sjögren's syndrome on CT images</t>
  </si>
  <si>
    <t>OBJECTIVES: This study estimated the diagnostic performance of a deep learning system for detection of Sjögren's syndrome (SjS) on CT, and compared it with the performance of radiologists. METHODS: CT images were assessed from 25 patients confirmed to have SjS based on the both Japanese criteria and American-European Consensus Group criteria and 25 control subjects with no parotid gland abnormalities who were examined for other diseases. 10 CT slices were obtained for each patient. From among the total of 500 CT images, 400 images (200 from 20 SjS patients and 200 from 20 control subjects) were employed as the training data set and 100 images (50 from 5 SjS patients and 50 from 5 control subjects) were used as the test data set. The performance of a deep learning system for diagnosing SjS from the CT images was compared with the diagnoses made by six radiologists (three experienced and three inexperienced radiologists). RESULTS: The accuracy, sensitivity, and specificity of the deep learning system were 96.0%, 100% and 92.0%, respectively. The corresponding values of experienced radiologists were 98.3%, 99.3% and 97.3% being equivalent to the deep learning, while those of inexperienced radiologists were 83.5%, 77.9% and 89.2%. The area under the curve of inexperienced radiologists were significantly different from those of the deep learning system and the experienced radiologists. CONCLUSIONS: The deep learning system showed a high diagnostic performance for SjS, suggesting that it could possibly be used for diagnostic support when interpreting CT images.</t>
  </si>
  <si>
    <t>Y. Kise, H. Ikeda, T. Fujii, M. Fukuda, Y. Ariji, H. Fujita, A. Katsumata and E. Ariji</t>
  </si>
  <si>
    <t>Usefulness of a deep learning system for diagnosing Sjögren's syndrome using ultrasonography images</t>
  </si>
  <si>
    <t>OBJECTIVES: We evaluated the diagnostic performance of a deep learning system for the detection of Sjögren's syndrome (SjS) in ultrasonography (US) images, and compared it with the performance of inexperienced radiologists. METHODS: 100 patients with a confirmed diagnosis of SjS according to both the Japanese criteria and American-European Consensus Group criteria and 100 non-SjS patients that had a dry mouth and suspected SjS but were definitively diagnosed as non-SjS were enrolled in this study. All the patients underwent US scans of both the parotid glands (PG) and submandibular glands (SMG). The training group consisted of 80 SjS patients and 80 non-SjS patients, whereas the test group consisted of 20 SjS patients and 20 non-SjS patients for deep learning analysis. The performance of the deep learning system for diagnosing SjS from the US images was compared with the diagnoses made by three inexperienced radiologists. RESULTS: The accuracy, sensitivity and specificity of the deep learning system for the PG were 89.5, 90.0 and 89.0%, respectively, and those for the inexperienced radiologists were 76.7, 67.0 and 86.3%, respectively. The deep learning system results for the SMG were 84.0, 81.0 and 87.0%, respectively, and those for the inexperienced radiologists were 72.0, 78.0 and 66.0%, respectively. The AUC for the inexperienced radiologists was significantly different from that of the deep learning system. CONCLUSIONS: The deep learning system had a high diagnostic ability for SjS. This suggests that deep learning could be used for diagnostic support when interpreting US images.</t>
  </si>
  <si>
    <t>[Development of CT Pelvimetry Using Deep Learning Based Reconstruction]</t>
  </si>
  <si>
    <t>PURPOSE: X-ray pelvimetry is typically performed for the diagnosis of the cephalopelvic disproportion (CPD). The purpose of this study was to assess the utility of new computed tomography (CT) reconstruction deep learning based reconstruction (DLR)  in ultra-low dose CT pelvimetry. METHOD: CT pelvimetry was performed 320-row CT. All CT images were reconstructed with and without DLR and transferred for workstation to processing martius and guthmann view. Radiologist and obstetrician-gynecologist subjectively ranked overall image quality of each CT image from the best to the worst. Exposure dose of the CT pelvimetry used a following calculated value, displayed CT dose index (CTDI) (vol) multiplied by measured value using the thimble chamber and pelvic phantom, and of the X-ray pelvimetry used Japan-Diagnositic Refernce Levels 2015 as a reference, were compared. RESULT: 3D images obtained from CT pelvimetry with DLR showed accurate biparietal diameter and obstetric conjugate as compared to without DLR. Radiation dose of CT pelvimetry is 0.39 mGy, of X-ray pelvimetry is 1.18 mGy, respectively. Conculusion: Although the visualizing high contrast object, such as bone morphology, is likely to reduce exposure dose in CT examination generally, DLR enable to further dose reduction to keep image quality. 3D image processing from CT pelvimetry solves the problem of expansion rate in X-P pelvimetry and provide accurate measurements. Furthermore, CT pelvimetry can undergo more comfortable position for Pregnant Woman in Labor.</t>
  </si>
  <si>
    <t>Ankle Fracture Detection Utilizing a Convolutional Neural Network Ensemble Implemented with a Small Sample, De Novo Training, and Multiview Incorporation</t>
  </si>
  <si>
    <t>To determine whether we could train convolutional neural network (CNN) models de novo with a small dataset, a total of 596 normal and abnormal ankle cases were collected and processed. Single- and multiview models were created to determine the effect of multiple views. Data augmentation was performed during training. The Inception V3, Resnet, and Xception convolutional neural networks were constructed utilizing the Python programming language with Tensorflow as the framework. Training was performed using single radiographic views. Measured output metrics were accuracy, positive predictive value (PPV), negative predictive value (NPV), sensitivity, and specificity. Model outputs were evaluated using both one and three radiographic views. Ensembles were created from a combination of CNNs after training. A voting method was implemented to consolidate the output from the three views and model ensemble. For single radiographic views, the ensemble of all 5 models produced the best accuracy at 76%. When all three views for a single case were utilized, the ensemble of all models resulted in the best output metrics with an accuracy of 81%. Despite our small dataset size, by utilizing an ensemble of models and 3 views for each case, we achieved an accuracy of 81%, which was in line with the accuracy of other models using a much higher number of cases with pre-trained models and models which implemented manual feature extraction.</t>
  </si>
  <si>
    <t>Retraining an open-source pneumothorax detecting machine learning algorithm for improved performance to medical images</t>
  </si>
  <si>
    <t>PURPOSE: To validate a machine learning model trained on an open source dataset and subsequently optimize it to chest X-rays with large pneumothoraces from our institution. METHODS: The study was retrospective in nature. The open-source chest X-ray (CXR8) dataset was dichotomized to cases with pneumothorax (PTX) and all other cases (non-PTX), resulting in 41,946 non-PTX and 4696 PTX cases for the training set and 11,120 non-PTX and 541 PTX cases for the validation set. A limited supervision machine learning model was constructed to incorporate both localized and unlocalized pathology. Cases were then queried from our health system from 2013 to 2017. A total of 159 pneumothorax and 682 non-pneumothorax cases were available for the training set. For the validation set, 48 pneumothorax and 1287 non-pneumothorax cases were available. The model was trained, a receiver operator curve (ROC) was created, and output metrics, including area under the curve (AUC), sensitivity and specificity were calculated. RESULTS: Initial training of the model using the CXR8 dataset resulted in an AUC of 0.90 for pneumothorax detection. Naively inferring our own validation dataset on the CXR8 trained model output an AUC of 0.59. After re-training the model with our own training dataset, the validation dataset inference output an AUC of 0.90. CONCLUSION: Our study showed that even though you may get great results on open-source datasets, those models may not translate well to real world data without an intervening retraining process.</t>
  </si>
  <si>
    <t>Clin Imaging</t>
  </si>
  <si>
    <t>VesselNet: A deep convolutional neural network with multi pathways for robust hepatic vessel segmentation</t>
  </si>
  <si>
    <t>Extraction or segmentation of organ vessels is an important task for surgical planning and computer-aided diagnoses. This is a challenging task due to the extremely small size of the vessel structure, low SNR, and varying contrast in medical image data. We propose an automatic and robust vessel segmentation approach that uses a multi-pathways deep learning network. The proposed method trains a deep network for binary classification based on extracted training patches on three planes (sagittal, coronal, and transverse planes) centered on the focused voxels. Thus, it is expected to provide a more reliable recognition performance by exploring the 3D structure. Furthermore, due to the large variety of medical data device values, we transform a raw medical image into a probability map as input to the network. Then, we extract vessels based on the proposed network, which is robust and sufficiently general to handle images with different contrast obtained by various imaging systems. The proposed deep network provides a vessel probability map for voxels in the target medical data, which is used in a post-process to generate the final segmentation result. To validate the effectiveness and efficiency of the proposed method, we conducted experiments with 20 data (public datasets) with different contrast levels and different device value ranges. The results demonstrate impressive performance in comparison with the state-of-the-art methods. We propose the first 3D liver vessel segmentation network using deep learning. Using a multi-pathways network, segmentation results can be improved, and the probability map as input is robust against intensity changes in clinical data.</t>
  </si>
  <si>
    <t>T. Kitrungrotsakul, X. H. Han, Y. Iwamoto, L. Lin, A. H. Foruzan, W. Xiong and Y. W. Chen</t>
  </si>
  <si>
    <t>Patch-based generative adversarial neural network models for head and neck MR-only planning</t>
  </si>
  <si>
    <t>PURPOSE: To evaluate pix2pix and CycleGAN and to assess the effects of multiple combination strategies on accuracy for patch-based synthetic computed tomography (sCT) generation for magnetic resonance (MR)-only treatment planning in head and neck (HN) cancer patients. MATERIALS AND METHODS: Twenty-three deformably registered pairs of CT and mDixon FFE MR datasets from HN cancer patients treated at our institution were retrospectively analyzed to evaluate patch-based sCT accuracy via the pix2pix and CycleGAN models. To test effects of overlapping sCT patches on estimations, we (a) trained the models for three orthogonal views to observe the effects of spatial context, (b) we increased effective set size by using per-epoch data augmentation, and (c) we evaluated the performance of three different approaches for combining overlapping Hounsfield unit (HU) estimations for varied patch overlap parameters. Twelve of twenty-three cases corresponded to a curated dataset previously used for atlas-based sCT generation and were used for training with leave-two-out cross-validation. Eight cases were used for independent testing and included previously unseen image features such as fused vertebrae, a small protruding bone, and tumors large enough to deform normal body contours. We analyzed the impact of MR image preprocessing including histogram standardization and intensity clipping on sCT generation accuracy. Effects of mDixon contrast (in-phase vs water) differences were tested with three additional cases. The sCT generation accuracy was evaluated using mean absolute error (MAE) and mean error (ME) in HU between the plan CT and sCT images. Dosimetric accuracy was evaluated for all clinically relevant structures in the independent testing set and digitally reconstructed radiographs (DRRs) were evaluated with respect to the plan CT images. RESULTS: The cross-validated MAEs for the whole-HN region using pix2pix and CycleGAN were 66.9 ± 7.3 vs 82.3 ± 6.4 HU, respectively. On the independent testing set with additional artifacts and previously unseen image features, whole-HN region MAEs were 94.0 ± 10.6 and 102.9 ± 14.7 HU for pix2pix and CycleGAN, respectively. For patients with different tissue contrast (water mDixon MR images), the MAEs increased to 122.1 ± 6.3 and 132.8 ± 5.5 HU for pix2pix and CycleGAN, respectively. Our results suggest that combining overlapping sCT estimations at each voxel reduced both MAE and ME compared to single-view non-overlapping patch results. Absolute percent mean/max dose errors were 2% or less for the PTV and all clinically relevant structures in our independent testing set, including structures with image artifacts. Quantitative DRR comparison between planning CTs and sCTs showed agreement of bony region positions to &lt;1 mm. CONCLUSIONS: The dosimetric and MAE based accuracy, along with the similarity between DRRs from sCTs, indicate that pix2pix and CycleGAN are promising methods for MR-only treatment planning for HN cancer. Our methods investigated for overlapping patch-based HU estimations also indicate that combining transformation estimations of overlapping patches is a potential method to reduce generation errors while also providing a tool to potentially estimate the MR to CT aleatoric model transformation uncertainty. However, because of small patient sample sizes, further studies are required.</t>
  </si>
  <si>
    <t>Can Virtual Contrast Enhancement in Brain MRI Replace Gadolinium?: A Feasibility Study</t>
  </si>
  <si>
    <t>OBJECTIVES: Gadolinium-based contrast agents (GBCAs) have become an integral part in daily clinical decision making in the last 3 decades. However, there is a broad consensus that GBCAs should be exclusively used if no contrast-free magnetic resonance imaging (MRI) technique is available to reduce the amount of applied GBCAs in patients. In the current study, we investigate the possibility of predicting contrast enhancement from noncontrast multiparametric brain MRI scans using a deep-learning (DL) architecture. MATERIALS AND METHODS: A Bayesian DL architecture for the prediction of virtual contrast enhancement was developed using 10-channel multiparametric MRI data acquired before GBCA application. The model was quantitatively and qualitatively evaluated on 116 data sets from glioma patients and healthy subjects by comparing the virtual contrast enhancement maps to the ground truth contrast-enhanced T1-weighted imaging. Subjects were split in 3 different groups: enhancing tumors (n = 47), nonenhancing tumors (n = 39), and patients without pathologic changes (n = 30). The tumor regions were segmented for a detailed analysis of subregions. The influence of the different MRI sequences was determined. RESULTS: Quantitative results of the virtual contrast enhancement yielded a sensitivity of 91.8% and a specificity of 91.2%. T2-weighted imaging, followed by diffusion-weighted imaging, was the most influential sequence for the prediction of virtual contrast enhancement. Analysis of the whole brain showed a mean area under the curve of 0.969 ± 0.019, a peak signal-to-noise ratio of 22.967 ± 1.162 dB, and a structural similarity index of 0.872 ± 0.031. Enhancing and nonenhancing tumor subregions performed worse (except for the peak signal-to-noise ratio of the nonenhancing tumors). The qualitative evaluation by 2 raters using a 4-point Likert scale showed good to excellent (3-4) results for 91.5% of the enhancing and 92.3% of the nonenhancing gliomas. However, despite the good scores and ratings, there were visual deviations between the virtual contrast maps and the ground truth, including a more blurry, less nodular-like ring enhancement, few low-contrast false-positive enhancements of nonenhancing gliomas, and a tendency to omit smaller vessels. These features were also exploited by 2 trained radiologists when performing a Turing test, allowing them to discriminate between real and virtual contrast-enhanced images in 80% and 90% of the cases, respectively. CONCLUSIONS: The introduced model for virtual gadolinium enhancement demonstrates a very good quantitative and qualitative performance. Future systematic studies in larger patient collectives with varying neurological disorders need to evaluate if the introduced virtual contrast enhancement might reduce GBCA exposure in clinical practice.</t>
  </si>
  <si>
    <t>[Artificial intelligence and machine learning in oncologic imaging]</t>
  </si>
  <si>
    <t>Machine learning (ML) is entering many areas of society, including medicine. This transformation has the potential to drastically change medicine and medical practice. These aspects become particularly clear when considering the different stages of oncologic patient care and the involved interdisciplinary and intermodality interactions. In recent publications, computers-in collaboration with humans or alone-have been outperforming humans regarding tumor identification, tumor classification, estimating prognoses, and evaluation of treatments. In addition, ML algorithms, e.g., artificial neural networks (ANNs), which constitute the drivers behind many of the latest achievements in ML, can deliver this level of performance in a reproducible, fast, and inexpensive manner. In the future, artificial intelligence applications will become an integral part of the medical profession and offer advantages for oncologic diagnostics and treatment.</t>
  </si>
  <si>
    <t>Deep MRI brain extraction: A 3D convolutional neural network for skull stripping</t>
  </si>
  <si>
    <t>Brain extraction from magnetic resonance imaging (MRI) is crucial for many neuroimaging workflows. Current methods demonstrate good results on non-enhanced T1-weighted images, but struggle when confronted with other modalities and pathologically altered tissue. In this paper we present a 3D convolutional deep learning architecture to address these shortcomings. In contrast to existing methods, we are not limited to non-enhanced T1w images. When trained appropriately, our approach handles an arbitrary number of modalities including contrast-enhanced scans. Its applicability to MRI data, comprising four channels: non-enhanced and contrast-enhanced T1w, T2w and FLAIR contrasts, is demonstrated on a challenging clinical data set containing brain tumors (N=53), where our approach significantly outperforms six commonly used tools with a mean Dice score of 95.19. Further, the proposed method at least matches state-of-the-art performance as demonstrated on three publicly available data sets: IBSR, LPBA40 and OASIS, totaling N=135 volumes. For the IBSR (96.32) and LPBA40 (96.96) data set the convolutional neuronal network (CNN) obtains the highest average Dice scores, albeit not being significantly different from the second best performing method. For the OASIS data the second best Dice (95.02) results are achieved, with no statistical difference in comparison to the best performing tool. For all data sets the highest average specificity measures are evaluated, whereas the sensitivity displays about average results. Adjusting the cut-off threshold for generating the binary masks from the CNN's probability output can be used to increase the sensitivity of the method. Of course, this comes at the cost of a decreased specificity and has to be decided application specific. Using an optimized GPU implementation predictions can be achieved in less than one minute. The proposed method may prove useful for large-scale studies and clinical trials.</t>
  </si>
  <si>
    <t>J. Kleesiek, G. Urban, A. Hubert, D. Schwarz, K. Maier-Hein, M. Bendszus and A. Biller</t>
  </si>
  <si>
    <t>Automatic bone segmentation in whole-body CT images</t>
  </si>
  <si>
    <t>PURPOSE: Many diagnostic or treatment planning applications critically depend on the successful localization of bony structures in CT images. Manual or semiautomatic bone segmentation is tedious, however, and often not practical in clinical routine. In this paper, we present a reliable and fully automatic bone segmentation in whole-body CT scans of patients suffering from multiple myeloma. METHODS: We address this problem by using convolutional neural networks with an architecture inspired by the U-Net [17]. In this publication, we compared three training procedures: (1) training from 2D axial slices, (2) a pseudo-3D approach including axial, sagittal and coronal slices and (3) an approach where the network is pre-trained in an unsupervised manner. RESULTS: We evaluated the method on an in-house dataset of 18 whole-body CT scans consisting of 6800 axial slices, achieving a dice score of 0.95 and an intersection over union (IOU) of 0.91. Furthermore, we evaluated our method on the dataset used by Peréz-Carrasco et al. (Comput Methods Progr Biomed 156:85-95, 2018). The data and the ground truth have been made publicly available. The proposed method outperformed the other methods, obtaining a dice score of 0.92 and an IOU of 0.85. CONCLUSION: These promising results could facilitate the evaluation of bone density and the localization of focal lesions in the future, with a potential impact on both disease staging and treatment planning.</t>
  </si>
  <si>
    <t>A. Klein, J. Warszawski, J. Hillengaß and K. H. Maier-Hein</t>
  </si>
  <si>
    <t>Deep Learning Predicts HPV Association in Oropharyngeal Squamous Cell Carcinomas and Identifies Patients with a Favorable Prognosis Using Regular H&amp;E Stains</t>
  </si>
  <si>
    <t>PURPOSE: Human papillomavirus (HPV) in oropharyngeal squamous cell carcinoma (OPSCC) is tumorigenic and has been associated with a favorable prognosis compared with OPSCC caused by tobacco, alcohol, and other carcinogens. Meanwhile, machine learning has evolved as a powerful tool to predict molecular and cellular alterations of medical images of various sources. EXPERIMENTAL DESIGN: We generated a deep learning-based HPV prediction score (HPV-ps) on regular hematoxylin and eosin (H&amp;E) stains and assessed its performance to predict HPV association using 273 patients from two different sites (OPSCC; Giessen, n = 163; Cologne, n = 110). Then, the prognostic relevance in a total of 594 patients (Giessen, Cologne, HNSCC TCGA) was evaluated. In addition, we investigated whether four board-certified pathologists could identify HPV association (n = 152) and compared the results to the classifier. RESULTS: Although pathologists were able to diagnose HPV association from H&amp;E-stained slides (AUC = 0.74, median of four observers), the interrater reliability was minimal (Light Kappa = 0.37; P = 0.129), as compared with AUC = 0.8 using the HPV-ps within two independent cohorts (n = 273). The HPV-ps identified individuals with a favorable prognosis in a total of 594 patients from three cohorts (Giessen, OPSCC, HR = 0.55, P &lt; 0.0001; Cologne, OPSCC, HR = 0.44, P = 0.0027; TCGA, non-OPSCC head and neck, HR = 0.69, P = 0.0073). Interestingly, the HPV-ps further stratified patients when combined with p16 status (Giessen, HR = 0.06, P &lt; 0.0001; Cologne, HR = 0.3, P = 0.046). CONCLUSIONS: Detection of HPV association in OPSCC using deep learning with help of regular H&amp;E stains may either be used as a single biomarker, or in combination with p16 status, to identify patients with OPSCC with a favorable prognosis, potentially outperforming combined HPV-DNA/p16 status as a biomarker for patient stratification.</t>
  </si>
  <si>
    <t>Automated Ventricular System Segmentation in Paediatric Patients Treated for Hydrocephalus Using Deep Learning Methods</t>
  </si>
  <si>
    <t>Hydrocephalus is a common neurological condition that can have traumatic ramifications and can be lethal without treatment. Nowadays, during therapy radiologists have to spend a vast amount of time assessing the volume of cerebrospinal fluid (CSF) by manual segmentation on Computed Tomography (CT) images. Further, some of the segmentations are prone to radiologist bias and high intraobserver variability. To improve this, researchers are exploring methods to automate the process, which would enable faster and more unbiased results. In this study, we propose the application of U-Net convolutional neural network in order to automatically segment CT brain scans for location of CSF. U-Net is a neural network that has proven to be successful for various interdisciplinary segmentation tasks. We optimised training using state of the art methods, including 1cycle learning rate policy, transfer learning, generalized dice loss function, mixed float precision, self-attention, and data augmentation. Even though the study was performed using a limited amount of data (80 CT images), our experiment has shown near human-level performance. We managed to achieve a 0.917 mean dice score with 0.0352 standard deviation on cross validation across the training data and a 0.9506 mean dice score on a separate test set. To our knowledge, these results are better than any known method for CSF segmentation in hydrocephalic patients, and thus, it is promising for potential practical applications.</t>
  </si>
  <si>
    <t>M. Klimont, M. Flieger, J. Rzeszutek, J. Stachera, A. Zakrzewska and K. Jończyk-Potoczna</t>
  </si>
  <si>
    <t>Deep learning for cerebral angiography segmentation from non-contrast computed tomography</t>
  </si>
  <si>
    <t>Cerebral computed tomography angiography is a widely available imaging technique that helps in the diagnosis of vascular pathologies. Contrast administration is needed to accurately assess the arteries. On non-contrast computed tomography, arteries are hardly distinguishable from the brain tissue, therefore, radiologists do not consider this imaging modality appropriate for the evaluation of vascular pathologies. There are known contraindications to administering iodinated contrast media, and in these cases, the patient has to undergo another examination to visualize cerebral arteries, such as magnetic resonance angiography. Deep learning for image segmentation has proven to perform well on medical data for a variety of tasks. The aim of this research was to apply deep learning methods to segment cerebral arteries on non-contrast computed tomography scans and consequently, generate angiographies without the need for contrast administration. The dataset for this research included 131 patients who underwent brain non-contrast computed tomography directly followed by computed tomography with contrast administration. Then, the segmentations of arteries were generated and aligned with non-contrast computed tomography scans. A deep learning model based on the U-net architecture was trained to perform the segmentation of blood vessels on non-contrast computed tomography. An evaluation was performed on separate test data, as well as using cross-validation, reaching Dice coefficients of 0.638 and 0.673, respectively. This study proves that deep learning methods can be leveraged to quickly solve problems that are difficult and time-consuming for a human observer, therefore providing physicians with additional information on the patient. To encourage the further development of similar tools, all code used for this research is publicly available.</t>
  </si>
  <si>
    <t>Performance of an Artificial Multi-observer Deep Neural Network for Fully Automated Segmentation of Polycystic Kidneys</t>
  </si>
  <si>
    <t>Deep learning techniques are being rapidly applied to medical imaging tasks-from organ and lesion segmentation to tissue and tumor classification. These techniques are becoming the leading algorithmic approaches to solve inherently difficult image processing tasks. Currently, the most critical requirement for successful implementation lies in the need for relatively large datasets that can be used for training the deep learning networks. Based on our initial studies of MR imaging examinations of the kidneys of patients affected by polycystic kidney disease (PKD), we have generated a unique database of imaging data and corresponding reference standard segmentations of polycystic kidneys. In the study of PKD, segmentation of the kidneys is needed in order to measure total kidney volume (TKV). Automated methods to segment the kidneys and measure TKV are needed to increase measurement throughput and alleviate the inherent variability of human-derived measurements. We hypothesize that deep learning techniques can be leveraged to perform fast, accurate, reproducible, and fully automated segmentation of polycystic kidneys. Here, we describe a fully automated approach for segmenting PKD kidneys within MR images that simulates a multi-observer approach in order to create an accurate and robust method for the task of segmentation and computation of TKV for PKD patients. A total of 2000 cases were used for training and validation, and 400 cases were used for testing. The multi-observer ensemble method had mean ± SD percent volume difference of 0.68 ± 2.2% compared with the reference standard segmentations. The complete framework performs fully automated segmentation at a level comparable with interobserver variability and could be considered as a replacement for the task of segmentation of PKD kidneys by a human.</t>
  </si>
  <si>
    <t>T. L. Kline, P. Korfiatis, M. E. Edwards, J. D. Blais, F. S. Czerwiec, P. C. Harris, B. F. King, V. E. Torres and B. J. Erickson</t>
  </si>
  <si>
    <t>Domain-specific cues improve robustness of deep learning-based segmentation of CT volumes</t>
  </si>
  <si>
    <t>Machine learning has considerably improved medical image analysis in the past years. Although data-driven approaches are intrinsically adaptive and thus, generic, they often do not perform the same way on data from different imaging modalities. In particular computed tomography (CT) data poses many challenges to medical image segmentation based on convolutional neural networks (CNNs), mostly due to the broad dynamic range of intensities and the varying number of recorded slices of CT volumes. In this paper, we address these issues with a framework that adds domain-specific data preprocessing and augmentation to state-of-the-art CNN architectures. Our major focus is to stabilise the prediction performance over samples as a mandatory requirement for use in automated and semi-automated workflows in the clinical environment. To validate the architecture-independent effects of our approach we compare a neural architecture based on dilated convolutions for parallel multi-scale processing (a modified Mixed-Scale Dense Network: MS-D Net) to traditional scaling operations (a modified U-Net). Finally, we show that an ensemble model combines the strengths across different individual methods. Our framework is simple to implement into existing deep learning pipelines for CT analysis. It performs well on a range of tasks such as liver and kidney segmentation, without significant differences in prediction performance on strongly differing volume sizes and varying slice thickness. Thus our framework is an essential step towards performing robust segmentation of unknown real-world samples.</t>
  </si>
  <si>
    <t>10.1002/mrm.27355</t>
  </si>
  <si>
    <t>Assessment of the generalization of learned image reconstruction and the potential for transfer learning</t>
  </si>
  <si>
    <t>PURPOSE: Although deep learning has shown great promise for MR image reconstruction, an open question regarding the success of this approach is the robustness in the case of deviations between training and test data. The goal of this study is to assess the influence of image contrast, SNR, and image content on the generalization of learned image reconstruction, and to demonstrate the potential for transfer learning. METHODS: Reconstructions were trained from undersampled data using data sets with varying SNR, sampling pattern, image contrast, and synthetic data generated from a public image database. The performance of the trained reconstructions was evaluated on 10 in vivo patient knee MRI acquisitions from 2 different pulse sequences that were not used during training. Transfer learning was evaluated by fine-tuning baseline trainings from synthetic data with a small subset of in vivo MR training data. RESULTS: Deviations in SNR between training and testing led to substantial decreases in reconstruction image quality, whereas image contrast was less relevant. Trainings from heterogeneous training data generalized well toward the test data with a range of acquisition parameters. Trainings from synthetic, non-MR image data showed residual aliasing artifacts, which could be removed by transfer learning-inspired fine-tuning. CONCLUSION: This study presents insights into the generalization ability of learned image reconstruction with respect to deviations in the acquisition settings between training and testing. It also provides an outlook for the potential of transfer learning to fine-tune trainings to a particular target application using only a small number of training cases.</t>
  </si>
  <si>
    <t>COVID-19 Pneumonia Diagnosis Using a Simple 2D Deep Learning Framework With a Single Chest CT Image: Model Development and Validation</t>
  </si>
  <si>
    <t>BACKGROUND: Coronavirus disease (COVID-19) has spread explosively worldwide since the beginning of 2020. According to a multinational consensus statement from the Fleischner Society, computed tomography (CT) is a relevant screening tool due to its higher sensitivity for detecting early pneumonic changes. However, physicians are extremely occupied fighting COVID-19 in this era of worldwide crisis. Thus, it is crucial to accelerate the development of an artificial intelligence (AI) diagnostic tool to support physicians. OBJECTIVE: We aimed to rapidly develop an AI technique to diagnose COVID-19 pneumonia in CT images and differentiate it from non-COVID-19 pneumonia and nonpneumonia diseases. METHODS: A simple 2D deep learning framework, named the fast-track COVID-19 classification network (FCONet), was developed to diagnose COVID-19 pneumonia based on a single chest CT image. FCONet was developed by transfer learning using one of four state-of-the-art pretrained deep learning models (VGG16, ResNet-50, Inception-v3, or Xception) as a backbone. For training and testing of FCONet, we collected 3993 chest CT images of patients with COVID-19 pneumonia, other pneumonia, and nonpneumonia diseases from Wonkwang University Hospital, Chonnam National University Hospital, and the Italian Society of Medical and Interventional Radiology public database. These CT images were split into a training set and a testing set at a ratio of 8:2. For the testing data set, the diagnostic performance of the four pretrained FCONet models to diagnose COVID-19 pneumonia was compared. In addition, we tested the FCONet models on an external testing data set extracted from embedded low-quality chest CT images of COVID-19 pneumonia in recently published papers. RESULTS: Among the four pretrained models of FCONet, ResNet-50 showed excellent diagnostic performance (sensitivity 99.58%, specificity 100.00%, and accuracy 99.87%) and outperformed the other three pretrained models in the testing data set. In the additional external testing data set using low-quality CT images, the detection accuracy of the ResNet-50 model was the highest (96.97%), followed by Xception, Inception-v3, and VGG16 (90.71%, 89.38%, and 87.12%, respectively). CONCLUSIONS: FCONet, a simple 2D deep learning framework based on a single chest CT image, provides excellent diagnostic performance in detecting COVID-19 pneumonia. Based on our testing data set, the FCONet model based on ResNet-50 appears to be the best model, as it outperformed other FCONet models based on VGG16, Xception, and Inception-v3.</t>
  </si>
  <si>
    <t>Feasible Study on Intracranial Hemorrhage Detection and Classification using a CNN-LSTM Network</t>
  </si>
  <si>
    <t>Intracranial hemorrhage (ICH) is a life-threatening condition, the outcome of which is associated with stroke, trauma, aneurysm, vascular malformations, high blood pressure, illicit drugs and blood clotting disorders. In this study, we presented the feasibility of the automatic identification and classification of ICH using a head CT image based on deep learning technique. The subtypes of ICH for the classification was intraparenchymal, intraventricular, subarachnoid, subdural and epidural. We first performed windowing to provide three different images: brain window, bone window and subdural window, and trained 4,516,842 head CT images using CNN-LSTM model. We used the Xception model for the deep CNN, and 64 nodes and 32 timesteps for LSTM. For the performance evaluation, we tested 727,392 head CT images, and found the resultant weighted multi-label logarithmic loss was 0.07528. We believe that our proposed method enhances the accuracy of ICH identification and classification and can assist radiologists in the interpretation of head CT images, particularly for brain-related quantitative analysis.</t>
  </si>
  <si>
    <t>Accurate depth estimation of skin surface using a light-field camera toward dynamic haptic palpation</t>
  </si>
  <si>
    <t>BACKGROUND: Haptic skin palpation with three-dimensional skin surface reconstruction from in vivo skin images in order to acquire both tactile and visual information has been receiving much attention. However, the depth estimation of skin surface, using a light field camera that creates multiple images with a micro-lens array, is a difficult problem due to low-resolution images resulting in erroneous disparity matching. METHODS: Multiple low-resolution images decoded from a light field camera have limitations to accurate 3D surface reconstruction needed for haptic palpation. To overcome this, a deep learning method, Generative Adversarial Networks, was employed to generate super-resolved skin images that preserve surface detail without blurring, and then, accurate skin depth was estimated by taking multiple subsequent steps including lens distortion correction, sub-pixel shifted image generation using phase shift theorem, cost-volume building, multi-label optimization, and hole filling and refinement, which is a new approach for 3D skin surface reconstruction. RESULTS: Experimental results of the deep-learning-based super-resolution method demonstrated that the textural detail (wrinkles) of super-resolved skin images is well preserved, unlike other super-resolution methods. In addition, the depth maps computed with our proposed algorithm verify that our method can produce more accurate and robust results compared to other state-of-the-art depth map computation methods. CONCLUSION: Herein, we first proposed depth map estimation of skin surfaces using a light field camera and subsequently tested it with several skin images. The experimental results established the superiority of the proposed scheme.</t>
  </si>
  <si>
    <t>Deep convolutional neural network for the diagnosis of thyroid nodules on ultrasound</t>
  </si>
  <si>
    <t>BACKGROUND: We designed a deep convolutional neural network (CNN) to diagnose thyroid malignancy on ultrasound (US) and compared the diagnostic performance of CNN with that of experienced radiologists. METHODS: Between May 2012 and February 2015, 589 thyroid nodules in 519 patients were diagnosed as benign or malignant by surgical excision. Experienced radiologists retrospectively reviewed the US of the thyroid nodules in a test set. CNNs were trained and tested using retrospective data of 439 and 150 US images, respectively. Diagnostic performances were compared between the two groups. RESULTS: Of the 589 thyroid nodules, 396 were malignant and 193 were benign. The area under the curve (AUC) for diagnosing thyroid malignancy was 0.805-0.860 for radiologists. The AUCs for diagnosing thyroid malignancy for the three CNNs were 0.845, 0.835, and 0.850. There was no significant difference in AUC between radiologists and CNNs. CONCLUSIONS: CNNs showed comparable diagnostic performance compared to experienced radiologists in differentiating thyroid malignancy on US.</t>
  </si>
  <si>
    <t>Head Neck</t>
  </si>
  <si>
    <t>Deep learning assisted detection of glaucomatous optic neuropathy and potential designs for a generalizable model</t>
  </si>
  <si>
    <t>PURPOSE: To evaluate ways to improve the generalizability of a deep learning algorithm for identifying glaucomatous optic neuropathy (GON) using a limited number of fundus photographs, as well as the key features being used for classification. METHODS: A total of 944 fundus images from Taipei Veterans General Hospital (TVGH) were retrospectively collected. Clinical and demographic characteristics, including structural and functional measurements of the images with GON, were recorded. Transfer learning based on VGGNet was used to construct a convolutional neural network (CNN) to identify GON. To avoid missing cases with advanced GON, an ensemble model was adopted in which a support vector machine classifier would make final classification based on cup-to-disc ratio if the CNN classifier had low-confidence score. The CNN classifier was first established using TVGH dataset, and then fine-tuned by combining the training images of TVGH and Drishti-GS datasets. Class activation map (CAM) was used to identify key features used for CNN classification. Performance of each classifier was determined through area under receiver operating characteristic curve (AUC) and compared with the ensemble model by diagnostic accuracy. RESULTS: In 187 TVGH test images, the accuracy, sensitivity, and specificity of the CNN classifier were 95.0%, 95.7%, and 94.2%, respectively, and the AUC was 0.992 compared to the 92.8% accuracy rate of the ensemble model. For the Drishti-GS test images, the accuracy of the CNN, the fine-tuned CNN and ensemble model was 33.3%, 80.3%, and 80.3%, respectively. The CNN classifier did not misclassify images with moderate to severe diseases. Class-discriminative regions revealed by CAM co-localized with known characteristics of GON. CONCLUSIONS: The ensemble model or a fine-tuned CNN classifier may be potential designs to build a generalizable deep learning model for glaucoma detection when large image databases are not available.</t>
  </si>
  <si>
    <t>10.2214/ajr.19.22608</t>
  </si>
  <si>
    <t>Machine Learning in Radiomic Renal Mass Characterization: Fundamentals, Applications, Challenges, and Future Directions</t>
  </si>
  <si>
    <t>OBJECTIVE. The purpose of this study is to provide an overview of the traditional machine learning (ML)-based and deep learning-based radiomic approaches, with focus placed on renal mass characterization. CONCLUSION. ML currently has a very low barrier to entry into general medical practice because of the availability of many open-source, free, and easy-to-use toolboxes. Therefore, it should not be surprising to see its related applications in renal mass characterization. A wider picture of the previous works might be beneficial to move this field forward.</t>
  </si>
  <si>
    <t>10.1007/s00066-020-01626-8</t>
  </si>
  <si>
    <t>Applications of radiomics and machine learning for radiotherapy of malignant brain tumors</t>
  </si>
  <si>
    <t>BACKGROUND: Magnetic resonance imaging (MRI) and amino acid positron-emission tomography (PET) of the brain contain a vast amount of structural and functional information that can be analyzed by machine learning algorithms and radiomics for the use of radiotherapy in patients with malignant brain tumors. METHODS: This study is based on comprehensive literature research on machine learning and radiomics analyses in neuroimaging and their potential application for radiotherapy in patients with malignant glioma or brain metastases. RESULTS: Feature-based radiomics and deep learning-based machine learning methods can be used to improve brain tumor diagnostics and automate various steps of radiotherapy planning. In glioma patients, important applications are the determination of WHO grade and molecular markers for integrated diagnosis in patients not eligible for biopsy or resection, automatic image segmentation for target volume planning, prediction of the location of tumor recurrence, and differentiation of pseudoprogression from actual tumor progression. In patients with brain metastases, radiomics is applied for additional detection of smaller brain metastases, accurate segmentation of multiple larger metastases, prediction of local response after radiosurgery, and differentiation of radiation injury from local brain metastasis relapse. Importantly, high diagnostic accuracies of 80-90% can be achieved by most approaches, despite a large variety in terms of applied imaging techniques and computational methods. CONCLUSION: Clinical application of automated image analyses based on radiomics and artificial intelligence has a great potential for improving radiotherapy in patients with malignant brain tumors. However, a common problem associated with these techniques is the large variability and the lack of standardization of the methods applied.</t>
  </si>
  <si>
    <t>Neural networks-based regularization for large-scale medical image reconstruction</t>
  </si>
  <si>
    <t>In this paper we present a generalized Deep Learning-based approach for solving ill-posed large-scale inverse problems occuring in medical image reconstruction. Recently, Deep Learning methods using iterative neural networks (NNs) and cascaded NNs have been reported to achieve state-of-the-art results with respect to various quantitative quality measures as PSNR, NRMSE and SSIM across different imaging modalities. However, the fact that these approaches employ the application of the forward and adjoint operators repeatedly in the network architecture requires the network to process the whole images or volumes at once, which for some applications is computationally infeasible. In this work, we follow a different reconstruction strategy by strictly separating the application of the NN, the regularization of the solution and the consistency with the measured data. The regularization is given in the form of an image prior obtained by the output of a previously trained NN which is used in a Tikhonov regularization framework. By doing so, more complex and sophisticated network architectures can be used for the removal of the artefacts or noise than it is usually the case in iterative NNs. Due to the large scale of the considered problems and the resulting computational complexity of the employed networks, the priors are obtained by processing the images or volumes as patches or slices. We evaluated the method for the cases of 3D cone-beam low dose CT and undersampled 2D radial cine MRI and compared it to a total variation-minimization-based reconstruction algorithm as well as to a method with regularization based on learned overcomplete dictionaries. The proposed method outperformed all the reported methods with respect to all chosen quantitative measures and further accelerates the regularization step in the reconstruction by several orders of magnitude.</t>
  </si>
  <si>
    <t>Diagnosis of thyroid nodules on ultrasonography by a deep convolutional neural network</t>
  </si>
  <si>
    <t>The purpose of this study was to evaluate and compare the diagnostic performances of the deep convolutional neural network (CNN) and expert radiologists for differentiating thyroid nodules on ultrasonography (US), and to validate the results in multicenter data sets. This multicenter retrospective study collected 15,375 US images of thyroid nodules for algorithm development (n = 13,560, Severance Hospital, SH training set), the internal test (n = 634, SH test set), and the external test (n = 781, Samsung Medical Center, SMC set; n = 200, CHA Bundang Medical Center, CBMC set; n = 200, Kyung Hee University Hospital, KUH set). Two individual CNNs and two classification ensembles (CNNE1 and CNNE2) were tested to differentiate malignant and benign thyroid nodules. CNNs demonstrated high area under the curves (AUCs) to diagnose malignant thyroid nodules (0.898-0.937 for the internal test set and 0.821-0.885 for the external test sets). AUC was significantly higher for CNNE2 than radiologists in the SH test set (0.932 vs. 0.840, P &lt; 0.001). AUC was not significantly different between CNNE2 and radiologists in the external test sets (P = 0.113, 0.126, and 0.690). CNN showed diagnostic performances comparable to expert radiologists for differentiating thyroid nodules on US in both the internal and external test sets.</t>
  </si>
  <si>
    <t>Feasibility of synthetic computed tomography generated with an adversarial network for multi-sequence magnetic resonance-based brain radiotherapy</t>
  </si>
  <si>
    <t>The aim of this work is to generate synthetic computed tomography (sCT) images from multi-sequence magnetic resonance (MR) images using an adversarial network and to assess the feasibility of sCT-based treatment planning for brain radiotherapy. Datasets for 15 patients with glioblastoma were selected and 580 pairs of CT and MR images were used. T1-weighted, T2-weighted and fluid-attenuated inversion recovery MR sequences were combined to create a three-channel image as input data. A conditional generative adversarial network (cGAN) was trained using image patches. The image quality was evaluated using voxel-wise mean absolute errors (MAEs) of the CT number. For the dosimetric evaluation, 3D conformal radiotherapy (3D-CRT) and volumetric modulated arc therapy (VMAT) plans were generated using the original CT set and recalculated using the sCT images. The isocenter dose and dose-volume parameters were compared for 3D-CRT and VMAT plans, respectively. The equivalent path length was also compared. The mean MAEs for the whole body, soft tissue and bone region were 108.1 ± 24.0, 38.9 ± 10.7 and 366.2 ± 62.0 hounsfield unit, respectively. The dosimetric evaluation revealed no significant difference in the isocenter dose for 3D-CRT plans. The differences in the dose received by 2% of the volume (D2%), D50% and D98% relative to the prescribed dose were &lt;1.0%. The overall equivalent path length was shorter than that for real CT by 0.6 ± 1.9 mm. A treatment planning study using generated sCT detected only small, clinically negligible differences. These findings demonstrated the feasibility of generating sCT images for MR-only radiotherapy from multi-sequence MR images using cGAN.</t>
  </si>
  <si>
    <t>J Radiat Res</t>
  </si>
  <si>
    <t>Deep learning-based virtual noncontrast CT for volumetric modulated arc therapy planning: Comparison with a dual-energy CT-based approach</t>
  </si>
  <si>
    <t>PURPOSE: The aim of this study was to develop a deep learning (DL) method for generating virtual noncontrast (VNC) computed tomography (CT) images from contrast-enhanced (CE) CT images (VNC(DL) ) and to evaluate its performance in dose calculations for head and neck radiotherapy in comparison with VNC images derived from a dual-energy CT (DECT) scanner (VNC(DECT) ). METHODS: This retrospective study included data for 61 patients who underwent head and neck radiotherapy. All planning CT images were obtained with a single-source DECT scanner (80 and 140 kVp) with rapid kVp switching. The DL-based method used a pair of virtual monochromatic images (VMIs) at 70 keV with and without contrast materials. VMIs without contrast materials were used as reference true noncontrast (TNC) images. Deformable image registration was used between the TNC and CE images. We used the data of 45 patients, chosen randomly, for training (7922 paired images), and data from the other 16 patients as test data. We generated the VNC(DL) images with a densely connected convolutional network. As the VNC(DECT) images, we used VMIs with the iodine signal suppressed, reconstructed from the CE images of the 16 test patients. The CT numbers of the tumor, common carotid artery, internal jugular vein, muscle, fat, bone marrow, cortical bone, and mandible of each VNC image were compared with those of the TNC image. The dose of the reference TNC plan was recalculated using the CE, VNC(DL) , and VNC(DECT) images. Difference maps of the dose distributions and dose-volume histograms were evaluated. RESULTS: The mean prediction time for the VNC(DL) images was 3.4 s per patient, and the mean number of slices was 204. The absolute differences in CT numbers of the VNC(DL) images were significantly smaller than those of the VNC(DECT) images for the bone marrow (8.0 ± 6.5 vs 175.1 ± 40.9 HU; P &lt; 0.001) and mandible (20.3 ± 19.3 vs 106.2 ± 80.5 HU; P = 0.002). The DL-based model provided the dose distribution most similar to that of the TNC plan. With the VNC(DECT) plans, dose errors &gt;1.0% were observed in bone regions. The dose-volume histogram analysis showed that the VNC(DL) plans yielded the smallest errors for the primary target, although dose differences were &lt;1.0% for all the approaches. For the maximum dose to the mandible, the mean ± SD errors for the CE, VNC(DL) , and VNC(DECT) plans were -0.13% ± 0.23% (range: -0.46% to 0.31%; P = 0.037), -0.01% ± 0.22% (range: -0.40% to 0.36%; P = 1.0), and 0.53% ± 0.47% (range: -0.21% to 1.41%; P &lt; 0.001), respectively. CONCLUSIONS: In this study, we developed a method based on DL that can rapidly generate VNC images from CE images without a DECT scanner. Compared with the DECT approach, the DL-based method improved the prediction accuracy of CT numbers in bone regions. Consequently, there was greater agreement between the VNC(DL) and TNC plan dose distributions than with the CE and VNC(DECT) plans, achieved by suppressing the contrast material signals while retaining the CT numbers of bone structures.</t>
  </si>
  <si>
    <t>10.1016/j.jcct.2019.04.007</t>
  </si>
  <si>
    <t>Advanced atherosclerosis imaging by CT: Radiomics, machine learning and deep learning</t>
  </si>
  <si>
    <t>In the last decade, technical advances in the field of medical imaging significantly improved and broadened the application of coronary CT angiography (CCTA) for the non-invasive assessment of coronary artery disease. Recently, similar breakthroughs are happening in the post-processing, analysis and interpretation of radiological images. Technologies such as radiomics allow to extract significantly more information from scans than what human visual assessment is capable of. This allows the precision phenotyping of diseases based on medical images. The increased amount of information can then be analyzed using novel data analytic techniques such as machine learning (ML) and deep learning (DL), which utilize the power of big data to build predictive models, which seek to mimic human intelligence, artificially. Thanks to big data availability and increased computational power, these novel analytic methods are outperforming conventional statistical techniques. In this current overview we describe the basics of radiomics, ML and DL, highlighting similarities, differences, limitations and potential pitfalls of these techniques. In addition, we provide a brief overview of recently published results on the applications of the aforementioned techniques for the non-invasive assessment of coronary atherosclerosis using CCTA.</t>
  </si>
  <si>
    <t>Segmentation of Femoral Cartilage from Knee Ultrasound Images Using Mask R-CNN</t>
  </si>
  <si>
    <t>Segmentation of knee cartilage from Ultrasound (US) images is essential for various clinical tasks in diagnosis and treatment planning of Osteoarthritis. Moreover, the potential use of US imaging for guidance in robotic knee arthroscopy is presently being investigated. The femoral cartilage being the main organ at risk during the operation, it is paramount to be able to segment this structure, to make US guidance feasible. In this paper, we set forth a deep learning network, Mask R-CNN, based femoral cartilage segmentation in 2D US images for these types of applications. While the traditional imaging approaches showed promising results, they are mostly not real-time and involve human interaction. This being the case, in recent years, deep learning has paved its way into medical imaging showing commendable results. However, deep learning-based segmentation in US images remains unexplored. In the present study we employ Mask R-CNN on US images of the knee cartilage. The performance of the method is analyzed in various scenarios, with and without Gaussian filter preprocessing and pretraining the network with different datasets. The best results are observed when the images are preprocessed and the network is pretrained with COCO 2016 image dataset. A maximum Dice Similarity Coefficient (DSC) of 0.88 and an average DSC of 0.80 is achieved when tested on 55 images indicating that the proposed method has a potential for clinical applications.</t>
  </si>
  <si>
    <t>Choroidal thickness estimation from colour fundus photographs by adaptive binarisation and deep learning, according to central serous chorioretinopathy status</t>
  </si>
  <si>
    <t>This study was performed to estimate choroidal thickness by fundus photography, based on image processing and deep learning. Colour fundus photography and central choroidal thickness examinations were performed in 200 normal eyes and 200 eyes with central serous chorioretinopathy (CSC). Choroidal thickness under the fovea was measured using optical coherence tomography images. The adaptive binarisation method was used to delineate choroidal vessels within colour fundus photographs. Correlation coefficients were calculated between the choroidal vascular density (defined as the choroidal vasculature appearance index of the binarisation image) and choroidal thickness. The correlations between choroidal vasculature appearance index and choroidal thickness were -0.60 for normal eyes (p &lt; 0.01) and -0.46 for eyes with CSC (p &lt; 0.01). A deep convolutional neural network model was independently created and trained with augmented training data by K-Fold Cross Validation (K = 5). The correlation coefficients between the value predicted from the colour image and the true choroidal thickness were 0.68 for normal eyes (p &lt; 0.01) and 0.48 for eyes with CSC (p &lt; 0.01). Thus, choroidal thickness could be estimated from colour fundus photographs in both normal eyes and eyes with CSC, using imaging analysis and deep learning.</t>
  </si>
  <si>
    <t>Automating Model Generation for Imagebased Cardiac Flow Simulation</t>
  </si>
  <si>
    <t>Computational fluid dynamics (CFD) modeling of left ventricle (LV) flow combined with patient medical imaging data has shown great potential in obtaining patient-specific hemodynamics information for functional assessment of the heart. A typical model construction pipeline usually starts with segmentation of the LV by manual delineation followed by mesh generation and registration techniques using separate software tools. However, such approaches usually require significant time and human efforts in the model generation pro-cess, limiting large-scale analysis. In this study, we propose an approach towards fully automating the model generation process for CFD simulation of LV flow to significantly reduce LV CFD model generation time. Our modeling framework leverages a novel combination of techniques including deep-learning based segmentation, geometry processing, and image registration to reliably reconstruct CFD-suitable LV models with little-to-no user intervention. We utilized an ensemble of 2D convolutional neural networks (CNNs) for automatic segmentation of cardiac structures from 3D patient images and our segmentation approach outperformed recent state-of-the-art segmentation techniques when evaluated on benchmark data containing both MR and CT cardiac scans. We demonstrate that through a combination of segmentation and geometry processing, we were able to robustly create CFD-suitable LV meshes from segmentations for 78 out of 80 test cases. Although the focus on this study is on image-to-mesh generation, we demonstrate the feasibility of this framework in supporting LV hemodynamics modeling by performing CFD simulations from two representative time-resolved patient-specific image data sets.</t>
  </si>
  <si>
    <t>J Biomech Eng</t>
  </si>
  <si>
    <t>Automatic Tissue Image Segmentation Based on Image Processing and Deep Learning</t>
  </si>
  <si>
    <t>Image segmentation plays an important role in multimodality imaging, especially in fusion structural images offered by CT, MRI with functional images collected by optical technologies, or other novel imaging technologies. In addition, image segmentation also provides detailed structural description for quantitative visualization of treating light distribution in the human body when incorporated with 3D light transport simulation methods. Here, we first use some preprocessing methods such as wavelet denoising to extract the accurate contours of different tissues such as skull, cerebrospinal fluid (CSF), grey matter (GM), and white matter (WM) on 5 MRI head image datasets. We then realize automatic image segmentation with deep learning by using convolutional neural network. We also introduce parallel computing. Such approaches greatly reduced the processing time compared to manual and semiautomatic segmentation and are of great importance in improving the speed and accuracy as more and more samples are being learned. The segmented data of grey and white matter are counted by computer in volume, which indicates the potential of this segmentation technology in diagnosing cerebral atrophy quantitatively. We demonstrate the great potential of such image processing and deep learning-combined automatic tissue image segmentation in neurology medicine.</t>
  </si>
  <si>
    <t>Can AI Help Make Screening Mammography Lean?</t>
  </si>
  <si>
    <t>D. Kontos and E. F. Conant</t>
  </si>
  <si>
    <t>Automated Segmentation of Left Ventricular Myocardium on Cardiac Computed Tomography Using Deep Learning</t>
  </si>
  <si>
    <t>OBJECTIVE: To evaluate the accuracy of a deep learning-based automated segmentation of the left ventricle (LV) myocardium using cardiac CT. MATERIALS AND METHODS: To develop a fully automated algorithm, 100 subjects with coronary artery disease were randomly selected as a development set (50 training / 20 validation / 30 internal test). An experienced cardiac radiologist generated the manual segmentation of the development set. The trained model was evaluated using 1000 validation set generated by an experienced technician. Visual assessment was performed to compare the manual and automatic segmentations. In a quantitative analysis, sensitivity and specificity were calculated according to the number of pixels where two three-dimensional masks of the manual and deep learning segmentations overlapped. Similarity indices, such as the Dice similarity coefficient (DSC), were used to evaluate the margin of each segmented masks. RESULTS: The sensitivity and specificity of automated segmentation for each segment (1-16 segments) were high (85.5-100.0%). The DSC was 88.3 ± 6.2%. Among randomly selected 100 cases, all manual segmentation and deep learning masks for visual analysis were classified as very accurate to mostly accurate and there were no inaccurate cases (manual vs. deep learning: very accurate, 31 vs. 53; accurate, 64 vs. 39; mostly accurate, 15 vs. 8). The number of very accurate cases for deep learning masks was greater than that for manually segmented masks. CONCLUSION: We present deep learning-based automatic segmentation of the LV myocardium and the results are comparable to manual segmentation data with high sensitivity, specificity, and high similarity scores.</t>
  </si>
  <si>
    <t>Large scale deep learning for computer aided detection of mammographic lesions</t>
  </si>
  <si>
    <t>Recent advances in machine learning yielded new techniques to train deep neural networks, which resulted in highly successful applications in many pattern recognition tasks such as object detection and speech recognition. In this paper we provide a head-to-head comparison between a state-of-the art in mammography CAD system, relying on a manually designed feature set and a Convolutional Neural Network (CNN), aiming for a system that can ultimately read mammograms independently. Both systems are trained on a large data set of around 45,000 images and results show the CNN outperforms the traditional CAD system at low sensitivity and performs comparable at high sensitivity. We subsequently investigate to what extent features such as location and patient information and commonly used manual features can still complement the network and see improvements at high specificity over the CNN especially with location and context features, which contain information not available to the CNN. Additionally, a reader study was performed, where the network was compared to certified screening radiologists on a patch level and we found no significant difference between the network and the readers.</t>
  </si>
  <si>
    <t>T. Kooi, G. Litjens, B. van Ginneken, A. Gubern-Mérida, C. I. Sánchez, R. Mann, A. den Heeten and N. Karssemeijer</t>
  </si>
  <si>
    <t>Discriminating solitary cysts from soft tissue lesions in mammography using a pretrained deep convolutional neural network</t>
  </si>
  <si>
    <t>PURPOSE: It is estimated that 7% of women in the western world will develop palpable breast cysts in their lifetime. Even though cysts have been correlated with risk of developing breast cancer, many of them are benign and do not require follow-up. We develop a method to discriminate benign solitary cysts from malignant masses in digital mammography. We think a system like this can have merit in the clinic as a decision aid or complementary to specialized modalities. METHODS: We employ a deep convolutional neural network (CNN) to classify cyst and mass patches. Deep CNNs have been shown to be powerful classifiers, but need a large amount of training data for which medical problems are often difficult to come by. The key contribution of this paper is that we show good performance can be obtained on a small dataset by pretraining the network on a large dataset of a related task. We subsequently investigate the following: (a) when a mammographic exam is performed, two different views of the same breast are recorded. We investigate the merit of combining the output of the classifier from these two views. (b) We evaluate the importance of the resolution of the patches fed to the network. (c) A method dubbed tissue augmentation is subsequently employed, where we extract normal tissue from normal patches and superimpose this onto the actual samples aiming for a classifier invariant to occluding tissue. (d) We combine the representation extracted using the deep CNN with our previously developed features. RESULTS: We show that using the proposed deep learning method, an area under the ROC curve (AUC) value of 0.80 can be obtained on a set of benign solitary cysts and malignant mass findings recalled in screening. We find that it works significantly better than our previously developed approach by comparing the AUC of the ROC using bootstrapping. By combining views, the results can be further improved, though this difference was not found to be significant. We find no significant difference between using a resolution of 100 versus 200 micron. The proposed tissue augmentations give a small improvement in performance, but this improvement was also not found to be significant. The final system obtained an AUC of 0.80 with 95% confidence interval [0.78, 0.83], calculated using bootstrapping. The system works best for lesions larger than 27 mm where it obtains an AUC value of 0.87. CONCLUSION: We have presented a computer-aided diagnosis (CADx) method to discriminate cysts from solid lesion in mammography using features from a deep CNN trained on a large set of mass candidates, obtaining an AUC of 0.80 on a set of diagnostic exams recalled from screening. We believe the system shows great potential and comes close to the performance of recently developed spectral mammography. We think the system can be further improved when more data and computational power becomes available.</t>
  </si>
  <si>
    <t>T. Kooi, B. van Ginneken, N. Karssemeijer and A. den Heeten</t>
  </si>
  <si>
    <t>Detection and segmentation of morphologically complex eukaryotic cells in fluorescence microscopy images via feature pyramid fusion</t>
  </si>
  <si>
    <t>Detection and segmentation of macrophage cells in fluorescence microscopy images is a challenging problem, mainly due to crowded cells, variation in shapes, and morphological complexity. We present a new deep learning approach for cell detection and segmentation that incorporates previously learned nucleus features. A novel fusion of feature pyramids for nucleus detection and segmentation with feature pyramids for cell detection and segmentation is used to improve performance on a microscopic image dataset created by us and provided for public use, containing both nucleus and cell signals. Our experimental results indicate that cell detection and segmentation performance significantly benefit from the fusion of previously learned nucleus features. The proposed feature pyramid fusion architecture clearly outperforms a state-of-the-art Mask R-CNN approach for cell detection and segmentation with relative mean average precision improvements of up to 23.88% and 23.17%, respectively.</t>
  </si>
  <si>
    <t>10.1016/j.crad.2019.01.028</t>
  </si>
  <si>
    <t>Deep learning can see the unseeable: predicting molecular markers from MRI of brain gliomas</t>
  </si>
  <si>
    <t>This paper describes state-of-the-art methods for molecular biomarker prediction utilising magnetic resonance imaging. This review paper covers both classical machine learning approaches and deep learning approaches to identifying the predictive features and to perform the actual prediction. In particular, there have been substantial advances in recent years in predicting molecular markers for diffuse gliomas. There are few examples of molecular marker prediction for other brain tumours. Deep learning has contributed significantly to these advances, but suffers from challenges in identifying the features used to make predictions. Tools to better identify and understand those features represent an important area of active research.</t>
  </si>
  <si>
    <t>Residual Deep Convolutional Neural Network Predicts MGMT Methylation Status</t>
  </si>
  <si>
    <t>Predicting methylation of the O6-methylguanine methyltransferase (MGMT) gene status utilizing MRI imaging is of high importance since it is a predictor of response and prognosis in brain tumors. In this study, we compare three different residual deep neural network (ResNet) architectures to evaluate their ability in predicting MGMT methylation status without the need for a distinct tumor segmentation step. We found that the ResNet50 (50 layers) architecture was the best performing model, achieving an accuracy of 94.90% (+/- 3.92%) for the test set (classification of a slice as no tumor, methylated MGMT, or non-methylated). ResNet34 (34 layers) achieved 80.72% (+/- 13.61%) while ResNet18 (18 layers) accuracy was 76.75% (+/- 20.67%). ResNet50 performance was statistically significantly better than both ResNet18 and ResNet34 architectures (p &lt; 0.001). We report a method that alleviates the need of extensive preprocessing and acts as a proof of concept that deep neural architectures can be used to predict molecular biomarkers from routine medical images.</t>
  </si>
  <si>
    <t>P. Korfiatis, T. L. Kline, D. H. Lachance, I. F. Parney, J. C. Buckner and B. J. Erickson</t>
  </si>
  <si>
    <t>Microaneurysms segmentation with a U-Net based on recurrent residual convolutional neural network</t>
  </si>
  <si>
    <t>Microaneurysms (MAs) play an important role in the diagnosis of clinical diabetic retinopathy at the early stage. Annotation of MAs manually by experts is laborious and so it is essential to develop automatic segmentation methods. Automatic MA segmentation remains a challenging task mainly due to the low local contrast of the image and the small size of MAs. A deep learning-based method called U-Net has become one of the most popular methods for the medical image segmentation task. We propose an architecture for U-Net, named deep recurrent U-Net (DRU-Net), obtained by combining the deep residual model and recurrent convolutional operations into U-Net. In the MA segmentation task, DRU-Net can accumulate effective features much better than the typical U-Net. The proposed method is evaluated on two publicly available datasets: E-Ophtha and IDRiD. Our results show that the proposed DRU-Net achieves the best performance with 0.9999 accuracy value and 0.9943 area under curve (AUC) value on the E-Ophtha dataset. And on the IDRiD dataset, it has achieved 0.987 AUC value (to our knowledge, this is the first result of segmenting MAs on this dataset). Compared with other methods, such as U-Net, FCNN, and ResU-Net, our architecture (DRU-Net) achieves state-of-the-art performance.</t>
  </si>
  <si>
    <t>Three-dimensional virtual surgical planning in the oncologic treatment of the mandible</t>
  </si>
  <si>
    <t>OBJECTIVES: In case of surgical removal of oral squamous cell carcinomas, a resection of mandibular bone is frequently part of the treatment. Nowadays, such resections frequently include the application of 3D virtual surgical planning (VSP) and guided surgery techniques. In this paper, current methods for 3D VSP leads for optimisation of the workflow, and patient-specific application of guides and implants are reviewed. RECENT FINDINGS: Current methods for 3D VSP enable multi-modality fusion of images. This fusion of images is not restricted to a specific software package or workflow. New strategies for 3D VSP in Oral and Maxillofacial Surgery include finite element analysis, deep learning and advanced augmented reality techniques. These strategies aim to improve the treatment in terms of accuracy, predictability and safety. CONCLUSIONS: Application of the discussed novel technologies and strategies will improve the accuracy and safety of mandibular resection and reconstruction planning. Accurate, easy-to-use, safe and efficient three-dimensional VSP can be applied for every patient with malignancies needing resection of the mandible.</t>
  </si>
  <si>
    <t>Oral Dis</t>
  </si>
  <si>
    <t>Automatic grading of human blastocysts from time-lapse imaging</t>
  </si>
  <si>
    <t>BACKGROUND: Blastocyst morphology is a predictive marker for implantation success of in vitro fertilized human embryos. Morphology grading is therefore commonly used to select the embryo with the highest implantation potential. One of the challenges, however, is that morphology grading can be highly subjective when performed manually by embryologists. Grading systems generally discretize a continuous scale of low to high score, resulting in floating and unclear boundaries between grading categories. Manual annotations therefore suffer from large inter-and intra-observer variances. METHOD: In this paper, we propose a method based on deep learning to automatically grade the morphological appearance of human blastocysts from time-lapse imaging. A convolutional neural network is trained to jointly predict inner cell mass (ICM) and trophectoderm (TE) grades from a single image frame, and a recurrent neural network is applied on top to incorporate temporal information of the expanding blastocysts from multiple frames. RESULTS: Results showed that the method achieved above human-level accuracies when evaluated on majority votes from an independent test set labeled by multiple embryologists. Furthermore, when evaluating implantation rates for embryos grouped by morphology grades, human embryologists and our method had a similar correlation between predicted embryo quality and pregnancy outcome. CONCLUSIONS: The proposed method has shown improved performance of predicting ICM and TE grades on human blastocysts when utilizing temporal information available with time-lapse imaging. The algorithm is considered at least on par with human embryologists on quality estimation, as it performed better than the average human embryologist at ICM and TE prediction and provided a slightly better correlation between predicted embryo quality and implantability than human embryologists.</t>
  </si>
  <si>
    <t>Classifying and segmenting microscopy images with deep multiple instance learning</t>
  </si>
  <si>
    <t>MOTIVATION: High-content screening (HCS) technologies have enabled large scale imaging experiments for studying cell biology and for drug screening. These systems produce hundreds of thousands of microscopy images per day and their utility depends on automated image analysis. Recently, deep learning approaches that learn feature representations directly from pixel intensity values have dominated object recognition challenges. These tasks typically have a single centered object per image and existing models are not directly applicable to microscopy datasets. Here we develop an approach that combines deep convolutional neural networks (CNNs) with multiple instance learning (MIL) in order to classify and segment microscopy images using only whole image level annotations. RESULTS: We introduce a new neural network architecture that uses MIL to simultaneously classify and segment microscopy images with populations of cells. We base our approach on the similarity between the aggregation function used in MIL and pooling layers used in CNNs. To facilitate aggregating across large numbers of instances in CNN feature maps we present the Noisy-AND pooling function, a new MIL operator that is robust to outliers. Combining CNNs with MIL enables training CNNs using whole microscopy images with image level labels. We show that training end-to-end MIL CNNs outperforms several previous methods on both mammalian and yeast datasets without requiring any segmentation steps. AVAILABILITY AND IMPLEMENTATION: Torch7 implementation available upon request. CONTACT: oren.kraus@mail.utoronto.ca.</t>
  </si>
  <si>
    <t>O. Z. Kraus, J. L. Ba and B. J. Frey</t>
  </si>
  <si>
    <t>10.3109/10409238.2015.1135868</t>
  </si>
  <si>
    <t>Computer vision for high content screening</t>
  </si>
  <si>
    <t>High Content Screening (HCS) technologies that combine automated fluorescence microscopy with high throughput biotechnology have become powerful systems for studying cell biology and drug screening. These systems can produce more than 100 000 images per day, making their success dependent on automated image analysis. In this review, we describe the steps involved in quantifying microscopy images and different approaches for each step. Typically, individual cells are segmented from the background using a segmentation algorithm. Each cell is then quantified by extracting numerical features, such as area and intensity measurements. As these feature representations are typically high dimensional (&gt;500), modern machine learning algorithms are used to classify, cluster and visualize cells in HCS experiments. Machine learning algorithms that learn feature representations, in addition to the classification or clustering task, have recently advanced the state of the art on several benchmarking tasks in the computer vision community. These techniques have also recently been applied to HCS image analysis.</t>
  </si>
  <si>
    <t>Crit Rev Biochem Mol Biol</t>
  </si>
  <si>
    <t>Automated analysis of high-content microscopy data with deep learning</t>
  </si>
  <si>
    <t>Existing computational pipelines for quantitative analysis of high-content microscopy data rely on traditional machine learning approaches that fail to accurately classify more than a single dataset without substantial tuning and training, requiring extensive analysis. Here, we demonstrate that the application of deep learning to biological image data can overcome the pitfalls associated with conventional machine learning classifiers. Using a deep convolutional neural network (DeepLoc) to analyze yeast cell images, we show improved performance over traditional approaches in the automated classification of protein subcellular localization. We also demonstrate the ability of DeepLoc to classify highly divergent image sets, including images of pheromone-arrested cells with abnormal cellular morphology, as well as images generated in different genetic backgrounds and in different laboratories. We offer an open-source implementation that enables updating DeepLoc on new microscopy datasets. This study highlights deep learning as an important tool for the expedited analysis of high-content microscopy data.</t>
  </si>
  <si>
    <t>O. Z. Kraus, B. T. Grys, J. Ba, Y. Chong, B. J. Frey, C. Boone and B. J. Andrews</t>
  </si>
  <si>
    <t>Mol Syst Biol</t>
  </si>
  <si>
    <t>Fully Convolutional Neural Network for Detection and Counting of Diatoms on Coatings after Short-Term Field Exposure</t>
  </si>
  <si>
    <t>While the use of deep learning is a valuable technology for automatic detection systems for medical data and images, the biofouling community is still lacking an analytical tool for the detection and counting of diatoms on samples after short-term field exposure. In this work, a fully convolutional neural network was implemented as a fast and simple approach to detect diatoms on two-channel (fluorescence and phase-contrast) microscopy images by predicting bounding boxes. The developed approach performs well with only a small number of trainable parameters and a F1 score of 0.82. Counting diatoms was evaluated on a data set of 600 microscopy images of three different surface chemistries (hydrophilic and hydrophobic) and is very similar to counting by humans while demanding only a fraction of the analysis time.</t>
  </si>
  <si>
    <t>Environ Sci Technol</t>
  </si>
  <si>
    <t>Learning a Probabilistic Model for Diffeomorphic Registration</t>
  </si>
  <si>
    <t>We propose to learn a low-dimensional probabilistic deformation model from data which can be used for the registration and the analysis of deformations. The latent variable model maps similar deformations close to each other in an encoding space. It enables to compare deformations, to generate normal or pathological deformations for any new image, or to transport deformations from one image pair to any other image. Our unsupervised method is based on the variational inference. In particular, we use a conditional variational autoencoder network and constrain transformations to be symmetric and diffeomorphic by applying a differentiable exponentiation layer with a symmetric loss function. We also present a formulation that includes spatial regularization such as the diffusion-based filters. In addition, our framework provides multi-scale velocity field estimations. We evaluated our method on 3-D intra-subject registration using 334 cardiac cine-MRIs. On this dataset, our method showed the state-of-the-art performance with a mean DICE score of 81.2% and a mean Hausdorff distance of 7.3 mm using 32 latent dimensions compared to three state-of-the-art methods while also demonstrating more regular deformation fields. The average time per registration was 0.32 s. Besides, we visualized the learned latent space and showed that the encoded deformations can be used to transport deformations and to cluster diseases with a classification accuracy of 83% after applying a linear projection.</t>
  </si>
  <si>
    <t>Simulating Dual-Energy X-Ray Absorptiometry in CT Using Deep-Learning Segmentation Cascade</t>
  </si>
  <si>
    <t>PURPOSE: Osteoporosis is an underdiagnosed condition despite effective screening modalities. Dual-energy x-ray absorptiometry (DEXA) screening, although recommended in clinical guidelines, remains markedly underutilized. In contrast to DEXA, CT utilization is high and presents a valuable data source for opportunistic osteoporosis screening. The purpose of this study was to describe a method to simulate lumbar DEXA scores from routinely acquired CT studies using a machine-learning algorithm. METHODS: Between January 2010 and September 2014, 610 CT studies of the abdomen and pelvis were used to develop spinal column and L1 to L4 multiclass segmentation. DEXA simulation training and validation used 1,843 pairs of CT studies accompanied by DEXA results obtained within a 6-month interval from the same individual. Machine learning-based regression was used to determine correlation between calculated grade (on the basis of vertebrae L1-L4) and DEXA t score. RESULTS: Analysis of the t score equivalent, generated by the algorithm, revealed true positives in 1,144 patients, false positives in 92 patients, true negatives in 245 patients, and false negatives in 212 patients, resulting in an accuracy of 82%. Sensitivity for the detection of osteoporosis or osteopenia was 84.4% (95% confidence interval, 82.3%-86.2%), and specificity was 72.7% (95% confidence interval, 67.7%-77.2%). CONCLUSIONS: The presented algorithm can identify osteoporosis and osteopenia with a high degree of accuracy (82%) and a small proportion of false positives. Efforts to cull greater information using machine-learning algorithms from pre-existing data have the potential to have a marked impact on population health efforts such as bone mineral density screening for osteoporosis, in which gaps in screening currently exist.</t>
  </si>
  <si>
    <t>10.1093/eurheartj/ehz056</t>
  </si>
  <si>
    <t>Deep learning for cardiovascular medicine: a practical primer</t>
  </si>
  <si>
    <t>Deep learning (DL) is a branch of machine learning (ML) showing increasing promise in medicine, to assist in data classification, novel disease phenotyping and complex decision making. Deep learning is a form of ML typically implemented via multi-layered neural networks. Deep learning has accelerated by recent advances in computer hardware and algorithms and is increasingly applied in e-commerce, finance, and voice and image recognition to learn and classify complex datasets. The current medical literature shows both strengths and limitations of DL. Strengths of DL include its ability to automate medical image interpretation, enhance clinical decision-making, identify novel phenotypes, and select better treatment pathways in complex diseases. Deep learning may be well-suited to cardiovascular medicine in which haemodynamic and electrophysiological indices are increasingly captured on a continuous basis by wearable devices as well as image segmentation in cardiac imaging. However, DL also has significant weaknesses including difficulties in interpreting its models (the 'black-box' criticism), its need for extensive adjudicated ('labelled') data in training, lack of standardization in design, lack of data-efficiency in training, limited applicability to clinical trials, and other factors. Thus, the optimal clinical application of DL requires careful formulation of solvable problems, selection of most appropriate DL algorithms and data, and balanced interpretation of results. This review synthesizes the current state of DL for cardiovascular clinicians and investigators, and provides technical context to appreciate the promise, pitfalls, near-term challenges, and opportunities for this exciting new area.</t>
  </si>
  <si>
    <t>Eur Heart J</t>
  </si>
  <si>
    <t>Deep Learning for the Radiographic Detection of Periodontal Bone Loss</t>
  </si>
  <si>
    <t>We applied deep convolutional neural networks (CNNs) to detect periodontal bone loss (PBL) on panoramic dental radiographs. We synthesized a set of 2001 image segments from panoramic radiographs. Our reference test was the measured % of PBL. A deep feed-forward CNN was trained and validated via 10-times repeated group shuffling. Model architectures and hyperparameters were tuned using grid search. The final model was a seven-layer deep neural network, parameterized by a total number of 4,299,651 weights. For comparison, six dentists assessed the image segments for PBL. Averaged over 10 validation folds the mean (SD) classification accuracy of the CNN was 0.81 (0.02). Mean (SD) sensitivity and specificity were 0.81 (0.04), 0.81 (0.05), respectively. The mean (SD) accuracy of the dentists was 0.76 (0.06), but the CNN was not statistically significant superior compared to the examiners (p = 0.067/t-test). Mean sensitivity and specificity of the dentists was 0.92 (0.02) and 0.63 (0.14), respectively. A CNN trained on a limited amount of radiographic image segments showed at least similar discrimination ability as dentists for assessing PBL on panoramic radiographs. Dentists' diagnostic efforts when using radiographs may be reduced by applying machine-learning based technologies.</t>
  </si>
  <si>
    <t>Automatic substantia nigra segmentation in neuromelanin-sensitive MRI by deep neural network in patients with prodromal and manifest synucleinopathy</t>
  </si>
  <si>
    <t>Neuromelanin (NM) is a black pigment located in the brain in substantia nigra pars compacta (SN) and locus coeruleus. Its loss is directly connected to the loss of nerve cells in this part of the brain, which plays a role in Parkinson's Disease. Magnetic resonance imaging (MRI) is an ideal tool to monitor the amount of NM in the brain in vivo. The aim of the study was the development of tools and methodology for the quantification of NM in a special neuromelanin-sensitive MRI images. The first approach was done by creating regions of interest, corresponding to the anatomical position of SN based on an anatomical atlas and determining signal intensity threshold. By linking the anatomical and signal intensity information, we were able to segment the SN. As a second approach, the neural network U-Net was used for the segmentation of SN. Subsequently, the volume characterizing the amount of NM in the SN region was calculated. To verify the method and the assumptions, data available from various patient groups were correlated. The main benefit of this approach is the observer-independency of quantification and facilitation of the image processing process and subsequent quantification compared to the manual approach. It is ideal for automatic processing many image sets in one batch.</t>
  </si>
  <si>
    <t>Physiol Res</t>
  </si>
  <si>
    <t>Deep Learning of Radiology Reports for Pulmonary Embolus: Is a Computer Reading My Report?</t>
  </si>
  <si>
    <t>E. A. Krupinski</t>
  </si>
  <si>
    <t>MRI-SegFlow: a novel unsupervised deep learning pipeline enabling accurate vertebral segmentation of MRI images</t>
  </si>
  <si>
    <t>Most deep learning based vertebral segmentation methods require laborious manual labelling tasks. We aim to establish an unsupervised deep learning pipeline for vertebral segmentation of MR images. We integrate the sub-optimal segmentation results produced by a rule-based method with a unique voting mechanism to provide supervision in the training process for the deep learning model. Preliminary validation shows a high segmentation accuracy achieved by our method without relying on any manual labelling.The clinical relevance of this study is that it provides an efficient vertebral segmentation method with high accuracy. Potential applications are in automated pathology detection and vertebral 3D reconstructions for biomechanical simulations and 3D printing, facilitating clinical decision making, surgical planning and tissue engineering.</t>
  </si>
  <si>
    <t>Semi-Supervised Nests of Melanocytes Segmentation Method Using Convolutional Autoencoders</t>
  </si>
  <si>
    <t>In this research, we present a semi-supervised segmentation solution using convolutional autoencoders to solve the problem of segmentation tasks having a small number of ground-truth images. We evaluate the proposed deep network architecture for the detection of nests of nevus cells in histopathological images of skin specimens is an important step in dermatopathology. The diagnostic criteria based on the degree of uniformity and symmetry of border irregularities are particularly vital in dermatopathology, in order to distinguish between benign and malignant skin lesions. However, to the best of our knowledge, it is the first described method to segment the nests region. The novelty of our approach is not only the area of research, but, furthermore, we address a problem with a small ground-truth dataset. We propose an effective computer-vision based deep learning tool that can perform the nests segmentation based on an autoencoder architecture with two learning steps. Experimental results verified the effectiveness of the proposed approach and its ability to segment nests areas with Dice similarity coefficient 0.81, sensitivity 0.76, and specificity 0.94, which is a state-of-the-art result.</t>
  </si>
  <si>
    <t>Hybrid Transfer Learning for Classification of Uterine Cervix Images for Cervical Cancer Screening</t>
  </si>
  <si>
    <t>Transfer learning using deep pre-trained convolutional neural networks is increasingly used to solve a large number of problems in the medical field. In spite of being trained using images with entirely different domain, these networks are flexible to adapt to solve a problem in a different domain too. Transfer learning involves fine-tuning a pre-trained network with optimal values of hyperparameters such as learning rate, batch size, and number of training epochs. The process of training the network identifies the relevant features for solving a specific problem. Adapting the pre-trained network to solve a different problem requires fine-tuning until relevant features are obtained. This is facilitated through the use of large number of filters present in the convolutional layers of pre-trained network. A very few features out of these features are useful for solving the problem in a different domain, while others are irrelevant, use of which may only reduce the efficacy of the network. However, by minimizing the number of filters required to solve the problem, the efficiency of the training the network can be improved. In this study, we consider identification of relevant filters using the pre-trained networks namely AlexNet and VGG-16 net to detect cervical cancer from cervix images. This paper presents a novel hybrid transfer learning technique, in which a CNN is built and trained from scratch, with initial weights of only those filters which were identified as relevant using AlexNet and VGG-16 net. This study used 2198 cervix images with 1090 belonging to negative class and 1108 to positive class. Our experiment using hybrid transfer learning achieved an accuracy of 91.46%.</t>
  </si>
  <si>
    <t>V. Kudva, K. Prasad and S. Guruvare</t>
  </si>
  <si>
    <t>Automatic choroidal segmentation in OCT images using supervised deep learning methods</t>
  </si>
  <si>
    <t>The analysis of the choroid in the eye is crucial for our understanding of a range of ocular diseases and physiological processes. Optical coherence tomography (OCT) imaging provides the ability to capture highly detailed cross-sectional images of the choroid yet only a very limited number of commercial OCT instruments provide methods for automatic segmentation of choroidal tissue. Manual annotation of the choroidal boundaries is often performed but this is impractical due to the lengthy time taken to analyse large volumes of images. Therefore, there is a pressing need for reliable and accurate methods to automatically segment choroidal tissue boundaries in OCT images. In this work, a variety of patch-based and fully-convolutional deep learning methods are proposed to accurately determine the location of the choroidal boundaries of interest. The effect of network architecture, patch-size and contrast enhancement methods was tested to better understand the optimal architecture and approach to maximize performance. The results are compared with manual boundary segmentation used as a ground-truth, as well as with a standard image analysis technique. Results of total retinal layer segmentation are also presented for comparison purposes. The findings presented here demonstrate the benefit of deep learning methods for segmentation of the chorio-retinal boundary analysis in OCT images.</t>
  </si>
  <si>
    <t>i3PosNet: instrument pose estimation from X-ray in temporal bone surgery</t>
  </si>
  <si>
    <t>PURPOSE: Accurate estimation of the position and orientation (pose) of surgical instruments is crucial for delicate minimally invasive temporal bone surgery. Current techniques lack in accuracy and/or line-of-sight constraints (conventional tracking systems) or expose the patient to prohibitive ionizing radiation (intra-operative CT). A possible solution is to capture the instrument with a c-arm at irregular intervals and recover the pose from the image. METHODS: i3PosNet infers the position and orientation of instruments from images using a pose estimation network. Said framework considers localized patches and outputs pseudo-landmarks. The pose is reconstructed from pseudo-landmarks by geometric considerations. RESULTS: We show i3PosNet reaches errors [Formula: see text] mm. It outperforms conventional image registration-based approaches reducing average and maximum errors by at least two thirds. i3PosNet trained on synthetic images generalizes to real X-rays without any further adaptation. CONCLUSION: The translation of deep learning-based methods to surgical applications is difficult, because large representative datasets for training and testing are not available. This work empirically shows sub-millimeter pose estimation trained solely based on synthetic training data.</t>
  </si>
  <si>
    <t>10.1016/j.acra.2019.10.003</t>
  </si>
  <si>
    <t>Artificial Intelligence, Radiology, and Tuberculosis: A Review</t>
  </si>
  <si>
    <t>Tuberculosis is a leading cause of death from infectious disease worldwide, and is an epidemic in many developing nations. Countries where the disease is common also tend to have poor access to medical care, including diagnostic tests. Recent advancements in artificial intelligence may help to bridge this gap. In this article, we review the applications of artificial intelligence in the diagnosis of tuberculosis using chest radiography, covering simple computer-aided diagnosis systems to more advanced deep learning algorithms. In so doing, we will demonstrate an area where artificial intelligence could make a substantial contribution to global health through improved diagnosis in the future.</t>
  </si>
  <si>
    <t>10.1016/j.acra.2019.10.001</t>
  </si>
  <si>
    <t>Artificial Intelligence in Medicine: Where Are We Now?</t>
  </si>
  <si>
    <t>Artificial intelligence in medicine has made dramatic progress in recent years. However, much of this progress is seemingly scattered, lacking a cohesive structure for the discerning observer. In this article, we will provide an up-to-date review of artificial intelligence in medicine, with a specific focus on its application to radiology, pathology, ophthalmology, and dermatology. We will discuss a range of selected papers that illustrate the potential uses of artificial intelligence in a technologically advanced future.</t>
  </si>
  <si>
    <t>Artificial intelligence in orthodontics : Evaluation of a fully automated cephalometric analysis using a customized convolutional neural network</t>
  </si>
  <si>
    <t>PURPOSE: The aim of this investigation was to create an automated cephalometric X‑ray analysis using a specialized artificial intelligence (AI) algorithm. We compared the accuracy of this analysis to the current gold standard (analyses performed by human experts) to evaluate precision and clinical application of such an approach in orthodontic routine. METHODS: For training of the network, 12 experienced examiners identified 18 landmarks on a total of 1792 cephalometric X‑rays. To evaluate quality of the predictions of the AI, both AI and each examiner analyzed 12 commonly used orthodontic parameters on a basis of 50 cephalometric X‑rays that were not part of the training data for the AI. Median values of the 12 examiners for each parameter were defined as humans' gold standard and compared to the AI's predictions. RESULTS: There were almost no statistically significant differences between humans' gold standard and the AI's predictions. Differences between the two analyses do not seem to be clinically relevant. CONCLUSIONS: We created an AI algorithm able to analyze unknown cephalometric X‑rays at almost the same quality level as experienced human examiners (current gold standard). This study is one of the first to successfully enable implementation of AI into dentistry, in particular orthodontics, satisfying medical requirements.</t>
  </si>
  <si>
    <t>F. Kunz, A. Stellzig-Eisenhauer, F. Zeman and J. Boldt</t>
  </si>
  <si>
    <t>J Orofac Orthop</t>
  </si>
  <si>
    <t>Expert-level detection of acute intracranial hemorrhage on head computed tomography using deep learning</t>
  </si>
  <si>
    <t>Computed tomography (CT) of the head is used worldwide to diagnose neurologic emergencies. However, expertise is required to interpret these scans, and even highly trained experts may miss subtle life-threatening findings. For head CT, a unique challenge is to identify, with perfect or near-perfect sensitivity and very high specificity, often small subtle abnormalities on a multislice cross-sectional (three-dimensional [3D]) imaging modality that is characterized by poor soft tissue contrast, low signal-to-noise using current low radiation-dose protocols, and a high incidence of artifacts. We trained a fully convolutional neural network with 4,396 head CT scans performed at the University of California at San Francisco and affiliated hospitals and compared the algorithm's performance to that of 4 American Board of Radiology (ABR) certified radiologists on an independent test set of 200 randomly selected head CT scans. Our algorithm demonstrated the highest accuracy to date for this clinical application, with a receiver operating characteristic (ROC) area under the curve (AUC) of 0.991 ± 0.006 for identification of examinations positive for acute intracranial hemorrhage, and also exceeded the performance of 2 of 4 radiologists. We demonstrate an end-to-end network that performs joint classification and segmentation with examination-level classification comparable to experts, in addition to robust localization of abnormalities, including some that are missed by radiologists, both of which are critically important elements for this application.</t>
  </si>
  <si>
    <t>Segmentation of finger tendon and synovial sheath in ultrasound image using deep convolutional neural network</t>
  </si>
  <si>
    <t>BACKGROUND: Trigger finger is a common hand disease, which is caused by a mismatch in diameter between the tendon and the pulley. Ultrasound images are typically used to diagnose this disease, which are also used to guide surgical treatment. However, background noise and unclear tissue boundaries in the images increase the difficulty of the process. To overcome these problems, a computer-aided tool for the identification of finger tissue is needed. RESULTS: Two datasets were used for evaluation: one comprised different cases of individual images and another consisting of eight groups of continuous images. Regarding result similarity and contour smoothness, our proposed deeply supervised dilated fully convolutional DenseNet (D2FC-DN) is better than ATASM (the state-of-art segmentation method) and representative CNN methods. As a practical application, our proposed method can be used to build a tendon and synovial sheath model that can be used in a training system for ultrasound-guided trigger finger surgery. CONCLUSION: We proposed a D2FC-DN for finger tendon and synovial sheath segmentation in ultrasound images. The segmentation results were remarkably accurate for two datasets. It can be applied to assist the diagnosis of trigger finger by highlighting the tissues and generate models for surgical training systems in the future. METHODS: We propose a novel finger tendon segmentation method for use with ultrasound images that can also be used for synovial sheath segmentation that yields a more complete description for analysis. In this study, a hybrid of effective convolutional neural network techniques are applied, resulting in a deeply supervised dilated fully convolutional DenseNet (D2FC-DN), which displayed excellent segmentation performance on the tendon and synovial sheath.</t>
  </si>
  <si>
    <t>Segmentation and Classification in Digital Pathology for Glioma Research: Challenges and Deep Learning Approaches</t>
  </si>
  <si>
    <t>Biomedical imaging Is an important source of information in cancer research. Characterizations of cancer morphology at onset, progression, and in response to treatment provide complementary information to that gleaned from genomics and clinical data. Accurate extraction and classification of both visual and latent image features Is an increasingly complex challenge due to the increased complexity and resolution of biomedical image data. In this paper, we present four deep learning-based image analysis methods from the Computational Precision Medicine (CPM) satellite event of the 21st International Medical Image Computing and Computer Assisted Intervention (MICCAI 2018) conference. One method Is a segmentation method designed to segment nuclei in whole slide tissue images (WSIs) of adult diffuse glioma cases. It achieved a Dice similarity coefficient of 0.868 with the CPM challenge datasets. Three methods are classification methods developed to categorize adult diffuse glioma cases into oligodendroglioma and astrocytoma classes using radiographic and histologic image data. These methods achieved accuracy values of 0.75, 0.80, and 0.90, measured as the ratio of the number of correct classifications to the number of total cases, with the challenge datasets. The evaluations of the four methods indicate that (1) carefully constructed deep learning algorithms are able to produce high accuracy in the analysis of biomedical image data and (2) the combination of radiographic with histologic image information improves classification performance.</t>
  </si>
  <si>
    <t>CBCT correction using a cycle-consistent generative adversarial network and unpaired training to enable photon and proton dose calculation</t>
  </si>
  <si>
    <t>In presence of inter-fractional anatomical changes, clinical benefits are anticipated from image-guided adaptive radiotherapy. Nowadays, cone-beam CT (CBCT) imaging is mostly utilized during pre-treatment imaging for position verification. Due to various artifacts, image quality is typically not sufficient for photon or proton dose calculation, thus demanding accurate CBCT correction, as potentially provided by deep learning techniques. This work aimed at investigating the feasibility of utilizing a cycle-consistent generative adversarial network (cycleGAN) for prostate CBCT correction using unpaired training. Thirty-three patients were included. The network was trained to translate uncorrected, original CBCT images (CBCT(org)) into planning CT equivalent images (CBCT(cycleGAN)). HU accuracy was determined by comparison to a previously validated CBCT correction technique (CBCT(cor)). Dosimetric accuracy was inferred for volumetric-modulated arc photon therapy (VMAT) and opposing single-field uniform dose (OSFUD) proton plans, optimized on CBCT(cor) and recalculated on CBCT(cycleGAN). Single-sided SFUD proton plans were utilized to assess proton range accuracy. The mean HU error of CBCT(cycleGAN) with respect to CBCT(cor) decreased from 24 HU for CBCT(org) to  -6 HU. Dose calculation accuracy was high for VMAT, with average pass-rates of 100%/89% for a 2%/1% dose difference criterion. For proton OSFUD plans, the average pass-rate for a 2% dose difference criterion was 80%. Using a (2%, 2 mm) gamma criterion, the pass-rate was 96%. 93% of all analyzed SFUD profiles had a range agreement better than 3 mm. CBCT correction time was reduced from 6-10 min for CBCT(cor) to 10 s for CBCT(cycleGAN). Our study demonstrated the feasibility of utilizing a cycleGAN for CBCT correction, achieving high dose calculation accuracy for VMAT. For proton therapy, further improvements may be required. Due to unpaired training, the approach does not rely on anatomically consistent training data or potentially inaccurate deformable image registration. The substantial speed-up for CBCT correction renders the method particularly interesting for adaptive radiotherapy.</t>
  </si>
  <si>
    <t>Automated sub-cortical brain structure segmentation combining spatial and deep convolutional features</t>
  </si>
  <si>
    <t>Sub-cortical brain structure segmentation in Magnetic Resonance Images (MRI) has attracted the interest of the research community for a long time as morphological changes in these structures are related to different neurodegenerative disorders. However, manual segmentation of these structures can be tedious and prone to variability, highlighting the need for robust automated segmentation methods. In this paper, we present a novel convolutional neural network based approach for accurate segmentation of the sub-cortical brain structures that combines both convolutional and prior spatial features for improving the segmentation accuracy. In order to increase the accuracy of the automated segmentation, we propose to train the network using a restricted sample selection to force the network to learn the most difficult parts of the structures. We evaluate the accuracy of the proposed method on the public MICCAI 2012 challenge and IBSR 18 datasets, comparing it with different traditional and deep learning state-of-the-art methods. On the MICCAI 2012 dataset, our method shows an excellent performance comparable to the best participant strategy on the challenge, while performing significantly better than state-of-the-art techniques such as FreeSurfer and FIRST. On the IBSR 18 dataset, our method also exhibits a significant increase in the performance with respect to not only FreeSurfer and FIRST, but also comparable or better results than other recent deep learning approaches. Moreover, our experiments show that both the addition of the spatial priors and the restricted sampling strategy have a significant effect on the accuracy of the proposed method. In order to encourage the reproducibility and the use of the proposed method, a public version of our approach is available to download for the neuroimaging community.</t>
  </si>
  <si>
    <t>K. Kushibar, S. Valverde, S. González-Villà, J. Bernal, M. Cabezas, A. Oliver and X. Lladó</t>
  </si>
  <si>
    <t>Retrospective correction of motion-affected MR images using deep learning frameworks</t>
  </si>
  <si>
    <t>PURPOSE: Motion is 1 extrinsic source for imaging artifacts in MRI that can strongly deteriorate image quality and, thus, impair diagnostic accuracy. In addition to involuntary physiological motion such as respiration and cardiac motion, intended and accidental patient movements can occur. Any impairment by motion artifacts can reduce the reliability and precision of the diagnosis and a motion-free reacquisition can become time- and cost-intensive. Numerous motion correction strategies have been proposed to reduce or prevent motion artifacts. These methods have in common that they need to be applied during the actual measurement procedure with a-priori knowledge about the expected motion type and appearance. For retrospective motion correction and without the existence of any a-priori knowledge, this problem is still challenging. METHODS: We propose the use of deep learning frameworks to perform retrospective motion correction in a reference-free setting by learning from pairs of motion-free and motion-affected images. For this image-to-image translation problem, we propose and compare a variational auto encoder and generative adversarial network. Feasibility and influences of motion type and optimal architecture are investigated by blinded subjective image quality assessment and by quantitative image similarity metrics. RESULTS: We observed that generative adversarial network-based motion correction is feasible producing near-realistic motion-free images as confirmed by blinded subjective image quality assessment. Generative adversarial network-based motion correction accordingly resulted in images with high evaluation metrics (normalized root mean squared error &lt;0.08, structural similarity index &gt;0.8, normalized mutual information &gt;0.9). CONCLUSION: Deep learning-based retrospective restoration of motion artifacts is feasible resulting in near-realistic motion-free images. However, the image translation task can alter or hide anatomical features and, therefore, the clinical applicability of this technique has to be evaluated in future studies.</t>
  </si>
  <si>
    <t>CINENet: deep learning-based 3D cardiac CINE MRI reconstruction with multi-coil complex-valued 4D spatio-temporal convolutions</t>
  </si>
  <si>
    <t>Cardiac CINE magnetic resonance imaging is the gold-standard for the assessment of cardiac function. Imaging accelerations have shown to enable 3D CINE with left ventricular (LV) coverage in a single breath-hold. However, 3D imaging remains limited to anisotropic resolution and long reconstruction times. Recently deep learning has shown promising results for computationally efficient reconstructions of highly accelerated 2D CINE imaging. In this work, we propose a novel 4D (3D + time) deep learning-based reconstruction network, termed 4D CINENet, for prospectively undersampled 3D Cartesian CINE imaging. CINENet is based on (3 + 1)D complex-valued spatio-temporal convolutions and multi-coil data processing. We trained and evaluated the proposed CINENet on in-house acquired 3D CINE data of 20 healthy subjects and 15 patients with suspected cardiovascular disease. The proposed CINENet network outperforms iterative reconstructions in visual image quality and contrast (+ 67% improvement). We found good agreement in LV function (bias ± 95% confidence) in terms of end-systolic volume (0 ± 3.3 ml), end-diastolic volume (- 0.4 ± 2.0 ml) and ejection fraction (0.1 ± 3.2%) compared to clinical gold-standard 2D CINE, enabling single breath-hold isotropic 3D CINE in less than 10 s scan and ~ 5 s reconstruction time.</t>
  </si>
  <si>
    <t>A machine-learning framework for automatic reference-free quality assessment in MRI</t>
  </si>
  <si>
    <t>Magnetic resonance (MR) imaging offers a wide variety of imaging techniques. A large amount of data is created per examination which needs to be checked for sufficient quality in order to derive a meaningful diagnosis. This is a manual process and therefore time- and cost-intensive. Any imaging artifacts originating from scanner hardware, signal processing or induced by the patient may reduce the image quality and complicate the diagnosis or any image post-processing. Therefore, the assessment or the ensurance of sufficient image quality in an automated manner is of high interest. Usually no reference image is available or difficult to define. Therefore, classical reference-based approaches are not applicable. Model observers mimicking the human observers (HO) can assist in this task. Thus, we propose a new machine-learning-based reference-free MR image quality assessment framework which is trained on HO-derived labels to assess MR image quality immediately after each acquisition. We include the concept of active learning and present an efficient blinded reading platform to reduce the effort in the HO labeling procedure. Derived image features and the applied classifiers (support-vector-machine, deep neural network) are investigated for a cohort of 250 patients. The MR image quality assessment framework can achieve a high test accuracy of 93.7% for estimating quality classes on a 5-point Likert-scale. The proposed MR image quality assessment framework is able to provide an accurate and efficient quality estimation which can be used as a prospective quality assurance including automatic acquisition adaptation or guided MR scanner operation, and/or as a retrospective quality assessment including support of diagnostic decisions or quality control in cohort studies.</t>
  </si>
  <si>
    <t>T. Küstner, S. Gatidis, A. Liebgott, M. Schwartz, L. Mauch, P. Martirosian, H. Schmidt, N. F. Schwenzer, K. Nikolaou, F. Bamberg, B. Yang and F. Schick</t>
  </si>
  <si>
    <t>10.1007/s11886-020-01348-4</t>
  </si>
  <si>
    <t>Radiomics in Echocardiography: Deep Learning and Echocardiographic Analysis</t>
  </si>
  <si>
    <t>PURPOSE OF REVIEW: Recent development in artificial intelligence (AI) for cardiovascular imaging analysis, involving deep learning, is the start of a new phase in the research field. We review the current state of AI in cardiovascular field and discuss about its potential to improve clinical workflows and accuracy of diagnosis. RECENT FINDINGS: In the AI cardiovascular imaging field, there are many applications involving efficient image reconstruction, patient triage, and support for clinical decisions. These tools have a role to support repetitive clinical tasks. Although they will be powerful in some situations, these applications may have new potential in the hands of echo cardiologists, assisting but not replacing the human observer. We believe AI has the potential to improve the quality of echocardiography. Someday AI may be incorporated into the daily clinical setting, being an instrumental tool for cardiologists dealing with cardiovascular diseases.</t>
  </si>
  <si>
    <t>K. Kusunose</t>
  </si>
  <si>
    <t>A Deep Learning Approach for Assessment of Regional Wall Motion Abnormality From Echocardiographic Images</t>
  </si>
  <si>
    <t>OBJECTIVES: This study investigated whether a deep convolutional neural network (DCNN) could provide improved detection of regional wall motion abnormalities (RWMAs) and differentiate among groups of coronary infarction territories from conventional 2-dimensional echocardiographic images compared with that of cardiologists, sonographers, and resident readers. BACKGROUND: An effective intervention for reduction of misreading of RWMAs is needed. The hypothesis was that a DCNN trained using echocardiographic images would provide improved detection of RWMAs in the clinical setting. METHODS: A total of 300 patients with a history of myocardial infarction were enrolled. From this cohort, 3 groups of 100 patients each had infarctions of the left anterior descending (LAD) artery, the left circumflex (LCX) branch, and the right coronary artery (RCA). A total of 100 age-matched control patients with normal wall motion were selected from a database. Each case contained cardiac ultrasonographs from short-axis views at end-diastolic, mid-systolic, and end-systolic phases. After the DCNN underwent 100 steps of training, diagnostic accuracies were calculated from the test set. Independently, 10 versions of the same model were trained, and ensemble predictions were performed using those versions. RESULTS: For detection of the presence of WMAs, the area under the receiver-operating characteristic curve (AUC) produced by the deep learning algorithm was similar to that produced by the cardiologists and sonographer readers (0.99 vs. 0.98, respectively; p = 0.15) and significantly higher than the AUC result of the resident readers (0.99 vs. 0.90, respectively; p = 0.002). For detection of territories of WMAs, the AUC by the deep learning algorithm was similar to the AUC by the cardiologist and sonographer readers (0.97 vs. 0.95, respectively; p = 0.61) and significantly higher than the AUC by resident readers (0.97 vs. 0.83, respectively; p = 0.003). From a validation group at an independent site (n = 40), the AUC by the deep learning algorithm was 0.90. CONCLUSIONS: The present results support the possibility of using DCNN for automated diagnosis of RWMAs in the field of echocardiography.</t>
  </si>
  <si>
    <t>10.1253/circj.CJ-19-0420</t>
  </si>
  <si>
    <t>Utilization of Artificial Intelligence in Echocardiography</t>
  </si>
  <si>
    <t>Echocardiography has a central role in the diagnosis and management of cardiovascular disease. Precise and reliable echocardiographic assessment is required for clinical decision-making. Even if the development of new technologies (3-dimentional echocardiography, speckle-tracking, semi-automated analysis, etc.), the final decision on analysis is strongly dependent on operator experience. Diagnostic errors are a major unresolved problem. Moreover, not only can cardiologists differ from one another in image interpretation, but also the same observer may come to different findings when a reading is repeated. Daily high workloads in clinical practice may lead to this error, and all cardiologists require precise perception in this field. Artificial intelligence (AI) has the potential to improve analysis and interpretation of medical images to a new stage compared with previous algorithms. From our comprehensive review, we believe AI has the potential to improve accuracy of diagnosis, clinical management, and patient care. Although there are several concerns about the required large dataset and black box algorithm, AI can provide satisfactory results in this field. In the future, it will be necessary for cardiologists to adapt their daily practice to incorporate AI in this new stage of echocardiography.</t>
  </si>
  <si>
    <t>K. Kusunose, A. Haga, T. Abe and M. Sata</t>
  </si>
  <si>
    <t>Circ J</t>
  </si>
  <si>
    <t>Deep learning systems for detecting and classifying the presence of impacted supernumerary teeth in the maxillary incisor region on panoramic radiographs</t>
  </si>
  <si>
    <t>OBJECTIVE: This investigation aimed to verify and compare the performance of 3 deep learning systems for classifying maxillary impacted supernumerary teeth (ISTs) in patients with fully erupted incisors. STUDY DESIGN: In total, the study included 550 panoramic radiographs obtained from 275 patients with at least 1 IST and 275 patients without ISTs in the maxillary incisor region. Three learning models were created by using AlexNet, VGG-16, and DetectNet. Four hundred images were randomly selected as training data, and 100 images were assigned as validating and testing data. The remaining 50 images were used as new testing data. The sensitivity, specificity, accuracy, and area under the receiver operating characteristic curve were calculated. Detection performance was evaluated by using recall, precision, and F-measure. RESULTS: DetectNet generally produced the highest values of diagnostic efficacy. VGG-16 yielded significantly lower values compared with DetectNet and AlexNet. Assessment of the detection performance of DetectNet showed that recall, precision, and F-measure for detection in the incisor region were all 1.0, indicating perfect detection. CONCLUSIONS: DetectNet and AlexNet appear to have potential use in classifying the presence of ISTs in the maxillary incisor region on panoramic radiographs. Additionally, DetectNet would be suitable for automatic detection of this abnormality.</t>
  </si>
  <si>
    <t>Current status of artificial intelligence analysis for endoscopic ultrasonography</t>
  </si>
  <si>
    <t>Endoscopic ultrasonography (EUS) is an essential diagnostic tool for various types of pancreatic diseases such as pancreatic tumors and chronic pancreatitis; however, EUS imaging has low specificity for the diagnosis of pancreatic diseases. Artificial intelligence (AI) is a mathematical prediction technique that automates learning and recognizes patterns in data. This review describes the details and principles of AI and deep learning algorithms. The term AI does not have any definite definition; almost all AI systems fall under narrow AI, which can handle single or limited tasks. Deep learning is based on neural networks, which is a machine learning technique that is widely used in the medical field. Deep learning involves three phases: data collection and annotation, building the deep learning architecture, and training and ability validation. For medical image diagnosis, image classification, object detection, and semantic segmentation are performed. In EUS, AI is used for detecting anatomical features, differential pancreatic tumors, and cysts. For this, conventional machine learning architectures are used, and deep learning architecture has been used in only two reports. Although the diagnostic abilities in these reports were about 85-95%, these were exploratory research and very few reports have included substantial evidence. AI is increasingly being used for medical image diagnosis due to its high performance and will soon become an essential technique for medical diagnosis.</t>
  </si>
  <si>
    <t>Dig Endosc</t>
  </si>
  <si>
    <t>Usefulness of Deep Learning Analysis for the Diagnosis of Malignancy in Intraductal Papillary Mucinous Neoplasms of the Pancreas</t>
  </si>
  <si>
    <t>OBJECTIVES: Intraductal papillary mucinous neoplasms (IPMNs) are precursor lesions of pancreatic adenocarcinoma. Artificial intelligence (AI) is a mathematical concept whose implementation automates learning and recognizing data patterns. The aim of this study was to investigate whether AI via deep learning algorithms using endoscopic ultrasonography (EUS) images of IPMNs could predict malignancy. METHODS: This retrospective study involved the analysis of patients who underwent EUS before pancreatectomy and had pathologically confirmed IPMNs in a single cancer center. In total, 3,970 still images were collected and fed as input into the deep learning algorithm. AI value and AI malignant probability were calculated. RESULTS: The mean AI value of malignant IPMNs was significantly greater than benign IPMNs (0.808 vs 0.104, P &lt; 0.001). The area under the receiver operating characteristic curve for the ability to diagnose malignancies of IPMNs via AI malignant probability was 0.98 (P &lt; 0.001). The sensitivity, specificity, and accuracy of AI malignant probability were 95.7%, 92.6%, and 94.0%, respectively; its accuracy was higher than human diagnosis (56.0%) and the mural nodule (68.0%). Multivariate logistic regression analysis showed AI malignant probability to be the only independent factor for IPMN-associated malignancy (odds ratio: 295.16, 95% confidence interval: 14.13-6,165.75, P &lt; 0.001). DISCUSSION: AI via deep learning algorithm may be a more accurate and objective method to diagnose malignancies of IPMNs in comparison to human diagnosis and conventional EUS features.</t>
  </si>
  <si>
    <t>Clin Transl Gastroenterol</t>
  </si>
  <si>
    <t>Performance of deep learning object detection technology in the detection and diagnosis of maxillary sinus lesions on panoramic radiographs</t>
  </si>
  <si>
    <t>OBJECTIVE: The first aim of this study was to determine the performance of a deep learning object detection technique in the detection of maxillary sinuses on panoramic radiographs. The second aim was to clarify the performance in the classification of maxillary sinus lesions compared with healthy maxillary sinuses. METHODS: The imaging data for healthy maxillary sinuses (587 sinuses, Class 0), inflamed maxillary sinuses (416 sinuses, Class 1), cysts of maxillary sinus regions (171 sinuses, Class 2) were assigned to training, testing 1, and testing 2 data sets. A learning process of 1000 epochs with the training images and labels was performed using DetectNet, and a learning model was created. The testing 1 and testing 2 images were applied to the model, and the detection sensitivities and the false-positive rates per image were calculated. The accuracies, sensitivities and specificities were determined for distinguishing the inflammation group (Class 1) and cyst group (Class 2) with respect to the healthy group (Class 0). RESULTS: Detection sensitivities of healthy (Class 0) and inflamed (Class 1) maxillary sinuses were 100% for both testing 1 and testing 2 data sets, whereas they were 98 and 89% for cysts of the maxillary sinus regions (Class 2). False-positive rates per image were nearly 0.00. Accuracies, sensitivities and specificities for diagnosis maxillary sinusitis were 90-91%, 88-85%, and 91-96%, respectively; for cysts of the maxillary sinus regions, these values were 97-100%, 80-100%, and 100-100%, respectively. CONCLUSION: Deep learning could reliably detect the maxillary sinuses and identify maxillary sinusitis and cysts of the maxillary sinus regions. ADVANCES IN KNOWLEDGE: This study using a deep leaning object detection technique indicated that the detection sensitivities of maxillary sinuses were high and the performance of maxillary sinus lesion identification was ≧80%. In particular, performance of sinusitis identification was ≧90%.</t>
  </si>
  <si>
    <t>Automatic mandibular canal detection using a deep convolutional neural network</t>
  </si>
  <si>
    <t>The practicability of deep learning techniques has been demonstrated by their successful implementation in varied fields, including diagnostic imaging for clinicians. In accordance with the increasing demands in the healthcare industry, techniques for automatic prediction and detection are being widely researched. Particularly in dentistry, for various reasons, automated mandibular canal detection has become highly desirable. The positioning of the inferior alveolar nerve (IAN), which is one of the major structures in the mandible, is crucial to prevent nerve injury during surgical procedures. However, automatic segmentation using Cone beam computed tomography (CBCT) poses certain difficulties, such as the complex appearance of the human skull, limited number of datasets, unclear edges, and noisy images. Using work-in-progress automation software, experiments were conducted with models based on 2D SegNet, 2D and 3D U-Nets as preliminary research for a dental segmentation automation tool. The 2D U-Net with adjacent images demonstrates higher global accuracy of 0.82 than naïve U-Net variants. The 2D SegNet showed the second highest global accuracy of 0.96, and the 3D U-Net showed the best global accuracy of 0.99. The automated canal detection system through deep learning will contribute significantly to efficient treatment planning and to reducing patients' discomfort by a dentist. This study will be a preliminary report and an opportunity to explore the application of deep learning to other dental fields.</t>
  </si>
  <si>
    <t>10.1007/s11892-019-1226-2</t>
  </si>
  <si>
    <t>Imaging and Biomarkers in Diabetic Macular Edema and Diabetic Retinopathy</t>
  </si>
  <si>
    <t>PURPOSE OF REVIEW: Diabetic retinopathy (DR) is the leading cause of acquired vision loss in adults across the globe. Early identification and treatment of patients with DR is paramount for vision preservation. The aim of this review paper is to outline current and new imaging techniques and biomarkers that are valuable for clinical diagnosis and management of DR. RECENT FINDINGS: Ultrawide field imaging and automated deep learning algorithms are recent advancements on traditional fundus photography and fluorescein angiography. Optical coherence tomography (OCT) and OCT angiography are techniques that image retinal anatomy and vasculature and OCT is routinely used to monitor response to treatment. Many circulating, vitreous, and genetic biomarkers have been studied to facilitate disease detection and development of new treatments. Recent advancements in retinal imaging and identification of promising new biomarkers for DR have the potential to increase detection, risk stratification, and treatment for patients with DR.</t>
  </si>
  <si>
    <t>Evaluating Accuracy of Respiratory Rate Estimation from Super Resolved Thermal Imagery</t>
  </si>
  <si>
    <t>Non-contact estimation of Respiratory Rate (RR) has revolutionized the process of establishing the measurement by surpassing some issues related to attaching sensors to a body, e.g. epidermal stripping, skin disruption and pain. In this study, we perform further experiments with image processing-based RR estimation by using various image enhancement algorithms. Specifically, we employ Super Resolution (SR) Deep Learning (DL) network to generate hallucinated thermal image sequences that are then analyzed to extract breathing signals. DL-based SR networks have been proved to increase image quality in terms of Peak Signal-to-Noise ratio. However, it hasn't been evaluated yet whether it leads to better RR estimation accuracy, what we address in this study. Our research confirms that for estimator based on the dominated peak in the frequency spectrum Root Mean Squared Error improves by 0.15bpm for 8-bit and by 0.84bpm for 16-bit data comparing to original sequences if hallucinated frames are used. Mean Absolute Error is reduced by 0.63bpm for average aggregator and by 2.06bpm for skewness. This finding can enable various remote monitoring solutions that may suffer from poorer accuracy due to low spatial resolution of utilized thermal cameras.</t>
  </si>
  <si>
    <t>Deep learning algorithms for detecting and visualising intussusception on plain abdominal radiography in children: a retrospective multicenter study</t>
  </si>
  <si>
    <t>This study aimed to verify a deep convolutional neural network (CNN) algorithm to detect intussusception in children using a human-annotated data set of plain abdominal X-rays from affected children. From January 2005 to August 2019, 1449 images were collected from plain abdominal X-rays of patients ≤ 6 years old who were diagnosed with intussusception while 9935 images were collected from patients without intussusception from three tertiary academic hospitals (A, B, and C data sets). Single Shot MultiBox Detector and ResNet were used for abdominal detection and intussusception classification, respectively. The diagnostic performance of the algorithm was analysed using internal and external validation tests. The internal test values after training with two hospital data sets were 0.946 to 0.971 for the area under the receiver operating characteristic curve (AUC), 0.927 to 0.952 for the highest accuracy, and 0.764 to 0.848 for the highest Youden index. The values from external test using the remaining data set were all lower (P-value &lt; 0.001). The mean values of the internal test with all data sets were 0.935 and 0.743 for the AUC and Youden Index, respectively. Detection of intussusception by deep CNN and plain abdominal X-rays could aid in screening for intussusception in children.</t>
  </si>
  <si>
    <t>Deep learning for predicting in-hospital mortality among heart disease patients based on echocardiography</t>
  </si>
  <si>
    <t>BACKGROUND: Heart disease (HD) is the leading cause of global death; there are several mortality prediction models of HD for identifying critically-ill patients and for guiding decision making. The existing models, however, cannot be used during initial treatment or screening. This study aimed to derive and validate an echocardiography-based mortality prediction model for HD using deep learning (DL). METHODS: In this multicenter retrospective cohort study, the subjects were admitted adult (age ≥ 18 years) HD patients who underwent echocardiography. The outcome was in-hospital mortality. We extracted predictor variables from echocardiography reports using text mining. We developed deep learning-based prediction model using derivation data of a hospital A. And we conducted external validation using echocardiography report of hospital B. We conducted subgroup analysis of coronary heart disease (CHD) and heart failure (HF) patients of hospital B and compared DL with the currently used predictive models (eg, Global Registry of Acute Coronary Events (GRACE) score, Thrombolysis in Myocardial Infarction score (TIMI), Meta-Analysis Global Group in Chronic Heart Failure (MAGGIC) score, and Get With The Guidelines-Heart Failure (GWTG-HF) score). RESULTS: The study subjects comprised 25 776 patients with 1026 mortalities. The areas under the receiver operating characteristic curve (AUROC) of the DL model were 0.912, 0.898, 0.958, and 0.913 for internal validation, external validation, CHD, and HF, respectively, and these results significantly outperformed other comparison models. CONCLUSIONS: This echocardiography-based deep learning model predicted in-hospital mortality among HD patients more accurately than existing prediction models and other machine learning models.</t>
  </si>
  <si>
    <t>J. M. Kwon, K. H. Kim, K. H. Jeon and J. Park</t>
  </si>
  <si>
    <t>Automatic diagnosis for cysts and tumors of both jaws on panoramic radiographs using a deep convolution neural network</t>
  </si>
  <si>
    <t>OBJECTIVES: The purpose of this study was to automatically diagnose odontogenic cysts and tumors of both jaws on panoramic radiographs using deep learning. We proposed a novel framework of deep convolution neural network (CNN) with data augmentation for detection and classification of the multiple diseases. METHODS: We developed a deep CNN modified from YOLOv3 for detecting and classifying odontogenic cysts and tumors of both jaws. Our data set of 1282 panoramic radiographs comprised 350 dentigerous cysts (DCs), 302 periapical cysts (PCs), 300 odontogenic keratocysts (OKCs), 230 ameloblastomas (ABs), and 100 normal jaws with no disease. In addition, the number of radiographs was augmented 12-fold by flip, rotation, and intensity changes. We evaluated the classification performance of the developed CNN by calculating sensitivity, specificity, accuracy, and area under the curve (AUC) for diseases of both jaws. RESULTS: The overall classification performance for the diseases improved from 78.2% sensitivity, 93.9% specificity,91.3% accuracy, and 0.86 AUC using the CNN with unaugmented data set to 88.9% sensitivity, 97.2% specificity, 95.6% accuracy, and 0.94 AUC using the CNN with augmented data set. CNN using augmented data set had the following sensitivities, specificities, accuracies, and AUCs: 91.4%, 99.2%, 97.8%, and 0.96 for DCs, 82.8%, 99.2%, 96.2%, and 0.92 for PCs, 98.4%,92.3%,94.0%, and 0.97 for OKCs, 71.7%, 100%, 94.3%, and 0.86 for ABs, and 100.0%, 95.1%, 96.0%, and 0.97 for normal jaws, respectively. CONCLUSION: The CNN method we developed for automatically diagnosing odontogenic cysts and tumors of both jaws on panoramic radiographs using data augmentation showed high sensitivity, specificity, accuracy, and AUC despite the limited number of panoramic images involved.</t>
  </si>
  <si>
    <t>Deep learning approaches for detection and removal of ghosting artifacts in MR spectroscopy</t>
  </si>
  <si>
    <t>S. P. Kyathanahally, A. Döring and R. Kreis</t>
  </si>
  <si>
    <t>W. W. Labaki and M. K. Han</t>
  </si>
  <si>
    <t>Optimizing MRF-ASL scan design for precise quantification of brain hemodynamics using neural network regression</t>
  </si>
  <si>
    <t>PURPOSE: Arterial Spin Labeling (ASL) is a quantitative, non-invasive alternative for perfusion imaging that does not use contrast agents. The magnetic resonance fingerprinting (MRF) framework can be adapted to ASL to estimate multiple physiological parameters simultaneously. In this work, we introduce an optimization scheme to increase the sensitivity of the ASL fingerprint. We also propose a regression based estimation framework for MRF-ASL. METHODS: To improve the sensitivity of MRF-ASL signals to underlying parameters, we optimized ASL labeling durations using the Cramer-Rao Lower Bound (CRLB). This paper also proposes a neural network regression based estimation framework trained using noisy synthetic signals generated from our ASL signal model. We tested our methods in silico and in vivo, and compared with multiple post labeling delay (multi-PLD) ASL and unoptimized MRF-ASL. We present comparisons of estimated maps for the six parameters of our signal model. RESULTS: The scan design process facilitated precise estimates of multiple hemodynamic parameters and tissue properties from a single scan, in regions of normal gray and white matter, as well as regions with anomalous perfusion activity in the brain. In particular, there was a 86.7% correlation of perfusion estimates with the ground truth in silico, using our proposed techniques. In vivo, there was roughly a 7 fold improvement in the Coefficient of Variation (CoV) for white matter perfusion, and 2 fold improvement in gray matter perfusion CoV in comparison to a reference Multi PLD method. The regression based estimation approach provided perfusion estimates rapidly, with estimation times of around 1s per map. CONCLUSIONS: Scan design optimization, coupled with regression-based estimation is a powerful tool for improving precision in MRF-ASL.</t>
  </si>
  <si>
    <t>Learned Proximal Networks for Quantitative Susceptibility Mapping</t>
  </si>
  <si>
    <t>Quantitative Susceptibility Mapping (QSM) estimates tissue magnetic susceptibility distributions from Magnetic Resonance (MR) phase measurements by solving an ill-posed dipole inversion problem. Conventional single orientation QSM methods usually employ regularization strategies to stabilize such inversion, but may suffer from streaking artifacts or over-smoothing. Multiple orientation QSM such as calculation of susceptibility through multiple orientation sampling (COSMOS) can give well-conditioned inversion and an artifact free solution but has expensive acquisition costs. On the other hand, Convolutional Neural Networks (CNN) show great potential for medical image reconstruction, albeit often with limited interpretability. Here, we present a Learned Proximal Convolutional Neural Network (LP-CNN) for solving the ill-posed QSM dipole inversion problem in an iterative proximal gradient descent fashion. This approach combines the strengths of data-driven restoration priors and the clear interpretability of iterative solvers that can take into account the physical model of dipole convolution. During training, our LP-CNN learns an implicit regularizer via its proximal, enabling the decoupling between the forward operator and the data-driven parameters in the reconstruction algorithm. More importantly, this framework is believed to be the first deep learning QSM approach that can naturally handle an arbitrary number of phase input measurements without the need for any ad-hoc rotation or re-training. We demonstrate that the LP-CNN provides state-of-the-art reconstruction results compared to both traditional and deep learning methods while allowing for more flexibility in the reconstruction process.</t>
  </si>
  <si>
    <t>Medical Image Classification Based on Deep Features Extracted by Deep Model and Statistic Feature Fusion with Multilayer Perceptron(‬)</t>
  </si>
  <si>
    <t>Medical image classification is a key technique of Computer-Aided Diagnosis (CAD) systems. Traditional methods rely mainly on the shape, color, and/or texture features as well as their combinations, most of which are problem-specific and have shown to be complementary in medical images, which leads to a system that lacks the ability to make representations of high-level problem domain concepts and that has poor model generalization ability. Recent deep learning methods provide an effective way to construct an end-to-end model that can compute final classification labels with the raw pixels of medical images. However, due to the high resolution of the medical images and the small dataset size, deep learning models suffer from high computational costs and limitations in the model layers and channels. To solve these problems, in this paper, we propose a deep learning model that integrates Coding Network with Multilayer Perceptron (CNMP), which combines high-level features that are extracted from a deep convolutional neural network and some selected traditional features. The construction of the proposed model includes the following steps. First, we train a deep convolutional neural network as a coding network in a supervised manner, and the result is that it can code the raw pixels of medical images into feature vectors that represent high-level concepts for classification. Second, we extract a set of selected traditional features based on background knowledge of medical images. Finally, we design an efficient model that is based on neural networks to fuse the different feature groups obtained in the first and second step. We evaluate the proposed approach on two benchmark medical image datasets: HIS2828 and ISIC2017. We achieve an overall classification accuracy of 90.1% and 90.2%, respectively, which are higher than the current successful methods.</t>
  </si>
  <si>
    <t>Z. Lai and H. Deng</t>
  </si>
  <si>
    <t>10.1007/s10278-018-0079-6</t>
  </si>
  <si>
    <t>Hello World Deep Learning in Medical Imaging</t>
  </si>
  <si>
    <t>There is recent popularity in applying machine learning to medical imaging, notably deep learning, which has achieved state-of-the-art performance in image analysis and processing. The rapid adoption of deep learning may be attributed to the availability of machine learning frameworks and libraries to simplify their use. In this tutorial, we provide a high-level overview of how to build a deep neural network for medical image classification, and provide code that can help those new to the field begin their informatics projects.</t>
  </si>
  <si>
    <t>Machine Learning in Radiology: Applications Beyond Image Interpretation</t>
  </si>
  <si>
    <t>Much attention has been given to machine learning and its perceived impact in radiology, particularly in light of recent success with image classification in international competitions. However, machine learning is likely to impact radiology outside of image interpretation long before a fully functional machine radiologist is implemented in practice. Here, we describe an overview of machine learning, its application to radiology and other domains, and many cases of use that do not involve image interpretation. We hope that better understanding of these potential applications will help radiology practices prepare for the future and realize performance improvement and efficiency gains.</t>
  </si>
  <si>
    <t>Deep Learning at Chest Radiography: Automated Classification of Pulmonary Tuberculosis by Using Convolutional Neural Networks</t>
  </si>
  <si>
    <t>Purpose To evaluate the efficacy of deep convolutional neural networks (DCNNs) for detecting tuberculosis (TB) on chest radiographs. Materials and Methods Four deidentified HIPAA-compliant datasets were used in this study that were exempted from review by the institutional review board, which consisted of 1007 posteroanterior chest radiographs. The datasets were split into training (68.0%), validation (17.1%), and test (14.9%). Two different DCNNs, AlexNet and GoogLeNet, were used to classify the images as having manifestations of pulmonary TB or as healthy. Both untrained and pretrained networks on ImageNet were used, and augmentation with multiple preprocessing techniques. Ensembles were performed on the best-performing algorithms. For cases where the classifiers were in disagreement, an independent board-certified cardiothoracic radiologist blindly interpreted the images to evaluate a potential radiologist-augmented workflow. Receiver operating characteristic curves and areas under the curve (AUCs) were used to assess model performance by using the DeLong method for statistical comparison of receiver operating characteristic curves. Results The best-performing classifier had an AUC of 0.99, which was an ensemble of the AlexNet and GoogLeNet DCNNs. The AUCs of the pretrained models were greater than that of the untrained models (P &lt; .001). Augmenting the dataset further increased accuracy (P values for AlexNet and GoogLeNet were .03 and .02, respectively). The DCNNs had disagreement in 13 of the 150 test cases, which were blindly reviewed by a cardiothoracic radiologist, who correctly interpreted all 13 cases (100%). This radiologist-augmented approach resulted in a sensitivity of 97.3% and specificity 100%. Conclusion Deep learning with DCNNs can accurately classify TB at chest radiography with an AUC of 0.99. A radiologist-augmented approach for cases where there was disagreement among the classifiers further improved accuracy. (©) RSNA, 2017.</t>
  </si>
  <si>
    <t>P. Lakhani and B. Sundaram</t>
  </si>
  <si>
    <t>Retinal Lesion Detection With Deep Learning Using Image Patches</t>
  </si>
  <si>
    <t>PURPOSE: To develop an automated method of localizing and discerning multiple types of findings in retinal images using a limited set of training data without hard-coded feature extraction as a step toward generalizing these methods to rare disease detection in which a limited number of training data are available. METHODS: Two ophthalmologists verified 243 retinal images, labeling important subsections of the image to generate 1324 image patches containing either hemorrhages, microaneurysms, exudates, retinal neovascularization, or normal-appearing structures from the Kaggle dataset. These image patches were used to train one standard convolutional neural network to predict the presence of these five classes. A sliding window method was used to generate probability maps across the entire image. RESULTS: The method was validated on the eOphta dataset of 148 whole retinal images for microaneurysms and 47 for exudates. A pixel-wise classification of the area under the curve of the receiver operating characteristic of 0.94 and 0.95, as well as a lesion-wise area under the precision recall curve of 0.86 and 0.64, was achieved for microaneurysms and exudates, respectively. CONCLUSIONS: Regionally trained convolutional neural networks can generate lesion-specific probability maps able to detect and distinguish between subtle pathologic lesions with only a few hundred training examples per lesion.</t>
  </si>
  <si>
    <t>C. Lam, C. Yu, L. Huang and D. Rubin</t>
  </si>
  <si>
    <t>Y-Net: Hybrid deep learning image reconstruction for photoacoustic tomography in vivo</t>
  </si>
  <si>
    <t>Conventional reconstruction algorithms (e.g., delay-and-sum) used in photoacoustic imaging (PAI) provide a fast solution while many artifacts remain, especially for limited-view with ill-posed problem. In this paper, we propose a new convolutional neural network (CNN) framework Y-Net: a CNN architecture to reconstruct the initial PA pressure distribution by optimizing both raw data and beamformed images once. The network combines two encoders with one decoder path, which optimally utilizes more information from raw data and beamformed image. We compared our result with some ablation studies, and the results of the test set show better performance compared with conventional reconstruction algorithms and other deep learning method (U-Net). Both in-vitro and in-vivo experiments are used to validated our method, which still performs better than other existing methods. The proposed Y-Net architecture also has high potential in medical image reconstruction for other imaging modalities beyond PAI.</t>
  </si>
  <si>
    <t>Photoacoustics</t>
  </si>
  <si>
    <t>Reconstruct the Photoacoustic Image Based On Deep Learning with Multi-frequency Ring-shape Transducer Array</t>
  </si>
  <si>
    <t>Photoacoustic tomography (PAT) combines the superiorities of both optical imaging and ultrasound imaging, which provides rich optical absorption contrast with 3D spatial information by applying reconstruction algorithms. Classical reconstruction algorithms, e.g. delay-and-sum, have been widely used in photoacoustic imaging. Recently, the deep neural networks have showed the potential to be used to reconstruct the PA images from raw photoacoustic data. In this paper, a framework of the neural network is proposed to approach the PA imaging reconstruction using multi-frequency ultrasound sensor data. Specifically, we trained an end-to-end network to compare the performance when the transducers surround the region of interest with three different center frequencies, which receive PA signals containing different frequency spectrum information from the target. In particular, we trained and tested the network using the factitious segmented vessels' PA images from fundus oculi CT imaging after converting to PA data. From the results of the numerical simulations, the proposed frameworks have shown much better performance compared with conventional reconstruction algorithms. Moreover, the time consumption of the proposed reconstruction method outperforms other conventional reconstruction algorithms, which enables its potential to apply in real-time imaging.</t>
  </si>
  <si>
    <t>Hybrid Neural Network for Photoacoustic Imaging Reconstruction</t>
  </si>
  <si>
    <t>Photoacoustic imaging (PAI) is an emerging noninvasive imaging modality combining the advantages of ultrasound imaging and optical imaging. Image reconstruction is an essential topic in photoacoustic imaging, which is unfortunately an ill-posed problem due to the complex and unknown optical/acoustic parameters in tissue. Conventional algorithms used in photoacoustic imaging (e.g., delay-and-sum) provide a fast solution while many artifacts remain. Convolutional neural network (CNN) has shown state-of-the-art results in computer vision, and more and more work based on CNN has been studied in medical image processing recently. In this paper, we propose Y-Net: a CNN architecture to reconstruct the PA image by integrating both raw data and beamformed images as input. The network connected two encoders with one decoder path, which optimally utilizes more information from raw data and beamformed image. The results of the simulation showed a good performance compared with conventional deep-learning based algorithms and other model-based methods. The proposed Y-Net architecture has significant potential in medical image reconstruction beyond PAI.</t>
  </si>
  <si>
    <t>Differentiation of spinal metastases originated from lung and other cancers using radiomics and deep learning based on DCE-MRI</t>
  </si>
  <si>
    <t>PURPOSE: To differentiate metastatic lesions in the spine originated from primary lung cancer and other cancers using radiomics and deep learning, compared to traditional hot-spot ROI analysis. METHODS: In a retrospective review of clinical spinal MRI database with a dynamic contrast enhanced (DCE) sequence, a total of 61 patients without prior cancer diagnosis and later confirmed to have metastases (30 lung; 31 non-lung cancers) were identified. For hot-spot analysis, a manual ROI was placed to calculate three heuristic parameters from the wash-in, maximum, and wash-out phases in the DCE kinetics. For each case, the 3D tumor mask was generated by using the normalized-cut algorithm. Radiomics analysis was performed to extract histogram and texture features from three DCE parametric maps. Deep learning was performed using these maps as inputs into a conventional convolutional neural network (CNN), as well as using all 12 sets of DCE images into a convolutional long short term memory (CLSTM) network. RESULTS: For hot-spot ROI analysis, mean wash-out slope was 0.25 ± 10% for lung metastases and -9.8 ± 12.9% for other tumors. CHAID classification using a wash-out slope of -6.6% followed by wash-in enhancement ratio of 98% achieved a diagnostic accuracy of 0.79. Radiomics analysis using features representing tumor heterogeneity only reached the highest accuracy of 0.71. Classification using CNN achieved a mean accuracy of 0.71 ± 0.043, whereas a CLSTM improved accuracy to 0.81 ± 0.034. CONCLUSIONS: DCE-MRI machine-learning analysis methods have potential to predict lung cancer metastases in the spine, which may be used to guide subsequent workup for confirmed diagnosis.</t>
  </si>
  <si>
    <t>Quantification of patellofemoral cartilage deformation and contact area changes in response to static loading via high-resolution MRI with prospective motion correction</t>
  </si>
  <si>
    <t>BACKGROUND: Higher-resolution MRI of the patellofemoral cartilage under loading is hampered by subject motion since knee flexion is required during the scan. PURPOSE: To demonstrate robust quantification of cartilage compression and contact area changes in response to in situ loading by means of MRI with prospective motion correction and regularized image postprocessing. STUDY TYPE: Cohort study. SUBJECTS: Fifteen healthy male subjects. FIELD STRENGTH: 3 T. SEQUENCE: Spoiled 3D gradient-echo sequence augmented with prospective motion correction based on optical tracking. Measurements were performed with three different loads (0/200/400 N). ASSESSMENT: Bone and cartilage segmentation was performed manually and regularized with a deep-learning approach. Average patellar and femoral cartilage thickness and contact area were calculated for the three loading situations. Reproducibility was assessed via repeated measurements in one subject. STATISTICAL TESTS: Comparison of the three loading situations was performed by Wilcoxon signed-rank tests. RESULTS: Regularization using a deep convolutional neural network reduced the variance of the quantified relative load-induced changes of cartilage thickness and contact area compared to purely manual segmentation (average reduction of standard deviation by ∼50%) and repeated measurements performed on the same subject demonstrated high reproducibility of the method. For the three loading situations (0/200/400 N), the patellofemoral cartilage contact area as well as the mean patellar and femoral cartilage thickness were significantly different from each other (P &lt; 0.05). While the patellofemoral cartilage contact area increased under loading (by 14.5/19.0% for loads of 200/400 N), patellar and femoral cartilage thickness exhibited a load-dependent thickness decrease (patella: -4.4/-7.4%, femur: -3.4/-7.1% for loads of 200/400 N). DATA CONCLUSION: MRI with prospective motion correction enables quantitative evaluation of patellofemoral cartilage deformation and contact area changes in response to in situ loading. Regularizing the manual segmentations using a neural network enables robust quantification of the load-induced changes. LEVEL OF EVIDENCE: 2 Technical Efficacy: Stage 2 J. Magn. Reson. Imaging 2019;50:1561-1570.</t>
  </si>
  <si>
    <t>On the impact of Citizen Science-derived data quality on deep learning based classification in marine images</t>
  </si>
  <si>
    <t>The evaluation of large amounts of digital image data is of growing importance for biology, including for the exploration and monitoring of marine habitats. However, only a tiny percentage of the image data collected is evaluated by marine biologists who manually interpret and annotate the image contents, which can be slow and laborious. In order to overcome the bottleneck in image annotation, two strategies are increasingly proposed: citizen science and machine learning. In this study, we investigated how the combination of citizen science, to detect objects, and machine learning, to classify megafauna, could be used to automate annotation of underwater images. For this purpose, multiple large data sets of citizen science annotations with different degrees of common errors and inaccuracies observed in citizen science data were simulated by modifying gold standard annotations done by an experienced marine biologist. The parameters of the simulation were determined on the basis of two citizen science experiments. It allowed us to analyze the relationship between the outcome of a citizen science study and the quality of the classifications of a deep learning megafauna classifier. The results show great potential for combining citizen science with machine learning, provided that the participants are informed precisely about the annotation protocol. Inaccuracies in the position of the annotation had the most substantial influence on the classification accuracy, whereas the size of the marking and false positive detections had a smaller influence.</t>
  </si>
  <si>
    <t>Artificial Intelligence and Big Data</t>
  </si>
  <si>
    <t>Medical images play an important role in ophthalmology and radiology. Medical image analysis has greatly benefited from the application of deep learning techniques in clinical and experimental radiology. Clinical applications and their relevance for radiological imaging in ophthalmology are presented.</t>
  </si>
  <si>
    <t>Fully convolutional networks for automated segmentation of abdominal adipose tissue depots in multicenter water-fat MRI</t>
  </si>
  <si>
    <t>PURPOSE: An approach for the automated segmentation of visceral adipose tissue (VAT) and subcutaneous adipose tissue (SAT) in multicenter water-fat MRI scans of the abdomen was investigated, using 2 different neural network architectures. METHODS: The 2 fully convolutional network architectures U-Net and V-Net were trained, evaluated, and compared using the water-fat MRI data. Data of the study Tellus with 90 scans from a single center was used for a 10-fold cross-validation in which the most successful configuration for both networks was determined. These configurations were then tested on 20 scans of the multicenter study beta-cell function in JUvenile Diabetes and Obesity (BetaJudo), which involved a different study population and scanning device. RESULTS: The U-Net outperformed the used implementation of the V-Net in both cross-validation and testing. In cross-validation, the U-Net reached average dice scores of 0.988 (VAT) and 0.992 (SAT). The average of the absolute quantification errors amount to 0.67% (VAT) and 0.39% (SAT). On the multicenter test data, the U-Net performs only slightly worse, with average dice scores of 0.970 (VAT) and 0.987 (SAT) and quantification errors of 2.80% (VAT) and 1.65% (SAT). CONCLUSION: The segmentations generated by the U-Net allow for reliable quantification and could therefore be viable for high-quality automated measurements of VAT and SAT in large-scale studies with minimal need for human intervention. The high performance on the multicenter test data furthermore shows the robustness of this approach for data of different patient demographics and imaging centers, as long as a consistent imaging protocol is used.</t>
  </si>
  <si>
    <t>A Deep Learning-Based Radiomics Model for Prediction of Survival in Glioblastoma Multiforme</t>
  </si>
  <si>
    <t>Traditional radiomics models mainly rely on explicitly-designed handcrafted features from medical images. This paper aimed to investigate if deep features extracted via transfer learning can generate radiomics signatures for prediction of overall survival (OS) in patients with Glioblastoma Multiforme (GBM). This study comprised a discovery data set of 75 patients and an independent validation data set of 37 patients. A total of 1403 handcrafted features and 98304 deep features were extracted from preoperative multi-modality MR images. After feature selection, a six-deep-feature signature was constructed by using the least absolute shrinkage and selection operator (LASSO) Cox regression model. A radiomics nomogram was further presented by combining the signature and clinical risk factors such as age and Karnofsky Performance Score. Compared with traditional risk factors, the proposed signature achieved better performance for prediction of OS (C-index = 0.710, 95% CI: 0.588, 0.932) and significant stratification of patients into prognostically distinct groups (P &lt; 0.001, HR = 5.128, 95% CI: 2.029, 12.960). The combined model achieved improved predictive performance (C-index = 0.739). Our study demonstrates that transfer learning-based deep features are able to generate prognostic imaging signature for OS prediction and patient stratification for GBM, indicating the potential of deep imaging feature-based biomarker in preoperative care of GBM patients.</t>
  </si>
  <si>
    <t>J. Lao, Y. Chen, Z. C. Li, Q. Li, J. Zhang, J. Liu and G. Zhai</t>
  </si>
  <si>
    <t>Multi-hypothesis tracking of the tongue surface in ultrasound video recordings of normal and impaired speech</t>
  </si>
  <si>
    <t>Characterizing tongue shape and motion, as they appear in real-time ultrasound (US) images, is of interest to the study of healthy and impaired speech production. Quantitative anlaysis of tongue shape and motion requires that the tongue surface be extracted in each frame of US speech recordings. While the literature proposes several automated methods for this purpose, these either require large or very well matched training sets, or lack robustness in the presence of rapid tongue motion. This paper presents a new robust method for tongue tracking in US images that combines simple tongue shape and motion models derived from a small training data set with a highly flexible active contour (snake) representation and maintains multiple possible hypotheses as to the correct tongue contour via a particle filtering algorithm. The method was tested on a database of large free speech recordings from healthy and impaired speakers and its accuracy was measured against the manual segmentations obtained for every image in the database. The proposed method achieved mean sum of distances errors of 1.69 ± 1.10 mm, and its accuracy was not highly sensitive to training set composition. Furthermore, the proposed method showed improved accuracy, both in terms of mean sum of distances error and in terms of linguistically meaningful shape indices, compared to the three publicly available tongue tracking software packages Edgetrak, TongueTrack and Autotrace.</t>
  </si>
  <si>
    <t>C. Laporte and L. Ménard</t>
  </si>
  <si>
    <t>10.1016/j.compbiomed.2020.104200</t>
  </si>
  <si>
    <t>Deep learning in spatiotemporal cardiac imaging: A review of methodologies and clinical usability</t>
  </si>
  <si>
    <t>The use of different cardiac imaging modalities such as MRI, CT or ultrasound enables the visualization and interpretation of altered morphological structures and function of the heart. In recent years, there has been an increasing interest in AI and deep learning that take into account spatial and temporal information in medical image analysis. In particular, deep learning tools using temporal information in image processing have not yet found their way into daily clinical practice, despite its presumed high diagnostic and prognostic value. This review aims to synthesize the most relevant deep learning methods and discuss their clinical usability in dynamic cardiac imaging using for example the complete spatiotemporal image information of the heart cycle. Selected articles were categorized according to the following indicators: clinical applications, quality of datasets, preprocessing and annotation, learning methods and training strategy, and test performance. Clinical usability was evaluated based on these criteria by classifying the selected papers into (i) clinical level, (ii) robust candidate and (iii) proof of concept applications. Interestingly, not a single one of the reviewed papers was classified as a clinical level study. Almost 39% of the articles achieved a robust candidate and as many as 61% a proof of concept status. In summary, deep learning in spatiotemporal cardiac imaging is still strongly research-oriented and its implementation in clinical application still requires considerable efforts. Challenges that need to be addressed are the quality of datasets together with clinical verification and validation of the performance achieved by the used method.</t>
  </si>
  <si>
    <t>Comparison of Deep Learning-Based and Patch-Based Methods for Pseudo-CT Generation in MRI-Based Prostate Dose Planning</t>
  </si>
  <si>
    <t>PURPOSE: Deep learning methods (DLMs) have recently been proposed to generate pseudo-CT (pCT) for magnetic resonance imaging (MRI) based dose planning. This study aims to evaluate and compare DLMs (U-Net and generative adversarial network [GAN]) using various loss functions (L2, single-scale perceptual loss [PL], multiscale PL, weighted multiscale PL) and a patch-based method (PBM). METHODS AND MATERIALS: Thirty-nine patients received a volumetric modulated arc therapy for prostate cancer (78 Gy). T(2)-weighted MRIs were acquired in addition to planning CTs. The pCTs were generated from the MRIs using 7 configurations: 4 GANs (L2, single-scale PL, multiscale PL, weighted multiscale PL), 2 U-Net (L2 and single-scale PL), and the PBM. The imaging endpoints were mean absolute error and mean error, in Hounsfield units, between the reference CT (CT(ref)) and the pCT. Dose uncertainties were quantified as mean absolute differences between the dose volume histograms (DVHs) calculated from the CT(ref) and pCT obtained by each method. Three-dimensional gamma indexes were analyzed. RESULTS: Considering the image uncertainties in the whole pelvis, GAN L2 and U-Net L2 showed the lowest mean absolute error (≤34.4 Hounsfield units). The mean errors were not different than 0 (P ≤ .05). The PBM provided the highest uncertainties. Very few DVH points differed when comparing GAN L2 or U-Net L2 DVHs and CT(ref) DVHs (P ≤ .05). Their dose uncertainties were ≤0.6% for the prostate planning target Volume V(95%), ≤0.5% for the rectum V(70Gy), and ≤0.1% for the bladder V(50Gy). The PBM, U-Net PL, and GAN PL presented the highest systematic dose uncertainties. The gamma pass rates were &gt;99% for all DLMs. The mean calculation time to generate 1 pCT was 15 s for the DLMs and 62 min for the PBM. CONCLUSIONS: Generating pCT for MRI dose planning with DLMs and PBM provided low-dose uncertainties. In particular, the GAN L2 and U-Net L2 provided the lowest dose uncertainties together with a low computation time.</t>
  </si>
  <si>
    <t>Int J Radiat Oncol Biol Phys</t>
  </si>
  <si>
    <t>Head-and-Neck MRI-only radiotherapy treatment planning: From acquisition in treatment position to pseudo-CT generation</t>
  </si>
  <si>
    <t>PURPOSE: In context of head-and-neck radiotherapy, this study aims to compare MR image quality according to diagnostic (DIAG) and radiotherapy (RT) setups; and to optimise an MRI-protocol (including 3D T(1) and T(2)-weighted sequences) for dose-planning (based on pseudo-CT generation). MATERIALS AND METHODS: To compare DIAG and RT setups, signal-to-noise-ratio (SNR) and percentage-image-uniformity (PIU) were computed on T(1) images of phantoms and volunteers. Influence of the sample conductivity on SNR was quantified using homemade phantoms. To obtain reliable T(1) and T(2) images for RT-planning, an experimental design was performed on volunteers by using SNR, contrast-to-noise-ratio (CNR) and mean-opinion-score (MOS). Further, pseudo-CTs were generated from 8 patients T(2) images with a state-of-art deep-learning method. These pseudo-CTs were evaluated by mean-absolute-error (MAE) and mean-error (ME). RESULTS: SNR was higher for DIAG-setup compared to RT-setup (SNR-ratio=1.3). A clear influence of the conductivity on SNR was observed. PIU was higher for DIAG-setup (38.8%) compared to RT-setup (33.5%). Regarding the protocol optimisation, SNR, CNR, and MOS were 20.6, 6.16, and 3.91 for the optimal T(1) sequence. For the optimal T(2) sequence, SNR, CNR and MOS were 25.6, 44.46 and 4.0. In the whole head-and-neck area, the mean MAE and ME of the pseudo-CTs were 82.8 and -3.9 HU. CONCLUSION: We quantified the image quality decrease induces by using an RT-setup for head-and-neck radiotherapy. To compensate this decrease, an MRI protocol was optimised by using an experimental design. This protocol of 15minutes provides accurate images which could be used for MRI-dose-planning in clinical practice.</t>
  </si>
  <si>
    <t>Gender imbalance in medical imaging datasets produces biased classifiers for computer-aided diagnosis</t>
  </si>
  <si>
    <t>Artificial intelligence (AI) systems for computer-aided diagnosis and image-based screening are being adopted worldwide by medical institutions. In such a context, generating fair and unbiased classifiers becomes of paramount importance. The research community of medical image computing is making great efforts in developing more accurate algorithms to assist medical doctors in the difficult task of disease diagnosis. However, little attention is paid to the way databases are collected and how this may influence the performance of AI systems. Our study sheds light on the importance of gender balance in medical imaging datasets used to train AI systems for computer-assisted diagnosis. We provide empirical evidence supported by a large-scale study, based on three deep neural network architectures and two well-known publicly available X-ray image datasets used to diagnose various thoracic diseases under different gender imbalance conditions. We found a consistent decrease in performance for underrepresented genders when a minimum balance is not fulfilled. This raises the alarm for national agencies in charge of regulating and approving computer-assisted diagnosis systems, which should include explicit gender balance and diversity recommendations. We also establish an open problem for the academic medical image computing community which needs to be addressed by novel algorithms endowed with robustness to gender imbalance.</t>
  </si>
  <si>
    <t>Performance of a Deep-Learning Neural Network Model in Assessing Skeletal Maturity on Pediatric Hand Radiographs</t>
  </si>
  <si>
    <t>Purpose To compare the performance of a deep-learning bone age assessment model based on hand radiographs with that of expert radiologists and that of existing automated models. Materials and Methods The institutional review board approved the study. A total of 14 036 clinical hand radiographs and corresponding reports were obtained from two children's hospitals to train and validate the model. For the first test set, composed of 200 examinations, the mean of bone age estimates from the clinical report and three additional human reviewers was used as the reference standard. Overall model performance was assessed by comparing the root mean square (RMS) and mean absolute difference (MAD) between the model estimates and the reference standard bone ages. Ninety-five percent limits of agreement were calculated in a pairwise fashion for all reviewers and the model. The RMS of a second test set composed of 913 examinations from the publicly available Digital Hand Atlas was compared with published reports of an existing automated model. Results The mean difference between bone age estimates of the model and of the reviewers was 0 years, with a mean RMS and MAD of 0.63 and 0.50 years, respectively. The estimates of the model, the clinical report, and the three reviewers were within the 95% limits of agreement. RMS for the Digital Hand Atlas data set was 0.73 years, compared with 0.61 years of a previously reported model. Conclusion A deep-learning convolutional neural network model can estimate skeletal maturity with accuracy similar to that of an expert radiologist and to that of existing automated models. (©) RSNA, 2017 An earlier incorrect version of this article appeared online. This article was corrected on January 19, 2018.</t>
  </si>
  <si>
    <t>D. B. Larson, M. C. Chen, M. P. Lungren, S. S. Halabi, N. V. Stence and C. P. Langlotz</t>
  </si>
  <si>
    <t>Five simultaneous artificial intelligence data challenges on ultrasound, CT, and MRI</t>
  </si>
  <si>
    <t>PURPOSE: The goal of this data challenge was to create a structured dynamic with the following objectives: (1) teach radiologists the new rules of General Data Protection Regulation (GDPR), while building a large multicentric prospective database of ultrasound, computed tomography (CT) and MRI patient images; (2) build a network including radiologists, researchers, start-ups, large companies, and students from engineering schools, and; (3) provide all French stakeholders working together during 5 data challenges with a secured framework, offering a realistic picture of the benefits and concerns in October 2018. MATERIALS AND METHODS: Relevant clinical questions were chosen by the Société Francaise de Radiologie. The challenge was designed to respect all French ethical and data protection constraints. Multidisciplinary teams with at least one radiologist, one engineering student, and a company and/or research lab were gathered using different networks, and clinical databases were created accordingly. RESULTS: Five challenges were launched: detection of meniscal tears on MRI, segmentation of renal cortex on CT, detection and characterization of liver lesions on ultrasound, detection of breast lesions on MRI, and characterization of thyroid cartilage lesions on CT. A total of 5,170 images within 4 months were provided for the challenge by 46 radiology services. Twenty-six multidisciplinary teams with 181 contestants worked for one month on the challenges. Three challenges, meniscal tears, renal cortex, and liver lesions, resulted in an accuracy&gt;90%. The fourth challenge (breast) reached 82% and the lastone (thyroid) 70%. CONCLUSION: Theses five challenges were able to gather a large community of radiologists, engineers, researchers, and companies in a very short period of time. The accurate results of three of the five modalities suggest that artificial intelligence is a promising tool in these radiology modalities.</t>
  </si>
  <si>
    <t>Artificial Neural Networks in Cardiovascular Diseases and its Potential for Clinical Application in Molecular Imaging</t>
  </si>
  <si>
    <t>BACKGROUND: In medical imaging, Artificial Intelligence is described as the ability of a system to properly interpret and learn from external data, acquiring knowledge to achieve specific goals and tasks through flexible adaptation. The number of possible applications of Artificial Intelligence is huge also in clinical medicine and in cardiovascular diseases. OBJECTIVE: To describe for the first time in literature, the main results of articles about Artificial Intelligence potential for clinical applications in molecular imaging techniques, and to describe its advancements in cardiovascular diseases assessed with nuclear medicine imaging modalities. METHODS: A comprehensive search strategy was used based on SCOPUS and PubMed databases. From all studies published in English, we selected the most relevant articles that evaluated the technological insights of AI in nuclear cardiology applications. RESULTS: Artificial Intelligence may improve the patient care on many different fields, from the semi-automatization of the medical work, through the technical aspect of image preparation, interpretation, the calculation of additional factors based on data obtained during scanning, to the prognostic prediction and risk-group selection. CONCLUSION: Myocardial implementation of Artificial Intelligence algorithms in nuclear cardiology can improve and facilitate the diagnostic and predictive process, and global patient care. Building large databases containing clinical and image data is a first but essential step to create and train automated diagnostic/prognostic models able to help the clinicians to make unbiased and faster decisions for precision healthcare.</t>
  </si>
  <si>
    <t>Curr Radiopharm</t>
  </si>
  <si>
    <t>Automated OCT angiography image quality assessment using a deep learning algorithm</t>
  </si>
  <si>
    <t>PURPOSE: To expedite and to standardize the process of image quality assessment in optical coherence tomography angiography (OCTA) using a specialized deep learning algorithm (DLA). METHODS: Two hundred randomly chosen en-face macular OCTA images of the central 3 × 3 mm(2) superficial vascular plexus were evaluated retrospectively by an OCTA experienced reader. Images were defined either as sufficient (group 1, n = 100) or insufficient image quality (group 2, n = 100) based on Motion Artifact Score (MAS) and Segmentation Accuracy Score (SAS). Subsequently, a pre-trained multi-layer deep convolutional neural network (DCNN) was trained and validated with 160 of these en-face OCTA scans (group 1: 80; group 2: 80). Training accuracy, validation accuracy, and cross-entropy were computed. The DLA was tested in detecting 40 untrained OCTA images (group 1: 20; group 2: 20). An insufficient image quality probability score (IPS) and a sufficient image quality probability score (SPS) were calculated. RESULTS: Training accuracy was 97%, validation accuracy 100%, and cross entropy 0.12. A total of 90% (18/20) of the OCTA images with insufficient image quality and 90% (18/20) with sufficient image quality were correctly classified by the DLA. Mean IPS was 0.88 ± 0.21, and mean SPS was 0.84 ± 0.19. Discrimination between both groups was highly significant (p &lt; 0.001). Sensitivity of the DLA was 90.0%, specificity 90.0%, and accuracy 90.0%. Coefficients of variation were 0.96 ± 1.9% (insufficient quality) and 1.14 ± 1.6% (sufficient quality). CONCLUSIONS: Deep learning (DL) appears to be a potential approach to automatically distinguish between sufficient and insufficient OCTA image quality. DL may contribute to establish image quality standards in this recent imaging modality.</t>
  </si>
  <si>
    <t>J. L. Lauermann, M. Treder, M. Alnawaiseh, C. R. Clemens, N. Eter and F. Alten</t>
  </si>
  <si>
    <t>Graefes Arch Clin Exp Ophthalmol</t>
  </si>
  <si>
    <t>Fully automated detection and segmentation of meningiomas using deep learning on routine multiparametric MRI</t>
  </si>
  <si>
    <t>OBJECTIVES: Magnetic resonance imaging (MRI) is the method of choice for imaging meningiomas. Volumetric assessment of meningiomas is highly relevant for therapy planning and monitoring. We used a multiparametric deep-learning model (DLM) on routine MRI data including images from diverse referring institutions to investigate DLM performance in automated detection and segmentation of meningiomas in comparison to manual segmentations. METHODS: We included 56 of 136 consecutive preoperative MRI datasets [T1/T2-weighted, T1-weighted contrast-enhanced (T1CE), FLAIR] of meningiomas that were treated surgically at the University Hospital Cologne and graded histologically as tumour grade I (n = 38) or grade II (n = 18). The DLM was trained on an independent dataset of 249 glioma cases and segmented different tumour classes as defined in the brain tumour image segmentation benchmark (BRATS benchmark). The DLM was based on the DeepMedic architecture. Results were compared to manual segmentations by two radiologists in a consensus reading in FLAIR and T1CE. RESULTS: The DLM detected meningiomas in 55 of 56 cases. Further, automated segmentations correlated strongly with manual segmentations: average Dice coefficients were 0.81 ± 0.10 (range, 0.46-0.93) for the total tumour volume (union of tumour volume in FLAIR and T1CE) and 0.78 ± 0.19 (range, 0.27-0.95) for contrast-enhancing tumour volume in T1CE. CONCLUSIONS: The DLM yielded accurate automated detection and segmentation of meningioma tissue despite diverse scanner data and thereby may improve and facilitate therapy planning as well as monitoring of this highly frequent tumour entity. KEY POINTS: • Deep learning allows for accurate meningioma detection and segmentation • Deep learning helps clinicians to assess patients with meningiomas • Meningioma monitoring and treatment planning can be improved.</t>
  </si>
  <si>
    <t>K. R. Laukamp, F. Thiele, G. Shakirin, D. Zopfs, A. Faymonville, M. Timmer, D. Maintz, M. Perkuhn and J. Borggrefe</t>
  </si>
  <si>
    <t>10.1016/j.crad.2019.02.006</t>
  </si>
  <si>
    <t>Artificial intelligence in breast imaging</t>
  </si>
  <si>
    <t>This article reviews current limitations and future opportunities for the application of computer-aided detection (CAD) systems and artificial intelligence in breast imaging. Traditional CAD systems in mammography screening have followed a rules-based approach, incorporating domain knowledge into hand-crafted features before using classical machine learning techniques as a classifier. The first commercial CAD system, ImageChecker M1000, relies on computer vision techniques for pattern recognition. Unfortunately, CAD systems have been shown to adversely affect some radiologists' performance and increase recall rates. The Digital Mammography DREAM Challenge was a multidisciplinary collaboration that provided 640,000 mammography images for teams to help decrease false-positive rates in breast cancer screening. Winning solutions leveraged deep learning's (DL) automatic hierarchical feature learning capabilities and used convolutional neural networks. Start-ups Therapixel and Kheiron Medical Technologies are using DL for breast cancer screening. With increasing use of digital breast tomosynthesis, specific artificial intelligence (AI)-CAD systems are emerging to include iCAD's PowerLook Tomo Detection and ScreenPoint Medical's Transpara. Other AI-CAD systems are focusing on breast diagnostic techniques such as ultrasound and magnetic resonance imaging (MRI). There is a gap in the market for contrast-enhanced spectral mammography AI-CAD tools. Clinical implementation of AI-CAD tools requires testing in scenarios mimicking real life to prove its usefulness in the clinical environment. This requires a large and representative dataset for testing and assessment of the reader's interaction with the tools. A cost-effectiveness assessment should be undertaken, with a large feasibility study carried out to ensure there are no unintended consequences. AI-CAD systems should incorporate explainable AI in accordance with the European Union General Data Protection Regulation (GDPR).</t>
  </si>
  <si>
    <t>10.1016/j.nic.2020.06.003</t>
  </si>
  <si>
    <t>Overview of Machine Learning: Part 2: Deep Learning for Medical Image Analysis</t>
  </si>
  <si>
    <t>Deep learning has contributed to solving complex problems in science and engineering. This article provides the fundamental background required to understand and develop deep learning models for medical imaging applications. The authors review the main deep learning architectures such as multilayer perceptron, convolutional neural networks, autoencoders, recurrent neural networks, and generative adversarial neural networks. They also discuss the strategies for training deep learning models when the available datasets are imbalanced or of limited size and conclude with a discussion of the obstacles and challenges hindering the deployment of deep learning solutions in clinical settings.</t>
  </si>
  <si>
    <t>Neuroimaging Clin N Am</t>
  </si>
  <si>
    <t>Deep Learning for Segmentation Using an Open Large-Scale Dataset in 2D Echocardiography</t>
  </si>
  <si>
    <t>Delineation of the cardiac structures from 2D echocardiographic images is a common clinical task to establish a diagnosis. Over the past decades, the automation of this task has been the subject of intense research. In this paper, we evaluate how far the state-of-the-art encoder-decoder deep convolutional neural network methods can go at assessing 2D echocardiographic images, i.e., segmenting cardiac structures and estimating clinical indices, on a dataset, especially, designed to answer this objective. We, therefore, introduce the cardiac acquisitions for multi-structure ultrasound segmentation dataset, the largest publicly-available and fully-annotated dataset for the purpose of echocardiographic assessment. The dataset contains two and four-chamber acquisitions from 500 patients with reference measurements from one cardiologist on the full dataset and from three cardiologists on a fold of 50 patients. Results show that encoder-decoder-based architectures outperform state-of-the-art non-deep learning methods and faithfully reproduce the expert analysis for the end-diastolic and end-systolic left ventricular volumes, with a mean correlation of 0.95 and an absolute mean error of 9.5 ml. Concerning the ejection fraction of the left ventricle, results are more contrasted with a mean correlation coefficient of 0.80 and an absolute mean error of 5.6%. Although these results are below the inter-observer scores, they remain slightly worse than the intra-observer's ones. Based on this observation, areas for improvement are defined, which open the door for accurate and fully-automatic analysis of 2D echocardiographic images.</t>
  </si>
  <si>
    <t>Automatic segmentation of brain MRI using a novel patch-wise U-net deep architecture</t>
  </si>
  <si>
    <t>Accurate segmentation of brain magnetic resonance imaging (MRI) is an essential step in quantifying the changes in brain structure. Deep learning in recent years has been extensively used for brain image segmentation with highly promising performance. In particular, the U-net architecture has been widely used for segmentation in various biomedical related fields. In this paper, we propose a patch-wise U-net architecture for the automatic segmentation of brain structures in structural MRI. In the proposed brain segmentation method, the non-overlapping patch-wise U-net is used to overcome the drawbacks of conventional U-net with more retention of local information. In our proposed method, the slices from an MRI scan are divided into non-overlapping patches that are fed into the U-net model along with their corresponding patches of ground truth so as to train the network. The experimental results show that the proposed patch-wise U-net model achieves a Dice similarity coefficient (DSC) score of 0.93 in average and outperforms the conventional U-net and the SegNet-based methods by 3% and 10%, respectively, for on Open Access Series of Imaging Studies (OASIS) and Internet Brain Segmentation Repository (IBSR) dataset.</t>
  </si>
  <si>
    <t>Classification of femur fracture in pelvic X-ray images using meta-learned deep neural network</t>
  </si>
  <si>
    <t>In the medical field, various studies using artificial intelligence (AI) techniques have been attempted. Numerous attempts have been made to diagnose and classify diseases using image data. However, different forms of fracture exist, and inaccurate results have been confirmed depending on condition at the time of imaging, which is problematic. To overcome this limitation, we present an encoder-decoder structured neural network that utilizes radiology reports as ancillary information at training. This is a type of meta-learning method used to generate sufficiently adequate features for classification. The proposed model learns representation for classification from X-ray images and radiology reports simultaneously. When using a dataset of only 459 cases for algorithm training, the model achieved a favorable performance in a test dataset containing 227 cases (classification accuracy of 86.78% and classification F1 score of 0.867 for fracture or normal classification). This finding demonstrates the potential for deep learning to improve performance and accelerate application of AI in clinical practice.</t>
  </si>
  <si>
    <t>Generating retinal flow maps from structural optical coherence tomography with artificial intelligence</t>
  </si>
  <si>
    <t>Despite advances in artificial intelligence (AI), its application in medical imaging has been burdened and limited by expert-generated labels. We used images from optical coherence tomography angiography (OCTA), a relatively new imaging modality that measures retinal blood flow, to train an AI algorithm to generate flow maps from standard optical coherence tomography (OCT) images, exceeding the ability and bypassing the need for expert labeling. Deep learning was able to infer flow from single structural OCT images with similar fidelity to OCTA and significantly better than expert clinicians (P &lt; 0.00001). Our model allows generating flow maps from large volumes of previously collected OCT data in existing clinical trials and clinical practice. This finding demonstrates a novel application of AI to medical imaging, whereby subtle regularities between different modalities are used to image the same body part and AI is used to generate detailed inferences of tissue function from structure imaging.</t>
  </si>
  <si>
    <t>C. S. Lee, A. J. Tyring, Y. Wu, S. Xiao, A. S. Rokem, N. P. DeRuyter, Q. Zhang, A. Tufail, R. K. Wang and A. Y. Lee</t>
  </si>
  <si>
    <t>Is Intensity Inhomogeneity Correction Useful for Classification of Breast Cancer in Sonograms Using Deep Neural Network?</t>
  </si>
  <si>
    <t>The sonogram is currently an effective cancer screening and diagnosis way due to the convenience and harmlessness in humans. Traditionally, lesion boundary segmentation is first adopted and then classification is conducted, to reach the judgment of benign or malignant tumor. In addition, sonograms often contain much speckle noise and intensity inhomogeneity. This study proposes a novel benign or malignant tumor classification system, which comprises intensity inhomogeneity correction and stacked denoising autoencoder (SDAE), and it is suitable for small-size dataset. A classifier is established by extracting features in the multilayer training of SDAE; automatic analysis of imaging features by the deep learning algorithm is applied on image classification, thus allowing the system to have high efficiency and robust distinguishing. In this study, two kinds of dataset (private data and public data) are used for deep learning models training. For each dataset, two groups of test images are compared: the original images and the images after intensity inhomogeneity correction, respectively. The results show that when deep learning algorithm is applied on the sonograms after intensity inhomogeneity correction, there is a significant increase of the tumor distinguishing accuracy. This study demonstrated that it is important to use preprocessing to highlight the image features and further give these features for deep learning models. In this way, the classification accuracy will be better to just use the original images for deep learning.</t>
  </si>
  <si>
    <t>C. Y. Lee, G. L. Chen, Z. X. Zhang, Y. H. Chou and C. C. Hsu</t>
  </si>
  <si>
    <t>High quality imaging from sparsely sampled computed tomography data with deep learning and wavelet transform in various domains</t>
  </si>
  <si>
    <t>PURPOSE: Sparsely sampled computed tomography (CT) has been attracting attention as a technique that can reduce the high radiation dose of conventional CT. In general, iterative reconstruction techniques have been applied to sparsely sampled CT to realize high quality images. These methodologies require high computing power due to the modeling of the system and the trajectory of radiation rays. Therefore, the purpose of this study was to obtain high quality three-dimensional (3D) reconstructed images with deep learning under sparse sampling conditions. METHODS: We used a deep learning model based on a fully convolutional network and a wavelet transform to predict high quality images. To reduce the spatial resolution loss of predicted images, we replaced the pooling layer with a wavelet transform. Three different domains were evaluated - the sinogram domain, the image domain, and the hybrid domain - to optimize a reconstruction technique based on deep learning. To train and develop a deep learning model, The Cancer Imaging Archive (TCIA) dataset was used. RESULTS: Streak artifacts, which generally occur under sparse sampling conditions, were effectively removed from deep learning-based sparsely sampled reconstructed images. However, image characteristics of fine structures varied depending on the application of deep learning technologies. The use of deep learning techniques in the sinogram domain removed streak artifacts well, but some image noise remained. Likewise, when applying deep learning technology to the image domain, a blurring effect occurred. The proposed hybrid domain sparsely sampled reconstruction based on deep learning was able to restore images to a quality similar to fully sampled images. The structural similarity (SSIM) index values of sparsely sampled CT reconstruction based on deep learning technology were 0.85 or higher. Among the three domains studied, the hybrid domain techniques achieved the highest SSIM index values (0.9 or more). CONCLUSION: We proposed a method of sparsely sampled CT reconstruction from a new perspective - unlike iterative reconstruction. In addition, we developed an optimal deep learning-based sparse sampling reconstruction technique by evaluating image quality with deep learning technologies.</t>
  </si>
  <si>
    <t>D. Lee, S. Choi and H. J. Kim</t>
  </si>
  <si>
    <t>Development of a deep neural network for generating synthetic dual-energy chest x-ray images with single x-ray exposure</t>
  </si>
  <si>
    <t>Dual-energy chest radiography (DECR) is a medical imaging technology that can improve diagnostic accuracy. This technique can decompose single-energy chest radiography (SECR) images into separate bone- and soft tissue-only images. This can, however, double the radiation exposure to the patient. To address this limitation, we developed an algorithm for the synthesis of DECR from a SECR through deep learning. To predict high resolution images, we developed a novel deep learning architecture by modifying a conventional U-net to take advantage of the high frequency-dominant information that propagates from the encoding part to the decoding part. In addition, we used the anticorrelated relationship (ACR) of DECR for improving the quality of the predicted images. For training data, 300 pairs of SECR and their corresponding DECR images were used. To test the trained model, 50 DECR images from Yonsei University Severance Hospital and 662 publicly accessible SECRs were used. To evaluate the performance of the proposed method, we compared DECR and predicted images using a structural similarity approach (SSIM). In addition, we quantitatively evaluated image quality calculating the modulation transfer function and coefficient of variation. The proposed model selectively predicted the bone- and soft tissue-only CR images from an SECR image. The strategy for improving the spatial resolution by ACR was effective. Quantitative evaluation showed that the proposed method with ACR showed relatively high SSIM (over 0.85). In addition, predicted images with the proposed ACR model achieved better image quality measures than those of U-net. In conclusion, the proposed method can obtain high-quality bone- and soft tissue-only CR images without the need for additional hardware for double x-ray exposures in clinical practice.</t>
  </si>
  <si>
    <t>D. Lee, H. Kim, B. Choi and H. J. Kim</t>
  </si>
  <si>
    <t>Restoration of Full Data from Sparse Data in Low-Dose Chest Digital Tomosynthesis Using Deep Convolutional Neural Networks</t>
  </si>
  <si>
    <t>Chest digital tomosynthesis (CDT) provides more limited image information required for diagnosis when compared to computed tomography. Moreover, the radiation dose received by patients is higher in CDT than in chest radiography. Thus, CDT has not been actively used in clinical practice. To increase the usefulness of CDT, the radiation dose should reduce to the level used in chest radiography. Given the trade-off between image quality and radiation dose in medical imaging, a strategy to generating high-quality images from limited data is need. We investigated a novel approach for acquiring low-dose CDT images based on learning-based algorithms, such as deep convolutional neural networks. We used both simulation and experimental imaging data and focused on restoring reconstructed images from sparse to full sampling data. We developed a deep learning model based on end-to-end image translation using U-net. We used 11 and 81 CDT reconstructed input and output images, respectively, to develop the model. To measure the radiation dose of the proposed method, we investigated effective doses using Monte Carlo simulations. The proposed deep learning model effectively restored images with degraded quality due to lack of sampling data. Quantitative evaluation using structure similarity index measure (SSIM) confirmed that SSIM was increased by approximately 20% when using the proposed method. The effective dose required when using sparse sampling data was approximately 0.11 mSv, similar to that used in chest radiography (0.1 mSv) based on a report by the Radiation Society of North America. We investigated a new approach for reconstructing tomosynthesis images using sparse projection data. The model-based iterative reconstruction method has previously been used for conventional sparse sampling reconstruction. However, model-based computing requires high computational power, which limits fast three-dimensional image reconstruction and thus clinical applicability. We expect that the proposed learning-based reconstruction strategy will generate images with excellent quality quickly and thus have the potential for clinical use.</t>
  </si>
  <si>
    <t>D. Lee and H. J. Kim</t>
  </si>
  <si>
    <t>Deep Residual Learning for Accelerated MRI Using Magnitude and Phase Networks</t>
  </si>
  <si>
    <t>OBJECTIVE: Accelerated magnetic resonance (MR) image acquisition with compressed sensing (CS) and parallel imaging is a powerful method to reduce MR imaging scan time. However, many reconstruction algorithms have high computational costs. To address this, we investigate deep residual learning networks to remove aliasing artifacts from artifact corrupted images. METHODS: The deep residual learning networks are composed of magnitude and phase networks that are separately trained. If both phase and magnitude information are available, the proposed algorithm can work as an iterative k-space interpolation algorithm using framelet representation. When only magnitude data are available, the proposed approach works as an image domain postprocessing algorithm. RESULTS: Even with strong coherent aliasing artifacts, the proposed network successfully learned and removed the aliasing artifacts, whereas current parallel and CS reconstruction methods were unable to remove these artifacts. CONCLUSION: Comparisons using single and multiple coil acquisition show that the proposed residual network provides good reconstruction results with orders of magnitude faster computational time than existing CS methods. SIGNIFICANCE: The proposed deep learning framework may have a great potential for accelerated MR reconstruction by generating accurate results immediately.</t>
  </si>
  <si>
    <t>D. Lee, J. Yoo, S. Tak and J. C. Ye</t>
  </si>
  <si>
    <t>Toward an interpretable Alzheimer's disease diagnostic model with regional abnormality representation via deep learning</t>
  </si>
  <si>
    <t>In this paper, we propose a novel method for magnetic resonance imaging based Alzheimer's disease (AD) or mild cognitive impairment (MCI) diagnosis that systematically integrates voxel-based, region-based, and patch-based approaches into a unified framework. Specifically, we parcellate the brain into predefined regions based on anatomical knowledge (i.e., templates) and derive complex nonlinear relationships among voxels, whose intensities denote volumetric measurements, within each region. Unlike existing methods that use cubical or rectangular shapes, we consider the anatomical shapes of regions as atypical patches. Using complex nonlinear relationships among voxels in each region learned by deep neural networks, we extract a regional abnormality representation. We then make a final clinical decision by integrating the regional abnormality representations over the entire brain. It is noteworthy that the regional abnormality representations allow us to interpret and understand the symptomatic observations of a subject with AD or MCI by mapping and visualizing these observations in the brain space. On the baseline MRI dataset from the Alzheimer's Disease Neuroimaging Initiative (ADNI) cohort, our method achieves state-of-the-art performance for four binary classification tasks and one three-class classification task. Additionally, we conducted exhaustive experiments and analysis to validate the efficacy and potential of our method.</t>
  </si>
  <si>
    <t>Weakly supervised segmentation for real-time surgical tool tracking</t>
  </si>
  <si>
    <t>Surgical tool tracking has a variety of applications in different surgical scenarios. Electromagnetic (EM) tracking can be utilised for tool tracking, but the accuracy is often limited by magnetic interference. Vision-based methods have also been suggested; however, tracking robustness is limited by specular reflection, occlusions, and blurriness observed in the endoscopic image. Recently, deep learning-based methods have shown competitive performance on segmentation and tracking of surgical tools. The main bottleneck of these methods lies in acquiring a sufficient amount of pixel-wise, annotated training data, which demands substantial labour costs. To tackle this issue, the authors propose a weakly supervised method for surgical tool segmentation and tracking based on hybrid sensor systems. They first generate semantic labellings using EM tracking and laparoscopic image processing concurrently. They then train a light-weight deep segmentation network to obtain a binary segmentation mask that enables tool tracking. To the authors' knowledge, the proposed method is the first to integrate EM tracking and laparoscopic image processing for generation of training labels. They demonstrate that their framework achieves accurate, automatic tool segmentation (i.e. without any manual labelling of the surgical tool to be tracked) and robust tool tracking in laparoscopic image sequences.</t>
  </si>
  <si>
    <t>Predicting Alzheimer's disease progression using multi-modal deep learning approach</t>
  </si>
  <si>
    <t>Alzheimer's disease (AD) is a progressive neurodegenerative condition marked by a decline in cognitive functions with no validated disease modifying treatment. It is critical for timely treatment to detect AD in its earlier stage before clinical manifestation. Mild cognitive impairment (MCI) is an intermediate stage between cognitively normal older adults and AD. To predict conversion from MCI to probable AD, we applied a deep learning approach, multimodal recurrent neural network. We developed an integrative framework that combines not only cross-sectional neuroimaging biomarkers at baseline but also longitudinal cerebrospinal fluid (CSF) and cognitive performance biomarkers obtained from the Alzheimer's Disease Neuroimaging Initiative cohort (ADNI). The proposed framework integrated longitudinal multi-domain data. Our results showed that 1) our prediction model for MCI conversion to AD yielded up to 75% accuracy (area under the curve (AUC) = 0.83) when using only single modality of data separately; and 2) our prediction model achieved the best performance with 81% accuracy (AUC = 0.86) when incorporating longitudinal multi-domain data. A multi-modal deep learning approach has potential to identify persons at risk of developing AD who might benefit most from a clinical trial or as a stratification approach within clinical trials.</t>
  </si>
  <si>
    <t>Deep feature classification of angiomyolipoma without visible fat and renal cell carcinoma in abdominal contrast-enhanced CT images with texture image patches and hand-crafted feature concatenation</t>
  </si>
  <si>
    <t>PURPOSE: To develop an automatic deep feature classification (DFC) method for distinguishing benign angiomyolipoma without visible fat (AMLwvf) from malignant clear cell renal cell carcinoma (ccRCC) from abdominal contrast-enhanced computer tomography (CE CT) images. METHODS: A dataset including 80 abdominal CT images of 39 AMLwvf and 41 ccRCC patients was used. We proposed a DFC method for differentiating the small renal masses (SRM) into AMLwvf and ccRCC using the combination of hand-crafted and deep features, and machine learning classifiers. First, 71-dimensional hand-crafted features (HCF) of texture and shape were extracted from the SRM contours. Second, 1000-4000-dimensional deep features (DF) were extracted from the ImageNet pretrained deep learning model with the SRM image patches. In DF extraction, we proposed the texture image patches (TIP) to emphasize the texture information inside the mass in DFs and reduce the mass size variability. Finally, the two features were concatenated and the random forest (RF) classifier was trained on these concatenated features to classify the types of SRMs. The proposed method was tested on our dataset using leave-one-out cross-validation and evaluated using accuracy, sensitivity, specificity, positive predictive values (PPV), negative predictive values (NPV), and area under receiver operating characteristics curve (AUC). In experiments, the combinations of four deep learning models, AlexNet, VGGNet, GoogleNet, and ResNet, and four input image patches, including original, masked, mass-size, and texture image patches, were compared and analyzed. RESULTS: In qualitative evaluation, we observed the change in feature distributions between the proposed and comparative methods using tSNE method. In quantitative evaluation, we evaluated and compared the classification results, and observed that (a) the proposed HCF + DF outperformed HCF-only and DF-only, (b) AlexNet showed generally the best performances among the CNN models, and (c) the proposed TIPs not only achieved the competitive performances among the input patches, but also steady performance regardless of CNN models. As a result, the proposed method achieved the accuracy of 76.6 ± 1.4% for the proposed HCF + DF with AlexNet and TIPs, which improved the accuracy by 6.6%p and 8.3%p compared to HCF-only and DF-only, respectively. CONCLUSIONS: The proposed shape features and TIPs improved the HCFs and DFs, respectively, and the feature concatenation further enhanced the quality of features for differentiating AMLwvf from ccRCC in abdominal CE CT images.</t>
  </si>
  <si>
    <t>H. Lee, H. Hong, J. Kim and D. C. Jung</t>
  </si>
  <si>
    <t>Machine Friendly Machine Learning: Interpretation of Computed Tomography Without Image Reconstruction</t>
  </si>
  <si>
    <t>Recent advancements in deep learning for automated image processing and classification have accelerated many new applications for medical image analysis. However, most deep learning algorithms have been developed using reconstructed, human-interpretable medical images. While image reconstruction from raw sensor data is required for the creation of medical images, the reconstruction process only uses a partial representation of all the data acquired. Here, we report the development of a system to directly process raw computed tomography (CT) data in sinogram-space, bypassing the intermediary step of image reconstruction. Two classification tasks were evaluated for their feasibility of sinogram-space machine learning: body region identification and intracranial hemorrhage (ICH) detection. Our proposed SinoNet, a convolutional neural network optimized for interpreting sinograms, performed favorably compared to conventional reconstructed image-space-based systems for both tasks, regardless of scanning geometries in terms of projections or detectors. Further, SinoNet performed significantly better when using sparsely sampled sinograms than conventional networks operating in image-space. As a result, sinogram-space algorithms could be used in field settings for triage (presence of ICH), especially where low radiation dose is desired. These findings also demonstrate another strength of deep learning where it can analyze and interpret sinograms that are virtually impossible for human experts.</t>
  </si>
  <si>
    <t>A Deep-Learning System for Fully-Automated Peripherally Inserted Central Catheter (PICC) Tip Detection</t>
  </si>
  <si>
    <t>A peripherally inserted central catheter (PICC) is a thin catheter that is inserted via arm veins and threaded near the heart, providing intravenous access. The final catheter tip position is always confirmed on a chest radiograph (CXR) immediately after insertion since malpositioned PICCs can cause potentially life-threatening complications. Although radiologists interpret PICC tip location with high accuracy, delays in interpretation can be significant. In this study, we proposed a fully-automated, deep-learning system with a cascading segmentation AI system containing two fully convolutional neural networks for detecting a PICC line and its tip location. A preprocessing module performed image quality and dimension normalization, and a post-processing module found the PICC tip accurately by pruning false positives. Our best model, trained on 400 training cases and selectively tuned on 50 validation cases, obtained absolute distances from ground truth with a mean of 3.10 mm, a standard deviation of 2.03 mm, and a root mean squares error (RMSE) of 3.71 mm on 150 held-out test cases. This system could help speed confirmation of PICC position and further be generalized to include other types of vascular access and therapeutic support devices.</t>
  </si>
  <si>
    <t>H. Lee, M. Mansouri, S. Tajmir, M. H. Lev and S. Do</t>
  </si>
  <si>
    <t>10.1007/s11886-020-01337-7</t>
  </si>
  <si>
    <t>Machine Learning and Coronary Artery Calcium Scoring</t>
  </si>
  <si>
    <t>PURPOSE OF REVIEW: To summarize current artificial intelligence (AI)-based applications for coronary artery calcium scoring (CACS) and their potential clinical impact. RECENT FINDINGS: Recent evolution of AI-based technologies in medical imaging has accelerated progress in CACS performed in diverse types of CT examinations, providing promising results for future clinical application in this field. CACS plays a key role in risk stratification of coronary artery disease (CAD) and patient management. Recent emergence of AI algorithms, particularly deep learning (DL)-based applications, have provided considerable progress in CACS. Many investigations have focused on the clinical role of DL models in CACS and showed excellent agreement between those algorithms and manual scoring, not only in dedicated coronary calcium CT but also in coronary CT angiography (CCTA), low-dose chest CT, and standard chest CT. Therefore, the potential of AI-based CACS may become more influential in the future.</t>
  </si>
  <si>
    <t>Fully Automated Deep Learning System for Bone Age Assessment</t>
  </si>
  <si>
    <t>Skeletal maturity progresses through discrete phases, a fact that is used routinely in pediatrics where bone age assessments (BAAs) are compared to chronological age in the evaluation of endocrine and metabolic disorders. While central to many disease evaluations, little has changed to improve the tedious process since its introduction in 1950. In this study, we propose a fully automated deep learning pipeline to segment a region of interest, standardize and preprocess input radiographs, and perform BAA. Our models use an ImageNet pretrained, fine-tuned convolutional neural network (CNN) to achieve 57.32 and 61.40% accuracies for the female and male cohorts on our held-out test images. Female test radiographs were assigned a BAA within 1 year 90.39% and within 2 years 98.11% of the time. Male test radiographs were assigned 94.18% within 1 year and 99.00% within 2 years. Using the input occlusion method, attention maps were created which reveal what features the trained model uses to perform BAA. These correspond to what human experts look at when manually performing BAA. Finally, the fully automated BAA system was deployed in the clinical environment as a decision supporting system for more accurate and efficient BAAs at much faster interpretation time (&lt;2 s) than the conventional method.</t>
  </si>
  <si>
    <t>H. Lee, S. Tajmir, J. Lee, M. Zissen, B. A. Yeshiwas, T. K. Alkasab, G. Choy and S. Do</t>
  </si>
  <si>
    <t>Pixel-Level Deep Segmentation: Artificial Intelligence Quantifies Muscle on Computed Tomography for Body Morphometric Analysis</t>
  </si>
  <si>
    <t>Pretreatment risk stratification is key for personalized medicine. While many physicians rely on an eyeball test to assess whether patients will tolerate major surgery or chemotherapy, eyeballing is inherently subjective and difficult to quantify. The concept of morphometric age derived from cross-sectional imaging has been found to correlate well with outcomes such as length of stay, morbidity, and mortality. However, the determination of the morphometric age is time intensive and requires highly trained experts. In this study, we propose a fully automated deep learning system for the segmentation of skeletal muscle cross-sectional area (CSA) on an axial computed tomography image taken at the third lumbar vertebra. We utilized a fully automated deep segmentation model derived from an extended implementation of a fully convolutional network with weight initialization of an ImageNet pre-trained model, followed by post processing to eliminate intramuscular fat for a more accurate analysis. This experiment was conducted by varying window level (WL), window width (WW), and bit resolutions in order to better understand the effects of the parameters on the model performance. Our best model, fine-tuned on 250 training images and ground truth labels, achieves 0.93 ± 0.02 Dice similarity coefficient (DSC) and 3.68 ± 2.29% difference between predicted and ground truth muscle CSA on 150 held-out test cases. Ultimately, the fully automated segmentation system can be embedded into the clinical environment to accelerate the quantification of muscle and expanded to volume analysis of 3D datasets.</t>
  </si>
  <si>
    <t>H. Lee, F. M. Troschel, S. Tajmir, G. Fuchs, J. Mario, F. J. Fintelmann and S. Do</t>
  </si>
  <si>
    <t>Intact metabolite spectrum mining by deep learning in proton magnetic resonance spectroscopy of the brain</t>
  </si>
  <si>
    <t>PURPOSE: To develop a robust method for brain metabolite quantification in proton magnetic resonance spectroscopy ((1) H-MRS) using a convolutional neural network (CNN) that maps in vivo brain spectra that are typically degraded by low SNR, line broadening, and spectral baseline into noise-free, line-narrowed, baseline-removed intact metabolite spectra. METHODS: A CNN was trained (n = 40 000) and tested (n = 5000) on simulated brain spectra with wide ranges of SNR (6.90-20.74) and linewidth (10-20 Hz). The CNN was further tested on in vivo spectra (n = 40) from five healthy volunteers with substantially different SNR, and the results were compared with those from the LCModel analysis. A Student t test was performed for the comparison. RESULTS: Using the proposed method the mean-absolute-percent-errors (MAPEs) in the estimated metabolite concentrations were 12.49% ± 4.35% for aspartate, creatine (Cr), γ-aminobutyric acid (GABA), glucose, glutamine, glutamate, glutathione (GSH), myo-Inositol (mI), N-acetylaspartate, phosphocreatine (PCr), phosphorylethanolamine, and taurine over the whole simulated spectra in the test set. The metabolite concentrations estimated from in vivo spectra were close to the reported ranges for the proposed method and the LCModel analysis except mI, GSH, and especially Cr/PCr for the LCModel analysis, and phosphorylcholine to glycerophosphorylcholine ratio (PC/GPC) for both methods. The metabolite concentrations estimated across the in vivo spectra with different SNR were less variable with the proposed method (~10% or less) than with the LCModel analysis. CONCLUSION: The robust performance of the proposed method against low SNR may allow a subminute (1) H-MRS of human brain, which is an important technical development for clinical studies.</t>
  </si>
  <si>
    <t>Three-Dimensional Analysis of Particle Distribution on Filter Layers inside N95 Respirators by Deep Learning</t>
  </si>
  <si>
    <t>The global COVID-19 pandemic has changed many aspects of daily lives. Wearing personal protective equipment, especially respirators (face masks), has become common for both the public and medical professionals, proving to be effective in preventing spread of the virus. Nevertheless, a detailed understanding of respirator filtration-layer internal structures and their physical configurations is lacking. Here, we report three-dimensional (3D) internal analysis of N95 filtration layers via X-ray tomography. Using deep learning methods, we uncover how the distribution and diameters of fibers within these layers directly affect contaminant particle filtration. The average porosity of the filter layers is found to be 89.1%. Contaminants are more efficiently captured by denser fiber regions, with fibers &lt;1.8 μm in diameter being particularly effective, presumably because of the stronger electric field gradient on smaller diameter fibers. This study provides critical information for further development of N95-type respirators that combine high efficiency with good breathability.</t>
  </si>
  <si>
    <t>Nano Lett</t>
  </si>
  <si>
    <t>Is Artificial Intelligence Better Than Human Clinicians in Predicting Patient Outcomes?</t>
  </si>
  <si>
    <t>In contrast with medical imaging diagnostics powered by artificial intelligence (AI), in which deep learning has led to breakthroughs in recent years, patient outcome prediction poses an inherently challenging problem because it focuses on events that have not yet occurred. Interestingly, the performance of machine learning-based patient outcome prediction models has rarely been compared with that of human clinicians in the literature. Human intuition and insight may be sources of underused predictive information that AI will not be able to identify in electronic data. Both human and AI predictions should be investigated together with the aim of achieving a human-AI symbiosis that synergistically and complementarily combines AI with the predictive abilities of clinicians.</t>
  </si>
  <si>
    <t>J. Lee</t>
  </si>
  <si>
    <t>k-Space deep learning for reference-free EPI ghost correction</t>
  </si>
  <si>
    <t>PURPOSE: Nyquist ghost artifacts in echo planar imaging (EPI) are originated from phase mismatch between the even and odd echoes. However, conventional correction methods using reference scans often produce erroneous results especially in high-field MRI due to the nonlinear and time-varying local magnetic field changes. Recently, it was shown that the problem of ghost correction can be reformulated as k-space interpolation problem that can be solved using structured low-rank Hankel matrix approaches. Another recent work showed that data driven Hankel matrix decomposition can be reformulated to exhibit similar structures as deep convolutional neural network. By synergistically combining these findings, we propose a k-space deep learning approach that immediately corrects the phase mismatch without a reference scan in both accelerated and non-accelerated EPI acquisitions. THEORY AND METHODS: To take advantage of the even and odd-phase directional redundancy, the k-space data are divided into 2 channels configured with even and odd phase encodings. The redundancies between coils are also exploited by stacking the multi-coil k-space data into additional input channels. Then, our k-space ghost correction network is trained to learn the interpolation kernel to estimate the missing virtual k-space data. For the accelerated EPI data, the same neural network is trained to directly estimate the interpolation kernels for missing k-space data from both ghost and subsampling. RESULTS: Reconstruction results using 3T and 7T in vivo data showed that the proposed method outperformed the image quality compared to the existing methods, and the computing time is much faster. CONCLUSIONS: The proposed k-space deep learning for EPI ghost correction is highly robust and fast, and can be combined with acceleration, so that it can be used as a promising correction tool for high-field MRI without changing the current acquisition protocol.</t>
  </si>
  <si>
    <t>Screening Glaucoma With Red-free Fundus Photography Using Deep Learning Classifier and Polar Transformation</t>
  </si>
  <si>
    <t>PRéCIS:: The novel proposed algorithm using deep learning classifier and polar transformation technique can be an economical as well as an effective tool for early detection of glaucomatous RNFL defect. PURPOSE: The main purpose of this study was to develop novel software to determine whether there is a retinal nerve fiber layer (RNFL) defect in a given fundus image using deep learning classifier and, if there is, where it presents. MATERIALS AND METHODS: In the deep learning classifier, the bottleneck features were extracted, followed by application of the softmax classifier, which outputted the glaucoma probability. For localization of RNFL defect, an image processing algorithm was implemented as follows: (1) the given image was normalized to enhance the contrast; (2) the region of interest (ROI) was set as the circumferential area surrounding the optic disc (internal diameter: 2 disc diameters, external diameter: 3 disc diameter), and converted to a polar image; (3) blood vessels were removed and the average curvatures were calculated. If the local maximum curvature was greater than the cut-off value, the sector was considered to be an RNFL defect.The images of 100 normal healthy controls and 100 open-angle glaucoma patients were enrolled. Maximum curvatures and area under receiver operating characteristic curve were compared to determine the diagnostic validity. RESULTS: There were no significant differences in age or sex (P=0.275, P=0.479, respectively) between the 2 groups. In the glaucoma group, the mean deviation was -4.9±5.4 dB. There was a significant difference of maximum curvature (14.37±5.13 in control group, 20.67±10.56 in glaucoma group, P&lt;0.001). Area under receiver operating characteristic curve was 0.939 in deep learning classifier and 0.711 in maximum curvature. CONCLUSIONS: The proposed software can be an effective tool for automated detection of RNFL defect.</t>
  </si>
  <si>
    <t>Macular Ganglion Cell-Inner Plexiform Layer Thickness Prediction from Red-free Fundus Photography using Hybrid Deep Learning Model</t>
  </si>
  <si>
    <t>We developed a hybrid deep learning model (HDLM) algorithm that quantitatively predicts macular ganglion cell-inner plexiform layer (mGCIPL) thickness from red-free retinal nerve fiber layer photographs (RNFLPs). A total of 789 pairs of RNFLPs and spectral domain-optical coherence tomography (SD-OCT) scans for 431 eyes of 259 participants (183 eyes of 114 healthy controls, 68 eyes of 46 glaucoma suspects, and 180 eyes of 99 glaucoma patients) were enrolled. An HDLM was built by combining a pre-trained deep learning network and support vector machine. The correlation coefficient and mean absolute error (MAE) between the predicted and measured mGCIPL thicknesses were calculated. The measured (OCT-based) and predicted (HDLM-based) average mGCIPL thicknesses were 73.96 ± 8.81 µm and 73.92 ± 7.36 µm, respectively (P = 0.844). The predicted mGCIPL thickness showed a strong correlation and good agreement with the measured mGCIPL thickness (Correlation coefficient r = 0.739; P &lt; 0.001; MAE = 4.76 µm). Even when the peripapillary area (diameter: 1.5 disc diameters) was masked, the correlation (r = 0.713; P &lt; 0.001) and agreement (MAE = 4.87 µm) were not changed significantly (P = 0.378 and 0.724, respectively). The trained HDLM algorithm showed a great capability for mGCIPL thickness prediction from RNFLPs.</t>
  </si>
  <si>
    <t>Diagnosing Glaucoma With Spectral-Domain Optical Coherence Tomography Using Deep Learning Classifier</t>
  </si>
  <si>
    <t>PRéCIS:: A spectral-domain optical coherence tomography (SD-OCT) based deep learning system detected glaucomatous structural change with high sensitivity and specificity. It outperformed the clinical diagnostic parameters in discriminating glaucomatous eyes from healthy eyes. PURPOSE: The purpose of this study was to assess the performance of a deep learning classifier for the detection of glaucomatous change based on SD-OCT. METHODS: Three hundred fifty image sets of ganglion cell-inner plexiform layer (GCIPL) and retinal nerve fiber layer (RNFL) SD-OCT for 86 glaucomatous eyes and 307 SD-OCT image sets of 196 healthy participants were recruited and split into training (197 eyes) and test (85 eyes) datasets based on a patient-wise split. The bottleneck features extracted from the GCIPL thickness map, GCIPL deviation map, RNFL thickness map, and RNFL deviation map were used as predictors for the deep learning classifier. The area under the receiver operating characteristic curve (AUC) was calculated and compared with those of conventional glaucoma diagnostic parameters including SD-OCT thickness profile and standard automated perimetry (SAP) to evaluate the accuracy of discrimination for each algorithm. RESULTS: In the test dataset, this deep learning system achieved an AUC of 0.990 [95% confidence interval (CI), 0.975-1.000] with a sensitivity of 94.7% and a specificity of 100.0%, which was significantly larger than the AUCs with all of the optical coherence tomography and SAP parameters: 0.949 (95% CI, 0.921-0.976) with average GCIPL thickness (P=0.006), 0.938 (95% CI, 0.905-0.971) with average RNFL thickness (P=0.003), and 0.889 (0.844-0.934) with mean deviation of SAP (P&lt;0.001; DeLong test). CONCLUSION: An SD-OCT-based deep learning system can detect glaucomatous structural change with high sensitivity and specificity.</t>
  </si>
  <si>
    <t>Fully automated plaque characterization in intravascular OCT images using hybrid convolutional and lumen morphology features</t>
  </si>
  <si>
    <t>For intravascular OCT (IVOCT) images, we developed an automated atherosclerotic plaque characterization method that used a hybrid learning approach, which combined deep-learning convolutional and hand-crafted, lumen morphological features. Processing was done on innate A-line units with labels fibrolipidic (fibrous tissue followed by lipidous tissue), fibrocalcific (fibrous tissue followed by calcification), or other. We trained/tested on an expansive data set (6,556 images), and performed an active learning, relabeling step to improve noisy ground truth labels. Conditional random field was an important post-processing step to reduce classification errors. Sensitivities/specificities were 84.8%/97.8% and 91.4%/95.7% for fibrolipidic and fibrocalcific plaques, respectively. Over lesions, en face classification maps showed automated results that agreed favorably to manually labeled counterparts. Adding lumen morphological features gave statistically significant improvement (p &lt; 0.05), as compared to classification with convolutional features alone. Automated assessments of clinically relevant plaque attributes (arc angle and length), compared favorably to those from manual labels. Our hybrid approach gave statistically improved results as compared to previous A-line classification methods using deep learning or hand-crafted features alone. This plaque characterization approach is fully automated, robust, and promising for live-time treatment planning and research applications.</t>
  </si>
  <si>
    <t>10.3348/kjr.2017.18.4.570</t>
  </si>
  <si>
    <t>Deep Learning in Medical Imaging: General Overview</t>
  </si>
  <si>
    <t>The artificial neural network (ANN)-a machine learning technique inspired by the human neuronal synapse system-was introduced in the 1950s. However, the ANN was previously limited in its ability to solve actual problems, due to the vanishing gradient and overfitting problems with training of deep architecture, lack of computing power, and primarily the absence of sufficient data to train the computer system. Interest in this concept has lately resurfaced, due to the availability of big data, enhanced computing power with the current graphics processing units, and novel algorithms to train the deep neural network. Recent studies on this technology suggest its potentially to perform better than humans in some visual and auditory recognition tasks, which may portend its applications in medicine and healthcare, especially in medical imaging, in the foreseeable future. This review article offers perspectives on the history, development, and applications of deep learning technology, particularly regarding its applications in medical imaging.</t>
  </si>
  <si>
    <t>Deep Learning-Based Computer-Aided Diagnosis System for Localization and Diagnosis of Metastatic Lymph Nodes on Ultrasound: A Pilot Study</t>
  </si>
  <si>
    <t>BACKGROUND: The presence of metastatic lymph nodes is a prognostic indicator for patients with thyroid carcinomas and is an important determinant of clinical decision making. However, evaluating neck lymph nodes requires experience and is labor- and time-intensive. Therefore, the development of a computer-aided diagnosis (CAD) system to identify and differentiate metastatic lymph nodes may be useful. METHODS: From January 2008 to December 2016, we retrieved clinical records for 804 consecutive patients with 812 lymph nodes. The status of all lymph nodes was confirmed by fine-needle aspiration. The datasets were split into training (263 benign and 286 metastatic lymph nodes), validation (30 benign and 33 metastatic lymph nodes), and test (100 benign and 100 metastatic lymph nodes). Using the VGG-Class Activation Map model, we developed a CAD system to localize and differentiate the metastatic lymph nodes. We then evaluated the diagnostic performance of this CAD system in our test set. RESULTS: In the test set, the accuracy, sensitivity, and specificity of our model for predicting lymph node malignancy were 83.0%, 79.5%, and 87.5%, respectively. The CAD system clearly detected the locations of the lymph nodes, which not only provided identifying data, but also demonstrated the basis of decisions. CONCLUSION: We developed a deep learning-based CAD system for the localization and differentiation of metastatic lymph nodes from thyroid cancer on ultrasound. This CAD system is highly sensitive and may be used as a screening tool; however, as it is relatively less specific, the screening results should be validated by experienced physicians.</t>
  </si>
  <si>
    <t>J. H. Lee, J. H. Baek, J. H. Kim, W. H. Shim, S. R. Chung, Y. J. Choi and J. H. Lee</t>
  </si>
  <si>
    <t>Thyroid</t>
  </si>
  <si>
    <t>Application of deep learning to the diagnosis of cervical lymph node metastasis from thyroid cancer with CT: external validation and clinical utility for resident training</t>
  </si>
  <si>
    <t>PURPOSE: This study aimed to validate a deep learning model's diagnostic performance in using computed tomography (CT) to diagnose cervical lymph node metastasis (LNM) from thyroid cancer in a large clinical cohort and to evaluate the model's clinical utility for resident training. METHODS: The performance of eight deep learning models was validated using 3838 axial CT images from 698 consecutive patients with thyroid cancer who underwent preoperative CT imaging between January and August 2018 (3606 and 232 images from benign and malignant lymph nodes, respectively). Six trainees viewed the same patient images (n = 242), and their diagnostic performance and confidence level (5-point scale) were assessed before and after computer-aided diagnosis (CAD) was included. RESULTS: The overall area under the receiver operating characteristics (AUROC) of the eight deep learning algorithms was 0.846 (range 0.784-0.884). The best performing model was Xception, with an AUROC of 0.884. The diagnostic accuracy, sensitivity, specificity, positive predictive value, and negative predictive value of Xception were 82.8%, 80.2%, 83.0%, 83.0%, and 80.2%, respectively. After introducing the CAD system, underperforming trainees received more help from artificial intelligence than the higher performing trainees (p = 0.046), and overall confidence levels significantly increased from 3.90 to 4.30 (p &lt; 0.001). CONCLUSION: The deep learning-based CAD system used in this study for CT diagnosis of cervical LNM from thyroid cancer was clinically validated with an AUROC of 0.884. This approach may serve as a training tool to help resident physicians to gain confidence in diagnosis. KEY POINTS: • A deep learning-based CAD system for CT diagnosis of cervical LNM from thyroid cancer was validated using data from a clinical cohort. The AUROC for the eight tested algorithms ranged from 0.784 to 0.884. • Of the eight models, the Xception algorithm was the best performing model for the external validation dataset with 0.884 AUROC. The accuracy, sensitivity, specificity, positive predictive value, and negative predictive value were 82.8%, 80.2%, 83.0%, 83.0%, and 80.2%, respectively. • The CAD system exhibited potential to improve diagnostic specificity and accuracy in underperforming trainees (3 of 6 trainees, 50.0%). This approach may have clinical utility as a training tool to help trainees to gain confidence in diagnoses.</t>
  </si>
  <si>
    <t>Application of deep learning to the diagnosis of cervical lymph node metastasis from thyroid cancer with CT</t>
  </si>
  <si>
    <t>PURPOSE: To develop a deep learning-based computer-aided diagnosis (CAD) system for use in the CT diagnosis of cervical lymph node metastasis (LNM) in patients with thyroid cancer. METHODS: A total of 995 axial CT images that included benign (n = 647) and malignant (n = 348) lymph nodes were collected from 202 patients with thyroid cancer who underwent CT for surgical planning between July 2017 and January 2018. The datasets were randomly split into training (79.0%), validation (10.5%), and test (10.5%) datasets. Eight deep convolutional neural network (CNN) models were used to classify the images into metastatic or benign lymph nodes. Pretrained networks were used on the ImageNet and the best-performing algorithm was selected. Class-specific discriminative regions were visualized with attention heatmap using a global average pooling method. RESULTS: The area under the ROC curve (AUROC) for the tested algorithms ranged from 0.909 to 0.953. The sensitivity, specificity, and accuracy of the best-performing algorithm were all 90.4%, respectively. Attention heatmap highlighted important subregions for further clinical review. CONCLUSION: A deep learning-based CAD system could accurately classify cervical LNM in patients with thyroid cancer on preoperative CT with an AUROC of 0.953. Whether this approach has clinical utility will require evaluation in a clinical setting. KEY POINTS: • A deep learning-based CAD system could accurately classify cervical lymph node metastasis. The AUROC for the eight tested algorithms ranged from 0.909 to 0.953. • Of the eight models, the ResNet50 algorithm was the best-performing model for the validation dataset with 0.953 AUROC. The sensitivity, specificity, and accuracy of the ResNet50 model were all 90.4%, respectively, in the test dataset. • Based on its high accuracy of 90.4%, we consider that this model may be useful in a clinical setting to detect LNM on preoperative CT in patients with thyroid cancer.</t>
  </si>
  <si>
    <t>J. H. Lee, E. J. Ha and J. H. Kim</t>
  </si>
  <si>
    <t>Spine Computed Tomography to Magnetic Resonance Image Synthesis Using Generative Adversarial Networks : A Preliminary Study</t>
  </si>
  <si>
    <t>OBJECTIVE: To generate synthetic spine magnetic resonance (MR) images from spine computed tomography (CT) using generative adversarial networks (GANs), as well as to determine the similarities between synthesized and real MR images. METHODS: GANs were trained to transform spine CT image slices into spine magnetic resonance T2 weighted (MRT2) axial image slices by combining adversarial loss and voxel-wise loss. Experiments were performed using 280 pairs of lumbar spine CT scans and MRT2 images. The MRT2 images were then synthesized from 15 other spine CT scans. To evaluate whether the synthetic MR images were realistic, two radiologists, two spine surgeons, and two residents blindly classified the real and synthetic MRT2 images. Two experienced radiologists then evaluated the similarities between subdivisions of the real and synthetic MRT2 images. Quantitative analysis of the synthetic MRT2 images was performed using the mean absolute error (MAE) and peak signal-to-noise ratio (PSNR). RESULTS: The mean overall similarity of the synthetic MRT2 images evaluated by radiologists was 80.2%. In the blind classification of the real MRT2 images, the failure rate ranged from 0% to 40%. The MAE value of each image ranged from 13.75 to 34.24 pixels (mean, 21.19 pixels), and the PSNR of each image ranged from 61.96 to 68.16 dB (mean, 64.92 dB). CONCLUSION: This was the first study to apply GANs to synthesize spine MR images from CT images. Despite the small dataset of 280 pairs, the synthetic MR images were relatively well implemented. Synthesis of medical images using GANs is a new paradigm of artificial intelligence application in medical imaging. We expect that synthesis of MR images from spine CT images using GANs will improve the diagnostic usefulness of CT. To better inform the clinical applications of this technique, further studies are needed involving a large dataset, a variety of pathologies, and other MR sequence of the lumbar spine.</t>
  </si>
  <si>
    <t>J Korean Neurosurg Soc</t>
  </si>
  <si>
    <t>Application of a fully deep convolutional neural network to the automation of tooth segmentation on panoramic radiographs</t>
  </si>
  <si>
    <t>OBJECTIVES: To evaluate a fully deep learning mask region-based convolutional neural network (R-CNN) method for automated tooth segmentation using individual annotation of panoramic radiographs. STUDY DESIGN: In total, 846 images with tooth annotations from 30 panoramic radiographs were used for training, and 20 panoramic images as the validation and test sets. An oral radiologist manually performed individual tooth annotation on the panoramic radiographs to generate the ground truth of each tooth structure. We used the augmentation technique to reduce overfitting and obtained 1024 training samples from 846 original data points. A fully deep learning method using the mask R-CNN model was implemented through a fine-tuning process to detect and localize the tooth structures. For performance evaluation, the F1 score, mean intersection over union (IoU), and visual analysis were utilized. RESULTS: The proposed method produced an F1 score of 0.875 (precision: 0.858, recall: 0.893) and a mean IoU of 0.877. A visual evaluation of the segmentation method showed a close resemblance to the ground truth. CONCLUSIONS: The method achieved high performance for automation of tooth segmentation on dental panoramic images. The proposed method might be applied in the first step of diagnosis automation and in forensic identification, which involves similar segmentation tasks.</t>
  </si>
  <si>
    <t>Efficacy of deep convolutional neural network algorithm for the identification and classification of dental implant systems, using panoramic and periapical radiographs: A pilot study</t>
  </si>
  <si>
    <t>Convolutional neural networks (CNNs), a particular type of deep learning architecture, are positioned to become one of the most transformative technologies for medical applications. The aim of the current study was to evaluate the efficacy of deep CNN algorithm for the identification and classification of dental implant systems.A total of 5390 panoramic and 5380 periapical radiographic images from 3 types of dental implant systems, with similar shape and internal conical connection, were randomly divided into training and validation dataset (80%) and a test dataset (20%). We performed image preprocessing and transfer learning techniques, based on fine-tuned and pre-trained deep CNN architecture (GoogLeNet Inception-v3). The test dataset was used to assess the accuracy, sensitivity, specificity, receiver operating characteristic curve, area under the receiver operating characteristic curve (AUC), and confusion matrix compared between deep CNN and periodontal specialist.We found that the deep CNN architecture (AUC = 0.971, 95% confidence interval 0.963-0.978) and board-certified periodontist (AUC = 0.925, 95% confidence interval 0.913-0.935) showed reliable classification accuracies.This study demonstrated that deep CNN architecture is useful for the identification and classification of dental implant systems using panoramic and periapical radiographic images.</t>
  </si>
  <si>
    <t>Deep learning with ultrasonography: automated classification of liver fibrosis using a deep convolutional neural network</t>
  </si>
  <si>
    <t>OBJECTIVES: The aim of this study was to develop a deep convolutional neural network (DCNN) for the prediction of the METAVIR score using B-mode ultrasonography images. METHODS: Datasets from two tertiary academic referral centers were used. A total of 13,608 ultrasonography images from 3446 patients who underwent surgical resection, biopsy, or transient elastography were used for training a DCNN for the prediction of the METAVIR score. Pathological specimens or estimated METAVIR scores derived from transient elastography were used as a reference standard. A four-class model (F0 vs. F1 vs. F23 vs. F4) was developed. Diagnostic performance of the algorithm was validated on a separate internal test set of 266 patients with 300 images and external test set of 572 patients with 1232 images. Performance in classification of cirrhosis was compared between the DCNN and five radiologists. RESULTS: The accuracy of the four-class model was 83.5% and 76.4% on the internal and external test set, respectively. The area under the receiver operating characteristic curve (AUC) for classification of cirrhosis (F4) was 0.901 (95% confidence interval [CI], 0.865-0.937) on the internal test set and 0.857 (95% CI, 0.825-0.889) on the external test set, respectively. The AUC of the DCNN for classification of cirrhosis (0.857) was significantly higher than that of all five radiologists (AUC range, 0.656-0.816; p value &lt; 0.05) using the external test set. CONCLUSIONS: The DCNN showed high accuracy for determining METAVIR score using ultrasonography images and achieved better performance than that of radiologists in the diagnosis of cirrhosis. KEY POINTS: • DCNN accurately classified the ultrasonography images according to the METAVIR score. • The AUROC of this algorithm for cirrhosis assessment was significantly higher than that of radiologists. • DCNN using US images may offer an alternative tool for monitoring liver fibrosis.</t>
  </si>
  <si>
    <t>Diagnosis of cystic lesions using panoramic and cone beam computed tomographic images based on deep learning neural network</t>
  </si>
  <si>
    <t>OBJECTIVES: The aim of the current study was to evaluate the detection and diagnosis of three types of odontogenic cystic lesions (OCLs)-odontogenic keratocysts, dentigerous cysts, and periapical cysts-using dental panoramic radiography and cone beam computed tomographic (CBCT) images based on a deep convolutional neural network (CNN). METHODS: The GoogLeNet Inception-v3 architecture was used to enhance the overall performance of the detection and diagnosis of OCLs based on transfer learning. Diagnostic indices (area under the ROC curve [AUC], sensitivity, specificity, and confusion matrix with and without normalization) were calculated and compared between pretrained models using panoramic and CBCT images. RESULTS: The pretrained model using CBCT images showed good diagnostic performance (AUC = 0.914, sensitivity = 96.1%, specificity = 77.1%), which was significantly greater than that achieved by other models using panoramic images (AUC = 0.847, sensitivity = 88.2%, specificity = 77.0%) (p = .014). CONCLUSIONS: This study demonstrated that panoramic and CBCT image datasets, comprising three types of odontogenic OCLs, are effectively detected and diagnosed based on the deep CNN architecture. In particular, we found that the deep CNN architecture trained with CBCT images achieved higher diagnostic performance than that trained with panoramic images.</t>
  </si>
  <si>
    <t>Bone age estimation using deep learning and hand X-ray images</t>
  </si>
  <si>
    <t>Bones during growth period undergo substantial changes in shape and size. X-ray imaging has been routinely used for bone growth diagnosis purpose. Hand has been the part of choice for X-ray imaging due to its high bone parts count and relatively low radiation requirement. Traditionally, bone age estimation has been performed by referencing atlases of images of hand bone regions where aging-related metamorphoses are most conspicuous. Tanner and Whitehouse' and Greulich and Pyle's are some well known ones. The process entails manual comparison of subject's hand region images against a set of corresponding images in the atlases. It is desired to estimate bone age from hand images in an automated manner, which would facilitate more efficient estimation in terms of time and labor cost and enables quantitative and objective assessments. Deep learning method has proved to be a viable approach in a number of application domains. It is also gaining wider grounds in medical image analysis. A cascaded structure of layers can be trained to mimic the image-based cognitive and inference processes of human and other higher organisms. We employed a set of well known deep learning network architectures. In the current study, 3000 images were manually curated to mark feature points on hands. They were used as reference points in removing unnecessary image regions and to retain regions of interest (ROI) relevant to age estimation. Different ROI's were defined and used-that of rather small area mostly made up of carpal and metacarpal bones and that includes most of phalanges in addition. Irrelevant intensity variation across cropped images was minimized by applying histogram equalization. In consideration of the established gender difference in growth rates, separate gender models were built. Certain age range image data are far scarcer and exhibit rather large excursion in morphology from other age ranges-e.g. infancy and very early childhood. Many studies excluded them and addressed only elder subjects in later developmental stages. Considering infant age group's diagnosis demand is just as valid as elder groups', we included entire age ranges for our study. A number of different deep learning architectures were trained with varying region of interest definitions. Smallest mean absolute difference error was 8.890 months for a test set of 400 images. This study was preliminary, and in the future, we plan to investigate alternative approaches not taken in the present study.</t>
  </si>
  <si>
    <t>Biomed Eng Lett</t>
  </si>
  <si>
    <t>Performance of a Deep Learning Algorithm Compared with Radiologic Interpretation for Lung Cancer Detection on Chest Radiographs in a Health Screening Population</t>
  </si>
  <si>
    <t>Background The performance of a deep learning algorithm for lung cancer detection on chest radiographs in a health screening population is unknown. Purpose To validate a commercially available deep learning algorithm for lung cancer detection on chest radiographs in a health screening population. Materials and Methods Out-of-sample testing of a deep learning algorithm was retrospectively performed using chest radiographs from individuals undergoing a comprehensive medical check-up between July 2008 and December 2008 (validation test). To evaluate the algorithm performance for visible lung cancer detection, the area under the receiver operating characteristic curve (AUC) and diagnostic measures, including sensitivity and false-positive rate (FPR), were calculated. The algorithm performance was compared with that of radiologists using the McNemar test and the Moskowitz method. Additionally, the deep learning algorithm was applied to a screening cohort undergoing chest radiography between January 2008 and December 2012, and its performances were calculated. Results In a validation test comprising 10 285 radiographs from 10 202 individuals (mean age, 54 years ± 11 [standard deviation]; 5857 men) with 10 radiographs of visible lung cancers, the algorithm's AUC was 0.99 (95% confidence interval: 0.97, 1), and it showed comparable sensitivity (90% [nine of 10 radiographs]) to that of the radiologists (60% [six of 10 radiographs]; P = .25) with a higher FPR (3.1% [319 of 10 275 radiographs] vs 0.3% [26 of 10 275 radiographs]; P &lt; .001). In the screening cohort of 100 525 chest radiographs from 50 070 individuals (mean age, 53 years ± 11; 28 090 men) with 47 radiographs of visible lung cancers, the algorithm's AUC was 0.97 (95% confidence interval: 0.95, 0.99), and its sensitivity and FPR were 83% (39 of 47 radiographs) and 3% (2999 of 100 478 radiographs), respectively. Conclusion A deep learning algorithm detected lung cancers on chest radiographs with a performance comparable to that of radiologists, which will be helpful for radiologists in healthy populations with a low prevalence of lung cancer. © RSNA, 2020 Online supplemental material is available for this article. See also the editorial by Armato in this issue.</t>
  </si>
  <si>
    <t>Ultrasound needle segmentation and trajectory prediction using excitation network</t>
  </si>
  <si>
    <t>PURPOSE: Ultrasound (US)-guided percutaneous kidney biopsy is a challenge for interventionists as US artefacts prevent accurate viewing of the biopsy needle tip. Automatic needle tracking and trajectory prediction can increase operator confidence in performing biopsies, reduce procedure time, minimize the risk of inadvertent biopsy bleedings, and enable future image-guided robotic procedures. METHODS: In this paper, we propose a tracking-by-segmentation model with spatial and channel Squeeze and Excitation (scSE) for US needle detection and trajectory prediction. We adopt a light deep learning architecture (e.g. LinkNet) as our segmentation baseline network and integrate the scSE module to learn spatial information for better prediction. The proposed model is trained with the US images of anonymized kidney biopsy clips from 8 patients. The contour is obtained using the border-following algorithm and area calculated using Green formula. Trajectory prediction is made by extrapolating from the smallest bounding box that can capture the contour. RESULTS: We train and test our model on a total of 996 images extracted from 102 short videos at a rate of 3 frames per second from each video. A set of 794 images is used for training and 202 images for testing. Our model has achieved IOU of 41.01%, dice accuracy of 56.65%, F1-score of 36.61%, and root-mean-square angle error of 13.3[Formula: see text]. We are thus able to predict and extrapolate the trajectory of the biopsy needle with decent accuracy for interventionists to better perform biopsies. CONCLUSION: Our novel model combining LinkNet and scSE shows a promising result for kidney biopsy application, which implies potential to other similar ultrasound-guided biopsies that require needle tracking and trajectory prediction.</t>
  </si>
  <si>
    <t>Evaluation of Scalability and Degree of Fine-Tuning of Deep Convolutional Neural Networks for COVID-19 Screening on Chest X-ray Images Using Explainable Deep-Learning Algorithm</t>
  </si>
  <si>
    <t>According to recent studies, patients with COVID-19 have different feature characteristics on chest X-ray (CXR) than those with other lung diseases. This study aimed at evaluating the layer depths and degree of fine-tuning on transfer learning with a deep convolutional neural network (CNN)-based COVID-19 screening in CXR to identify efficient transfer learning strategies. The CXR images used in this study were collected from publicly available repositories, and the collected images were classified into three classes: COVID-19, pneumonia, and normal. To evaluate the effect of layer depths of the same CNN architecture, CNNs called VGG-16 and VGG-19 were used as backbone networks. Then, each backbone network was trained with different degrees of fine-tuning and comparatively evaluated. The experimental results showed the highest AUC value to be 0.950 concerning COVID-19 classification in the experimental group of a fine-tuned with only 2/5 blocks of the VGG16 backbone network. In conclusion, in the classification of medical images with a limited number of data, a deeper layer depth may not guarantee better results. In addition, even if the same pre-trained CNN architecture is used, an appropriate degree of fine-tuning can help to build an efficient deep learning model.</t>
  </si>
  <si>
    <t>J Pers Med</t>
  </si>
  <si>
    <t>The exploration of feature extraction and machine learning for predicting bone density from simple spine X-ray images in a Korean population</t>
  </si>
  <si>
    <t>OBJECTIVE: Osteoporosis is hard to detect before it manifests symptoms and complications. In this study, we evaluated machine learning models for identifying individuals with abnormal bone mineral density (BMD) through an analysis of spine X-ray features extracted by deep learning to alert high-risk osteoporosis populations. MATERIALS AND METHODS: We retrospectively used data obtained from health check-ups including spine X-ray and dual-energy X-ray absorptiometry (DXA). Consecutively, we selected people with normal and abnormal bone mineral density. From the regions of interest of X-ray images, deep convolutional networks were used to generate image features. We designed prediction models for abnormal BMD using the image features trained by machine learning classification algorithms. The performances of each model were evaluated. RESULTS: From 334 participants, 170 images of abnormal (T scores &lt; - 1.0 standard deviations (SD)) and 164 of normal BMD (T scores &gt; = - 1.0 SD) were used for analysis. We found that a combination of feature extraction by VGGnet and classification by random forest based on the maximum balanced classification rate (BCR) yielded the best performance in terms of the area under the curve (AUC) (0.74), accuracy (0.71), sensitivity (0.81), specificity (0.60), BCR (0.70), and F1-score (0.73). CONCLUSION: In this study, we explored various machine learning algorithms for the prediction of BMD using simple spine X-ray image features extracted by three deep learning algorithms. We identified the combination for the best performance in predicting high-risk populations with abnormal BMD.</t>
  </si>
  <si>
    <t>Liver imaging features by convolutional neural network to predict the metachronous liver metastasis in stage I-III colorectal cancer patients based on preoperative abdominal CT scan</t>
  </si>
  <si>
    <t>BACKGROUND: Introducing deep learning approach to medical images has rendered a large amount of un-decoded information into usage in clinical research. But mostly, it has been focusing on the performance of the prediction modeling for disease-related entity, but not on the clinical implication of the feature itself. Here we analyzed liver imaging features of abdominal CT images collected from 2019 patients with stage I - III colorectal cancer (CRC) using convolutional neural network (CNN) to elucidate its clinical implication in oncological perspectives. RESULTS: CNN generated imaging features from the liver parenchyma. Dimension reduction was done for the features by principal component analysis. We designed multiple prediction models for 5-year metachronous liver metastasis (5YLM) using combinations of clinical variables (age, sex, T stage, N stage) and top principal components (PCs), with logistic regression classification. The model using 1(st) PC (PC1) + clinical information had the highest performance (mean AUC = 0.747) to predict 5YLM, compared to the model with clinical features alone (mean AUC = 0.709). The PC1 was independently associated with 5YLM in multivariate analysis (beta = - 3.831, P &lt; 0.001). For the 5-year mortality rate, PC1 did not contribute to an improvement to the model with clinical features alone. For the PC1, Kaplan-Meier plots showed a significant difference between PC1 low vs. high group. The 5YLM-free survival of low PC1 was 89.6% and the high PC1 was 95.9%. In addition, PC1 had a significant correlation with sex, body mass index, alcohol consumption, and fatty liver status. CONCLUSION: The imaging features combined with clinical information improved the performance compared to the standardized prediction model using only clinical information. The liver imaging features generated by CNN may have the potential to predict liver metastasis. These results suggest that even though there were no liver metastasis during the primary colectomy, the features of liver imaging can impose characteristics that could be predictive for metachronous liver metastasis.</t>
  </si>
  <si>
    <t>Mu-net: Multi-scale U-net for two-photon microscopy image denoising and restoration</t>
  </si>
  <si>
    <t>Advances in two two-photon microscopy (2PM) have made three-dimensional (3D) neural imaging of deep cortical regions possible. However, 2PM often suffers from poor image quality because of various noise factors, including blur, white noise, and photo bleaching. In addition, the effectiveness of the existing image processing methods is limited because of the special features of 2PM images such as deeper tissue penetration but higher image noises owing to rapid laser scanning. To address the denoising problems in 2PM 3D images, we present a new algorithm based on deep convolutional neural networks (CNNs). The proposed model consists of multiple U-nets in which an individual U-net removes noises at different scales and then yields a performance improvement based on a coarse-to-fine strategy. Moreover, the constituent CNNs employ fully 3D convolution operations. Such an architecture enables the proposed model to facilitate end-to-end learning without any pre/post processing. Based on the experiments on 2PM image denoising, we observed that our new algorithm demonstrates substantial performance improvements over other baseline methods.</t>
  </si>
  <si>
    <t>Automatic 3D cephalometric annotation system using shadowed 2D image-based machine learning</t>
  </si>
  <si>
    <t>This paper presents a new approach to automatic three-dimensional (3D) cephalometric annotation for diagnosis, surgical planning, and treatment evaluation. There has long been considerable demand for automated cephalometric landmarking, since manual landmarking requires considerable time and experience as well as objectivity and scrupulous error avoidance. Due to the inherent limitation of two-dimensional (2D) cephalometry and the 3D nature of surgical simulation, there is a trend away from current 2D to 3D cephalometry. Deep learning approaches to cephalometric landmarking seem highly promising, but there exist serious difficulties in handling high dimensional 3D CT data, dimension referring to the number of voxels. To address this issue of dimensionality, this paper proposes a shadowed 2D image-based machine learning method which uses multiple shadowed 2D images with various lighting and view directions to capture 3D geometric cues. The proposed method using VGG-net was trained and tested using 2700 shadowed 2D images and corresponding manual landmarkings. Test data evaluation shows that our method achieved an average point-to-point error of 1.5 mm for the seven major landmarks.</t>
  </si>
  <si>
    <t>S. M. Lee, H. P. Kim, K. Jeon, S. H. Lee and J. K. Seo</t>
  </si>
  <si>
    <t>10.1097/rti.0000000000000387</t>
  </si>
  <si>
    <t>Deep Learning Applications in Chest Radiography and Computed Tomography: Current State of the Art</t>
  </si>
  <si>
    <t>Deep learning is a genre of machine learning that allows computational models to learn representations of data with multiple levels of abstraction using numerous processing layers. A distinctive feature of deep learning, compared with conventional machine learning methods, is that it can generate appropriate models for tasks directly from the raw data, removing the need for human-led feature extraction. Medical images are particularly suited for deep learning applications. Deep learning techniques have already demonstrated high performance in the detection of diabetic retinopathy on fundoscopic images and metastatic breast cancer cells on pathologic images. In radiology, deep learning has the opportunity to provide improved accuracy of image interpretation and diagnosis. Many groups are exploring the possibility of using deep learning-based applications to solve unmet clinical needs. In chest imaging, there has been a large effort to develop and apply computer-aided detection systems for the detection of lung nodules on chest radiographs and chest computed tomography. The essential limitation to computer-aided detection is an inability to learn from new information. To overcome these deficiencies, many groups have turned to deep learning approaches with promising results. In addition to nodule detection, interstitial lung disease recognition, lesion segmentation, diagnosis and patient outcomes have been addressed by deep learning approaches. The purpose of this review article was to cover the current state of the art for deep learning approaches and its limitations, and some of the potential impact on the field of radiology, with specific reference to chest imaging.</t>
  </si>
  <si>
    <t>10.1007/s10278-018-0066-y</t>
  </si>
  <si>
    <t>Efficiency Improvement in a Busy Radiology Practice: Determination of Musculoskeletal Magnetic Resonance Imaging Protocol Using Deep-Learning Convolutional Neural Networks</t>
  </si>
  <si>
    <t>The purposes of this study are to evaluate the feasibility of protocol determination with a convolutional neural networks (CNN) classifier based on short-text classification and to evaluate the agreements by comparing protocols determined by CNN with those determined by musculoskeletal radiologists. Following institutional review board approval, the database of a hospital information system (HIS) was queried for lists of MRI examinations, referring department, patient age, and patient gender. These were exported to a local workstation for analyses: 5258 and 1018 consecutive musculoskeletal MRI examinations were used for the training and test datasets, respectively. The subjects for pre-processing were routine or tumor protocols and the contents were word combinations of the referring department, region, contrast media (or not), gender, and age. The CNN Embedded vector classifier was used with Word2Vec Google news vectors. The test set was tested with each classification model and results were output as routine or tumor protocols. The CNN determinations were evaluated using the receiver operating characteristic (ROC) curves. The accuracies were evaluated by a radiologist-confirmed protocol as the reference protocols. The optimal cut-off values for protocol determination between routine protocols and tumor protocols was 0.5067 with a sensitivity of 92.10%, a specificity of 95.76%, and an area under curve (AUC) of 0.977. The overall accuracy was 94.2% for the ConvNet model. All MRI protocols were correct in the pelvic bone, upper arm, wrist, and lower leg MRIs. Deep-learning-based convolutional neural networks were clinically utilized to determine musculoskeletal MRI protocols. CNN-based text learning and applications could be extended to other radiologic tasks besides image interpretations, improving the work performance of the radiologist.</t>
  </si>
  <si>
    <t>Y. H. Lee</t>
  </si>
  <si>
    <t>Axillary lymph node metastasis status prediction of early-stage breast cancer using convolutional neural networks</t>
  </si>
  <si>
    <t>Deep learning (DL) algorithms have been proven to be very effective in a wide range of computer vision applications, such as segmentation, classification, and detection. DL models can automatically assess complex medical image scenes without human intervention and can be applied as a second reader to provide an additional opinion for the physician. To predict the axillary lymph node (ALN) metastatic status in patients with early-stage breast cancer, a deep learning-based computer-aided prediction system for ultrasound (US) images was proposed. A total of 153 women with breast tumor US images were involved in this study; there were 59 patients with metastasis and 94 patients without ALN metastasis. A deep learning-based computer-aided prediction (CAP) system using the tumor region and peritumoral tissue in ultrasound (US) images were employed to determine the ALN status in breast cancer. First, we adopted Mask R-CNN as our tumor detection and segmentation model to obtain the tumor localization and region. Second, the peritumoral tissue was extracted from the US image, which reflects metastatic progression. Third, we used the DL model to predict ALN metastasis. Finally, the simple linear iterative clustering (SLIC) superpixel segmentation method and the LIME explanation algorithm were employed to explain how the model makes decisions. The experimental results indicated that the DL model had the best prediction performance on tumor regions with 3 mm thick peritumoral tissue, and the accuracy, sensitivity, specificity, and AUC were 81.05% (124/153), 81.36% (48/59), 80.85% (76/94), and 0.8054, respectively. The results indicated that the proposed CAP system could help determine the ALN status in patients with early-stage breast cancer. The results reveal that the proposed CAP model, which combines primary tumor and peritumoral tissue, is an effective method to predict the ALN status in patients with early-stage breast cancer.</t>
  </si>
  <si>
    <t>Mammographic Breast Density Assessment Using Deep Learning: Clinical Implementation</t>
  </si>
  <si>
    <t>Purpose To develop a deep learning (DL) algorithm to assess mammographic breast density. Materials and Methods In this retrospective study, a deep convolutional neural network was trained to assess Breast Imaging Reporting and Data System (BI-RADS) breast density based on the original interpretation by an experienced radiologist of 41 479 digital screening mammograms obtained in 27 684 women from January 2009 to May 2011. The resulting algorithm was tested on a held-out test set of 8677 mammograms in 5741 women. In addition, five radiologists performed a reader study on 500 mammograms randomly selected from the test set. Finally, the algorithm was implemented in routine clinical practice, where eight radiologists reviewed 10 763 consecutive mammograms assessed with the model. Agreement on BI-RADS category for the DL model and for three sets of readings-(a) radiologists in the test set, (b) radiologists working in consensus in the reader study set, and (c) radiologists in the clinical implementation set-were estimated with linear-weighted κ statistics and were compared across 5000 bootstrap samples to assess significance. Results The DL model showed good agreement with radiologists in the test set (κ = 0.67; 95% confidence interval [CI]: 0.66, 0.68) and with radiologists in consensus in the reader study set (κ = 0.78; 95% CI: 0.73, 0.82). There was very good agreement (κ = 0.85; 95% CI: 0.84, 0.86) with radiologists in the clinical implementation set; for binary categorization of dense or nondense breasts, 10 149 of 10 763 (94%; 95% CI: 94%, 95%) DL assessments were accepted by the interpreting radiologist. Conclusion This DL model can be used to assess mammographic breast density at the level of an experienced mammographer. © RSNA, 2018 Online supplemental material is available for this article . See also the editorial by Chan and Helvie in this issue.</t>
  </si>
  <si>
    <t>C. D. Lehman, A. Yala, T. Schuster, B. Dontchos, M. Bahl, K. Swanson and R. Barzilay</t>
  </si>
  <si>
    <t>CT prostate segmentation based on synthetic MRI-aided deep attention fully convolution network</t>
  </si>
  <si>
    <t>PURPOSE: Accurate segmentation of the prostate on computed tomography (CT) for treatment planning is challenging due to CT's poor soft tissue contrast. Magnetic resonance imaging (MRI) has been used to aid prostate delineation, but its final accuracy is limited by MRI-CT registration errors. We developed a deep attention-based segmentation strategy on CT-based synthetic MRI (sMRI) to deal with the CT prostate delineation challenge without MRI acquisition. METHODS AND MATERIALS: We developed a prostate segmentation strategy which employs an sMRI-aided deep attention network to accurately segment the prostate on CT. Our method consists of three major steps. First, a cycle generative adversarial network was used to estimate an sMRI from CT images. Second, a deep attention fully convolution network was trained based on sMRI and the prostate contours deformed from MRIs. Attention models were introduced to pay more attention to prostate boundary. The prostate contour for a query patient was obtained by feeding the patient's CT images into the trained sMRI generation model and segmentation model. RESULTS: The segmentation technique was validated with a clinical study of 49 patients by leave-one-out experiments and validated with an additional 50 patients by hold-out test. The Dice similarity coefficient, Hausdorff distance, and mean surface distance indices between our segmented and deformed MRI-defined prostate manual contours were 0.92 ± 0.09, 4.38 ± 4.66, and 0.62 ± 0.89 mm, respectively, with leave-one-out experiments, and were 0.91 ± 0.07, 4.57 ± 3.03, and 0.62 ± 0.65 mm, respectively, with hold-out test. CONCLUSIONS: We have proposed a novel CT-only prostate segmentation strategy using CT-based sMRI, and validated its accuracy against the prostate contours that were manually drawn on MRI images and deformed to CT images. This technique could provide accurate prostate volume for treatment planning without requiring MRI acquisition, greatly facilitating the routine clinical workflow.</t>
  </si>
  <si>
    <t>Whole-body PET estimation from low count statistics using cycle-consistent generative adversarial networks</t>
  </si>
  <si>
    <t>Lowering either the administered activity or scan time is desirable in PET imaging as it decreases the patient's radiation burden or improves patient comfort and reduces motion artifacts. But reducing these parameters lowers overall photon counts and increases noise, adversely impacting image contrast and quantification. To address this low count statistics problem, we propose a cycle-consistent generative adversarial network (Cycle GAN) model to estimate diagnostic quality PET images using low count data. Cycle GAN learns a transformation to synthesize diagnostic PET images using low count data that would be indistinguishable from our standard clinical protocol. The algorithm also learns an inverse transformation such that cycle low count PET data (inverse of synthetic estimate) generated from synthetic full count PET is close to the true low count PET. We introduced residual blocks into the generator to catch the differences between low count and full count PET in the training dataset and better handle noise. The average mean error and normalized mean square error in whole body were  -0.14%  ±  1.43% and 0.52%  ±  0.19% with Cycle GAN model, compared to 5.59%  ±  2.11% and 3.51%  ±  4.14% on the original low count PET images. Normalized cross-correlation is improved from 0.970 to 0.996, and peak signal-to-noise ratio is increased from 39.4 dB to 46.0 dB with proposed method. We developed a deep learning-based approach to accurately estimate diagnostic quality PET datasets from one eighth of photon counts, and has great potential to improve low count PET image quality to the level of diagnostic PET used in clinical settings.</t>
  </si>
  <si>
    <t>4D-CT deformable image registration using multiscale unsupervised deep learning</t>
  </si>
  <si>
    <t>Deformable image registration (DIR) of 4D-CT images is important in multiple radiation therapy applications including motion tracking of soft tissue or fiducial markers, target definition, image fusion, dose accumulation and treatment response evaluations. It is very challenging to accurately and quickly register 4D-CT abdominal images due to its large appearance variances and bulky sizes. In this study, we proposed an accurate and fast multi-scale DIR network (MS-DIRNet) for abdominal 4D-CT registration. MS-DIRNet consists of a global network (GlobalNet) and local network (LocalNet). GlobalNet was trained using down-sampled whole image volumes while LocalNet was trained using sampled image patches. MS-DIRNet consists of a generator and a discriminator. The generator was trained to directly predict a deformation vector field (DVF) based on the moving and target images. The generator was implemented using convolutional neural networks with multiple attention gates. The discriminator was trained to differentiate the deformed images from the target images to provide additional DVF regularization. The loss function of MS-DIRNet includes three parts which are image similarity loss, adversarial loss and DVF regularization loss. The MS-DIRNet was trained in a completely unsupervised manner meaning that ground truth DVFs are not needed. Different from traditional DIRs that calculate DVF iteratively, MS-DIRNet is able to calculate the final DVF in a single forward prediction which could significantly expedite the DIR process. The MS-DIRNet was trained and tested on 25 patients' 4D-CT datasets using five-fold cross validation. For registration accuracy evaluation, target registration errors (TREs) of MS-DIRNet were compared to clinically used software. Our results showed that the MS-DIRNet with an average TRE of 1.2 ± 0.8 mm outperformed the commercial software with an average TRE of 2.5 ± 0.8 mm in 4D-CT abdominal DIR, demonstrating the superior performance of our method in fiducial marker tracking and overall soft tissue alignment.</t>
  </si>
  <si>
    <t>MRI-only based synthetic CT generation using dense cycle consistent generative adversarial networks</t>
  </si>
  <si>
    <t>PURPOSE: Automated synthetic computed tomography (sCT) generation based on magnetic resonance imaging (MRI) images would allow for MRI-only based treatment planning in radiation therapy, eliminating the need for CT simulation and simplifying the patient treatment workflow. In this work, the authors propose a novel method for generation of sCT based on dense cycle-consistent generative adversarial networks (cycle GAN), a deep-learning based model that trains two transformation mappings (MRI to CT and CT to MRI) simultaneously. METHODS AND MATERIALS: The cycle GAN-based model was developed to generate sCT images in a patch-based framework. Cycle GAN was applied to this problem because it includes an inverse transformation from CT to MRI, which helps constrain the model to learn a one-to-one mapping. Dense block-based networks were used to construct generator of cycle GAN. The network weights and variables were optimized via a gradient difference (GD) loss and a novel distance loss metric between sCT and original CT. RESULTS: Leave-one-out cross-validation was performed to validate the proposed model. The mean absolute error (MAE), peak signal-to-noise ratio (PSNR), and normalized cross correlation (NCC) indexes were used to quantify the differences between the sCT and original planning CT images. For the proposed method, the mean MAE between sCT and CT were 55.7 Hounsfield units (HU) for 24 brain cancer patients and 50.8 HU for 20 prostate cancer patients. The mean PSNR and NCC were 26.6 dB and 0.963 in the brain cases, and 24.5 dB and 0.929 in the pelvis. CONCLUSION: We developed and validated a novel learning-based approach to generate CT images from routine MRIs based on dense cycle GAN model to effectively capture the relationship between the CT and MRIs. The proposed method can generate robust, high-quality sCT in minutes. The proposed method offers strong potential for supporting near real-time MRI-only treatment planning in the brain and pelvis.</t>
  </si>
  <si>
    <t>Ultrasound prostate segmentation based on multidirectional deeply supervised V-Net</t>
  </si>
  <si>
    <t>PURPOSE: Transrectal ultrasound (TRUS) is a versatile and real-time imaging modality that is commonly used in image-guided prostate cancer interventions (e.g., biopsy and brachytherapy). Accurate segmentation of the prostate is key to biopsy needle placement, brachytherapy treatment planning, and motion management. Manual segmentation during these interventions is time-consuming and subject to inter- and intraobserver variation. To address these drawbacks, we aimed to develop a deep learning-based method which integrates deep supervision into a three-dimensional (3D) patch-based V-Net for prostate segmentation. METHODS AND MATERIALS: We developed a multidirectional deep-learning-based method to automatically segment the prostate for ultrasound-guided radiation therapy. A 3D supervision mechanism is integrated into the V-Net stages to deal with the optimization difficulties when training a deep network with limited training data. We combine a binary cross-entropy (BCE) loss and a batch-based Dice loss into the stage-wise hybrid loss function for a deep supervision training. During the segmentation stage, the patches are extracted from the newly acquired ultrasound image as the input of the well-trained network and the well-trained network adaptively labels the prostate tissue. The final segmented prostate volume is reconstructed using patch fusion and further refined through a contour refinement processing. RESULTS: Forty-four patients' TRUS images were used to test our segmentation method. Our segmentation results were compared with the manually segmented contours (ground truth). The mean prostate volume Dice similarity coefficient (DSC), Hausdorff distance (HD), mean surface distance (MSD), and residual mean surface distance (RMSD) were 0.92 ± 0.03, 3.94 ± 1.55, 0.60 ± 0.23, and 0.90 ± 0.38 mm, respectively. CONCLUSION: We developed a novel deeply supervised deep learning-based approach with reliable contour refinement to automatically segment the TRUS prostate, demonstrated its clinical feasibility, and validated its accuracy compared to manual segmentation. The proposed technique could be a useful tool for diagnostic and therapeutic applications in prostate cancer.</t>
  </si>
  <si>
    <t>Y. Lei, S. Tian, X. He, T. Wang, B. Wang, P. Patel, A. B. Jani, H. Mao, W. J. Curran, T. Liu and X. Yang</t>
  </si>
  <si>
    <t>A microfluidic platform with cell-scale precise temperature control for simultaneous investigation of the osmotic responses of multiple oocytes</t>
  </si>
  <si>
    <t>The temperature-dependent oocyte membrane permeability plays a significant role in oocyte cryopreservation, such as optimizing the addition/removal of cryoprotective agents and the rate of cooling/rewarming. However, the systems for studying the temperature dependence of oocyte membrane permeability are either too complicated or unable to achieve wide-range precise temperature control. In addition, these systems cannot achieve the simultaneous observation of multiple oocytes. Here, we report a novel microfluidic platform that combines a precise local temperature heater/detector and a simple global water bath to achieve wide-range accurate temperature control without increasing the difficulty of fabrication, and it also realizes non-interfering, position-controllable and non-missing capture of multiple oocytes for parallel experiments to increase throughput. The permeability coefficients (L(p), P(s)) of the mouse oocyte membrane exposed to cryoprotective agents (1.5 M EG and 1.5 M PG) at four temperatures (4, 15, 25 and 37 °C) are consistent with those reported in previous works, which proves the feasibility and practicality of the microfluidic platform in this study.</t>
  </si>
  <si>
    <t>Z. Lei, D. Xie, M. K. Mbogba, Z. Chen, C. Tian, L. Xu and G. Zhao</t>
  </si>
  <si>
    <t>Leveraging uncertainty information from deep neural networks for disease detection</t>
  </si>
  <si>
    <t>Deep learning (DL) has revolutionized the field of computer vision and image processing. In medical imaging, algorithmic solutions based on DL have been shown to achieve high performance on tasks that previously required medical experts. However, DL-based solutions for disease detection have been proposed without methods to quantify and control their uncertainty in a decision. In contrast, a physician knows whether she is uncertain about a case and will consult more experienced colleagues if needed. Here we evaluate drop-out based Bayesian uncertainty measures for DL in diagnosing diabetic retinopathy (DR) from fundus images and show that it captures uncertainty better than straightforward alternatives. Furthermore, we show that uncertainty informed decision referral can improve diagnostic performance. Experiments across different networks, tasks and datasets show robust generalization. Depending on network capacity and task/dataset difficulty, we surpass 85% sensitivity and 80% specificity as recommended by the NHS when referring 0-20% of the most uncertain decisions for further inspection. We analyse causes of uncertainty by relating intuitions from 2D visualizations to the high-dimensional image space. While uncertainty is sensitive to clinically relevant cases, sensitivity to unfamiliar data samples is task dependent, but can be rendered more robust.</t>
  </si>
  <si>
    <t>C. Leibig, V. Allken, M. S. Ayhan, P. Berens and S. Wahl</t>
  </si>
  <si>
    <t>Deep Learning for Detection of Myocardial Scar Tissue: Goodbye to Gadolinium?</t>
  </si>
  <si>
    <t>T. Leiner</t>
  </si>
  <si>
    <t>10.1186/s12968-019-0575-y</t>
  </si>
  <si>
    <t>Machine learning in cardiovascular magnetic resonance: basic concepts and applications</t>
  </si>
  <si>
    <t>Machine learning (ML) is making a dramatic impact on cardiovascular magnetic resonance (CMR) in many ways. This review seeks to highlight the major areas in CMR where ML, and deep learning in particular, can assist clinicians and engineers in improving imaging efficiency, quality, image analysis and interpretation, as well as patient evaluation. We discuss recent developments in the field of ML relevant to CMR in the areas of image acquisition &amp; reconstruction, image analysis, diagnostic evaluation and derivation of prognostic information. To date, the main impact of ML in CMR has been to significantly reduce the time required for image segmentation and analysis. Accurate and reproducible fully automated quantification of left and right ventricular mass and volume is now available in commercial products. Active research areas include reduction of image acquisition and reconstruction time, improving spatial and temporal resolution, and analysis of perfusion and myocardial mapping. Although large cohort studies are providing valuable data sets for ML training, care must be taken in extending applications to specific patient groups. Since ML algorithms can fail in unpredictable ways, it is important to mitigate this by open source publication of computational processes and datasets. Furthermore, controlled trials are needed to evaluate methods across multiple centers and patient groups.</t>
  </si>
  <si>
    <t>Automatic Tracking of the Muscle Tendon Junction in Healthy and Impaired Subjects using Deep Learning()</t>
  </si>
  <si>
    <t>Recording muscle tendon junction displacements during movement, allows separate investigation of the muscle and tendon behaviour, respectively. In order to provide a fully-automatic tracking method, we employ a novel deep learning approach to detect the position of the muscle tendon junction in ultrasound images. We utilize the attention mechanism to enable the network to focus on relevant regions and to obtain a better interpretation of the results. Our data set consists of a large cohort of 79 healthy subjects and 28 subjects with movement limitations performing passive full range of motion and maximum contraction movements. Our trained network shows robust detection of the muscle tendon junction on a diverse data set of varying quality with a mean absolute error of 2.55 ± 1 mm. We show that our approach can be applied for various subjects and can be operated in real-time. The complete software package is available for open-source use.</t>
  </si>
  <si>
    <t>A Convolutional Neural Network for Automatic Characterization of Plaque Composition in Carotid Ultrasound</t>
  </si>
  <si>
    <t>Characterization of carotid plaque composition, more specifically the amount of lipid core, fibrous tissue, and calcified tissue, is an important task for the identification of plaques that are prone to rupture, and thus for early risk estimation of cardiovascular and cerebrovascular events. Due to its low costs and wide availability, carotid ultrasound has the potential to become the modality of choice for plaque characterization in clinical practice. However, its significant image noise, coupled with the small size of the plaques and their complex appearance, makes it difficult for automated techniques to discriminate between the different plaque constituents. In this paper, we propose to address this challenging problem by exploiting the unique capabilities of the emerging deep learning framework. More specifically, and unlike existing works which require a priori definition of specific imaging features or thresholding values, we propose to build a convolutional neural network (CNN) that will automatically extract from the images the information that is optimal for the identification of the different plaque constituents. We used approximately 90 000 patches extracted from a database of images and corresponding expert plaque characterizations to train and to validate the proposed CNN. The results of cross-validation experiments show a correlation of about 0.90 with the clinical assessment for the estimation of lipid core, fibrous cap, and calcified tissue areas, indicating the potential of deep learning for the challenging task of automatic characterization of plaque composition in carotid ultrasound.</t>
  </si>
  <si>
    <t>K. Lekadir, A. Galimzianova, A. Betriu, M. Del Mar Vila, L. Igual, D. L. Rubin, E. Fernandez, P. Radeva and S. Napel</t>
  </si>
  <si>
    <t>10.1097/rli.0000000000000601</t>
  </si>
  <si>
    <t>Recent and Upcoming Technological Developments in Computed Tomography: High Speed, Low Dose, Deep Learning, Multienergy</t>
  </si>
  <si>
    <t>The advent of computed tomography (CT) has revolutionized radiology, and this revolution is still going on. Starting as a pure head scanner, modern CT systems are now able to perform whole-body examinations within a couple of seconds in isotropic resolution, single-rotation whole-organ perfusion, and temporal resolution to fulfill the needs of cardiac CT. Because of the increasing number of CT examinations in all age groups and overall medical-driven radiation exposure, dose reduction remains a hot topic. Although fast gantry rotation, broad detector arrays, and different dual-energy solutions were main topics in the past years, new techniques such as photon counting detectors, powerful x-ray tubes for low-kV scanning, automated image preprocessing, and machine learning algorithms have moved into focus today.The aim of this article is to give an overview of the technical specifications of up-to-date available CT systems and recent hardware and software innovations for CT systems in the near future.</t>
  </si>
  <si>
    <t>Computational Platform Based on Deep Learning for Segmenting Ventricular Endocardium in Long-axis Cardiac MR Imaging</t>
  </si>
  <si>
    <t>This paper presents an automated computational platform based on deep learning (DL) approach for left ventricular (LV) and right ventricular (RV) endocardium segmentation in long-axis cine cardiovascular magnetic resonance (CMR). The proposed method uses modified deep U-Net convolutional networks. We trained our model using 4800 images from 40 human subjects (20 healthy volunteers, 20 patients with various cardiac diseases) and validated the technique in 6000 images from 50 subjects (10 healthy volunteers, 40 patients). An average Dice metric of 0.929 ± 0.036 along with an average Jaccard index of 0.869 ± 0.059 were achieved for all the studied subjects. In addition, a high level of correlation and agreement with the ground truth contours for LV ejection fraction (R=0.975), LV fractional area change (R=0.959 to 0.971), and RV fractional area change (R=0.927) were observed. The proposed DL-based segmentation process took less than 3 seconds per subject (or &lt; 30 milliseconds per image over 120 images for each subject). Therefore, our proposed framework offers a promising means to achieve fully automated and rapid segmentation for both LV and RV endocardium in long-axis cine CMR images using an appropriately trained deep convolutional neural network.</t>
  </si>
  <si>
    <t>S. Leng, X. Yang, X. Zhao, Z. Zeng, Y. Su, A. S. Koh, D. Sim, J. Le Tan, R. S. Tan and L. Zhong</t>
  </si>
  <si>
    <t>Integrating Online and Offline Three-Dimensional Deep Learning for Automated Polyp Detection in Colonoscopy Videos</t>
  </si>
  <si>
    <t>Automated polyp detection in colonoscopy videos has been demonstrated to be a promising way for colorectal cancer prevention and diagnosis. Traditional manual screening is time consuming, operator dependent, and error prone; hence, automated detection approach is highly demanded in clinical practice. However, automated polyp detection is very challenging due to high intraclass variations in polyp size, color, shape, and texture, and low interclass variations between polyps and hard mimics. In this paper, we propose a novel offline and online three-dimensional (3-D) deep learning integration framework by leveraging the 3-D fully convolutional network (3D-FCN) to tackle this challenging problem. Compared with the previous methods employing hand-crafted features or 2-D convolutional neural network, the 3D-FCN is capable of learning more representative spatio-temporal features from colonoscopy videos, and hence has more powerful discrimination capability. More importantly, we propose a novel online learning scheme to deal with the problem of limited training data by harnessing the specific information of an input video in the learning process. We integrate offline and online learning to effectively reduce the number of false positives generated by the offline network and further improve the detection performance. Extensive experiments on the dataset of MICCAI 2015 Challenge on Polyp Detection demonstrated the better performance of our method when compared with other competitors.</t>
  </si>
  <si>
    <t>Y. Lequan, C. Hao, D. Qi, Q. Jing and H. Pheng Ann</t>
  </si>
  <si>
    <t>Automated Assessment of COVID-19 Reporting and Data System and Chest CT Severity Scores in Patients Suspected of Having COVID-19 Using Artificial Intelligence</t>
  </si>
  <si>
    <t>Background The coronavirus disease 2019 (COVID-19) pandemic has spread across the globe with alarming speed, morbidity, and mortality. Immediate triage of patients with chest infections suspected to be caused by COVID-19 using chest CT may be of assistance when results from definitive viral testing are delayed. Purpose To develop and validate an artificial intelligence (AI) system to score the likelihood and extent of pulmonary COVID-19 on chest CT scans using the COVID-19 Reporting and Data System (CO-RADS) and CT severity scoring systems. Materials and Methods The CO-RADS AI system consists of three deep-learning algorithms that automatically segment the five pulmonary lobes, assign a CO-RADS score for the suspicion of COVID-19, and assign a CT severity score for the degree of parenchymal involvement per lobe. This study retrospectively included patients who underwent a nonenhanced chest CT examination because of clinical suspicion of COVID-19 at two medical centers. The system was trained, validated, and tested with data from one of the centers. Data from the second center served as an external test set. Diagnostic performance and agreement with scores assigned by eight independent observers were measured using receiver operating characteristic analysis, linearly weighted κ values, and classification accuracy. Results A total of 105 patients (mean age, 62 years ± 16 [standard deviation]; 61 men) and 262 patients (mean age, 64 years ± 16; 154 men) were evaluated in the internal and external test sets, respectively. The system discriminated between patients with COVID-19 and those without COVID-19, with areas under the receiver operating characteristic curve of 0.95 (95% CI: 0.91, 0.98) and 0.88 (95% CI: 0.84, 0.93), for the internal and external test sets, respectively. Agreement with the eight human observers was moderate to substantial, with mean linearly weighted κ values of 0.60 ± 0.01 for CO-RADS scores and 0.54 ± 0.01 for CT severity scores. Conclusion With high diagnostic performance, the CO-RADS AI system correctly identified patients with COVID-19 using chest CT scans and assigned standardized CO-RADS and CT severity scores that demonstrated good agreement with findings from eight independent observers and generalized well to external data. © RSNA, 2020 Supplemental material is available for this article.</t>
  </si>
  <si>
    <t>Iterative fully convolutional neural networks for automatic vertebra segmentation and identification</t>
  </si>
  <si>
    <t>Precise segmentation and anatomical identification of the vertebrae provides the basis for automatic analysis of the spine, such as detection of vertebral compression fractures or other abnormalities. Most dedicated spine CT and MR scans as well as scans of the chest, abdomen or neck cover only part of the spine. Segmentation and identification should therefore not rely on the visibility of certain vertebrae or a certain number of vertebrae. We propose an iterative instance segmentation approach that uses a fully convolutional neural network to segment and label vertebrae one after the other, independently of the number of visible vertebrae. This instance-by-instance segmentation is enabled by combining the network with a memory component that retains information about already segmented vertebrae. The network iteratively analyzes image patches, using information from both image and memory to search for the next vertebra. To efficiently traverse the image, we include the prior knowledge that the vertebrae are always located next to each other, which is used to follow the vertebral column. The network concurrently performs multiple tasks, which are segmentation of a vertebra, regression of its anatomical label and prediction whether the vertebra is completely visible in the image, which allows to exclude incompletely visible vertebrae from further analyses. The predicted anatomical labels of the individual vertebrae are additionally refined with a maximum likelihood approach, choosing the overall most likely labeling if all detected vertebrae are taken into account. This method was evaluated with five diverse datasets, including multiple modalities (CT and MR), various fields of view and coverages of different sections of the spine, and a particularly challenging set of low-dose chest CT scans. For vertebra segmentation, the average Dice score was 94.9 ± 2.1% with an average absolute symmetric surface distance of 0.2 ± 10.1mm. The anatomical identification had an accuracy of 93%, corresponding to a single case with mislabeled vertebrae. Vertebrae were classified as completely or incompletely visible with an accuracy of 97%. The proposed iterative segmentation method compares favorably with state-of-the-art methods and is fast, flexible and generalizable.</t>
  </si>
  <si>
    <t>N. Lessmann, B. van Ginneken, P. A. de Jong and I. Išgum</t>
  </si>
  <si>
    <t>Longitudinal functional and imaging outcome measures in FKRP limb-girdle muscular dystrophy</t>
  </si>
  <si>
    <t>BACKGROUND: Pathogenic variants in the FKRP gene cause impaired glycosylation of α-dystroglycan in muscle, producing a limb-girdle muscular dystrophy with cardiomyopathy. Despite advances in understanding the pathophysiology of FKRP-associated myopathies, clinical research in the limb-girdle muscular dystrophies has been limited by the lack of normative biomarker data to gauge disease progression. METHODS: Participants in a phase 2 clinical trial were evaluated over a 4-month, untreated lead-in period to evaluate repeatability and to obtain normative data for timed function tests, strength tests, pulmonary function, and body composition using DEXA and whole-body MRI. Novel deep learning algorithms were used to analyze MRI scans and quantify muscle, fat, and intramuscular fat infiltration in the thighs. T-tests and signed rank tests were used to assess changes in these outcome measures. RESULTS: Nineteen participants were observed during the lead-in period for this trial. No significant changes were noted in the strength, pulmonary function, or body composition outcome measures over the 4-month observation period. One timed function measure, the 4-stair climb, showed a statistically significant difference over the observation period. Quantitative estimates of muscle, fat, and intramuscular fat infiltration from whole-body MRI corresponded significantly with DEXA estimates of body composition, strength, and timed function measures. CONCLUSIONS: We describe normative data and repeatability performance for multiple physical function measures in an adult FKRP muscular dystrophy population. Our analysis indicates that deep learning algorithms can be used to quantify healthy and dystrophic muscle seen on whole-body imaging. TRIAL REGISTRATION: This study was retrospectively registered in clinicaltrials.gov (NCT02841267) on July 22, 2016 and data supporting this study has been submitted to this registry.</t>
  </si>
  <si>
    <t>BMC Neurol</t>
  </si>
  <si>
    <t>Prediction of Total Knee Replacement and Diagnosis of Osteoarthritis by Using Deep Learning on Knee Radiographs: Data from the Osteoarthritis Initiative</t>
  </si>
  <si>
    <t>Background The methods for assessing knee osteoarthritis (OA) do not provide enough comprehensive information to make robust and accurate outcome predictions. Purpose To develop a deep learning (DL) prediction model for risk of OA progression by using knee radiographs in patients who underwent total knee replacement (TKR) and matched control patients who did not undergo TKR. Materials and Methods In this retrospective analysis that used data from the OA Initiative, a DL model on knee radiographs was developed to predict both the likelihood of a patient undergoing TKR within 9 years and Kellgren-Lawrence (KL) grade. Study participants included a case-control matched subcohort between 45 and 79 years. Patients were matched to control patients according to age, sex, ethnicity, and body mass index. The proposed model used a transfer learning approach based on the ResNet34 architecture with sevenfold nested cross-validation. Receiver operating characteristic curve analysis and conditional logistic regression assessed model performance for predicting probability and risk of TKR compared with clinical observations and two binary outcome prediction models on the basis of radiographic readings: KL grade and OA Research Society International (OARSI) grade. Results Evaluated were 728 participants including 324 patients (mean age, 64 years ± 8 [standard deviation]; 222 women) and 324 control patients (mean age, 64 years ± 8; 222 women). The prediction model based on DL achieved an area under the receiver operating characteristic curve (AUC) of 0.87 (95% confidence interval [CI]: 0.85, 0.90), outperforming a baseline prediction model by using KL grade with an AUC of 0.74 (95% CI: 0.71, 0.77; P &lt; .001). The risk for TKR increased with probability that a person will undergo TKR from the DL model (odds ratio [OR], 7.7; 95% CI: 2.3, 25; P &lt; .001), KL grade (OR, 1.92; 95% CI: 1.17, 3.13; P = .009), and OARSI grade (OR, 1.20; 95% CI: 0.41, 3.50; P = .73). Conclusion The proposed deep learning model better predicted risk of total knee replacement in osteoarthritis than did binary outcome models by using standard grading systems. © RSNA, 2020 Online supplemental material is available for this article. See also the editorial by Richardson in this issue.</t>
  </si>
  <si>
    <t>Deep learning and the evaluation of pulmonary fibrosis</t>
  </si>
  <si>
    <t>D. L. Levin</t>
  </si>
  <si>
    <t>Synthesis of diagnostic quality cancer pathology images by generative adversarial networks</t>
  </si>
  <si>
    <t>Deep learning-based computer vision methods have recently made remarkable breakthroughs in the analysis and classification of cancer pathology images. However, there has been relatively little investigation of the utility of deep neural networks to synthesize medical images. In this study, we evaluated the efficacy of generative adversarial networks to synthesize high-resolution pathology images of 10 histological types of cancer, including five cancer types from The Cancer Genome Atlas and the five major histological subtypes of ovarian carcinoma. The quality of these images was assessed using a comprehensive survey of board-certified pathologists (n = 9) and pathology trainees (n = 6). Our results show that the real and synthetic images are classified by histotype with comparable accuracies and the synthetic images are visually indistinguishable from real images. Furthermore, we trained deep convolutional neural networks to diagnose the different cancer types and determined that the synthetic images perform as well as additional real images when used to supplement a small training set. These findings have important applications in proficiency testing of medical practitioners and quality assurance in clinical laboratories. Furthermore, training of computer-aided diagnostic systems can benefit from synthetic images where labeled datasets are limited (e.g. rare cancers). We have created a publicly available website where clinicians and researchers can attempt questions from the image survey (http://gan.aimlab.ca/). © 2020 Pathological Society of Great Britain and Ireland. Published by John Wiley &amp; Sons, Ltd.</t>
  </si>
  <si>
    <t>10.1016/j.trecan.2019.02.002</t>
  </si>
  <si>
    <t>Rise of the Machines: Advances in Deep Learning for Cancer Diagnosis</t>
  </si>
  <si>
    <t>Deep learning refers to a set of computer models that have recently been used to make unprecedented progress in the way computers extract information from images. These algorithms have been applied to tasks in numerous medical specialties, most extensively radiology and pathology, and in some cases have attained performance comparable to human experts. Furthermore, it is possible that deep learning could be used to extract data from medical images that would not be apparent by human analysis and could be used to inform on molecular status, prognosis, or treatment sensitivity. In this review, we outline the current developments and state-of-the-art in applying deep learning for cancer diagnosis, and discuss the challenges in adapting the technology for widespread clinical deployment.</t>
  </si>
  <si>
    <t>Trends Cancer</t>
  </si>
  <si>
    <t>Feasibility of Deep Learning Algorithms for Reporting in Routine Spine Magnetic Resonance Imaging</t>
  </si>
  <si>
    <t>BACKGROUND: Artificial intelligence is gaining traction in automated medical imaging analysis. Development of more accurate magnetic resonance imaging (MRI) predictors of successful clinical outcomes is necessary to better define indications for surgery, improve clinical outcomes with targeted minimally invasive and endoscopic procedures, and realize cost savings by avoiding more invasive spine care. OBJECTIVE: To demonstrate the ability for deep learning neural network models to identify features in MRI DICOM datasets that represent varying intensities or severities of common spinal pathologies and injuries and to demonstrate the feasibility of generating automated verbal MRI reports comparable to those produced by reading radiologists. METHODS: A 3-dimensional (3D) anatomical model of the lumbar spine was fitted to each of the patient's MRIs by a team of technicians. MRI T1, T2, sagittal, axial, and transverse reconstruction image series were used to train segmentation models by the intersection of the 3D model through these image sequences. Class definitions were extracted from the radiologist report for the central canal: (0) no disc bulge/protrusion/canal stenosis, (1) disc bulge without canal stenosis, (2) disc bulge resulting in canal stenosis, and (3) disc herniation/protrusion/extrusion resulting in canal stenosis. Both the left and right neural foramina were assessed with either (0) neural foraminal stenosis absent, or (1) neural foramina stenosis present. Reporting criteria for the pathologies at each disc level and, when available, the grading of severity were extracted, and a natural language processing model was used to generate a verbal and written report. These data were then used to train a set of very deep convolutional neural network models, optimizing for minimal binary cross-entropy for each classification. RESULTS: The initial prediction validation of the implemented deep learning algorithm was done on 20% of the dataset, which was not used for artificial intelligence training. Of the 17,800 total disc locations for which MRI images and radiology reports were available, 14,720 were used to train the model, and 3560 were used to validate against. The convergence of validation accuracy achieved with the deep learning algorithm for the foraminal stenosis detector was 81% (sensitivity = 72.4.4%, specificity = 83.1%) after 25 complete iterations through the entire training dataset (epoch). The accuracy was 86.2% (sensitivity = 91.1%, specificity = 82.5%) for the central stenosis detector and 85.2% (sensitivity = 81.8%, specificity = 87.4%) for the disc herniation detector. CONCLUSIONS: Deep learning algorithms may be used for routine reporting in spine MRI. There was a minimal disparity among accuracy, sensitivity, and specificity, indicating that the data were not overfitted to the training set. We concluded that variability in the training data tends to reduce overfitting and overtraining as the deep neural network models learn to focus on the common pathologies. Future studies should demonstrate the accuracy of deep neural network models and the predictive value of favorable clinical outcomes with intervention and surgery. LEVEL OF EVIDENCE: 3. CLINICAL RELEVANCE: Feasibility, clinical teaching, and evaluation study.</t>
  </si>
  <si>
    <t>Int J Spine Surg</t>
  </si>
  <si>
    <t>Decentralized distribution-sampled classification models with application to brain imaging</t>
  </si>
  <si>
    <t>BACKGROUND: In this age of big data, certain models require very large data stores in order to be informative and accurate. In many cases however, the data are stored in separate locations requiring data transfer between local sites which can cause various practical hurdles, such as privacy concerns or heavy network load. This is especially true for medical imaging data, which can be constrained due to the health insurance portability and accountability act (HIPAA) which provides security protocols for medical data. Medical imaging datasets can also contain many thousands or millions of features, requiring heavy network load. NEW METHOD: Our research expands upon current decentralized classification research by implementing a new singleshot method for both neural networks and support vector machines. Our approach is to estimate the statistical distribution of the data at each local site and pass this information to the other local sites where each site resamples from the individual distributions and trains a model on both locally available data and the resampled data. The model for each local site produces its own accuracy value which are then averaged together to produce the global average accuracy. RESULTS: We show applications of our approach to handwritten digit classification as well as to multi-subject classification of brain imaging data collected from patients with schizophrenia and healthy controls. Overall, the results showed comparable classification accuracy to the centralized model with lower network load than multishot methods. COMPARISON WITH EXISTING METHODS: Many decentralized classifiers are multishot, requiring heavy network traffic. Our model attempts to alleviate this load while preserving prediction accuracy. CONCLUSIONS: We show that our proposed approach performs comparably to a centralized approach while minimizing network traffic compared to multishot methods.</t>
  </si>
  <si>
    <t>N. Lewis, H. Gazula, S. M. Plis and V. D. Calhoun</t>
  </si>
  <si>
    <t>Zero-Echo-Time and Dixon Deep Pseudo-CT (ZeDD CT): Direct Generation of Pseudo-CT Images for Pelvic PET/MRI Attenuation Correction Using Deep Convolutional Neural Networks with Multiparametric MRI</t>
  </si>
  <si>
    <t>Accurate quantification of uptake on PET images depends on accurate attenuation correction in reconstruction. Current MR-based attenuation correction methods for body PET use a fat and water map derived from a 2-echo Dixon MRI sequence in which bone is neglected. Ultrashort-echo-time or zero-echo-time (ZTE) pulse sequences can capture bone information. We propose the use of patient-specific multiparametric MRI consisting of Dixon MRI and proton-density-weighted ZTE MRI to directly synthesize pseudo-CT images with a deep learning model: we call this method ZTE and Dixon deep pseudo-CT (ZeDD CT). Methods: Twenty-six patients were scanned using an integrated 3-T time-of-flight PET/MRI system. Helical CT images of the patients were acquired separately. A deep convolutional neural network was trained to transform ZTE and Dixon MR images into pseudo-CT images. Ten patients were used for model training, and 16 patients were used for evaluation. Bone and soft-tissue lesions were identified, and the SUV(max) was measured. The root-mean-squared error (RMSE) was used to compare the MR-based attenuation correction with the ground-truth CT attenuation correction. Results: In total, 30 bone lesions and 60 soft-tissue lesions were evaluated. The RMSE in PET quantification was reduced by a factor of 4 for bone lesions (10.24% for Dixon PET and 2.68% for ZeDD PET) and by a factor of 1.5 for soft-tissue lesions (6.24% for Dixon PET and 4.07% for ZeDD PET). Conclusion: ZeDD CT produces natural-looking and quantitatively accurate pseudo-CT images and reduces error in pelvic PET/MRI attenuation correction compared with standard methods.</t>
  </si>
  <si>
    <t>A. P. Leynes, J. Yang, F. Wiesinger, S. S. Kaushik, D. D. Shanbhag, Y. Seo, T. A. Hope and P. E. Z. Larson</t>
  </si>
  <si>
    <t>Epilepsy is a heterogeneous condition with disparate etiologies and phenotypic and genotypic characteristics. Clinical and research aspects are accordingly varied, ranging from epidemiological to molecular, spanning clinical trials and outcomes, gene and drug discovery, imaging, electroencephalography, pathology, epilepsy surgery, digital technologies, and numerous others. Epilepsy data are collected in the terabytes and petabytes, pushing the limits of current capabilities. Modern computing firepower and advances in machine and deep learning, pioneered in other diseases, open up exciting possibilities for epilepsy too. However, without carefully designed approaches to acquiring, standardizing, curating, and making available such data, there is a risk of failure. Thus, careful construction of relevant ontologies, with intimate stakeholder inputs, provides the requisite scaffolding for more ambitious big data undertakings, such as an epilepsy data commons. In this review, we assess the clinical and research epilepsy landscapes in the big data arena, current challenges, and future directions, and make the case for a systematic approach to epilepsy big data.</t>
  </si>
  <si>
    <t>Medical Image Fusion Method Based on Coupled Neural P Systems in Nonsubsampled Shearlet Transform Domain</t>
  </si>
  <si>
    <t>Coupled neural P (CNP) systems are a recently developed Turing-universal, distributed and parallel computing model, combining the spiking and coupled mechanisms of neurons. This paper focuses on how to apply CNP systems to handle the fusion of multi-modality medical images and proposes a novel image fusion method. Based on two CNP systems with local topology, an image fusion framework in nonsubsampled shearlet transform (NSST) domain is designed, where the two CNP systems are used to control the fusion of low-frequency NSST coefficients. The proposed fusion method is evaluated on 20 pairs of multi-modality medical images and compared with seven previous fusion methods and two deep-learning-based fusion methods. Quantitative and qualitative experimental results demonstrate the advantage of the proposed fusion method in terms of visual quality and fusion performance.</t>
  </si>
  <si>
    <t>Classification of Severe and Critical Covid-19 Using Deep Learning and Radiomics</t>
  </si>
  <si>
    <t>OBJECTIVE: The coronavirus disease 2019 (COVID-19) is rapidly spreading inside China and internationally. We aimed to construct a model integrating information from radiomics and deep learning (DL) features to discriminate critical cases from severe cases of COVID-19 using computed tomography (CT) images. METHODS: We retrospectively enrolled 217 patients from three centers in China, including 82 patients with severe disease and 135 with critical disease. Patients were randomly divided into a training cohort (n = 174) and a test cohort (n = 43). We extracted 102 3-dimensional radiomic features from automatically segmented lung volume and selected the significant features. We also developed a 3-dimensional DL network based on center-cropped slices. Using multivariable logistic regression, we then created a merged model based on significant radiomic features and DL scores. We employed the area under the receiver operating characteristic curve (AUC) to evaluate the model's performance. We then conducted cross validation, stratified analysis, survival analysis, and decision curve analysis to evaluate the robustness of our method. RESULTS: The merged model can distinguish critical patients with AUCs of 0.909 (95% confidence interval [CI]: 0.859-0.952) and 0.861 (95% CI: 0.753-0.968) in the training and test cohorts, respectively. Stratified analysis indicated that our model was not affected by sex, age, or chronic disease. Moreover, the results of the merged model showed a strong correlation with patient outcomes. SIGNIFICANCE: A model combining radiomic and DL features of the lung could help distinguish critical cases from severe cases of COVID-19.</t>
  </si>
  <si>
    <t>Weakly supervised mitosis detection in breast histopathology images using concentric loss</t>
  </si>
  <si>
    <t>Developing new deep learning methods for medical image analysis is a prevalent research topic in machine learning. In this paper, we propose a deep learning scheme with a novel loss function for weakly supervised breast cancer diagnosis. According to the Nottingham Grading System, mitotic count plays an important role in breast cancer diagnosis and grading. To determine the cancer grade, pathologists usually need to manually count mitosis from a great deal of histopathology images, which is a very tedious and time-consuming task. This paper proposes an automatic method for detecting mitosis. We regard the mitosis detection task as a semantic segmentation problem and use a deep fully convolutional network to address it. Different from conventional training data used in semantic segmentation system, the training label of mitosis data is usually in the format of centroid pixel, rather than all the pixels belonging to a mitosis. The centroid label is a kind of weak label, which is much easier to annotate and can save the effort of pathologists a lot. However, technically this weak label is not sufficient for training a mitosis segmentation model. To tackle this problem, we expand the single-pixel label to a novel label with concentric circles, where the inside circle is a mitotic region and the ring around the inside circle is a middle ground. During the training stage, we do not compute the loss of the ring region because it may have the presence of both mitotic and non-mitotic pixels. This new loss termed as concentric loss is able to make the semantic segmentation network be trained with the weakly annotated mitosis data. On the generated segmentation map from the segmentation model, we filter out low confidence and obtain mitotic cells. On the challenging ICPR 2014 MITOSIS dataset and AMIDA13 dataset, we achieve a 0.562 F-score and 0.673 F-score respectively, outperforming all previous approaches significantly. On the latest TUPAC16 dataset, we obtain a F-score of 0.669, which is also the state-of-the-art result. The excellent results quantitatively demonstrate the effectiveness of the proposed mitosis segmentation network with the concentric loss. All of our code has been made publicly available at https://github.com/ChaoLi977/SegMitos_mitosis_detection.</t>
  </si>
  <si>
    <t>C. Li, X. Wang, W. Liu, L. J. Latecki, B. Wang and J. Huang</t>
  </si>
  <si>
    <t>Few-shot learning with deformable convolution for multiscale lesion detection in mammography</t>
  </si>
  <si>
    <t>PURPOSE: Image-based breast lesion detection is a powerful clinical diagnosis technology. In recent years, deep learning architectures have achieved considerable success in medical image analysis however, they always require large-scale samples. In mammography images, breast lesions are inconspicuous, multiscale, and have blurred edges. Moreover, few well-labeled images exist. Because of these factors, the detection accuracy of conventional deep learning methods is low. Therefore, we attempted to improve the accuracy of mammary lesion detection by introducing transfer learning (TL) into a deep learning framework for the few-shot learning task and thus provide a method that will further assist physicians in detecting breast lesions. METHODS: In this paper, we propose a method called few-shot learning with deformable convolution for multiscale lesion detection in mammography, named FDMNet. Deformable convolution is introduced for enhancing the network's ability to detect lesions, and the sensitivity of the multiscale feature space is reinforced by using a feature pyramid method. Furthermore, by introducing location information in the predictor, the sensitivity of the model to lesion location is also enhanced. The proposed method, through the TL technique that is applied mines the potentially common knowledge of features in the source domain and transfers it into the target domain to improve the accuracy of breast lesion detection in the few-shot learning task. RESULTS: On the publicly available datasets for screening mammography CBIS-DDSM and Mini-MIAS, the proposed method performs better than five widely used detection methods. On the CBIS-DDSM dataset, its comprehensive scores, sensitivity, precision, and the mean dice similarity coefficient are 0.911, 0.949, 0.873, and 0.913, respectively, and on the Mini-MIAS dataset, these values are 0.931, 0.966, 0.882, and 0.941, respectively. CONCLUSIONS: To achieve the few-shot learning required for medical image analysis, the proposed method uses TL to execute feature knowledge transformation and includes deformable convolution to build a feature pyramid structure, which enhances the learning performance of the network for lesions. The results of comparative numerical experiments show that the proposed method outperforms some state-of-the-art methods.</t>
  </si>
  <si>
    <t>A deep learning diagnostic platform for diffuse large B-cell lymphoma with high accuracy across multiple hospitals</t>
  </si>
  <si>
    <t>Diagnostic histopathology is a gold standard for diagnosing hematopoietic malignancies. Pathologic diagnosis requires labor-intensive reading of a large number of tissue slides with high diagnostic accuracy equal or close to 100 percent to guide treatment options, but this requirement is difficult to meet. Although artificial intelligence (AI) helps to reduce the labor of reading pathologic slides, diagnostic accuracy has not reached a clinically usable level. Establishment of an AI model often demands big datasets and an ability to handle large variations in sample preparation and image collection. Here, we establish a highly accurate deep learning platform, consisting of multiple convolutional neural networks, to classify pathologic images by using smaller datasets. We analyze human diffuse large B-cell lymphoma (DLBCL) and non-DLBCL pathologic images from three hospitals separately using AI models, and obtain a diagnostic rate of close to 100 percent (100% for hospital A, 99.71% for hospital B and 100% for hospital C). The technical variability introduced by slide preparation and image collection reduces AI model performance in cross-hospital tests, but the 100% diagnostic accuracy is maintained after its elimination. It is now clinically practical to utilize deep learning models for diagnosis of DLBCL and ultimately other human hematopoietic malignancies.</t>
  </si>
  <si>
    <t>Dense gate network for biomedical image segmentation</t>
  </si>
  <si>
    <t>PURPOSE: Deep learning has recently shown its outstanding performance in biomedical image semantic segmentation. Most biomedical semantic segmentation frameworks comprise the encoder-decoder architecture directly fusing features of the encoder and the decoder by the way of skip connections. However, the simple fusion operation may neglect the semantic gaps which lie between these features in the decoder and the encoder, hindering the effectiveness of the network. METHODS: Dense gate network (DG-Net) is proposed for biomedical image segmentation. In this model, the Gate Aggregate structure is utilized to reduce the semantic gaps between features in the encoder and the corresponding features in the decoder, and the gate unit is used to reduce the categorical ambiguity as well as to guide the low-level high-resolution features to recover semantic information. Through this method, the features could reach a similar semantic level before fusion, which is helpful for reducing semantic gaps, thereby producing accurate results. RESULTS: Four medical semantic segmentation experiments, based on CT and microscopy images datasets, were performed to evaluate our model. In the cross-validation experiments, the proposed method achieves IOU scores of 97.953%, 89.569%, 81.870% and 76.486% on these four datasets. Compared with U-Net and MultiResUNet methods, DG-Net yields a higher average score on IOU and Acc. CONCLUSION: The DG-Net is competitive with the baseline methods. The experiment results indicate that Gate Aggregate structure and gate unit could improve the performance of the network by aggregating features from different layers and reducing the semantic gaps of features in the encoder and the decoder. This has potential in biomedical image segmentation.</t>
  </si>
  <si>
    <t>Fully automated detection of retinal disorders by image-based deep learning</t>
  </si>
  <si>
    <t>PURPOSE: With the aging population and the global diabetes epidemic, the prevalence of age-related macular degeneration (AMD) and diabetic macular edema (DME) diseases which are the leading causes of blindness is further increasing. Intravitreal injections with anti-vascular endothelial growth factor (anti-VEGF) medications are the standard of care for their indications. Optical coherence tomography (OCT), as a noninvasive imaging modality, plays a major part in guiding the administration of anti-VEGF therapy by providing detailed cross-sectional scans of the retina pathology. Fully automating OCT image detection can significantly decrease the tedious clinician labor and obtain a faithful pre-diagnosis from the analysis of the structural elements of the retina. Thereby, we explore the use of deep transfer learning method based on the visual geometry group 16 (VGG-16) network for classifying AMD and DME in OCT images accurately and automatically. METHOD: A total of 207,130 retinal OCT images between 2013 and 2017 were selected from retrospective cohorts of 5319 adult patients from the Shiley Eye Institute of the University of California San Diego, the California Retinal Research Foundation, Medical Center Ophthalmology Associates, the Shanghai First People's Hospital, and the Beijing Tongren Eye Center, with 109,312 images (37,456 with choroidal neovascularization, 11,599 with diabetic macular edema, 8867 with drusen, and 51,390 normal) for the experiment. After images preprocessing, 1000 images (250 images from each category) from 633 patients were selected as validation dataset while the rest images from another 4686 patients were used as training dataset. We used deep transfer learning method to fine-tune the VGG-16 network pre-trained on the ImageNet dataset, and evaluated its performance on the validation dataset. Then, prediction accuracy, sensitivity, specificity, and receiver-operating characteristic (ROC) were calculated. RESULTS: Experimental results proved that the proposed approach had manifested superior performance in retinal OCT images detection, which achieved a prediction accuracy of 98.6%, with a sensitivity of 97.8%, a specificity of 99.4%, and introduced an area under the ROC curve of 100%. CONCLUSION: Deep transfer learning method based on the VGG-16 network shows significant effectiveness on classification of retinal OCT images with a relatively small dataset, which can provide assistant support for medical decision-making. Moreover, the performance of the proposed approach is comparable to that of human experts with significant clinical experience. Thereby, it will find promising applications in an automatic diagnosis and classification of common retinal diseases.</t>
  </si>
  <si>
    <t>F. Li, H. Chen, Z. Liu, X. Zhang and Z. Wu</t>
  </si>
  <si>
    <t>Deep learning-based automated detection of retinal diseases using optical coherence tomography images</t>
  </si>
  <si>
    <t>Retinal disease classification is a significant problem in computer-aided diagnosis (CAD) for medical applications. This paper is focused on a 4-class classification problem to automatically detect choroidal neovascularization (CNV), diabetic macular edema (DME), DRUSEN, and NORMAL in optical coherence tomography (OCT) images. The proposed classification algorithm adopted an ensemble of four classification model instances to identify retinal OCT images, each of which was based on an improved residual neural network (ResNet50). The experiment followed a patient-level 10-fold cross-validation process, on development retinal OCT image dataset. The proposed approach achieved 0.973 (95% confidence interval [CI], 0.971-0.975) classification accuracy, 0.963 (95% CI, 0.960-0.966) sensitivity, and 0.985 (95% CI, 0.983-0.987) specificity at the B-scan level, achieving a matching or exceeding performance to that of ophthalmologists with significant clinical experience. Other performance measures used in the study were the area under receiver operating characteristic curve (AUC) and kappa value. The observations of the study implied that multi-ResNet50 ensembling was a useful technique when the availability of medical images was limited. In addition, we performed qualitative evaluation of model predictions, and occlusion testing to understand the decision-making process of our model. The paper provided an analytical discussion on misclassification and pathology regions identified by the occlusion testing also. Finally, we explored the effect of the integration of retinal OCT images and medical history data from patients on model performance.</t>
  </si>
  <si>
    <t>F. Li, H. Chen, Z. Liu, X. D. Zhang, M. S. Jiang, Z. Z. Wu and K. Q. Zhou</t>
  </si>
  <si>
    <t>A Robust Deep Model for Improved Classification of AD/MCI Patients</t>
  </si>
  <si>
    <t>Accurate classification of Alzheimer's disease (AD) and its prodromal stage, mild cognitive impairment (MCI), plays a critical role in possibly preventing progression of memory impairment and improving quality of life for AD patients. Among many research tasks, it is of a particular interest to identify noninvasive imaging biomarkers for AD diagnosis. In this paper, we present a robust deep learning system to identify different progression stages of AD patients based on MRI and PET scans. We utilized the dropout technique to improve classical deep learning by preventing its weight coadaptation, which is a typical cause of overfitting in deep learning. In addition, we incorporated stability selection, an adaptive learning factor, and a multitask learning strategy into the deep learning framework. We applied the proposed method to the ADNI dataset, and conducted experiments for AD and MCI conversion diagnosis. Experimental results showed that the dropout technique is very effective in AD diagnosis, improving the classification accuracies by 5.9% on average as compared to the classical deep learning methods.</t>
  </si>
  <si>
    <t>F. Li, L. Tran, K. H. Thung, S. Ji, D. Shen and J. Li</t>
  </si>
  <si>
    <t>Application of deep canonically correlated sparse autoencoder for the classification of schizophrenia</t>
  </si>
  <si>
    <t>BACKGROUND AND OBJECTIVE: Imaging genetics has been widely used to help diagnose and treat mental illness, e.g., schizophrenia, by combining magnetic resonance imaging of the brain and genomic information for comprehensive and systematic analysis. As a result, utilizing the correlation between magnetic resonance imaging of the brain and genomic information is becoming an important challenge. METHODS: In this paper, the joint analysis of single nucleotide polymorphisms and functional magnetic resonance imaging is conducted for comprehensive study of schizophrenia. We developed a deep canonically correlated sparse autoencoder to classify schizophrenia patients from healthy controls, which can address the limitation of many existing methods such as canonical correlation analysis, deep canonical correlation analysis and sparse autoencoder. RESULTS: The proposed deep canonically correlated sparse autoencoder can not only use complex nonlinear transformation and dimension reduction, but also achieve more accurate classifications. Our experiments showed the proposed method achieved an accuracy of 95.65% for SNP data sets and an accuracy of 80.53% for fMRI data sets. CONCLUSIONS: Experiments demonstrated higher accuracy of using the proposed method over other conventional models when classifying schizophrenia patients and healthy controls.</t>
  </si>
  <si>
    <t>Interpretable, highly accurate brain decoding of subtly distinct brain states from functional MRI using intrinsic functional networks and long short-term memory recurrent neural networks</t>
  </si>
  <si>
    <t>Decoding brain functional states underlying cognitive processes from functional MRI (fMRI) data using multivariate pattern analysis (MVPA) techniques has achieved promising performance for characterizing brain activation patterns and providing neurofeedback signals. However, it remains challenging to decode subtly distinct brain states for individual fMRI data points due to varying temporal durations and dependency among different cognitive processes. In this study, we develop a deep learning based framework for brain decoding by leveraging recent advances in intrinsic functional network modeling and sequence modeling using long short-term memory (LSTM) recurrent neural networks (RNNs). Particularly, subject-specific intrinsic functional networks (FNs) are computed from resting-state fMRI data and are used to characterize functional signals of task fMRI data with a compact representation for building brain decoding models, and LSTM RNNs are adopted to learn brain decoding mappings between functional profiles and brain states. Validation results on fMRI data from the HCP dataset have demonstrated that brain decoding models built on training data using the proposed method could learn discriminative latent feature representations and effectively distinguish subtly distinct working memory tasks of different subjects with significantly higher accuracy than conventional decoding models. Informative FNs of the brain decoding models identified as brain activation patterns of working memory tasks were largely consistent with the literature. The method also obtained promising decoding performance on motor and social cognition tasks. Our results suggest that LSTM RNNs in conjunction with FNs could build interpretable, highly accurate brain decoding models.</t>
  </si>
  <si>
    <t>A deep learning model for early prediction of Alzheimer's disease dementia based on hippocampal magnetic resonance imaging data</t>
  </si>
  <si>
    <t>INTRODUCTION: It is challenging at baseline to predict when and which individuals who meet criteria for mild cognitive impairment (MCI) will ultimately progress to Alzheimer's disease (AD) dementia. METHODS: A deep learning method is developed and validated based on magnetic resonance imaging scans of 2146 subjects (803 for training and 1343 for validation) to predict MCI subjects' progression to AD dementia in a time-to-event analysis setting. RESULTS: The deep-learning time-to-event model predicted individual subjects' progression to AD dementia with a concordance index of 0.762 on 439 Alzheimer's Disease Neuroimaging Initiative testing MCI subjects with follow-up duration from 6 to 78 months (quartiles: [24, 42, 54]) and a concordance index of 0.781 on 40 Australian Imaging Biomarkers and Lifestyle Study of Aging testing MCI subjects with follow-up duration from 18 to 54 months (quartiles: [18, 36, 54]). The predicted progression risk also clustered individual subjects into subgroups with significant differences in their progression time to AD dementia (P &lt; .0002). Improved performance for predicting progression to AD dementia (concordance index = 0.864) was obtained when the deep learning-based progression risk was combined with baseline clinical measures. DISCUSSION: Our method provides a cost effective and accurate means for prognosis and potentially to facilitate enrollment in clinical trials with individuals likely to progress within a specific temporal period.</t>
  </si>
  <si>
    <t>Fully convolutional network ensembles for white matter hyperintensities segmentation in MR images</t>
  </si>
  <si>
    <t>White matter hyperintensities (WMH) are commonly found in the brains of healthy elderly individuals and have been associated with various neurological and geriatric disorders. In this paper, we present a study using deep fully convolutional network and ensemble models to automatically detect such WMH using fluid attenuation inversion recovery (FLAIR) and T1 magnetic resonance (MR) scans. The algorithm was evaluated and ranked 1st in the WMH Segmentation Challenge at MICCAI 2017. In the evaluation stage, the implementation of the algorithm was submitted to the challenge organizers, who then independently tested it on a hidden set of 110 cases from 5 scanners. Averaged dice score, precision and robust Hausdorff distance obtained on held-out test datasets were 80%, 84% and 6.30 mm respectively. These were the highest achieved in the challenge, suggesting the proposed method is the state-of-the-art. Detailed descriptions and quantitative analysis on key components of the system were provided. Furthermore, a study of cross-scanner evaluation is presented to discuss how the combination of modalities affect the generalization capability of the system. The adaptability of the system to different scanners and protocols is also investigated. A quantitative study is further presented to show the effect of ensemble size and the effectiveness of the ensemble model. Additionally, software and models of our method are made publicly available. The effectiveness and generalization capability of the proposed system show its potential for real-world clinical practice.</t>
  </si>
  <si>
    <t>H. Li, G. Jiang, J. Zhang, R. Wang, Z. Wang, W. S. Zheng and B. Menze</t>
  </si>
  <si>
    <t>A novel end-to-end brain tumor segmentation method using improved fully convolutional networks</t>
  </si>
  <si>
    <t>Accurate brain magnetic resonance imaging (MRI) tumor segmentation continues to be an active research topic in medical image analysis since it provides doctors with meaningful and reliable quantitative information in diagnosing and monitoring neurological diseases. Successful deep learning-based proposals have been designed, and most of them are built upon image patches. In this paper, a novel end-to-end brain tumor segmentation method is developed using an improved fully convolutional network by modifying the U-Net architecture. In our network, an innovative structure referred to as an up skip connection is first proposed between the encoding path and decoding path to enhance information flow. Moreover, an inception module is adopted in each block to help our network learn richer representations, and an efficient cascade training strategy is introduced to segment brain tumor subregions sequentially. In contrast to those patchwise methods, our model can automatically generate segmentation maps slice by slice. We have validated our proposal by using imaging data from the Multimodal Brain Tumor Image Segmentation Challenge (BRATS) 2015 and BRATS 2016. Experimental results compared with U-Net suggest that our method is 2.6%, 3.9%, and 5.2% higher (by using the BRATS 2015 training dataset) as well as 2.8%, 3.7%, and 8.1% (by using the BRATS 2017 training dataset) higher in terms of complete, core and enhancing tumor regions, respectively. Quantitative and visual evaluation of our method has revealed the effectiveness of the proposed improvements and indicated that our end-to-end segmentation method can achieve a performance that can compete with state-of-the-art brain tumor segmentation approaches.</t>
  </si>
  <si>
    <t>H. Li, A. Li and M. Wang</t>
  </si>
  <si>
    <t>Differential Diagnosis for Pancreatic Cysts in CT Scans Using Densely-Connected Convolutional Networks</t>
  </si>
  <si>
    <t>The lethal nature of pancreatic ductal adenocarcinoma (PDAC) calls for early differential diagnosis of pancreatic cysts, which are identified in up to 16% of normal subjects, and some of them may develop into PDAC. Pancreatic cysts have a large variation in size and shape, and the precise segmentation of them remains rather challenging, which restricts the computer-aided interpretation of CT images acquired for differential diagnosis. We propose a computer-aided framework for early differential diagnosis of pancreatic cysts without pre-segmenting the lesions using densely-connected convolutional networks (Dense-Net). The Dense-Net learns high-level features from whole abnormal pancreas and builds mappings between medical imaging appearance to different pathological types of pancreatic cysts. To enhance the clinical applicability, we integrate saliency maps in the framework to assist the physicians to understand the decision of the deep learning method. The test on a cohort of 206 patients with 4 pathologically confirmed subtypes of pancreatic cysts has achieved an overall accuracy of 72.8%, which is significantly higher than the baseline accuracy of 48.1%. The superior performance on this challenging dataset strongly supports the clinical potential of our developed method.</t>
  </si>
  <si>
    <t>An improved deep learning approach for detection of thyroid papillary cancer in ultrasound images</t>
  </si>
  <si>
    <t>Unlike daily routine images, ultrasound images are usually monochrome and low-resolution. In ultrasound images, the cancer regions are usually blurred, vague margin and irregular in shape. Moreover, the features of cancer region are very similar to normal or benign tissues. Therefore, training ultrasound images with original Convolutional Neural Network (CNN) directly is not satisfactory. In our study, inspired by state-of-the-art object detection network Faster R-CNN, we develop a detector which is more suitable for thyroid papillary carcinoma detection in ultrasound images. In order to improve the accuracy of the detection, we add a spatial constrained layer to CNN so that the detector can extract the features of surrounding region in which the cancer regions are residing. In addition, by concatenating the shallow and deep layers of the CNN, the detector can detect blurrier or smaller cancer regions. The experiments demonstrate that the potential of this new methodology can reduce the workload for pathologists and increase the objectivity of diagnoses. We find that 93:5% of papillary thyroid carcinoma regions could be detected automatically while 81:5% of benign and normal tissue could be excluded without the use of any additional immunohistochemical markers or human intervention.</t>
  </si>
  <si>
    <t>H. Li, J. Weng, Y. Shi, W. Gu, Y. Mao, Y. Wang, W. Liu and J. Zhang</t>
  </si>
  <si>
    <t>Automatic Pulmonary Vein and Left Atrium Segmentation for TAPVC Preoperative Evaluation Using V-Net with Grouped Attention</t>
  </si>
  <si>
    <t>Accurate segmentation of pulmonary vein (PV) and left atrium (LA) is essential for the preoperative evaluation and planning of total anomalous pulmonary venous connection (TAPVC), which is a rare but mortal congenital heart disease of children. However, manual segmentation is time-consuming and insipid. To free radiologists from the repetitive work, we propose an automatic deep learning method to segment PV and LA from Low-Dose CT images. In the method, attention mechanism is incorporated into the widely used V-Net and a novel grouped attention module is applied to enforce the segmentation performance of the V-Net. We evaluate our method on 68 3D Low-Dose CT images scanned from patients with TAPVC. The experiment result shows that our method outperforms the popular 3D-UNet and V-Net, with mean dice similarity coefficient (DSC) of 0.795 and 0.834 for the PV and LA respectively.Clinical relevance-We proposed a CNNs-based method for the automatic segmentation of PV and LA with good accuracy, which can be used for the preoperative evaluation and planning of TAPVC. Our method can improve the efficiency and reduce the workloads of radiologists (400 milliseconds vs. 2-3 hours per-case).</t>
  </si>
  <si>
    <t>Dual-energy CT-based deep learning radiomics can improve lymph node metastasis risk prediction for gastric cancer</t>
  </si>
  <si>
    <t>OBJECTIVES: To build a dual-energy CT (DECT)-based deep learning radiomics nomogram for lymph node metastasis (LNM) prediction in gastric cancer. MATERIALS AND METHODS: Preoperative DECT images were retrospectively collected from 204 pathologically confirmed cases of gastric adenocarcinoma (mean age, 58 years; range, 28-81 years; 157 men [mean age, 60 years; range, 28-81 years] and 47 women [mean age, 54 years; range, 28-79 years]) between November 2011 and October 2018, They were divided into training (n = 136) and test (n = 68) sets. Radiomics features were extracted from monochromatic images at arterial phase (AP) and venous phase (VP). Clinical information, CT parameters, and follow-up data were collected. A radiomics nomogram for LNM prediction was built using deep learning approach and evaluated in test set using ROC analysis. Its prognostic performance was determined with Harrell's concordance index (C-index) based on patients' outcomes. RESULTS: The dual-energy CT radiomics signature was associated with LNM in two sets (Mann-Whitney U test, p &lt; 0.001) and an achieved area under the ROC curve (AUC) of 0.71 for AP and 0.76 for VP in test set. The nomogram incorporated the two radiomics signatures and CT-reported lymph node status exhibited AUCs of 0.84 in the training set and 0.82 in the test set. The C-indices of the nomogram for progression-free survival and overall survival prediction were 0.64 (p = 0.004) and 0.67 (p = 0.002). CONCLUSION: The DECT-based deep learning radiomics nomogram showed good performance in predicting LNM in gastric cancer. Furthermore, it was significantly associated with patients' prognosis. KEY POINTS: • This study investigated the value of deep learning dual-energy CT-based radiomics in predicting lymph node metastasis in gastric cancer. • The dual-energy CT-based radiomics nomogram outweighed the single-energy model and the clinical model. • The nomogram also exhibited a significant prognostic ability for patient survival and enriched radiomics studies.</t>
  </si>
  <si>
    <t>Dilated-Inception Net: Multi-Scale Feature Aggregation for Cardiac Right Ventricle Segmentation</t>
  </si>
  <si>
    <t>Segmentation of cardiac ventricle from magnetic resonance images is significant for cardiac disease diagnosis, progression assessment, and monitoring cardiac conditions. Manual segmentation is so time consuming, tedious, and subjective that automated segmentation methods are highly desired in practice. However, conventional segmentation methods performed poorly in cardiac ventricle, especially in the right ventricle. Compared with the left ventricle, whose shape is a simple thick-walled circle, the structure of the right ventricle is more complex due to ambiguous boundary, irregular cavity, and variable crescent shape. Hence, effective feature extractors and segmentation models are preferred. In this paper, we propose a dilated-inception net (DIN) to extract and aggregate multi-scale features for right ventricle segmentation. The DIN outperforms many state-of-the-art models on the benchmark database of right ventricle segmentation challenge. In addition, the experimental results indicate that the proposed model has potential to reach expert-level performance in right ventricular epicardium segmentation. More importantly, DIN behaves similarly to clinical expert with high correlation coefficients in four clinical cardiac indices. Therefore, the proposed DIN is promising for automated cardiac right ventricle segmentation in clinical applications.</t>
  </si>
  <si>
    <t>Automatic classification and segmentation of single-molecule fluorescence time traces with deep learning</t>
  </si>
  <si>
    <t>Traces from single-molecule fluorescence microscopy (SMFM) experiments exhibit photophysical artifacts that typically necessitate human expert screening, which is time-consuming and introduces potential for user-dependent expectation bias. Here, we use deep learning to develop a rapid, automatic SMFM trace selector, termed AutoSiM, that improves the sensitivity and specificity of an assay for a DNA point mutation based on single-molecule recognition through equilibrium Poisson sampling (SiMREPS). The improved performance of AutoSiM is based on accepting both more true positives and fewer false positives than the conventional approach of hidden Markov modeling (HMM) followed by hard thresholding. As a second application, the selector is used for automated screening of single-molecule Förster resonance energy transfer (smFRET) data to identify high-quality traces for further analysis, and achieves ~90% concordance with manual selection while requiring less processing time. Finally, we show that AutoSiM can be adapted readily to novel datasets, requiring only modest Transfer Learning.</t>
  </si>
  <si>
    <t>10.3760/cma.j.issn.1671-0274.2019.09.015</t>
  </si>
  <si>
    <t>[Advances in radiological studies of gastrointestinal stromal tumors]</t>
  </si>
  <si>
    <t>The commonly used radiological examinations for gastrointestinal stromal tumor (GIST) include ultrasound, CT, magnetic resonance imaging and PET, which play important roles in the individualized treatment of GIST through the assistance of the detection, location, diagnose and differential diagnosis, biological behavior and risk evaluation, operation planning, therapeutic effects prediction and follow-up. Standardized predisposal, multi-planar reconstruction and multi-phase enhancement are of great significance in the detection of small GIST lesions. Differences in drainage vessels and enhancement characteristics of tumors are helpful in differentiating small intestinal GIST from pancreatic cancer, neuroendocrine tumors and other abdominal non-GIST tumors. Radiology can provide multiple indicators to qualitatively or quantitatively reflect the risk of GIST. Recent study found that the risk classification of GIST has correlation with necrosis, but not cystic degeneration. The risk stratification of GIST by dual-energy CT showed that CT value and standardized iodine concentration in arterial-venous and delayed phases of high-risk tumors were significantly higher than those of non-high-risk tumors. The correlation between tumor enhancement pattern and risk stratificationwas still controversial. Recently, the rise of radiomics and deep learning techniques provide new direction for risk assessment of GIST. Some studies used various models and parameters to predict the risk classifications of GIST and achieved AUC values above 0.85, and some results were also superior to conventional indicators and radiologists' subjective judgment in the prediction of exon 11 mutations, mitotic counts and survivals. Recent developments in PET and diffusion-weighted MRI provide more precise functional quantitative indicators for the prediction and early evaluation of the response of GIST to targeted therapy. These studies are constantly expanding our field of exploration, and prompting us to stride toward the goal of individualized treatment of GIST.</t>
  </si>
  <si>
    <t>Zhonghua Wei Chang Wai Ke Za Zhi</t>
  </si>
  <si>
    <t>Optical Coherence Tomography Vulnerable Plaque Segmentation Based on Deep Residual U-Net</t>
  </si>
  <si>
    <t>Automatic and accurate segmentation of intravascular optical coherence tomography imagery is of great importance in computer-aided diagnosis and in treatment of cardiovascular diseases. However, this task has not been well addressed for two reasons. First, because of the difficulty of acquisition, and the laborious labeling from personnel, optical coherence tomography image datasets are usually small. Second, optical coherence tomography images contain a variety of imaging artifacts, which hinder a clear observation of the vascular wall. In order to overcome these limitations, a new method of cardiovascular vulnerable plaque segmentation is proposed. This method constructs a novel Deep Residual U-Net to segment vulnerable plaque regions. Furthermore, in order to overcome the inaccuracy in object boundary segmentation which previous research has shown extensively, a loss function consisting of weighted cross-entropy loss and Dice coefficient is proposed to solve this problem. Thorough experiments and analysis have been carried out to verify the effectiveness and superior performance of the proposed method.</t>
  </si>
  <si>
    <t>L. Li and T. Jia</t>
  </si>
  <si>
    <t>Rev Cardiovasc Med</t>
  </si>
  <si>
    <t>Evaluating the performance of a deep learning-based computer-aided diagnosis (DL-CAD) system for detecting and characterizing lung nodules: Comparison with the performance of double reading by radiologists</t>
  </si>
  <si>
    <t>BACKGROUND: The study was conducted to evaluate the performance of a state-of-the-art commercial deep learning-based computer-aided diagnosis (DL-CAD) system for detecting and characterizing pulmonary nodules. METHODS: Pulmonary nodules in 346 healthy subjects (male: female = 221:125, mean age 51 years) from a lung cancer screening program conducted from March to November 2017 were screened using a DL-CAD system and double reading independently, and their performance in nodule detection and characterization were evaluated. An expert panel combined the results of the DL-CAD system and double reading as the reference standard. RESULTS: The DL-CAD system showed a higher detection rate than double reading, regardless of nodule size (86.2% vs. 79.2%; P &lt; 0.001): nodules ≥ 5 mm (96.5% vs. 88.0%; P = 0.008); nodules &lt; 5 mm (84.3% vs. 77.5%; P &lt; 0.001). However, the false positive rate (per computed tomography scan) of the DL-CAD system (1.53, 529/346) was considerably higher than that of double reading (0.13, 44/346; P &lt; 0.001). Regarding nodule characterization, the sensitivity and specificity of the DL-CAD system for distinguishing solid nodules &gt; 5 mm (90.3% and 100.0%, respectively) and ground-glass nodules (100.0% and 96.1%, respectively) were close to that of double reading, but dropped to 55.5% and 93%, respectively, when discriminating part solid nodules. CONCLUSION: Our DL-CAD system detected significantly more nodules than double reading. In the future, false positive findings should be further reduced and characterization accuracy improved.</t>
  </si>
  <si>
    <t>Thorac Cancer</t>
  </si>
  <si>
    <t>Using Artificial Intelligence to Detect COVID-19 and Community-acquired Pneumonia Based on Pulmonary CT: Evaluation of the Diagnostic Accuracy</t>
  </si>
  <si>
    <t>Background Coronavirus disease 2019 (COVID-19) has widely spread all over the world since the beginning of 2020. It is desirable to develop automatic and accurate detection of COVID-19 using chest CT. Purpose To develop a fully automatic framework to detect COVID-19 using chest CT and evaluate its performance. Materials and Methods In this retrospective and multicenter study, a deep learning model, the COVID-19 detection neural network (COVNet), was developed to extract visual features from volumetric chest CT scans for the detection of COVID-19. CT scans of community-acquired pneumonia (CAP) and other non-pneumonia abnormalities were included to test the robustness of the model. The datasets were collected from six hospitals between August 2016 and February 2020. Diagnostic performance was assessed with the area under the receiver operating characteristic curve, sensitivity, and specificity. Results The collected dataset consisted of 4352 chest CT scans from 3322 patients. The average patient age (±standard deviation) was 49 years ± 15, and there were slightly more men than women (1838 vs 1484, respectively; P = .29). The per-scan sensitivity and specificity for detecting COVID-19 in the independent test set was 90% (95% confidence interval [CI]: 83%, 94%; 114 of 127 scans) and 96% (95% CI: 93%, 98%; 294 of 307 scans), respectively, with an area under the receiver operating characteristic curve of 0.96 (P &lt; .001). The per-scan sensitivity and specificity for detecting CAP in the independent test set was 87% (152 of 175 scans) and 92% (239 of 259 scans), respectively, with an area under the receiver operating characteristic curve of 0.95 (95% CI: 0.93, 0.97). Conclusion A deep learning model can accurately detect coronavirus 2019 and differentiate it from community-acquired pneumonia and other lung conditions. © RSNA, 2020 Online supplemental material is available for this article.</t>
  </si>
  <si>
    <t>Deep Convolutional Neural Networks for Automatic Detection of Orbital Blowout Fractures</t>
  </si>
  <si>
    <t>Orbital blow out fracture is a common disease in emergency department and a delay or failure in diagnosis can lead to permanent visual changes. This study aims to evaluate the ability of an automatic orbital blowout fractures detection system based on computed tomography (CT) data.Orbital CT scans of adult orbital blowout fractures patients and normal cases were obtained from Shanghai Ninth People's Hospital between January and March 2017. The region of fractures was annotated using 3D Slicer. The Inception V3 convolutional neural networks were constructed utilizing the Python programming language with PyTorch as the framework to extract high dimension features from each slice in a CT scan. These extracted features are processed through a XGBoost model to make the final differentiation of fracture cases and nonfracture ones. Accuracy, receiver operating characteristics, and area under the curve were evaluated.This study used 94 CT scans diagnosed with orbital blowout fractures and 94 healthy control cases. The automatic detection system showed accuracy of 92% in single-image classification and 87% in patient level detection. The area under the receiver operating characteristic curve was 0.9574.Using a deep learning-based automatic detection system of orbital blowout fracture can accurately detect and classify orbital blowout fractures from CT scans. The convolutional neural networks model combined with an accurate annotation system could achieve good performance in a small dataset. Further studies with large and multicenter data are required to refine this technology for possible clinical applications.</t>
  </si>
  <si>
    <t>J Craniofac Surg</t>
  </si>
  <si>
    <t>DC-AL GAN: Pseudoprogression and true tumor progression of glioblastoma multiform image classification based on DCGAN and AlexNet</t>
  </si>
  <si>
    <t>PURPOSE: Pseudoprogression (PsP) occurs in 20-30% of patients with glioblastoma multiforme (GBM) after receiving the standard treatment. PsP exhibits similarities in shape and intensity to the true tumor progression (TTP) of GBM on the follow-up magnetic resonance imaging (MRI). These similarities pose challenges to the differentiation of these types of progression and hence the selection of the appropriate clinical treatment strategy. METHODS: To address this challenge, we introduced a novel feature learning method based on deep convolutional generative adversarial network (DCGAN) and AlexNet, termed DC-AL GAN, to discriminate between PsP and TTP in MRI images. Due to the adversarial relationship between the generator and the discriminator of DCGAN, high-level discriminative features of PsP and TTP can be derived for the discriminator with AlexNet. We also constructed a multifeature selection module to concatenate features from different layers, contributing to more powerful features used for effectively discriminating between PsP and TTP. Finally, these discriminative features from the discriminator are used for classification by a support vector machine (SVM). Tenfold cross-validation (CV) and the area under the receiver operating characteristic (AUC) were applied to evaluate the performance of this developed algorithm. RESULTS: The accuracy and AUC of DC-AL GAN for discriminating PsP and TTP after tenfold CV were 0.920 and 0.947. We also assessed the effects of different indicators (such as sensitivity and specificity) for features extracted from different layers to obtain a model with the best classification performance. CONCLUSIONS: The proposed model DC-AL GAN is capable of learning discriminative representations from GBM datasets, and it achieves desirable PsP and TTP classification performance superior to other state-of-the-art methods. Therefore, the developed model would be useful in the diagnosis of PsP and TTP for GBM.</t>
  </si>
  <si>
    <t>Automated assessment of levodopa-induced dyskinesia: Evaluating the responsiveness of video-based features</t>
  </si>
  <si>
    <t>INTRODUCTION: Technological solutions for quantifying Parkinson's disease (PD) symptoms may provide an objective means to track response to treatment, including side effects such as levodopa-induced dyskinesia. Vision-based systems are advantageous as they do not require physical contact with the body and have minimal instrumentation compared to wearables. We have developed a vision-based system to quantify a change in dyskinesia as reported by patients using 2D videos of clinical assessments during acute levodopa infusions. METHODS: Nine participants with PD completed a total of 16 levodopa infusions, where they were asked to report important changes in dyskinesia (i.e. onset and remission). Participants were simultaneously rated using the UDysRS Part III (from video recordings analyzed post-hoc). Body joint positions and movements were tracked using a state-of-the-art deep learning pose estimation algorithm applied to the videos. 416 features (e.g. kinematics, frequency distribution) were extracted to characterize movements. The sensitivity and specificity of each feature to patient-reported changes in dyskinesia severity was computed and compared with physician-rated results. RESULTS: Features achieved similar or superior performance to the UDysRS for detecting the onset and remission of dyskinesia. The best AUC for detecting onset of dyskinesia was 0.822 and for remission of dyskinesia was 0.958, compared to 0.826 and 0.802 for the UDysRS. CONCLUSIONS: Video-based features may provide an objective means of quantifying the severity of levodopa-induced dyskinesia, and have responsiveness as good or better than the clinically-rated UDysRS. The results demonstrate encouraging evidence for future integration of video-based technology into clinical research and eventually clinical practice.</t>
  </si>
  <si>
    <t>M. H. Li, T. A. Mestre, S. H. Fox and B. Taati</t>
  </si>
  <si>
    <t>Parkinsonism Relat Disord</t>
  </si>
  <si>
    <t>Characterizing liver sinusoidal endothelial cell fenestrae on soft substrates upon AFM imaging and deep learning</t>
  </si>
  <si>
    <t>BACKGROUND: Liver sinusoidal endothelial cells (LSECs) display unique fenestrated morphology. Alterations in the size and number of fenestrae play a crucial role in the progression of various liver diseases. While their features have been visualized using atomic force microscopy (AFM), the in situ imaging methods and off-line analyses are further required for fenestra quantification. METHODS: Primary mouse LSECs were cultured on a collagen-I-coated culture dish, or a polydimethylsiloxane (PDMS) or polyacrylamide (PA) hydrogel substrate. An AFM contact mode was applied to visualize fenestrae on individual fixed LSECs. Collected images were analyzed using an in-house developed image recognition program based on fully convolutional networks (FCN). RESULTS: Key scanning parameters were first optimized for visualizing the fenestrae on LSECs on culture dish, which was also applicable for the LSECs cultured on various hydrogels. The intermediate-magnification morphology images of LSECs were used for developing the FCN-based, fenestra recognition program. This program enabled us to recognize the vast majority of fenestrae from AFM images after twice trainings at a typical accuracy of 81.6% on soft substrate and also quantify the statistics of porosity, number of fenestrae and distribution of fenestra diameter. CONCLUSIONS: Combining AFM imaging with FCN training is able to quantify the morphological distributions of LSEC fenestrae on various substrates. SIGNIFICANCE: AFM images acquired and analyzed here provided the global information of surface ultramicroscopic structures over an entire cell, which is fundamental in understanding their regulatory mechanisms and pathophysiological relevance in fenestra-like evolution of individual cells on stiffness-varied substrates.</t>
  </si>
  <si>
    <t>Biochim Biophys Acta Gen Subj</t>
  </si>
  <si>
    <t>3D Neuron Reconstruction in Tangled Neuronal Image With Deep Networks</t>
  </si>
  <si>
    <t>Digital reconstruction or tracing of 3D neuron is essential for understanding the brain functions. While existing automatic tracing algorithms work well for the clean neuronal image with a single neuron, they are not robust to trace the neuron surrounded by nerve fibers. We propose a 3D U-Net-based network, namely 3D U-Net Plus, to segment the neuron from the surrounding fibers before the application of tracing algorithms. All the images in BigNeuron, the biggest available neuronal image dataset, contain clean neurons with no interference of nerve fibers, which are not practical to train the segmentation network. Based upon the BigNeuron images, we synthesize a SYNethic TAngled NEuronal Image dataset (SYNTANEI) to train the proposed network, by fusing the neurons with extracted nerve fibers. Due to the adoption of dropout, àtrous convolution and Àtrous Spatial Pyramid Pooling (ASPP), experimental results on the synthetic and real tangled neuronal images show that the proposed 3D U-Net Plus network achieved very promising segmentation results. The neurons reconstructed by the tracing algorithm using the segmentation result match significantly better with the ground truth than that using the original images.</t>
  </si>
  <si>
    <t>A Bayesian hidden Potts mixture model for analyzing lung cancer pathology images</t>
  </si>
  <si>
    <t>Digital pathology imaging of tumor tissues, which captures histological details in high resolution, is fast becoming a routine clinical procedure. Recent developments in deep-learning methods have enabled the identification, characterization, and classification of individual cells from pathology images analysis at a large scale. This creates new opportunities to study the spatial patterns of and interactions among different types of cells. Reliable statistical approaches to modeling such spatial patterns and interactions can provide insight into tumor progression and shed light on the biological mechanisms of cancer. In this article, we consider the problem of modeling a pathology image with irregular locations of three different types of cells: lymphocyte, stromal, and tumor cells. We propose a novel Bayesian hierarchical model, which incorporates a hidden Potts model to project the irregularly distributed cells to a square lattice and a Markov random field prior model to identify regions in a heterogeneous pathology image. The model allows us to quantify the interactions between different types of cells, some of which are clinically meaningful. We use Markov chain Monte Carlo sampling techniques, combined with a double Metropolis-Hastings algorithm, in order to simulate samples approximately from a distribution with an intractable normalizing constant. The proposed model was applied to the pathology images of $205$ lung cancer patients from the National Lung Screening trial, and the results show that the interaction strength between tumor and stromal cells predicts patient prognosis (P = $0.005$). This statistical methodology provides a new perspective for understanding the role of cell-cell interactions in cancer progression.</t>
  </si>
  <si>
    <t>Biostatistics</t>
  </si>
  <si>
    <t>Tumor Segmentation in Contrast-Enhanced Magnetic Resonance Imaging for Nasopharyngeal Carcinoma: Deep Learning with Convolutional Neural Network</t>
  </si>
  <si>
    <t>OBJECTIVES: To evaluate the application of a deep learning architecture, based on the convolutional neural network (CNN) technique, to perform automatic tumor segmentation of magnetic resonance imaging (MRI) for nasopharyngeal carcinoma (NPC). MATERIALS AND METHODS: In this prospective study, 87 MRI containing tumor regions were acquired from newly diagnosed NPC patients. These 87 MRI were augmented to &gt;60,000 images. The proposed CNN network is composed of two phases: feature representation and scores map reconstruction. We designed a stepwise scheme to train our CNN network. To evaluate the performance of our method, we used case-by-case leave-one-out cross-validation (LOOCV). The ground truth of tumor contouring was acquired by the consensus of two experienced radiologists. RESULTS: The mean values of dice similarity coefficient, percent match, and their corresponding ratio with our method were 0.89±0.05, 0.90±0.04, and 0.84±0.06, respectively, all of which were better than reported values in the similar studies. CONCLUSIONS: We successfully established a segmentation method for NPC based on deep learning in contrast-enhanced magnetic resonance imaging. Further clinical trials with dedicated algorithms are warranted.</t>
  </si>
  <si>
    <t>Q. Li, Y. Xu, Z. Chen, D. Liu, S. T. Feng, M. Law, Y. Ye and B. Huang</t>
  </si>
  <si>
    <t>Deep residual nets model for staging liver fibrosis on plain CT images</t>
  </si>
  <si>
    <t>PURPOSE: The early diagnosis of liver fibrosis is crucial for the prevention of liver cirrhosis and liver cancer. As gold standard for staging liver fibrosis, liver biopsy is an invasive procedure that carries the risk of serious complications. The aim of this study was to evaluate the performance of the residual neural network (ResNet), a non-invasive methods, for staging liver fibrosis using plain CT images. METHODS: This retrospective study involved 347 patients subjected to liver CT scanning and liver biopsy. For each patient, we selected three axial images adjacent to the puncture location in the eighth or ninth inter-space on the right side. After processing and enhancement (rotation, translation, and amplification), these images were used as input data for the ResNet model. The model used a fivefold cross-validation method. In each fold, the images of approximately 80% of the total sample size (278 patients) were used for training the ResNet model, the other 20% (69 patients) were used for testing the trained network, with the liver biopsy pathology results as gold standard. The proportion of patients in each fibrosis stage was equal for training and test groups. The final result was the mean of the fivefold cross-validation in the test group. The performance of the ResNet model was evaluated for the test group by receiver operating characteristic (ROC) analysis. RESULTS: For the ResNet model, the area under the ROC curve (AUC) for assessing cirrhosis (F4), advanced fibrosis (F3 or higher), significant fibrosis (F2 or higher), and mild fibrosis (F1 or higher) was 0.97, 0.94, 0.90, and 0.91, respectively. CONCLUSIONS: The ResNet model analysis of plain CT images exhibited high diagnostic efficiency for liver fibrosis staging. As a convenient, fast, and economical non-invasive diagnostic method, the ResNet model can be used to assist radiologists and clinicians in liver fibrosis evaluations.</t>
  </si>
  <si>
    <t>Bladder Wall Segmentation in MRI Images via Deep Learning and Anatomical Constraints</t>
  </si>
  <si>
    <t>Segmenting the bladder wall from MRI images is of great significance for the early detection and auxiliary diagnosis of bladder tumors. However, automatic bladder wall segmentation is challenging due to weak boundaries and diverse shapes of bladders. Level-set-based methods have been applied to this task by utilizing the shape prior of bladders. However, it is a complex operation to adjust multiple parameters manually, and to select suitable hand-crafted features. In this paper, we propose an automatic method for the task based on deep learning and anatomical constraints. First, the autoencoder is used to model anatomical and semantic information of bladder walls by extracting their low dimensional feature representations from both MRI images and label images. Then as the constraint, such priors are incorporated into the modified residual network so as to generate more plausible segmentation results. Experiments on 1092 MRI images shows that the proposed method can generate more accurate and reliable results comparing with related works, with a dice similarity coefficient (DSC) of 85.48%.</t>
  </si>
  <si>
    <t>Few-shot learning for classification of novel macromolecular structures in cryo-electron tomograms</t>
  </si>
  <si>
    <t>Cryo-electron tomography (cryo-ET) provides 3D visualization of subcellular components in the near-native state and at sub-molecular resolutions in single cells, demonstrating an increasingly important role in structural biology in situ. However, systematic recognition and recovery of macromolecular structures in cryo-ET data remain challenging as a result of low signal-to-noise ratio (SNR), small sizes of macromolecules, and high complexity of the cellular environment. Subtomogram structural classification is an essential step for such task. Although acquisition of large amounts of subtomograms is no longer an obstacle due to advances in automation of data collection, obtaining the same number of structural labels is both computation and labor intensive. On the other hand, existing deep learning based supervised classification approaches are highly demanding on labeled data and have limited ability to learn about new structures rapidly from data containing very few labels of such new structures. In this work, we propose a novel approach for subtomogram classification based on few-shot learning. With our approach, classification of unseen structures in the training data can be conducted given few labeled samples in test data through instance embedding. Experiments were performed on both simulated and real datasets. Our experimental results show that we can make inference on new structures given only five labeled samples for each class with a competitive accuracy (&gt; 0.86 on the simulated dataset with SNR = 0.1), or even one sample with an accuracy of 0.7644. The results on real datasets are also promising with accuracy &gt; 0.9 on both conditions and even up to 1 on one of the real datasets. Our approach achieves significant improvement compared with the baseline method and has strong capabilities of generalizing to other cellular components.</t>
  </si>
  <si>
    <t>Deep Learning Segmentation of Optical Microscopy Images Improves 3-D Neuron Reconstruction</t>
  </si>
  <si>
    <t>Digital reconstruction, or tracing, of 3-D neuron structure from microscopy images is a critical step toward reversing engineering the wiring and anatomy of a brain. Despite a number of prior attempts, this task remains very challenging, especially when images are contaminated by noises or have discontinued segments of neurite patterns. An approach for addressing such problems is to identify the locations of neuronal voxels using image segmentation methods, prior to applying tracing or reconstruction techniques. This preprocessing step is expected to remove noises in the data, thereby leading to improved reconstruction results. In this paper, we proposed to use 3-D convolutional neural networks (CNNs) for segmenting the neuronal microscopy images. Specifically, we designed a novel CNN architecture, that takes volumetric images as the inputs and their voxel-wise segmentation maps as the outputs. The developed architecture allows us to train and predict using large microscopy images in an end-to-end manner. We evaluated the performance of our model on a variety of challenging 3-D microscopy images from different organisms. Results showed that the proposed methods improved the tracing performance significantly when combined with different reconstruction algorithms.</t>
  </si>
  <si>
    <t>R. Li, T. Zeng, H. Peng and S. Ji</t>
  </si>
  <si>
    <t>Deep learning based imaging data completion for improved brain disease diagnosis</t>
  </si>
  <si>
    <t>Combining multi-modality brain data for disease diagnosis commonly leads to improved performance. A challenge in using multimodality data is that the data are commonly incomplete; namely, some modality might be missing for some subjects. In this work, we proposed a deep learning based framework for estimating multi-modality imaging data. Our method takes the form of convolutional neural networks, where the input and output are two volumetric modalities. The network contains a large number of trainable parameters that capture the relationship between input and output modalities. When trained on subjects with all modalities, the network can estimate the output modality given the input modality. We evaluated our method on the Alzheimer's Disease Neuroimaging Initiative (ADNI) database, where the input and output modalities are MRI and PET images, respectively. Results showed that our method significantly outperformed prior methods.</t>
  </si>
  <si>
    <t>R. Li, W. Zhang, H. I. Suk, L. Wang, J. Li, D. Shen and S. Ji</t>
  </si>
  <si>
    <t>Pilot study: Application of artificial intelligence for detecting left atrial enlargement on canine thoracic radiographs</t>
  </si>
  <si>
    <t>Although deep learning has been explored extensively for computer-aided medical imaging diagnosis in human medicine, very little has been done in veterinary medicine. The goal of this retrospective, pilot project was to apply the deep learning artificial intelligence technique using thoracic radiographs for detection of canine left atrial enlargement and compare results with those of veterinary radiologist interpretations. Seven hundred ninety-two right lateral radiographs from canine patients with thoracic radiographs and contemporaneous echocardiograms were used to train, validate, and test a convolutional neural network algorithm. The accuracy, sensitivity, and specificity for determination of left atrial enlargement were then compared with those of board-certified veterinary radiologists as recorded on radiology reports. The accuracy, sensitivity, and specificity were 82.71%, 68.42%, and 87.09%, respectively, using an accuracy driven variant of the convolutional neural network algorithm and 79.01%, 73.68%, and 80.64%, respectively, using a sensitivity driven variant. By comparison, accuracy, sensitivity, and specificity achieved by board-certified veterinary radiologists was 82.71%, 68.42%, and 87.09%, respectively. Although overall accuracy of the accuracy driven convolutional neural network algorithm and veterinary radiologists was identical, concordance between the two approaches was 85.19%. This study documents proof-of-concept for application of deep learning techniques for computer-aided diagnosis in veterinary medicine.</t>
  </si>
  <si>
    <t>Computer-aided assessment of breast density: comparison of supervised deep learning and feature-based statistical learning</t>
  </si>
  <si>
    <t>Breast density is one of the most significant factors that is associated with cancer risk. In this study, our purpose was to develop a supervised deep learning approach for automated estimation of percentage density (PD) on digital mammograms (DMs). The input 'for processing' DMs was first log-transformed, enhanced by a multi-resolution preprocessing scheme, and subsampled to a pixel size of 800 µm  ×  800 µm from 100 µm  ×  100 µm. A deep convolutional neural network (DCNN) was trained to estimate a probability map of breast density (PMD) by using a domain adaptation resampling method. The PD was estimated as the ratio of the dense area to the breast area based on the PMD. The DCNN approach was compared to a feature-based statistical learning approach. Gray level, texture and morphological features were extracted and a least absolute shrinkage and selection operator was used to combine the features into a feature-based PMD. With approval of the Institutional Review Board, we retrospectively collected a training set of 478 DMs and an independent test set of 183 DMs from patient files in our institution. Two experienced mammography quality standards act radiologists interactively segmented PD as the reference standard. Ten-fold cross-validation was used for model selection and evaluation with the training set. With cross-validation, DCNN obtained a Dice's coefficient (DC) of 0.79  ±  0.13 and Pearson's correlation (r) of 0.97, whereas feature-based learning obtained DC  =  0.72  ±  0.18 and r  =  0.85. For the independent test set, DCNN achieved DC  =  0.76  ±  0.09 and r  =  0.94, while feature-based learning achieved DC  =  0.62  ±  0.21 and r  =  0.75. Our DCNN approach was significantly better and more robust than the feature-based learning approach for automated PD estimation on DMs, demonstrating its potential use for automated density reporting as well as for model-based risk prediction.</t>
  </si>
  <si>
    <t>S. Li, J. Wei, H. P. Chan, M. A. Helvie, M. A. Roubidoux, Y. Lu, C. Zhou, L. M. Hadjiiski and R. K. Samala</t>
  </si>
  <si>
    <t>The Tumor Target Segmentation of Nasopharyngeal Cancer in CT Images Based on Deep Learning Methods</t>
  </si>
  <si>
    <t>Radiotherapy is the main treatment strategy for nasopharyngeal carcinoma. A major factor affecting radiotherapy outcome is the accuracy of target delineation. Target delineation is time-consuming, and the results can vary depending on the experience of the oncologist. Using deep learning methods to automate target delineation may increase its efficiency. We used a modified deep learning model called U-Net to automatically segment and delineate tumor targets in patients with nasopharyngeal carcinoma. Patients were randomly divided into a training set (302 patients), validation set (100 patients), and test set (100 patients). The U-Net model was trained using labeled computed tomography images from the training set. The U-Net was able to delineate nasopharyngeal carcinoma tumors with an overall dice similarity coefficient of 65.86% for lymph nodes and 74.00% for primary tumor, with respective Hausdorff distances of 32.10 and 12.85 mm. Delineation accuracy decreased with increasing cancer stage. Automatic delineation took approximately 2.6 hours, compared to 3 hours, using an entirely manual procedure. Deep learning models can therefore improve accuracy, consistency, and efficiency of target delineation in T stage, but additional physician input may be required for lymph nodes.</t>
  </si>
  <si>
    <t>Predicting lung nodule malignancies by combining deep convolutional neural network and handcrafted features</t>
  </si>
  <si>
    <t>To predict lung nodule malignancy with a high sensitivity and specificity for low dose CT (LDCT) lung cancer screening, we propose a fusion algorithm that combines handcrafted features (HF) into the features learned at the output layer of a 3D deep convolutional neural network (CNN). First, we extracted twenty-nine HF, including nine intensity features, eight geometric features, and twelve texture features based on grey-level co-occurrence matrix (GLCM). We then trained 3D CNNs modified from three 2D CNN architectures (AlexNet, VGG-16 Net and Multi-crop Net) to extract the CNN features learned at the output layer. For each 3D CNN, the CNN features combined with the 29 HF were used as the input for the support vector machine (SVM) coupled with the sequential forward feature selection (SFS) method to select the optimal feature subset and construct the classifiers. The fusion algorithm takes full advantage of the HF and the highest level CNN features learned at the output layer. It can overcome the disadvantage of the HF that may not fully reflect the unique characteristics of a particular lesion by combining the intrinsic CNN features. Meanwhile, it also alleviates the requirement of a large scale annotated dataset for the CNNs based on the complementary of HF. The patient cohort includes 431 malignant nodules and 795 benign nodules extracted from the LIDC/IDRI database. For each investigated CNN architecture, the proposed fusion algorithm achieved the highest AUC, accuracy, sensitivity, and specificity scores among all competitive classification models.</t>
  </si>
  <si>
    <t>Motion correction of respiratory-gated PET images using deep learning based image registration framework</t>
  </si>
  <si>
    <t>Artifacts caused by patient breathing and movement during PET data acquisition affect image quality. Respiratory gating is commonly used to gate the list-mode PET data into multiple bins over a respiratory cycle. Non-rigid registration of respiratory-gated PET images can reduce motion artifacts and preserve count statistics, but it is time consuming. In this work, we propose an unsupervised non-rigid image registration framework using deep learning for motion correction. Our network uses a differentiable spatial transformer layer to warp the moving image to the fixed image and uses a stacked structure for deformation field refinement. Estimated deformation fields were incorporated into an iterative image reconstruction algorithm to perform motion compensated PET image reconstruction. We validated the proposed method using simulation and clinical data and implemented an iterative image registration approach for comparison. Motion compensated reconstructions were compared with ungated images. Our simulation study showed that the motion compensated methods can generate images with sharp boundaries and reveal more details in the heart region compared with the ungated image. The resulting normalized root mean square error (NRMS) was 24.3 ± 1.7% for the deep learning based motion correction, 31.1 ± 1.4% for the iterative registration based motion correction, and 41.9 ± 2.0% for ungated reconstruction. The proposed deep learning based motion correction reduced the bias compared with the ungated image without increasing the noise level and outperformed the iterative registration based method. In the real data study, both motion compensated images provided higher lesion contrast and sharper liver boundaries than the ungated image and had lower noise than the reference gate image. The contrast of the proposed method based on the deep neural network was higher than the ungated image and iterative registration method at any matched noise level.</t>
  </si>
  <si>
    <t>EAC-Net: Deep Nets with Enhancing and Cropping for Facial Action Unit Detection</t>
  </si>
  <si>
    <t>In this paper, we propose a deep learning based approach for facial action unit (AU) detection by enhancing and cropping regions of interest of face images. The approach is implemented by adding two novel nets (a.k.a. layers): the enhancing layers and the cropping layers, to a pretrained convolutional neural network (CNN) model. For the enhancing layers (noted as E-Net), we have designed an attention map based on facial landmark features and apply it to a pretrained neural network to conduct enhanced learning. For the cropping layers (noted as C-Net ), we crop facial regions around the detected landmarks and design individual convolutional layers to learn deeper features for each facial region. We then combine the E-Net and the C-Net to construct a so-called Enhancing and Cropping Net (EAC-Net), which can learn both features enhancing and region cropping functions effectively. The EAC-Net integrates three important elements, i.e., learning transfer, attention coding, and regions of interest processing, making our AU detection approach more efficient and more robust to facial position and orientation changes. Our approach shows a significant performance improvement over the state-of-the-art methods when tested on the BP4D and DISFA AU datasets. The EAC-Net with a slight modification also shows its potentials in estimating accurate AU intensities. We have also studied the performance of the proposed EAC-Net under two very challenging conditions: (1) faces with partial occlusion and (2) faces with large head pose variations. Experimental results show that (1) the EAC-Net learns facial AUs correlation effectively and predicts AUs reliably even with only half of a face being visible, especially for the lower half; (2) Our EAC-Net model also works well under very large head poses, which outperforms significantly a compared baseline approach. It further shows that the EAC-Net works much better without a face frontalization than with face frontalization through image warping as pre-processing, in terms of computational efficiency and AU detection accuracy.</t>
  </si>
  <si>
    <t>Automatic Anterior Chamber Angle Measurement for Ultrasound Biomicroscopy Using Deep Learning</t>
  </si>
  <si>
    <t>PURPOSE: To develop a software package for automated measuring of the trabecular-iris angle (TIA) using ultrasound biomicroscopy. METHODS: Ultrasound biomicroscopy images were collected and the TIA was manually measured by specialists. Different models were used as the convolutional neural network for the automatic TIA measurement. The root-mean-squared error, explained variance, and mean absolute percentage error were used to evaluate the performance of these models. The interobserver reproducibility, coefficient of variation, and intraclass correlation coefficient were calculated to evaluate the consistency between the manual measured and the model predicted values. RESULTS: ResNet-18 had the best performance in root-mean-squared error, explained variance, and mean absolute percentage error among all 5 models. The average difference between the angles measured manually and by the model is -0.46±3.97 degrees for all eyes, -1.67±5.19 degrees for open angles, and 0.75±1.43 degrees for narrow angles. The coefficient of variation, intraclass correlation coefficient, and reproducibility of the total TIA measurements are 6.8%, 0.95, and 6.1 degrees for all angles; 6.4%, 0.99, and 7.7 degrees for open angles; and 8.8%, 0.93, and 4 degrees for narrow angles, respectively. CONCLUSIONS: Preliminary results show that this fully automated anterior chamber angle measurement method can achieve high accuracy and have good consistency with the manual measurement results, this has great significance for future clinical practice.</t>
  </si>
  <si>
    <t>Magnetic resonance image (MRI) synthesis from brain computed tomography (CT) images based on deep learning methods for magnetic resonance (MR)-guided radiotherapy</t>
  </si>
  <si>
    <t>BACKGROUND: Precise patient setup is critical in radiation therapy. Medical imaging plays an essential role in patient setup. As compared to computed tomography (CT) images, magnetic resonance image (MRI) has high contrast for soft tissues, which becomes a promising imaging modality during treatment. In this paper, we proposed a method to synthesize brain MRI images from corresponding planning CT (pCT) images. The synthetic MRI (sMRI) images can be used to align with positioning MRI (pMRI) equipped by an MRI-guided accelerator to account for the disadvantages of multi-modality image registration. METHODS: Several deep learning network models were applied to implement this brain MRI synthesis task, including CycleGAN, Pix2Pix model, and U-Net. We evaluated these methods using several metrics, including mean absolute error (MAE), mean squared error (MSE), structural similarity index (SSIM), and peak signal-to-noise ratio (PSNR). RESULTS: In our experiments, U-Net with L1+L2 loss achieved the best results with the lowest overall average MAE of 74.19 and MSE of 1.035*10(4), respectively, and produced the highest SSIM of 0.9440 and PSNR of 32.44. CONCLUSIONS: Quantitative comparisons suggest that the performance of U-Net, a supervised deep learning method, is better than the performance of CycleGAN, a typical unsupervised method, in our brain MRI synthesis procedure. The proposed method can convert pCT/pMRI multi-modality registration into mono-modality registration, which can be used to reduce registration error and achieve a more accurate patient setup.</t>
  </si>
  <si>
    <t>Quant Imaging Med Surg</t>
  </si>
  <si>
    <t>10.1016/j.ejrad.2020.109448</t>
  </si>
  <si>
    <t>Artiﬁcial intelligence applications for oncological positron emission tomography imaging</t>
  </si>
  <si>
    <t>Positron emission tomography (PET), a functional and dynamic molecular imaging technique, is generally used to reveal tumors' biological behavior. Radiomics allows a high-throughput extraction of multiple features from images with artificial intelligence (AI) approaches and develops rapidly worldwide. Quantitative and objective features of medical images have been explored to recognize reliable biomarkers, with the development of PET radiomics. This paper will review the current clinical exploration of PET-based classical machine learning and deep learning methods, including disease diagnosis, the prediction of histological subtype, gene mutation status, tumor metastasis, tumor relapse, therapeutic side effects, therapeutic intervention and evaluation of prognosis. The applications of AI in oncology will be mainly discussed. The image-guided biopsy or surgery assisted by PET-based AI will be introduced as well. This paper aims to present the applications and methods of AI for PET imaging, which may offer important details for further clinical studies. Relevant precautions are put forward and future research directions are suggested.</t>
  </si>
  <si>
    <t>Dense anatomical annotation of slit-lamp images improves the performance of deep learning for the diagnosis of ophthalmic disorders</t>
  </si>
  <si>
    <t>The development of artificial intelligence algorithms typically demands abundant high-quality data. In medicine, the datasets that are required to train the algorithms are often collected for a single task, such as image-level classification. Here, we report a workflow for the segmentation of anatomical structures and the annotation of pathological features in slit-lamp images, and the use of the workflow to improve the performance of a deep-learning algorithm for diagnosing ophthalmic disorders. We used the workflow to generate 1,772 general classification labels, 13,404 segmented anatomical structures and 8,329 pathological features from 1,772 slit-lamp images. The algorithm that was trained with the image-level classification labels and the anatomical and pathological labels showed better diagnostic performance than the algorithm that was trained with only the image-level classification labels, performed similar to three ophthalmologists across four clinically relevant retrospective scenarios and correctly diagnosed most of the consensus outcomes of 615 clinical reports in prospective datasets for the same four scenarios. The dense anatomical annotation of medical images may improve their use for automated classification and detection tasks.</t>
  </si>
  <si>
    <t>Nat Biomed Eng</t>
  </si>
  <si>
    <t>H-DenseUNet: Hybrid Densely Connected UNet for Liver and Tumor Segmentation From CT Volumes</t>
  </si>
  <si>
    <t>Liver cancer is one of the leading causes of cancer death. To assist doctors in hepatocellular carcinoma diagnosis and treatment planning, an accurate and automatic liver and tumor segmentation method is highly demanded in the clinical practice. Recently, fully convolutional neural networks (FCNs), including 2-D and 3-D FCNs, serve as the backbone in many volumetric image segmentation. However, 2-D convolutions cannot fully leverage the spatial information along the third dimension while 3-D convolutions suffer from high computational cost and GPU memory consumption. To address these issues, we propose a novel hybrid densely connected UNet (H-DenseUNet), which consists of a 2-D DenseUNet for efficiently extracting intra-slice features and a 3-D counterpart for hierarchically aggregating volumetric contexts under the spirit of the auto-context algorithm for liver and tumor segmentation. We formulate the learning process of the H-DenseUNet in an end-to-end manner, where the intra-slice representations and inter-slice features can be jointly optimized through a hybrid feature fusion layer. We extensively evaluated our method on the data set of the MICCAI 2017 Liver Tumor Segmentation Challenge and 3DIRCADb data set. Our method outperformed other state-of-the-arts on the segmentation results of tumors and achieved very competitive performance for liver segmentation even with a single model.</t>
  </si>
  <si>
    <t>X. Li, H. Chen, X. Qi, Q. Dou, C. W. Fu and P. A. Heng</t>
  </si>
  <si>
    <t>3D multi-scale FCN with random modality voxel dropout learning for Intervertebral Disc Localization and Segmentation from Multi-modality MR Images</t>
  </si>
  <si>
    <t>Intervertebral discs (IVDs) are small joints that lie between adjacent vertebrae. The localization and segmentation of IVDs are important for spine disease diagnosis and measurement quantification. However, manual annotation is time-consuming and error-prone with limited reproducibility, particularly for volumetric data. In this work, our goal is to develop an automatic and accurate method based on fully convolutional networks (FCN) for the localization and segmentation of IVDs from multi-modality 3D MR data. Compared with single modality data, multi-modality MR images provide complementary contextual information, which contributes to better recognition performance. However, how to effectively integrate such multi-modality information to generate accurate segmentation results remains to be further explored. In this paper, we present a novel multi-scale and modality dropout learning framework to locate and segment IVDs from four-modality MR images. First, we design a 3D multi-scale context fully convolutional network, which processes the input data in multiple scales of context and then merges the high-level features to enhance the representation capability of the network for handling the scale variation of anatomical structures. Second, to harness the complementary information from different modalities, we present a random modality voxel dropout strategy which alleviates the co-adaption issue and increases the discriminative capability of the network. Our method achieved the 1st place in the MICCAI challenge on automatic localization and segmentation of IVDs from multi-modality MR images, with a mean segmentation Dice coefficient of 91.2% and a mean localization error of 0.62 mm. We further conduct extensive experiments on the extended dataset to validate our method. We demonstrate that the proposed modality dropout strategy with multi-modality images as contextual information improved the segmentation accuracy significantly. Furthermore, experiments conducted on extended data collected from two different time points demonstrate the efficacy of our method on tracking the morphological changes in a longitudinal study.</t>
  </si>
  <si>
    <t>X. Li, Q. Dou, H. Chen, C. W. Fu, X. Qi, D. L. Belavý, G. Armbrecht, D. Felsenberg, G. Zheng and P. A. Heng</t>
  </si>
  <si>
    <t>[Performance of Deep-learning-based Artificial Intelligence on Detection of Pulmonary Nodules in Chest CT]</t>
  </si>
  <si>
    <t>BACKGROUND: The detection of pulmonary nodules is a key step to achieving the early diagnosis and therapy of lung cancer. Deep learning based Artificial intelligence (AI) presents as the state of the art in the area of nodule detection, however, a validation with clinical data is necessary for further application. Therefore, the aim of this study is to evaluate the performance of AI in the detection of malignant and non-calcified nodules in chest CT. METHODS: Two hundred chest computed tomography (CT) data were randomly selected from a self-built nodule database from Tianjin Medical University General Hospital. Both the pathology confirmed lung cancers and the nodules in the process of follow-up were included. All CTs were processed by AI and the results were compared with that of radiologists retrieved from the original medical reports. The ground truths were further determined by two experienced radiologists. The size and characteristics of the nodules were evaluated as well. The sensitivity and false positive rate were used to evaluate the effectiveness of AI and radiologists in detecting nodules. The McNemar test was used to determine whether there was a significant difference. RESULTS: A total of 889 non-calcified nodules were determined by experts on chest CT, including 133 lung cancers. Of them, 442 nodules were less than 5 mm. The cancer detection rates of AI and radiologists are 100%. The sensitivity of AI on nodule detection was significantly higher than that of radiologists (99.1% vs 43%, P&lt;0.001). The false-positive rate of AI was 4.9 per CT and decreased to 1.5 when nodules less than 5 mm were excluded. CONCLUSIONS: AI achieves the detection of all malignancies and improve the sensitivity of pulmonary nodules detection beyond radiologists, with a low false positive rate after excluding small nodules.</t>
  </si>
  <si>
    <t>X. Li, F. Guo, Z. Zhou, F. Zhang, Q. Wang, Z. Peng, D. Su, Y. Fan and Y. Wang</t>
  </si>
  <si>
    <t>Zhongguo Fei Ai Za Zhi</t>
  </si>
  <si>
    <t>Edge detection algorithm of cancer image based on deep learning</t>
  </si>
  <si>
    <t>For the existing medical image edge detection algorithm image reconstruction accuracy is not high, the fitness of optimization coefficient is low, resulting in the detection results of low information recall, poor smoothness and low detection accuracy, we proposes an edge detection algorithm of cancer image based on deep learning. Firstly, the three-dimensional surface structure reconstruction model of cancer image was constructed. Secondly, the edge contour feature extraction method was used to extract the fine-grained features of cancer cells in the cancer image. Finally, the multi-dimensional pixel feature distributed recombination model of cancer image was constructed, and the fine-grained feature segmentation method was adopted to realize regional fusion and information recombination, and the ultra-fine particle feature was extracted. The adaptive optimization of edge detection was realized by combining with deep learning algorithm. The adaptive optimization in the process of edge detection was realized by combining with the deep learning algorithm. The experimental results show that the three-dimensional reconstruction accuracy of the proposed algorithm is about 95%, the fitness of the optimization coefficient is high, the algorithm has a strong edge information detection ability, and the output result smoothness and the accuracy of edge feature detection are high, which can effectively realize the detection of cancer image edge.</t>
  </si>
  <si>
    <t>Bioengineered</t>
  </si>
  <si>
    <t>Digital breast tomosynthesis versus digital mammography: integration of image modalities enhances deep learning-based breast mass classification</t>
  </si>
  <si>
    <t>OBJECTIVE: To evaluate the impact of utilizing digital breast tomosynthesis (DBT) or/and full-field digital mammography (FFDM), and different transfer learning strategies on deep convolutional neural network (DCNN)-based mass classification for breast cancer. METHODS: We retrospectively collected 441 patients with both DBT and FFDM on which regions of interest (ROIs) covering the malignant, benign and normal tissues were extracted for DCNN training and validation. Experiments were conducted for tasks in distinguishing malignant/benign/normal: (1) classification capabilities of DBT vs FFDM and the role of transfer learning were validated on 2D-DCNN; (2) different strategies of combining DBT and FFDM and the associated impacts on classification were explored; (3) 2D-DCNN and 3D-DCNN trained from scratch with volumetric DBT were compared. RESULTS: 2D-DCNN with transfer learning outperformed that without for DBT in distinguishing malignant (ΔAUC = 0.059 ± 0.009, p &lt; 0.001), benign (ΔAUC = 0.095 ± 0.010, p &lt; 0.001) and normal tissue (ΔAUC = 0.042 ± 0.004, p &lt; 0.001) (paired samples t test). 2D-DCNN trained on DBT (with transfer learning) achieved higher accuracy than those on FFDM (malignant: ΔAUC = 0.014 ± 0.014, p = 0.037; benign: ΔAUC = 0.031 ± 0.006, p &lt; 0.001; normal: ΔAUC = 0.017 ± 0.004, p &lt; 0.001) (independent samples t test). The 2D-DCNN employing both DBT and FFDM for training achieved better performances in benign (FFDM: ΔAUC = 0.010 ± 0.008, p &lt; 0.001; DBT: ΔAUC = 0.009 ± 0.005, p &lt; 0.001) and normal (FFDM: ΔAUC = 0.005 ± 0.003, p &lt; 0.001; DBT: ΔAUC = 0.002 ± 0.002, p &lt; 0.001) (related samples Friedman test). The 3D-DCNN and 2D-DCNN trained from scratch with DBT only produced moderate classification. CONCLUSIONS: Transfer learning facilitates mass classification for both DBT and FFDM, and DBT outperforms FFDM when equipped with transfer learning. Integrating DBT and FFDM in DCNN training enhances mass classification accuracy for breast cancer. KEY POINTS: • Transfer learning facilitates mass classification for both DBT and FFDM, and the DBT-based DCNN outperforms the FFDM-based DCNN when equipped with transfer learning. • Integrating DBT and FFDM in DCNN training enhances breast mass classification accuracy. • 3D-DCNN/2D-DCNN trained from scratch with volumetric DBT but without transfer learning only produce moderate mass classification result.</t>
  </si>
  <si>
    <t>Multi-resolution convolutional networks for chest X-ray radiograph based lung nodule detection</t>
  </si>
  <si>
    <t>Lung cancer is the leading cause of cancer death worldwide. Early detection of lung cancer is helpful to provide the best possible clinical treatment for patients. Due to the limited number of radiologist and the huge number of chest x-ray radiographs (CXR) available for observation, a computer-aided detection scheme should be developed to assist radiologists in decision-making. While deep learning showed state-of-the-art performance in several computer vision applications, it has not been used for lung nodule detection on CXR. In this paper, a deep learning-based lung nodule detection method was proposed. We employed patch-based multi-resolution convolutional networks to extract the features and employed four different fusion methods for classification. The proposed method shows much better performance and is much more robust than those previously reported researches. For publicly available Japanese Society of Radiological Technology (JSRT) database, more than 99% of lung nodules can be detected when the false positives per image (FPs/image) was 0.2. The FAUC and R-CPM of the proposed method were 0.982 and 0.987, respectively. The proposed approach has the potential of applications in clinical practice.</t>
  </si>
  <si>
    <t>Deep learning-enabled system for rapid pneumothorax screening on chest CT</t>
  </si>
  <si>
    <t>PURPOSE: Prompt diagnosis and quantitation of pneumothorax impact decisions pertaining to patient management. The purpose of our study was to develop and evaluate the accuracy of a deep learning (DL)-based image classification program for detection of pneumothorax on chest CT. METHOD: In an IRB approved study, an eight-layer convolutional neural network (CNN) using constant-size (36*36 pixels) 2D image patches was trained on a set of 80 chest CTs, with (n = 50) and without (n = 30) pneumothorax. Image patches were classified based on their probability of representing pneumothorax with subsequent generation of 3D heat-maps. The heat maps were further defined to include 1) pneumothorax area size, 2) relative location of the region to the lung boundary, and 3) a shape descriptor based on regional anisotropy. A support vector machine (SVM) was trained for classification. RESULT: We assessed performance of our program in a separate test dataset of 200 chest CT examinations, with (160/200, 75%) and without (40/200, 25%) pneumothorax. Data were analyzed to determine the accuracy, sensitivity, specificity. The subject-wise sensitivity was 100% (all 160/160 pneumothoraces detected) and specificity was 82.5% (33 true negative/40). False positive classifications were primarily related to emphysema and/or artifacts in the test images. CONCLUSION: This deep learning-based program demonstrated high accuracy for automatic detection of pneumothorax on chest CTs. By implementing it on a high-performance computing platform and integrating the domain knowledge of radiologists into the analytics framework, our method can be used to rapidly pre-screen large numbers of cases for presence of pneumothorax, a critical finding.</t>
  </si>
  <si>
    <t>From Deep Learning Towards Finding Skin Lesion Biomarkers</t>
  </si>
  <si>
    <t>Melanoma is a type of skin cancer with the most rapidly increasing incidence. Early detection of melanoma using dermoscopy images significantly increases patients' survival rate. However, accurately classifying skin lesions by eye, especially in the early stage of melanoma, is extremely challenging for the dermatologists. Hence, the discovery of reliable biomarkers will be meaningful for melanoma diagnosis. In recent years, the value of deep learning empowered computer-assisted diagnose has been shown in biomedical imaging-based decision making. However, much deep learning research focuses on improving disease detection accuracy but not understanding the features deep learning use to determine the evidence of pathology. We aim to make sure the features used by deep learning methods are the reasonable clinical features for skin lesions diagnosis, rather than artifacts. Further, we aim to discover new biomarkers, which may not have been included in clinical criteria but do make sense to the dermatologists. Our proposed pipeline can find biomarkers for identifying different lesions. The patterns are agreed with dermatologists. Surprisingly, we find surround skins also can be used as evidence for skin lesion diagnosis, which has not been included in traditional diagnosis rules. The biomarkers discovered from deep learning classifier can be significant and useful to guide clinical diagnosis.</t>
  </si>
  <si>
    <t>Transformation-Consistent Self-Ensembling Model for Semisupervised Medical Image Segmentation</t>
  </si>
  <si>
    <t>A common shortfall of supervised deep learning for medical imaging is the lack of labeled data, which is often expensive and time consuming to collect. This article presents a new semisupervised method for medical image segmentation, where the network is optimized by a weighted combination of a common supervised loss only for the labeled inputs and a regularization loss for both the labeled and unlabeled data. To utilize the unlabeled data, our method encourages consistent predictions of the network-in-training for the same input under different perturbations. With the semisupervised segmentation tasks, we introduce a transformation-consistent strategy in the self-ensembling model to enhance the regularization effect for pixel-level predictions. To further improve the regularization effects, we extend the transformation in a more generalized form including scaling and optimize the consistency loss with a teacher model, which is an averaging of the student model weights. We extensively validated the proposed semisupervised method on three typical yet challenging medical image segmentation tasks: 1) skin lesion segmentation from dermoscopy images in the International Skin Imaging Collaboration (ISIC) 2017 data set; 2) optic disk (OD) segmentation from fundus images in the Retinal Fundus Glaucoma Challenge (REFUGE) data set; and 3) liver segmentation from volumetric CT scans in the Liver Tumor Segmentation Challenge (LiTS) data set. Compared with state-of-the-art, our method shows superior performance on the challenging 2-D/3-D medical images, demonstrating the effectiveness of our semisupervised method for medical image segmentation.</t>
  </si>
  <si>
    <t>Context aware decision support in neurosurgical oncology based on an efficient classification of endomicroscopic data</t>
  </si>
  <si>
    <t>PURPOSE: Probe-based confocal laser endomicroscopy (pCLE) enables in vivo, in situ tissue characterisation without changes in the surgical setting and simplifies the oncological surgical workflow. The potential of this technique in identifying residual cancer tissue and improving resection rates of brain tumours has been recently verified in pilot studies. The interpretation of endomicroscopic information is challenging, particularly for surgeons who do not themselves routinely review histopathology. Also, the diagnosis can be examiner-dependent, leading to considerable inter-observer variability. Therefore, automatic tissue characterisation with pCLE would support the surgeon in establishing diagnosis as well as guide robot-assisted intervention procedures. METHODS: The aim of this work is to propose a deep learning-based framework for brain tissue characterisation for context aware diagnosis support in neurosurgical oncology. An efficient representation of the context information of pCLE data is presented by exploring state-of-the-art CNN models with different tuning configurations. A novel video classification framework based on the combination of convolutional layers with long-range temporal recursion has been proposed to estimate the probability of each tumour class. The video classification accuracy is compared for different network architectures and data representation and video segmentation methods. RESULTS: We demonstrate the application of the proposed deep learning framework to classify Glioblastoma and Meningioma brain tumours based on endomicroscopic data. Results show significant improvement of our proposed image classification framework over state-of-the-art feature-based methods. The use of video data further improves the classification performance, achieving accuracy equal to 99.49%. CONCLUSIONS: This work demonstrates that deep learning can provide an efficient representation of pCLE data and accurately classify Glioblastoma and Meningioma tumours. The performance evaluation analysis shows the potential clinical value of the technique.</t>
  </si>
  <si>
    <t>Y. Li, P. Charalampaki, Y. Liu, G. Z. Yang and S. Giannarou</t>
  </si>
  <si>
    <t>Forensic age estimation for pelvic X-ray images using deep learning</t>
  </si>
  <si>
    <t>PURPOSE: To develop a deep learning bone age assessment model based on pelvic radiographs for forensic age estimation and compare its performance to that of the existing cubic regression model. MATERIALS AND METHOD: A retrospective collection data of 1875 clinical pelvic radiographs between 10 and 25 years of age was obtained to develop the model. Model performance was assessed by comparing the testing results to estimated ages calculated directly using the existing cubic regression model based on ossification staging methods. The mean absolute error (MAE) and root-mean-squared error (RMSE) between the estimated ages and chronological age were calculated for both models. RESULTS: For all test samples (between 10 and 25 years old), the mean MAE and RMSE between the automatic estimates using the proposed deep learning model and the reference standard were 0.94 and 1.30 years, respectively. For the test samples comparable to those of the existing cubic regression model (between 14 and 22 years old), the mean MAE and RMSE for the deep learning model were 0.89 and 1.21 years, respectively. For the existing cubic regression model, the mean MAE and RMSE were 1.05 and 1.61 years, respectively. CONCLUSION: The deep learning convolutional neural network model achieves performance on par with the existing cubic regression model, demonstrating predictive ability capable of automated skeletal bone assessment based on pelvic radiographic images. KEY POINTS: • The pelvis has considerable value in determining the bone age. • Deep learning can be used to create an automated bone age assessment model based on pelvic radiographs. • The deep learning convolutional neural network model achieves performance on par with the existing cubic regression model.</t>
  </si>
  <si>
    <t>Y. Li, Z. Huang, X. Dong, W. Liang, H. Xue, L. Zhang, Y. Zhang and Z. Deng</t>
  </si>
  <si>
    <t>Learning to Reconstruct Computed Tomography Images Directly From Sinogram Data Under A Variety of Data Acquisition Conditions</t>
  </si>
  <si>
    <t>Computed tomography (CT) is widely used in medical diagnosis and non-destructive detection. Image reconstruction in CT aims to accurately recover pixel values from measured line integrals, i.e., the summed pixel values along straight lines. Provided that the acquired data satisfy the data sufficiency condition as well as other conditions regarding the view angle sampling interval and the severity of transverse data truncation, researchers have discovered many solutions to accurately reconstruct the image. However, if these conditions are violated, accurate image reconstruction from line integrals remains an intellectual challenge. In this paper, a deep learning method with a common network architecture, termed iCT-Net, was developed and trained to accurately reconstruct images for previously solved and unsolved CT reconstruction problems with high quantitative accuracy. Particularly, accurate reconstructions were achieved for the case when the sparse view reconstruction problem (i.e., compressed sensing problem) is entangled with the classical interior tomographic problems.</t>
  </si>
  <si>
    <t>Comparison of Supervised and Unsupervised Deep Learning Methods for Medical Image Synthesis between Computed Tomography and Magnetic Resonance Images</t>
  </si>
  <si>
    <t>Cross-modality medical image synthesis between magnetic resonance (MR) images and computed tomography (CT) images has attracted increasing attention in many medical imaging area. Many deep learning methods have been used to generate pseudo-MR/CT images from counterpart modality images. In this study, we used U-Net and Cycle-Consistent Adversarial Networks (CycleGAN), which were typical networks of supervised and unsupervised deep learning methods, respectively, to transform MR/CT images to their counterpart modality. Experimental results show that synthetic images predicted by the proposed U-Net method got lower mean absolute error (MAE), higher structural similarity index (SSIM), and peak signal-to-noise ratio (PSNR) in both directions of CT/MR synthesis, especially in synthetic CT image generation. Though synthetic images by the U-Net method has less contrast information than those by the CycleGAN method, the pixel value profile tendency of the synthetic images by the U-Net method is closer to the ground truth images. This work demonstrated that supervised deep learning method outperforms unsupervised deep learning method in accuracy for medical tasks of MR/CT synthesis.</t>
  </si>
  <si>
    <t>Deep Learning-based End-to-end Diagnosis System for Avascular Necrosis of Femoral Head</t>
  </si>
  <si>
    <t>As the first diagnostic imaging modality of avascu-lar necrosis of the femoral head (AVNFH), accurately staging AVNFH from a plain radiograph is critical yet challenging for orthopedists. Thus, we propose a deep learning-based AVNFH diagnosis system (AVN-net). The proposed AVN-net reads plain radiographs of the pelvis, conducts diagnosis, and visualizes results automatically. Deep convolutional neural networks are trained to provide an end-to-end diagnosis solution, covering tasks of femoral head detection, exam-view identification, side classification, AVNFH diagnosis, and key clinical notes generation. AVN-net is able to obtain state-of-the-art testing AUC of 0.97 (95% CI: 0.97 0.98) in AVNFH detection and significantly greater F1 scores than less-to-moderately experienced orthope-dists in all diagnostic tests (p&lt;0.01). Furthermore, two real-world pilot studies were conducted for diagnosis support and education assistance, respectively, to assess the utility of AVN-net. The experimental results are promising. With the AVN-net diagnosis as a reference, the diagnostic accuracy and consistency of all orthopedists considerably improved while requiring only 1/4 of the time. Students self-studying the AVNFH diagnosis using AVN-net can learn better and faster than the control group. To the best of our knowledge, this study is the first research on the prospective use of a deep learning-based diagnosis system for AVNFH by conducting two pilot studies representing real-world application scenarios. We have demonstrated that the proposed AVN-net achieves expert-level AVNFH diagnosis performance, provides efficient support in clinical decision-making, and effectively passes clinical experience to students.</t>
  </si>
  <si>
    <t>Deep Cytometry: Deep learning with Real-time Inference in Cell Sorting and Flow Cytometry</t>
  </si>
  <si>
    <t>Deep learning has achieved spectacular performance in image and speech recognition and synthesis. It outperforms other machine learning algorithms in problems where large amounts of data are available. In the area of measurement technology, instruments based on the photonic time stretch have established record real-time measurement throughput in spectroscopy, optical coherence tomography, and imaging flow cytometry. These extreme-throughput instruments generate approximately 1 Tbit/s of continuous measurement data and have led to the discovery of rare phenomena in nonlinear and complex systems as well as new types of biomedical instruments. Owing to the abundance of data they generate, time-stretch instruments are a natural fit to deep learning classification. Previously we had shown that high-throughput label-free cell classification with high accuracy can be achieved through a combination of time-stretch microscopy, image processing and feature extraction, followed by deep learning for finding cancer cells in the blood. Such a technology holds promise for early detection of primary cancer or metastasis. Here we describe a new deep learning pipeline, which entirely avoids the slow and computationally costly signal processing and feature extraction steps by a convolutional neural network that directly operates on the measured signals. The improvement in computational efficiency enables low-latency inference and makes this pipeline suitable for cell sorting via deep learning. Our neural network takes less than a few milliseconds to classify the cells, fast enough to provide a decision to a cell sorter for real-time separation of individual target cells. We demonstrate the applicability of our new method in the classification of OT-II white blood cells and SW-480 epithelial cancer cells with more than 95% accuracy in a label-free fashion.</t>
  </si>
  <si>
    <t>Learning using privileged information improves neuroimaging-based CAD of Alzheimer's disease: a comparative study</t>
  </si>
  <si>
    <t>The neuroimaging-based computer-aided diagnosis (CAD) for Alzheimer's disease (AD) has shown its effectiveness in recent years. In general, the multimodal neuroimaging-based CAD always outperforms the approaches based on a single modality. However, single-modal neuroimaging is more favored in clinical practice for diagnosis due to the limitations of imaging devices, especially in rural hospitals. Learning using privileged information (LUPI) is a new learning paradigm that adopts additional privileged information (PI) modality to help to train a more effective learning model during the training stage, but PI itself is not available in the testing stage. Since PI is generally related to the training samples, it is then transferred to the learned model. In this work, a LUPI-based CAD framework for AD is proposed. It can flexibly perform a classifier- or feature-level LUPI, in which the information is transferred from the additional PI modality to the diagnosis modality. A thorough comparison has been made among three classifier-level algorithms and five feature-level LUPI algorithms. The experimental results on the ADNI dataset show that all classifier-level and deep learning based feature-level LUPI algorithms can improve the performance of a single-modal neuroimaging-based CAD for AD by transferring PI. Graphical abstract Graphical abstract for the framework of the LUPI-based CAD for AD.</t>
  </si>
  <si>
    <t>Skin Lesion Analysis towards Melanoma Detection Using Deep Learning Network</t>
  </si>
  <si>
    <t>Skin lesions are a severe disease globally. Early detection of melanoma in dermoscopy images significantly increases the survival rate. However, the accurate recognition of melanoma is extremely challenging due to the following reasons: low contrast between lesions and skin, visual similarity between melanoma and non-melanoma lesions, etc. Hence, reliable automatic detection of skin tumors is very useful to increase the accuracy and efficiency of pathologists. In this paper, we proposed two deep learning methods to address three main tasks emerging in the area of skin lesion image processing, i.e., lesion segmentation (task 1), lesion dermoscopic feature extraction (task 2) and lesion classification (task 3). A deep learning framework consisting of two fully convolutional residual networks (FCRN) is proposed to simultaneously produce the segmentation result and the coarse classification result. A lesion index calculation unit (LICU) is developed to refine the coarse classification results by calculating the distance heat-map. A straight-forward CNN is proposed for the dermoscopic feature extraction task. The proposed deep learning frameworks were evaluated on the ISIC 2017 dataset. Experimental results show the promising accuracies of our frameworks, i.e., 0.753 for task 1, 0.848 for task 2 and 0.912 for task 3 were achieved.</t>
  </si>
  <si>
    <t>Y. Li and L. Shen</t>
  </si>
  <si>
    <t>Efficient and Effective Training of COVID-19 Classification Networks With Self-Supervised Dual-Track Learning to Rank</t>
  </si>
  <si>
    <t>Coronavirus Disease 2019 (COVID-19) has rapidly spread worldwide since first reported. Timely diagnosis of COVID-19 is crucial both for disease control and patient care. Non-contrast thoracic computed tomography (CT) has been identified as an effective tool for the diagnosis, yet the disease outbreak has placed tremendous pressure on radiologists for reading the exams and may potentially lead to fatigue-related mis-diagnosis. Reliable automatic classification algorithms can be really helpful; however, they usually require a considerable number of COVID-19 cases for training, which is difficult to acquire in a timely manner. Meanwhile, how to effectively utilize the existing archive of non-COVID-19 data (the negative samples) in the presence of severe class imbalance is another challenge. In addition, the sudden disease outbreak necessitates fast algorithm development. In this work, we propose a novel approach for effective and efficient training of COVID-19 classification networks using a small number of COVID-19 CT exams and an archive of negative samples. Concretely, a novel self-supervised learning method is proposed to extract features from the COVID-19 and negative samples. Then, two kinds of soft-labels ('difficulty' and 'diversity') are generated for the negative samples by computing the earth mover's distances between the features of the negative and COVID-19 samples, from which data 'values' of the negative samples can be assessed. A pre-set number of negative samples are selected accordingly and fed to the neural network for training. Experimental results show that our approach can achieve superior performance using about half of the negative samples, substantially reducing model training time.</t>
  </si>
  <si>
    <t>Reverse active learning based atrous DenseNet for pathological image classification</t>
  </si>
  <si>
    <t>BACKGROUND: Due to the recent advances in deep learning, this model attracted researchers who have applied it to medical image analysis. However, pathological image analysis based on deep learning networks faces a number of challenges, such as the high resolution (gigapixel) of pathological images and the lack of annotation capabilities. To address these challenges, we propose a training strategy called deep-reverse active learning (DRAL) and atrous DenseNet (ADN) for pathological image classification. The proposed DRAL can improve the classification accuracy of widely used deep learning networks such as VGG-16 and ResNet by removing mislabeled patches in the training set. As the size of a cancer area varies widely in pathological images, the proposed ADN integrates the atrous convolutions with the dense block for multiscale feature extraction. RESULTS: The proposed DRAL and ADN are evaluated using the following three pathological datasets: BACH, CCG, and UCSB. The experiment results demonstrate the excellent performance of the proposed DRAL + ADN framework, achieving patch-level average classification accuracies (ACA) of 94.10%, 92.05% and 97.63% on the BACH, CCG, and UCSB validation sets, respectively. CONCLUSIONS: The DRAL + ADN framework is a potential candidate for boosting the performance of deep learning models for partially mislabeled training datasets.</t>
  </si>
  <si>
    <t>Y. Li, X. Xie, L. Shen and S. Liu</t>
  </si>
  <si>
    <t>DLBI: deep learning guided Bayesian inference for structure reconstruction of super-resolution fluorescence microscopy</t>
  </si>
  <si>
    <t>MOTIVATION: Super-resolution fluorescence microscopy with a resolution beyond the diffraction limit of light, has become an indispensable tool to directly visualize biological structures in living cells at a nanometer-scale resolution. Despite advances in high-density super-resolution fluorescent techniques, existing methods still have bottlenecks, including extremely long execution time, artificial thinning and thickening of structures, and lack of ability to capture latent structures. RESULTS: Here, we propose a novel deep learning guided Bayesian inference (DLBI) approach, for the time-series analysis of high-density fluorescent images. Our method combines the strength of deep learning and statistical inference, where deep learning captures the underlying distribution of the fluorophores that are consistent with the observed time-series fluorescent images by exploring local features and correlation along time-axis, and statistical inference further refines the ultrastructure extracted by deep learning and endues physical meaning to the final image. In particular, our method contains three main components. The first one is a simulator that takes a high-resolution image as the input, and simulates time-series low-resolution fluorescent images based on experimentally calibrated parameters, which provides supervised training data to the deep learning model. The second one is a multi-scale deep learning module to capture both spatial information in each input low-resolution image as well as temporal information among the time-series images. And the third one is a Bayesian inference module that takes the image from the deep learning module as the initial localization of fluorophores and removes artifacts by statistical inference. Comprehensive experimental results on both real and simulated datasets demonstrate that our method provides more accurate and realistic local patch and large-field reconstruction than the state-of-the-art method, the 3B analysis, while our method is more than two orders of magnitude faster. AVAILABILITY AND IMPLEMENTATION: The main program is available at https://github.com/lykaust15/DLBI. SUPPLEMENTARY INFORMATION: Supplementary data are available at Bioinformatics online.</t>
  </si>
  <si>
    <t>Y. Li, F. Xu, F. Zhang, P. Xu, M. Zhang, M. Fan, L. Li, X. Gao and R. Han</t>
  </si>
  <si>
    <t>10.3881/j.issn.1000-503X.11614</t>
  </si>
  <si>
    <t>[Applications of Artificial Intelligence in Musculoskeletal System Imaging]</t>
  </si>
  <si>
    <t>Artificial intelligence (AI) represents the latest wave of computer revolution and is considered revolutionary technology in many industries including healthcare. AI has been applied in medical imaging mainly due to the improvement of computational learning,big data mining,and innovations of neural network architecture. AI can improve the efficiency and accuracy of imaging diagnosis and reduce medical cost;also,it can be used to predict the disease risk. In this article we summarize and analyze the application of AI in musculoskeletal imaging.</t>
  </si>
  <si>
    <t>Zhongguo Yi Xue Ke Xue Yuan Xue Bao</t>
  </si>
  <si>
    <t>Anatomical Context Protects Deep Learning from Adversarial Perturbations in Medical Imaging</t>
  </si>
  <si>
    <t>Deep learning has achieved impressive performance across a variety of tasks, including medical image processing. However, recent research has shown that deep neural networks are susceptible to small adversarial perturbations in the image. We study the impact of such adversarial perturbations in medical image processing where the goal is to predict an individual's age based on a 3D MRI brain image. We consider two models: a conventional deep neural network, and a hybrid deep learning model which additionally uses features informed by anatomical context. We find that we can introduce significant errors in predicted age by adding imperceptible noise to an image, can accomplish this even for large batches of images using a single perturbation, and that the hybrid model is much more robust to adversarial perturbations than the conventional deep neural network. Our work highlights limitations of current deep learning techniques in clinical applications, and suggests a path forward.</t>
  </si>
  <si>
    <t>Neurocomputing</t>
  </si>
  <si>
    <t>A low-cost, automated parasite diagnostic system via a portable, robotic microscope and deep learning</t>
  </si>
  <si>
    <t>Manual hand counting of parasites in fecal samples requires costly components and substantial expertise, limiting its use in resource-constrained settings and encouraging overuse of prophylactic medication. To address this issue, a cost-effective, automated parasite diagnostic system that does not require special sample preparation or a trained user was developed. It is composed of an inexpensive (~US$350), portable, robotic microscope that can scan over the size of an entire McMaster chamber (100 mm(2) ) and capture high-resolution (~1 μm lateral resolution) bright field images without need for user intervention. Fecal samples prepared using the McMaster flotation method were imaged, with the imaging region comprising the entire McMaster chamber. These images are then automatically segmented and analyzed using a trained convolution neural network (CNN) to robustly separate eggs from background debris. Simple postprocessing of the CNN output yields both egg species and egg counts. The system was validated by comparing accuracy with hand-counts by a trained operator, with excellent performance. As a further demonstration of utility, the system was used to conveniently quantify drug response over time in a single animal, showing residual disease due to Anthelmintic resistance after 2 weeks.</t>
  </si>
  <si>
    <t>Large-scale Exploration of Neuronal Morphologies Using Deep Learning and Augmented Reality</t>
  </si>
  <si>
    <t>Recently released large-scale neuron morphological data has greatly facilitated the research in neuroinformatics. However, the sheer volume and complexity of these data pose significant challenges for efficient and accurate neuron exploration. In this paper, we propose an effective retrieval framework to address these problems, based on frontier techniques of deep learning and binary coding. For the first time, we develop a deep learning based feature representation method for the neuron morphological data, where the 3D neurons are first projected into binary images and then learned features using an unsupervised deep neural network, i.e., stacked convolutional autoencoders (SCAEs). The deep features are subsequently fused with the hand-crafted features for more accurate representation. Considering the exhaustive search is usually very time-consuming in large-scale databases, we employ a novel binary coding method to compress feature vectors into short binary codes. Our framework is validated on a public data set including 58,000 neurons, showing promising retrieval precision and efficiency compared with state-of-the-art methods. In addition, we develop a novel neuron visualization program based on the techniques of augmented reality (AR), which can help users take a deep exploration of neuron morphologies in an interactive and immersive manner.</t>
  </si>
  <si>
    <t>Z. Li, E. Butler, K. Li, A. Lu, S. Ji and S. Zhang</t>
  </si>
  <si>
    <t>Promising Generative Adversarial Network Based Sinogram Inpainting Method for Ultra-Limited-Angle Computed Tomography Imaging</t>
  </si>
  <si>
    <t>Limited-angle computed tomography (CT) image reconstruction is a challenging problem in the field of CT imaging. In some special applications, limited by the geometric space and mechanical structure of the imaging system, projections can only be collected with a scanning range of less than 90°. We call this kind of serious limited-angle problem the ultra-limited-angle problem, which is difficult to effectively alleviate by traditional iterative reconstruction algorithms. With the development of deep learning, the generative adversarial network (GAN) performs well in image inpainting tasks and can add effective image information to restore missing parts of an image. In this study, given the characteristic of GAN to generate missing information, the sinogram-inpainting-GAN (SI-GAN) is proposed to restore missing sinogram data to suppress the singularity of the truncated sinogram for ultra-limited-angle reconstruction. We propose the U-Net generator and patch-design discriminator in SI-GAN to make the network suitable for standard medical CT images. Furthermore, we propose a joint projection domain and image domain loss function, in which the weighted image domain loss can be added by the back-projection operation. Then, by inputting a paired limited-angle/180° sinogram into the network for training, we can obtain the trained model, which has extracted the continuity feature of sinogram data. Finally, the classic CT reconstruction method is used to reconstruct the images after obtaining the estimated sinograms. The simulation studies and actual data experiments indicate that the proposed method performed well to reduce the serious artifacts caused by ultra-limited-angle scanning.</t>
  </si>
  <si>
    <t>Deep learning from passive feeding to selective eating of real-world data</t>
  </si>
  <si>
    <t>Artificial intelligence (AI) based on deep learning has shown excellent diagnostic performance in detecting various diseases with good-quality clinical images. Recently, AI diagnostic systems developed from ultra-widefield fundus (UWF) images have become popular standard-of-care tools in screening for ocular fundus diseases. However, in real-world settings, these systems must base their diagnoses on images with uncontrolled quality (passive feeding), leading to uncertainty about their performance. Here, using 40,562 UWF images, we develop a deep learning-based image filtering system (DLIFS) for detecting and filtering out poor-quality images in an automated fashion such that only good-quality images are transferred to the subsequent AI diagnostic system (selective eating). In three independent datasets from different clinical institutions, the DLIFS performed well with sensitivities of 96.9%, 95.6% and 96.6%, and specificities of 96.6%, 97.9% and 98.8%, respectively. Furthermore, we show that the application of our DLIFS significantly improves the performance of established AI diagnostic systems in real-world settings. Our work demonstrates that selective eating of real-world data is necessary and needs to be considered in the development of image-based AI systems.</t>
  </si>
  <si>
    <t>Efficacy of a Deep Learning System for Detecting Glaucomatous Optic Neuropathy Based on Color Fundus Photographs</t>
  </si>
  <si>
    <t>PURPOSE: To assess the performance of a deep learning algorithm for detecting referable glaucomatous optic neuropathy (GON) based on color fundus photographs. DESIGN: A deep learning system for the classification of GON was developed for automated classification of GON on color fundus photographs. PARTICIPANTS: We retrospectively included 48 116 fundus photographs for the development and validation of a deep learning algorithm. METHODS: This study recruited 21 trained ophthalmologists to classify the photographs. Referable GON was defined as vertical cup-to-disc ratio of 0.7 or more and other typical changes of GON. The reference standard was made until 3 graders achieved agreement. A separate validation dataset of 8000 fully gradable fundus photographs was used to assess the performance of this algorithm. MAIN OUTCOME MEASURES: The area under receiver operator characteristic curve (AUC) with sensitivity and specificity was applied to evaluate the efficacy of the deep learning algorithm detecting referable GON. RESULTS: In the validation dataset, this deep learning system achieved an AUC of 0.986 with sensitivity of 95.6% and specificity of 92.0%. The most common reasons for false-negative grading (n = 87) were GON with coexisting eye conditions (n = 44 [50.6%]), including pathologic or high myopia (n = 37 [42.6%]), diabetic retinopathy (n = 4 [4.6%]), and age-related macular degeneration (n = 3 [3.4%]). The leading reason for false-positive results (n = 480) was having other eye conditions (n = 458 [95.4%]), mainly including physiologic cupping (n = 267 [55.6%]). Misclassification as false-positive results amidst a normal-appearing fundus occurred in only 22 eyes (4.6%). CONCLUSIONS: A deep learning system can detect referable GON with high sensitivity and specificity. Coexistence of high or pathologic myopia is the most common cause resulting in false-negative results. Physiologic cupping and pathologic myopia were the most common reasons for false-positive results.</t>
  </si>
  <si>
    <t>Z. Li, Y. He, S. Keel, W. Meng, R. T. Chang and M. He</t>
  </si>
  <si>
    <t>Development of a deep learning-based image eligibility verification system for detecting and filtering out ineligible fundus images: A multicentre study</t>
  </si>
  <si>
    <t>BACKGROUND: Recent advances in artificial intelligence (AI) have shown great promise in detecting some diseases based on medical images. Most studies developed AI diagnostic systems only using eligible images. However, in real-world settings, ineligible images (including poor-quality and poor-location images) that can compromise downstream analysis are inevitable, leading to uncertainty about the performance of these AI systems. This study aims to develop a deep learning-based image eligibility verification system (DLIEVS) for detecting and filtering out ineligible fundus images. METHODS: A total of 18,031 fundus images (9,188 subjects) collected from 4 clinical centres were used to develop and evaluate the DLIEVS for detecting eligible, poor-location, and poor-quality fundus images. Four deep learning algorithms (AlexNet, DenseNet121, Inception V3, and ResNet50) were leveraged to train models to obtain the best model for the DLIEVS. The performance of the DLIEVS was evaluated using the area under the receiver operating characteristic curve (AUC), sensitivity, and specificity, as compared with a reference standard determined by retina experts. RESULTS: In the internal test dataset, the best algorithm (DenseNet121) achieved AUCs of 1.000, 0.999, and 1.000 for the classification of eligible, poor-location, and poor-quality images, respectively. In the external test datasets, the AUCs of the best algorithm (DenseNet121) for detecting eligible, poor-location, and poor-quality images were ranged from 0.999-1.000, 0.997-1.000, and 0.997-0.999, respectively. CONCLUSIONS: Our DLIEVS can accurately discriminate poor-quality and poor-location images from eligible images. This system has the potential to serve as a pre-screening technique to filter out ineligible images obtained from real-world settings, ensuring only eligible images will be applied in the subsequent image-based AI diagnostic analyses.</t>
  </si>
  <si>
    <t>An Automated Grading System for Detection of Vision-Threatening Referable Diabetic Retinopathy on the Basis of Color Fundus Photographs</t>
  </si>
  <si>
    <t>OBJECTIVE: The goal of this study was to describe the development and validation of an artificial intelligence-based, deep learning algorithm (DLA) for the detection of referable diabetic retinopathy (DR). RESEARCH DESIGN AND METHODS: A DLA using a convolutional neural network was developed for automated detection of vision-threatening referable DR (preproliferative DR or worse, diabetic macular edema, or both). The DLA was tested by using a set of 106,244 nonstereoscopic retinal images. A panel of ophthalmologists graded DR severity in retinal photographs included in the development and internal validation data sets (n = 71,043); a reference standard grading was assigned once three graders achieved consistent grading outcomes. For external validation, we tested our DLA using 35,201 images of 14,520 eyes (904 eyes with any DR; 401 eyes with vision-threatening referable DR) from population-based cohorts of Malays, Caucasian Australians, and Indigenous Australians. RESULTS: Among the 71,043 retinal images in the training and validation data sets, 12,329 showed vision-threatening referable DR. In the internal validation data set, the area under the curve (AUC), sensitivity, and specificity of the DLA for vision-threatening referable DR were 0.989, 97.0%, and 91.4%, respectively. Testing against the independent, multiethnic data set achieved an AUC, sensitivity, and specificity of 0.955, 92.5%, and 98.5%, respectively. Among false-positive cases, 85.6% were due to a misclassification of mild or moderate DR. Undetected intraretinal microvascular abnormalities accounted for 77.3% of all false-negative cases. CONCLUSIONS: This artificial intelligence-based DLA can be used with high accuracy in the detection of vision-threatening referable DR in retinal images. This technology offers potential to increase the efficiency and accessibility of DR screening programs.</t>
  </si>
  <si>
    <t>Z. Li, S. Keel, C. Liu, Y. He, W. Meng, J. Scheetz, P. Y. Lee, J. Shaw, D. Ting, T. Y. Wong, H. Taylor, R. Chang and M. He</t>
  </si>
  <si>
    <t>Diabetes Care</t>
  </si>
  <si>
    <t>Chronic gastritis classification using gastric X-ray images with a semi-supervised learning method based on tri-training</t>
  </si>
  <si>
    <t>High-quality annotations for medical images are always costly and scarce. Many applications of deep learning in the field of medical image analysis face the problem of insufficient annotated data. In this paper, we present a semi-supervised learning method for chronic gastritis classification using gastric X-ray images. The proposed semi-supervised learning method based on tri-training can leverage unannotated data to boost the performance that is achieved with a small amount of annotated data. We utilize a novel learning method named Between-Class learning (BC learning) that can considerably enhance the performance of our semi-supervised learning method. As a result, our method can effectively learn from unannotated data and achieve high diagnostic accuracy for chronic gastritis. Graphical Abstract Gastritis classification using gastric X-ray images with semi-supervised learning.</t>
  </si>
  <si>
    <t>Deep Learning based Radiomics (DLR) and its usage in noninvasive IDH1 prediction for low grade glioma</t>
  </si>
  <si>
    <t>Deep learning-based radiomics (DLR) was developed to extract deep information from multiple modalities of magnetic resonance (MR) images. The performance of DLR for predicting the mutation status of isocitrate dehydrogenase 1 (IDH1) was validated in a dataset of 151 patients with low-grade glioma. A modified convolutional neural network (CNN) structure with 6 convolutional layers and a fully connected layer with 4096 neurons was used to segment tumors. Instead of calculating image features from segmented images, as typically performed for normal radiomics approaches, image features were obtained by normalizing the information of the last convolutional layers of the CNN. Fisher vector was used to encode the CNN features from image slices of different sizes. High-throughput features with dimensionality greater than 1.6*10(4) were obtained from the CNN. Paired t-tests and F-scores were used to select CNN features that were able to discriminate IDH1. With the same dataset, the area under the operating characteristic curve (AUC) of the normal radiomics method was 86% for IDH1 estimation, whereas for DLR the AUC was 92%. The AUC of IDH1 estimation was further improved to 95% using DLR based on multiple-modality MR images. DLR could be a powerful way to extract deep information from medical images.</t>
  </si>
  <si>
    <t>Z. Li, Y. Wang, J. Yu, Y. Guo and W. Cao</t>
  </si>
  <si>
    <t>From community-acquired pneumonia to COVID-19: a deep learning-based method for quantitative analysis of COVID-19 on thick-section CT scans</t>
  </si>
  <si>
    <t>OBJECTIVE: To develop a fully automated AI system to quantitatively assess the disease severity and disease progression of COVID-19 using thick-section chest CT images. METHODS: In this retrospective study, an AI system was developed to automatically segment and quantify the COVID-19-infected lung regions on thick-section chest CT images. Five hundred thirty-one CT scans from 204 COVID-19 patients were collected from one appointed COVID-19 hospital. The automatically segmented lung abnormalities were compared with manual segmentation of two experienced radiologists using the Dice coefficient on a randomly selected subset (30 CT scans). Two imaging biomarkers were automatically computed, i.e., the portion of infection (POI) and the average infection HU (iHU), to assess disease severity and disease progression. The assessments were compared with patient status of diagnosis reports and key phrases extracted from radiology reports using the area under the receiver operating characteristic curve (AUC) and Cohen's kappa, respectively. RESULTS: The dice coefficient between the segmentation of the AI system and two experienced radiologists for the COVID-19-infected lung abnormalities was 0.74 ± 0.28 and 0.76 ± 0.29, respectively, which were close to the inter-observer agreement (0.79 ± 0.25). The computed two imaging biomarkers can distinguish between the severe and non-severe stages with an AUC of 0.97 (p value &lt; 0.001). Very good agreement (κ = 0.8220) between the AI system and the radiologists was achieved on evaluating the changes in infection volumes. CONCLUSIONS: A deep learning-based AI system built on the thick-section CT imaging can accurately quantify the COVID-19-associated lung abnormalities and assess the disease severity and its progressions. KEY POINTS: • A deep learning-based AI system was able to accurately segment the infected lung regions by COVID-19 using the thick-section CT scans (Dice coefficient ≥ 0.74). • The computed imaging biomarkers were able to distinguish between the non-severe and severe COVID-19 stages (area under the receiver operating characteristic curve 0.97). • The infection volume changes computed by the AI system were able to assess the COVID-19 progression (Cohen's kappa 0.8220).</t>
  </si>
  <si>
    <t>Multi-channel multi-scale fully convolutional network for 3D perivascular spaces segmentation in 7T MR images</t>
  </si>
  <si>
    <t>Accurate segmentation of perivascular spaces (PVSs) is an important step for quantitative study of PVS morphology. However, since PVSs are the thin tubular structures with relatively low contrast and also the number of PVSs is often large, it is challenging and time-consuming for manual delineation of PVSs. Although several automatic/semi-automatic methods, especially the traditional learning-based approaches, have been proposed for segmentation of 3D PVSs, their performance often depends on the hand-crafted image features, as well as sophisticated preprocessing operations prior to segmentation (e.g., specially defined regions-of-interest (ROIs)). In this paper, a novel fully convolutional neural network (FCN) with no requirement of any specified hand-crafted features and ROIs is proposed for efficient segmentation of PVSs. Particularly, the original T2-weighted 7T magnetic resonance (MR) images are first filtered via a non-local Haar-transform-based line singularity representation method to enhance the thin tubular structures. Both the original and enhanced MR images are used as multi-channel inputs to complementarily provide detailed image information and enhanced tubular structural information for the localization of PVSs. Multi-scale features are then automatically learned to characterize the spatial associations between PVSs and adjacent brain tissues. Finally, the produced PVS probability maps are recursively loaded into the network as an additional channel of inputs to provide the auxiliary contextual information for further refining the segmentation results. The proposed multi-channel multi-scale FCN has been evaluated on the 7T brain MR images scanned from 20 subjects. The experimental results show its superior performance compared with several state-of-the-art methods.</t>
  </si>
  <si>
    <t>C. Lian, J. Zhang, M. Liu, X. Zong, S. C. Hung, W. Lin and D. Shen</t>
  </si>
  <si>
    <t>[Establishment of a deep feature-based classification model for distinguishing benign and malignant breast tumors on full-filed digital mammography]</t>
  </si>
  <si>
    <t>OBJECTIVE: To develop a deep features-based model to classify benign and malignant breast lesions on full- filed digital mammography. METHODS: The data of full-filed digital mammography in both craniocaudal view and mediolateral oblique view from 106 patients with breast neoplasms were analyzed. Twenty-three handcrafted features (HCF) were extracted from the images of the breast tumors and a suitable feature set of HCF was selected using t-test. The deep features (DF) were extracted from the 3 pre-trained deep learning models, namely AlexNet, VGG16 and GoogLeNet. With abundant breast tumor information from the craniocaudal view and mediolateral oblique view, we combined the two extracted features (DF and HCF) as the two-view features. A multi-classifier model was finally constructed based on the combined HCF and DF sets. The classification ability of different deep learning networks was evaluated. RESULTS: Quantitative evaluation results showed that the proposed HCF+DF model outperformed HCF model, and AlexNet produced the best performances among the 3 deep learning models. CONCLUSIONS: The proposed model that combines DF and HCF sets of breast tumors can effectively distinguish benign and malignant breast lesions on full-filed digital mammography.</t>
  </si>
  <si>
    <t>chi</t>
  </si>
  <si>
    <t>Nan Fang Yi Ke Da Xue Xue Bao</t>
  </si>
  <si>
    <t>Identifying pulmonary nodules or masses on chest radiography using deep learning: external validation and strategies to improve clinical practice</t>
  </si>
  <si>
    <t>AIM: To test the diagnostic performance of a deep learning-based system for the detection of clinically significant pulmonary nodules/masses on chest radiographs. MATERIALS AND METHODS: Using a retrospective study of 100 patients (47 with clinically significant pulmonary nodules/masses and 53 control subjects without pulmonary nodules), two radiologists verified clinically significantly pulmonary nodules/masses according to chest computed tomography (CT) findings. A computer-aided diagnosis (CAD) software using a deep-learning approach was used to detect pulmonary nodules/masses to determine the diagnostic performance in four algorithms (heat map, abnormal probability, nodule probability, and mass probability). RESULTS: A total of 100 cases were included in the analysis. Among the four algorithms, mass algorithm could achieve a 76.6% sensitivity (36/47, 11 false negative) and 88.68% specificity (47/53, six false-positive) in the detection of pulmonary nodules/masses at the optimal probability score cut-off of 0.2884. Compared to the other three algorithms, mass probability algorithm had best predictive ability for pulmonary nodule/mass detection at the optimal probability score cut-off of 0.2884 (AUC(Mass): 0.916 versus AUC(Heat map): 0.682, p&lt;0.001; AUC(Mass): 0.916 versus AUC(Abnormal): 0.810, p=0.002; AUC(Mass): 0.916 versus AUC(Nodule): 0.813, p=0.014). CONCLUSION: In conclusion, the deep-learning based computer-aided diagnosis system will likely play a vital role in the early detection and diagnosis of pulmonary nodules/masses on chest radiographs. In future applications, these algorithms could support triage workflow via double reading to improve sensitivity and specificity during the diagnostic process.</t>
  </si>
  <si>
    <t>Weakly-Supervised Self-Training for Breast Cancer Localization()</t>
  </si>
  <si>
    <t>The use of deep learning methods has dramatically increased the state-of-the-art performance in image object localization. However, commonly used supervised learning methods require large training datasets with pixel-level or bounding box annotations. Obtaining such fine-grained annotations is extremely costly, especially in the medical imaging domain. In this work, we propose a novel weakly supervised method for breast cancer localization. The essential advantage of our approach is that the model only requires image-level labels and uses a self-training strategy to refine the predicted localization in a step-wise manner. We evaluated our approach on a large, clinically relevant mammogram dataset. The results show that our model significantly improves performance compared to other methods trained similarly.</t>
  </si>
  <si>
    <t>A transfer learning method with deep residual network for pediatric pneumonia diagnosis</t>
  </si>
  <si>
    <t>BACKGROUND AND OBJECTIVE: Computer aided diagnosis systems based on deep learning and medical imaging is increasingly becoming research hotspots. At the moment, the classical convolutional neural network generates classification results by hierarchically abstracting the original image. These abstract features are less sensitive to the position and orientation of the object, and this lack of spatial information limits the further improvement of image classification accuracy. Therefore, how to develop a suitable neural network framework and training strategy in practical clinical applications to avoid this problem is a topic that researchers need to continue to explore. METHODS: We propose a deep learning framework that combines residual thought and dilated convolution to diagnose and detect childhood pneumonia. Specifically, based on an understanding of the nature of the child pneumonia image classification task, the proposed method uses the residual structure to overcome the over-fitting and the degradation problems of the depth model, and utilizes dilated convolution to overcome the problem of loss of feature space information caused by the increment in depth of the model. Furthermore, in order to overcome the problem of difficulty in training model due to insufficient data and the negative impact of the introduction of structured noise on the performance of the model, we use the model parameters learned on large-scale datasets in the same field to initialize our model through transfer learning. RESULTS: Our proposed method has been evaluated for extracting texture features associated with pneumonia and for accurately identifying the performance of areas of the image that best indicate pneumonia. The experimental results of the test dataset show that the recall rate of the method on children pneumonia classification task is 96.7%, and the f1-score is 92.7%. Compared with the prior art methods, this approach can effectively solve the problem of low image resolution and partial occlusion of the inflammatory area in children chest X-ray images. CONCLUSIONS: The novel framework focuses on the application of advanced classification that directly performs lesion characterization, and has high reliability in the classification task of children pneumonia.</t>
  </si>
  <si>
    <t>G. Liang and L. Zheng</t>
  </si>
  <si>
    <t>A deep learning approach to estimate chemically-treated collagenous tissue nonlinear anisotropic stress-strain responses from microscopy images</t>
  </si>
  <si>
    <t>Biological collagenous tissues comprised of networks of collagen fibers are suitable for a broad spectrum of medical applications owing to their attractive mechanical properties. In this study, we developed a noninvasive approach to estimate collagenous tissue elastic properties directly from microscopy images using Machine Learning (ML) techniques. Glutaraldehyde-treated bovine pericardium (GLBP) tissue, widely used in the fabrication of bioprosthetic heart valves and vascular patches, was chosen to develop a representative application. A Deep Learning model was designed and trained to process second harmonic generation (SHG) images of collagen networks in GLBP tissue samples, and directly predict the tissue elastic mechanical properties. The trained model is capable of identifying the overall tissue stiffness with a classification accuracy of 84%, and predicting the nonlinear anisotropic stress-strain curves with average regression errors of 0.021 and 0.031. Thus, this study demonstrates the feasibility and great potential of using the Deep Learning approach for fast and noninvasive assessment of collagenous tissue elastic properties from microstructural images. STATEMENT OF SIGNIFICANCE: In this study, we developed, to our best knowledge, the first Deep Learning-based approach to estimate the elastic properties of collagenous tissues directly from noninvasive second harmonic generation images. The success of this study holds promise for the use of Machine Learning techniques to noninvasively and efficiently estimate the mechanical properties of many structure-based biological materials, and it also enables many potential applications such as serving as a quality control tool to select tissue for the manufacturing of medical devices (e.g. bioprosthetic heart valves).</t>
  </si>
  <si>
    <t>L. Liang, M. Liu and W. Sun</t>
  </si>
  <si>
    <t>Acta Biomater</t>
  </si>
  <si>
    <t>Application of Deep Learning Algorithm in Cervical Cancer MRI Image Segmentation Based on Wireless Sensor</t>
  </si>
  <si>
    <t>With the development of medical technology in China, new difficulties are gradually emerging in traditional medicine. Cervical cancer MRI image segmentation technology based on wireless network is one of the most famous means. But the traditional technology is not strong enough for information processing and analysis. Manual data processing alone may lead to errors in data processing and so on. Therefore, this research was aimed at the MRI image segmentation technology of cervical cancer based on wireless network, using depth learning algorithm to calculate and analyze. Through this kind of wireless network and the computer algorithm form, the data processing ability can be improved and increase the data processing ability be increased.</t>
  </si>
  <si>
    <t>P. Liang, G. Sun and S. Wei</t>
  </si>
  <si>
    <t>Weakly Supervised Biomedical Image Segmentation by Reiterative Learning</t>
  </si>
  <si>
    <t>Recent advances in deep learning have produced encouraging results for biomedical image segmentation; however, outcomes rely heavily on comprehensive annotation. In this paper, we propose a neural network architecture and a new algorithm, known as overlapped region forecast, for the automatic segmentation of gastric cancer images. To the best of our knowledge, this report for the first time describes that deep learning has been applied to the segmentation of gastric cancer images. Moreover, a reiterative learning framework that achieves superior performance without pretraining or further manual annotation is presented to train a simple network on weakly annotated biomedical images. We customize the loss function to make the model converge faster while avoiding becoming trapped in local minima. Patch boundary errors were eliminated by our overlapped region forecast algorithm. By studying the characteristics of the model trained using two different patch extraction methods, we train iteratively and integrate predictions and weak annotations to improve the quality of the training data. Using these methods, a mean Intersection over Union coefficient of 0.883 and a mean accuracy of 91.09% were achieved on the partially labeled dataset, thereby securing a win in the 2017 China Big Data and Artificial Intelligence Innovation and Entrepreneurship Competition.</t>
  </si>
  <si>
    <t>Deep-learning-based detection and segmentation of organs at risk in nasopharyngeal carcinoma computed tomographic images for radiotherapy planning</t>
  </si>
  <si>
    <t>OBJECTIVE: Accurate detection and segmentation of organs at risks (OARs) in CT image is the key step for efficient planning of radiation therapy for nasopharyngeal carcinoma (NPC) treatment. We develop a fully automated deep-learning-based method (termed organs-at-risk detection and segmentation network (ODS net)) on CT images and investigate ODS net performance in automated detection and segmentation of OARs. METHODS: The ODS net consists of two convolutional neural networks (CNNs). The first CNN proposes organ bounding boxes along with their scores, and then a second CNN utilizes the proposed bounding boxes to predict segmentation masks for each organ. A total of 185 subjects were included in this study for statistical comparison. Sensitivity and specificity were performed to determine the performance of the detection and the Dice coefficient was used to quantitatively measure the overlap between automated segmentation results and manual segmentation. Paired samples t tests and analysis of variance were employed for statistical analysis. RESULTS: ODS net provides an accurate detection result with a sensitivity of 0.997 to 1 for most organs and a specificity of 0.983 to 0.999. Furthermore, segmentation results from ODS net correlated strongly with manual segmentation with a Dice coefficient of more than 0.85 in most organs. A significantly higher Dice coefficient for all organs together (p = 0.0003 &lt; 0.01) was obtained in ODS net (0.861 ± 0.07) than in fully convolutional neural network (FCN) (0.8 ± 0.07). The Dice coefficients of each OAR did not differ significantly between different T-staging patients. CONCLUSION: The ODS net yielded accurate automated detection and segmentation of OARs in CT images and thereby may improve and facilitate radiotherapy planning for NPC. KEY POINTS: • A fully automated deep-learning method (ODS net) is developed to detect and segment OARs in clinical CT images. • This deep-learning-based framework produces reliable detection and segmentation results and thus can be useful in delineating OARs in NPC radiotherapy planning. • This deep-learning-based framework delineating a single image requires approximately 30 s, which is suitable for clinical workflows.</t>
  </si>
  <si>
    <t>S. Liang, F. Tang, X. Huang, K. Yang, T. Zhong, R. Hu, S. Liu, X. Yuan and Y. Zhang</t>
  </si>
  <si>
    <t>Multimodal 3D DenseNet for IDH Genotype Prediction in Gliomas</t>
  </si>
  <si>
    <t>Non-invasive prediction of isocitrate dehydrogenase (IDH) genotype plays an important role in tumor glioma diagnosis and prognosis. Recently, research has shown that radiology images can be a potential tool for genotype prediction, and fusion of multi-modality data by deep learning methods can further provide complementary information to enhance prediction accuracy. However, it still does not have an effective deep learning architecture to predict IDH genotype with three-dimensional (3D) multimodal medical images. In this paper, we proposed a novel multimodal 3D DenseNet (M3D-DenseNet) model to predict IDH genotypes with multimodal magnetic resonance imaging (MRI) data. To evaluate its performance, we conducted experiments on the BRATS-2017 and The Cancer Genome Atlas breast invasive carcinoma (TCGA-BRCA) dataset to get image data as input and gene mutation information as the target, respectively. We achieved 84.6% accuracy (area under the curve (AUC) = 85.7%) on the validation dataset. To evaluate its generalizability, we applied transfer learning techniques to predict World Health Organization (WHO) grade status, which also achieved a high accuracy of 91.4% (AUC = 94.8%) on validation dataset. With the properties of automatic feature extraction, and effective and high generalizability, M3D-DenseNet can serve as a useful method for other multimodal radiogenomics problems and has the potential to be applied in clinical decision making.</t>
  </si>
  <si>
    <t>S. Liang, R. Zhang, D. Liang, T. Song, T. Ai, C. Xia, L. Xia and Y. Wang</t>
  </si>
  <si>
    <t>Joint Vertebrae Identification and Localization in Spinal CT Images by Combining Short- and Long-Range Contextual Information</t>
  </si>
  <si>
    <t>Automatic vertebrae identification and localization from arbitrary computed tomography (CT) images is challenging. Vertebrae usually share similar morphological appearance. Because of pathology and the arbitrary field-of-view of CT scans, one can hardly rely on the existence of some anchor vertebrae or parametric methods to model the appearance and shape. To solve the problem, we argue that: 1) one should make use of the short-range contextual information, such as the presence of some nearby organs (if any), to roughly estimate the target vertebrae; and 2) due to the unique anatomic structure of the spine column, vertebrae have fixed sequential order, which provides the important long-range contextual information to further calibrate the results. We propose a robust and efficient vertebrae identification and localization system that can inherently learn to incorporate both the short- and long-range contextual information in a supervised manner. To this end, we develop a multi-task 3-D fully convolutional neural network to effectively extract the short-range contextual information around the target vertebrae. For the long-range contextual information, we propose a multi-task bidirectional recurrent neural network to encode the spatial and contextual information among the vertebrae of the visible spine column. We demonstrate the effectiveness of the proposed approach on a challenging data set, and the experimental results show that our approach outperforms the state-of-the-art methods by a significant margin.</t>
  </si>
  <si>
    <t>H. Liao, A. Mesfin and J. Luo</t>
  </si>
  <si>
    <t>Representation learning: a unified deep learning framework for automatic prostate MR segmentation</t>
  </si>
  <si>
    <t>Image representation plays an important role in medical image analysis. The key to the success of different medical image analysis algorithms is heavily dependent on how we represent the input data, namely features used to characterize the input image. In the literature, feature engineering remains as an active research topic, and many novel hand-crafted features are designed such as Haar wavelet, histogram of oriented gradient, and local binary patterns. However, such features are not designed with the guidance of the underlying dataset at hand. To this end, we argue that the most effective features should be designed in a learning based manner, namely representation learning, which can be adapted to different patient datasets at hand. In this paper, we introduce a deep learning framework to achieve this goal. Specifically, a stacked independent subspace analysis (ISA) network is adopted to learn the most effective features in a hierarchical and unsupervised manner. The learnt features are adapted to the dataset at hand and encode high level semantic anatomical information. The proposed method is evaluated on the application of automatic prostate MR segmentation. Experimental results show that significant segmentation accuracy improvement can be achieved by the proposed deep learning method compared to other state-of-the-art segmentation approaches.</t>
  </si>
  <si>
    <t>S. Liao, Y. Gao, A. Oto and D. Shen</t>
  </si>
  <si>
    <t>MMTLNet: Multi-Modality Transfer Learning Network with adversarial training for 3D whole heart segmentation</t>
  </si>
  <si>
    <t>The accurate whole heart segmentation (WHS) of multi-modality medical images including magnetic resonance image (MRI) and computed tomography (CT) plays an important role in many clinical applications, such as accurate preoperative diagnosis planning and intraoperative treatment. Considering that the shape information of each component of the whole heart is complementary, we can extract multi-modality features and obtain the final segmentation results by fusing MRI and CT images. In this paper, we proposed a multi-modality transfer learning network with adversarial training (MMTLNet) for 3D multi-modality whole heart segmentation. Firstly, the network transfers the source domain (MRI domain) to the target domain (CT domain) by reconstructing the MRI images with a generator network and optimizing the reconstructed MRI images with a discriminator network, which enables us to fuse the MRI images with CT images to fully utilize the useful information from images in multi-modality for segmentation task. Secondly, to retain the useful information and remove the redundant information for accurate segmentation, we introduce the spatial attention mechanism into the backbone connection of UNet network to optimize the feature extraction between layers, and add channel attention mechanism at the jump connection to optimize the information extracted from the low-level feature map. Thirdly, we propose a new loss function in the adversarial training by introducing a weighted coefficient to distribute the proportion between Dice coefficient loss and generator loss, which can not only ensure the images to be correctly transferred from MRI domain to CT domain, but also achieve accurate segmentation with the transferred domain. We extensively evaluated our method on the data set of the multi-modality whole heart segmentation (MM-WHS) challenge, in conjunction with MICCAI 2017. The dice values of whole heart segmentation are 0.914 (CT images) and 0.890 (MRI images), which are both higher than the state-of-the-art.</t>
  </si>
  <si>
    <t>On Modelling Label Uncertainty in Deep Neural Networks: Automatic Estimation of Intra- Observer Variability in 2D Echocardiography Quality Assessment</t>
  </si>
  <si>
    <t>Uncertainty of labels in clinical data resulting from intra-observer variability can have direct impact on the reliability of assessments made by deep neural networks. In this paper, we propose a method for modelling such uncertainty in the context of 2D echocardiography (echo), which is a routine procedure for detecting cardiovascular disease at point-of-care. Echo imaging quality and acquisition time is highly dependent on the operator's experience level. Recent developments have shown the possibility of automating echo image quality quantification by mapping an expert's assessment of quality to the echo image via deep learning techniques. Nevertheless, the observer variability in the expert's assessment can impact the quality quantification accuracy. Here, we aim to model the intra-observer variability in echo quality assessment as an aleatoric uncertainty modelling regression problem with the introduction of a novel method that handles the regression problem with categorical labels. A key feature of our design is that only a single forward pass is sufficient to estimate the level of uncertainty for the network output. Compared to the 0.11 ± 0.09 absolute error (in a scale from 0 to 1) archived by the conventional regression method, the proposed method brings the error down to 0.09 ± 0.08, where the improvement is statistically significant and equivalents to 5.7% test accuracy improvement. The simplicity of the proposed approach means that it could be generalized to other applications of deep learning in medical imaging, where there is often uncertainty in clinical labels.</t>
  </si>
  <si>
    <t>Z. Liao, H. Girgis, A. Abdi, H. Vaseli, J. Hetherington, R. Rohling, K. Gin, T. Tsang and P. Abolmaesumi</t>
  </si>
  <si>
    <t>10.1016/j.ejrad.2018.03.019</t>
  </si>
  <si>
    <t>The future of radiology augmented with Artificial Intelligence: A strategy for success</t>
  </si>
  <si>
    <t>The rapid development of Artificial Intelligence/deep learning technology and its implementation into routine clinical imaging will cause a major transformation to the practice of radiology. Strategic positioning will ensure the successful transition of radiologists into their new roles as augmented clinicians. This paper describes an overall vision on how to achieve a smooth transition through the practice of augmented radiology where radiologists-in-the-loop ensure the safe implementation of Artificial Intelligence systems.</t>
  </si>
  <si>
    <t>C. Liew</t>
  </si>
  <si>
    <t>10.11622/smedj.2019145</t>
  </si>
  <si>
    <t>A practical and adaptive approach to lung cancer screening: a review of international evidence and position on CT lung cancer screening in the Singaporean population by the College of Radiologists Singapore</t>
  </si>
  <si>
    <t>Lung cancer is the leading cause of cancer-related death around the world, being the top cause of cancer-related deaths among men and the second most common cause of cancer-related deaths among women in Singapore. Currently, no screening programme for lung cancer exists in Singapore. Since there is mounting evidence indicating a different epidemiology of lung cancer in Asian countries, including Singapore, compared to the rest of the world, a unique and adaptive approach must be taken for a screening programme to be successful at reducing mortality while maintaining cost-effectiveness and a favourable risk-benefit ratio. This review article promotes the use of low-dose computed tomography of the chest and explores the radiological challenges and future directions.</t>
  </si>
  <si>
    <t>Singapore Med J</t>
  </si>
  <si>
    <t>Evaluation of the Classification Accuracy of the Kidney Biopsy Direct Immunofluorescence through Convolutional Neural Networks</t>
  </si>
  <si>
    <t>BACKGROUND AND OBJECTIVES: Immunohistopathology is an essential technique in the diagnostic workflow of a kidney biopsy. Deep learning is an effective tool in the elaboration of medical imaging. We wanted to evaluate the role of a convolutional neural network as a support tool for kidney immunofluorescence reporting. DESIGN, SETTING, PARTICIPANTS, &amp; MEASUREMENTS: High-magnification (×400) immunofluorescence images of kidney biopsies performed from the year 2001 to 2018 were collected. The report, adopted at the Division of Nephrology of the AOU Policlinico di Modena, describes the specimen in terms of appearance, distribution, location, and intensity of the glomerular deposits identified with fluorescent antibodies against IgG, IgA, IgM, C1q and C3 complement fractions, fibrinogen, and κ- and λ-light chains. The report was used as ground truth for the training of the convolutional neural networks. RESULTS: In total, 12,259 immunofluorescence images of 2542 subjects undergoing kidney biopsy were collected. The test set analysis showed accuracy values between 0.79 (irregular capillary wall feature) and 0.94 (fine granular feature). The agreement test of the results obtained by the convolutional neural networks with respect to the ground truth showed similar values to three pathologists of our center. Convolutional neural networks were 117 times faster than human evaluators in analyzing 180 test images. A web platform, where it is possible to upload digitized images of immunofluorescence specimens, is available to evaluate the potential of our approach. CONCLUSIONS: The data showed that the accuracy of convolutional neural networks is comparable with that of pathologists experienced in the field.</t>
  </si>
  <si>
    <t>Clin J Am Soc Nephrol</t>
  </si>
  <si>
    <t>A Deep Neural Network-Based Method for Early Detection of Osteoarthritis Using Statistical Data</t>
  </si>
  <si>
    <t>A large number of people suffer from certain types of osteoarthritis, such as knee, hip, and spine osteoarthritis. A correct prediction of osteoarthritis is an essential step to effectively diagnose and prevent severe osteoarthritis. Osteoarthritis is commonly diagnosed by experts through manual inspection of patients' medical images, which are usually collected in hospitals. Checking the occurrence of osteoarthritis is somewhat time-consuming for patients. In addition, the current studies are focused on automatically detecting osteoarthritis through image-based deep learning algorithms. This needs patients' medical images, which requires patients to visit the hospital. However, medical utilization and health behavior information as statistical data are easier to collect and access than medical images. Using indirect statistical data without any medical images to predict the occurrence of diverse forms of OA can have significant impacts on pro-active and preventive medical care. In this study, we used a deep neural network for detecting the occurrence of osteoarthritis using patient's statistical data of medical utilization and health behavior information. The study was based on 5749 subjects. Principal component analysis with quantile transformer scaling was employed to generate features from the patients' simple background medical records and identify the occurrence of osteoarthritis. Our experiments showed that the proposed method using deep neural network with scaled PCA resulted in 76.8% of area under the curve (AUC) and minimized the effort to generate features. Hence, this methos can be a promising tool for patients and doctors to prescreen for possible osteoarthritis to reduce health costs and patients' time in hospitals.</t>
  </si>
  <si>
    <t>J. Lim, J. Kim and S. Cheon</t>
  </si>
  <si>
    <t>Automated grading of acne vulgaris by deep learning with convolutional neural networks</t>
  </si>
  <si>
    <t>BACKGROUND: The visual assessment and severity grading of acne vulgaris by physicians can be subjective, resulting in inter- and intra-observer variability. OBJECTIVE: To develop and validate an algorithm for the automated calculation of the Investigator's Global Assessment (IGA) scale, to standardize acne severity and outcome measurements. MATERIALS AND METHODS: A total of 472 photographs (retrieved 01/01/2004-04/08/2017) in the frontal view from 416 acne patients were used for training and testing. Photographs were labeled according to the IGA scale in three groups of IGA clear/almost clear (0-1), IGA mild (2), and IGA moderate to severe (3-4). The classification model used a convolutional neural network, and models were separately trained on three image sizes. The photographs were then subjected to analysis by the algorithm, and the generated automated IGA scores were compared to clinical scoring. The prediction accuracy of each IGA grade label and the agreement (Pearson correlation) of the two scores were computed. RESULTS: The best classification accuracy was 67%. Pearson correlation between machine-predicted score and human labels (clinical scoring and researcher scoring) for each model and various image input sizes was 0.77. Correlation of predictions with clinical scores was highest when using Inception v4 on the largest image size of 1200 × 1600. Two sets of human labels showed a high correlation of 0.77, verifying the repeatability of the ground truth labels. Confusion matrices show that the models performed sub-optimally on the IGA 2 label. CONCLUSION: Deep learning techniques harnessing high-resolution images and large datasets will continue to improve, demonstrating growing potential for automated clinical image analysis and grading.</t>
  </si>
  <si>
    <t>10.1080/17434440.2020.1777855</t>
  </si>
  <si>
    <t>Artificial intelligence: improving the efficiency of cardiovascular imaging</t>
  </si>
  <si>
    <t>INTRODUCTION: Artificial intelligence (AI) describes the use of computational techniques to mimic human intelligence. In healthcare, this typically involves large medical datasets being used to predict a diagnosis, identify new disease genotypes or phenotypes, or guide treatment strategies. Noninvasive imaging remains a cornerstone for the diagnosis, risk stratification, and management of patients with cardiovascular disease. AI can facilitate every stage of the imaging process, from acquisition and reconstruction, to segmentation, measurement, interpretation, and subsequent clinical pathways. AREAS COVERED: In this paper, we review state-of-the-art AI techniques and their current applications in cardiac imaging, and discuss the future role of AI as a precision medicine tool. EXPERT OPINION: Cardiovascular medicine is primed for scalable AI applications which can interpret vast amounts of clinical and imaging data in greater depth than ever before. AI-augmented medical systems have the potential to improve workflow and provide reproducible and objective quantitative results which can inform clinical decisions. In the foreseeable future, AI may work in the background of cardiac image analysis software and routine clinical reporting, automatically collecting data and enabling real-time diagnosis and risk stratification.</t>
  </si>
  <si>
    <t>Expert Rev Med Devices</t>
  </si>
  <si>
    <t>Optimization of Deep Learning Network Parameters Using Uniform Experimental Design for Breast Cancer Histopathological Image Classification</t>
  </si>
  <si>
    <t>Breast cancer, a common cancer type, is a major health concern in women. Recently, researchers used convolutional neural networks (CNNs) for medical image analysis and demonstrated classification performance for breast cancer diagnosis from within histopathological image datasets. However, the parameter settings of a CNN model are complicated, and using Breast Cancer Histopathological Database data for the classification is time-consuming. To overcome these problems, this study used a uniform experimental design (UED) and optimized the CNN parameters of breast cancer histopathological image classification. In UED, regression analysis was used to optimize the parameters. The experimental results indicated that the proposed method with UED parameter optimization provided 84.41% classification accuracy rate. In conclusion, the proposed method can improve the classification accuracy effectively, with results superior to those of other similar methods.</t>
  </si>
  <si>
    <t>10.1002/jmri.27078</t>
  </si>
  <si>
    <t>Artificial Intelligence for MR Image Reconstruction: An Overview for Clinicians</t>
  </si>
  <si>
    <t>Artificial intelligence (AI) shows tremendous promise in the field of medical imaging, with recent breakthroughs applying deep-learning models for data acquisition, classification problems, segmentation, image synthesis, and image reconstruction. With an eye towards clinical applications, we summarize the active field of deep-learning-based MR image reconstruction. We review the basic concepts of how deep-learning algorithms aid in the transformation of raw k-space data to image data, and specifically examine accelerated imaging and artifact suppression. Recent efforts in these areas show that deep-learning-based algorithms can match and, in some cases, eclipse conventional reconstruction methods in terms of image quality and computational efficiency across a host of clinical imaging applications, including musculoskeletal, abdominal, cardiac, and brain imaging. This article is an introductory overview aimed at clinical radiologists with no experience in deep-learning-based MR image reconstruction and should enable them to understand the basic concepts and current clinical applications of this rapidly growing area of research across multiple organ systems.</t>
  </si>
  <si>
    <t>Machine Learning in Neural Networks</t>
  </si>
  <si>
    <t>Evidence now suggests that precision psychiatry is becoming a cornerstone of medical practices by providing the patient of psychiatric disorders with the right medication at the right dose at the right time. In light of recent advances in neuroimaging and multi-omics, more and more biomarkers associated with psychiatric diseases and treatment responses are being discovered in precision psychiatry applications by leveraging machine learning and neural network approaches. In this article, we focus on the most recent developments for research in precision psychiatry using machine learning, deep learning, and neural network algorithms, together with neuroimaging and multi-omics data. First, we describe different machine learning approaches that are employed to assess prediction for diagnosis, prognosis, and treatment in various precision psychiatry studies. We also survey probable biomarkers that have been identified to be involved in psychiatric diseases and treatment responses. Furthermore, we summarize the limitations with respect to the mentioned precision psychiatry studies. Finally, we address a discussion of future directions and challenges.</t>
  </si>
  <si>
    <t>A CT-based deep learning model for predicting the nuclear grade of clear cell renal cell carcinoma</t>
  </si>
  <si>
    <t>PURPOSE: To investigate the effects of different methodologies on the performance of deep learning (DL) model for differentiating high- from low-grade clear cell renal cell carcinoma (ccRCC). METHOD: Patients with pathologically proven ccRCC diagnosed between October 2009 and March 2019 were assigned to training or internal test dataset, and external test dataset was acquired from The Cancer Genome Atlas-Kidney Renal Clear Cell Carcinoma (TCGA-KIRC) database. The effects of different methodologies on the performance of DL-model, including image cropping (IC), setting the attention level, selecting model complexity (MC), and applying transfer learning (TL), were compared using repeated measures analysis of variance (ANOVA) and receiver operating characteristic (ROC) curve analysis. The performance of DL-model was evaluated through accuracy and ROC analyses with internal and external tests. RESULTS: In this retrospective study, patients (n = 390) from one hospital were randomly assigned to training (n = 370) or internal test dataset (n = 20), and the other 20 patients from TCGA-KIRC database were assigned to external test dataset. IC, the attention level, MC, and TL had major effects on the performance of the DL-model. The DL-model based on the cropping of an image less than three times the tumor diameter, without attention, a simple model and the application of TL achieved the best performance in internal (ACC = 73.7 ± 11.6%, AUC = 0.82 ± 0.11) and external (ACC = 77.9 ± 6.2%, AUC = 0.81 ± 0.04) tests. CONCLUSIONS: CT-based DL model can be conveniently applied for grading ccRCC with simple IC in routine clinical practice.</t>
  </si>
  <si>
    <t>Fast ScanNet: Fast and Dense Analysis of Multi-Gigapixel Whole-Slide Images for Cancer Metastasis Detection</t>
  </si>
  <si>
    <t>Lymph node metastasis is one of the most important indicators in breast cancer diagnosis, that is traditionally observed under the microscope by pathologists. In recent years, with the dramatic advance of high-throughput scanning and deep learning technology, automatic analysis of histology from whole-slide images has received a wealth of interest in the field of medical image computing, which aims to alleviate pathologists' workload and simultaneously reduce misdiagnosis rate. However, the automatic detection of lymph node metastases from whole-slide images remains a key challenge because such images are typically very large, where they can often be multiple gigabytes in size. Also, the presence of hard mimics may result in a large number of false positives. In this paper, we propose a novel method with anchor layers for model conversion, which not only leverages the efficiency of fully convolutional architectures to meet the speed requirement in clinical practice but also densely scans the whole-slide image to achieve accurate predictions on both micro- and macro-metastases. Incorporating the strategies of asynchronous sample prefetching and hard negative mining, the network can be effectively trained. The efficacy of our method is corroborated on the benchmark dataset of 2016 Camelyon Grand Challenge. Our method achieved significant improvements in comparison with the state-of-the-art methods on tumor localization accuracy with a much faster speed and even surpassed human performance on both challenge tasks.</t>
  </si>
  <si>
    <t>H. Lin, H. Chen, S. Graham, Q. Dou, N. Rajpoot and P. A. Heng</t>
  </si>
  <si>
    <t>Automated classification of hepatocellular carcinoma differentiation using multiphoton microscopy and deep learning</t>
  </si>
  <si>
    <t>In the case of hepatocellular carcinoma (HCC) samples, classification of differentiation is crucial for determining prognosis and treatment strategy decisions. However, a label-free and automated classification system for HCC grading has not been yet developed. Hence, in this study, we demonstrate the fusion of multiphoton microscopy and a deep-learning algorithm for classifying HCC differentiation to produce an innovative computer-aided diagnostic method. Convolutional neural networks based on the VGG-16 framework were trained using 217 combined two-photon excitation fluorescence and second-harmonic generation images; the resulting classification accuracy of the HCC differentiation grade was over 90%. Our results suggest that a combination of multiphoton microscopy and deep learning can realize label-free, automated methods for various tissues, diseases and other related classification problems.</t>
  </si>
  <si>
    <t>Dual-modality endoscopic probe for tissue surface shape reconstruction and hyperspectral imaging enabled by deep neural networks</t>
  </si>
  <si>
    <t>Surgical guidance and decision making could be improved with accurate and real-time measurement of intra-operative data including shape and spectral information of the tissue surface. In this work, a dual-modality endoscopic system has been proposed to enable tissue surface shape reconstruction and hyperspectral imaging (HSI). This system centers around a probe comprised of an incoherent fiber bundle, whose fiber arrangement is different at the two ends, and miniature imaging optics. For 3D reconstruction with structured light (SL), a light pattern formed of randomly distributed spots with different colors is projected onto the tissue surface, creating artificial texture. Pattern decoding with a Convolutional Neural Network (CNN) model and a customized feature descriptor enables real-time 3D surface reconstruction at approximately 12 frames per second (FPS). In HSI mode, spatially sparse hyperspectral signals from the tissue surface can be captured with a slit hyperspectral imager in a single snapshot. A CNN based super-resolution model, namely super-spectral-resolution network (SSRNet), has also been developed to estimate pixel-level dense hypercubes from the endoscope cameras standard RGB images and the sparse hyperspectral signals, at approximately 2 FPS. The probe, with a 2.1 mm diameter, enables the system to be used with endoscope working channels. Furthermore, since data acquisition in both modes can be accomplished in one snapshot, operation of this system in clinical applications is minimally affected by tissue surface movement and deformation. The whole apparatus has been validated on phantoms and tissue (ex vivo and in vivo), while initial measurements on patients during laryngeal surgery show its potential in real-world clinical applications.</t>
  </si>
  <si>
    <t>J. Lin, N. T. Clancy, J. Qi, Y. Hu, T. Tatla, D. Stoyanov, L. Maier-Hein and D. S. Elson</t>
  </si>
  <si>
    <t>Deep Learning for Automated Contouring of Primary Tumor Volumes by MRI for Nasopharyngeal Carcinoma</t>
  </si>
  <si>
    <t>Background Nasopharyngeal carcinoma (NPC) may be cured with radiation therapy. Tumor proximity to critical structures demands accuracy in tumor delineation to avoid toxicities from radiation therapy; however, tumor target contouring for head and neck radiation therapy is labor intensive and highly variable among radiation oncologists. Purpose To construct and validate an artificial intelligence (AI) contouring tool to automate primary gross tumor volume (GTV) contouring in patients with NPC. Materials and Methods In this retrospective study, MRI data sets covering the nasopharynx from 1021 patients (median age, 47 years; 751 male, 270 female) with NPC between September 2016 and September 2017 were collected and divided into training, validation, and testing cohorts of 715, 103, and 203 patients, respectively. GTV contours were delineated for 1021 patients and were defined by consensus of two experts. A three-dimensional convolutional neural network was applied to 818 training and validation MRI data sets to construct the AI tool, which was tested in 203 independent MRI data sets. Next, the AI tool was compared against eight qualified radiation oncologists in a multicenter evaluation by using a random sample of 20 test MRI examinations. The Wilcoxon matched-pairs signed rank test was used to compare the difference of Dice similarity coefficient (DSC) of pre- versus post-AI assistance. Results The AI-generated contours demonstrated a high level of accuracy when compared with ground truth contours at testing in 203 patients (DSC, 0.79; 2.0-mm difference in average surface distance). In multicenter evaluation, AI assistance improved contouring accuracy (five of eight oncologists had a higher median DSC after AI assistance; average median DSC, 0.74 vs 0.78; P &lt; .001), reduced intra- and interobserver variation (by 36.4% and 54.5%, respectively), and reduced contouring time (by 39.4%). Conclusion The AI contouring tool improved primary gross tumor contouring accuracy of nasopharyngeal carcinoma, which could have a positive impact on tumor control and patient survival. © RSNA, 2019 Online supplemental material is available for this article. See also the editorial by Chang in this issue.</t>
  </si>
  <si>
    <t>Deep learning based automatic segmentation of metastasis hotspots in thorax bone SPECT images</t>
  </si>
  <si>
    <t>SPECT imaging has been identified as an effective medical modality for diagnosis, treatment, evaluation and prevention of a range of serious diseases and medical conditions. Bone SPECT scan has the potential to provide more accurate assessment of disease stage and severity. Segmenting hotspot in bone SPECT images plays a crucial role to calculate metrics like tumor uptake and metabolic tumor burden. Deep learning techniques especially the convolutional neural networks have been widely exploited for reliable segmentation of hotspots or lesions, organs and tissues in the traditional structural medical images (i.e., CT and MRI) due to their ability of automatically learning the features from images in an optimal way. In order to segment hotspots in bone SPECT images for automatic assessment of metastasis, in this work, we develop several deep learning based segmentation models. Specifically, each original whole-body bone SPECT image is processed to extract the thorax area, followed by image mirror, translation and rotation operations, which augments the original dataset. We then build segmentation models based on two commonly-used famous deep networks including U-Net and Mask R-CNN by fine-tuning their structures. Experimental evaluation conducted on a group of real-world bone SEPCT images reveals that the built segmentation models are workable on identifying and segmenting hotspots of metastasis in bone SEPCT images, achieving a value of 0.9920, 0.7721, 0.6788 and 0.6103 for PA (accuracy), CPA (precision), Rec (recall) and IoU, respectively. Finally, we conclude that the deep learning technology have the huge potential to identify and segment hotspots in bone SPECT images.</t>
  </si>
  <si>
    <t>Adversarial domain adaptation for cross data source macromolecule in situ structural classification in cellular electron cryo-tomograms</t>
  </si>
  <si>
    <t>MOTIVATION: Since 2017, an increasing amount of attention has been paid to the supervised deep learning-based macromolecule in situ structural classification (i.e. subtomogram classification) in cellular electron cryo-tomography (CECT) due to the substantially higher scalability of deep learning. However, the success of such supervised approach relies heavily on the availability of large amounts of labeled training data. For CECT, creating valid training data from the same data source as prediction data is usually laborious and computationally intensive. It would be beneficial to have training data from a separate data source where the annotation is readily available or can be performed in a high-throughput fashion. However, the cross data source prediction is often biased due to the different image intensity distributions (a.k.a. domain shift). RESULTS: We adapt a deep learning-based adversarial domain adaptation (3D-ADA) method to timely address the domain shift problem in CECT data analysis. 3D-ADA first uses a source domain feature extractor to extract discriminative features from the training data as the input to a classifier. Then it adversarially trains a target domain feature extractor to reduce the distribution differences of the extracted features between training and prediction data. As a result, the same classifier can be directly applied to the prediction data. We tested 3D-ADA on both experimental and realistically simulated subtomogram datasets under different imaging conditions. 3D-ADA stably improved the cross data source prediction, as well as outperformed two popular domain adaptation methods. Furthermore, we demonstrate that 3D-ADA can improve cross data source recovery of novel macromolecular structures. AVAILABILITY AND IMPLEMENTATION: https://github.com/xulabs/projects. SUPPLEMENTARY INFORMATION: Supplementary data are available at Bioinformatics online.</t>
  </si>
  <si>
    <t>10.2174/1573405614666180817125454</t>
  </si>
  <si>
    <t>Image Based Brain Segmentation: From Multi-Atlas Fusion to Deep Learning</t>
  </si>
  <si>
    <t>BACKGROUND: This review aims to identify the development of the algorithms for brain tissue and structure segmentation in MRI images. DISCUSSION: Starting from the results of the Grand Challenges on brain tissue and structure segmentation held in Medical Image Computing and Computer-Assisted Intervention (MICCAI), this review analyses the development of the algorithms and discusses the tendency from multi-atlas label fusion to deep learning. The intrinsic characteristics of the winners' algorithms on the Grand Challenges from the year 2012 to 2018 are analyzed and the results are compared carefully. CONCLUSION: Although deep learning has got higher rankings in the challenge, it has not yet met the expectations in terms of accuracy. More effective and specialized work should be done in the future.</t>
  </si>
  <si>
    <t>Curr Med Imaging Rev</t>
  </si>
  <si>
    <t>[Evaluation of computer-aided diagnosis system for detecting dental approximal caries lesions on periapical radiographs]</t>
  </si>
  <si>
    <t>Objective: To establish and to evaluate a computer-aided system based on deep-learning for detection and diagnosis of dental approximal caries on periapical radiographs. Methods: One hundred and sixty human premolars and molars extracted for orthodontic or periodontal reasons were obtained from Department of Oral and Maxillofacial Surgery, Affiliated Stomatological Hospital, Fujian Medical University. A total of 160 periapical radiographic images were divided into a training dataset (n=80) and a test dataset (n=80). A deep-learning based computer-aided caries diagnosis system was established and trained. The performances of computer-aided diagnosis system and human observer were compared using receiver operating characteristic (ROC) curves, precision-recall (P-R) curves, the area under the curve (AUC), sensitivity, specificity, positive predictive value (PPV), and negative predictive value (NPV). The AUC values of human observers and caries diagnosis system was compared by using an online statistical tool (SPSSAU 20.0). Chi-square test was used to analyze the differences between human observers and caries diagnosis system (ɑ=0.05). Results: The AUC values of human observers and caries diagnosis system were 0.729 (95%CI: 0.650-0.808) and 0.762 (95%CI: 0.685-0.839), respectively (P&gt;0.05). No significant differences were found for the specificity, PPV and NPV between the caries diagnosis system and human observers (P all&gt;0.05). The caries diagnosis system was significantly more sensitive in detecting dental proximal caries than human observers (P&lt;0.05). For the diagnosis of level-1 caries (caries limited to outer 1/2 of enamel), the sensitivity of human observers and computer-aided detection system were 27% and 77%, respectively (P&lt;0.05). Conclusions: The computer-aided diagnosis system provided similar accuracy as human observers and significantly better sensitivity than human observers, especially for shallow caries in enamel.</t>
  </si>
  <si>
    <t>Zhonghua Kou Qiang Yi Xue Za Zhi</t>
  </si>
  <si>
    <t>Denoising of multi b-value diffusion-weighted MR images using deep image prior</t>
  </si>
  <si>
    <t>The clinical value of multiple b-value diffusion-weighted (DW) magnetic resonance imaging (MRI) has been shown in many studies. However, DW-MRI often suffers from low signal-to-noise ratio, especially at high b-values. To address this limitation, we present an image denoising method based on the concept of deep image prior (DIP). In this method, high-quality prior images obtained from the same patient were used as the network input, and all noisy DW images were used as the network output. Our aim is to denoise all b-value DW images simultaneously. By using early stopping, we expect the DIP-based model to learn the content of images instead of the noise. The performance of the proposed DIP method was evaluated using both simulated and real DW-MRI data. We simulated a digital phantom and generated noise-free DW-MRI data according to the intravoxel incoherent motion model. Different levels of Rician noise were then simulated. The proposed DIP method was compared with the image denoising method using local principal component analysis (LPCA). The simulation results show that the proposed DIP method outperforms the LPCA method in terms of mean-squared error and parameter estimation. The results of real DW-MRI data show that the proposed DIP method can improve the quality of IVIM parametric images. DIP is a feasible method for denoising multiple b-value DW-MRI data.</t>
  </si>
  <si>
    <t>Deep learning for fully automated tumor segmentation and extraction of magnetic resonance radiomics features in cervical cancer</t>
  </si>
  <si>
    <t>OBJECTIVE: To develop and evaluate the performance of U-Net for fully automated localization and segmentation of cervical tumors in magnetic resonance (MR) images and the robustness of extracting apparent diffusion coefficient (ADC) radiomics features. METHODS: This retrospective study involved analysis of MR images from 169 patients with cervical cancer stage IB-IVA captured; among them, diffusion-weighted (DW) images from 144 patients were used for training, and another 25 patients were recruited for testing. A U-Net convolutional network was developed to perform automated tumor segmentation. The manually delineated tumor region was used as the ground truth for comparison. Segmentation performance was assessed for various combinations of input sources for training. ADC radiomics were extracted and assessed using Pearson correlation. The reproducibility of the training was also assessed. RESULTS: Combining b0, b1000, and ADC images as a triple-channel input exhibited the highest learning efficacy in the training phase and had the highest accuracy in the testing dataset, with a dice coefficient of 0.82, sensitivity 0.89, and a positive predicted value 0.92. The first-order ADC radiomics parameters were significantly correlated between the manually contoured and fully automated segmentation methods (p &lt; 0.05). Reproducibility between the first and second training iterations was high for the first-order radiomics parameters (intraclass correlation coefficient = 0.70-0.99). CONCLUSION: U-Net-based deep learning can perform accurate localization and segmentation of cervical cancer in DW MR images. First-order radiomics features extracted from whole tumor volume demonstrate the potential robustness for longitudinal monitoring of tumor responses in broad clinical settings. U-Net-based deep learning can perform accurate localization and segmentation of cervical cancer in DW MR images. KEY POINTS: • U-Net-based deep learning can perform accurate fully automated localization and segmentation of cervical cancer in diffusion-weighted MR images. • Combining b0, b1000, and apparent diffusion coefficient (ADC) images exhibited the highest accuracy in fully automated localization. • First-order radiomics feature extraction from whole tumor volume was robust and could thus potentially be used for longitudinal monitoring of treatment responses.</t>
  </si>
  <si>
    <t>Fast learning of fiber orientation distribution function for MR tractography using convolutional neural network</t>
  </si>
  <si>
    <t>PURPOSE: In diffusion-weighted magnetic resonance imaging (DW-MRI), the fiber orientation distribution function (fODF) is of great importance for solving complex fiber configurations to achieve reliable tractography throughout the brain, which ultimately facilitates the understanding of brain connectivity and exploration of neurological dysfunction. Recently, multi-shell multi-tissue constrained spherical deconvolution (MSMT-CSD) method has been explored for reconstructing full fODFs. To achieve a reliable fitting, similar to other model-based approaches, a large number of diffusion measurements is typically required for MSMT-CSD method. The prolonged acquisition is, however, not feasible in practical clinical routine and is prone to motion artifacts. To accelerate the acquisition, we proposed a method to reconstruct the fODF from downsampled diffusion-weighted images (DWIs) by leveraging the strong inference ability of the deep convolutional neural network (CNN). METHODS: The method treats spherical harmonics (SH)-represented DWI signals and fODF coefficients as inputs and outputs, respectively. To compensate for the reduced gradient directions with reduced number of DWIs in acquisition in each voxel, its surrounding voxels are incorporated by the network for exploiting their spatial continuity. The resulting fODF coefficients are fitted with applying the CNN in a multi-target regression model. The network is composed of two convolutional layers and three fully connected layers. To obtain an initial evaluation of the method, we quantitatively measured its performance on a simulated dataset. Then, for in vivo tests, we employed data from 24 subjects from the Human Connectome Project (HCP) as training set and six subjects as test set. The performance of the proposed method was primarily compared to the super-resolved MSMT-CSD with the decreasing number of DWIs. The fODFs reconstructed by MSMT-CSD from all available 288 DWIs were used as training labels and the reference standard. The performance was quantitatively measured by the angular correlation coefficient (ACC) and the mean angular error (MAE). RESULTS: For the simulated dataset, the proposed method exhibited the potential advantage over the model reconstruction. For the in vivo dataset, it achieved superior results over the MSMT-CSD in all the investigated cases, with its advantage more obvious when a limited number of DWIs were used. As the number of DWIs was reduced from 95 to 25, the median ACC ranged from 0.96 to 0.91 for the CNN, but 0.93 to 0.77 for the MSMT-CSD (with perfect score of 1). The angular error in the typical regions of interest (ROIs) was also much lower, especially in multi-fiber regions. The average MAE for the CNN method in regions containing one, two, three fibers was, respectively, 1.09°, 2.75°, and 8.35° smaller than the MSMT-CSD method. The visual inception of the fODF further confirmed this superiority. Moreover, the tractography results validated the effectiveness of the learned fODF, in preserving known major branching fibers with only 25 DWIs. CONCLUSION: Experiments on HCP datasets demonstrated the feasibility of the proposed method in recovering fODFs from up to 11-fold reduced number of DWIs. The proposed method offers a new streamlined reconstruction procedure and exhibits promising potential in acquisition acceleration for the reconstruction of fODFs with good accuracy.</t>
  </si>
  <si>
    <t>Z. Lin, T. Gong, K. Wang, Z. Li, H. He, Q. Tong, F. Yu and J. Zhong</t>
  </si>
  <si>
    <t>Deep learning for segmentation of 49 selected bones in CT scans: First step in automated PET/CT-based 3D quantification of skeletal metastases</t>
  </si>
  <si>
    <t>PURPOSE: The aim of this study was to develop a deep learning-based method for segmentation of bones in CT scans and test its accuracy compared to manual delineation, as a first step in the creation of an automated PET/CT-based method for quantifying skeletal tumour burden. METHODS: Convolutional neural networks (CNNs) were trained to segment 49 bones using manual segmentations from 100 CT scans. After training, the CNN-based segmentation method was tested on 46 patients with prostate cancer, who had undergone (18)F-choline-PET/CT and (18)F-NaF PET/CT less than three weeks apart. Bone volumes were calculated from the segmentations. The network's performance was compared with manual segmentations of five bones made by an experienced physician. Accuracy of the spatial overlap between automated CNN-based and manual segmentations of these five bones was assessed using the Sørensen-Dice index (SDI). Reproducibility was evaluated applying the Bland-Altman method. RESULTS: The median (SD) volumes of the five selected bones were by CNN and manual segmentation: Th7 41 (3.8) and 36 (5.1), L3 76 (13) and 75 (9.2), sacrum 284 (40) and 283 (26), 7th rib 33 (3.9) and 31 (4.8), sternum 80 (11) and 72 (9.2), respectively. Median SDIs were 0.86 (Th7), 0.85 (L3), 0.88 (sacrum), 0.84 (7th rib) and 0.83 (sternum). The intraobserver volume difference was less with CNN-based than manual approach: Th7 2% and 14%, L3 7% and 8%, sacrum 1% and 3%, 7th rib 1% and 6%, sternum 3% and 5%, respectively. The average volume difference measured as ratio volume difference/mean volume between the two CNN-based segmentations was 5-6% for the vertebral column and ribs and ≤3% for other bones. CONCLUSION: The new deep learning-based method for automated segmentation of bones in CT scans provided highly accurate bone volumes in a fast and automated way and, thus, appears to be a valuable first step in the development of a clinical useful processing procedure providing reliable skeletal segmentation as a key part of quantification of skeletal metastases.</t>
  </si>
  <si>
    <t>S. Lindgren Belal, M. Sadik, R. Kaboteh, O. Enqvist, J. Ulén, M. H. Poulsen, J. Simonsen, P. F. Høilund-Carlsen, L. Edenbrandt and E. Trägårdh</t>
  </si>
  <si>
    <t>Using Synthetic Training Data for Deep Learning-Based GBM Segmentation</t>
  </si>
  <si>
    <t>In this work, fully automatic binary segmentation of GBMs (glioblastoma multiforme) in 2D magnetic resonance images is presented using a convolutional neural network trained exclusively on synthetic data. The precise segmentation of brain tumors is one of the most complex and challenging tasks in clinical practice and is usually done manually by radiologists or physicians. However, manual delineations are time-consuming, subjective and in general not reproducible. Hence, more advanced automated segmentation techniques are in great demand. After deep learning methods already successfully demonstrated their practical usefulness in other domains, they are now also attracting increasing interest in the field of medical image processing. Using fully convolutional neural networks for medical image segmentation provides considerable advantages, as it is a reliable, fast and objective technique. In the medical domain, however, only a very limited amount of data is available in the majority of cases, due to privacy issues among other things. Nevertheless, a sufficiently large training data set with ground truth annotations is required to successfully train a deep segmentation network. Therefore, a semi-automatic method for generating synthetic GBM data and the corresponding ground truth was utilized in this work. A U-Net-based segmentation network was then trained solely on this synthetically generated data set. Finally, the segmentation performance of the model was evaluated using real magnetic resonance images of GBMs.</t>
  </si>
  <si>
    <t>Deep neural network improves fracture detection by clinicians</t>
  </si>
  <si>
    <t>Suspected fractures are among the most common reasons for patients to visit emergency departments (EDs), and X-ray imaging is the primary diagnostic tool used by clinicians to assess patients for fractures. Missing a fracture in a radiograph often has severe consequences for patients, resulting in delayed treatment and poor recovery of function. Nevertheless, radiographs in emergency settings are often read out of necessity by emergency medicine clinicians who lack subspecialized expertise in orthopedics, and misdiagnosed fractures account for upward of four of every five reported diagnostic errors in certain EDs. In this work, we developed a deep neural network to detect and localize fractures in radiographs. We trained it to accurately emulate the expertise of 18 senior subspecialized orthopedic surgeons by having them annotate 135,409 radiographs. We then ran a controlled experiment with emergency medicine clinicians to evaluate their ability to detect fractures in wrist radiographs with and without the assistance of the deep learning model. The average clinician's sensitivity was 80.8% (95% CI, 76.7-84.1%) unaided and 91.5% (95% CI, 89.3-92.9%) aided, and specificity was 87.5% (95 CI, 85.3-89.5%) unaided and 93.9% (95% CI, 92.9-94.9%) aided. The average clinician experienced a relative reduction in misinterpretation rate of 47.0% (95% CI, 37.4-53.9%). The significant improvements in diagnostic accuracy that we observed in this study show that deep learning methods are a mechanism by which senior medical specialists can deliver their expertise to generalists on the front lines of medicine, thereby providing substantial improvements to patient care.</t>
  </si>
  <si>
    <t>R. Lindsey, A. Daluiski, S. Chopra, A. Lachapelle, M. Mozer, S. Sicular, D. Hanel, M. Gardner, A. Gupta, R. Hotchkiss and H. Potter</t>
  </si>
  <si>
    <t>10.1016/j.jcmg.2019.06.009</t>
  </si>
  <si>
    <t>State-of-the-Art Deep Learning in Cardiovascular Image Analysis</t>
  </si>
  <si>
    <t>Cardiovascular imaging is going to change substantially in the next decade, fueled by the deep learning revolution. For medical professionals, it is important to keep track of these developments to ensure that deep learning can have meaningful impact on clinical practice. This review aims to be a stepping stone in this process. The general concepts underlying most successful deep learning algorithms are explained, and an overview of the state-of-the-art deep learning in cardiovascular imaging is provided. This review discusses &gt;80 papers, covering modalities ranging from cardiac magnetic resonance, computed tomography, and single-photon emission computed tomography, to intravascular optical coherence tomography and echocardiography. Many different machines learning algorithms were used throughout these papers, with the most common being convolutional neural networks. Recent algorithms such as generative adversarial models were also used. The potential implications of deep learning algorithms on clinical practice, now and in the near future, are discussed.</t>
  </si>
  <si>
    <t>10.1016/j.media.2017.07.005</t>
  </si>
  <si>
    <t>A survey on deep learning in medical image analysis</t>
  </si>
  <si>
    <t>Deep learning algorithms, in particular convolutional networks, have rapidly become a methodology of choice for analyzing medical images. This paper reviews the major deep learning concepts pertinent to medical image analysis and summarizes over 300 contributions to the field, most of which appeared in the last year. We survey the use of deep learning for image classification, object detection, segmentation, registration, and other tasks. Concise overviews are provided of studies per application area: neuro, retinal, pulmonary, digital pathology, breast, cardiac, abdominal, musculoskeletal. We end with a summary of the current state-of-the-art, a critical discussion of open challenges and directions for future research.</t>
  </si>
  <si>
    <t>Deep learning as a tool for increased accuracy and efficiency of histopathological diagnosis</t>
  </si>
  <si>
    <t>Pathologists face a substantial increase in workload and complexity of histopathologic cancer diagnosis due to the advent of personalized medicine. Therefore, diagnostic protocols have to focus equally on efficiency and accuracy. In this paper we introduce 'deep learning' as a technique to improve the objectivity and efficiency of histopathologic slide analysis. Through two examples, prostate cancer identification in biopsy specimens and breast cancer metastasis detection in sentinel lymph nodes, we show the potential of this new methodology to reduce the workload for pathologists, while at the same time increasing objectivity of diagnoses. We found that all slides containing prostate cancer and micro- and macro-metastases of breast cancer could be identified automatically while 30-40% of the slides containing benign and normal tissue could be excluded without the use of any additional immunohistochemical markers or human intervention. We conclude that 'deep learning' holds great promise to improve the efficacy of prostate cancer diagnosis and breast cancer staging.</t>
  </si>
  <si>
    <t>G. Litjens, C. I. Sánchez, N. Timofeeva, M. Hermsen, I. Nagtegaal, I. Kovacs, C. Hulsbergen-van de Kaa, P. Bult, B. van Ginneken and J. van der Laak</t>
  </si>
  <si>
    <t>10.1007/s00432-019-03098-5</t>
  </si>
  <si>
    <t>Evolving the pulmonary nodules diagnosis from classical approaches to deep learning-aided decision support: three decades' development course and future prospect</t>
  </si>
  <si>
    <t>PURPOSE: Lung cancer is the commonest cause of cancer deaths worldwide, and its mortality can be reduced significantly by performing early diagnosis and screening. Since the 1960s, driven by the pressing needs to accurately and effectively interpret the massive volume of chest images generated daily, computer-assisted diagnosis of pulmonary nodule has opened up new opportunities to relax the limitation from physicians' subjectivity, experiences and fatigue. And the fair access to the reliable and affordable computer-assisted diagnosis will fight the inequalities in incidence and mortality between populations. It has been witnessed that significant and remarkable advances have been achieved since the 1980s, and consistent endeavors have been exerted to deal with the grand challenges on how to accurately detect the pulmonary nodules with high sensitivity at low false-positive rate as well as on how to precisely differentiate between benign and malignant nodules. There is a lack of comprehensive examination of the techniques' development which is evolving the pulmonary nodules diagnosis from classical approaches to machine learning-assisted decision support. The main goal of this investigation is to provide a comprehensive state-of-the-art review of the computer-assisted nodules detection and benign-malignant classification techniques developed over three decades, which have evolved from the complicated ad hoc analysis pipeline of conventional approaches to the simplified seamlessly integrated deep learning techniques. This review also identifies challenges and highlights opportunities for future work in learning models, learning algorithms and enhancement schemes for bridging current state to future prospect and satisfying future demand. CONCLUSION: It is the first literature review of the past 30 years' development in computer-assisted diagnosis of lung nodules. The challenges indentified and the research opportunities highlighted in this survey are significant for bridging current state to future prospect and satisfying future demand. The values of multifaceted driving forces and multidisciplinary researches are acknowledged that will make the computer-assisted diagnosis of pulmonary nodules enter into the main stream of clinical medicine and raise the state-of-the-art clinical applications as well as increase both welfares of physicians and patients. We firmly hold the vision that fair access to the reliable, faithful, and affordable computer-assisted diagnosis for early cancer diagnosis would fight the inequalities in incidence and mortality between populations, and save more lives.</t>
  </si>
  <si>
    <t>Toward automatic quantification of knee osteoarthritis severity using improved Faster R-CNN</t>
  </si>
  <si>
    <t>PURPOSE: Knee osteoarthritis (OA) is a common disease that impairs knee function and causes pain. Radiologists usually review knee X-ray images and grade the severity of the impairments according to the Kellgren-Lawrence grading scheme. However, this approach becomes inefficient in hospitals with high throughput as it is time-consuming, tedious and also subjective. This paper introduces a model for automatic diagnosis of knee OA based on an end-to-end deep learning method. METHOD: In order to process the input images with location and classification simultaneously, we use Faster R-CNN as baseline, which consists of region proposal network (RPN) and Fast R-CNN. The RPN is trained to generate region proposals, which contain knee joint and then be used by Fast R-CNN for classification. Due to the localized classification via CNNs, the useless information in X-ray images can be filtered and we can extract clinically relevant features. For the further improvement in the model's performance, we use a novel loss function whose weighting scheme allows us to address the class imbalance. Besides, larger anchors are used to overcome the problem that anchors don't match the object when increasing the input size of X-ray images. RESULT: The performance of the proposed model is thoroughly assessed using various measures. The results show that our adjusted model outperforms the Faster R-CNN, achieving a mean average precision nearly 0.82 with a sensitivity above 78% and a specificity above 94%. It takes 0.33 s to test each image, which achieves a better trade-off between accuracy and speed. CONCLUSION: The proposed end-to-end fully automatic model which is computationally efficient has the potential to achieve the real automatic diagnosis of knee OA and be used as computer-aided diagnosis tools in clinical applications.</t>
  </si>
  <si>
    <t>A self-adaptive deep learning method for automated eye laterality detection based on color fundus photography</t>
  </si>
  <si>
    <t>PURPOSE: To provide a self-adaptive deep learning (DL) method to automatically detect the eye laterality based on fundus images. METHODS: A total of 18394 fundus images with real-world eye laterality labels were used for model development and internal validation. A separate dataset of 2000 fundus images with eye laterality labeled manually was used for external validation. A DL model was developed based on a fine-tuned Inception-V3 network with self-adaptive strategy. The area under receiver operator characteristic curve (AUC) with sensitivity and specificity and confusion matrix were applied to assess the model performance. The class activation map (CAM) was used for model visualization. RESULTS: In the external validation (N = 2000, 50% labeled as left eye), the AUC of the DL model for overall eye laterality detection was 0.995 (95% CI, 0.993-0.997) with an accuracy of 99.13%. Specifically for left eye detection, the sensitivity was 99.00% (95% CI, 98.11%-99.49%) and the specificity was 99.10% (95% CI, 98.23%-99.56%). Nineteen images were wrongly classified as compared to the human labels: 12 were due to human wrong labelling, while 7 were due to poor image quality. The CAM showed that the region of interest for eye laterality detection was mainly the optic disc and surrounding areas. CONCLUSION: We proposed a self-adaptive DL method with a high performance in detecting eye laterality based on fundus images. Results of our findings were based on real world labels and thus had practical significance in clinical settings.</t>
  </si>
  <si>
    <t>A modality conversion approach to MV-DRs and KV-DRRs registration using information bottlenecked conditional generative adversarial network</t>
  </si>
  <si>
    <t>PURPOSE: As affordable equipment, electronic portal imaging devices (EPIDs) are wildly used in radiation therapy departments to verify patients' positions for accurate radiotherapy. However, these devices tend to produce visually ambiguous and low-contrast planar digital radiographs under megavoltage x ray (MV-DRs), which poses a tremendous challenge for clinicians to perform multimodal registration between the MV-DRs and the kilovoltage digital reconstructed radiographs (KV-DRRs) developed from the planning computed tomography. Furthermore, the existent of strong appearance variations also makes accurate registration beyond the reach of current automatic algorithms. METHODS: We propose a novel modality conversion approach to this task that first synthesizes KV images from MV-DRs, and then registers the synthesized and real KV-DRRs. We focus on the synthesis technique and develop a conditional generative adversarial network with information bottleneck extension (IB-cGAN) that takes MV-DRs and nonaligned KV-DRRs as inputs and outputs synthesized KV images. IB-cGAN is designed to address two main challenges in deep-learning-based synthesis: (a) training with a roughly aligned dataset suffering from noisy correspondences; (b) making synthesized images have real clinical meanings that faithfully reflects MV-DRs rather than nonaligned KV-DRRs. Accordingly, IB-cGAN employs (a) an adversarial loss to provide training supervision at semantic level rather than the imprecise pixel level; (b) an IB to constrain the information from the nonaligned KV-DRRs. RESULTS: We collected 2698 patient scans to train the model and 208 scans to test its performance. The qualitative results demonstrate realistic KV images can be synthesized allowing clinicians to perform the visual registration. The quantitative results show it significantly outperforms current nonmodality conversion methods by 22.37% (P = 0.0401) in terms of registration accuracy. CONCLUSIONS: The modality conversion approach facilitates the downstream MV-KV registration for both clinicians and off-the-shelf registration algorithms. With this approach, it is possible to benefit the developing countries where inexpensive EPIDs are widely used for the image-guided radiation therapy.</t>
  </si>
  <si>
    <t>A fully automatic segmentation algorithm for CT lung images based on random forest</t>
  </si>
  <si>
    <t>PURPOSE: Several negative factors, such as juxta-pleural nodules, pulmonary vessels, and image noise, make accurately segmenting lungs from computed tomography (CT) images a complex task. We propose a novel hybrid automated algorithm in the paper based on random forest to deal with the issues. Our method aims to eliminate the effect of the factors and generate accurate segmentation of lungs from CT images. METHODS: Our algorithm consists of five main steps: image preprocessing, lung region extraction, trachea elimination, lung separation, and contour correction. A lung CT image is first preprocessed with a novel normal vector correlation-based image denoising approach and decomposed into a group of multiscale subimages. A modified superpixel segmentation method is then performed on the first-level subimage to generate a set of superpixels, and a random forest classifier is employed to segment the lungs by classifying the superpixels of each subimage-based on the features extracted from them. The initial lung segmentation result is further refined through trachea elimination using an iterative thresholding approach, lung separation based on context information of image sequence, and contour correction with a corner detection technique. RESULTS: Our algorithm is tested on a set of CT images affected with interstitial lung diseases, and experiments show that the algorithm achieves high accuracy on lung segmentation with 0.9638 Jaccard's index and 0.9867 Dice similarity coefficient, compared with ground truths. Additionally, our algorithm achieves an average 7.7% better Dice similarity coefficient than compared conventional lung segmentation methods and 1% better than Deep Learning. CONCLUSIONS: Our algorithm can segment lungs from lung CT images with good performance in a fully automatic fashion, and it is of great assistance for lung disease detection in the computer-aided detection system.</t>
  </si>
  <si>
    <t>Partial-ring PET image restoration using a deep learning based method</t>
  </si>
  <si>
    <t>PET scanners with partial-ring geometry have been proposed for various imaging purposes. The incomplete projection data obtained from this design cause undesirable artifacts in the reconstructed images. In this study, we investigated the performance of a deep learning (DL) based method for the recovery of partial-ring PET images. Twenty digital brain phantoms were used in the Monte Carlo simulation toolkit, SimSET, to simulate 15 min full-ring PET scans. Partial-ring PET data were generated from full-ring PET data by removing coincidence events that hit these specific detector blocks. A convolutional neural network based on the residual U-Net architecture was trained to predict full-ring data from partial-ring data in either the projection or image domain. The performance of the proposed DL-based method was evaluated by comparing with the PET images reconstructed using the full-ring projection data in terms of the mean squared error (MSE), structural similarity (SSIM) index and recovery coefficient (RC). The MSE results showed the superiority of the image-domain approach in reduction of 91.7% in contrast to 14.3% for the projection-domain approach. Therefore, the image-domain approach was used to study the influence of the number of detector block removal. The SSIM results were 0.998, 0.996 and 0.993 for 3, 5 and 7 detector block removals, respectively. The activity of gray and white matters could be fully recovered even with 7 detector block removal, while the RCs of two artificially inserted small lesions (3 pixels in diameter) in the testing data were 94%, 89% and 79% for 3, 5, and 7 detector block removals, respectively. Our simulation results suggest that DL has the potential to recover partial-ring PET images.</t>
  </si>
  <si>
    <t>A deep learning approach for converting prompt gamma images to proton dose distributions: A Monte Carlo simulation study</t>
  </si>
  <si>
    <t>PURPOSE: In proton therapy, imaging prompt gamma (PG) rays has the potential to verify proton dose (PD) distribution. Despite the fact that there is a strong correlation between the gamma-ray emission and PD, they are still different in terms of the distribution and the Bragg peak (BP) position. In this work, we investigated the feasibility of using a deep learning approach to convert PG images to PD distributions. METHODS: We designed the Monte Carlo simulations using 20 digital brain phantoms irradiated with a 100-MeV proton pencil beam. Each phantom was used to simulate 200 pairs of PG images and PD distributions. A convolutional neural network based on the U-net architecture was trained to predict PD distributions from PG images. RESULTS: Our simulation results show that the pseudo PD distributions derived from the corresponding PG images agree well with the simulated ground truths. The mean of the BP position errors from each phantom was less than 0.4 mm. We also found that 2000 pairs of PG images and dose distributions would be sufficient to train the U-net. Moreover, the trained network could be deployed on the unseen data (i.e. different beam sizes, proton energies and real patient CT data). CONCLUSIONS: Our simulation study has shown the feasibility of predicting PD distributions from PG images using a deep learning approach, but the reliable prediction of PD distributions requires high-quality PG images. Image-degrading factors such as low counts and limited spatial resolution need to be considered in order to obtain high-quality PG images.</t>
  </si>
  <si>
    <t>Higher SNR PET image prediction using a deep learning model and MRI image</t>
  </si>
  <si>
    <t>PET images often suffer poor signal-to-noise ratio (SNR). Our objective is to improve the SNR of PET images using a deep neural network (DNN) model and MRI images without requiring any higher SNR PET images in training. Our proposed DNN model consists of three modified U-Nets (3U-net). The PET training input data and targets were reconstructed using filtered-backprojection (FBP) and maximum likelihood expectation maximization (MLEM), respectively. FBP reconstruction was used because of its computational efficiency so that the trained network not only removes noise, but also accelerates image reconstruction. Digital brain phantoms downloaded from BrainWeb were used to evaluate the proposed method. Poisson noise was added into sinogram data to simulate a 6 min brain PET scan. Attenuation effect was included and corrected before the image reconstruction. Extra Poisson noise was introduced to the training inputs to improve the network denoising capability. Three independent experiments were conducted to examine the reproducibility. A lesion was inserted into testing data to evaluate the impact of mismatched MRI information using the contrast-to-noise ratio (CNR). The negative impact on noise reduction was also studied when miscoregistration between PET and MRI images occurs. Compared with 1U-net trained with only PET images, training with PET/MRI decreased the mean squared error (MSE) by 31.3% and 34.0% for 1U-net and 3U-net, respectively. The MSE reduction is equivalent to an increase in the count level by 2.5 folds and 2.9 folds for 1U-net and 3U-net, respectively. Compared with the MLEM images, the lesion CNR was improved 2.7 folds and 1.4 folds for 1U-net and 3U-net, respectively. The results show that the proposed method could improve the PET SNR without having higher SNR PET images.</t>
  </si>
  <si>
    <t>Using deep Siamese neural networks for detection of brain asymmetries associated with Alzheimer's Disease and Mild Cognitive Impairment</t>
  </si>
  <si>
    <t>In recent studies, neuroanatomical volume and shape asymmetries have been seen during the course of Alzheimer's Disease (AD) and could potentially be used as preclinical imaging biomarkers for the prediction of Mild Cognitive Impairment (MCI) and AD dementia. In this study, a deep learning framework utilizing Siamese neural networks trained on paired lateral inter-hemispheric regions is used to harness the discriminative power of whole-brain volumetric asymmetry. The method uses the MRICloud pipeline to yield low-dimensional volumetric features of pre-defined atlas brain structures, and a novel non-linear kernel trick to normalize these features to reduce batch effects across datasets and populations. By working with the low-dimensional features, Siamese networks were shown to yield comparable performance to studies that utilize whole-brain MR images, with the advantage of reduced complexity and computational time, while preserving the biological information density. Experimental results also show that Siamese networks perform better in certain metrics by explicitly encoding the asymmetry in brain volumes, compared to traditional prediction methods that do not use the asymmetry, on the ADNI and BIOCARD datasets.</t>
  </si>
  <si>
    <t>Accurate prediction of responses to transarterial chemoembolization for patients with hepatocellular carcinoma by using artificial intelligence in contrast-enhanced ultrasound</t>
  </si>
  <si>
    <t>OBJECTIVES: We aimed to establish and validate an artificial intelligence-based radiomics strategy for predicting personalized responses of hepatocellular carcinoma (HCC) to first transarterial chemoembolization (TACE) session by quantitatively analyzing contrast-enhanced ultrasound (CEUS) cines. METHODS: One hundred and thirty HCC patients (89 for training, 41 for validation), who received ultrasound examination (CEUS and B-mode) within 1 week before the first TACE session, were retrospectively enrolled. Ultrasonographic data was used for building and validating deep learning radiomics-based CEUS model (R-DLCEUS), machine learning radiomics-based time-intensity curve of CEUS model (R-TIC), and machine learning radiomics-based B-Mode images model (R-BMode), respectively, to predict responses (objective-response and non-response) to TACE with reference to modified response evaluation criteria in solid tumor. The performance of models was compared by areas under the receiver operating characteristic curve (AUC) and the DeLong test was used to compare different AUCs. The prediction robustness was assessed for each model. RESULTS: AUCs of R-DLCEUS, R-TIC, and R-BMode were 0.93 (95% CI, 0.80-0.98), 0.80 (95% CI, 0.64-0.90), and 0.81 (95% CI, 0.67-0.95) in the validation cohort, respectively. AUC of R-DLCEUS shows significant difference compared with that of R-TIC (p = 0.034) and R-BMode (p = 0.039), whereas R-TIC was not significantly different from R-BMode. The performance was highly reproducible with different training and validation cohorts. CONCLUSIONS: DL-based radiomics method can effectively utilize CEUS cines to achieve accurate and personalized prediction. It is easy to operate and holds good potential for benefiting TACE candidates in clinical practice. KEY POINTS: • Deep learning (DL) radiomics-based CEUS model can accurately predict responses of HCC patients to their first TACE session by quantitatively analyzing their pre-operative CEUS cines. • The visualization of the 3D CNN analysis adopted in CEUS model provided direct insight into what computers see on CEUS cines, which can help people understand the interpretation of CEUS data. • The proposed prediction method is easy to operate and labor-saving for clinical practice, facilitating the clinical treatment decision of HCCs with very few time costs.</t>
  </si>
  <si>
    <t>SUSAN: segment unannotated image structure using adversarial network</t>
  </si>
  <si>
    <t>PURPOSE: To describe and evaluate a segmentation method using joint adversarial and segmentation convolutional neural network to achieve accurate segmentation using unannotated MR image datasets. THEORY AND METHODS: A segmentation pipeline was built using joint adversarial and segmentation network. A convolutional neural network technique called cycle-consistent generative adversarial network (CycleGAN) was applied as the core of the method to perform unpaired image-to-image translation between different MR image datasets. A joint segmentation network was incorporated into the adversarial network to obtain additional functionality for semantic segmentation. The fully automated segmentation method termed as SUSAN was tested for segmenting bone and cartilage on 2 clinical knee MR image datasets using images and annotated segmentation masks from an online publicly available knee MR image dataset. The segmentation results were compared using quantitative segmentation metrics with the results from a supervised U-Net segmentation method and 2 registration methods. The Wilcoxon signed-rank test was used to evaluate the value difference of quantitative metrics between different methods. RESULTS: The proposed method SUSAN provided high segmentation accuracy with results comparable to the supervised U-Net segmentation method (most quantitative metrics having P &gt; 0.05) and significantly better than a multiatlas registration method (all quantitative metrics having P &lt; 0.001) and a direct registration method (all quantitative metrics having P&lt; 0.0001) for the clinical knee image datasets. SUSAN also demonstrated the applicability for segmenting knee MR images with different tissue contrasts. CONCLUSION: SUSAN performed rapid and accurate tissue segmentation for multiple MR image datasets without the need for sequence specific segmentation annotation. The joint adversarial and segmentation network and training strategy have promising potential applications in medical image segmentation.</t>
  </si>
  <si>
    <t>F. Liu</t>
  </si>
  <si>
    <t>MANTIS: Model-Augmented Neural neTwork with Incoherent k-space Sampling for efficient MR parameter mapping</t>
  </si>
  <si>
    <t>PURPOSE: To develop and evaluate a novel deep learning-based image reconstruction approach called MANTIS (Model-Augmented Neural neTwork with Incoherent k-space Sampling) for efficient MR parameter mapping. METHODS: MANTIS combines end-to-end convolutional neural network (CNN) mapping, incoherent k-space undersampling, and a physical model as a synergistic framework. The CNN mapping directly converts a series of undersampled images straight into MR parameter maps using supervised training. Signal model fidelity is enforced by adding a pathway between the undersampled k-space and estimated parameter maps to ensure that the parameter maps produced synthesized k-space consistent with the acquired undersampling measurements. The MANTIS framework was evaluated on the T(2) mapping of the knee at different acceleration rates and was compared with 2 other CNN mapping methods and conventional sparsity-based iterative reconstruction approaches. Global quantitative assessment and regional T(2) analysis for the cartilage and meniscus were performed to demonstrate the reconstruction performance of MANTIS. RESULTS: MANTIS achieved high-quality T(2) mapping at both moderate (R = 5) and high (R = 8) acceleration rates. Compared to conventional reconstruction approaches that exploited image sparsity, MANTIS yielded lower errors (normalized root mean square error of 6.1% for R = 5 and 7.1% for R = 8) and higher similarity (structural similarity index of 86.2% at R = 5 and 82.1% at R = 8) to the reference in the T(2) estimation. MANTIS also achieved superior performance compared to direct CNN mapping and a 2-step CNN method. CONCLUSION: The MANTIS framework, with a combination of end-to-end CNN mapping, signal model-augmented data consistency, and incoherent k-space sampling, is a promising approach for efficient and robust estimation of quantitative MR parameters.</t>
  </si>
  <si>
    <t>Deep Learning MR Imaging-based Attenuation Correction for PET/MR Imaging</t>
  </si>
  <si>
    <t>Purpose To develop and evaluate the feasibility of deep learning approaches for magnetic resonance (MR) imaging-based attenuation correction (AC) (termed deep MRAC) in brain positron emission tomography (PET)/MR imaging. Materials and Methods A PET/MR imaging AC pipeline was built by using a deep learning approach to generate pseudo computed tomographic (CT) scans from MR images. A deep convolutional auto-encoder network was trained to identify air, bone, and soft tissue in volumetric head MR images coregistered to CT data for training. A set of 30 retrospective three-dimensional T1-weighted head images was used to train the model, which was then evaluated in 10 patients by comparing the generated pseudo CT scan to an acquired CT scan. A prospective study was carried out for utilizing simultaneous PET/MR imaging for five subjects by using the proposed approach. Analysis of covariance and paired-sample t tests were used for statistical analysis to compare PET reconstruction error with deep MRAC and two existing MR imaging-based AC approaches with CT-based AC. Results Deep MRAC provides an accurate pseudo CT scan with a mean Dice coefficient of 0.971 ± 0.005 for air, 0.936 ± 0.011 for soft tissue, and 0.803 ± 0.021 for bone. Furthermore, deep MRAC provides good PET results, with average errors of less than 1% in most brain regions. Significantly lower PET reconstruction errors were realized with deep MRAC (-0.7% ± 1.1) compared with Dixon-based soft-tissue and air segmentation (-5.8% ± 3.1) and anatomic CT-based template registration (-4.8% ± 2.2). Conclusion The authors developed an automated approach that allows generation of discrete-valued pseudo CT scans (soft tissue, bone, and air) from a single high-spatial-resolution diagnostic-quality three-dimensional MR image and evaluated it in brain PET/MR imaging. This deep learning approach for MR imaging-based AC provided reduced PET reconstruction error relative to a CT-based standard within the brain compared with current MR imaging-based AC approaches. (©) RSNA, 2017 Online supplemental material is available for this article.</t>
  </si>
  <si>
    <t>F. Liu, H. Jang, R. Kijowski, T. Bradshaw and A. B. McMillan</t>
  </si>
  <si>
    <t>Cascaded one-shot deformable convolutional neural networks: Developing a deep learning model for respiratory motion estimation in ultrasound sequences</t>
  </si>
  <si>
    <t>Improving the quality of image-guided radiation therapy requires the tracking of respiratory motion in ultrasound sequences. However, the low signal-to-noise ratio and the artifacts in ultrasound images make it difficult to track targets accurately and robustly. In this study, we propose a novel deep learning model, called a Cascaded One-shot Deformable Convolutional Neural Network (COSD-CNN), to track landmarks in real time in long ultrasound sequences. Specifically, we design a cascaded Siamese network structure to improve the tracking performance of CNN-based methods. We propose a one-shot deformable convolution module to enhance the robustness of the COSD-CNN to appearance variation in a meta-learning manner. Moreover, we design a simple and efficient unsupervised strategy to facilitate the network's training with a limited number of medical images, in which many corner points are selected from raw ultrasound images to learn network features with high generalizability. The proposed COSD-CNN has been extensively evaluated on the public Challenge on Liver UltraSound Tracking (CLUST) 2D dataset and on our own ultrasound image dataset from the First Affiliated Hospital of Sun Yat-sen University (FSYSU). Experiment results show that the proposed model can track a target through an ultrasound sequence with high accuracy and robustness. Our method achieves new state-of-the-art performance on the CLUST 2D benchmark set, indicating its strong potential for application in clinical practice.</t>
  </si>
  <si>
    <t>SANTIS: Sampling-Augmented Neural neTwork with Incoherent Structure for MR image reconstruction</t>
  </si>
  <si>
    <t>PURPOSE: To develop and evaluate a novel deep learning-based reconstruction framework called SANTIS (Sampling-Augmented Neural neTwork with Incoherent Structure) for efficient MR image reconstruction with improved robustness against sampling pattern discrepancy. METHODS: With a combination of data cycle-consistent adversarial network, end-to-end convolutional neural network mapping, and data fidelity enforcement for reconstructing undersampled MR data, SANTIS additionally utilizes a sampling-augmented training strategy by extensively varying undersampling patterns during training, so that the network is capable of learning various aliasing structures and thereby removing undersampling artifacts more effectively and robustly. The performance of SANTIS was demonstrated for accelerated knee imaging and liver imaging using a Cartesian trajectory and a golden-angle radial trajectory, respectively. Quantitative metrics were used to assess its performance against different references. The feasibility of SANTIS in reconstructing dynamic contrast-enhanced images was also demonstrated using transfer learning. RESULTS: Compared to conventional reconstruction that exploits image sparsity, SANTIS achieved consistently improved reconstruction performance (lower errors and greater image sharpness). Compared to standard learning-based methods without sampling augmentation (e.g., training with a fixed undersampling pattern), SANTIS provides comparable reconstruction performance, but significantly improved robustness, against sampling pattern discrepancy. SANTIS also achieved encouraging results for reconstructing liver images acquired at different contrast phases. CONCLUSION: By extensively varying undersampling patterns, the sampling-augmented training strategy in SANTIS can remove undersampling artifacts more robustly. The novel concept behind SANTIS can particularly be useful for improving the robustness of deep learning-based image reconstruction against discrepancy between training and inference, an important, but currently less explored, topic.</t>
  </si>
  <si>
    <t>MR-based treatment planning in radiation therapy using a deep learning approach</t>
  </si>
  <si>
    <t>PURPOSE: To develop and evaluate the feasibility of deep learning approaches for MR-based treatment planning (deepMTP) in brain tumor radiation therapy. METHODS AND MATERIALS: A treatment planning pipeline was constructed using a deep learning approach to generate continuously valued pseudo CT images from MR images. A deep convolutional neural network was designed to identify tissue features in volumetric head MR images training with co-registered kVCT images. A set of 40 retrospective 3D T1-weighted head images was utilized to train the model, and evaluated in 10 clinical cases with brain metastases by comparing treatment plans using deep learning generated pseudo CT and using an acquired planning kVCT. Paired-sample Wilcoxon signed rank sum tests were used for statistical analysis to compare dosimetric parameters of plans made with pseudo CT images generated from deepMTP to those made with kVCT-based clinical treatment plan (CTTP). RESULTS: deepMTP provides an accurate pseudo CT with Dice coefficients for air: 0.95 ± 0.01, soft tissue: 0.94 ± 0.02, and bone: 0.85 ± 0.02 and a mean absolute error of 75 ± 23 HU compared with acquired kVCTs. The absolute percentage differences of dosimetric parameters between deepMTP and CTTP was 0.24% ± 0.46% for planning target volume (PTV) volume, 1.39% ± 1.31% for maximum dose and 0.27% ± 0.79% for the PTV receiving 95% of the prescribed dose (V95). Furthermore, no significant difference was found for PTV volume (P = 0.50), the maximum dose (P = 0.83) and V95 (P = 0.19) between deepMTP and CTTP. CONCLUSIONS: We have developed an automated approach (deepMTP) that allows generation of a continuously valued pseudo CT from a single high-resolution 3D MR image and evaluated it in partial brain tumor treatment planning. The deepMTP provided dose distribution with no significant difference relative to a kVCT-based standard volumetric modulated arc therapy plans.</t>
  </si>
  <si>
    <t>F. Liu, P. Yadav, A. M. Baschnagel and A. B. McMillan</t>
  </si>
  <si>
    <t>J Appl Clin Med Phys</t>
  </si>
  <si>
    <t>Deep convolutional neural network and 3D deformable approach for tissue segmentation in musculoskeletal magnetic resonance imaging</t>
  </si>
  <si>
    <t>PURPOSE: To describe and evaluate a new fully automated musculoskeletal tissue segmentation method using deep convolutional neural network (CNN) and three-dimensional (3D) simplex deformable modeling to improve the accuracy and efficiency of cartilage and bone segmentation within the knee joint. METHODS: A fully automated segmentation pipeline was built by combining a semantic segmentation CNN and 3D simplex deformable modeling. A CNN technique called SegNet was applied as the core of the segmentation method to perform high resolution pixel-wise multi-class tissue classification. The 3D simplex deformable modeling refined the output from SegNet to preserve the overall shape and maintain a desirable smooth surface for musculoskeletal structure. The fully automated segmentation method was tested using a publicly available knee image data set to compare with currently used state-of-the-art segmentation methods. The fully automated method was also evaluated on two different data sets, which include morphological and quantitative MR images with different tissue contrasts. RESULTS: The proposed fully automated segmentation method provided good segmentation performance with segmentation accuracy superior to most of state-of-the-art methods in the publicly available knee image data set. The method also demonstrated versatile segmentation performance on both morphological and quantitative musculoskeletal MR images with different tissue contrasts and spatial resolutions. CONCLUSION: The study demonstrates that the combined CNN and 3D deformable modeling approach is useful for performing rapid and accurate cartilage and bone segmentation within the knee joint. The CNN has promising potential applications in musculoskeletal imaging. Magn Reson Med 79:2379-2391, 2018. © 2017 International Society for Magnetic Resonance in Medicine.</t>
  </si>
  <si>
    <t>F. Liu, Z. Zhou, H. Jang, A. Samsonov, G. Zhao and R. Kijowski</t>
  </si>
  <si>
    <t>Deep Learning Approach for Evaluating Knee MR Images: Achieving High Diagnostic Performance for Cartilage Lesion Detection</t>
  </si>
  <si>
    <t>Purpose To determine the feasibility of using a deep learning approach to detect cartilage lesions (including cartilage softening, fibrillation, fissuring, focal defects, diffuse thinning due to cartilage degeneration, and acute cartilage injury) within the knee joint on MR images. Materials and Methods A fully automated deep learning-based cartilage lesion detection system was developed by using segmentation and classification convolutional neural networks (CNNs). Fat-suppressed T2-weighted fast spin-echo MRI data sets of the knee of 175 patients with knee pain were retrospectively analyzed by using the deep learning method. The reference standard for training the CNN classification was the interpretation provided by a fellowship-trained musculoskeletal radiologist of the presence or absence of a cartilage lesion within 17 395 small image patches placed on the articular surfaces of the femur and tibia. Receiver operating curve (ROC) analysis and the κ statistic were used to assess diagnostic performance and intraobserver agreement for detecting cartilage lesions for two individual evaluations performed by the cartilage lesion detection system. Results The sensitivity and specificity of the cartilage lesion detection system at the optimal threshold according to the Youden index were 84.1% and 85.2%, respectively, for evaluation 1 and 80.5% and 87.9%, respectively, for evaluation 2. Areas under the ROC curve were 0.917 and 0.914 for evaluations 1 and 2, respectively, indicating high overall diagnostic accuracy for detecting cartilage lesions. There was good intraobserver agreement between the two individual evaluations, with a κ of 0.76. Conclusion This study demonstrated the feasibility of using a fully automated deep learning-based cartilage lesion detection system to evaluate the articular cartilage of the knee joint with high diagnostic performance and good intraobserver agreement for detecting cartilage degeneration and acute cartilage injury. © RSNA, 2018 Online supplemental material is available for this article .</t>
  </si>
  <si>
    <t>F. Liu, Z. Zhou, A. Samsonov, D. Blankenbaker, W. Larison, A. Kanarek, K. Lian, S. Kambhampati and R. Kijowski</t>
  </si>
  <si>
    <t>A cascaded dual-pathway residual network for lung nodule segmentation in CT images</t>
  </si>
  <si>
    <t>It is difficult to obtain an accurate segmentation due to the variety of lung nodules in computed tomography (CT) images. In this study, we propose a data-driven model, called the Cascaded Dual-Pathway Residual Network (CDP-ResNet) to improve the segmentation of lung nodules in the CT images. Our approach incorporates the multi-view and multi-scale features of different nodules from CT images. The proposed residual block based dual-path network extracts local features and rich contextual information of lung nodules. In addition, we designed an improved weighted sampling strategy to select training samples based on the edge. The proposed method was extensively evaluated on an LIDC dataset, which contains 986 nodules. Experimental results show that the CDP-ResNet achieves superior segmentation performance with an average DICE score (standard deviation) of 81.58% (11.05) on the LIDC dataset. Moreover, we compared our results with those of four radiologists on the same dataset. The comparison shows that the CDP-ResNet is slightly better than human experts in terms of segmentation accuracy. Meanwhile, the proposed segmentation method outperforms existing methods.</t>
  </si>
  <si>
    <t>H. Liu, H. Cao, E. Song, G. Ma, X. Xu, R. Jin, Y. Jin and C. C. Hung</t>
  </si>
  <si>
    <t>A new data augmentation method based on local image warping for medical image segmentation</t>
  </si>
  <si>
    <t>PURPOSE: The segmentation accuracy of medical images was improved by increasing the number of training samples using a local image warping technique. The performance of the proposed method was evaluated in the segmentation of breast masses, prostate and brain tumors, and lung nodules. METHODS: We propose a simple data augmentation method which is called stochastic evolution (SE). Specifically, the idea of stochastic evolution stems from our thinking about the deterioration of the diseased tissue and the healing process. In order to simulate this natural process, we implement it according to the local distortion algorithm in image warping. In other words, the irregular deterioration and healing processes of the diseased tissue is simulated according to the direction of the local distortion, thereby producing a natural sample that is indistinguishable by humans. RESULTS: The proposed method is evaluated on four segmentation tasks of breast masses, prostate, brain tumors and lung nodules. Comparing the experimental results of four segmentation methods based on the UNet segmentation architecture without adding any expanded data during training, the accuracy and the Hausdorff distance obtained in our approach remain almost the same as other methods. However, the dice similarity coefficient (DSC) and sensitivity (SEN) have both improved to some extent. Among them, DSC is increased by 5.2%, 2.8%, 1.0% and 3.2%, respectively; SEN is increased by 6.9%, 4.3%, 1.2% and 4.5%, respectively. CONCLUSIONS: Experimental results show that the proposed SE data augmentation method could improve the segmentation accuracy of breast masses, prostate, brain tumors and lung nodules. The method also shows the robustness with different image datasets and imaging modalities.</t>
  </si>
  <si>
    <t>SDFN: Segmentation-based deep fusion network for thoracic disease classification in chest X-ray images</t>
  </si>
  <si>
    <t>This study aims to automatically diagnose thoracic diseases depicted on the chest x-ray (CXR) images using deep convolutional neural networks. The existing methods generally used the entire CXR images for training purposes, but this strategy may suffer from two drawbacks. First, potential misalignment or the existence of irrelevant objects in the entire CXR images may cause unnecessary noise and thus limit the network performance. Second, the relatively low image resolution caused by the resizing operation, which is a common pre-processing procedure for training neural networks, may lead to the loss of image details, making it difficult to detect pathologies with small lesion regions. To address these issues, we present a novel method termed as segmentation-based deep fusion network (SDFN), which leverages the domain knowledge and the higher-resolution information of local lung regions. Specifically, the local lung regions were identified and cropped by the Lung Region Generator (LRG). Two CNN-based classification models were then used as feature extractors to obtain the discriminative features of the entire CXR images and the cropped lung region images. Lastly, the obtained features were fused by the feature fusion module for disease classification. Evaluated by the NIH benchmark split on the Chest X-ray 14 Dataset, our experimental result demonstrated that the developed method achieved more accurate disease classification compared with the available approaches via the receiver operating characteristic (ROC) analyses. It was also found that the SDFN could localize the lesion regions more precisely as compared to the traditional method.</t>
  </si>
  <si>
    <t>Noise reduction with cross-tracer and cross-protocol deep transfer learning for low-dose PET</t>
  </si>
  <si>
    <t>Previous studies have demonstrated the feasibility of reducing noise with deep learning-based methods for low-dose fluorodeoxyglucose (FDG) positron emission tomography (PET). This work aimed to investigate the feasibility of noise reduction for tracers without sufficient training datasets using a deep transfer learning approach, which can utilize existing networks trained by the widely available FDG datasets. In this study, the deep transfer learning strategy based on a fully 3D patch-based U-Net was investigated on a (18)F-fluoromisonidazole ((18)F-FMISO) dataset using single-bed scanning and a (68)Ga-DOTATATE dataset using whole-body scanning. The datasets of (18)F-FDG by single-bed scanning and whole-body scanning were used to obtain pre-trained U-Nets separately for subsequent cross-tracer and cross-protocol transfer learning. The full-dose PET images were used as the labels while low-dose PET images from 10% counts were used as the inputs. Three types of U-Nets were obtained: a U-Net trained by FDG dataset, a pre-trained FDG U-Net fine-tuned by another less-available tracer (FMISO/DOATATE), and a U-Net completely trained by a large number of less-available tracer datasets (FMISO/DOATATE), used as the reference U-Net. The denoising performance of the three types of U-Nets was evaluated on single-bed (18)F-FMISO and whole-body (68)Ga-DOTATATE separately and compared using normalized root-mean-square error (NRMSE), signal-to-noise ratio (SNR), and relative bias of region of interest (ROI). For cross-tracer transfer learning, all the U-Nets provided denoised images with similar quality for both tracers. There was no significant difference in terms of NRMSE and SNR when comparing the former two U-Nets with the reference U-Net. The ROI biases for these U-Nets were similar. For cross-tracer and cross-protocol transfer learning, the pre-trained single-bed FDG U-Net fine-tuned by whole-body DOTATATE data provided the most consistent images with the reference U-Net. Fine-tuning significantly reduced the NRMSE and the ROI bias and improved the SNR when comparing the fine-tuned U-Net with the U-Net trained by single-bed FDG only (NRMSE: 96.3% ± 21.1% versus 120.6% ± 18.5%, ROI bias: -10.5% ± 13.0% versus -14.7% ± 6.4%, SNR: 4.2 ± 1.4 versus 3.9 ± 1.6, for fine-tuned U-Net and the U-Net trained by single-bed FDG, respectively, with p &lt; 0.01 in all cases). This work demonstrated that it is feasible to utilize existing networks well-trained by FDG datasets to reduce the noise for other less-available tracers and other scanning protocols by using the fine-tuning strategy.</t>
  </si>
  <si>
    <t>Rethinking medical image reconstruction via shape prior, going deeper and faster: Deep joint indirect registration and reconstruction</t>
  </si>
  <si>
    <t>Indirect image registration is a promising technique to improve image reconstruction quality by providing a shape prior for the reconstruction task. In this paper, we propose a novel hybrid method that seeks to reconstruct high quality images from few measurements whilst requiring low computational cost. With this purpose, our framework intertwines indirect registration and reconstruction tasks is a single functional. It is based on two major novelties. Firstly, we introduce a model based on deep nets to solve the indirect registration problem, in which the inversion and registration mappings are recurrently connected through a fixed-point interaction based sparse optimisation. Secondly, we introduce specific inversion blocks, that use the explicit physical forward operator, to map the acquired measurements to the image reconstruction. We also introduce registration blocks based deep nets to predict the registration parameters and warp transformation accurately and efficiently. We demonstrate, through extensive numerical and visual experiments, that our framework outperforms significantly classic reconstruction schemes and other bi-task method; this in terms of both image quality and computational time. Finally, we show generalisation capabilities of our approach by demonstrating their performance on fast Magnetic Resonance Imaging (MRI), sparse view computed tomography (CT) and low dose CT with measurements much below the Nyquist limit.</t>
  </si>
  <si>
    <t>Motion artifacts reduction in brain MRI by means of a deep residual network with densely connected multi-resolution blocks (DRN-DCMB)</t>
  </si>
  <si>
    <t>OBJECTIVE: Magnetic resonance imaging (MRI) acquisition is inherently sensitive to motion, and motion artifact reduction is essential for improving image quality in MRI. METHODS: We developed a deep residual network with densely connected multi-resolution blocks (DRN-DCMB) model to reduce the motion artifacts in T1 weighted (T1W) spin echo images acquired on different imaging planes before and after contrast injection. The DRN-DCMB network consisted of multiple multi-resolution blocks connected with dense connections in a feedforward manner. A single residual unit was used to connect the input and output of the entire network with one shortcut connection to predict a residual image (i.e. artifact image). The model was trained with five motion-free T1W image stacks (pre-contrast axial and sagittal, and post-contrast axial, coronal, and sagittal images) with simulated motion artifacts. RESULTS: In other 86 testing image stacks with simulated artifacts, our DRN-DCMB model outperformed other state-of-the-art deep learning models with significantly higher structural similarity index (SSIM) and improvement in signal-to-noise ratio (ISNR). The DRN-DCMB model was also applied to 121 testing image stacks appeared with various degrees of real motion artifacts. The acquired images and processed images by the DRN-DCMB model were randomly mixed, and image quality was blindly evaluated by a neuroradiologist. The DRN-DCMB model significantly improved the overall image quality, reduced the severity of the motion artifacts, and improved the image sharpness, while kept the image contrast. CONCLUSION: Our DRN-DCMB model provided an effective method for reducing motion artifacts and improving the overall clinical image quality of brain MRI.</t>
  </si>
  <si>
    <t>IOUC-3DSFCNN: Segmentation of Brain Tumors via IOU Constraint 3D Symmetric Full Convolution Network with Multimodal Auto-context</t>
  </si>
  <si>
    <t>Accurate segmentation of brain tumors from magnetic resonance (MR) images play a pivot role in assisting diagnoses, treatments and postoperative evaluations. However, due to its structural complexities, e.g., fuzzy tumor boundaries with irregular shapes, accurate 3D brain tumor delineation is challenging. In this paper, an intersection over union (IOU) constraint 3D symmetric full convolutional neural network (IOUC-3DSFCNN) model fused with multimodal auto-context is proposed for the 3D brain tumor segmentation. IOUC-3DSFCNN incorporates 3D residual groups into the classic 3DU-Net to further deepen the network structure to obtain more abstract voxel features under a five-layer cohesion architecture to ensure the model stability. The IOU constraint is used to address the issue of extremely unbalanced tumor foreground and background regions in MR images. In addition, to obtain more comprehensive and stable 3D brain tumor profiles, the multimodal auto-context information is fused into the IOUC-3DSFCNN model to achieve end-to-end 3D brain tumor profiles. Extensive confirmatory and comparative experiments conducted on the benchmark BRATS 2017 dataset demonstrate that the proposed segmentation model is superior to classic 3DU-Net-relevant and other state-of-the-art segmentation models, which can achieve accurate 3D tumor profiles on multimodal MRI volumes even with blurred tumor boundaries and big noise.</t>
  </si>
  <si>
    <t>Active Appearance Model Induced Generative Adversarial Network for Controlled Data Augmentation</t>
  </si>
  <si>
    <t>Data augmentation is an important strategy for enlarging training datasets in deep learning-based medical image analysis. This is because large, annotated medical datasets are not only difficult and costly to generate, but also quickly become obsolete due to rapid advances in imaging technology. Image-to-image conditional generative adversarial networks (C-GAN) provide a potential solution for data augmentation. However, annotations used as inputs to C-GAN are typically based only on shape information, which can result in undesirable intensity distributions in the resulting artificially-created images. In this paper, we introduce an active cell appearance model (ACAM) that can measure statistical distributions of shape and intensity and use this ACAM model to guide C-GAN to generate more realistic images, which we call A-GAN. A-GAN provides an effective means for conveying anisotropic intensity information to C-GAN. A-GAN incorporates a statistical model (ACAM) to determine how transformations are applied for data augmentation. Traditional approaches for data augmentation that are based on arbitrary transformations might lead to unrealistic shape variations in an augmented dataset that are not representative of real data. A-GAN is designed to ameliorate this. To validate the effectiveness of using A-GAN for data augmentation, we assessed its performance on cell analysis in adaptive optics retinal imaging, which is a rapidly-changing medical imaging modality. Compared to C-GAN, A-GAN achieved stability in fewer iterations. The cell detection and segmentation accuracy when assisted by A-GAN augmentation was higher than that achieved with C-GAN. These findings demonstrate the potential for A-GAN to substantially improve existing data augmentation methods in medical image analysis.</t>
  </si>
  <si>
    <t>J. Liu, C. Shen, T. Liu, N. Aguilera and J. Tam</t>
  </si>
  <si>
    <t>Diagnostic and Gradation Model of Osteoporosis Based on Improved Deep U-Net Network</t>
  </si>
  <si>
    <t>The measurement of bone mineral density for osteoporosis has always been the focus of researchers because it plays an important role in bone disease diagnosis. However, because of X-ray image noise and the large difference between the bone shapes of patients under the condition of low contrast, existing osteoporosis diagnosis algorithms are difficult to obtain satisfactory results. This paper presents an improved osteoporosis diagnosis algorithm based on U-NET network. Firstly, the bone in the original image are marked and used to construct the data set. And then, by normalizing the input of each layer, it can be ensured that the input data distribution of each layer is stable, so that the purpose of accelerated training can be achieved. Finally, the energy function is calculated by combining the value of the softmax prediction class for each pixel on the final feature map with the Cross entropy loss function and all the segmented images are extracted to obtain the diagnostic result. As the experimental results show that the improved U-net can accurately solve the influence of image interference in the process of bone mineral density measurement. The recognition rate of U-net automatic diagnosis method is above 81%, and the diagnosis effect is better than other comparison methods.</t>
  </si>
  <si>
    <t>An End-to-End Deep Learning Histochemical Scoring System for Breast Cancer TMA</t>
  </si>
  <si>
    <t>One of the methods for stratifying different molecular classes of breast cancer is the Nottingham prognostic index plus, which uses breast cancer relevant biomarkers to stain tumor tissues prepared on tissue microarray (TMA). To determine the molecular class of the tumor, pathologists will have to manually mark the nuclei activity biomarkers through a microscope and use a semi-quantitative assessment method to assign a histochemical score (H-Score) to each TMA core. Manually marking positively stained nuclei is a time-consuming, imprecise, and subjective process, which will lead to inter-observer and intra-observer discrepancies. In this paper, we present an end-to-end deep learning system, which directly predicts the H-Score automatically. Our system imitates the pathologists' decision process and uses one fully convolutional network (FCN) to extract all nuclei region (tumor and non-tumor), a second FCN to extract tumor nuclei region, and a multi-column convolutional neural network, which takes the outputs of the first two FCNs and the stain intensity description image as an input and acts as the high-level decision making mechanism to directly output the H-Score of the input TMA image. To the best of our knowledge, this is the first end-to-end system that takes a TMA image as the input and directly outputs a clinical score. We will present experimental results, which demonstrate that the H-Scores predicted by our model have very high and statistically significant correlation with experienced pathologists' scores and that the H-Score discrepancy between our algorithm and the pathologists is on par with the inter-subject discrepancy between the pathologists.</t>
  </si>
  <si>
    <t>J. Liu, B. Xu, C. Zheng, Y. Gong, J. Garibaldi, D. Soria, A. Green, I. O. Ellis, W. Zou and G. Qiu</t>
  </si>
  <si>
    <t>Deep learning to distinguish pancreatic cancer tissue from non-cancerous pancreatic tissue: a retrospective study with cross-racial external validation</t>
  </si>
  <si>
    <t>BACKGROUND: The diagnostic performance of CT for pancreatic cancer is interpreter-dependent, and approximately 40% of tumours smaller than 2 cm evade detection. Convolutional neural networks (CNNs) have shown promise in image analysis, but the networks' potential for pancreatic cancer detection and diagnosis is unclear. We aimed to investigate whether CNN could distinguish individuals with and without pancreatic cancer on CT, compared with radiologist interpretation. METHODS: In this retrospective, diagnostic study, contrast-enhanced CT images of 370 patients with pancreatic cancer and 320 controls from a Taiwanese centre were manually labelled and randomly divided for training and validation (295 patients with pancreatic cancer and 256 controls) and testing (75 patients with pancreatic cancer and 64 controls; local test set 1). Images were preprocessed into patches, and a CNN was trained to classify patches as cancerous or non-cancerous. Individuals were classified as with or without pancreatic cancer on the basis of the proportion of patches diagnosed as cancerous by the CNN, using a cutoff determined using the training and validation set. The CNN was further tested with another local test set (101 patients with pancreatic cancers and 88 controls; local test set 2) and a US dataset (281 pancreatic cancers and 82 controls). Radiologist reports of pancreatic cancer images in the local test sets were retrieved for comparison. FINDINGS: Between Jan 1, 2006, and Dec 31, 2018, we obtained CT images. In local test set 1, CNN-based analysis had a sensitivity of 0·973, specificity of 1·000, and accuracy of 0·986 (area under the curve [AUC] 0·997 (95% CI 0·992-1·000). In local test set 2, CNN-based analysis had a sensitivity of 0·990, specificity of 0·989, and accuracy of 0·989 (AUC 0·999 [0·998-1·000]). In the US test set, CNN-based analysis had a sensitivity of 0·790, specificity of 0·976, and accuracy of 0·832 (AUC 0·920 [0·891-0·948)]. CNN-based analysis achieved higher sensitivity than radiologists did (0·983 vs 0·929, difference 0·054 [95% CI 0·011-0·098]; p=0·014) in the two local test sets combined. CNN missed three (1·7%) of 176 pancreatic cancers (1·1-1·2 cm). Radiologists missed 12 (7%) of 168 pancreatic cancers (1·0-3·3 cm), of which 11 (92%) were correctly classified using CNN. The sensitivity of CNN for tumours smaller than 2 cm was 92·1% in the local test sets and 63·1% in the US test set. INTERPRETATION: CNN could accurately distinguish pancreatic cancer on CT, with acceptable generalisability to images of patients from various races and ethnicities. CNN could supplement radiologist interpretation. FUNDING: Taiwan Ministry of Science and Technology.</t>
  </si>
  <si>
    <t>Abdominal synthetic CT generation from MR Dixon images using a U-net trained with 'semi-synthetic' CT data</t>
  </si>
  <si>
    <t>Magnetic resonance imaging (MRI) is gaining popularity in guiding radiation treatment for intrahepatic cancers due to its superior soft tissue contrast and potential of monitoring individual motion and liver function. This study investigates a deep learning-based method that generates synthetic CT volumes from T1-weighted MR Dixon images in support of MRI-based intrahepatic radiotherapy treatment planning. Training deep neutral networks for this purpose has been challenged by mismatches between CT and MR images due to motion and different organ filling status. This work proposes to resolve such challenge by generating 'semi-synthetic' CT images from rigidly aligned CT and MR image pairs. Contrasts within skeletal elements of the 'semi-synthetic' CT images were determined from CT images, while contrasts of soft tissue and air volumes were determined from voxel-wise intensity classification results on MR images. The resulting 'semi-synthetic' CT images were paired with their corresponding MR images and used to train a simple U-net model without adversarial components. MR and CT scans of 46 patients were investigated and the proposed method was evaluated for 31 patients with clinical radiotherapy plans, using 3-fold cross validation. The averaged mean absolute errors between synthetic CT and CT images across patients were 24.10 HU for liver, 28.62 HU for spleen, 47.05 HU for kidneys, 29.79 HU for spinal cord, 105.68 HU for lungs and 110.09 HU for vertebral bodies. VMAT and IMRT plans were optimized using CT-derived electron densities, and doses were recalculated using corresponding synthetic CT-derived density grids. Resulting dose differences to planning target volumes and various organs at risk were small, with the average difference less than 0.15 Gy for all dose metrics evaluated. The similarities in both image intensity and radiation dose distributions between CT and synthetic CT volumes demonstrate the accuracy of the method and its potential in supporting MRI-only radiotherapy treatment planning.</t>
  </si>
  <si>
    <t>Automatic skin lesion classification based on mid-level feature learning</t>
  </si>
  <si>
    <t>Dermoscopic images are widely used for melanoma detection. Many existing works based on traditional classification methods and deep learning models have been proposed for automatic skin lesion analysis. The traditional classification methods use hand-crafted features as input. However, due to the strong visual similarity between different classes of skin lesions and complex skin conditions, the hand-crafted features are not discriminative enough and fail in many cases. Recently, deep convolutional neural networks (CNN) have gained popularity since they can automatically learn optimal features during the training phase. Different from existing works, a novel mid-level feature learning method for skin lesion classification task is proposed in this paper. In this method, skin lesion segmentation is first performed to detect the regions of interest (ROI) of skin lesion images. Next, pretrained neural networks including ResNet and DenseNet are used as the feature extractors for the ROI images. Instead of using the extracted features directly as input of classifiers, the proposed method obtains the mid-level feature representations by utilizing the relationships among different image samples based on distance metric learning. The learned feature representation is a soft discriminative descriptor, having more tolerance to the hard samples and hence is more robust to the large intra-class difference and inter-class similarity. Experimental results demonstrate advantages of the proposed mid-level features, and the proposed method obtains state-of-the-art performance compared with the existing CNN based methods.</t>
  </si>
  <si>
    <t>Joint Classification and Regression via Deep Multi-Task Multi-Channel Learning for Alzheimer's Disease Diagnosis</t>
  </si>
  <si>
    <t>In the field of computer-aided Alzheimer's disease (AD) diagnosis, jointly identifying brain diseases and predicting clinical scores using magnetic resonance imaging (MRI) have attracted increasing attention since these two tasks are highly correlated. Most of existing joint learning approaches require hand-crafted feature representations for MR images. Since hand-crafted features of MRI and classification/regression models may not coordinate well with each other, conventional methods may lead to sub-optimal learning performance. Also, demographic information (e.g., age, gender, and education) of subjects may also be related to brain status, and thus can help improve the diagnostic performance. However, conventional joint learning methods seldom incorporate such demographic information into the learning models. To this end, we propose a deep multi-task multi-channel learning (DM 2L) framework for simultaneous brain disease classification and clinical score regression, using MRI data and demographic information of subjects. Specifically, we first identify the discriminative anatomical landmarks from MR images in a data-driven manner, and then extract multiple image patches around these detected landmarks. We then propose a deep multi-task multi-channel convolutional neural network for joint classification and regression. Our DM 2L framework can not only automatically learn discriminative features for MR images, but also explicitly incorporate the demographic information of subjects into the learning process. We evaluate the proposed method on four large multi-center cohorts with 1984 subjects, and the experimental results demonstrate that DM 2L is superior to several state-of-the-art joint learning methods in both the tasks of disease classification and clinical score regression.</t>
  </si>
  <si>
    <t>Deep Evolutionary Networks with Expedited Genetic Algorithms for Medical Image Denoising</t>
  </si>
  <si>
    <t>Deep convolutional neural networks offer state-of-the-art performance for medical image analysis. However, their architectures are manually designed for particular problems. On the one hand, a manual designing process requires many trials to tune a large number of hyperparameters and is thus quite a time-consuming task. On the other hand, the fittest hyperparameters that can adapt to source data properties (e.g., sparsity, noisy features) are not able to be quickly identified for target data properties. For instance, the realistic noise in medical images is usually mixed and complicated, and sometimes unknown, leading to challenges in applying existing methods directly and creating effective denoising neural networks easily. In this paper, we present a Genetic Algorithm (GA)-based network evolution approach to search for the fittest genes to optimize network structures automatically. We expedite the evolutionary process through an experience-based greedy exploration strategy and transfer learning. Our evolutionary algorithm procedure has flexibility, which allows taking advantage of current state-of-the-art modules (e.g., residual blocks) to search for promising neural networks. We evaluate our framework on a classic medical image analysis task: denoising. The experimental results on computed tomography perfusion (CTP) image denoising demonstrate the capability of the method to select the fittest genes for building high-performance networks, named EvoNets. Our results outperform state-of-the-art methods consistently at various noise levels.</t>
  </si>
  <si>
    <t>Impact of Deep Learning-based Optimization Algorithm on Image Quality of Low-dose Coronary CT Angiography with Noise Reduction: A Prospective Study</t>
  </si>
  <si>
    <t>RATIONALE AND OBJECTIVES: To evaluate deep learning (DL)-based optimization algorithm for low-dose coronary CT angiography (CCTA) image noise reduction and image quality (IQ) improvement. MATERIALS AND METHODS: A postprocessing platform for the CCTA image was built using a DL-based algorithm. Seventy subjects referred for CCTA were randomly divided into two groups (study group A with 80 kVp and control group B with 100 kVp). Group C was obtained by DL optimization of group A. Subjective IQ was blindly graded by two experienced radiologists on a four-point scale (4-excellent,1-poor). The image noise, signal-to-noise ratio (SNR), and contrast-to-noise ratio (CNR) were calculated to evaluate IQ objectively. The difference between the time consumed of iterative reconstruction and DL algorithm was also recorded. RESULTS: The subjective IQ score of group C using the DL algorithm was significantly better than that of group A (p = 0.005). The noise of group C was significantly decreased, while SNR and CNR were significantly increased compared to group A (p &lt; 0.001). The subjective IQ scores were lower in group A compared to group B (p = 0.037), whereas subjective IQ scores in group C were not significantly different (p = 0.874). For objective IQ, the noise of group A was significantly higher, while SNR and CNR were significantly lower than that of group B (p &lt; 0.05). There was no significant difference in noise and SNR between group C and group B (p &gt; 0.05), but CNR in group C was significantly higher than that in group B (p &lt; 0.05). The DL algorithm processes the image twice as fast as the iterative reconstruction speed. CONCLUSION: The DL-based optimization algorithm could effectively improve the IQ of low-dose CCTA by noise reduction.</t>
  </si>
  <si>
    <t>MS-Net: Multi-Site Network for Improving Prostate Segmentation With Heterogeneous MRI Data</t>
  </si>
  <si>
    <t>Automated prostate segmentation in MRI is highly demanded for computer-assisted diagnosis. Recently, a variety of deep learning methods have achieved remarkable progress in this task, usually relying on large amounts of training data. Due to the nature of scarcity for medical images, it is important to effectively aggregate data from multiple sites for robust model training, to alleviate the insufficiency of single-site samples. However, the prostate MRIs from different sites present heterogeneity due to the differences in scanners and imaging protocols, raising challenges for effective ways of aggregating multi-site data for network training. In this paper, we propose a novel multi-site network (MS-Net) for improving prostate segmentation by learning robust representations, leveraging multiple sources of data. To compensate for the inter-site heterogeneity of different MRI datasets, we develop Domain-Specific Batch Normalization layers in the network backbone, enabling the network to estimate statistics and perform feature normalization for each site separately. Considering the difficulty of capturing the shared knowledge from multiple datasets, a novel learning paradigm, i.e., Multi-site-guided Knowledge Transfer, is proposed to enhance the kernels to extract more generic representations from multi-site data. Extensive experiments on three heterogeneous prostate MRI datasets demonstrate that our MS-Net improves the performance across all datasets consistently, and outperforms state-of-the-art methods for multi-site learning.</t>
  </si>
  <si>
    <t>Joint optic disc and cup segmentation using semi-supervised conditional GANs</t>
  </si>
  <si>
    <t>Glaucoma is a chronic and widespread eye disease threatening humans' irreversible vision loss. The cup-to-disc ratio (CDR), one of the most important measurements used for glaucoma screening and diagnosis, requires accurate segmentation of optic disc and cup from fundus images. However, most existing techniques fail to obtain satisfactory segmentation performance because a significant number of pixel-level annotated data are often unavailable during training. To cope with this limitation, in this paper, we propose an effective joint optic disc and cup segmentation method based on semi-supervised conditional Generative Adversarial Nets (GANs). Our architecture consists of a segmentation net, a generator and a discriminator, to learn a mapping between the fundus images and the corresponding segmentation maps. Additionally, we employ both labeled and unlabeled data to improve the segmentation performance. The extensive experiments show that our method achieves state-of-the-art optic disc and cup segmentation results on both ORIGA and REFUGE datasets.</t>
  </si>
  <si>
    <t>S. Liu, J. Hong, X. Lu, X. Jia, Z. Lin, Y. Zhou, Y. Liu and H. Zhang</t>
  </si>
  <si>
    <t>Multimodal neuroimaging feature learning for multiclass diagnosis of Alzheimer's disease</t>
  </si>
  <si>
    <t>The accurate diagnosis of Alzheimer's disease (AD) is essential for patient care and will be increasingly important as disease modifying agents become available, early in the course of the disease. Although studies have applied machine learning methods for the computer-aided diagnosis of AD, a bottleneck in the diagnostic performance was shown in previous methods, due to the lacking of efficient strategies for representing neuroimaging biomarkers. In this study, we designed a novel diagnostic framework with deep learning architecture to aid the diagnosis of AD. This framework uses a zero-masking strategy for data fusion to extract complementary information from multiple data modalities. Compared to the previous state-of-the-art workflows, our method is capable of fusing multimodal neuroimaging features in one setting and has the potential to require less labeled data. A performance gain was achieved in both binary classification and multiclass classification of AD. The advantages and limitations of the proposed framework are discussed.</t>
  </si>
  <si>
    <t>S. Liu, S. Liu, W. Cai, H. Che, S. Pujol, R. Kikinis, D. Feng and M. J. Fulham</t>
  </si>
  <si>
    <t>Isocitrate dehydrogenase (IDH) status prediction in histopathology images of gliomas using deep learning</t>
  </si>
  <si>
    <t>Mutations in isocitrate dehydrogenase genes IDH1 and IDH2 are frequently found in diffuse and anaplastic astrocytic and oligodendroglial tumours as well as in secondary glioblastomas. As IDH is a very important prognostic, diagnostic and therapeutic biomarker for glioma, it is of paramount importance to determine its mutational status. The haematoxylin and eosin (H&amp;E) staining is a valuable tool in precision oncology as it guides histopathology-based diagnosis and proceeding patient's treatment. However, H&amp;E staining alone does not determine the IDH mutational status of a tumour. Deep learning methods applied to MRI data have been demonstrated to be a useful tool in IDH status prediction, however the effectiveness of deep learning on H&amp;E slides in the clinical setting has not been investigated so far. Furthermore, the performance of deep learning methods in medical imaging has been practically limited by small sample sizes currently available. Here we propose a data augmentation method based on the Generative Adversarial Networks (GAN) deep learning methodology, to improve the prediction performance of IDH mutational status using H&amp;E slides. The H&amp;E slides were acquired from 266 grade II-IV glioma patients from a mixture of public and private databases, including 130 IDH-wildtype and 136 IDH-mutant patients. A baseline deep learning model without data augmentation achieved an accuracy of 0.794 (AUC = 0.920). With GAN-based data augmentation, the accuracy of the IDH mutational status prediction was improved to 0.853 (AUC = 0.927) when the 3,000 GAN generated training samples were added to the original training set (24,000 samples). By integrating also patients' age into the model, the accuracy improved further to 0.882 (AUC = 0.931). Our findings show that deep learning methodology, enhanced by GAN data augmentation, can support physicians in gliomas' IDH status prediction.</t>
  </si>
  <si>
    <t>Cerebral microbleed detection using Susceptibility Weighted Imaging and deep learning</t>
  </si>
  <si>
    <t>Detecting cerebral microbleeds (CMBs) is important in diagnosing a variety of diseases including dementia, stroke and traumatic brain injury. However, manual detection of CMBs can be time-consuming and prone to errors, whereas the current automatic algorithms for CMB detection are usually limited by large number of false positives. In this study, we present a two-stage CMB detection framework which contains a candidate detection stage based on a 3D fast radial symmetry transform of the composite images from Susceptibility Weighted Imaging (SWI), and a false positive reduction stage based on deep residual neural networks using both the SWI and the high-pass filtered phase images. While the SWI images provide exquisite sensitivity to the presence of blood products, the high-pass filtered phase images enable the differentiation of diamagnetic calcifications from paramagnetic microbleeds. The deep learning model was trained using 154 data sets, and the best models were selected using 25 validation data sets. Finally, the models were tested using 41 cases, including 13 hemodialysis cases, 9 traumatic brain injury cases, 9 stroke cases and 10 healthy controls. Using 3D SWI and high-pass filtered phase images as input, the best model led to a sensitivity of 95.8%, a precision of 70.9%, and 1.6 false positives per case. This model achieved similar performance to the most experienced human rater and outperformed recently reported CMB detection methods. This study demonstrates the potential of applying deep learning techniques to medical imaging for improving efficiency and accuracy in diagnosis.</t>
  </si>
  <si>
    <t>S. Liu, D. Utriainen, C. Chai, Y. Chen, L. Wang, S. K. Sethi, S. Xia and E. M. Haacke</t>
  </si>
  <si>
    <t>Multimodal Medical Image Fusion using Rolling Guidance Filter with CNN and Nuclear Norm Minimization</t>
  </si>
  <si>
    <t>BACKGROUND: Medical image fusion is very important for the diagnosis and treatment of diseases. In recent years, there have been a number of different multi-modal medical image fusion algorithms that can provide delicate contexts for disease diagnosis more clearly and more conveniently. Recently, nuclear norm minimization and deep learning have been used effectively in image processing. METHODS: A multi-modality medical image fusion method using a rolling guidance filter (RGF) with a convolutional neural network (CNN) based feature mapping and nuclear norm minimization (NNM) is proposed. At first, we decompose medical images to base layer components and detail layer components by using RGF. In the next step, we get the basic fused image through the pretrained CNN model. The CNN model with pre-training is used to obtain the significant characteristics of the base layer components. And we can compute the activity level measurement from the regional energy of CNN-based fusion maps. Then, a detail fused image is gained by NNM. That is, we use NNM to fuse the detail layer components. At last, the basic and detail fused images are integrated into the fused result. RESULTS: From the comparison with the most advanced fusion algorithms, the results of experiments indicate that this fusion algorithm has the best effect in visual evaluation and objective standard. CONCLUSION: The fusion algorithm using RGF and CNN-based feature mapping, combined with NNM, can improve fusion effects and suppress artifacts and blocking effects in the fused results.</t>
  </si>
  <si>
    <t>Deep learning-based super-resolution in coherent imaging systems</t>
  </si>
  <si>
    <t>We present a deep learning framework based on a generative adversarial network (GAN) to perform super-resolution in coherent imaging systems. We demonstrate that this framework can enhance the resolution of both pixel size-limited and diffraction-limited coherent imaging systems. The capabilities of this approach are experimentally validated by super-resolving complex-valued images acquired using a lensfree on-chip holographic microscope, the resolution of which was pixel size-limited. Using the same GAN-based approach, we also improved the resolution of a lens-based holographic imaging system that was limited in resolution by the numerical aperture of its objective lens. This deep learning-based super-resolution framework can be broadly applied to enhance the space-bandwidth product of coherent imaging systems using image data and convolutional neural networks, and provides a rapid, non-iterative method for solving inverse image reconstruction or enhancement problems in optics.</t>
  </si>
  <si>
    <t>Automated detection and classification of thyroid nodules in ultrasound images using clinical-knowledge-guided convolutional neural networks</t>
  </si>
  <si>
    <t>Accurate diagnosis of thyroid nodules using ultrasonography is a valuable but tough task even for experienced radiologists, considering both benign and malignant nodules have heterogeneous appearances. Computer-aided diagnosis (CAD) methods could potentially provide objective suggestions to assist radiologists. However, the performance of existing learning-based approaches is still limited, for direct application of general learning models often ignores critical domain knowledge related to the specific nodule diagnosis. In this study, we propose a novel deep-learning-based CAD system, guided by task-specific prior knowledge, for automated nodule detection and classification in ultrasound images. Our proposed CAD system consists of two stages. First, a multi-scale region-based detection network is designed to learn pyramidal features for detecting nodules at different feature scales. The region proposals are constrained by the prior knowledge about size and shape distributions of real nodules. Then, a multi-branch classification network is proposed to integrate multi-view diagnosis-oriented features, in which each network branch captures and enhances one specific group of characteristics that were generally used by radiologists. We evaluated and compared our method with the state-of-the-art CAD methods and experienced radiologists on two datasets, i.e. Dataset I and Dataset II. The detection and diagnostic accuracy on Dataset I were 97.5% and 97.1%, respectively. Besides, our CAD system also achieved better performance than experienced radiologists on Dataset II, with improvements of accuracy for 8%. The experimental results demonstrate that our proposed method is effective in the discrimination of thyroid nodules.</t>
  </si>
  <si>
    <t>Deep learning-based color holographic microscopy</t>
  </si>
  <si>
    <t>We report a framework based on a generative adversarial network that performs high-fidelity color image reconstruction using a single hologram of a sample that is illuminated simultaneously by light at three different wavelengths. The trained network learns to eliminate missing-phase-related artifacts, and generates an accurate color transformation for the reconstructed image. Our framework is experimentally demonstrated using lung and prostate tissue sections that are labeled with different histological stains. This framework is envisaged to be applicable to point-of-care histopathology and presents a significant improvement in the throughput of coherent microscopy systems given that only a single hologram of the specimen is required for accurate color imaging.</t>
  </si>
  <si>
    <t>10.1097/icu.0000000000000694</t>
  </si>
  <si>
    <t>Controversies in artificial intelligence</t>
  </si>
  <si>
    <t>PURPOSE OF REVIEW: To review four recent controversial topics arising from deep learning applications in ophthalmology. RECENT FINDINGS: The controversies of four recent topics surrounding deep learning applications in ophthalmology are discussed, including the following: lack of explainability, limited generalizability, potential biases and protection of patient confidentiality in large-scale data transfer. SUMMARY: These controversial issues spanning the domains of clinical medicine, public health, computer science, ethics and legal issues, are complex and likely will benefit from an interdisciplinary approach if artificial intelligence in ophthalmology is to succeed over the next decade.</t>
  </si>
  <si>
    <t>Deep Learning and Transfer Learning for Optic Disc Laterality Detection: Implications for Machine Learning in Neuro-Ophthalmology</t>
  </si>
  <si>
    <t>BACKGROUND: Deep learning (DL) has demonstrated human expert levels of performance for medical image classification in a wide array of medical fields, including ophthalmology. In this article, we present the results of our DL system designed to determine optic disc laterality, right eye vs left eye, in the presence of both normal and abnormal optic discs. METHODS: Using transfer learning, we modified the ResNet-152 deep convolutional neural network (DCNN), pretrained on ImageNet, to determine the optic disc laterality. After a 5-fold cross-validation, we generated receiver operating characteristic curves and corresponding area under the curve (AUC) values to evaluate performance. The data set consisted of 576 color fundus photographs (51% right and 49% left). Both 30° photographs centered on the optic disc (63%) and photographs with varying degree of optic disc centration and/or wider field of view (37%) were included. Both normal (27%) and abnormal (73%) optic discs were included. Various neuro-ophthalmological diseases were represented, such as, but not limited to, atrophy, anterior ischemic optic neuropathy, hypoplasia, and papilledema. RESULTS: Using 5-fold cross-validation (70% training; 10% validation; 20% testing), our DCNN for classifying right vs left optic disc achieved an average AUC of 0.999 (±0.002) with optimal threshold values, yielding an average accuracy of 98.78% (±1.52%), sensitivity of 98.60% (±1.72%), and specificity of 98.97% (±1.38%). When tested against a separate data set for external validation, our 5-fold cross-validation model achieved the following average performance: AUC 0.996 (±0.005), accuracy 97.2% (±2.0%), sensitivity 96.4% (±4.3%), and specificity 98.0% (±2.2%). CONCLUSIONS: Small data sets can be used to develop high-performing DL systems for semantic labeling of neuro-ophthalmology images, specifically in distinguishing between right and left optic discs, even in the presence of neuro-ophthalmological pathologies. Although this may seem like an elementary task, this study demonstrates the power of transfer learning and provides an example of a DCNN that can help curate large medical image databases for machine-learning purposes and facilitate ophthalmologist workflow by automatically labeling images according to laterality.</t>
  </si>
  <si>
    <t>T. Y. A. Liu, D. S. W. Ting, P. H. Yi, J. Wei, H. Zhu, P. S. Subramanian, T. Li, F. K. Hui, G. D. Hager and N. R. Miller</t>
  </si>
  <si>
    <t>J Neuroophthalmol</t>
  </si>
  <si>
    <t>Evaluation of acute pulmonary embolism and clot burden on CTPA with deep learning</t>
  </si>
  <si>
    <t>OBJECTIVES: To take advantage of the deep learning algorithms to detect and calculate clot burden of acute pulmonary embolism (APE) on computed tomographic pulmonary angiography (CTPA). MATERIALS AND METHODS: The training set in this retrospective study consisted of 590 patients (460 with APE and 130 without APE) who underwent CTPA. A fully deep learning convolutional neural network (DL-CNN), called U-Net, was trained for the segmentation of clot. Additionally, an in-house validation set consisted of 288 patients (186 with APE and 102 without APE). In this study, we set different probability thresholds to test the performance of U-Net for the clot detection and selected sensitivity, specificity, and area under the curve (AUC) as the metrics of performance evaluation. Furthermore, we investigated the relationship between the clot burden assessed by the Qanadli score, Mastora score, and other imaging parameters on CTPA and the clot burden calculated by the DL-CNN model. RESULTS: There was no statistically significant difference in AUCs with the different probability thresholds. When the probability threshold for segmentation was 0.1, the sensitivity and specificity of U-Net in detecting clot respectively were 94.6% and 76.5% while the AUC was 0.926 (95% CI 0.884-0.968). Moreover, this study displayed that the clot burden measured with U-Net was significantly correlated with the Qanadli score (r = 0.819, p &lt; 0.001), Mastora score (r = 0.874, p &lt; 0.001), and right ventricular functional parameters on CTPA. CONCLUSIONS: DL-CNN achieved a high AUC for the detection of pulmonary emboli and can be applied to quantitatively calculate the clot burden of APE patients, which may contribute to reducing the workloads of clinicians. KEY POINTS: • Deep learning can detect APE with a good performance and efficiently calculate the clot burden to reduce the physicians' workload. • Clot burden measured with deep learning highly correlates with Qanadli and Mastora scores of CTPA. • Clot burden measured with deep learning correlates with parameters of right ventricular function on CTPA.</t>
  </si>
  <si>
    <t>[Advances in the application of artificial intelligence in cancer diagnosis and treatment]</t>
  </si>
  <si>
    <t>The application of artificial intelligence is developing rapidly in various fields with the improvement of computing power, big data processing, and diversity of algorithms. It has a great potential value in the field of medical and healthcare, especially in the field of cancer diagnosis and treatment. In addition, it can analyze a large amount of data, information, and knowledge instantaneously. Therefore, it serves as a powerful tool for doctors to make the best treatment decisions. Notably, the development of science and technology truly transform into the actual interests of patients. This paper introduces advances in the application of artificial intelligence in diagnosis and treatment of cancer through digital pathology, medical imaging, and genomic medicine.</t>
  </si>
  <si>
    <t>Zhonghua Gan Zang Bing Za Zhi</t>
  </si>
  <si>
    <t>Robust deep learning method for choroidal vessel segmentation on swept source optical coherence tomography images</t>
  </si>
  <si>
    <t>Accurate choroidal vessel segmentation with swept-source optical coherence tomography (SS-OCT) images provide unprecedented quantitative analysis towards the understanding of choroid-related diseases. Motivated by the leading segmentation performance in medical images from the use of deep learning methods, in this study, we proposed the adoption of a deep learning method, RefineNet, to segment the choroidal vessels from SS-OCT images. We quantitatively evaluated the RefineNet on 40 SS-OCT images consisting of ~3,900 manually annotated choroidal vessels regions. We achieved a segmentation agreement (SA) of 0.840 ± 0.035 with clinician 1 (C1) and 0.823 ± 0.027 with clinician 2 (C2). These results were higher than inter-observer variability measure in SA between C1 and C2 of 0.821 ± 0.037. Our results demonstrated that the choroidal vessels from SS-OCT can be automatically segmented using a deep learning method and thus provided a new approach towards an objective and reproducible quantitative analysis of vessel regions.</t>
  </si>
  <si>
    <t>X. Liu, L. Bi, Y. Xu, D. Feng, J. Kim and X. Xu</t>
  </si>
  <si>
    <t>Detection and Classification of Chronic Total Occlusion lesions using Deep Learning</t>
  </si>
  <si>
    <t>Cardiovascular disease (CVD) is one of the diseases with the highest mortality rate in modern society, while chronic total occlusion (CTO) is the initial factor that influences the success rate of percutaneous coronary intervention (PCI), which is one of the most common treatments for CVD. In this work, novel deep convolutional neural networks (CNNs) are proposed to detect the entry point of CTO and classify its morphology according to the coronary angiography automatically. Specifically, feature pyramid networks (FPN) module and model fusion technique are applied to the detection network, and data augmentation and attentive regularization loss by reciprocative learning algorithm are used in classification network. Extracted from contrary angiography, the dataset consists of 2059 cases annotated by professional cardiologists. Experiment results show that the recall of CTO detection can reach up to 89.3%, and the sensitivity and specificity of CTO classification can reach up to 94.5% and 89.1% respectively.</t>
  </si>
  <si>
    <t>BACKGROUND: Deep learning offers considerable promise for medical diagnostics. We aimed to evaluate the diagnostic accuracy of deep learning algorithms versus health-care professionals in classifying diseases using medical imaging. METHODS: In this systematic review and meta-analysis, we searched Ovid-MEDLINE, Embase, Science Citation Index, and Conference Proceedings Citation Index for studies published from Jan 1, 2012, to June 6, 2019. Studies comparing the diagnostic performance of deep learning models and health-care professionals based on medical imaging, for any disease, were included. We excluded studies that used medical waveform data graphics material or investigated the accuracy of image segmentation rather than disease classification. We extracted binary diagnostic accuracy data and constructed contingency tables to derive the outcomes of interest: sensitivity and specificity. Studies undertaking an out-of-sample external validation were included in a meta-analysis, using a unified hierarchical model. This study is registered with PROSPERO, CRD42018091176. FINDINGS: Our search identified 31 587 studies, of which 82 (describing 147 patient cohorts) were included. 69 studies provided enough data to construct contingency tables, enabling calculation of test accuracy, with sensitivity ranging from 9·7% to 100·0% (mean 79·1%, SD 0·2) and specificity ranging from 38·9% to 100·0% (mean 88·3%, SD 0·1). An out-of-sample external validation was done in 25 studies, of which 14 made the comparison between deep learning models and health-care professionals in the same sample. Comparison of the performance between health-care professionals in these 14 studies, when restricting the analysis to the contingency table for each study reporting the highest accuracy, found a pooled sensitivity of 87·0% (95% CI 83·0-90·2) for deep learning models and 86·4% (79·9-91·0) for health-care professionals, and a pooled specificity of 92·5% (95% CI 85·1-96·4) for deep learning models and 90·5% (80·6-95·7) for health-care professionals. INTERPRETATION: Our review found the diagnostic performance of deep learning models to be equivalent to that of health-care professionals. However, a major finding of the review is that few studies presented externally validated results or compared the performance of deep learning models and health-care professionals using the same sample. Additionally, poor reporting is prevalent in deep learning studies, which limits reliable interpretation of the reported diagnostic accuracy. New reporting standards that address specific challenges of deep learning could improve future studies, enabling greater confidence in the results of future evaluations of this promising technology. FUNDING: None.</t>
  </si>
  <si>
    <t>Automated Layer Segmentation of Retinal Optical Coherence Tomography Images Using a Deep Feature Enhanced Structured Random Forests Classifier</t>
  </si>
  <si>
    <t>Optical coherence tomography (OCT) is a high-resolution and noninvasive imaging modality that has become one of the most prevalent techniques for ophthalmic diagnosis. Retinal layer segmentation is very crucial for doctors to diagnose and study retinal diseases. However, manual segmentation is often a time-consuming and subjective process. In this work, we propose a new method for automatically segmenting retinal OCT images, which integrates deep features and hand-designed features to train a structured random forests classifier. The deep convolutional features are learned from deep residual network. With the trained classifier, we can get the contour probability graph of each layer; finally, the shortest path is employed to achieve the final layer segmentation. The experimental results show that our method achieves good results with the mean layer contour error of 1.215 pixels, whereas that of the state of the art was 1.464 pixels, and achieves an F1-score of 0.885, which is also better than 0.863 that is obtained by the state of the art method.</t>
  </si>
  <si>
    <t>Accurate colorectal tumor segmentation for CT scans based on the label assignment generative adversarial network</t>
  </si>
  <si>
    <t>PURPOSE: Colorectal tumor segmentation is an important step in the analysis and diagnosis of colorectal cancer. This task is a time consuming one since it is often performed manually by radiologists. This paper presents an automatic postprocessing module to refine the segmentation of deep networks. The label assignment generative adversarial network (LAGAN) is improved from the generative adversarial network (GAN) and assigns labels to the outputs of deep networks. We apply the LAGAN to segment colorectal tumors in computed tomography (CT) scans and explore the performances of different combinations of deep networks. MATERIAL AND METHODS: A total of 223 patients with colorectal cancer (CRC) are enrolled in the study. The CT scans of the colorectal tumors are first segmented by FCN32 and Unet separately, which output probabilistic maps. Then, the probabilistic maps are labeled by the LAGAN and finally, the binary segmentation results are obtained. The LAGAN consists of a generating model and a discriminating model. The generating model utilizes the probabilistic maps from deep networks to imitate the distribution of the ground truths, and the discriminating model attempts to distinguish generations and ground truths. Through competitive training, the generating model of the LAGAN can realize label assignments for the probabilistic maps. RESULTS: The LAGAN increases the DSC of FCN32 from 81.83% ± 0.35% to 90.82% ± 0.36%. In the Unet-based segmentation, the LAGAN increases the DSC from 86.67% ± 0.70% to 91.54% ± 0.53%. It takes approximately 10 ms to refine a single CT slice. CONCLUSIONS: The results demonstrate that the LAGAN is a robust and flexible module, which can be used to refine the segmentation of diverse deep networks. Compared with other networks, the LAGAN can achieve desirable segmented accuracy for colorectal tumors.</t>
  </si>
  <si>
    <t>A deep learning based pipeline for optical coherence tomography angiography</t>
  </si>
  <si>
    <t>Optical coherence tomography angiography (OCTA) is a relatively new imaging modality that generates microvasculature map. Meanwhile, deep learning has been recently attracting considerable attention in image-to-image translation, such as image denoising, super-resolution and prediction. In this paper, we propose a deep learning based pipeline for OCTA. This pipeline consists of three parts: training data preparation, model learning and OCTA predicting using the trained model. To be mentioned, the datasets used in this work were automatically generated by a conventional system setup without any expert labeling. Promising results have been validated by in-vivo animal experiments, which demonstrate that deep learning is able to outperform traditional OCTA methods. The image quality is improved in not only higher signal-to-noise ratio but also better vasculature connectivity by laser speckle eliminating, showing potential in clinical use. Schematic description of the deep learning based optical coherent tomography angiography pipeline.</t>
  </si>
  <si>
    <t>A deep learning system for differential diagnosis of skin diseases</t>
  </si>
  <si>
    <t>Skin conditions affect 1.9 billion people. Because of a shortage of dermatologists, most cases are seen instead by general practitioners with lower diagnostic accuracy. We present a deep learning system (DLS) to provide a differential diagnosis of skin conditions using 16,114 de-identified cases (photographs and clinical data) from a teledermatology practice serving 17 sites. The DLS distinguishes between 26 common skin conditions, representing 80% of cases seen in primary care, while also providing a secondary prediction covering 419 skin conditions. On 963 validation cases, where a rotating panel of three board-certified dermatologists defined the reference standard, the DLS was non-inferior to six other dermatologists and superior to six primary care physicians (PCPs) and six nurse practitioners (NPs) (top-1 accuracy: 0.66 DLS, 0.63 dermatologists, 0.44 PCPs and 0.40 NPs). These results highlight the potential of the DLS to assist general practitioners in diagnosing skin conditions.</t>
  </si>
  <si>
    <t>Artificial Intelligence-Based Breast Cancer Nodal Metastasis Detection: Insights Into the Black Box for Pathologists</t>
  </si>
  <si>
    <t>CONTEXT.—: Nodal metastasis of a primary tumor influences therapy decisions for a variety of cancers. Histologic identification of tumor cells in lymph nodes can be laborious and error-prone, especially for small tumor foci. OBJECTIVE.—: To evaluate the application and clinical implementation of a state-of-the-art deep learning-based artificial intelligence algorithm (LYmph Node Assistant or LYNA) for detection of metastatic breast cancer in sentinel lymph node biopsies. DESIGN.—: Whole slide images were obtained from hematoxylin-eosin-stained lymph nodes from 399 patients (publicly available Camelyon16 challenge dataset). LYNA was developed by using 270 slides and evaluated on the remaining 129 slides. We compared the findings to those obtained from an independent laboratory (108 slides from 20 patients/86 blocks) using a different scanner to measure reproducibility. RESULTS.—: LYNA achieved a slide-level area under the receiver operating characteristic (AUC) of 99% and a tumor-level sensitivity of 91% at 1 false positive per patient on the Camelyon16 evaluation dataset. We also identified 2 normal slides that contained micrometastases. When applied to our second dataset, LYNA achieved an AUC of 99.6%. LYNA was not affected by common histology artifacts such as overfixation, poor staining, and air bubbles. CONCLUSIONS.—: Artificial intelligence algorithms can exhaustively evaluate every tissue patch on a slide, achieving higher tumor-level sensitivity than, and comparable slide-level performance to, pathologists. These techniques may improve the pathologist's productivity and reduce the number of false negatives associated with morphologic detection of tumor cells. We provide a framework to aid practicing pathologists in assessing such algorithms for adoption into their workflow (akin to how a pathologist assesses immunohistochemistry results).</t>
  </si>
  <si>
    <t>Arch Pathol Lab Med</t>
  </si>
  <si>
    <t>MRI-based treatment planning for liver stereotactic body radiotherapy: validation of a deep learning-based synthetic CT generation method</t>
  </si>
  <si>
    <t>OBJECTIVE: The purpose of this work is to develop and validate a learning-based method to derive electron density from routine anatomical MRI for potential MRI-based SBRT treatment planning. METHODS: We proposed to integrate dense block into cycle generative adversarial network (GAN) to effectively capture the relationship between the CT and MRI for CT synthesis. A cohort of 21 patients with co-registered CT and MR pairs were used to evaluate our proposed method by the leave-one-out cross-validation. Mean absolute error, peak signal-to-noise ratio and normalized cross-correlation were used to quantify the imaging differences between the synthetic CT (sCT) and CT. The accuracy of Hounsfield unit (HU) values in sCT for dose calculation was evaluated by comparing the dose distribution in sCT-based and CT-based treatment planning. Clinically relevant dose-volume histogram metrics were then extracted from the sCT-based and CT-based plans for quantitative comparison. RESULTS: The mean absolute error, peak signal-to-noise ratio and normalized cross-correlation of the sCT were 72.87 ± 18.16 HU, 22.65 ± 3.63 dB and 0.92 ± 0.04, respectively. No significant differences were observed in the majority of the planning target volume and organ at risk dose-volume histogram metrics ( p  &gt;  0.05). The average pass rate of γ analysis was over 99% with 1%/1 mm acceptance criteria on the coronal plane that intersects with isocenter. CONCLUSION: The image similarity and dosimetric agreement between sCT and original CT warrant further development of an MRI-only workflow for liver stereotactic body radiation therapy. ADVANCES IN KNOWLEDGE: This work is the first deep-learning-based approach to generating abdominal sCT through dense-cycle-GAN. This method can successfully generate the small bony structures such as the rib bones and is able to predict the HU values for dose calculation with comparable accuracy to reference CT images.</t>
  </si>
  <si>
    <t>Y. Liu, Y. Lei, T. Wang, O. Kayode, S. Tian, T. Liu, P. Patel, W. J. Curran, L. Ren and X. Yang</t>
  </si>
  <si>
    <t>Evaluation of a deep learning-based pelvic synthetic CT generation technique for MRI-based prostate proton treatment planning</t>
  </si>
  <si>
    <t>The purpose of this work is to validate the application of a deep learning-based method for pelvic synthetic CT (sCT) generation that can be used for prostate proton beam therapy treatment planning. We propose to integrate dense block minimization into 3D cycle-consistent generative adversarial networks (cycleGAN) framework to effectively learn the nonlinear mapping between MRI and CT pairs. A cohort of 17 patients with co-registered CT and MR pairs were used to test the deep learning-based sCT generation method by leave-one-out cross-validation. Image quality between the sCT and CT images, gamma analysis passing rate, dose-volume metrics, distal range displacement, and the individual pencil beam Bragg peak shift between sCT- and CT-based proton plans were evaluated. The average mean absolute error (MAE) was 51.32  ±  16.91 HU. The relative differences of the statistics of the PTV dose-volume histogram (DVH) metrics in between sCT and CT were generally less than 1%. Mean values of dose difference, absolute dose difference (in percent of the prescribed dose) were  -0.07%  ±  0.07% and 0.23%  ±  0.08%. Mean gamma analysis pass rate of 1 mm/1%, 2 mm/2%, 3 mm/3% criteria with 10% dose threshold were 92.39%  ±  5.97%, 97.95%  ±  2.95% and 98.97%  ±  1.62% respectively. The median, mean and standard deviation of absolute maximum range differences were 0.09 cm and 0.23  ±  0.25 cm. The median and mean Bragg peak shifts among the 17 patients were 0.09 cm and 0.18  ±  0.07 cm. The image similarity, dosimetric and distal range agreement between sCT and original CT suggests the feasibility of further development of an MRI-only workflow for prostate proton radiotherapy.</t>
  </si>
  <si>
    <t>MRI-based treatment planning for proton radiotherapy: dosimetric validation of a deep learning-based liver synthetic CT generation method</t>
  </si>
  <si>
    <t>Magnetic resonance imaging (MRI) has been widely used in combination with computed tomography (CT) radiation therapy because MRI improves the accuracy and reliability of target delineation due to its superior soft tissue contrast over CT. The MRI-only treatment process is currently an active field of research since it could eliminate systematic MR-CT co-registration errors, reduce medical cost, avoid diagnostic radiation exposure, and simplify clinical workflow. The purpose of this work is to validate the application of a deep learning-based method for abdominal synthetic CT (sCT) generation by image evaluation and dosimetric assessment in a commercial proton pencil beam treatment planning system (TPS). This study proposes to integrate dense block into a 3D cycle-consistent generative adversarial networks (cycle GAN) framework in an effort to effectively learn the nonlinear mapping between MRI and CT pairs. A cohort of 21 patients with co-registered CT and MR pairs were used to test the deep learning-based sCT image quality by leave-one-out cross validation. The CT image quality, dosimetric accuracy and the distal range fidelity were rigorously checked, using side-by-side comparison against the corresponding original CT images. The average mean absolute error (MAE) was 72.87  ±  18.16 HU. The relative differences of the statistics of the PTV dose volume histogram (DVH) metrics between sCT and CT were generally less than 1%. Mean 3D gamma analysis passing rate of 1 mm/1%, 2 mm/2%, 3 mm/3% criteria with 10% dose threshold were 90.76%  ±  5.94%, 96.98%  ±  2.93% and 99.37%  ±  0.99%, respectively. The median, mean and standard deviation of absolute maximum range differences were 0.170 cm, 0.186 cm and 0.155 cm. The image similarity, dosimetric and distal range agreement between sCT and original CT suggests the feasibility of further development of an MRI-only workflow for liver proton radiotherapy.</t>
  </si>
  <si>
    <t>A deep convolutional neural network-based automatic delineation strategy for multiple brain metastases stereotactic radiosurgery</t>
  </si>
  <si>
    <t>Accurate and automatic brain metastases target delineation is a key step for efficient and effective stereotactic radiosurgery (SRS) treatment planning. In this work, we developed a deep learning convolutional neural network (CNN) algorithm for segmenting brain metastases on contrast-enhanced T1-weighted magnetic resonance imaging (MRI) datasets. We integrated the CNN-based algorithm into an automatic brain metastases segmentation workflow and validated on both Multimodal Brain Tumor Image Segmentation challenge (BRATS) data and clinical patients' data. Validation on BRATS data yielded average DICE coefficients (DCs) of 0.75±0.07 in the tumor core and 0.81±0.04 in the enhancing tumor, which outperformed most techniques in the 2015 BRATS challenge. Segmentation results of patient cases showed an average of DCs 0.67±0.03 and achieved an area under the receiver operating characteristic curve of 0.98±0.01. The developed automatic segmentation strategy surpasses current benchmark levels and offers a promising tool for SRS treatment planning for multiple brain metastases.</t>
  </si>
  <si>
    <t>Y. Liu, S. Stojadinovic, B. Hrycushko, Z. Wardak, S. Lau, W. Lu, Y. Yan, S. B. Jiang, X. Zhen, R. Timmerman, L. Nedzi and X. Gu</t>
  </si>
  <si>
    <t>A Study on the Auxiliary Diagnosis of Thyroid Disease Images Based on Multiple Dimensional Deep Learning Algorithms</t>
  </si>
  <si>
    <t>BACKGROUND: Medical imaging plays an important role in the diagnosis of thyroid diseases. In the field of machine learning, multiple dimensional deep learning algorithms are widely used in image classification and recognition, and have achieved great success. OBJECTIVE: The method based on multiple dimensional deep learning is employed for the auxiliary diagnosis of thyroid diseases based on SPECT images. The performances of different deep learning models are evaluated and compared. METHODS: Thyroid SPECT images are collected with three types, they are hyperthyroidism, normal and hypothyroidism. In the pre-processing, the region of interest of thyroid is segmented and the amount of data sample is expanded. Four CNN models, including CNN, Inception, VGG16 and RNN, are used to evaluate deep learning methods. RESULTS: Deep learning based methods have good classification performance, the accuracy is 92.9%-96.2%, AUC is 97.8%-99.6%. VGG16 model has the best performance, the accuracy is 96.2% and AUC is 99.6%. Especially, the VGG16 model with a changing learning rate works best. CONCLUSION: The standard CNN, Inception, VGG16, and RNN four deep learning models are efficient for the classification of thyroid diseases with SPECT images. The accuracy of the assisted diagnostic method based on deep learning is higher than that of other methods reported in the literature.</t>
  </si>
  <si>
    <t>A multi-scale data fusion framework for bone age assessment with convolutional neural networks</t>
  </si>
  <si>
    <t>Bone age assessment (BAA) has various clinical applications such as diagnosis of endocrine disorders and prediction of final adult height for adolescents. Recent studies indicate that deep learning techniques have great potential in developing automated BAA methods with significant advantages over the conventional methods based on handcrafted features. In this paper, we propose a multi-scale data fusion framework for bone age assessment with X-ray images based on non-subsampled contourlet transform (NSCT) and convolutional neural networks (CNNs). Unlike the existing CNN-based BAA methods that adopt the original spatial domain image as network input directly, we pre-extract a rich set of features for the input image by performing NSCT to obtain its multi-scale and multi-direction representations. This feature pre-extraction strategy could be beneficial to network training as the number of annotated examples in the problem of BAA is typically quite limited. The obtained NSCT coefficient maps at each scale are fed into a convolutional network individually and the information from different scales are then merged to achieve the final prediction. Specifically, two CNN models with different data fusion strategies are presented for BAA: a regression model with feature-level fusion and a classification model with decision-level fusion. Experiments on the public BAA dataset Digital Hand Atlas demonstrate that the proposed method can obtain promising results and outperform many state-of-the-art BAA methods. In particular, the proposed approaches exhibit obvious advantages over the corresponding spatial domain approaches (generally with an improvement of more than 0.1 years on the mean absolute error), showing great potential in the future study of this field.</t>
  </si>
  <si>
    <t>Automatic delineation of ribs and clavicles in chest radiographs using fully convolutional DenseNets</t>
  </si>
  <si>
    <t>BACKGROUND AND OBJECTIVE: In chest radiographs (CXRs), all bones and soft tissues are overlapping with each other, which raises issues for radiologists to read and interpret CXRs. Delineating the ribs and clavicles is helpful for suppressing them from chest radiographs so that their effects can be reduced for chest radiography analysis. However, delineating ribs and clavicles automatically is difficult by methods without deep learning models. Moreover, few of methods without deep learning models can delineate the anterior ribs effectively due to their faint rib edges in the posterior-anterior (PA) CXRs. METHODS: In this work, we present an effective deep learning method for delineating posterior ribs, anterior ribs and clavicles automatically using a fully convolutional DenseNet (FC-DenseNet) as pixel classifier. We consider a pixel-weighted loss function to mitigate the uncertainty issue during manually delineating for robust prediction. RESULTS: We conduct a comparative analysis with two other fully convolutional networks for edge detection and the state-of-the-art method without deep learning models. The proposed method significantly outperforms these methods in terms of quantitative evaluation metrics and visual perception. The average recall, precision and F-measure are 0.773 ± 0.030, 0.861 ± 0.043 and 0.814 ± 0.023 respectively, and the mean boundary distance (MBD) is 0.855 ± 0.642 pixels of the proposed method on the test dataset. The proposed method also performs well on JSRT and NIH Chest X-ray datasets, indicating its generalizability across multiple databases. Besides, a preliminary result of suppressing the bone components of CXRs has been produced by using our delineating system. CONCLUSIONS: The proposed method can automatically delineate ribs and clavicles in CXRs and produce accurate edge maps.</t>
  </si>
  <si>
    <t>Automatic diagnosis of fungal keratitis using data augmentation and image fusion with deep convolutional neural network</t>
  </si>
  <si>
    <t>BACKGROUND AND OBJECTIVES: Fungal keratitis is caused by inflammation of the cornea that results from infection by fungal organisms. The lack of an early effective diagnosis often results in serious complications even blindness. Confocal microscopy is one of the most effective methods in the diagnosis of fungal keratitis, but the diagnosis depends on the subjective judgment of medical experts. METHODS: To address this problem, this paper proposes a novel convolutional neural network framework for the automatic diagnosis of fungal keratitis using data augmentation and image fusion. Firstly, a normal image is augmented by flipping to solve the problem of having a limited and imbalanced database. Secondly, a sub-area contrast stretching algorithm is proposed for image preprocessing to highlight the key structures in the images and to filter out irrelevant information. Thirdly, the histogram matching fusion algorithm is implemented, then the preprocessed image is fused with the original image to form a new algorithm framework and a new database. Finally, the traditional convolutional neural network is integrated into the novel algorithm framework to perform the experiments. RESULTS: Experiments show that the accuracy of traditional AlexNet and VGGNet is 99.35% and 99.14%, that of AlexNet and VGGNet based on MF fusion is 99.80% and 99.83%, and that of AlexNet and VGGNet based on histogram matching fusion (HMF) is 99.95% and 99.89%. The experimental results show that the AlexNet framework using data augmentation and image fusion achieves a perfect trade-off between the diagnostic performance and the computational complexity, with a diagnostic accuracy of 99.95%. CONCLUSIONS: These experimental results demonstrate the novel convolutional neural network framework perfectly balances the diagnostic performance and computational complexity, and can improve the effect and real-time performance in the diagnosis of fungal keratitis.</t>
  </si>
  <si>
    <t>A deep learning method for prediction of three-dimensional dose distribution of helical tomotherapy</t>
  </si>
  <si>
    <t>PURPOSE: To develop a deep learning method for prediction of three-dimensional (3D) voxel-by-voxel dose distributions of helical tomotherapy (HT). METHODS: Using previously treated HT plans as training data, a deep learning model named U-ResNet-D was trained to predict a 3D dose distribution. First, the contoured structures and dose volumes were converted from plan database to 3D matrix with a program based on a developed visualization toolkit (VTK), then transferred to U-ResNet-D for correlating anatomical features and dose distributions at voxel-level. One hundred and ninety nasopharyngeal cancer (NPC) patients treated by HT with multiple planning target volumes (PTVs) in different prescription patterns were studied. The model was typically trained from scratch with weights randomly initialized rather than using transfer-learning method, and used to predict new patient's 3D dose distributions. The predictive accuracy was evaluated with three methods: (a) The dose difference at the position r, δ(r, r) = D(c) (r) - D(p) (r), was calculated for each voxel. The mean (μ(δ(r,r)) ) and standard deviation (σ(δ(r,r)) ) of δ(r, r) were calculated to assess the prediction bias and precision; (b) The mean absolute differences of dosimetric indexes (DIs) including maximum and mean dose, homogeneity index, conformity index, and dose spillage for PTVs and organ at risks (OARs) were calculated and statistically analyzed with the paired-samples t test; (c) Dice similarity coefficients (DSC) between predicted and clinical isodose volumes were calculated. RESULTS: The U-ResNet-D model predicted 3D dose distribution accurately. For twenty tested patients, the prediction bias ranged from -2.0% to 2.3% and prediction error varied from 1.5% to 4.5% (relative to prescription) for 3D dose differences. The mean absolute dose differences for PTVs and OARs are within 2.0% and 4.2%, and nearly all the DIs for PTVs and OARs had no significant differences. The averaged DSC ranged from 0.95 to 1 for different isodose volumes. CONCLUSIONS: The study developed a new deep learning method for 3D voxel-by-voxel dose prediction, and shown to be able to produce accurately dose predictions for nasopharyngeal patients treated by HT. The predicted 3D dose map can be useful for improving radiotherapy planning design, ensuring plan quality and consistency, making clinical technique comparison, and guiding automatic treatment planning.</t>
  </si>
  <si>
    <t>Z. Liu, J. Fan, M. Li, H. Yan, Z. Hu, P. Huang, Y. Tian, J. Miao and J. Dai</t>
  </si>
  <si>
    <t>Segmentation of organs-at-risk in cervical cancer CT images with a convolutional neural network</t>
  </si>
  <si>
    <t>PURPOSE: We introduced and evaluated an end-to-end organs-at-risk (OARs) segmentation model that can provide accurate and consistent OARs segmentation results in much less time. METHODS: We collected 105 patients' Computed Tomography (CT) scans that diagnosed locally advanced cervical cancer and treated with radiotherapy in one hospital. Seven organs, including the bladder, bone marrow, left femoral head, right femoral head, rectum, small intestine and spinal cord were defined as OARs. The annotated contours of the OARs previously delineated manually by the patient's radiotherapy oncologist and confirmed by the professional committee consisted of eight experienced oncologists before the radiotherapy were used as the ground truth masks. A multi-class segmentation model based on U-Net was designed to fulfil the OARs segmentation task. The Dice Similarity Coefficient (DSC) and 95th Hausdorff Distance (HD) are used as quantitative evaluation metrics to evaluate the proposed method. RESULTS: The mean DSC values of the proposed method are 0.924, 0.854, 0.906, 0.900, 0.791, 0.833 and 0.827 for the bladder, bone marrow, femoral head left, femoral head right, rectum, small intestine, and spinal cord, respectively. The mean HD values are 5.098, 1.993, 1.390, 1.435, 5.949, 5.281 and 3.269 for the above OARs respectively. CONCLUSIONS: Our proposed method can help reduce the inter-observer and intra-observer variability of manual OARs delineation and lessen oncologists' efforts. The experimental results demonstrate that our model outperforms the benchmark U-Net model and the oncologists' evaluations show that the segmentation results are highly acceptable to be used in radiation therapy planning.</t>
  </si>
  <si>
    <t>A deep learning method for producing ventilation images from 4DCT: First comparison with technegas SPECT ventilation</t>
  </si>
  <si>
    <t>PURPOSE: The purpose of this study is to develop a deep learning (DL) method for producing four-dimensional computed tomography (4DCT) ventilation imaging and to evaluate the accuracy of the DL-based ventilation imaging against single-photon emission-computed tomography (SPECT) ventilation imaging (SPECT-VI). The performance of the DL-based method is assessed by comparing with density change- and Jacobian-based (HU and JAC) methods. MATERIALS AND METHODS: Fifty patients with esophagus or lung cancer who underwent thoracic radiotherapy were enrolled in this study. For each patient, 4DCT scans paired with 99mTc-Technegas SPECT/CT were acquired before the first radiotherapy treatment. 4DCT and SPECT/CT were first rigidly registered using MIMvista and converted to data matrix using MATLAB, and then transferred to a DL model based on U-net for correlating 4DCT features and SPECT-VI. Two forms of 4DCT dataset [(a) ten phases and (b) two phases of peak-exhalation and peak-inhalation] as input are studied. Tenfold cross-validation procedure was used to evaluate the performance of the DL model. For comparative evaluation, HU and JAC methodologies are used to calculate specific ventilation imaging based on 4DCT (CTVI) for each patient. The voxel-wise Spearman's correlation was evaluated over the whole lung between each of CTVI and corresponding SPECT-VI. The SPECT-VI and produced CTVIs were segmented into high, median, and low functional lung (HFL, MFL, and LFL) regions. The spatial overlap of corresponding HFL, MFL, and LFL for each CTVI against SPECT-VI was also evaluated using the dice similarity coefficient (DSC). The averaged DSC of functional lung regions was calculated and statistically analyzed with a one-factor ANONA model among different methods. RESULTS: The voxel-wise Spearman r(s) values were (0.22 ± 0.31), (-0.09 ± 0.18), and (0.73 ± 0.16)/(0.71 ± 0.17) for the CTVI(HU) , CTVI(JAC) , and CTVI(DL(1)) /CTVI(DL(2)) . These results showed the DL method yielded the strongest correlation with SPECT-VI. Using the DSC as the spatial overlap metric, we found that the CTVI(HU) , CTVI(JAC) , and CTVI(DL(1)) /CTVI(DL(2)) methods achieved averaged DSC values for all patients to be (0.45 ± 0.08), (0.33 ± 0.04), and (0.73 ± 0.09)/(0.71 ± 0.09), respectively. The results demonstrated that the DL method yielded the highest similarity with SPECT-VI with the prominently significant difference (P &lt; 10(-7) ). CONCLUSIONS: This study developed a DL method for producing CTVI and performed a validation against SPECT-VI. The results demonstrated that DL method can derive CTVI with greatly improved accuracy in comparison to HU and JAC methods. The produced ventilation images can be more accurate and useful for lung functional avoidance radiotherapy and treatment response modeling.</t>
  </si>
  <si>
    <t>10.7150/thno.30309</t>
  </si>
  <si>
    <t>The Applications of Radiomics in Precision Diagnosis and Treatment of Oncology: Opportunities and Challenges</t>
  </si>
  <si>
    <t>Medical imaging can assess the tumor and its environment in their entirety, which makes it suitable for monitoring the temporal and spatial characteristics of the tumor. Progress in computational methods, especially in artificial intelligence for medical image process and analysis, has converted these images into quantitative and minable data associated with clinical events in oncology management. This concept was first described as radiomics in 2012. Since then, computer scientists, radiologists, and oncologists have gravitated towards this new tool and exploited advanced methodologies to mine the information behind medical images. On the basis of a great quantity of radiographic images and novel computational technologies, researchers developed and validated radiomic models that may improve the accuracy of diagnoses and therapy response assessments. Here, we review the recent methodological developments in radiomics, including data acquisition, tumor segmentation, feature extraction, and modelling, as well as the rapidly developing deep learning technology. Moreover, we outline the main applications of radiomics in diagnosis, treatment planning and evaluations in the field of oncology with the aim of developing quantitative and personalized medicine. Finally, we discuss the challenges in the field of radiomics and the scope and clinical applicability of these methods.</t>
  </si>
  <si>
    <t>A U-Net Deep Learning Framework for High Performance Vessel Segmentation in Patients With Cerebrovascular Disease</t>
  </si>
  <si>
    <t>Brain vessel status is a promising biomarker for better prevention and treatment in cerebrovascular disease. However, classic rule-based vessel segmentation algorithms need to be hand-crafted and are insufficiently validated. A specialized deep learning method-the U-net-is a promising alternative. Using labeled data from 66 patients with cerebrovascular disease, the U-net framework was optimized and evaluated with three metrics: Dice coefficient, 95% Hausdorff distance (95HD) and average Hausdorff distance (AVD). The model performance was compared with the traditional segmentation method of graph-cuts. Training and reconstruction was performed using 2D patches. A full and a reduced architecture with less parameters were trained. We performed both quantitative and qualitative analyses. The U-net models yielded high performance for both the full and the reduced architecture: A Dice value of ~0.88, a 95HD of ~47 voxels and an AVD of ~0.4 voxels. The visual analysis revealed excellent performance in large vessels and sufficient performance in small vessels. Pathologies like cortical laminar necrosis and a rete mirabile led to limited segmentation performance in few patients. The U-net outperfomed the traditional graph-cuts method (Dice ~0.76, 95HD ~59, AVD ~1.97). Our work highly encourages the development of clinically applicable segmentation tools based on deep learning. Future works should focus on improved segmentation of small vessels and methodologies to deal with specific pathologies.</t>
  </si>
  <si>
    <t>M. Livne, J. Rieger, O. U. Aydin, A. A. Taha, E. M. Akay, T. Kossen, J. Sobesky, J. D. Kelleher, K. Hildebrand, D. Frey and V. I. Madai</t>
  </si>
  <si>
    <t>Influence of medical domain knowledge on deep learning for Alzheimer's disease prediction</t>
  </si>
  <si>
    <t>BACKGROUND AND OBJECTIVE: Alzheimer's disease (AD) is the most common type of dementia that can seriously affect a person's ability to perform daily activities. Estimates indicate that AD may rank third as a cause of death for older people, after heart disease and cancer. Identification of individuals at risk for developing AD is imperative for testing therapeutic interventions. The objective of the study was to determine could diagnostics of AD from EMR data alone (without relying on diagnostic imaging) be significantly improved by applying clinical domain knowledge in data preprocessing and positive dataset selection rather than setting naïve filters. METHODS: Data were extracted from the repository of heterogeneous ambulatory EMR data, collected from primary care medical offices all over the U.S. Medical domain knowledge was applied to build a positive dataset from data relevant to AD. Selected Clinically Relevant Positive (SCRP) datasets were used as inputs to a Long-Short-Term Memory (LSTM) Recurrent Neural Network (RNN) deep learning model to predict will the patient develop AD. RESULTS: Risk scores prediction of AD using the drugs domain information in an SCRP AD dataset of 2,324 patients achieved high out-of-sample score - 0.98-0.99 Area Under the Precision-Recall Curve (AUPRC) when using 90% of SCRP dataset for training. AUPRC dropped to 0.89 when training the model using less than 1,500 cases from the SCRP dataset. The model was still significantly better than when using naïve dataset selection. CONCLUSION: The LSTM RNN method that used data relevant to AD performed significantly better when learning from the SCRP dataset than when datasets were selected naïvely. The integration of qualitative medical knowledge for dataset selection and deep learning technology provided a mechanism for significant improvement of AD prediction. Accurate and early prediction of AD is significant in the identification of patients for clinical trials, which can possibly result in the discovery of new drugs for treatments of AD. Also, the contribution of the proposed predictions of AD is a better selection of patients who need imaging diagnostics for differential diagnosis of AD from other degenerative brain disorders.</t>
  </si>
  <si>
    <t>Food Volume Estimation Based on Deep Learning View Synthesis from a Single Depth Map</t>
  </si>
  <si>
    <t>An objective dietary assessment system can help users to understand their dietary behavior and enable targeted interventions to address underlying health problems. To accurately quantify dietary intake, measurement of the portion size or food volume is required. For volume estimation, previous research studies mostly focused on using model-based or stereo-based approaches which rely on manual intervention or require users to capture multiple frames from different viewing angles which can be tedious. In this paper, a view synthesis approach based on deep learning is proposed to reconstruct 3D point clouds of food items and estimate the volume from a single depth image. A distinct neural network is designed to use a depth image from one viewing angle to predict another depth image captured from the corresponding opposite viewing angle. The whole 3D point cloud map is then reconstructed by fusing the initial data points with the synthesized points of the object items through the proposed point cloud completion and Iterative Closest Point (ICP) algorithms. Furthermore, a database with depth images of food object items captured from different viewing angles is constructed with image rendering and used to validate the proposed neural network. The methodology is then evaluated by comparing the volume estimated by the synthesized 3D point cloud with the ground truth volume of the object items.</t>
  </si>
  <si>
    <t>Nutrients</t>
  </si>
  <si>
    <t>10.1016/j.breast.2019.11.009</t>
  </si>
  <si>
    <t>Machine learning with multiparametric magnetic resonance imaging of the breast for early prediction of response to neoadjuvant chemotherapy</t>
  </si>
  <si>
    <t>In patients with locally advanced breast cancer undergoing neoadjuvant chemotherapy (NAC), some patients achieve a complete pathologic response (pCR), some achieve a partial response, and some do not respond at all or even progress. Accurate prediction of treatment response has the potential to improve patient care by improving prognostication, enabling de-escalation of toxic treatment that has little benefit, facilitating upfront use of novel targeted therapies, and avoiding delays to surgery. Visual inspection of a patient's tumor on multiparametric MRI is insufficient to predict that patient's response to NAC. However, machine learning and deep learning approaches using a mix of qualitative and quantitative MRI features have recently been applied to predict treatment response early in the course of or even before the start of NAC. This is a novel field but the data published so far has shown promising results. We provide an overview of the machine learning and deep learning models developed to date, as well as discuss some of the challenges to clinical implementation.</t>
  </si>
  <si>
    <t>Epiretinal Membrane Detection at the Ophthalmologist Level using Deep Learning of Optical Coherence Tomography</t>
  </si>
  <si>
    <t>PURPOSE: Previous deep learning studies on optical coherence tomography (OCT) mainly focused on diabetic retinopathy and age-related macular degeneration. We proposed a deep learning model that can identify epiretinal membrane (ERM) in OCT with ophthalmologist-level performance. DESIGN: Cross-sectional study. PARTICIPANTS: A total of 3,618 central fovea cross section OCT images from 1,475 eyes of 964 patients. METHODS: We retrospectively collected 7,652 OCT images from 1,197 patients. From these images, 2,171 were normal and 1,447 were ERM OCT. A total of 3,141 OCT images was used as training dataset and 477 images as testing dataset. DL algorithm was used to train the interpretation model. Diagnostic results by four board-certified non-retinal specialized ophthalmologists on the testing dataset were compared with those generated by the DL model. MAIN OUTCOME MEASURES: We calculated for the derived DL model the following characteristics: sensitivity, specificity, F1 score and area under curve (AUC) of the receiver operating characteristic (ROC) curve. These were calculated according to the gold standard results which were parallel diagnoses of the retinal specialist. Performance of the DL model was finally compared with that of non-retinal specialized ophthalmologists. RESULTS: Regarding the diagnosis of ERM in OCT images, the trained DL model had the following characteristics in performance: sensitivity: 98.7%, specificity: 98.0%, and F1 score: 0.945. The accuracy on the training dataset was 99.7% (95% CI: 99.4 - 99.9%), and for the testing dataset, diagnostic accuracy was 98.1% (95% CI: 96.5 - 99.1%). AUC of the ROC curve was 0.999. The DL model slightly outperformed the average non-retinal specialized ophthalmologists. CONCLUSIONS: An ophthalmologist-level DL model was built here to accurately identify ERM in OCT images. The performance of the model was slightly better than the average non-retinal specialized ophthalmologists. The derived model may play a role to assist clinicians to promote the efficiency and safety of healthcare in the future.</t>
  </si>
  <si>
    <t>10.1007/s00066-020-01663-3</t>
  </si>
  <si>
    <t>Radiomics in radiation oncology-basics, methods, and limitations</t>
  </si>
  <si>
    <t>Over the past years, the quantity and complexity of imaging data available for the clinical management of patients with solid tumors has increased substantially. Without the support of methods from the field of artificial intelligence (AI) and machine learning, a complete evaluation of the available image information is hardly feasible in clinical routine. Especially in radiotherapy planning, manual detection and segmentation of lesions is laborious, time consuming, and shows significant variability among observers. Here, AI already offers techniques to support radiation oncologists, whereby ultimately, the productivity and the quality are increased, potentially leading to an improved patient outcome. Besides detection and segmentation of lesions, AI allows the extraction of a vast number of quantitative imaging features from structural or functional imaging data that are typically not accessible by means of human perception. These features can be used alone or in combination with other clinical parameters to generate mathematical models that allow, for example, prediction of the response to radiotherapy. Within the large field of AI, radiomics is the subdiscipline that deals with the extraction of quantitative image features as well as the generation of predictive or prognostic mathematical models. This review gives an overview of the basics, methods, and limitations of radiomics, with a focus on patients with brain tumors treated by radiation therapy.</t>
  </si>
  <si>
    <t>10.3389/fneur.2020.00001</t>
  </si>
  <si>
    <t>PET/MRI Radiomics in Patients With Brain Metastases</t>
  </si>
  <si>
    <t>Although a variety of imaging modalities are used or currently being investigated for patients with brain tumors including brain metastases, clinical image interpretation to date uses only a fraction of the underlying complex, high-dimensional digital information from routinely acquired imaging data. The growing availability of high-performance computing allows the extraction of quantitative imaging features from medical images that are usually beyond human perception. Using machine learning techniques and advanced statistical methods, subsets of such imaging features are used to generate mathematical models that represent characteristic signatures related to the underlying tumor biology and might be helpful for the assessment of prognosis or treatment response, or the identification of molecular markers. The identification of appropriate, characteristic image features as well as the generation of predictive or prognostic mathematical models is summarized under the term radiomics. This review summarizes the current status of radiomics in patients with brain metastases.</t>
  </si>
  <si>
    <t>Front Neurol</t>
  </si>
  <si>
    <t>Microscopy cell nuclei segmentation with enhanced U-Net</t>
  </si>
  <si>
    <t>BACKGROUND: Cell nuclei segmentation is a fundamental task in microscopy image analysis, based on which multiple biological related analysis can be performed. Although deep learning (DL) based techniques have achieved state-of-the-art performances in image segmentation tasks, these methods are usually complex and require support of powerful computing resources. In addition, it is impractical to allocate advanced computing resources to each dark- or bright-field microscopy, which is widely employed in vast clinical institutions, considering the cost of medical exams. Thus, it is essential to develop accurate DL based segmentation algorithms working with resources-constraint computing. RESULTS: An enhanced, light-weighted U-Net (called U-Net+) with modified encoded branch is proposed to potentially work with low-resources computing. Through strictly controlled experiments, the average IOU and precision of U-Net+ predictions are confirmed to outperform other prevalent competing methods with 1.0% to 3.0% gain on the first stage test set of 2018 Kaggle Data Science Bowl cell nuclei segmentation contest with shorter inference time. CONCLUSIONS: Our results preliminarily demonstrate the potential of proposed U-Net+ in correctly spotting microscopy cell nuclei with resources-constraint computing.</t>
  </si>
  <si>
    <t>F. Long</t>
  </si>
  <si>
    <t>Recurrent inference machines for reconstructing heterogeneous MRI data</t>
  </si>
  <si>
    <t>Deep learning allows for accelerated magnetic resonance image (MRI) reconstruction, thereby shortening measurement times. Rather than using sparsifying transforms, a prerequisite in Compressed Sensing (CS), suitable MRI prior distributions are learned from data. In clinical practice, both the underlying anatomy as well as image acquisition settings vary. For this reason, deep neural networks must be able to reapply what they learn across different measurement conditions. We propose to use Recurrent Inference Machines (RIM) as a framework for accelerated MRI reconstruction. RIMs solve inverse problems in an iterative and recurrent inference procedure by repeatedly reassessing the state of their reconstruction, and subsequently making incremental adjustments to it in accordance with the forward model of accelerated MRI. RIMs learn the inferential process of reconstructing a given signal, which, in combination with the use of internal states as part of their recurrent architecture, makes them less dependent on learning the features pertaining to the source of the signal itself. This gives RIMs a low tendency to overfit, and a high capacity to generalize to unseen types of data. We demonstrate this ability with respect to anatomy by reconstructing brain and knee scans, as well as other MRI acquisition settings, by reconstructing scans of different contrast and resolution, at different field strength, subjected to varying acceleration levels. We show that RIMs outperform CS not only with respect to quality metrics, but also according to a rating given by an experienced neuroradiologist in a double blinded experiment. Finally, we show with qualitative results that our model can be applied to prospectively under-sampled raw data, as acquired by pre-installed acquisition protocols.</t>
  </si>
  <si>
    <t>K. Lønning, P. Putzky, J. J. Sonke, L. Reneman, M. W. A. Caan and M. Welling</t>
  </si>
  <si>
    <t>Machine Learning and Artificial Intelligence in Pediatric Research: Current State, Future Prospects, and Examples in Perioperative and Critical Care</t>
  </si>
  <si>
    <t>H. Lonsdale, A. Jalali, L. Ahumada and C. Matava</t>
  </si>
  <si>
    <t>J Pediatr</t>
  </si>
  <si>
    <t>Beyond Performance Metrics: Automatic Deep Learning Retinal OCT Analysis Reproduces Clinical Trial Outcome</t>
  </si>
  <si>
    <t>PURPOSE: To validate the efficacy of a fully automatic, deep learning-based segmentation algorithm beyond conventional performance metrics by measuring the primary outcome of a clinical trial for macular telangiectasia type 2 (MacTel2). DESIGN: Evaluation of diagnostic test or technology. PARTICIPANTS: A total of 92 eyes from 62 participants with MacTel2 from a phase 2 clinical trial (NCT01949324) randomized to 1 of 2 treatment groups METHODS: The ellipsoid zone (EZ) defect areas were measured on spectral domain OCT images of each eye at 2 time points (baseline and month 24) by a fully automatic, deep learning-based segmentation algorithm. The change in EZ defect area from baseline to month 24 was calculated and analyzed according to the clinical trial protocol. MAIN OUTCOME MEASURE: Difference in the change in EZ defect area from baseline to month 24 between the 2 treatment groups. RESULTS: The difference in the change in EZ defect area from baseline to month 24 between the 2 treatment groups measured by the fully automatic segmentation algorithm was 0.072±0.035 mm(2) (P = 0.021). This was comparable to the outcome of the clinical trial using semiautomatic measurements by expert readers, 0.065±0.033 mm(2) (P = 0.025). CONCLUSIONS: The fully automatic segmentation algorithm was as accurate as semiautomatic expert segmentation to assess EZ defect areas and was able to reliably reproduce the statistically significant primary outcome measure of the clinical trial. This approach, to validate the performance of an automatic segmentation algorithm on the primary clinical trial end point, provides a robust gauge of its clinical applicability.</t>
  </si>
  <si>
    <t>Fully automated, real-time 3D ultrasound segmentation to estimate first trimester placental volume using deep learning</t>
  </si>
  <si>
    <t>We present a new technique to fully automate the segmentation of an organ from 3D ultrasound (3D-US) volumes, using the placenta as the target organ. Image analysis tools to estimate organ volume do exist but are too time consuming and operator dependant. Fully automating the segmentation process would potentially allow the use of placental volume to screen for increased risk of pregnancy complications. The placenta was segmented from 2,393 first trimester 3D-US volumes using a semiautomated technique. This was quality controlled by three operators to produce the ground-truth data set. A fully convolutional neural network (OxNNet) was trained using this ground-truth data set to automatically segment the placenta. OxNNet delivered state-of-the-art automatic segmentation. The effect of training set size on the performance of OxNNet demonstrated the need for large data sets. The clinical utility of placental volume was tested by looking at predictions of small-for-gestational-age babies at term. The receiver-operating characteristics curves demonstrated almost identical results between OxNNet and the ground-truth). Our results demonstrated good similarity to the ground-truth and almost identical clinical results for the prediction of SGA.</t>
  </si>
  <si>
    <t>P. Looney, G. N. Stevenson, K. H. Nicolaides, W. Plasencia, M. Molloholli, S. Natsis and S. L. Collins</t>
  </si>
  <si>
    <t>JCI Insight</t>
  </si>
  <si>
    <t>Pre-trained convolutional neural networks as feature extractors for tuberculosis detection</t>
  </si>
  <si>
    <t>It is estimated that in 2015, approximately 1.8 million people infected by tuberculosis died, most of them in developing countries. Many of those deaths could have been prevented if the disease had been detected at an earlier stage, but the most advanced diagnosis methods are still cost prohibitive for mass adoption. One of the most popular tuberculosis diagnosis methods is the analysis of frontal thoracic radiographs; however, the impact of this method is diminished by the need for individual analysis of each radiography by properly trained radiologists. Significant research can be found on automating diagnosis by applying computational techniques to medical images, thereby eliminating the need for individual image analysis and greatly diminishing overall costs. In addition, recent improvements on deep learning accomplished excellent results classifying images on diverse domains, but its application for tuberculosis diagnosis remains limited. Thus, the focus of this work is to produce an investigation that will advance the research in the area, presenting three proposals to the application of pre-trained convolutional neural networks as feature extractors to detect the disease. The proposals presented in this work are implemented and compared to the current literature. The obtained results are competitive with published works demonstrating the potential of pre-trained convolutional networks as medical image feature extractors.</t>
  </si>
  <si>
    <t>U. K. Lopes and J. F. Valiati</t>
  </si>
  <si>
    <t>Fully automatic detection and segmentation of abdominal aortic thrombus in post-operative CTA images using Deep Convolutional Neural Networks</t>
  </si>
  <si>
    <t>Computerized Tomography Angiography (CTA) based follow-up of Abdominal Aortic Aneurysms (AAA) treated with Endovascular Aneurysm Repair (EVAR) is essential to evaluate the progress of the patient and detect complications. In this context, accurate quantification of post-operative thrombus volume is required. However, a proper evaluation is hindered by the lack of automatic, robust and reproducible thrombus segmentation algorithms. We propose a new fully automatic approach based on Deep Convolutional Neural Networks (DCNN) for robust and reproducible thrombus region of interest detection and subsequent fine thrombus segmentation. The DetecNet detection network is adapted to perform region of interest extraction from a complete CTA and a new segmentation network architecture, based on Fully Convolutional Networks and a Holistically-Nested Edge Detection Network, is presented. These networks are trained, validated and tested in 13 post-operative CTA volumes of different patients using a 4-fold cross-validation approach to provide more robustness to the results. Our pipeline achieves a Dice score of more than 82% for post-operative thrombus segmentation and provides a mean relative volume difference between ground truth and automatic segmentation that lays within the experienced human observer variance without the need of human intervention in most common cases.</t>
  </si>
  <si>
    <t>K. López-Linares, N. Aranjuelo, L. Kabongo, G. Maclair, N. Lete, M. Ceresa, A. García-Familiar, I. Macía and M. A. González Ballester</t>
  </si>
  <si>
    <t>Video Image Enhancement and Machine Learning Pipeline for Underwater Animal Detection and Classification at Cabled Observatories</t>
  </si>
  <si>
    <t>An understanding of marine ecosystems and their biodiversity is relevant to sustainable use of the goods and services they offer. Since marine areas host complex ecosystems, it is important to develop spatially widespread monitoring networks capable of providing large amounts of multiparametric information, encompassing both biotic and abiotic variables, and describing the ecological dynamics of the observed species. In this context, imaging devices are valuable tools that complement other biological and oceanographic monitoring devices. Nevertheless, large amounts of images or movies cannot all be manually processed, and autonomous routines for recognizing the relevant content, classification, and tagging are urgently needed. In this work, we propose a pipeline for the analysis of visual data that integrates video/image annotation tools for defining, training, and validation of datasets with video/image enhancement and machine and deep learning approaches. Such a pipeline is required to achieve good performance in the recognition and classification tasks of mobile and sessile megafauna, in order to obtain integrated information on spatial distribution and temporal dynamics. A prototype implementation of the analysis pipeline is provided in the context of deep-sea videos taken by one of the fixed cameras at the LoVe Ocean Observatory network of Lofoten Islands (Norway) at 260 m depth, in the Barents Sea, which has shown good classification results on an independent test dataset with an accuracy value of 76.18% and an area under the curve (AUC) value of 87.59%.</t>
  </si>
  <si>
    <t>Using multi-layer perceptron with Laplacian edge detector for bladder cancer diagnosis</t>
  </si>
  <si>
    <t>In this paper, the urinary bladder cancer diagnostic method which is based on Multi-Layer Perceptron and Laplacian edge detector is presented. The aim of this paper is to investigate the implementation possibility of a simpler method (Multi-Layer Perceptron) alongside commonly used methods, such as Deep Learning Convolutional Neural Networks, for the urinary bladder cancer detection. The dataset used for this research consisted of 1997 images of bladder cancer and 986 images of non-cancer tissue. The results of the conducted research showed that using Multi-Layer Perceptron trained and tested with images pre-processed with Laplacian edge detector are achieving AUC value up to 0.99. When different image sizes are compared it can be seen that the best results are achieved if 50×50 and 100×100 images were used.</t>
  </si>
  <si>
    <t>Deep Learning Based Model Observer by U-Net</t>
  </si>
  <si>
    <t>Model Observers (MO) are algorithms designed to evaluate and optimize the parameters of new medical imaging reconstruction methodologies by providing a measure of human accuracy for a diagnostic task. In contrast with a computer-aided diagnosis system, MOs are not designed to outperform human diagnosis but only to find a defect if a radiologist would be able to detect it. These algorithms can economize and expedite the finding of optimal reconstruction parameters by reducing the number of sessions with expert radiologists, which are costly and prolonged. Convolutional Neural Networks (CNN or ConvNet) have been successfully used in the computer vision field for image classification, segmentation and video analytics. In this paper, we propose and test several U-Net configurations as MO for a defect localization task on synthetic images with different levels of correlated noisy backgrounds. Preliminary results show that the CNN based MO has potential and its accuracy correlates well with that of the human.</t>
  </si>
  <si>
    <t>Motion estimation and correction in cardiac CT angiography images using convolutional neural networks</t>
  </si>
  <si>
    <t>Cardiac motion artifacts frequently reduce the interpretability of coronary computed tomography angiography (CCTA) images and potentially lead to misinterpretations or preclude the diagnosis of coronary artery disease (CAD). In this paper, a novel motion compensation approach dealing with Coronary Motion estimation by Patch Analysis in CT data (CoMPACT) is presented. First, the required data for supervised learning is generated by the Coronary Motion Forward Artifact model for CT data (CoMoFACT) which introduces simulated motion to 19 artifact-free clinical CT cases with step-and-shoot acquisition protocol. Second, convolutional neural networks (CNNs) are trained to estimate underlying 2D motion vectors from 2.5D image patches based on the coronary artifact appearance. In a phantom study with computer-simulated vessels, CNNs predict the motion direction and the motion magnitude with average test accuracies of 13.37°±1.21° and 0.77 ± 0.09 mm, respectively. On clinical data with simulated motion, average test accuracies of 34.85°±2.09° and 1.86 ± 0.11 mm are achieved, whereby the precision of the motion direction prediction increases with the motion magnitude. The trained CNNs are integrated into an iterative motion compensation pipeline which includes distance-weighted motion vector extrapolation. Alternating motion estimation and compensation in twelve clinical cases with real cardiac motion artifacts leads to significantly reduced artifact levels, especially in image data with severe artifacts. In four observer studies, mean artifact levels of 3.08 ± 0.24 without MC and 2.28 ± 0.29 with CoMPACT MC are rated in a five point Likert scale.</t>
  </si>
  <si>
    <t>Motion artifact recognition and quantification in coronary CT angiography using convolutional neural networks</t>
  </si>
  <si>
    <t>Excellent image quality is a primary prerequisite for diagnostic non-invasive coronary CT angiography. Artifacts due to cardiac motion may interfere with detection and diagnosis of coronary artery disease and render subsequent treatment decisions more difficult. We propose deep-learning-based measures for coronary motion artifact recognition and quantification in order to assess the diagnostic reliability and image quality of coronary CT angiography images. More specifically, the application, steering and evaluation of motion compensation algorithms can be triggered by these measures. A Coronary Motion Forward Artifact model for CT data (CoMoFACT) is developed and applied to clinical cases with excellent image quality to introduce motion artifacts using simulated motion vector fields. The data required for supervised learning is generated by the CoMoFACT from 17 prospectively ECG-triggered clinical cases with controlled motion levels on a scale of 0-10. Convolutional neural networks achieve an accuracy of 93.3% ± 1.8% for the classification task of separating motion-free from motion-perturbed coronary cross-sectional image patches. The target motion level is predicted by a corresponding regression network with a mean absolute error of 1.12 ± 0.07. Transferability and generalization capabilities are demonstrated by motion artifact measurements on eight additional CCTA cases with real motion artifacts.</t>
  </si>
  <si>
    <t>T. Lossau, H. Nickisch, T. Wissel, R. Bippus, H. Schmitt, M. Morlock and M. Grass</t>
  </si>
  <si>
    <t>10.2214/ajr.18.20218</t>
  </si>
  <si>
    <t>State of the Art: Machine Learning Applications in Glioma Imaging</t>
  </si>
  <si>
    <t>OBJECTIVE: Machine learning has recently gained considerable attention because of promising results for a wide range of radiology applications. Here we review recent work using machine learning in brain tumor imaging, specifically segmentation and MRI radiomics of gliomas. CONCLUSION: We discuss available resources, state-of-the-art segmentation methods, and machine learning radiomics for glioma. We highlight the challenges of these techniques as well as the future potential in clinical diagnostics, prognostics, and decision making.</t>
  </si>
  <si>
    <t>E. Lotan, R. Jain, N. Razavian, G. M. Fatterpekar and Y. W. Lui</t>
  </si>
  <si>
    <t>An image-based deep learning framework for individualizing radiotherapy dose</t>
  </si>
  <si>
    <t>BACKGROUND: Radiotherapy continues to be delivered uniformly without consideration of individual tumor characteristics. To advance toward more precise treatments in radiotherapy, we queried the lung computed tomography (CT)-derived feature space to identify radiation sensitivity parameters that can predict treatment failure and hence guide the individualization of radiotherapy dose. METHODS: We used a cohort-based registry of 849 patients with cancer in the lung treated with high dose radiotherapy using stereotactic body radiotherapy. We input pre-therapy lung CT images into a multi-task deep neural network, Deep Profiler, to generate an image fingerprint that primarily predicts time to event treatment outcomes and secondarily approximates classical radiomic features. We validated our findings in an independent study population (n = 95). Deep Profiler was combined with clinical variables to derive iGray, an individualized dose that estimates treatment failure probability to be &lt;5%. FINDINGS: Radiation treatments in patients with high Deep Profiler scores fail at a significantly higher rate than in those with low scores. The 3-year cumulative incidences of local failure were 20.3% (95% CI: 16.0-24.9) and 5.7% (95% CI: 3.5-8.8), respectively. Deep Profiler independently predicted local failure (hazard ratio 1.65, 95% 1.02-2.66, p = 0.04). Models that included Deep Profiler and clinical variables predicted treatment failures with a concordance index of 0.72 (95% CI: 0.67-0.77), a significant improvement compared to classical radiomics or clinical variables alone (p = &lt;0.001 and &lt;0.001, respectively). Deep Profiler performed well in an external study population (n = 95), accurately predicting treatment failures across diverse clinical settings and CT scanner types (concordance index = 0.77 [95% CI: 0.69-0.92]). iGray had a wide dose range (21.1-277 Gy, BED), suggested dose reductions in 23.3% of patients and can be safely delivered in the majority of cases. INTERPRETATION: Our results indicate that there are image-distinct subpopulations that have differential sensitivity to radiotherapy. The image-based deep learning framework proposed herein is the first opportunity to use medical images to individualize radiotherapy dose.</t>
  </si>
  <si>
    <t>B. Lou, S. Doken, T. Zhuang, D. Wingerter, M. Gidwani, N. Mistry, L. Ladic, A. Kamen and M. E. Abazeed</t>
  </si>
  <si>
    <t>Deep-learning based multiclass retinal fluid segmentation and detection in optical coherence tomography images using a fully convolutional neural network</t>
  </si>
  <si>
    <t>As a non-invasive imaging modality, optical coherence tomography (OCT) can provide micrometer-resolution 3D images of retinal structures. These images can help reveal disease-related alterations below the surface of the retina, such as the presence of edema, or accumulation of fluid which can distort vision, and are an indication of disruptions in the vasculature of the retina. In this paper, a new framework is proposed for multiclass fluid segmentation and detection in the retinal OCT images. Based on the intensity of OCT images and retinal layer segmentations provided by a graph-cut algorithm, a fully convolutional neural network was trained to recognize and label the fluid pixels. Random forest classification was performed on the segmented fluid regions to detect and reject the falsely labeled fluid regions. The proposed framework won the first place in the MICCAI RETOUCH challenge in 2017 on both the segmentation performance (mean Dice: 0.7667) and the detection performance (mean AUC: 1.00) tasks.</t>
  </si>
  <si>
    <t>Multimodal and Multiscale Deep Neural Networks for the Early Diagnosis of Alzheimer's Disease using structural MR and FDG-PET images</t>
  </si>
  <si>
    <t>Alzheimer's Disease (AD) is a progressive neurodegenerative disease where biomarkers for disease based on pathophysiology may be able to provide objective measures for disease diagnosis and staging. Neuroimaging scans acquired from MRI and metabolism images obtained by FDG-PET provide in-vivo measurements of structure and function (glucose metabolism) in a living brain. It is hypothesized that combining multiple different image modalities providing complementary information could help improve early diagnosis of AD. In this paper, we propose a novel deep-learning-based framework to discriminate individuals with AD utilizing a multimodal and multiscale deep neural network. Our method delivers 82.4% accuracy in identifying the individuals with mild cognitive impairment (MCI) who will convert to AD at 3 years prior to conversion (86.4% combined accuracy for conversion within 1-3 years), a 94.23% sensitivity in classifying individuals with clinical diagnosis of probable AD, and a 86.3% specificity in classifying non-demented controls improving upon results in published literature.</t>
  </si>
  <si>
    <t>D. Lu, K. Popuri, G. W. Ding, R. Balachandar and M. F. Beg</t>
  </si>
  <si>
    <t>Multiscale deep neural network based analysis of FDG-PET images for the early diagnosis of Alzheimer's disease</t>
  </si>
  <si>
    <t>Alzheimer's disease (AD) is one of the most common neurodegenerative diseases with a commonly seen prodromal mild cognitive impairment (MCI) phase where memory loss is the main complaint progressively worsening with behavior issues and poor self-care. However, not all individuals clinically diagnosed with MCI progress to AD. A fraction of subjects with MCI either progress to non-AD dementia or remain stable at the MCI stage without progressing to dementia. Although a curative treatment of AD is currently unavailable, it is extremely important to correctly identify the individuals in the MCI phase that will go on to develop AD so that they may benefit from a curative treatment when one becomes available in the near future. At the same time, it would be highly desirable to also correctly identify those in the MCI phase that do not have AD pathology so they may be spared from unnecessary pharmocologic interventions that, at best, may provide them no benefit, and at worse, could further harm them with adverse side-effects. Additionally, it may be easier and simpler to identify the cause of the cognitive impairment in these non-AD cases, and hence proper identification of prodromal AD will be of benefit to these individuals as well. Fluorodeoxy glucose positron emission tomography (FDG-PET) captures the metabolic activity of the brain, and this imaging modality has been reported to identify changes related to AD prior to the onset of structural changes. Prior work on designing classifier using FDG-PET imaging has been promising. Since deep-learning has recently emerged as a powerful tool to mine features and use them for accurate labeling of the group membership of given images, we propose a novel deep-learning framework using FDG-PET metabolism imaging to identify subjects at the MCI stage with presymptomatic AD and discriminate them from other subjects with MCI (non-AD / non-progressive). Our multiscale deep neural network obtained 82.51% accuracy of classification just using measures from a single modality (FDG-PET metabolism data) outperforming other comparable FDG-PET classifiers published in the recent literature.</t>
  </si>
  <si>
    <t>Automatic 3D liver location and segmentation via convolutional neural network and graph cut</t>
  </si>
  <si>
    <t>PURPOSE: Segmentation of the liver from abdominal computed tomography (CT) images is an essential step in some computer-assisted clinical interventions, such as surgery planning for living donor liver transplant, radiotherapy and volume measurement. In this work, we develop a deep learning algorithm with graph cut refinement to automatically segment the liver in CT scans. METHODS: The proposed method consists of two main steps: (i) simultaneously liver detection and probabilistic segmentation using 3D convolutional neural network; (ii) accuracy refinement of the initial segmentation with graph cut and the previously learned probability map. RESULTS: The proposed approach was validated on forty CT volumes taken from two public databases MICCAI-Sliver07 and 3Dircadb1. For the MICCAI-Sliver07 test dataset, the calculated mean ratios of volumetric overlap error (VOE), relative volume difference (RVD), average symmetric surface distance (ASD), root-mean-square symmetric surface distance (RMSD) and maximum symmetric surface distance (MSD) are 5.9, 2.7 %, 0.91, 1.88 and 18.94 mm, respectively. For the 3Dircadb1 dataset, the calculated mean ratios of VOE, RVD, ASD, RMSD and MSD are 9.36, 0.97 %, 1.89, 4.15 and 33.14 mm, respectively. CONCLUSIONS: The proposed method is fully automatic without any user interaction. Quantitative results reveal that the proposed approach is efficient and accurate for hepatic volume estimation in a clinical setup. The high correlation between the automatic and manual references shows that the proposed method can be good enough to replace the time-consuming and nonreproducible manual segmentation method.</t>
  </si>
  <si>
    <t>F. Lu, F. Wu, P. Hu, Z. Peng and D. Kong</t>
  </si>
  <si>
    <t>A quantitative imaging biomarker for predicting disease-free-survival-associated histologic subgroups in lung adenocarcinoma</t>
  </si>
  <si>
    <t>OBJECTIVES: Classification of histologic subgroups has significant prognostic value for lung adenocarcinoma patients who undergo surgical resection. However, clinical histopathology assessment is generally performed on only a small portion of the overall tumor from biopsy or surgery. Our objective is to identify a noninvasive quantitative imaging biomarker (QIB) for the classification of histologic subgroups in lung adenocarcinoma patients. METHODS: We retrospectively collected and reviewed 1313 CT scans of patients with resected lung adenocarcinomas from two geographically distant institutions who were seen between January 2014 and October 2017. Three study cohorts, the training, internal validation, and external validation cohorts, were created, within which lung adenocarcinomas were divided into two disease-free-survival (DFS)-associated histologic subgroups, the mid/poor and good DFS groups. A comprehensive machine learning- and deep learning-based analytical system was adopted to identify reproducible QIBs and help to understand QIBs' significance. RESULTS: Intensity-Skewness, a QIB quantifying tumor density distribution, was identified as the optimal biomarker for predicting histologic subgroups. Intensity-Skewness achieved high AUCs (95% CI) of 0.849(0.813,0.881), 0.820(0.781,0.856) and 0.863(0.827,0.895) on the training, internal validation, and external validation cohorts, respectively. A criterion of Intensity-Skewness ≤ 1.5, which indicated high tumor density, showed high specificity of 96% (sensitivity 46%) and 99% (sensitivity 53%) on predicting the mid/poor DFS group in the training and external validation cohorts, respectively. CONCLUSIONS: A QIB derived from routinely acquired CT was able to predict lung adenocarcinoma histologic subgroups, providing a noninvasive method that could potentially benefit personalized treatment decision-making for lung cancer patients. KEY POINTS: • A noninvasive imaging biomarker, Intensity-Skewness, which described the distortion of pixel-intensity distribution within lesions on CT images, was identified as a biomarker to predict disease-free-survival-associated histologic subgroups in lung adenocarcinoma. • An Intensity-Skewness of ≤ 1.5 has high specificity in predicting the mid/poor disease-free survival histologic patient group in both the training cohort and the external validation cohort. • The Intensity-Skewness is a feature that can be automatically computed with high reproducibility and robustness.</t>
  </si>
  <si>
    <t>Deep Learning to Assess Long-term Mortality From Chest Radiographs</t>
  </si>
  <si>
    <t>IMPORTANCE: Chest radiography is the most common diagnostic imaging test in medicine and may also provide information about longevity and prognosis. OBJECTIVE: To develop and test a convolutional neural network (CNN) (named CXR-risk) to predict long-term mortality, including noncancer death, from chest radiographs. DESIGN, SETTING, AND PARTICIPANTS: In this prognostic study, CXR-risk CNN development (n = 41 856) and testing (n = 10 464) used data from the screening radiography arm of the Prostate, Lung, Colorectal, and Ovarian Cancer Screening Trial (PLCO) (n = 52 320), a community cohort of asymptomatic nonsmokers and smokers (aged 55-74 years) enrolled at 10 US sites from November 8, 1993, through July 2, 2001. External testing used data from the screening radiography arm of the National Lung Screening Trial (NLST) (n = 5493), a community cohort of heavy smokers (aged 55-74 years) enrolled at 21 US sites from August 2002, through April 2004. Data analysis was performed from January 1, 2018, to May 23, 2019. EXPOSURE: Deep learning CXR-risk score (very low, low, moderate, high, and very high) based on CNN analysis of the enrollment radiograph. MAIN OUTCOMES AND MEASURES: All-cause mortality. Prognostic value was assessed in the context of radiologists' diagnostic findings (eg, lung nodule) and standard risk factors (eg, age, sex, and diabetes) and for cause-specific mortality. RESULTS: Among 10 464 PLCO participants (mean [SD] age, 62.4 [5.4] years; 5405 men [51.6%]; median follow-up, 12.2 years [interquartile range, 10.5-12.9 years]) and 5493 NLST test participants (mean [SD] age, 61.7 [5.0] years; 3037 men [55.3%]; median follow-up, 6.3 years [interquartile range, 6.0-6.7 years]), there was a graded association between CXR-risk score and mortality. The very high-risk group had mortality of 53.0% (PLCO) and 33.9% (NLST), which was higher compared with the very low-risk group (PLCO: unadjusted hazard ratio [HR], 18.3 [95% CI, 14.5-23.2]; NLST: unadjusted HR, 15.2 [95% CI, 9.2-25.3]; both P &lt; .001). This association was robust to adjustment for radiologists' findings and risk factors (PLCO: adjusted HR [aHR], 4.8 [95% CI, 3.6-6.4]; NLST: aHR, 7.0 [95% CI, 4.0-12.1]; both P &lt; .001). Comparable results were seen for lung cancer death (PLCO: aHR, 11.1 [95% CI, 4.4-27.8]; NLST: aHR, 8.4 [95% CI, 2.5-28.0]; both P ≤ .001) and for noncancer cardiovascular death (PLCO: aHR, 3.6 [95% CI, 2.1-6.2]; NLST: aHR, 47.8 [95% CI, 6.1-374.9]; both P &lt; .001) and respiratory death (PLCO: aHR, 27.5 [95% CI, 7.7-97.8]; NLST: aHR, 31.9 [95% CI, 3.9-263.5]; both P ≤ .001). CONCLUSIONS AND RELEVANCE: In this study, the deep learning CXR-risk score stratified the risk of long-term mortality based on a single chest radiograph. Individuals at high risk of mortality may benefit from prevention, screening, and lifestyle interventions.</t>
  </si>
  <si>
    <t>M. T. Lu, A. Ivanov, T. Mayrhofer, A. Hosny, H. Aerts and U. Hoffmann</t>
  </si>
  <si>
    <t>Deep Learning Using Chest Radiographs to Identify High-Risk Smokers for Lung Cancer Screening Computed Tomography: Development and Validation of a Prediction Model</t>
  </si>
  <si>
    <t>BACKGROUND: Lung cancer screening with chest computed tomography (CT) reduces lung cancer death. Centers for Medicare &amp; Medicaid Services (CMS) eligibility criteria for lung cancer screening with CT require detailed smoking information and miss many incident lung cancers. An automated deep-learning approach based on chest radiograph images may identify more smokers at high risk for lung cancer who could benefit from screening with CT. OBJECTIVE: To develop and validate a convolutional neural network (CXR-LC) that predicts long-term incident lung cancer using data commonly available in the electronic medical record (EMR) (chest radiograph, age, sex, and whether currently smoking). DESIGN: Risk prediction study. SETTING: U.S. lung cancer screening trials. PARTICIPANTS: The CXR-LC model was developed in the PLCO (Prostate, Lung, Colorectal, and Ovarian) Cancer Screening Trial (n = 41 856). The final CXR-LC model was validated in additional PLCO smokers (n = 5615, 12-year follow-up) and NLST (National Lung Screening Trial) heavy smokers (n = 5493, 6-year follow-up). Results are reported for validation data sets only. MEASUREMENTS: Up to 12-year lung cancer incidence predicted by CXR-LC. RESULTS: The CXR-LC model had better discrimination (area under the receiver-operating characteristic curve [AUC]) for incident lung cancer than CMS eligibility (PLCO AUC, 0.755 vs. 0.634; P &lt; 0.001). The CXR-LC model's performance was similar to that of PLCO(M2012), a state-of-the-art risk score with 11 inputs, in both the PLCO data set (CXR-LC AUC of 0.755 vs. PLCO(M2012) AUC of 0.751) and the NLST data set (0.659 vs. 0.650). When compared in equal-sized screening populations, CXR-LC was more sensitive than CMS eligibility in the PLCO data set (74.9% vs. 63.8%; P = 0.012) and missed 30.7% fewer incident lung cancers. On decision curve analysis, CXR-LC had higher net benefit than CMS eligibility and similar benefit to PLCO(M2012). LIMITATION: Validation in lung cancer screening trials and not a clinical setting. CONCLUSION: The CXR-LC model identified smokers at high risk for incident lung cancer, beyond CMS eligibility and using information commonly available in the EMR. PRIMARY FUNDING SOURCE: None.</t>
  </si>
  <si>
    <t>Ann Intern Med</t>
  </si>
  <si>
    <t>A Deep Learning Scheme for Motor Imagery Classification based on Restricted Boltzmann Machines</t>
  </si>
  <si>
    <t>Motor imagery classification is an important topic in brain-computer interface (BCI) research that enables the recognition of a subject's intension to, e.g., implement prosthesis control. The brain dynamics of motor imagery are usually measured by electroencephalography (EEG) as nonstationary time series of low signal-to-noise ratio. Although a variety of methods have been previously developed to learn EEG signal features, the deep learning idea has rarely been explored to generate new representation of EEG features and achieve further performance improvement for motor imagery classification. In this study, a novel deep learning scheme based on restricted Boltzmann machine (RBM) is proposed. Specifically, frequency domain representations of EEG signals obtained via fast Fourier transform (FFT) and wavelet package decomposition (WPD) are obtained to train three RBMs. These RBMs are then stacked up with an extra output layer to form a four-layer neural network, which is named the frequential deep belief network (FDBN). The output layer employs the softmax regression to accomplish the classification task. Also, the conjugate gradient method and backpropagation are used to fine tune the FDBN. Extensive and systematic experiments have been performed on public benchmark datasets, and the results show that the performance improvement of FDBN over other selected state-of-the-art methods is statistically significant. Also, several findings that may be of significant interest to the BCI community are presented in this article.</t>
  </si>
  <si>
    <t>N. Lu, T. Li, X. Ren and H. Miao</t>
  </si>
  <si>
    <t>IEEE Trans Neural Syst Rehabil Eng</t>
  </si>
  <si>
    <t>LV-GAN: A deep learning approach for limited-view optoacoustic imaging based on hybrid datasets</t>
  </si>
  <si>
    <t>The optoacoustic imaging (OAI) methods are rapidly evolving for resolving optical contrast in medical imaging applications. In practice, measurement strategies are commonly implemented under limited-view conditions due to oversized image objectives or system design limitations. Data acquired by limited-view detection may impart artifacts and distortions in reconstructed optoacoustic (OA) images. We propose a hybrid data-driven deep learning approach based on generative adversarial network (GAN), termed as LV-GAN, to efficiently recover high quality images from limited-view OA images. Trained on both simulation and experiment data, LV-GAN is found capable of achieving high recovery accuracy even under limited detection angles less than 60(°) . The feasibility of LV-GAN for artifact removal in biological applications was validated by ex vivo experiments based on two different OAI systems, suggesting high potential of a ubiquitous use of LV-GAN to optimize image quality or system design for different scanners and application scenarios.</t>
  </si>
  <si>
    <t>An investigation of quantitative accuracy for deep learning based denoising in oncological PET</t>
  </si>
  <si>
    <t>Reducing radiation dose is important for PET imaging. However, reducing injection doses causes increased image noise and low signal-to-noise ratio (SNR), subsequently affecting diagnostic and quantitative accuracies. Deep learning methods have shown a great potential to reduce the noise and improve the SNR in low dose PET data. In this work, we comprehensively investigated the quantitative accuracy of small lung nodules, in addition to visual image quality, using deep learning based denoising methods for oncological PET imaging. We applied and optimized an advanced deep learning method based on the U-net architecture to predict the standard dose PET image from 10% low-dose PET data. We also investigated the effect of different network architectures, image dimensions, labels and inputs for deep learning methods with respect to both noise reduction performance and quantitative accuracy. Normalized mean square error (NMSE), SNR, and standard uptake value (SUV) bias of different nodule regions of interest (ROIs) were used for evaluation. Our results showed that U-net and GAN are superior to CAE with smaller SUV(mean) and SUV(max) bias at the expense of inferior SNR. A fully 3D U-net has optimal quantitative performance compared to 2D and 2.5D U-net with less than 15% SUV(mean) bias for all the ten patients. U-net outperforms Residual U-net (r-U-net) in general with smaller NMSE, higher SNR and lower SUV(max) bias. Fully 3D U-net is superior to several existing denoising methods, including Gaussian filter, anatomical-guided non-local mean (NLM) filter, and MAP reconstruction with Quadratic prior and relative difference prior, in terms of superior image quality and trade-off between noise and bias. Furthermore, incorporating aligned CT images has the potential to further improve the quantitative accuracy in multi-channel U-net. We found the optimal architectures and parameters of deep learning based methods are different for absolute quantitative accuracy and visual image quality. Our quantitative results demonstrated that fully 3D U-net can both effectively reduce image noise and control bias even for sub-centimeter small lung nodules when generating standard dose PET using 10% low count down-sampled data.</t>
  </si>
  <si>
    <t>A learning-based material decomposition pipeline for multi-energy x-ray imaging</t>
  </si>
  <si>
    <t>PURPOSE: Benefiting from multi-energy x-ray imaging technology, material decomposition facilitates the characterization of different materials in x-ray imaging. However, the performance of material decomposition is limited by the accuracy of the decomposition model. Due to the presence of nonideal effects in x-ray imaging systems, it is difficult to explicitly build the imaging system models for material decomposition. As an alternative, this paper explores the feasibility of using machine learning approaches for material decomposition tasks. METHODS: In this work, we propose a learning-based pipeline to perform material decomposition. In this pipeline, the step of feature extraction is implemented to integrate more informative features, such as neighboring information, to facilitate material decomposition tasks, and the step of hold-out validation with continuous interleaved sampling is employed to perform model evaluation and selection. We demonstrate the material decomposition capability of our proposed pipeline with promising machine learning algorithms in both simulation and experimentation, the algorithms of which are artificial neural network (ANN), Random Tree, REPTree and Random Forest. The performance was quantitatively evaluated using a simulated XCAT phantom and an anthropomorphic torso phantom. In order to evaluate the proposed method, two measurement-based material decomposition methods were used as the reference methods for comparison studies. In addition, deep learning-based solutions were also investigated to complete this work as a comprehensive comparison of machine learning solution for material decomposition. RESULTS: In both the simulation study and the experimental study, the introduced machine learning algorithms are able to train models for the material decomposition tasks. With the application of neighboring information, the performance of each machine learning algorithm is strongly improved. Compared to the state-of-the-art method, the performance of ANN in the simulation study is an improvement of over 24% in the noiseless scenarios and over 169% in the noisy scenario, while the performance of the Random Forest is an improvement of over 40% and 165%, respectively. Similarly, the performance of ANN in the experimental study is an improvement of over 42% in the denoised scenario and over 45% in the original scenario, while the performance of Random Forest is an improvement by over 33% and 40%, respectively. CONCLUSIONS: The proposed pipeline is able to build generic material decomposition models for different scenarios, and it was validated by quantitative evaluation in both simulation and experimentation. Compared to the reference methods, appropriate features and machine learning algorithms can significantly improve material decomposition performance. The results indicate that it is feasible and promising to perform material decomposition using machine learning methods, and our study will facilitate future efforts toward clinical applications.</t>
  </si>
  <si>
    <t>Y. Lu, M. Kowarschik, X. Huang, Y. Xia, J. H. Choi, S. Chen, S. Hu, Q. Ren, R. Fahrig, J. Hornegger and A. Maier</t>
  </si>
  <si>
    <t>Contour Transformer Network for One-shot Segmentation of Anatomical Structures</t>
  </si>
  <si>
    <t>Accurate segmentation of anatomical structures is vital for medical image analysis. The state-of-the-art accuracy is typically achieved by supervised learning methods, where gathering the requisite expert-labeled image annotations in a scalable manner remains a main obstacle. Therefore, annotation-efficient methods that permit to produce accurate anatomical structure segmentation are highly desirable. In this work, we present Contour Transformer Network (CTN), a one-shot anatomy segmentation method with a naturally built-in human-in-the-loop mechanism. We formulate anatomy segmentation as a contour evolution process and model the evolution behavior by graph convolutional networks (GCNs). Training the CTN model requires only one labeled image exemplar and leverages additional unlabeled data through newly introduced loss functions that measure the global shape and appearance consistency of contours. On segmentation tasks of four different anatomies, we demonstrate that our one-shot learning method significantly outperforms non-learning-based methods and performs competitively to the state-of-the-art fully supervised deep learning methods. With minimal human-in-the-loop editing feedback, the segmentation performance can be further improved to surpass the fully supervised methods.</t>
  </si>
  <si>
    <t>Minimizing Hybrid Dice Loss for Highly Imbalanced 3D Neuroimage Segmentation</t>
  </si>
  <si>
    <t>Recent advances in medical image segmentation have largely been driven by the success of deep learning algorithms. However, one main challenge for the training of one- stage segmentation networks is the serious imbalance between the number of examples that are easy and hard to classify or in positive and negative classes. In this paper, we first investigate and compare the strategies that were proposed parallelly to handle one or two of these imbalance problems. And we propose a hybrid loss that addresses these two imbalance problems together by combining the merits of Exponential logarithmic Dice and weighted Cross entropy Loss (EDCL). Without any whistles and bells, the proposed EDC loss with 3D Unet achieves mean dice of 57.38%, which surpasses the other state-of-the- art methods with 5-fold cross-validation on a public dataset for 3D brain lesion segmentation, Anatomical Tracings of Lesions After Stroke (ATLAS) v1.2.</t>
  </si>
  <si>
    <t>10.1016/j.rcl.2020.06.001</t>
  </si>
  <si>
    <t>Radiomics and Artificial Intelligence for Renal Mass Characterization</t>
  </si>
  <si>
    <t>Radiomics allows for high throughput extraction of quantitative data from images. This is an area of active research as groups try to capture and quantify imaging parameters and convert these into descriptive phenotypes of organs or tumors. Texture analysis is one radiomics tool that extracts information about heterogeneity within a given region of interest. This is used with or without associated machine learning classifiers or a deep learning approach is applied to similar types of data. These tools have shown utility in characterizing renal masses, renal cell carcinoma, and assessing response to targeted therapeutic agents in metastatic renal cell carcinoma.</t>
  </si>
  <si>
    <t>M. G. Lubner</t>
  </si>
  <si>
    <t>Radiol Clin North Am</t>
  </si>
  <si>
    <t>Deep learning for automatic Gleason pattern classification for grade group determination of prostate biopsies</t>
  </si>
  <si>
    <t>Histopathologic grading of prostate cancer using Gleason patterns (GPs) is subject to a large inter-observer variability, which may result in suboptimal treatment of patients. With the introduction of digitization and whole-slide images of prostate biopsies, computer-aided grading becomes feasible. Computer-aided grading has the potential to improve histopathological grading and treatment selection for prostate cancer. Automated detection of GPs and determination of the grade groups (GG) using a convolutional neural network. In total, 96 prostate biopsies from 38 patients are annotated on pixel-level. Automated detection of GP 3 and GP ≥ 4 in digitized prostate biopsies is performed by re-training the Inception-v3 convolutional neural network (CNN). The outcome of the CNN is subsequently converted into probability maps of GP ≥ 3 and GP ≥ 4, and the GG of the whole biopsy is obtained according to these probability maps. Differentiation between non-atypical and malignant (GP ≥ 3) areas resulted in an accuracy of 92% with a sensitivity and specificity of 90 and 93%, respectively. The differentiation between GP ≥ 4 and GP ≤ 3 was accurate for 90%, with a sensitivity and specificity of 77 and 94%, respectively. Concordance of our automated GG determination method with a genitourinary pathologist was obtained in 65% (κ = 0.70), indicating substantial agreement. A CNN allows for accurate differentiation between non-atypical and malignant areas as defined by GPs, leading to a substantial agreement with the pathologist in defining the GG.</t>
  </si>
  <si>
    <t>M. Lucas, I. Jansen, C. D. Savci-Heijink, S. L. Meijer, O. J. de Boer, T. G. van Leeuwen, D. M. de Bruin and H. A. Marquering</t>
  </si>
  <si>
    <t>Virchows Arch</t>
  </si>
  <si>
    <t>Toward Automated In Vivo Bladder Tumor Stratification Using Confocal Laser Endomicroscopy</t>
  </si>
  <si>
    <t>Purpose: Urothelial carcinoma of the bladder (UCB) is the most common urinary cancer. White-light cystoscopy (WLC) forms the corner stone for the diagnosis of UCB. However, histopathological assessment is required for adjuvant treatment selection. Probe-based confocal laser endomicroscopy (pCLE) enables visualization of the microarchitecture of bladder lesions during WLC, which allows for real-time tissue differentiation and grading of UCB. To improve the diagnostic process of UCB, computer-aided classification of pCLE videos of in vivo bladder lesions were evaluated in this study. Materials and Methods: We implemented preprocessing methods to optimize contrast and to reduce striping artifacts in each individual pCLE frame. Subsequently, a semiautomatic frame selection was performed. The selected frames were used to train a feature extractor based on pretrained ImageNet networks. A recurrent neural network, in specific long short-term memory (LSTM), was used to predict the grade of bladder lesions. Differentiation of lesions was performed at two levels, namely (i) healthy and benign vs malignant tissue and (ii) low-grade vs high-grade papillary UCB. A total of 53 patients with 72 lesions were included in this study, resulting in ∼140,000 pCLE frames. Results: The semiautomated frame selection reduced the number of frames to ∼66,500 informative frames. The accuracy for differentiation of (i) healthy and benign vs malignant urothelium was 79% and (ii) high-grade and low-grade papillary UCB was 82%. Conclusions: A feature extractor in combination with LSTM results in proper stratification of pCLE videos of in vivo bladder lesions.</t>
  </si>
  <si>
    <t>J Endourol</t>
  </si>
  <si>
    <t>Convolutional neural networks for skull-stripping in brain MR imaging using silver standard masks</t>
  </si>
  <si>
    <t>Manual annotation is considered to be the gold standard in medical imaging analysis. However, medical imaging datasets that include expert manual segmentation are scarce as this step is time-consuming, and therefore expensive. Moreover, single-rater manual annotation is most often used in data-driven approaches making the network biased to only that single expert. In this work, we propose a CNN for brain extraction in magnetic resonance (MR) imaging, that is fully trained with what we refer to as silver standard masks. Therefore, eliminating the cost associated with manual annotation. Silver standard masks are generated by forming the consensus from a set of eight, public, non-deep-learning-based brain extraction methods using the Simultaneous Truth and Performance Level Estimation (STAPLE) algorithm. Our method consists of (1) developing a dataset with silver standard masks as input, and implementing (2) a tri-planar method using parallel 2D U-Net-based convolutional neural networks (CNNs) (referred to as CONSNet). This term refers to our integrated approach, i.e., training with silver standard masks and using a 2D U-Net-based architecture. We conducted our analysis using three public datasets: the Calgary-Campinas-359 (CC-359), the LONI Probabilistic Brain Atlas (LPBA40), and the Open Access Series of Imaging Studies (OASIS). Five performance metrics were used in our experiments: Dice coefficient, sensitivity, specificity, Hausdorff distance, and symmetric surface-to-surface mean distance. Our results showed that we outperformed (i.e., larger Dice coefficients) the current state-of-the-art skull-stripping methods without using gold standard annotation for the CNNs training stage. CONSNet is the first deep learning approach that is fully trained using silver standard data and is, thus, more generalizable. Using these masks, we eliminate the cost of manual annotation, decreased inter-/intra-rater variability, and avoided CNN segmentation overfitting towards one specific manual annotation guideline that can occur when gold standard masks are used. Moreover, once trained, our method takes few seconds to process a typical brain image volume using modern a high-end GPU. In contrast, many of the other competitive methods have processing times in the order of minutes.</t>
  </si>
  <si>
    <t>O. Lucena, R. Souza, L. Rittner, R. Frayne and R. Lotufo</t>
  </si>
  <si>
    <t>Deep Neural Networks for Ultrasound Beamforming</t>
  </si>
  <si>
    <t>We investigate the use of deep neural networks (DNNs) for suppressing off-axis scattering in ultrasound channel data. Our implementation operates in the frequency domain via the short-time Fourier transform. The inputs to the DNN consisted of the separated real and imaginary components (i.e. in-phase and quadrature components) observed across the aperture of the array, at a single frequency and for a single depth. Different networks were trained for different frequencies. The output had the same structure as the input and the real and imaginary components were combined as complex data before an inverse short-time Fourier transform was used to reconstruct channel data. Using simulation, physical phantom experiment, and in vivo scans from a human liver, we compared this DNN approach to standard delay-and-sum (DAS) beamforming and an adaptive imaging technique that uses the coherence factor. For a simulated point target, the side lobes when using the DNN approach were about 60 dB below those of standard DAS. For a simulated anechoic cyst, the DNN approach improved contrast ratio (CR) and contrast-to-noise (CNR) ratio by 8.8 dB and 0.3 dB, respectively, compared with DAS. For an anechoic cyst in a physical phantom, the DNN approach improved CR and CNR by 17.1 dB and 0.7 dB, respectively. For two in vivo scans, the DNN approach improved CR and CNR by 13.8 dB and 9.7 dB, respectively. We also explored methods for examining how the networks in this paper function.</t>
  </si>
  <si>
    <t>A. C. Luchies and B. C. Byram</t>
  </si>
  <si>
    <t>Training improvements for ultrasound beamforming with deep neural networks</t>
  </si>
  <si>
    <t>This paper investigates practical considerations of training ultrasound deep neural network (DNN) beamformers. First, we studied training DNNs using the combination of multiple point target responses instead of single point target responses. Next, we demonstrated the effect of different hyperparameter settings on ultrasound image quality for simulated scans. This study also showed that DNN beamforming was robust to electronic noise. Next, we showed that mean squared error validation loss was not a good predictor for image quality for simulation, phantom, and in vivo scans. As an alternative to validation loss for selecting DNN beamformers, we studied image quality in physical phantom and in vivo scans and demonstrated that DNN beamformer image quality in these settings was correlated to DNN beamformer image quality in simulated images. These findings suggest that simulated image quality can be used to select DNN beamformers. Finally, we studied the effect of dataset size on DNN beamformer image quality in simulation, physical phantom, and in vivo scans. We interpret the results in terms of recent work on the scaling of deep learning. Overall, the results in this paper show that DNN beamforming has significant potential for improving B-mode image quality.</t>
  </si>
  <si>
    <t>Evolutionary image simplification for lung nodule classification with convolutional neural networks</t>
  </si>
  <si>
    <t>PURPOSE: Understanding decisions of deep learning techniques is important. Especially in the medical field, the reasons for a decision in a classification task are as crucial as the pure classification results. In this article, we propose a new approach to compute relevant parts of a medical image. Knowing the relevant parts makes it easier to understand decisions. METHODS: In our approach, a convolutional neural network is employed to learn structures of images of lung nodules. Then, an evolutionary algorithm is applied to compute a simplified version of an unknown image based on the learned structures by the convolutional neural network. In the simplified version, irrelevant parts are removed from the original image. RESULTS: In the results, we show simplified images which allow the observer to focus on the relevant parts. In these images, more than 50% of the pixels are simplified. The simplified pixels do not change the meaning of the images based on the learned structures by the convolutional neural network. An experimental analysis shows the potential of the approach. Besides the examples of simplified images, we analyze the run time development. CONCLUSIONS: Simplified images make it easier to focus on relevant parts and to find reasons for a decision. The combination of an evolutionary algorithm employing a learned convolutional neural network is well suited for the simplification task. From a research perspective, it is interesting which areas of the images are simplified and which parts are taken as relevant.</t>
  </si>
  <si>
    <t>D. Lückehe and G. von Voigt</t>
  </si>
  <si>
    <t>Deep Learning Analysis of Cerebral Blood Flow to Identify Cognitive Impairment and Frailty in Persons Living With HIV</t>
  </si>
  <si>
    <t>BACKGROUND: Deep learning algorithms of cerebral blood flow were used to classify cognitive impairment and frailty in people living with HIV (PLWH). Feature extraction techniques identified brain regions that were the strongest predictors. SETTING: Virologically suppressed (&lt;50 copies/mL) PLWH (n = 125) on combination antiretroviral therapy were enrolled. Participants averaged 51.4 (11.4) years of age and 13.7 (2.8) years of education. Participants were administered a neuropsychological battery, assessed for frailty, and completed structural neuroimaging. METHODS: Deep neural network (DNN) models were trained to classify PLWH as cognitively unimpaired or impaired based on neuropsychological tests (Hopkins Verbal Learning Test-Revised and Brief Visuospatial Memory Test-Revised, Trail making, Letter-Number Sequencing, Verbal Fluency, and Color Word Interference), as well as frail, prefrail, or nonfrail based on the Fried phenotype criteria (at least 3 of the following 5: weight loss, physical inactivity, exhaustion, grip strength, walking time). RESULTS: DNNs classified individuals with cognitive impairment in the learning, memory, and executive domains with 82%-86% accuracy (0.81-0.87 AUC). Our model classified nonfrail, prefrail, and frail PLWH with 75% accuracy. The strongest predictors of cognitive impairment were cortical (parietal, occipital, and temporal) and subcortical (amygdala, caudate, and hippocampus) regions, whereas the strongest predictors of frailty were subcortical (amygdala, caudate, hippocampus, thalamus, pallidum, and cerebellum). CONCLUSIONS: DNN models achieved high accuracy in classifying cognitive impairment and frailty status in PLWH. Feature selection algorithms identified predictive regions in each domain and identified overlapping regions between cognitive impairment and frailty. Our results suggest frailty in HIV is primarily subcortical, whereas cognitive impairment in HIV involves subcortical and cortical brain regions.</t>
  </si>
  <si>
    <t>J Acquir Immune Defic Syndr</t>
  </si>
  <si>
    <t>DeLTA: Automated cell segmentation, tracking, and lineage reconstruction using deep learning</t>
  </si>
  <si>
    <t>Microscopy image analysis is a major bottleneck in quantification of single-cell microscopy data, typically requiring human oversight and curation, which limit both accuracy and throughput. To address this, we developed a deep learning-based image analysis pipeline that performs segmentation, tracking, and lineage reconstruction. Our analysis focuses on time-lapse movies of Escherichia coli cells trapped in a mother machine microfluidic device, a scalable platform for long-term single-cell analysis that is widely used in the field. While deep learning has been applied to cell segmentation problems before, our approach is fundamentally innovative in that it also uses machine learning to perform cell tracking and lineage reconstruction. With this framework we are able to get high fidelity results (1% error rate), without human intervention. Further, the algorithm is fast, with complete analysis of a typical frame containing ~150 cells taking &lt;700msec. The framework is not constrained to a particular experimental set up and has the potential to generalize to time-lapse images of other organisms or different experimental configurations. These advances open the door to a myriad of applications including real-time tracking of gene expression and high throughput analysis of strain libraries at single-cell resolution.</t>
  </si>
  <si>
    <t>Deep Learning in Radiology: Now the Real Work Begins</t>
  </si>
  <si>
    <t>C. Lugo-Fagundo, B. Vogelstein, A. Yuille and E. K. Fishman</t>
  </si>
  <si>
    <t>10.1016/j.zemedi.2018.11.002</t>
  </si>
  <si>
    <t>An overview of deep learning in medical imaging focusing on MRI</t>
  </si>
  <si>
    <t>What has happened in machine learning lately, and what does it mean for the future of medical image analysis? Machine learning has witnessed a tremendous amount of attention over the last few years. The current boom started around 2009 when so-called deep artificial neural networks began outperforming other established models on a number of important benchmarks. Deep neural networks are now the state-of-the-art machine learning models across a variety of areas, from image analysis to natural language processing, and widely deployed in academia and industry. These developments have a huge potential for medical imaging technology, medical data analysis, medical diagnostics and healthcare in general, slowly being realized. We provide a short overview of recent advances and some associated challenges in machine learning applied to medical image processing and image analysis. As this has become a very broad and fast expanding field we will not survey the entire landscape of applications, but put particular focus on deep learning in MRI. Our aim is threefold: (i) give a brief introduction to deep learning with pointers to core references; (ii) indicate how deep learning has been applied to the entire MRI processing chain, from acquisition to image retrieval, from segmentation to disease prediction; (iii) provide a starting point for people interested in experimenting and perhaps contributing to the field of deep learning for medical imaging by pointing out good educational resources, state-of-the-art open-source code, and interesting sources of data and problems related medical imaging.</t>
  </si>
  <si>
    <t>Cardiac MR segmentation based on sequence propagation by deep learning</t>
  </si>
  <si>
    <t>Accurate segmentation of myocardial in cardiac MRI (magnetic resonance image) is key to effective rapid diagnosis and quantitative pathology analysis. However, a low-quality CMR (cardiac magnetic resonance) image with a large amount of noise makes it extremely difficult to accurately and quickly manually segment the myocardial. In this paper, we propose a method for CMR segmentation based on U-Net and combined with image sequence information. The method can effectively segment from the top slice to the bottom slice of the CMR. During training, each input slice depends on the slice below it. In other words, the predicted segmentation result depends on the existing segmentation label of the previous slice. 3D sequence information is fully utilized. Our method was validated on the ACDC dataset, which included CMR images of 100 patients (1700 2D MRI). Experimental results show that our method can segment the myocardial quickly and efficiently and is better than the current state-of-the-art methods. When evaluating 340 CMR image, our model yielded an average dice score of 85.02 ± 0.15, which is much higher than the existing classical segmentation method(Unet, Dice score = 0.78 ± 0.3).</t>
  </si>
  <si>
    <t>Commensal correlation network between segmentation and direct area estimation for bi-ventricle quantification</t>
  </si>
  <si>
    <t>Accurate and automated cardiac bi-ventricle quantification based on cardiac magnetic resonance (CMR) image is a very crucial procedure for clinical cardiac disease diagnosis. Two traditional and commensal tasks, i.e., bi-ventricle segmentation and direct ventricle function index estimation, are always independently devoting to address ventricle quantification problem. However, because of inherent difficulties from the variable CMR imaging conditions, these two tasks are still open challenging. In this paper, we proposed a unified bi-ventricle quantification framework based on commensal correlation between the bi-ventricle segmentation and direct area estimation. Firstly, we proposed the area commensal correlation between the two traditional cardiac quantification tasks for the first time, and designed a novel deep commensal network (DCN) to join these two commensal tasks into a unified framework based on the proposed commensal correlation loss. Secondly, we proposed an differentiable area operator to model the proposed area commensal correlation and made the proposed model continuously differentiable. Thirdly, we proposed a high-efficiency and novel uncertainty estimation method through one-time inference based on cross-task output variability. And finally DCN achieved end-to-end optimization and fast convergence as well as uncertainty estimation with one-time inference. Experiments on the four open accessible short-axis CMR benchmark datasets (i.e., Sunnybrook, STACOM 2011, RVSC, and ACDC) showed that the proposed method achieves best bi-ventricle quantification accuracy and optimization performance. Hence, the proposed method has big potential to be extended to other medical image analysis tasks and has clinical application value.</t>
  </si>
  <si>
    <t>G. Luo, S. Dong, W. Wang, K. Wang, S. Cao, C. Tam, H. Zhang, J. Howey, P. Ohorodnyk and S. Li</t>
  </si>
  <si>
    <t>Real-time artificial intelligence for detection of upper gastrointestinal cancer by endoscopy: a multicentre, case-control, diagnostic study</t>
  </si>
  <si>
    <t>BACKGROUND: Upper gastrointestinal cancers (including oesophageal cancer and gastric cancer) are the most common cancers worldwide. Artificial intelligence platforms using deep learning algorithms have made remarkable progress in medical imaging but their application in upper gastrointestinal cancers has been limited. We aimed to develop and validate the Gastrointestinal Artificial Intelligence Diagnostic System (GRAIDS) for the diagnosis of upper gastrointestinal cancers through analysis of imaging data from clinical endoscopies. METHODS: This multicentre, case-control, diagnostic study was done in six hospitals of different tiers (ie, municipal, provincial, and national) in China. The images of consecutive participants, aged 18 years or older, who had not had a previous endoscopy were retrieved from all participating hospitals. All patients with upper gastrointestinal cancer lesions (including oesophageal cancer and gastric cancer) that were histologically proven malignancies were eligible for this study. Only images with standard white light were deemed eligible. The images from Sun Yat-sen University Cancer Center were randomly assigned (8:1:1) to the training and intrinsic verification datasets for developing GRAIDS, and the internal validation dataset for evaluating the performance of GRAIDS. Its diagnostic performance was evaluated using an internal and prospective validation set from Sun Yat-sen University Cancer Center (a national hospital) and additional external validation sets from five primary care hospitals. The performance of GRAIDS was also compared with endoscopists with three degrees of expertise: expert, competent, and trainee. The diagnostic accuracy, sensitivity, specificity, positive predictive value, and negative predictive value of GRAIDS and endoscopists for the identification of cancerous lesions were evaluated by calculating the 95% CIs using the Clopper-Pearson method. FINDINGS: 1 036 496 endoscopy images from 84 424 individuals were used to develop and test GRAIDS. The diagnostic accuracy in identifying upper gastrointestinal cancers was 0·955 (95% CI 0·952-0·957) in the internal validation set, 0·927 (0·925-0·929) in the prospective set, and ranged from 0·915 (0·913-0·917) to 0·977 (0·977-0·978) in the five external validation sets. GRAIDS achieved diagnostic sensitivity similar to that of the expert endoscopist (0·942 [95% CI 0·924-0·957] vs 0·945 [0·927-0·959]; p=0·692) and superior sensitivity compared with competent (0·858 [0·832-0·880], p&lt;0·0001) and trainee (0·722 [0·691-0·752], p&lt;0·0001) endoscopists. The positive predictive value was 0·814 (95% CI 0·788-0·838) for GRAIDS, 0·932 (0·913-0·948) for the expert endoscopist, 0·974 (0·960-0·984) for the competent endoscopist, and 0·824 (0·795-0·850) for the trainee endoscopist. The negative predictive value was 0·978 (95% CI 0·971-0·984) for GRAIDS, 0·980 (0·974-0·985) for the expert endoscopist, 0·951 (0·942-0·959) for the competent endoscopist, and 0·904 (0·893-0·916) for the trainee endoscopist. INTERPRETATION: GRAIDS achieved high diagnostic accuracy in detecting upper gastrointestinal cancers, with sensitivity similar to that of expert endoscopists and was superior to that of non-expert endoscopists. This system could assist community-based hospitals in improving their effectiveness in upper gastrointestinal cancer diagnoses. FUNDING: The National Key R&amp;D Program of China, the Natural Science Foundation of Guangdong Province, the Science and Technology Program of Guangdong, the Science and Technology Program of Guangzhou, and the Fundamental Research Funds for the Central Universities.</t>
  </si>
  <si>
    <t>H. Luo, G. Xu, C. Li, L. He, L. Luo, Z. Wang, B. Jing, Y. Deng, Y. Jin, Y. Li, B. Li, W. Tan, C. He, S. R. Seeruttun, Q. Wu, J. Huang, D. W. Huang, B. Chen, S. B. Lin, Q. M. Chen, C. M. Yuan, H. X. Chen, H. Y. Pu, F. Zhou, Y. He and R. H. Xu</t>
  </si>
  <si>
    <t>Augmented reality navigation for liver resection with a stereoscopic laparoscope</t>
  </si>
  <si>
    <t>OBJECTIVE: Understanding the three-dimensional (3D) spatial position and orientation of vessels and tumor(s) is vital in laparoscopic liver resection procedures. Augmented reality (AR) techniques can help surgeons see the patient's internal anatomy in conjunction with laparoscopic video images. METHOD: In this paper, we present an AR-assisted navigation system for liver resection based on a rigid stereoscopic laparoscope. The stereo image pairs from the laparoscope are used by an unsupervised convolutional network (CNN) framework to estimate depth and generate an intraoperative 3D liver surface. Meanwhile, 3D models of the patient's surgical field are segmented from preoperative CT images using V-Net architecture for volumetric image data in an end-to-end predictive style. A globally optimal iterative closest point (Go-ICP) algorithm is adopted to register the pre- and intraoperative models into a unified coordinate space; then, the preoperative 3D models are superimposed on the live laparoscopic images to provide the surgeon with detailed information about the subsurface of the patient's anatomy, including tumors, their resection margins and vessels. RESULTS: The proposed navigation system is tested on four laboratory ex vivo porcine livers and five operating theatre in vivo porcine experiments to validate its accuracy. The ex vivo and in vivo reprojection errors (RPE) are 6.04 ± 1.85 mm and 8.73 ± 2.43 mm, respectively. CONCLUSION AND SIGNIFICANCE: Both the qualitative and quantitative results indicate that our AR-assisted navigation system shows promise and has the potential to be highly useful in clinical practice.</t>
  </si>
  <si>
    <t>Automatic Classification for the Type of Multiple Synapse Based on Deep Learning</t>
  </si>
  <si>
    <t>Recent studies have shown that the synaptic plasticity induced by development and learning can promote the formation of multiple synapse. With the rapid development of electron microscopy (EM) technology, we can closely observe the multiple synapse structure with high resolution. Although the multiple synapse has been widely researched by recent researchers, the classification accuracy for the type of multiple synapse has not been documented. In this paper, we propose an effective automatic classification method for the type of multiple synapse. The main steps are summarized as three parts: synaptic cleft segmentation, vesicle band segmentation, multiple synapse classification. The experiments on four datasets demonstrate that the proposed method can reach an average accuracy about 97%.</t>
  </si>
  <si>
    <t>Bag of deep features for preoperative prediction of sentinel lymph node metastasis in breast cancer</t>
  </si>
  <si>
    <t>Breast cancer is the most common female malignancy among women. Sentinel lymph node (SLN) status is a crucial prognostic factor for breast cancer. In this paper, we propose an integrated scheme of deep learning and bag-of-features (BOF) model for preoperative prediction of SLN metastasis. Specifically, convolution neural networks (CNNs) are used to extract deep features from the three 2D representative orthogonal views of a segmented 3D volume of interest. Then, we use a BOF model to furtherly encode the all deep features, which makes features more compact and products high-dimension sparse representation. In particular, a kernel fusion method that assembles all features is proposed to build a discriminative support vector machine (SVM) classifier. The bag of deep feature model is evaluated using the diffusion-weighted magnetic resonance imaging (DWI) database of 172 patients, including 74 SLN and 98 non-SLN. The results show that the proposed method achieves area under the curve (AUC) as high as 0.852 (95% confidence interval (CI): 0.716-0.988) at test set. The results demonstrate that the proposed model can potentially provide a noninvasive approach for automatically predicting prediction of SLN metastasis in patients with breast cancer.</t>
  </si>
  <si>
    <t>J. Luo, Z. Ning, S. Zhang, Q. Feng and Y. Zhang</t>
  </si>
  <si>
    <t>Deep Mining External Imperfect Data for Chest X-Ray Disease Screening</t>
  </si>
  <si>
    <t>Deep learning approaches have demonstrated remarkable progress in automatic Chest X-ray analysis. The data-driven feature of deep models requires training data to cover a large distribution. Therefore, it is substantial to integrate knowledge from multiple datasets, especially for medical images. However, learning a disease classification model with extra Chest X-ray (CXR) data is yet challenging. Recent researches have demonstrated that performance bottleneck exists in joint training on different CXR datasets, and few made efforts to address the obstacle. In this paper, we argue that incorporating an external CXR dataset leads to imperfect training data, which raises the challenges. Specifically, the imperfect data is in two folds: domain discrepancy, as the image appearances vary across datasets; and label discrepancy, as different datasets are partially labeled. To this end, we formulate the multi-label thoracic disease classification problem as weighted independent binary tasks according to the categories. For common categories shared across domains, we adopt task-specific adversarial training to alleviate the feature differences. For categories existing in a single dataset, we present uncertainty-aware temporal ensembling of model predictions to mine the information from the missing labels further. In this way, our framework simultaneously models and tackles the domain and label discrepancies, enabling superior knowledge mining ability. We conduct extensive experiments on three datasets with more than 360,000 Chest X-ray images. Our method outperforms other competing models and sets state-of-the-art performance on the official NIH test set with 0.8349 AUC, demonstrating its effectiveness of utilizing the external dataset to improve the internal classification.</t>
  </si>
  <si>
    <t>10.1146/annurev-bioeng-062117-120917</t>
  </si>
  <si>
    <t>Advanced Endoscopic Navigation: Surgical Big Data, Methodology, and Applications</t>
  </si>
  <si>
    <t>Interventional endoscopy (e.g., bronchoscopy, colonoscopy, laparoscopy, cystoscopy) is a widely performed procedure that involves either diagnosis of suspicious lesions or guidance for minimally invasive surgery in a variety of organs within the body cavity. Endoscopy may also be used to guide the introduction of certain items (e.g., stents) into the body. Endoscopic navigation systems seek to integrate big data with multimodal information (e.g., computed tomography, magnetic resonance images, endoscopic video sequences, ultrasound images, external trackers) relative to the patient's anatomy, control the movement of medical endoscopes and surgical tools, and guide the surgeon's actions during endoscopic interventions. Nevertheless, it remains challenging to realize the next generation of context-aware navigated endoscopy. This review presents a broad survey of various aspects of endoscopic navigation, particularly with respect to the development of endoscopic navigation techniques. First, we investigate big data with multimodal information involved in endoscopic navigation. Next, we focus on numerous methodologies used for endoscopic navigation. We then review different endoscopic procedures in clinical applications. Finally, we discuss novel techniques and promising directions for the development of endoscopic navigation.</t>
  </si>
  <si>
    <t>Annu Rev Biomed Eng</t>
  </si>
  <si>
    <t>Deep Learning Based on MR Imaging for Predicting Outcome of Uterine Fibroid Embolization</t>
  </si>
  <si>
    <t>PURPOSE: To develop and validate a deep learning model based on routine magnetic resonance (MR) imaging obtained before uterine fibroid embolization to predict procedure outcome. MATERIALS AND METHODS: Clinical data were collected on patients treated with uterine fibroid embolization at the Hospital of the University of Pennsylvania from 2007 to 2018. Fibroids for each patient were manually segmented by an abdominal radiologist on a T1-weighted contrast-enhanced (T1C) sequence and a T2-weighted sequence of MR imaging obtained before and after embolization. A residual convolutional neural network (ResNet) model to predict clinical outcome was trained using MR imaging obtained before the procedure. RESULTS: Inclusion criteria were met by 727 fibroids in 409 patients. At clinical follow-up, 85.6% (n = 350) of 409 patients (590 of 727 fibroids; 81.1%) experienced symptom resolution or improvement, and 14.4% (n = 59) of 409 patients (137 of 727 fibroids; 18.9%) had no improvement or worsening symptoms. The T1C trained model achieved a test accuracy of 0.847 (95% confidence interval [CI], 0.745-0.914), sensitivity of 0.932 (95% CI, 0.833-0.978), and specificity of 0.462 (95% CI, 0.232-0.709). In comparison, the average of 4 radiologists achieved a test accuracy of 0.722 (95% CI, 0.609-0.813), sensitivity of 0.852 (95% CI, 0.737-0.923), and specificity of 0.135 (95% CI, 0.021-0.415). CONCLUSIONS: This study demonstrates that deep learning based on a ResNet model achieves good accuracy in predicting outcome of uterine fibroid embolization. If further validated, the model may help clinicians better identify patients who can most benefit from this therapy and aid clinical decision making.</t>
  </si>
  <si>
    <t>J Vasc Interv Radiol</t>
  </si>
  <si>
    <t>Pixel super-resolution for lens-free holographic microscopy using deep learning neural networks</t>
  </si>
  <si>
    <t>Lens-free holographic microscopy (LFHM) provides a cost-effective tool for large field-of-view imaging in various biomedical applications. However, due to the unit optical magnification, its spatial resolution is limited by the pixel size of the imager. Pixel super-resolution (PSR) technique tackles this problem by using a series of sub-pixel shifted low-resolution (LR) lens-free holograms to form the high-resolution (HR) hologram. Conventional iterative PSR methods require a large number of measurements and a time-consuming reconstruction process, limiting the throughput of LFHM in practice. Here we report a deep learning-based PSR approach to enhance the resolution of LFHM. Compared with the existing PSR methods, our neural network-based approach outputs the HR hologram in an end-to-end fashion and maintains consistency in resolution improvement with a reduced number of LR holograms. Moreover, by exploiting the resolution degradation model in the imaging process, the network can be trained with a data set synthesized from the LR hologram itself without resorting to the HR ground truth. We validated the effectiveness and the robustness of our method by imaging various types of samples using a single network trained on an entirely different data set. This deep learning-based PSR approach can significantly accelerate both the data acquisition and the HR hologram reconstruction processes, therefore providing a practical solution to fast, lens-free, super-resolution imaging.</t>
  </si>
  <si>
    <t>Z. Luo, A. Yurt, R. Stahl, A. Lambrechts, V. Reumers, D. Braeken and L. Lagae</t>
  </si>
  <si>
    <t>Opt Express</t>
  </si>
  <si>
    <t>Clinical evaluation of atlas and deep learning based automatic contouring for lung cancer</t>
  </si>
  <si>
    <t>BACKGROUND AND PURPOSE: Contouring of organs at risk (OARs) is an important but time consuming part of radiotherapy treatment planning. The aim of this study was to investigate whether using institutional created software-generated contouring will save time if used as a starting point for manual OAR contouring for lung cancer patients. MATERIAL AND METHODS: Twenty CT scans of stage I-III NSCLC patients were used to compare user adjusted contours after an atlas-based and deep learning contour, against manual delineation. The lungs, esophagus, spinal cord, heart and mediastinum were contoured for this study. The time to perform the manual tasks was recorded. RESULTS: With a median time of 20 min for manual contouring, the total median time saved was 7.8 min when using atlas-based contouring and 10 min for deep learning contouring. Both atlas based and deep learning adjustment times were significantly lower than manual contouring time for all OARs except for the left lung and esophagus of the atlas based contouring. CONCLUSIONS: User adjustment of software generated contours is a viable strategy to reduce contouring time of OARs for lung radiotherapy while conforming to local clinical standards. In addition, deep learning contouring shows promising results compared to existing solutions.</t>
  </si>
  <si>
    <t>T. Lustberg, J. van Soest, M. Gooding, D. Peressutti, P. Aljabar, J. van der Stoep, W. van Elmpt and A. Dekker</t>
  </si>
  <si>
    <t>Reconstruction of undersampled radial free-breathing 3D abdominal MRI using stacked convolutional auto-encoders</t>
  </si>
  <si>
    <t>PURPOSE: Free-breathing three-dimensional (3D) abdominal imaging is a challenging task for MRI, as respiratory motion severely degrades image quality. One of the most promising self-navigation techniques is the 3D golden-angle radial stack-of-stars (SOS) sequence, which has advantages in terms of speed, resolution, and allowing free breathing. However, streaking artifacts are still clearly observed in reconstructed images when undersampling is applied. This work presents a novel reconstruction approach based on a stacked convolutional auto-encoder (SCAE) network to solve this problem. METHODS: Thirty healthy volunteers participated in our experiment. To build the dataset, reference and artifact-affected images were reconstructed using 451 golden-angle spokes and the first 20, 40, or 90 golden-angle spokes corresponding to acceleration rates of 31.4, 15.7, and 6.98, respectively. In the training step, we trained the SCAE by feeding it with patches from artifact-affected images. The SCAE outputs patches in the corresponding reference images. In the testing step, we applied the trained SCAE to map each input artifact-affected patch to the corresponding reference image patch. RESULT: The SCAE-based reconstruction images with acceleration rates of 6.98 and 15.7 show nearly similar quality as the reference images. Additionally, the calculation time is below 1 s. Moreover, the proposed approach preserves important features, such as lesions not presented in the training set. CONCLUSION: The preliminary results demonstrate the feasibility of the proposed SCAE-based strategy for correcting the streaking artifacts of undersampled free-breathing 3D abdominal MRI with a negligible reconstruction time.</t>
  </si>
  <si>
    <t>J. Lv, K. Chen, M. Yang, J. Zhang and X. Wang</t>
  </si>
  <si>
    <t>Concept attribution: Explaining CNN decisions to physicians</t>
  </si>
  <si>
    <t>Deep learning explainability is often reached by gradient-based approaches that attribute the network output to perturbations of the input pixels. However, the relevance of input pixels may be difficult to relate to relevant image features in some applications, e.g. diagnostic measures in medical imaging. The framework described in this paper shifts the attribution focus from pixel values to user-defined concepts. By checking if certain diagnostic measures are present in the learned representations, experts can explain and entrust the network output. Being post-hoc, our method does not alter the network training and can be easily plugged into the latest state-of-the-art convolutional networks. This paper presents the main components of the framework for attribution to concepts, in addition to the introduction of a spatial pooling operation on top of the feature maps to obtain a solid interpretability analysis. Furthermore, regularized regression is analyzed as a solution to the regression overfitting in high-dimensionality latent spaces. The versatility of the proposed approach is shown by experiments on two medical applications, namely histopathology and retinopathy, and on one non-medical task, the task of handwritten digit classification. The obtained explanations are in line with clinicians' guidelines and complementary to widely used visualization tools such as saliency maps.</t>
  </si>
  <si>
    <t>Differential Diagnosis of Frontotemporal Dementia, Alzheimer's Disease, and Normal Aging Using a Multi-Scale Multi-Type Feature Generative Adversarial Deep Neural Network on Structural Magnetic Resonance Images</t>
  </si>
  <si>
    <t>Methods: Alzheimer's disease and Frontotemporal dementia are the first and third most common forms of dementia. Due to their similar clinical symptoms, they are easily misdiagnosed as each other even with sophisticated clinical guidelines. For disease-specific intervention and treatment, it is essential to develop a computer-aided system to improve the accuracy of their differential diagnosis. Recent advances in deep learning have delivered some of the best performance for medical image recognition tasks. However, its application to the differential diagnosis of AD and FTD pathology has not been explored. Approach: In this study, we proposed a novel deep learning based framework to distinguish between brain images of normal aging individuals and subjects with AD and FTD. Specifically, we combined the multi-scale and multi-type MRI-base image features with Generative Adversarial Network data augmentation technique to improve the differential diagnosis accuracy. Results: Each of the multi-scale, multitype, and data augmentation methods improved the ability for differential diagnosis for both AD and FTD. A 10-fold cross validation experiment performed on a large sample of 1,954 images using the proposed framework achieved a high overall accuracy of 88.28%. Conclusions: The salient contributions of this study are three-fold: (1) our experiments demonstrate that the combination of multiple structural features extracted at different scales with our proposed deep neural network yields superior performance than individual features; (2) we show that the use of Generative Adversarial Network for data augmentation could further improve the discriminant ability of the network regarding challenging tasks such as differentiating dementia sub-types; (3) and finally, we show that ensemble classifier strategy could make the network more robust and stable.</t>
  </si>
  <si>
    <t>Efficient Deep Learning Architecture for Detection and Recognition of Thyroid Nodules</t>
  </si>
  <si>
    <t>Ultrasonography is widely used in the clinical diagnosis of thyroid nodules. Ultrasound images of thyroid nodules have different appearances, interior features, and blurred borders that are difficult for a physician to diagnose into malignant or benign types merely through visual recognition. The development of artificial intelligence, especially deep learning, has led to great advances in the field of medical image diagnosis. However, there are some challenges to achieve precision and efficiency in the recognition of thyroid nodules. In this work, we propose a deep learning architecture, you only look once v3 dense multireceptive fields convolutional neural network (YOLOv3-DMRF), based on YOLOv3. It comprises a DMRF-CNN and multiscale detection layers. In DMRF-CNN, we integrate dilated convolution with different dilation rates to continue passing the edge and the texture features to deeper layers. Two different scale detection layers are deployed to recognize the different sizes of the thyroid nodules. We used two datasets to train and evaluate the YOLOv3-DMRF during the experiments. One dataset includes 699 original ultrasound images of thyroid nodules collected from a local health physical center. We obtained 10,485 images after data augmentation. Another dataset is an open-access dataset that includes ultrasound images of 111 malignant and 41 benign thyroid nodules. Average precision (AP) and mean average precision (mAP) are used as the metrics for quantitative and qualitative evaluations. We compared the proposed YOLOv3-DMRF with some state-of-the-art deep learning networks. The experimental results show that YOLOv3-DMRF outperforms others on mAP and detection time on both the datasets. Specifically, the values of mAP and detection time were 90.05 and 95.23% and 3.7 and 2.2 s, respectively, on the two test datasets. Experimental results demonstrate that the proposed YOLOv3-DMRF is efficient for detection and recognition of thyroid nodules for ultrasound images.</t>
  </si>
  <si>
    <t>10.1007/s11684-019-0726-4</t>
  </si>
  <si>
    <t>Survey on deep learning for pulmonary medical imaging</t>
  </si>
  <si>
    <t>As a promising method in artificial intelligence, deep learning has been proven successful in several domains ranging from acoustics and images to natural language processing. With medical imaging becoming an important part of disease screening and diagnosis, deep learning-based approaches have emerged as powerful techniques in medical image areas. In this process, feature representations are learned directly and automatically from data, leading to remarkable breakthroughs in the medical field. Deep learning has been widely applied in medical imaging for improved image analysis. This paper reviews the major deep learning techniques in this time of rapid evolution and summarizes some of its key contributions and state-of-the-art outcomes. The topics include classification, detection, and segmentation tasks on medical image analysis with respect to pulmonary medical images, datasets, and benchmarks. A comprehensive overview of these methods implemented on various lung diseases consisting of pulmonary nodule diseases, pulmonary embolism, pneumonia, and interstitial lung disease is also provided. Lastly, the application of deep learning techniques to the medical image and an analysis of their future challenges and potential directions are discussed.</t>
  </si>
  <si>
    <t>Front Med</t>
  </si>
  <si>
    <t>Towards Data-Efficient Learning: A Benchmark for COVID-19 CT Lung and Infection Segmentation</t>
  </si>
  <si>
    <t>PURPOSE: Accurate segmentation of lung and infection in COVID-19 CT scans plays an important role in the quantitative management of patients. Most of the existing studies are based on large and private annotated datasets that are impractical to obtain from a single institution, especially when radiologists are busy fighting the coronavirus disease. Furthermore, it is hard to compare current COVID-19 CT segmentation methods as they are developed on different datasets, trained in different settings, and evaluated with different metrics. METHODS: To promote the development of data-efficient deep learning methods, in this paper, we built three benchmarks for lung and infection segmentation based on 70 annotated COVID-19 cases, which contain current active research areas, e.g., few-shot learning, domain generalization, and knowledge transfer. For a fair comparison among different segmentation methods, we also provide standard training, validation and testing splits, evaluation metrics and, the corresponding code. RESULTS: Based on the state-of-the-art network, we provide more than 40 pre-trained baseline models, which not only serve as out-of-the-box segmentation tools but also save computational time for researchers who are interested in COVID-19 lung and infection segmentation. We achieve average Dice Similarity Coefficient (DSC) scores of 97.3%, 97.7%, and 67.3% and average Normalized Surface Dice (NSD) scores of 90.6%, 91.4%, and 70.0% for left lung, right lung, and infection, respectively. CONCLUSIONS: To the best of our knowledge, this work presents the first data-efficient learning benchmark for medical image segmentation, and the largest number of pre-trained models up to now. All these resources are publicly available, and our work lays the foundation for promoting the development of deep learning methods for efficient COVID-19 CT segmentation with limited data.</t>
  </si>
  <si>
    <t>DIAGNOSTIC IMAGE QUALITY ASSESSMENT AND CLASSIFICATION IN MEDICAL IMAGING: OPPORTUNITIES AND CHALLENGES</t>
  </si>
  <si>
    <t>Magnetic Resonance Imaging (MRI) suffers from several artifacts, the most common of which are motion artifacts. These artifacts often yield images that are of non-diagnostic quality. To detect such artifacts, images are prospectively evaluated by experts for their diagnostic quality, which necessitates patient-revisits and rescans whenever non-diagnostic quality scans are encountered. This motivates the need to develop an automated framework capable of accessing medical image quality and detecting diagnostic and non-diagnostic images. In this paper, we explore several convolutional neural network-based frameworks for medical image quality assessment and investigate several challenges therein.</t>
  </si>
  <si>
    <t>Faster RCNN-based detection of cervical spinal cord injury and disc degeneration</t>
  </si>
  <si>
    <t>Magnetic resonance imaging (MRI) can indirectly reflect microscopic changes in lesions on the spinal cord; however, the application of deep learning to MRI to classify and detect lesions for cervical spinal cord diseases has not been sufficiently explored. In this study, we implemented a deep neural network for MRI to detect lesions caused by cervical diseases. We retrospectively reviewed the MRI of 1,500 patients irrespective of whether they had cervical diseases. The patients were treated in our hospital from January 2013 to December 2018. We randomly divided the MRI data into three groups of datasets: disc group (800 datasets), injured group (200 datasets), and normal group (500 datasets). We designed the relevant parameters and used a faster-region convolutional neural network (Faster R-CNN) combined with a backbone convolutional feature extractor using the ResNet-50 and VGG-16 networks, to detect lesions during MRI. Experimental results showed that the prediction accuracy and speed of Faster R-CNN with ResNet-50 and VGG-16 in detecting and recognizing lesions from a cervical spinal cord MRI were satisfactory. The mean average precisions (mAPs) for Faster R-CNN with ResNet-50 and VGG-16 were 88.6 and 72.3%, respectively, and the testing times was 0.22 and 0.24 s/image, respectively. Faster R-CNN can identify and detect lesions from cervical MRIs. To some extent, it may aid radiologists and spine surgeons in their diagnoses. The results of our study can provide motivation for future research to combine medical imaging and deep learning.</t>
  </si>
  <si>
    <t>U-Net based deep learning bladder segmentation in CT urography</t>
  </si>
  <si>
    <t>OBJECTIVES: To develop a U-Net-based deep learning approach (U-DL) for bladder segmentation in computed tomography urography (CTU) as a part of a computer-assisted bladder cancer detection and treatment response assessment pipeline. MATERIALS AND METHODS: A dataset of 173 cases including 81 cases in the training/validation set (42 masses, 21 with wall thickening, 18 normal bladders), and 92 cases in the test set (43 masses, 36 with wall thickening, 13 normal bladders) were used with Institutional Review Board approval. An experienced radiologist provided three-dimensional (3D) hand outlines for all cases as the reference standard. We previously developed a bladder segmentation method that used a deep learning convolution neural network and level sets (DCNN-LS) within a user-input bounding box. However, some cases with poor image quality or with advanced bladder cancer spreading into the neighboring organs caused inaccurate segmentation. We have newly developed an automated U-DL method to estimate a likelihood map of the bladder in CTU. The U-DL did not require a user-input box and the level sets for postprocessing. To identify the best model for this task, we compared the following models: (a) two-dimensional (2D) U-DL and 3D U-DL using 2D CT slices and 3D CT volumes, respectively, as input, (b) U-DLs using CT images of different resolutions as input, and (c) U-DLs with and without automated cropping of the bladder as an image preprocessing step. The segmentation accuracy relative to the reference standard was quantified by six measures: average volume intersection ratio (AVI), average percent volume error (AVE), average absolute volume error (AAVE), average minimum distance (AMD), average Hausdorff distance (AHD), and the average Jaccard index (AJI). As a baseline, the results from our previous DCNN-LS method were used. RESULTS: In the test set, the best 2D U-DL model achieved AVI, AVE, AAVE, AMD, AHD, and AJI values of 93.4 ± 9.5%, -4.2 ± 14.2%, 9.2 ± 11.5%, 2.7 ± 2.5 mm, 9.7 ± 7.6 mm, 85.0 ± 11.3%, respectively, while the corresponding measures by the best 3D U-DL were 90.6 ± 11.9%, -2.3 ± 21.7%, 11.5 ± 18.5%, 3.1 ± 3.2 mm, 11.4 ± 10.0 mm, and 82.6 ± 14.2%, respectively. For comparison, the corresponding values obtained with the baseline method were 81.9 ± 12.1%, 10.2 ± 16.2%, 14.0 ± 13.0%, 3.6 ± 2.0 mm, 12.8 ± 6.1 mm, and 76.2 ± 11.8%, respectively, for the same test set. The improvement for all measures between the best U-DL and the DCNN-LS were statistically significant (P &lt; 0.001). CONCLUSION: Compared to a previous DCNN-LS method, which depended on a user-input bounding box, the U-DL provided more accurate bladder segmentation and was more automated than the previous approach.</t>
  </si>
  <si>
    <t>X. Ma, L. M. Hadjiiski, J. Wei, H. P. Chan, K. H. Cha, R. H. Cohan, E. M. Caoili, R. Samala, C. Zhou and Y. Lu</t>
  </si>
  <si>
    <t>Automated fibroglandular tissue segmentation in breast MRI using generative adversarial networks</t>
  </si>
  <si>
    <t>Fibroglandular tissue (FGT) segmentation is a crucial step for quantitative analysis of background parenchymal enhancement (BPE) in magnetic resonance imaging (MRI), which is useful for breast cancer risk assessment. In this study, we develop an automated deep learning method based on a generative adversarial network (GAN) to identify the FGT region in MRI volumes and evaluate its impact on a specific clinical application. The GAN consists of an improved U-Net as a generator to generate FGT candidate areas and a patch deep convolutional neural network (DCNN) as a discriminator to evaluate the authenticity of the synthetic FGT region. The proposed method has two improvements compared to the classical U-Net: (1) the improved U-Net is designed to extract more features of the FGT region for a more accurate description of the FGT region; (2) a patch DCNN is designed for discriminating the authenticity of the FGT region generated by the improved U-Net, which makes the segmentation result more stable and accurate. A dataset of 100 three-dimensional (3D) bilateral breast MRI scans from 100 patients (aged 22-78 years) was used in this study with Institutional Review Board (IRB) approval. 3D hand-segmented FGT areas for all breasts were provided as a reference standard. Five-fold cross-validation was used in training and testing of the models. The Dice similarity coefficient (DSC) and Jaccard index (JI) values were evaluated to measure the segmentation accuracy. The previous method using classical U-Net was used as a baseline in this study. In the five partitions of the cross-validation set, the GAN achieved DSC and JI values of 87.0 ± 7.0% and 77.6 ± 10.1%, respectively, while the corresponding values obtained through by the baseline method were 81.1 ± 8.7% and 69.0 ± 11.3%, respectively. The proposed method is significantly superior to the previous method using U-Net. The FGT segmentation impacted the BPE quantification application in the following manner: the correlation coefficients between the quantified BPE value and BI-RADS BPE categories provided by the radiologist were 0.46 ± 0.15 (best: 0.63) based on GAN segmented FGT areas, while the corresponding correlation coefficients were 0.41 ± 0.16 (best: 0.60) based on baseline U-Net segmented FGT areas. BPE can be quantified better using the FGT areas segmented by the proposed GAN model than using the FGT areas segmented by the baseline U-Net.</t>
  </si>
  <si>
    <t>Automated pectoral muscle identification on MLO-view mammograms: Comparison of deep neural network to conventional computer vision</t>
  </si>
  <si>
    <t>OBJECTIVES: The aim of this study was to develop a fully automated deep learning approach for identification of the pectoral muscle on mediolateral oblique (MLO) view mammograms and evaluate its performance in comparison to our previously developed texture-field orientation (TFO) method using conventional image feature analysis. Pectoral muscle segmentation is an important step for automated image analyses such as breast density or parenchymal pattern classification, lesion detection, and multiview correlation. MATERIALS AND METHODS: Institutional Review Board (IRB) approval was obtained before data collection. A dataset of 729 MLO-view mammograms including 637 digitized film mammograms (DFM) and 92 digital mammograms (DM) from our previous study was used for the training and validation of our deep convolutional neural network (DCNN) segmentation method. In addition, we collected an independent set of 203 DMs from 131 patients for testing. The film mammograms were digitized at a pixel size of 50 μm × 50 μm with a Lumiscan digitizer. All DMs were acquired with GE systems at a pixel size of 100 μm × 100 μm. An experienced MQSA radiologist manually drew the pectoral muscle boundary on each mammogram as the reference standard. We trained the DCNN to estimate a probability map of the pectoral muscle region on mammograms. The DCNN consisted of a contracting path to capture multiresolution image context and a symmetric expanding path for prediction of the pectoral muscle region. Three DCNN structures were compared for automated identification of pectoral muscles. Tenfold cross-validation was used in training of the DCNNs. After training, we applied the ten trained models during cross-validation to the independent DM test set. The predicted pectoral muscle region of each test DM was obtained as the mean probability map by averaging the ensemble of probability maps from the ten models. The DCNN-segmented pectoral muscle was evaluated by three performance measures relative to the reference standard: (a) the percent overlap area (POA) of the pectoral muscle regions, (b) the Hausdorff distance (Hdist), and (c) the average Euclidean distance (AvgDist) between the boundaries. The results were compared to those obtained with the TFO method, used as our baseline. A two-tailed paired t test was performed to examine the significance in the differences between the DCNN and the baseline. RESULTS: In the ten test partitions of the cross-validation set, the DCNN achieved a mean POA of 96.5 ± 2.9%, a mean Hdist of 2.26 ± 1.31 mm, and a mean AvgDist of 0.78 ± 0.58 mm, while the corresponding measures by the baseline method were 94.2 ± 4.8%, 3.69 ± 2.48 mm, and 1.30 ± 1.22 mm, respectively. For the independent DM test set, the DCNN achieved a mean POA of 93.7% ± 6.9%, a mean Hdist of 3.80 ± 3.21 mm, and a mean AvgDist of 1.49 ± 1.62 mm comparing to 86.9% ± 16.0%, 7.18 ± 14.22 mm, and 3.98 ± 14.13 mm, respectively, by the baseline method. CONCLUSION: In comparison to the TFO method, DCNN significantly improved the accuracy of pectoral muscle identification on mammograms (P &lt; 0.05).</t>
  </si>
  <si>
    <t>X. Ma, J. Wei, C. Zhou, M. A. Helvie, H. P. Chan, L. M. Hadjiiski and Y. Lu</t>
  </si>
  <si>
    <t>Computer-Aided Diagnosis of Label-Free 3-D Optical Coherence Microscopy Images of Human Cervical Tissue</t>
  </si>
  <si>
    <t>OBJECTIVE: Ultrahigh-resolution optical coherence microscopy (OCM) has recently demonstrated its potential for accurate diagnosis of human cervical diseases. One major challenge for clinical adoption, however, is the steep learning curve clinicians need to overcome to interpret OCM images. Developing an intelligent technique for computer-aided diagnosis (CADx) to accurately interpret OCM images will facilitate clinical adoption of the technology and improve patient care. METHODS: 497 high-resolution three-dimensional (3-D) OCM volumes (600 cross-sectional images each) were collected from 159 ex vivo specimens of 92 female patients. OCM image features were extracted using a convolutional neural network (CNN) model, concatenated with patient information [e.g., age and human papillomavirus (HPV) results], and classified using a support vector machine classifier. Ten-fold cross-validations were utilized to test the performance of the CADx method in a five-class classification task and a binary classification task. RESULTS: An 88.3 ± 4.9% classification accuracy was achieved for five fine-grained classes of cervical tissue, namely normal, ectropion, low-grade and high-grade squamous intraepithelial lesions (LSIL and HSIL), and cancer. In the binary classification task [low-risk (normal, ectropion, and LSIL) versus high-risk (HSIL and cancer)], the CADx method achieved an area-under-the-curve value of 0.959 with an 86.7 ± 11.4% sensitivity and 93.5 ± 3.8% specificity. CONCLUSION: The proposed deep-learning-based CADx method outperformed four human experts. It was also able to identify morphological characteristics in OCM images that were consistent with histopathological interpretations. SIGNIFICANCE: Label-free OCM imaging, combined with deep-learning-based CADx methods, holds a great promise to be used in clinical settings for the effective screening and diagnosis of cervical diseases.</t>
  </si>
  <si>
    <t>Human Breast Numerical Model Generation Based on Deep Learning for Photoacoustic Imaging</t>
  </si>
  <si>
    <t>Photoacoustic imaging which combines high contrast of optical imaging and high resolution of ultrasound imaging, can provide functional information, potentially playing a crucial role in the study of breast cancer diagnostics. However, open source dataset for PA imaging research is insufficient on account of lacking clinical data. To tackle this problem, we propose a method to automatically generate breast numerical model for photoacoustic imaging. The different type of tissues is automatically extracted first by employing deep learning and other methods from mammography. And then the tissues are combined by mathematical set operation to generate a new breast image after being assigned optical and acoustic parameters. Finally, breast numerical model with proper optical and acoustic properties are generated, which are specifically suitable for PA imaging studies, and the experiment results indicate that our method is feasible with high efficiency.</t>
  </si>
  <si>
    <t>An iterative multi-path fully convolutional neural network for automatic cardiac segmentation in cine MR images</t>
  </si>
  <si>
    <t>PURPOSE: Segmentation of the left ventricle (LV), right ventricle (RV) cavities and the myocardium (MYO) from cine cardiac magnetic resonance (MR) images is an important step for diagnosis and monitoring cardiac diseases. Spatial context information may be highly beneficial for segmentation performance improvement. To this end, this paper proposes an iterative multi-path fully convolutional network (IMFCN) to effectively leverage spatial context for automatic cardiac segmentation in cine MR images. METHODS: To effectively leverage spatial context information, the proposed IMFCN explicitly models the interslice spatial correlations using a multi-path late fusion strategy. First, the contextual inputs including both the adjacent slices and the already predicted mask of the above adjacent slice are processed by independent feature-extraction paths. Then, an atrous spatial pyramid pooling (ASPP) module is employed at the feature fusion process to combine the extracted high-level contextual features in a more effective way. Finally, deep supervision (DS) and batch-wise class re-weighting mechanism are utilized to enhance the training of the proposed network. RESULTS: The proposed IMFCN was evaluated and analyzed on the MICCAI 2017 automatic cardiac diagnosis challenge (ACDC) dataset. On the held-out training dataset reserved for testing, our method effectively improved its counterparts that without spatial context and that with spatial context but using an early fusion strategy. On the 50 subjects test dataset, our method achieved Dice similarity coefficient of 0.935, 0.920, and 0.905, and Hausdorff distance of 7.66, 12.10, and 8.80 mm for LV, RV, and MYO, respectively, which are comparable or even better than the state-of-the-art methods of ACDC Challenge. In addition, to explore the applicability to other datasets, the proposed IMFCN was retrained on the Sunnybrook dataset for LV segmentation and also produced comparable performance to the state-of-the-art methods. CONCLUSIONS: We have presented an automatic end-to-end fully convolutional architecture for accurate cardiac segmentation. The proposed method provides an effective way to leverage spatial context in a two-dimensional manner and results in precise and consistent segmentation results.</t>
  </si>
  <si>
    <t>Opportunities and challenges to utilization of quantitative imaging: Report of the AAPM practical big data workshop</t>
  </si>
  <si>
    <t>BACKGROUND: This article is a summary of the quantitative imaging subgroup of the 2017 AAPM Practical Big Data Workshop (PBDW-2017) on progress and challenges in big data applied to cancer treatment and research supplemented by a draft white paper following an American Association of Physicists in Medicine FOREM meeting on Imaging Genomics in 2014. AIMS: The goal of PBDW-2017 was to close the gap between theoretical vision and practical experience with encountering and solving challenges in curating and analyzing data. CONCLUSIONS: Recommendations based on the meetings are summarized.</t>
  </si>
  <si>
    <t>T. R. Mackie, E. F. Jackson and M. Giger</t>
  </si>
  <si>
    <t>Deep echocardiography: data-efficient supervised and semi-supervised deep learning towards automated diagnosis of cardiac disease</t>
  </si>
  <si>
    <t>Deep learning and computer vision algorithms can deliver highly accurate and automated interpretation of medical imaging to augment and assist clinicians. However, medical imaging presents uniquely pertinent obstacles such as a lack of accessible data or a high-cost of annotation. To address this, we developed data-efficient deep learning classifiers for prediction tasks in cardiology. Using pipeline supervised models to focus relevant structures, we achieve an accuracy of 94.4% for 15-view still-image echocardiographic view classification and 91.2% accuracy for binary left ventricular hypertrophy classification. We then develop semi-supervised generative adversarial network models that can learn from both labeled and unlabeled data in a generalizable fashion. We achieve greater than 80% accuracy in view classification with only 4% of labeled data used in solely supervised techniques and achieve 92.3% accuracy for left ventricular hypertrophy classification. In exploring trade-offs between model type, resolution, data resources, and performance, we present a comprehensive analysis and improvements of efficient deep learning solutions for medical imaging assessment especially in cardiology.</t>
  </si>
  <si>
    <t>A. Madani, J. R. Ong, A. Tibrewal and M. R. K. Mofrad</t>
  </si>
  <si>
    <t>Protein secondary structure detection in intermediate-resolution cryo-EM maps using deep learning</t>
  </si>
  <si>
    <t>Although structures determined at near-atomic resolution are now routinely reported by cryo-electron microscopy (cryo-EM), many density maps are determined at an intermediate resolution, and extracting structure information from these maps is still a challenge. We report a computational method, Emap2sec, that identifies the secondary structures of proteins (α-helices, β-sheets and other structures) in EM maps at resolutions of between 5 and 10 Å. Emap2sec uses a three-dimensional deep convolutional neural network to assign secondary structure to each grid point in an EM map. We tested Emap2sec on EM maps simulated from 34 structures at resolutions of 6.0 and 10.0 Å, as well as on 43 maps determined experimentally at resolutions of between 5.0 and 9.5 Å. Emap2sec was able to clearly identify the secondary structures in many maps tested, and showed substantially better performance than existing methods.</t>
  </si>
  <si>
    <t>S. R. Maddhuri Venkata Subramaniya, G. Terashi and D. Kihara</t>
  </si>
  <si>
    <t>Perspectives on Machine Learning for Classification of Schizotypy Using fMRI Data</t>
  </si>
  <si>
    <t>Functional magnetic resonance imaging is capable of estimating functional activation and connectivity in the human brain, and lately there has been increased interest in the use of these functional modalities combined with machine learning for identification of psychiatric traits. While these methods bear great potential for early diagnosis and better understanding of disease processes, there are wide ranges of processing choices and pitfalls that may severely hamper interpretation and generalization performance unless carefully considered. In this perspective article, we aim to motivate the use of machine learning schizotypy research. To this end, we describe common data processing steps while commenting on best practices and procedures. First, we introduce the important role of schizotypy to motivate the importance of reliable classification, and summarize existing machine learning literature on schizotypy. Then, we describe procedures for extraction of features based on fMRI data, including statistical parametric mapping, parcellation, complex network analysis, and decomposition methods, as well as classification with a special focus on support vector classification and deep learning. We provide more detailed descriptions and software as supplementary material. Finally, we present current challenges in machine learning for classification of schizotypy and comment on future trends and perspectives.</t>
  </si>
  <si>
    <t>Schizophr Bull</t>
  </si>
  <si>
    <t>A feature agnostic approach for glaucoma detection in OCT volumes</t>
  </si>
  <si>
    <t>Optical coherence tomography (OCT) based measurements of retinal layer thickness, such as the retinal nerve fibre layer (RNFL) and the ganglion cell with inner plexiform layer (GCIPL) are commonly employed for the diagnosis and monitoring of glaucoma. Previously, machine learning techniques have relied on segmentation-based imaging features such as the peripapillary RNFL thickness and the cup-to-disc ratio. Here, we propose a deep learning technique that classifies eyes as healthy or glaucomatous directly from raw, unsegmented OCT volumes of the optic nerve head (ONH) using a 3D Convolutional Neural Network (CNN). We compared the accuracy of this technique with various feature-based machine learning algorithms and demonstrated the superiority of the proposed deep learning based method. Logistic regression was found to be the best performing classical machine learning technique with an AUC of 0.89. In direct comparison, the deep learning approach achieved a substantially higher AUC of 0.94 with the additional advantage of providing insight into which regions of an OCT volume are important for glaucoma detection. Computing Class Activation Maps (CAM), we found that the CNN identified neuroretinal rim and optic disc cupping as well as the lamina cribrosa (LC) and its surrounding areas as the regions significantly associated with the glaucoma classification. These regions anatomically correspond to the well established and commonly used clinical markers for glaucoma diagnosis such as increased cup volume, cup diameter, and neuroretinal rim thinning at the superior and inferior segments.</t>
  </si>
  <si>
    <t>Fusing fine-tuned deep features for skin lesion classification</t>
  </si>
  <si>
    <t>Malignant melanoma is one of the most aggressive forms of skin cancer. Early detection is important as it significantly improves survival rates. Consequently, accurate discrimination of malignant skin lesions from benign lesions such as seborrheic keratoses or benign nevi is crucial, while accurate computerised classification of skin lesion images is of great interest to support diagnosis. In this paper, we propose a fully automatic computerised method to classify skin lesions from dermoscopic images. Our approach is based on a novel ensemble scheme for convolutional neural networks (CNNs) that combines intra-architecture and inter-architecture network fusion. The proposed method consists of multiple sets of CNNs of different architecture that represent different feature abstraction levels. Each set of CNNs consists of a number of pre-trained networks that have identical architecture but are fine-tuned on dermoscopic skin lesion images with different settings. The deep features of each network were used to train different support vector machine classifiers. Finally, the average prediction probability classification vectors from different sets are fused to provide the final prediction. Evaluated on the 600 test images of the ISIC 2017 skin lesion classification challenge, the proposed algorithm yields an area under receiver operating characteristic curve of 87.3% for melanoma classification and an area under receiver operating characteristic curve of 95.5% for seborrheic keratosis classification, outperforming the top-ranked methods of the challenge while being simpler compared to them. The obtained results convincingly demonstrate our proposed approach to represent a reliable and robust method for feature extraction, model fusion and classification of dermoscopic skin lesion images.</t>
  </si>
  <si>
    <t>A. Mahbod, G. Schaefer, I. Ellinger, R. Ecker, A. Pitiot and C. Wang</t>
  </si>
  <si>
    <t>Transfer learning using a multi-scale and multi-network ensemble for skin lesion classification</t>
  </si>
  <si>
    <t>BACKGROUND AND OBJECTIVE: Skin cancer is among the most common cancer types in the white population and consequently computer aided methods for skin lesion classification based on dermoscopic images are of great interest. A promising approach for this uses transfer learning to adapt pre-trained convolutional neural networks (CNNs) for skin lesion diagnosis. Since pre-training commonly occurs with natural images of a fixed image resolution and these training images are usually significantly smaller than dermoscopic images, downsampling or cropping of skin lesion images is required. This however may result in a loss of useful medical information, while the ideal resizing or cropping factor of dermoscopic images for the fine-tuning process remains unknown. METHODS: We investigate the effect of image size for skin lesion classification based on pre-trained CNNs and transfer learning. Dermoscopic images from the International Skin Imaging Collaboration (ISIC) skin lesion classification challenge datasets are either resized to or cropped at six different sizes ranging from 224 × 224 to 450 × 450. The resulting classification performance of three well established CNNs, namely EfficientNetB0, EfficientNetB1 and SeReNeXt-50 is explored. We also propose and evaluate a multi-scale multi-CNN (MSM-CNN) fusion approach based on a three-level ensemble strategy that utilises the three network architectures trained on cropped dermoscopic images of various scales. RESULTS: Our results show that image cropping is a better strategy compared to image resizing delivering superior classification performance at all explored image scales. Moreover, fusing the results of all three fine-tuned networks using cropped images at all six scales in the proposed MSM-CNN approach boosts the classification performance compared to a single network or a single image scale. On the ISIC 2018 skin lesion classification challenge test set, our MSM-CNN algorithm yields a balanced multi-class accuracy of 86.2% making it the currently second ranked algorithm on the live leaderboard. CONCLUSIONS: We confirm that the image size has an effect on skin lesion classification performance when employing transfer learning of CNNs. We also show that image cropping results in better performance compared to image resizing. Finally, a straightforward ensembling approach that fuses the results from images cropped at six scales and three fine-tuned CNNs is shown to lead to the best classification performance.</t>
  </si>
  <si>
    <t>The effects of skin lesion segmentation on the performance of dermatoscopic image classification</t>
  </si>
  <si>
    <t>BACKGROUND AND OBJECTIVE: Malignant melanoma (MM) is one of the deadliest types of skin cancer. Analysing dermatoscopic images plays an important role in the early detection of MM and other pigmented skin lesions. Among different computer-based methods, deep learning-based approaches and in particular convolutional neural networks have shown excellent classification and segmentation performances for dermatoscopic skin lesion images. These models can be trained end-to-end without requiring any hand-crafted features. However, the effect of using lesion segmentation information on classification performance has remained an open question. METHODS: In this study, we explicitly investigated the impact of using skin lesion segmentation masks on the performance of dermatoscopic image classification. To do this, first, we developed a baseline classifier as the reference model without using any segmentation masks. Then, we used either manually or automatically created segmentation masks in both training and test phases in different scenarios and investigated the classification performances. The different scenarios included approaches that exploited the segmentation masks either for cropping of skin lesion images or removing the surrounding background or using the segmentation masks as an additional input channel for model training. RESULTS: Evaluated on the ISIC 2017 challenge dataset which contained two binary classification tasks (i.e. MM vs. all and seborrheic keratosis (SK) vs. all) and based on the derived area under the receiver operating characteristic curve scores, we observed four main outcomes. Our results show that 1) using segmentation masks did not significantly improve the MM classification performance in any scenario, 2) in one of the scenarios (using segmentation masks for dilated cropping), SK classification performance was significantly improved, 3) removing all background information by the segmentation masks significantly degraded the overall classification performance, and 4) in case of using the appropriate scenario (using segmentation for dilated cropping), there is no significant difference of using manually or automatically created segmentation masks. CONCLUSIONS: We systematically explored the effects of using image segmentation on the performance of dermatoscopic skin lesion classification.</t>
  </si>
  <si>
    <t>Unsupervised Reverse Domain Adaptation for Synthetic Medical Images via Adversarial Training</t>
  </si>
  <si>
    <t>To realize the full potential of deep learning for medical imaging, large annotated datasets are required for training. Such datasets are difficult to acquire due to privacy issues, lack of experts available for annotation, underrepresentation of rare conditions, and poor standardization. The lack of annotated data has been addressed in conventional vision applications using synthetic images refined via unsupervised adversarial training to look like real images. However, this approach is difficult to extend to general medical imaging because of the complex and diverse set of features found in real human tissues. We propose a novel framework that uses a reverse flow, where adversarial training is used to make real medical images more like synthetic images, and clinically-relevant features are preserved via self-regularization. These domain-adapted synthetic-like images can then be accurately interpreted by networks trained on large datasets of synthetic medical images. We implement this approach on the notoriously difficult task of depth-estimation from monocular endoscopy which has a variety of applications in colonoscopy, robotic surgery, and invasive endoscopic procedures. We train a depth estimator on a large data set of synthetic images generated using an accurate forward model of an endoscope and an anatomically-realistic colon. Our analysis demonstrates that the structural similarity of endoscopy depth estimation in a real pig colon predicted from a network trained solely on synthetic data improved by 78.7% by using reverse domain adaptation.</t>
  </si>
  <si>
    <t>F. Mahmood, R. Chen and N. J. Durr</t>
  </si>
  <si>
    <t>Deep learning with cinematic rendering: fine-tuning deep neural networks using photorealistic medical images</t>
  </si>
  <si>
    <t>Deep learning has emerged as a powerful artificial intelligence tool to interpret medical images for a growing variety of applications. However, the paucity of medical imaging data with high-quality annotations that is necessary for training such methods ultimately limits their performance. Medical data is challenging to acquire due to privacy issues, shortage of experts available for annotation, limited representation of rare conditions and cost. This problem has previously been addressed by using synthetically generated data. However, networks trained on synthetic data often fail to generalize to real data. Cinematic rendering simulates the propagation and interaction of light passing through tissue models reconstructed from CT data, enabling the generation of photorealistic images. In this paper, we present one of the first applications of cinematic rendering in deep learning, in which we propose to fine-tune synthetic data-driven networks using cinematically rendered CT data for the task of monocular depth estimation in endoscopy. Our experiments demonstrate that: (a) convolutional neural networks (CNNs) trained on synthetic data and fine-tuned on photorealistic cinematically rendered data adapt better to real medical images and demonstrate more robust performance when compared to networks with no fine-tuning, (b) these fine-tuned networks require less training data to converge to an optimal solution, and (c) fine-tuning with data from a variety of photorealistic rendering conditions of the same scene prevents the network from learning patient-specific information and aids in generalizability of the model. Our empirical evaluation demonstrates that networks fine-tuned with cinematically rendered data predict depth with 56.87% less error for rendered endoscopy images and 27.49% less error for real porcine colon endoscopy images.</t>
  </si>
  <si>
    <t>F. Mahmood, R. Chen, S. Sudarsky, D. Yu and N. J. Durr</t>
  </si>
  <si>
    <t>Deep learning and conditional random fields-based depth estimation and topographical reconstruction from conventional endoscopy</t>
  </si>
  <si>
    <t>Colorectal cancer is the fourth leading cause of cancer deaths worldwide and the second leading cause in the United States. The risk of colorectal cancer can be mitigated by the identification and removal of premalignant lesions through optical colonoscopy. Unfortunately, conventional colonoscopy misses more than 20% of the polyps that should be removed, due in part to poor contrast of lesion topography. Imaging depth and tissue topography during a colonoscopy is difficult because of the size constraints of the endoscope and the deforming mucosa. Most existing methods make unrealistic assumptions which limits accuracy and sensitivity. In this paper, we present a method that avoids these restrictions, using a joint deep convolutional neural network-conditional random field (CNN-CRF) framework for monocular endoscopy depth estimation. Estimated depth is used to reconstruct the topography of the surface of the colon from a single image. We train the unary and pairwise potential functions of a CRF in a CNN on synthetic data, generated by developing an endoscope camera model and rendering over 200,000 images of an anatomically-realistic colon.We validate our approach with real endoscopy images from a porcine colon, transferred to a synthetic-like domain via adversarial training, with ground truth from registered computed tomography measurements. The CNN-CRF approach estimates depths with a relative error of 0.152 for synthetic endoscopy images and 0.242 for real endoscopy images. We show that the estimated depth maps can be used for reconstructing the topography of the mucosa from conventional colonoscopy images. This approach can easily be integrated into existing endoscopy systems and provides a foundation for improving computer-aided detection algorithms for detection, segmentation and classification of lesions.</t>
  </si>
  <si>
    <t>F. Mahmood and N. J. Durr</t>
  </si>
  <si>
    <t>Applications of Deep Learning and Reinforcement Learning to Biological Data</t>
  </si>
  <si>
    <t>Rapid advances in hardware-based technologies during the past decades have opened up new possibilities for life scientists to gather multimodal data in various application domains, such as omics, bioimaging, medical imaging, and (brain/body)-machine interfaces. These have generated novel opportunities for development of dedicated data-intensive machine learning techniques. In particular, recent research in deep learning (DL), reinforcement learning (RL), and their combination (deep RL) promise to revolutionize the future of artificial intelligence. The growth in computational power accompanied by faster and increased data storage, and declining computing costs have already allowed scientists in various fields to apply these techniques on data sets that were previously intractable owing to their size and complexity. This paper provides a comprehensive survey on the application of DL, RL, and deep RL techniques in mining biological data. In addition, we compare the performances of DL techniques when applied to different data sets across various application domains. Finally, we outline open issues in this challenging research area and discuss future development perspectives.</t>
  </si>
  <si>
    <t>CovXNet: A multi-dilation convolutional neural network for automatic COVID-19 and other pneumonia detection from chest X-ray images with transferable multi-receptive feature optimization</t>
  </si>
  <si>
    <t>With the recent outbreak of COVID-19, fast diagnostic testing has become one of the major challenges due to the critical shortage of test kit. Pneumonia, a major effect of COVID-19, needs to be urgently diagnosed along with its underlying reasons. In this paper, deep learning aided automated COVID-19 and other pneumonia detection schemes are proposed utilizing a small amount of COVID-19 chest X-rays. A deep convolutional neural network (CNN) based architecture, named as CovXNet, is proposed that utilizes depthwise convolution with varying dilation rates for efficiently extracting diversified features from chest X-rays. Since the chest X-ray images corresponding to COVID-19 caused pneumonia and other traditional pneumonias have significant similarities, at first, a large number of chest X-rays corresponding to normal and (viral/bacterial) pneumonia patients are used to train the proposed CovXNet. Learning of this initial training phase is transferred with some additional fine-tuning layers that are further trained with a smaller number of chest X-rays corresponding to COVID-19 and other pneumonia patients. In the proposed method, different forms of CovXNets are designed and trained with X-ray images of various resolutions and for further optimization of their predictions, a stacking algorithm is employed. Finally, a gradient-based discriminative localization is integrated to distinguish the abnormal regions of X-ray images referring to different types of pneumonia. Extensive experimentations using two different datasets provide very satisfactory detection performance with accuracy of 97.4% for COVID/Normal, 96.9% for COVID/Viral pneumonia, 94.7% for COVID/Bacterial pneumonia, and 90.2% for multiclass COVID/normal/Viral/Bacterial pneumonias. Hence, the proposed schemes can serve as an efficient tool in the current state of COVID-19 pandemic. All the architectures are made publicly available at: https://github.com/Perceptron21/CovXNet.</t>
  </si>
  <si>
    <t>10.1016/j.zemedi.2018.12.003</t>
  </si>
  <si>
    <t>A gentle introduction to deep learning in medical image processing</t>
  </si>
  <si>
    <t>This paper tries to give a gentle introduction to deep learning in medical image processing, proceeding from theoretical foundations to applications. We first discuss general reasons for the popularity of deep learning, including several major breakthroughs in computer science. Next, we start reviewing the fundamental basics of the perceptron and neural networks, along with some fundamental theory that is often omitted. Doing so allows us to understand the reasons for the rise of deep learning in many application domains. Obviously medical image processing is one of these areas which has been largely affected by this rapid progress, in particular in image detection and recognition, image segmentation, image registration, and computer-aided diagnosis. There are also recent trends in physical simulation, modeling, and reconstruction that have led to astonishing results. Yet, some of these approaches neglect prior knowledge and hence bear the risk of producing implausible results. These apparent weaknesses highlight current limitations of deep ()learning. However, we also briefly discuss promising approaches that might be able to resolve these problems in the future.</t>
  </si>
  <si>
    <t>Chest Radiograph Interpretation with Deep Learning Models: Assessment with Radiologist-adjudicated Reference Standards and Population-adjusted Evaluation</t>
  </si>
  <si>
    <t>BackgroundDeep learning has the potential to augment the use of chest radiography in clinical radiology, but challenges include poor generalizability, spectrum bias, and difficulty comparing across studies.PurposeTo develop and evaluate deep learning models for chest radiograph interpretation by using radiologist-adjudicated reference standards.Materials and MethodsDeep learning models were developed to detect four findings (pneumothorax, opacity, nodule or mass, and fracture) on frontal chest radiographs. This retrospective study used two data sets. Data set 1 (DS1) consisted of 759 611 images from a multicity hospital network and ChestX-ray14 is a publicly available data set with 112 120 images. Natural language processing and expert review of a subset of images provided labels for 657 954 training images. Test sets consisted of 1818 and 1962 images from DS1 and ChestX-ray14, respectively. Reference standards were defined by radiologist-adjudicated image review. Performance was evaluated by area under the receiver operating characteristic curve analysis, sensitivity, specificity, and positive predictive value. Four radiologists reviewed test set images for performance comparison. Inverse probability weighting was applied to DS1 to account for positive radiograph enrichment and estimate population-level performance.ResultsIn DS1, population-adjusted areas under the receiver operating characteristic curve for pneumothorax, nodule or mass, airspace opacity, and fracture were, respectively, 0.95 (95% confidence interval [CI]: 0.91, 0.99), 0.72 (95% CI: 0.66, 0.77), 0.91 (95% CI: 0.88, 0.93), and 0.86 (95% CI: 0.79, 0.92). With ChestX-ray14, areas under the receiver operating characteristic curve were 0.94 (95% CI: 0.93, 0.96), 0.91 (95% CI: 0.89, 0.93), 0.94 (95% CI: 0.93, 0.95), and 0.81 (95% CI: 0.75, 0.86), respectively.ConclusionExpert-level models for detecting clinically relevant chest radiograph findings were developed for this study by using adjudicated reference standards and with population-level performance estimation. Radiologist-adjudicated labels for 2412 ChestX-ray14 validation set images and 1962 test set images are provided.© RSNA, 2019Online supplemental material is available for this article.See also the editorial by Chang in this issue.</t>
  </si>
  <si>
    <t>A Deep Convolutional Neural Network With Performance Comparable to Radiologists for Differentiating Between Spinal Schwannoma and Meningioma</t>
  </si>
  <si>
    <t>STUDY DESIGN: Retrospective analysis of magnetic resonance imaging (MRI). OBJECTIVE: The aim of this study was to evaluate the performance of our convolutional neural network (CNN) in differentiating between spinal schwannoma and meningioma on MRI. We compared the performance of the CNN and that of two expert radiologists. SUMMARY OF BACKGROUND DATA: Preoperative discrimination between spinal schwannomas and meningiomas is crucial because different surgical procedures are required for their treatment. A deep-learning approach based on CNNs is gaining interest in the medical imaging field. METHODS: We retrospectively reviewed data from patients with spinal schwannoma and meningioma who had undergone MRI and tumor resection. There were 50 patients with schwannoma and 34 patients with meningioma. Sagittal T2-weighted magnetic resonance imaging (T2WI) and sagittal contrast-enhanced T1-weighted magnetic resonance imaging (T1WI) were used for the CNN training and validation. The deep learning framework Tensorflow was used to construct the CNN architecture. To evaluate the performance of the CNN, we plotted the receiver-operating characteristic (ROC) curve and calculated the area under the curve (AUC). We calculated and compared the sensitivity, specificity, and accuracy of the diagnosis by the CNN and two board-certified radiologists. RESULTS: . The AUC of ROC curves of the CNN based on T2WI and contrast-enhanced T1WI were 0.876 and 0.870, respectively. The sensitivity of the CNN based on T2WI was 78%; 100% for radiologist 1; and 95% for radiologist 2. The specificity was 82%, 26%, and 42%, respectively. The accuracy was 80%, 69%, and 73%, respectively. By contrast, the sensitivity of the CNN based on contrast-enhanced T1WI was 85%; 100% for radiologist 1; and 96% for radiologist 2. The specificity was 75%, 56, and 58%, respectively. The accuracy was 81%, 82%, and 81%, respectively. CONCLUSION: We have successfully differentiated spinal schwannomas and meningiomas using the CNN with high diagnostic accuracy comparable to that of experienced radiologists. LEVEL OF EVIDENCE: 4.</t>
  </si>
  <si>
    <t>S. Maki, T. Furuya, T. Horikoshi, H. Yokota, Y. Mori, J. Ota, Y. Kawasaki, T. Miyamoto, M. Norimoto, S. Okimatsu, Y. Shiga, K. Inage, S. Orita, H. Takahashi, H. Suyari, T. Uno and S. Ohtori</t>
  </si>
  <si>
    <t>Spine (Phila Pa 1976)</t>
  </si>
  <si>
    <t>Enhancement of Acoustic Microscopy Lateral Resolution: A Comparison Between Deep Learning and Two Deconvolution Methods</t>
  </si>
  <si>
    <t>Scanning acoustic microscopy (SAM) provides high-resolution images of biological tissues. Since higher transducer frequencies limit penetration depth, image resolution enhancement techniques could help in maintaining sufficient lateral resolution without sacrificing penetration depth. Compared with existing SAM research, this work introduces two novelties. First, deep learning (DL) is used to improve lateral resolution of 180-MHz SAM images, comparing it with two deconvolution-based approaches. Second, 316-MHz images are used as ground truth in order to quantitatively evaluate image resolution enhancement. The samples used were mouse and rat brain sections. The results demonstrate that DL can closely approximate ground truth (NRMSE = 0.056 and PSNR = 28.4 dB) even with a relatively limited training set (four images, each smaller than 1 mm ×1 mm). This study suggests the high potential of using DL as a single image superresolution method in SAM.</t>
  </si>
  <si>
    <t>Lumbar Vertebrae Synthetic Segmentation in Computed Tomography Images Using Hybrid Deep Generative Adversarial Networks</t>
  </si>
  <si>
    <t>The lumbar vertebrae segmentation in Computed tomography (CT) is challenging due to the scarcity of the labeled training data that we define as paired training data for the deep learning technique. Much of the available data is limited to the raw CT scans, unlabeled by radiologists. To handle the scarcity of labeled data, we utilized a hybrid training system by combining paired and unpaired training data and construct a hybrid deep segmentation generative adversarial network (Hybrid-SegGAN). We develop a total automatic approach for lumbar vertebrae segmentation in CT images using Hybrid-SegGAN for synthetic segmentation. Our network receives paired and unpaired data, discriminates between the two sets of data, and processes each through separate phases. We used CT images from 120 patients to demonstrate the performance of the proposed method and extensively evaluate the segmentation results against their ground truth by using 12 performance measures. The result analysis of the proposed method suggests its feasibility to improve the capabilities of deep learning segmentation without demanding the time-consuming annotation procedure for labeled and paired data.</t>
  </si>
  <si>
    <t>Can a Machine Learn from Radiologists' Visual Search Behaviour and Their Interpretation of Mammograms-a Deep-Learning Study</t>
  </si>
  <si>
    <t>Visual search behaviour and the interpretation of mammograms have been studied for errors in breast cancer detection. We aim to ascertain whether machine-learning models can learn about radiologists' attentional level and the interpretation of mammograms. We seek to determine whether these models are practical and feasible for use in training and teaching programmes. Eight radiologists of varying experience levels in reading mammograms reviewed 120 two-view digital mammography cases (59 cancers). Their search behaviour and decisions were captured using a head-mounted eye-tracking device and software allowing them to record their decisions. This information from radiologists was used to build an ensembled machine-learning model using top-down hierarchical deep convolution neural network. Separately, a model to determine type of missed cancer (search, perception or decision-making) was also built. Analysis and comparison of variants of these models using different convolution networks with and without transfer learning were also performed. Our ensembled deep-learning network architecture can be trained to learn about radiologists' attentional level and decisions. High accuracy (95%, p value ≅ 0 [better than dumb/random model]) and high agreement between true and predicted values (kappa = 0.83) in such modelling can be achieved. Transfer learning techniques improve by &lt; 10% with the performance of this model. We also show that spatial convolution neural networks are insufficient in determining the type of missed cancers. Ensembled hierarchical deep convolution machine-learning models are plausible in modelling radiologists' attentional level and their interpretation of mammograms. However, deep convolution networks fail to characterise the type of false-negative decisions.</t>
  </si>
  <si>
    <t>Validation of automated artificial intelligence segmentation of optical coherence tomography images</t>
  </si>
  <si>
    <t>PURPOSE: To benchmark the human and machine performance of spectral-domain (SD) and swept-source (SS) optical coherence tomography (OCT) image segmentation, i.e., pixel-wise classification, for the compartments vitreous, retina, choroid, sclera. METHODS: A convolutional neural network (CNN) was trained on OCT B-scan images annotated by a senior ground truth expert retina specialist to segment the posterior eye compartments. Independent benchmark data sets (30 SDOCT and 30 SSOCT) were manually segmented by three classes of graders with varying levels of ophthalmic proficiencies. Nine graders contributed to benchmark an additional 60 images in three consecutive runs. Inter-human and intra-human class agreement was measured and compared to the CNN results. RESULTS: The CNN training data consisted of a total of 6210 manually segmented images derived from 2070 B-scans (1046 SDOCT and 1024 SSOCT; 630 C-Scans). The CNN segmentation revealed a high agreement with all grader groups. For all compartments and groups, the mean Intersection over Union (IOU) score of CNN compartmentalization versus group graders' compartmentalization was higher than the mean score for intra-grader group comparison. CONCLUSION: The proposed deep learning segmentation algorithm (CNN) for automated eye compartment segmentation in OCT B-scans (SDOCT and SSOCT) is on par with manual segmentations by human graders.</t>
  </si>
  <si>
    <t>10.3390/s18092799</t>
  </si>
  <si>
    <t>Breast Cancer Detection Using Infrared Thermal Imaging and a Deep Learning Model</t>
  </si>
  <si>
    <t>Women's breasts are susceptible to developing cancer; this is supported by a recent study from 2016 showing that 2.8 million women worldwide had already been diagnosed with breast cancer that year. The medical care of a patient with breast cancer is costly and, given the cost and value of the preservation of the health of the citizen, the prevention of breast cancer has become a priority in public health. Over the past 20 years several techniques have been proposed for this purpose, such as mammography, which is frequently used for breast cancer diagnosis. However, false positives of mammography can occur in which the patient is diagnosed positive by another technique. Additionally, the potential side effects of using mammography may encourage patients and physicians to look for other diagnostic techniques. Our review of the literature first explored infrared digital imaging, which assumes that a basic thermal comparison between a healthy breast and a breast with cancer always shows an increase in thermal activity in the precancerous tissues and the areas surrounding developing breast cancer. Furthermore, through our research, we realized that a Computer-Aided Diagnostic (CAD) undertaken through infrared image processing could not be achieved without a model such as the well-known hemispheric model. The novel contribution of this paper is the production of a comparative study of several breast cancer detection techniques using powerful computer vision techniques and deep learning models.</t>
  </si>
  <si>
    <t>S. J. Mambou, P. Maresova, O. Krejcar, A. Selamat and K. Kuca</t>
  </si>
  <si>
    <t>Deep Q Learning Driven CT Pancreas Segmentation With Geometry-Aware U-Net</t>
  </si>
  <si>
    <t>The segmentation of pancreas is important for medical image analysis, yet it faces great challenges of class imbalance, background distractions, and non-rigid geometrical features. To address these difficulties, we introduce a deep Q network (DQN) driven approach with deformable U-Net to accurately segment the pancreas by explicitly interacting with contextual information and extract anisotropic features from pancreas. The DQN-based model learns a context-adaptive localization policy to produce a visually tightened and precise localization bounding box of the pancreas. Furthermore, deformable U-Net captures geometry-aware information of pancreas by learning geometrically deformable filters for feature extraction. The experiments on NIH dataset validate the effectiveness of the proposed framework in pancreas segmentation.</t>
  </si>
  <si>
    <t>Texture Analysis and Machine Learning for Detecting Myocardial Infarction in Noncontrast Low-Dose Computed Tomography: Unveiling the Invisible</t>
  </si>
  <si>
    <t>OBJECTIVES: The aim of this study was to test whether texture analysis and machine learning enable the detection of myocardial infarction (MI) on non-contrast-enhanced low radiation dose cardiac computed tomography (CCT) images. MATERIALS AND METHODS: In this institutional review board-approved retrospective study, we included non-contrast-enhanced electrocardiography-gated low radiation dose CCT image data (effective dose, 0.5 mSv) acquired for the purpose of calcium scoring of 27 patients with acute MI (9 female patients; mean age, 60 ± 12 years), 30 patients with chronic MI (8 female patients; mean age, 68 ± 13 years), and in 30 subjects (9 female patients; mean age, 44 ± 6 years) without cardiac abnormality, hereafter termed controls. Texture analysis of the left ventricle was performed using free-hand regions of interest, and texture features were classified twice (Model I: controls versus acute MI versus chronic MI; Model II: controls versus acute and chronic MI). For both classifications, 6 commonly used machine learning classifiers were used: decision tree C4.5 (J48), k-nearest neighbors, locally weighted learning, RandomForest, sequential minimal optimization, and an artificial neural network employing deep learning. In addition, 2 blinded, independent readers visually assessed noncontrast CCT images for the presence or absence of MI. RESULTS: In Model I, best classification results were obtained using the k-nearest neighbors classifier (sensitivity, 69%; specificity, 85%; false-positive rate, 0.15). In Model II, the best classification results were found with the locally weighted learning classification (sensitivity, 86%; specificity, 81%; false-positive rate, 0.19) with an area under the curve from receiver operating characteristics analysis of 0.78. In comparison, both readers were not able to identify MI in any of the noncontrast, low radiation dose CCT images. CONCLUSIONS: This study indicates the ability of texture analysis and machine learning in detecting MI on noncontrast low radiation dose CCT images being not visible for the radiologists' eye.</t>
  </si>
  <si>
    <t>M. Mannil, J. von Spiczak, R. Manka and H. Alkadhi</t>
  </si>
  <si>
    <t>Learning deformable registration of medical images with anatomical constraints</t>
  </si>
  <si>
    <t>Deformable image registration is a fundamental problem in the field of medical image analysis. During the last years, we have witnessed the advent of deep learning-based image registration methods which achieve state-of-the-art performance, and drastically reduce the required computational time. However, little work has been done regarding how can we encourage our models to produce not only accurate, but also anatomically plausible results, which is still an open question in the field. In this work, we argue that incorporating anatomical priors in the form of global constraints into the learning process of these models, will further improve their performance and boost the realism of the warped images after registration. We learn global non-linear representations of image anatomy using segmentation masks, and employ them to constraint the registration process. The proposed AC-RegNet architecture is evaluated in the context of chest X-ray image registration using three different datasets, where the high anatomical variability makes the task extremely challenging. Our experiments show that the proposed anatomically constrained registration model produces more realistic and accurate results than state-of-the-art methods, demonstrating the potential of this approach.</t>
  </si>
  <si>
    <t>Deep Learning Guided Partitioned Shape Model for Anterior Visual Pathway Segmentation</t>
  </si>
  <si>
    <t>Analysis of cranial nerve systems, such as the anterior visual pathway (AVP), from MRI sequences is challenging due to their thin long architecture, structural variations along the path, and low contrast with adjacent anatomic structures. Segmentation of a pathologic AVP (e.g., with low-grade gliomas) poses additional challenges. In this work, we propose a fully automated partitioned shape model segmentation mechanism for AVP steered by multiple MRI sequences and deep learning features. Employing deep learning feature representation, this framework presents a joint partitioned statistical shape model able to deal with healthy and pathological AVP. The deep learning assistance is particularly useful in the poor contrast regions, such as optic tracts and pathological areas. Our main contributions are: 1) a fast and robust shape localization method using conditional space deep learning, 2) a volumetric multiscale curvelet transform-based intensity normalization method for robust statistical model, and 3) optimally partitioned statistical shape and appearance models based on regional shape variations for greater local flexibility. Our method was evaluated on MRI sequences obtained from 165 pediatric subjects. A mean Dice similarity coefficient of 0.779 was obtained for the segmentation of the entire AVP (optic nerve only =0.791 ) using the leave-one-out validation. Results demonstrated that the proposed localized shape and sparse appearance-based learning approach significantly outperforms current state-of-the-art segmentation approaches and is as robust as the manual segmentation.</t>
  </si>
  <si>
    <t>A. Mansoor, J. J. Cerrolaza, R. Idrees, E. Biggs, M. A. Alsharid, R. A. Avery and M. G. Linguraru</t>
  </si>
  <si>
    <t>Marginal Shape Deep Learning: Applications to Pediatric Lung Field Segmentation</t>
  </si>
  <si>
    <t>Representation learning through deep learning (DL) architecture has shown tremendous potential for identification, localization, and texture classification in various medical imaging modalities. However, DL applications to segmentation of objects especially to deformable objects are rather limited and mostly restricted to pixel classification. In this work, we propose marginal shape deep learning (MaShDL), a framework that extends the application of DL to deformable shape segmentation by using deep classifiers to estimate the shape parameters. MaShDL combines the strength of statistical shape models with the automated feature learning architecture of DL. Unlike the iterative shape parameters estimation approach of classical shape models that often leads to a local minima, the proposed framework is robust to local minima optimization and illumination changes. Furthermore, since the direct application of DL framework to a multi-parameter estimation problem results in a very high complexity, our framework provides an excellent run-time performance solution by independently learning shape parameter classifiers in marginal eigenspaces in the decreasing order of variation. We evaluated MaShDL for segmenting the lung field from 314 normal and abnormal pediatric chest radiographs and obtained a mean Dice similarity coefficient of 0.927 using only the four highest modes of variation (compared to 0.888 with classical ASM(1) (p-value=0.01) using same configuration). To the best of our knowledge this is the first demonstration of using DL framework for parametrized shape learning for the delineation of deformable objects.</t>
  </si>
  <si>
    <t>A. Mansoor, J. J. Cerrolaza, G. Perez, E. Biggs, G. Nino and M. G. Linguraru</t>
  </si>
  <si>
    <t>Automatic tissue characterization of air trapping in chest radiographs using deep neural networks</t>
  </si>
  <si>
    <t>Significant progress has been made in recent years for computer-aided diagnosis of abnormal pulmonary textures from computed tomography (CT) images. Similar initiatives in chest radiographs (CXR), the common modality for pulmonary diagnosis, are much less developed. CXR are fast, cost effective and low-radiation solution to diagnosis over CT. However, the subtlety of textures in CXR makes them hard to discern even by trained eye. We explore the performance of deep learning abnormal tissue characterization from CXR. Prior studies have used CT imaging to characterize air trapping in subjects with pulmonary disease; however, the use of CT in children is not recommended mainly due to concerns pertaining to radiation dosage. In this work, we present a stacked autoencoder (SAE) deep learning architecture for automated tissue characterization of air-trapping from CXR. To our best knowledge this is the first study applying deep learning framework for the specific problem on 51 CXRs, an F-score of ≈ 76.5% and a strong correlation with the expert visual scoring (R=0.93, p =&lt;; 0.01) demonstrate the potential of the proposed method to characterization of air trapping.</t>
  </si>
  <si>
    <t>A. Mansoor, G. Perez, G. Nino and M. G. Linguraru</t>
  </si>
  <si>
    <t>Deep Learning with Skip Connection Attention for Choroid Layer Segmentation in OCT Images</t>
  </si>
  <si>
    <t>Since the thickness and shape of the choroid layer are indicators for the diagnosis of several ophthalmic diseases, the choroid layer segmentation is an important task. There exist many challenges in segmentation of the choroid layer. In this paper, in view of the lack of context information due to the ambiguous boundaries, and the subsequent inconsistent predictions of the same category targets ascribed to the lack of context information or the large regions, a novel Skip Connection Attention (SCA) module which is integrated into the U-Shape architecture is proposed to improve the precision of choroid layer segmentation in Optical Coherence Tomography (OCT) images. The main function of the SCA module is to capture the global context in the highest level to provide the decoder with stage-by-stage guidance, to extract more context information and generate more consistent predictions for the same class targets. By integrating the SCA module into the U-Net and CE-Net, we show that the module improves the accuracy of the choroid layer segmentation.</t>
  </si>
  <si>
    <t>Cell mitosis event analysis in phase contrast microscopy images using deep learning</t>
  </si>
  <si>
    <t>In this paper, we solve the problem of mitosis event localization and its stage localization in time-lapse phase-contrast microscopy images. Our method contains three steps: first, we formulate a Low-Rank Matrix Recovery (LRMR) model to find salient regions from microscopy images and extract candidate patch sequences, which potentially contain mitosis events; second, we classify each candidate patch sequence by our proposed Hierarchical Convolution Neural Network (HCNN) with visual appearance and motion cues; third, for the detected mitosis sequences, we further segment them into four temporal stages by our proposed Two-stream Bidirectional Long-Short Term Memory (TS-BLSTM). In the experiments, we validate our system (LRMR, HCNN, and TS-BLSTM) and evaluate the mitosis event localization and stage localization performance. The proposed method outperforms state-of-the-arts by achieving 99.2% precision and 98.0% recall for mitosis event localization and 0.62 frame error on average for mitosis stage localization in five challenging image sequences.</t>
  </si>
  <si>
    <t>Results of the 2016 International Skin Imaging Collaboration International Symposium on Biomedical Imaging challenge: Comparison of the accuracy of computer algorithms to dermatologists for the diagnosis of melanoma from dermoscopic images</t>
  </si>
  <si>
    <t>BACKGROUND: Computer vision may aid in melanoma detection. OBJECTIVE: We sought to compare melanoma diagnostic accuracy of computer algorithms to dermatologists using dermoscopic images. METHODS: We conducted a cross-sectional study using 100 randomly selected dermoscopic images (50 melanomas, 44 nevi, and 6 lentigines) from an international computer vision melanoma challenge dataset (n = 379), along with individual algorithm results from 25 teams. We used 5 methods (nonlearned and machine learning) to combine individual automated predictions into fusion algorithms. In a companion study, 8 dermatologists classified the lesions in the 100 images as either benign or malignant. RESULTS: The average sensitivity and specificity of dermatologists in classification was 82% and 59%. At 82% sensitivity, dermatologist specificity was similar to the top challenge algorithm (59% vs. 62%, P = .68) but lower than the best-performing fusion algorithm (59% vs. 76%, P = .02). Receiver operating characteristic area of the top fusion algorithm was greater than the mean receiver operating characteristic area of dermatologists (0.86 vs. 0.71, P = .001). LIMITATIONS: The dataset lacked the full spectrum of skin lesions encountered in clinical practice, particularly banal lesions. Readers and algorithms were not provided clinical data (eg, age or lesion history/symptoms). Results obtained using our study design cannot be extrapolated to clinical practice. CONCLUSION: Deep learning computer vision systems classified melanoma dermoscopy images with accuracy that exceeded some but not all dermatologists.</t>
  </si>
  <si>
    <t>M. A. Marchetti, N. C. F. Codella, S. W. Dusza, D. A. Gutman, B. Helba, A. Kalloo, N. Mishra, C. Carrera, M. E. Celebi, J. L. DeFazio, N. Jaimes, A. A. Marghoob, E. Quigley, A. Scope, O. Yélamos and A. C. Halpern</t>
  </si>
  <si>
    <t>Computer algorithms show potential for improving dermatologists' accuracy to diagnose cutaneous melanoma: Results of the International Skin Imaging Collaboration 2017</t>
  </si>
  <si>
    <t>BACKGROUND: Computer vision has promise in image-based cutaneous melanoma diagnosis but clinical utility is uncertain. OBJECTIVE: To determine if computer algorithms from an international melanoma detection challenge can improve dermatologists' accuracy in diagnosing melanoma. METHODS: In this cross-sectional study, we used 150 dermoscopy images (50 melanomas, 50 nevi, 50 seborrheic keratoses) from the test dataset of a melanoma detection challenge, along with algorithm results from 23 teams. Eight dermatologists and 9 dermatology residents classified dermoscopic lesion images in an online reader study and provided their confidence level. RESULTS: The top-ranked computer algorithm had an area under the receiver operating characteristic curve of 0.87, which was higher than that of the dermatologists (0.74) and residents (0.66) (P &lt; .001 for all comparisons). At the dermatologists' overall sensitivity in classification of 76.0%, the algorithm had a superior specificity (85.0% vs. 72.6%, P = .001). Imputation of computer algorithm classifications into dermatologist evaluations with low confidence ratings (26.6% of evaluations) increased dermatologist sensitivity from 76.0% to 80.8% and specificity from 72.6% to 72.8%. LIMITATIONS: Artificial study setting lacking the full spectrum of skin lesions as well as clinical metadata. CONCLUSION: Accumulating evidence suggests that deep neural networks can classify skin images of melanoma and its benign mimickers with high accuracy and potentially improve human performance.</t>
  </si>
  <si>
    <t>Deep Generative Adversarial Neural Networks for Compressive Sensing MRI</t>
  </si>
  <si>
    <t>Undersampled magnetic resonance image (MRI) reconstruction is typically an ill-posed linear inverse task. The time and resource intensive computations require tradeoffs between accuracy and speed. In addition, state-of-the-art compressed sensing (CS) analytics are not cognizant of the image diagnostic quality. To address these challenges, we propose a novel CS framework that uses generative adversarial networks (GAN) to model the (low-dimensional) manifold of high-quality MR images. Leveraging a mixture of least-squares (LS) GANs and pixel-wise l(1)/l(2) cost, a deep residual network with skip connections is trained as the generator that learns to remove the aliasing artifacts by projecting onto the image manifold. The LSGAN learns the texture details, while the l(1)/l(2) cost suppresses high-frequency noise. A discriminator network, which is a multilayer convolutional neural network (CNN), plays the role of a perceptual cost that is then jointly trained based on high-quality MR images to score the quality of retrieved images. In the operational phase, an initial aliased estimate (e.g., simply obtained by zero-filling) is propagated into the trained generator to output the desired reconstruction. This demands a very low computational overhead. Extensive evaluations are performed on a large contrast-enhanced MR dataset of pediatric patients. Images rated by expert radiologists corroborate that GANCS retrieves higher quality images with improved fine texture details compared with conventional Wavelet-based and dictionary-learning-based CS schemes as well as with deep-learning-based schemes using pixel-wise training. In addition, it offers reconstruction times of under a few milliseconds, which are two orders of magnitude faster than the current state-of-the-art CS-MRI schemes.</t>
  </si>
  <si>
    <t>Quantification of Retinal Nerve Fibre Layer Thickness on Optical Coherence Tomography with a Deep Learning Segmentation-Free Approach</t>
  </si>
  <si>
    <t>This study describes a segmentation-free deep learning (DL) algorithm for measuring retinal nerve fibre layer (RNFL) thickness on spectral-domain optical coherence tomography (SDOCT). The study included 25,285 B-scans from 1,338 eyes of 706 subjects. Training was done to predict RNFL thickness from raw unsegmented scans using conventional RNFL thickness measurements from good quality images as targets, forcing the DL algorithm to learn its own representation of RNFL. The algorithm was tested in three different sets: (1) images without segmentation errors or artefacts, (2) low-quality images with segmentation errors, and (3) images with other artefacts. In test set 1, segmentation-free RNFL predictions were highly correlated with conventional RNFL thickness (r = 0.983, P &lt; 0.001). In test set 2, segmentation-free predictions had higher correlation with the best available estimate (tests with good quality taken in the same date) compared to those from the conventional algorithm (r = 0.972 vs. r = 0.829, respectively; P &lt; 0.001). Segmentation-free predictions were also better in test set 3 (r = 0.940 vs. r = 0.640, P &lt; 0.001). In conclusion, a novel segmentation-free algorithm to extract RNFL thickness performed similarly to the conventional method in good quality images and better in images with errors or other artefacts.</t>
  </si>
  <si>
    <t>Systematic outperformance of 112 dermatologists in multiclass skin cancer image classification by convolutional neural networks</t>
  </si>
  <si>
    <t>BACKGROUND: Recently, convolutional neural networks (CNNs) systematically outperformed dermatologists in distinguishing dermoscopic melanoma and nevi images. However, such a binary classification does not reflect the clinical reality of skin cancer screenings in which multiple diagnoses need to be taken into account. METHODS: Using 11,444 dermoscopic images, which covered dermatologic diagnoses comprising the majority of commonly pigmented skin lesions commonly faced in skin cancer screenings, a CNN was trained through novel deep learning techniques. A test set of 300 biopsy-verified images was used to compare the classifier's performance with that of 112 dermatologists from 13 German university hospitals. The primary end-point was the correct classification of the different lesions into benign and malignant. The secondary end-point was the correct classification of the images into one of the five diagnostic categories. FINDINGS: Sensitivity and specificity of dermatologists for the primary end-point were 74.4% (95% confidence interval [CI]: 67.0-81.8%) and 59.8% (95% CI: 49.8-69.8%), respectively. At equal sensitivity, the algorithm achieved a specificity of 91.3% (95% CI: 85.5-97.1%). For the secondary end-point, the mean sensitivity and specificity of the dermatologists were at 56.5% (95% CI: 42.8-70.2%) and 89.2% (95% CI: 85.0-93.3%), respectively. At equal sensitivity, the algorithm achieved a specificity of 98.8%. Two-sided McNemar tests revealed significance for the primary end-point (p &lt; 0.001). For the secondary end-point, outperformance (p &lt; 0.001) was achieved except for basal cell carcinoma (on-par performance). INTERPRETATION: Our findings show that automated classification of dermoscopic melanoma and nevi images is extendable to a multiclass classification problem, thus better reflecting clinical differential diagnoses, while still outperforming dermatologists at a significant level (p &lt; 0.001).</t>
  </si>
  <si>
    <t>FLImBrush: dynamic visualization of intraoperative free-hand fiber-based fluorescence lifetime imaging</t>
  </si>
  <si>
    <t>A free-hand scanning approach to medical imaging allows for flexible, lightweight probes to image intricate anatomies for modalities such as fluorescence lifetime imaging (FLIm), optical coherence tomography (OCT) and ultrasound. While very promising, this approach faces several key challenges including tissue motion during imaging, varying lighting conditions in the surgical field, and sparse sampling of the tissue surface. These challenges limit the coregistration accuracy and interpretability of the acquired imaging data. Here we report FLImBrush as a robust method for the localization and visualization of intraoperative free-hand fiber optic fluorescence lifetime imaging (FLIm). FLImBrush builds upon an existing method while employing deep learning-based image segmentation, block-matching based motion correction, and interpolation-based visualization to address the aforementioned challenges. Current results demonstrate that FLImBrush can provide accurate localization of FLIm point-measurements while producing interpretable and complete visualizations of FLIm data acquired from a tissue surface. Each of the main processing steps was shown to be capable of real-time processing (&gt; 30 frames per second), highlighting the feasibility of FLImBrush for intraoperative imaging and surgical guidance. Current findings show the feasibility of integrating FLImBrush into a range of surgical applications including cancer margins assessment during head and neck surgery.</t>
  </si>
  <si>
    <t>Deep Learning Global Glomerulosclerosis in Transplant Kidney Frozen Sections</t>
  </si>
  <si>
    <t>Transplantable kidneys are in very limited supply. Accurate viability assessment prior to transplantation could minimize organ discard. Rapid and accurate evaluation of intra-operative donor kidney biopsies is essential for determining which kidneys are eligible for transplantation. The criterion for accepting or rejecting donor kidneys relies heavily on pathologist determination of the percent of glomeruli (determined from a frozen section) that are normal and sclerotic. This percentage is a critical measurement that correlates with transplant outcome. Inter- and intra-observer variability in donor biopsy evaluation is, however, significant. An automated method for determination of percent global glomerulosclerosis could prove useful in decreasing evaluation variability, increasing throughput, and easing the burden on pathologists. Here, we describe the development of a deep learning model that identifies and classifies non-sclerosed and sclerosed glomeruli in whole-slide images of donor kidney frozen section biopsies. This model extends a convolutional neural network (CNN) pre-trained on a large database of digital images. The extended model, when trained on just 48 whole slide images, exhibits slide-level evaluation performance on par with expert renal pathologists. Encouragingly, the model's performance is robust to slide preparation artifacts associated with frozen section preparation. The model substantially outperforms a model trained on image patches of isolated glomeruli, in terms of both accuracy and speed. The methodology overcomes the technical challenge of applying a pretrained CNN bottleneck model to whole-slide image classification. The traditional patch-based approach, while exhibiting deceptively good performance classifying isolated patches, does not translate successfully to whole-slide image segmentation in this setting. As the first model reported that identifies and classifies normal and sclerotic glomeruli in frozen kidney sections, and thus the first model reported in the literature relevant to kidney transplantation, it may become an essential part of donor kidney biopsy evaluation in the clinical setting.</t>
  </si>
  <si>
    <t>J. N. Marsh, M. K. Matlock, S. Kudose, T. C. Liu, T. S. Stappenbeck, J. P. Gaut and S. J. Swamidass</t>
  </si>
  <si>
    <t>The reliability of a deep learning model in clinical out-of-distribution MRI data: A multicohort study</t>
  </si>
  <si>
    <t>Deep learning (DL) methods have in recent years yielded impressive results in medical imaging, with the potential to function as clinical aid to radiologists. However, DL models in medical imaging are often trained on public research cohorts with images acquired with a single scanner or with strict protocol harmonization, which is not representative of a clinical setting. The aim of this study was to investigate how well a DL model performs in unseen clinical datasets-collected with different scanners, protocols and disease populations-and whether more heterogeneous training data improves generalization. In total, 3117 MRI scans of brains from multiple dementia research cohorts and memory clinics, that had been visually rated by a neuroradiologist according to Scheltens' scale of medial temporal atrophy (MTA), were included in this study. By training multiple versions of a convolutional neural network on different subsets of this data to predict MTA ratings, we assessed the impact of including images from a wider distribution during training had on performance in external memory clinic data. Our results showed that our model generalized well to datasets acquired with similar protocols as the training data, but substantially worse in clinical cohorts with visibly different tissue contrasts in the images. This implies that future DL studies investigating performance in out-of-distribution (OOD) MRI data need to assess multiple external cohorts for reliable results. Further, by including data from a wider range of scanners and protocols the performance improved in OOD data, which suggests that more heterogeneous training data makes the model generalize better. To conclude, this is the most comprehensive study to date investigating the domain shift in deep learning on MRI data, and we advocate rigorous evaluation of DL models on clinical data prior to being certified for deployment.</t>
  </si>
  <si>
    <t>Convolutional Neural Networks for Neuroimaging in Parkinson's Disease: Is Preprocessing Needed?</t>
  </si>
  <si>
    <t>Spatial and intensity normalizations are nowadays a prerequisite for neuroimaging analysis. Influenced by voxel-wise and other univariate comparisons, where these corrections are key, they are commonly applied to any type of analysis and imaging modalities. Nuclear imaging modalities such as PET-FDG or FP-CIT SPECT, a common modality used in Parkinson's disease diagnosis, are especially dependent on intensity normalization. However, these steps are computationally expensive and furthermore, they may introduce deformations in the images, altering the information contained in them. Convolutional neural networks (CNNs), for their part, introduce position invariance to pattern recognition, and have been proven to classify objects regardless of their orientation, size, angle, etc. Therefore, a question arises: how well can CNNs account for spatial and intensity differences when analyzing nuclear brain imaging? Are spatial and intensity normalizations still needed? To answer this question, we have trained four different CNN models based on well-established architectures, using or not different spatial and intensity normalization preprocessings. The results show that a sufficiently complex model such as our three-dimensional version of the ALEXNET can effectively account for spatial differences, achieving a diagnosis accuracy of 94.1% with an area under the ROC curve of 0.984. The visualization of the differences via saliency maps shows that these models are correctly finding patterns that match those found in the literature, without the need of applying any complex spatial normalization procedure. However, the intensity normalization - and its type - is revealed as very influential in the results and accuracy of the trained model, and therefore must be well accounted.</t>
  </si>
  <si>
    <t>F. J. Martinez-Murcia, J. M. Górriz, J. Ramírez and A. Ortiz</t>
  </si>
  <si>
    <t>Studying the Manifold Structure of Alzheimer's Disease: A Deep Learning Approach Using Convolutional Autoencoders</t>
  </si>
  <si>
    <t>Many classical machine learning techniques have been used to explore Alzheimer's disease (AD), evolving from image decomposition techniques such as principal component analysis toward higher complexity, non-linear decomposition algorithms. With the arrival of the deep learning paradigm, it has become possible to extract high-level abstract features directly from MRI images that internally describe the distribution of data in low-dimensional manifolds. In this work, we try a new exploratory data analysis of AD based on deep convolutional autoencoders. We aim at finding links between cognitive symptoms and the underlying neurodegeneration process by fusing the information of neuropsychological test outcomes, diagnoses, and other clinical data with the imaging features extracted solely via a data-driven decomposition of MRI. The distribution of the extracted features in different combinations is then analyzed and visualized using regression and classification analysis, and the influence of each coordinate of the autoencoder manifold over the brain is estimated. The imaging-derived markers could then predict clinical variables with correlations above 0.6 in the case of neuropsychological evaluation variables such as the MMSE or the ADAS11 scores, achieving a classification accuracy over 80% for the diagnosis of AD.</t>
  </si>
  <si>
    <t>Groupwise Non-Rigid Registration with Deep Learning: An Affordable Solution Applied to 2D Cardiac Cine MRI Reconstruction</t>
  </si>
  <si>
    <t>Groupwise image (GW) registration is customarily used for subsequent processing in medical imaging. However, it is computationally expensive due to repeated calculation of transformations and gradients. In this paper, we propose a deep learning (DL) architecture that achieves GW elastic registration of a 2D dynamic sequence on an affordable average GPU. Our solution, referred to as dGW, is a simplified version of the well-known U-net. In our GW solution, the image that the other images are registered to, referred to in the paper as template image, is iteratively obtained together with the registered images. Design and evaluation have been carried out using 2D cine cardiac MR slices from 2 databases respectively consisting of 89 and 41 subjects. The first database was used for training and validation with 66.6-33.3% split. The second one was used for validation (50%) and testing (50%). Additional network hyperparameters, which are-in essence-those that control the transformation smoothness degree, are obtained by means of a forward selection procedure. Our results show a 9-fold runtime reduction with respect to an optimization-based implementation; in addition, making use of the well-known structural similarity (SSIM) index we have obtained significative differences with dGW with respect to an alternative DL solution based on Voxelmorph.</t>
  </si>
  <si>
    <t>10.1093/neuros/nyz286</t>
  </si>
  <si>
    <t>Sensor Modalities for Brain-Computer Interface Technology: A Comprehensive Literature Review</t>
  </si>
  <si>
    <t>Brain-computer interface (BCI) technology is rapidly developing and changing the paradigm of neurorestoration by linking cortical activity with control of an external effector to provide patients with tangible improvements in their ability to interact with the environment. The sensor component of a BCI circuit dictates the resolution of brain pattern recognition and therefore plays an integral role in the technology. Several sensor modalities are currently in use for BCI applications and are broadly either electrode-based or functional neuroimaging-based. Sensors vary in their inherent spatial and temporal resolutions, as well as in practical aspects such as invasiveness, portability, and maintenance. Hybrid BCI systems with multimodal sensory inputs represent a promising development in the field allowing for complimentary function. Artificial intelligence and deep learning algorithms have been applied to BCI systems to achieve faster and more accurate classifications of sensory input and improve user performance in various tasks. Neurofeedback is an important advancement in the field that has been implemented in several types of BCI systems by showing users a real-time display of their recorded brain activity during a task to facilitate their control over their own cortical activity. In this way, neurofeedback has improved BCI classification and enhanced user control over BCI output. Taken together, BCI systems have progressed significantly in recent years in terms of accuracy, speed, and communication. Understanding the sensory components of a BCI is essential for neurosurgeons and clinicians as they help advance this technology in the clinical setting.</t>
  </si>
  <si>
    <t>Neurosurgery</t>
  </si>
  <si>
    <t>Deep learning to diagnose cardiac amyloidosis from cardiovascular magnetic resonance</t>
  </si>
  <si>
    <t>BACKGROUND: Cardiovascular magnetic resonance (CMR) is part of the diagnostic work-up for cardiac amyloidosis (CA). Deep learning (DL) is an application of artificial intelligence that may allow to automatically analyze CMR findings and establish the likelihood of CA. METHODS: 1.5 T CMR was performed in 206 subjects with suspected CA (n = 100, 49% with unexplained left ventricular (LV) hypertrophy; n = 106, 51% with blood dyscrasia and suspected light-chain amyloidosis). Patients were randomly assigned to the training (n = 134, 65%), validation (n = 30, 15%), and testing subgroups (n = 42, 20%). Short axis, 2-chamber, 4-chamber late gadolinium enhancement (LGE) images were evaluated by 3 networks (DL algorithms). The tags amyloidosis present or absent were attributed when the average probability of CA from the 3 networks was ≥ 50% or &lt; 50%, respectively. The DL strategy was compared to a machine learning (ML) algorithm considering all manually extracted features (LV volumes, mass and function, LGE pattern, early blood-pool darkening, pericardial and pleural effusion, etc.), to reproduce exam reading by an experienced operator. RESULTS: The DL strategy displayed good diagnostic accuracy (88%), with an area under the curve (AUC) of 0.982. The precision (positive predictive value), recall score (sensitivity), and F1 score (a measure of test accuracy) were 83%, 95%, and 89% respectively. A ML algorithm considering all CMR features had a similar diagnostic yield to DL strategy (AUC 0.952 vs. 0.982; p = 0.39). CONCLUSIONS: A DL approach evaluating LGE acquisitions displayed a similar diagnostic performance for CA to a ML-based approach, which simulates CMR reading by experienced operators.</t>
  </si>
  <si>
    <t>Extending Supervoxel-based Abnormal Brain Asymmetry Detection to the Native Image Space</t>
  </si>
  <si>
    <t>Most neurological diseases are associated with abnormal brain asymmetries. Recent advances in automatic unsupervised techniques model normal brain asymmetries from healthy subjects only and treat anomalies as outliers. Outlier detection is usually done in a common standard coordinate space that limits its usability. To alleviate the problem, we extend a recent fully unsupervised supervoxel-based approach (SAAD) for abnormal asymmetry detection in the native image space of MR brain images. Experimental results using our new method, called N-SAAD, show that it can achieve higher accuracy in detection with considerably less false positives than a method based on unsupervised deep learning for a large set of MR-T1 images.</t>
  </si>
  <si>
    <t>10.15586/computationalbiology.2019.ch3</t>
  </si>
  <si>
    <t>Deep Learning in Omics Data Analysis and Precision Medicine</t>
  </si>
  <si>
    <t>The rise of omics techniques has resulted in an explosion of molecular data in modern biomedical research. Together with information from medical images and clinical data, the field of omics has driven the implementation of personalized medicine. Biomedical and omics datasets are complex and heterogeneous, and extracting meaningful knowledge from this vast amount of information is by far the most important challenge for bioinformatics and machine learning researchers. In this context, there is an increasing interest in the potential of deep learning (DL) methods to create predictive models and to identify complex patterns from these large datasets. This chapter provides an overview of the main applications of DL methods in biomedical research, with focus on omics data analysis and precision medicine applications. DL algorithms and the most popular architectures are introduced first. This is followed by a review of some of the main applications and problems approached by DL in omics data and medical image analysis. Finally, implementations for improving the diagnosis, treatment, and classification of complex diseases are discussed.</t>
  </si>
  <si>
    <t>Codon Publications</t>
  </si>
  <si>
    <t>Copyright: The Authors.</t>
  </si>
  <si>
    <t>Computational Biology</t>
  </si>
  <si>
    <t>Comparison of medical image classification accuracy among three machine learning methods</t>
  </si>
  <si>
    <t>BACKGROUND: Low-quality medical images may influence the accuracy of the machine learning process. OBJECTIVE: This study was undertaken to compare accuracy of medical image classification among machine learning methods, as classification is a basic aspect of clinical image inspection. METHODS: Three types of machine learning methods were used, which include Support Vector Machine (SVM), Artificial Neural Network (ANN), and Convolution Neural Network (CNN). To investigate changes in accuracy related to image quality, we constructed a single dataset using two different file formats of DICOM (Digital Imaging and Communications in Medicine) and JPEG (Joint Photographic Experts Group). RESULTS: The JPEG format contains less color information and data capacity than the DICOM format. CNN classification was accurate for both datasets, whereas SVM and ANN accuracy decreased with the loss of data from DICOM to JPEG formats. CONCLUSIONS: CNN is more accurate than conventional machine learning methods that utilize the manual feature extraction.</t>
  </si>
  <si>
    <t>T. Maruyama, N. Hayashi, Y. Sato, S. Hyuga, Y. Wakayama, H. Watanabe, A. Ogura and T. Ogura</t>
  </si>
  <si>
    <t>Alzheimer's disease diagnosis from diffusion tensor images using convolutional neural networks</t>
  </si>
  <si>
    <t>Machine learning algorithms are currently being implemented in an escalating manner to classify and/or predict the onset of some neurodegenerative diseases; including Alzheimer's Disease (AD); this could be attributed to the fact of the abundance of data and powerful computers. The objective of this work was to deliver a robust classification system for AD and Mild Cognitive Impairment (MCI) against healthy controls (HC) in a low-cost network in terms of shallow architecture and processing. In this study, the dataset included was downloaded from the Alzheimer's disease neuroimaging initiative (ADNI). The classification methodology implemented was the convolutional neural network (CNN), where the diffusion maps, and gray-matter (GM) volumes were the input images. The number of scans included was 185, 106, and 115 for HC, MCI and AD respectively. Ten-fold cross-validation scheme was adopted and the stacked mean diffusivity (MD) and GM volume produced an AUC of 0.94 and 0.84, an accuracy of 93.5% and 79.6%, a sensitivity of 92.5% and 62.7%, and a specificity of 93.9% and 89% for AD/HC and MCI/HC classification respectively. This work elucidates the impact of incorporating data from different imaging modalities; i.e. structural Magnetic Resonance Imaging (MRI) and Diffusion Tensor Imaging (DTI), where deep learning was employed for the aim of classification. To the best of our knowledge, this is the first study assessing the impact of having more than one scan per subject and propose the proper maneuver to confirm the robustness of the system. The results were competitive among the existing literature, which paves the way for improving medications that could slow down the progress of the AD or prevent it.</t>
  </si>
  <si>
    <t>Background and ObjectivesOver the last decade, Deep Learning (DL) has revolutionized data analysis in many areas, including medical imaging. However, there is a bottleneck in the advancement of DL in the surgery field, which can be seen in a shortage of large-scale data, which in turn may be attributed to the lack of a structured and standardized methodology for storing and analyzing surgical images in clinical centres. Furthermore, accurate annotations manually added are expensive and time consuming. A great help can come from the synthesis of artificial images; in this context, in the latest years, the use of Generative Adversarial Neural Networks (GANs) achieved promising results in obtaining photo-realistic images. MethodsIn this study, a method for Minimally Invasive Surgery (MIS) image synthesis is proposed. To this aim, the generative adversarial network pix2pix is trained to generate paired annotated MIS images by transforming rough segmentation of surgical instruments and tissues into realistic images. An additional regularization term was added to the original optimization problem, in order to enhance realism of surgical tools with respect to the background. Results Quantitative and qualitative (i.e., human-based) evaluations of generated images have been carried out in order to assess the effectiveness of the method. ConclusionsExperimental results show that the proposed method is actually able to translate MIS segmentations to realistic MIS images, which can in turn be used to augment existing data sets and help at overcoming the lack of useful images; this allows physicians and algorithms to take advantage from new annotated instances for their training.</t>
  </si>
  <si>
    <t>Computer-Assisted Decision Support System in Pulmonary Cancer detection and stage classification on CT images</t>
  </si>
  <si>
    <t>Pulmonary cancer is considered as one of the major causes of death worldwide. For the detection of lung cancer, computer-assisted diagnosis (CADx) systems have been designed. Internet-of-Things (IoT) has enabled ubiquitous internet access to biomedical datasets and techniques; in result, the progress in CADx is significant. Unlike the conventional CADx, deep learning techniques have the basic advantage of an automatic exploitation feature as they have the ability to learn mid and high level image representations. We proposed a Computer-Assisted Decision Support System in Pulmonary Cancer by using the novel deep learning based model and metastasis information obtained from MBAN (Medical Body Area Network). The proposed model, DFCNet, is based on the deep fully convolutional neural network (FCNN) which is used for classification of each detected pulmonary nodule into four lung cancer stages. The performance of proposed work is evaluated on different datasets with varying scan conditions. Comparison of proposed classifier is done with the existing CNN techniques. Overall accuracy of CNN and DFCNet was 77.6% and 84.58%, respectively. Experimental results illustrate the effectiveness of proposed method for the detection and classification of lung cancer nodules. These results demonstrate the potential for the proposed technique in helping the radiologists in improving nodule detection accuracy with efficiency.</t>
  </si>
  <si>
    <t>A. Masood, B. Sheng, P. Li, X. Hou, X. Wei, J. Qin and D. Feng</t>
  </si>
  <si>
    <t>Adipose Tissue Segmentation in Unlabeled Abdomen MRI using Cross Modality Domain Adaptation</t>
  </si>
  <si>
    <t>Abdominal fat quantification is critical since multiple vital organs are located within this region. Although computed tomography (CT) is a highly sensitive modality to segment body fat, it involves ionizing radiations which makes magnetic resonance imaging (MRI) a preferable alternative for this purpose. Additionally, the superior soft tissue contrast in MRI could lead to more accurate results. Yet, it is highly labor intensive to segment fat in MRI scans. In this study, we propose an algorithm based on deep learning technique(s) to automatically quantify fat tissue from MR images through a cross modality adaptation. Our method does not require supervised labeling of MR scans, instead, we utilize a cycle generative adversarial network (C-GAN) to construct a pipeline that transforms the existing MR scans into their equivalent synthetic CT (s-CT) images where fat segmentation is relatively easier due to the descriptive nature of HU (hounsfield unit) in CT images. The fat segmentation results for MRI scans were evaluated by expert radiologist. Qualitative evaluation of our segmentation results shows average success score of 3.80/5 and 4.54/5 for visceral and subcutaneous fat segmentation in MR images(*).</t>
  </si>
  <si>
    <t>Dose evaluation of fast synthetic-CT generation using a generative adversarial network for general pelvis MR-only radiotherapy</t>
  </si>
  <si>
    <t>To enable magnetic resonance (MR)-only radiotherapy and facilitate modelling of radiation attenuation in humans, synthetic CT (sCT) images need to be generated. Considering the application of MR-guided radiotherapy and online adaptive replanning, sCT generation should occur within minutes. This work aims at assessing whether an existing deep learning network can rapidly generate sCT images for accurate MR-based dose calculations in the entire pelvis. A study was conducted on data of 91 patients with prostate (59), rectal (18) and cervical (14) cancer who underwent external beam radiotherapy acquiring both CT and MRI for patients' simulation. Dixon reconstructed water, fat and in-phase images obtained from a conventional dual gradient-recalled echo sequence were used to generate sCT images. A conditional generative adversarial network (cGAN) was trained in a paired fashion on 2D transverse slices of 32 prostate cancer patients. The trained network was tested on the remaining patients to generate sCT images. For 30 patients in the test set, dose recalculations of the clinical plan were performed on sCT images. Dose distributions were evaluated comparing voxel-based dose differences, gamma and dose-volume histogram (DVH) analysis. The sCT generation required 5.6 s and 21 s for a single patient volume on a GPU and CPU, respectively. On average, sCT images resulted in a higher dose to the target of maximum 0.3%. The average gamma pass rates using the 3%, 3 mm and 2%, 2 mm criteria were above 97 and 91%, respectively, for all volumes of interests considered. All DVH points calculated on sCT differed less than  ±2.5% from the corresponding points on CT. Results suggest that accurate MR-based dose calculation using sCT images generated with a cGAN trained on prostate cancer patients is feasible for the entire pelvis. The sCT generation was sufficiently fast for integration in an MR-guided radiotherapy workflow.</t>
  </si>
  <si>
    <t>M. Maspero, M. H. F. Savenije, A. M. Dinkla, P. R. Seevinck, M. P. W. Intven, I. M. Jurgenliemk-Schulz, L. G. W. Kerkmeijer and C. A. T. van den Berg</t>
  </si>
  <si>
    <t>Assessing the Accuracy of a Deep Learning Method to Risk Stratify Indeterminate Pulmonary Nodules</t>
  </si>
  <si>
    <t>Rationale: The management of indeterminate pulmonary nodules (IPNs) remains challenging, resulting in invasive procedures and delays in diagnosis and treatment. Strategies to decrease the rate of unnecessary invasive procedures and optimize surveillance regimens are needed.Objectives: To develop and validate a deep learning method to improve the management of IPNs.Methods: A Lung Cancer Prediction Convolutional Neural Network model was trained using computed tomography images of IPNs from the National Lung Screening Trial, internally validated, and externally tested on cohorts from two academic institutions.Measurements and Main Results: The areas under the receiver operating characteristic curve in the external validation cohorts were 83.5% (95% confidence interval [CI], 75.4-90.7%) and 91.9% (95% CI, 88.7-94.7%), compared with 78.1% (95% CI, 68.7-86.4%) and 81.9 (95% CI, 76.1-87.1%), respectively, for a commonly used clinical risk model for incidental nodules. Using 5% and 65% malignancy thresholds defining low- and high-risk categories, the overall net reclassifications in the validation cohorts for cancers and benign nodules compared with the Mayo model were 0.34 (Vanderbilt) and 0.30 (Oxford) as a rule-in test, and 0.33 (Vanderbilt) and 0.58 (Oxford) as a rule-out test. Compared with traditional risk prediction models, the Lung Cancer Prediction Convolutional Neural Network was associated with improved accuracy in predicting the likelihood of disease at each threshold of management and in our external validation cohorts.Conclusions: This study demonstrates that this deep learning algorithm can correctly reclassify IPNs into low- or high-risk categories in more than a third of cancers and benign nodules when compared with conventional risk models, potentially reducing the number of unnecessary invasive procedures and delays in diagnosis.</t>
  </si>
  <si>
    <t>Deep learning-based CAD schemes for the detection and classification of lung nodules from CT images: A survey</t>
  </si>
  <si>
    <t>BACKGROUND: Lung cancer is the most common cancer in the world. Computed tomography (CT) is the standard medical imaging modality for early lung nodule detection and diagnosis that improves patient's survival rate. Recently, deep learning algorithms, especially convolutional neural networks (CNNs), have become a preferred methodology for developing computer-aided detection and diagnosis (CAD) schemes of lung CT images. OBJECTIVE: Several CNN-based research projects have been initiated to design robust and efficient CAD schemes for the detection and classification of lung nodules. This paper reviews the recent works in this area and gives an insight into technical progress. METHODS: First, a brief overview of CNN models and their basic structures is presented in this investigation. Then, we provide an analytic comparison of the existing approaches to discover recent trend and upcoming challenges. We also introduce an objective description of both handcrafted and deep learning features, as well as the types of nodules, the medical imaging modalities, the widely used databases, and related works in the last three years. The articles presented in this work were selected from various databases. About 57% of reviewed articles published in the last year. RESULTS: Our analysis reveals that several methods achieved promising performance with high sensitivity rates ranging from 66% to 100% under the false-positive rates ranging from 1 to 15 per CT scan. It can be noted that CNN models have contributed to the accurate detection and early diagnosis of lung nodules. CONCLUSIONS: From the critical discussion and an outline for prospective directions, this survey provide researchers valuable information to master the deep learning concepts and to deepen their knowledge of the trend and latest techniques in developing CAD schemes of lung CT images.</t>
  </si>
  <si>
    <t>A bilinear convolutional neural network for lung nodules classification on CT images</t>
  </si>
  <si>
    <t>PURPOSE: Lung cancer is the most frequent cancer worldwide and is the leading cause of cancer-related deaths. Its early detection and treatment at the stage of a lung nodule improve the prognosis. In this study was proposed a new classification approach named bilinear convolutional neural network (BCNN) for the classification of lung nodules on CT images. METHODS: Convolutional neural network (CNN) is considered as the leading model in deep learning and is highly recommended for the design of computer-aided diagnosis systems thanks to its promising results on medical image analysis. The proposed BCNN scheme consists of two-stream CNNs (VGG16 and VGG19) as feature extractors followed by a support vector machine (SVM) classifier for false positive reduction. Series of experiments are performed by introducing the bilinear vector features extracted from three BCNN combinations into various types of SVMs that we adopted instead of the original softmax to determine the most suitable classifier for our study. RESULTS: The method performance was evaluated on 3186 images from the public LUNA16 database. We found that the BCNN [VGG16, VGG19] combination with and without SVM surpassed the [VGG16]2 and [VGG19]2 architectures, achieved an accuracy rate of 91.99% against 91.84% and 90.58%, respectively, and an area under the curve (AUC) rate of 95.9% against 94.8% and 94%, respectively. CONCLUSION: The proposed method improved the outcomes of conventional CNN-based architectures and showed promising and satisfying results, compared to other works, with an affordable complexity. We believe that the proposed BCNN can be used as an assessment tool for radiologists to make a precise analysis of lung nodules and an early diagnosis of lung cancers.</t>
  </si>
  <si>
    <t>Deep-learning Classifier With an Ultrawide-field Scanning Laser Ophthalmoscope Detects Glaucoma Visual Field Severity</t>
  </si>
  <si>
    <t>PURPOSE: To evaluate the accuracy of detecting glaucoma visual field defect severity using deep-learning (DL) classifier with an ultrawide-field scanning laser ophthalmoscope. METHODS: One eye of 982 open-angle glaucoma (OAG) patients and 417 healthy eyes were enrolled. We categorized glaucoma patients into 3 groups according to the glaucoma visual field damage (Humphrey Field Analyzer 24-2 program) [early; -6 dB (mean deviation) or better, moderate; between -6 and -12 dB, and severe as mean deviation of -12 dB or worse]. In total, 558 images (446 for training and 112 for grading) from early OAG patients, 203 images (162 for training and 41 for grading) from moderate OAG patients, 221 images (176 for training and 45 for grading) from severe OAG patients and 417 images (333 for training and 84 for grading) from normal subjects were analyzed using DL. The area under the receiver operating characteristic curve (AUC) was used to evaluate the accuracy after 100 trials. RESULTS: The mean AUC between normal versus all glaucoma patients was 0.872, the sensitivity was 81.3% and the specificity was 80.2%. In normal versus early OAG, mean AUC was 0.830, the sensitivity was 83.8% and the specificity was 75.3%. In normal versus moderate OAG, mean AUC was 0.864, sensitivity was 77.5%, and specificity was 90.2%. In normal versus severe OAG glaucoma mean AUC was 0.934, sensitivity was 90.9%, and specificity was 95.8%. CONCLUSIONS: Despite using an ultrawide-field scanning laser ophthalmoscope, DL can detect glaucoma characteristics and glaucoma visual field defect severity with high reliability.</t>
  </si>
  <si>
    <t>H. Masumoto, H. Tabuchi, S. Nakakura, N. Ishitobi, M. Miki and H. Enno</t>
  </si>
  <si>
    <t>Deep Learning Single-Frame and Multiframe Super-Resolution for Cardiac MRI</t>
  </si>
  <si>
    <t>Background Cardiac MRI is limited by long acquisition times, yet faster acquisition of smaller-matrix images reduces spatial detail. Deep learning (DL) might enable both faster acquisition and higher spatial detail via super-resolution. Purpose To explore the feasibility of using DL to enhance spatial detail from small-matrix MRI acquisitions and evaluate its performance against that of conventional image upscaling methods. Materials and Methods Short-axis cine cardiac MRI examinations performed between January 2012 and December 2018 at one institution were retrospectively collected for algorithm development and testing. Convolutional neural networks (CNNs), a form of DL, were trained to perform super resolution in image space by using synthetically generated low-resolution data. There were 70%, 20%, and 10% of examinations allocated to training, validation, and test sets, respectively. CNNs were compared against bicubic interpolation and Fourier-based zero padding by calculating the structural similarity index (SSIM) between high-resolution ground truth and each upscaling method. Means and standard deviations of the SSIM were reported, and statistical significance was determined by using the Wilcoxon signed-rank test. For evaluation of clinical performance, left ventricular volumes were measured, and statistical significance was determined by using the paired Student t test. Results For CNN training and retrospective analysis, 400 MRI scans from 367 patients (mean age, 48 years ± 18; 214 men) were included. All CNNs outperformed zero padding and bicubic interpolation at upsampling factors from two to 64 (P &lt; .001). CNNs outperformed zero padding on more than 99.2% of slices (9828 of 9907). In addition, 10 patients (mean age, 51 years ± 22; seven men) were prospectively recruited for super-resolution MRI. Super-resolved low-resolution images yielded left ventricular volumes comparable to those from full-resolution images (P &gt; .05), and super-resolved full-resolution images appeared to further enhance anatomic detail. Conclusion Deep learning outperformed conventional upscaling methods and recovered high-frequency spatial information. Although training was performed only on short-axis cardiac MRI examinations, the proposed strategy appeared to improve quality in other imaging planes. © RSNA, 2020 Online supplemental material is available for this article.</t>
  </si>
  <si>
    <t>MUC5B variant is associated with visually and quantitatively detected preclinical pulmonary fibrosis</t>
  </si>
  <si>
    <t>BACKGROUND: Relatives of patients with familial interstitial pneumonia (FIP) are at increased risk for pulmonary fibrosis. We assessed the prevalence and risk factors for preclinical pulmonary fibrosis (PrePF) in first-degree relatives of patients with FIP and determined the utility of deep learning in detecting PrePF on CT. METHODS: First-degree relatives of patients with FIP over 40 years of age who believed themselves to be unaffected by pulmonary fibrosis underwent CT scans of the chest. Images were visually reviewed, and a deep learning algorithm was used to quantify lung fibrosis. Genotyping for common idiopathic pulmonary fibrosis risk variants in MUC5B and TERT was performed. FINDINGS: In 494 relatives of patients with FIP from 263 families of patients with FIP, the prevalence of PrePF on visual CT evaluation was 15.6% (95% CI 12.6 to 19.0). Compared with visual CT evaluation, deep learning quantitative CT analysis had 84% sensitivity (95% CI 0.72 to 0.89) and 86% sensitivity (95% CI 0.83 to 0.89) for discriminating subjects with visual PrePF diagnosis. Subjects with PrePF were older (65.9, SD 10.1 years) than subjects without fibrosis (55.8 SD 8.7 years), more likely to be male (49% vs 37%), more likely to have smoked (44% vs 27%) and more likely to have the MUC5B promoter variant rs35705950 (minor allele frequency 0.29 vs 0.21). MUC5B variant carriers had higher quantitative CT fibrosis scores (mean difference of 0.36%), a difference that remains significant when controlling for age and sex. INTERPRETATION: PrePF is common in relatives of patients with FIP. Its prevalence increases with age and the presence of a common MUC5B promoter variant. Quantitative CT analysis can detect these imaging abnormalities.</t>
  </si>
  <si>
    <t>Thorax</t>
  </si>
  <si>
    <t>Deep Learning based Quantification of Ovary and Follicles using 3D Transvaginal Ultrasound in Assisted Reproduction</t>
  </si>
  <si>
    <t>Quantification of ovarian and follicular volume and follicle count are performed in clinical practice for diagnosis and management in assisted reproduction. Ovarian volume and Antral Follicle Count (AFC) are typically tracked over the ovulation cycle. Volumetric analysis of ovary and follicle is manual and largely operator dependent. In this manuscript, we have proposed a deep-learning method for automatic simultaneous segmentation of ovary and follicles in 3D Transvaginal Ultrasound (TVUS), namely S-Net. The proposed loss function restricts false detection of follicles outside the ovary. Additionally, we have used multi-layered loss to provide deep supervision for training the network. S-Net is optimized for inference time and memory while utilizing 3D context in the 2D deep-learning network. 66 3D TVUS volumes (13,200 2D image slices) were acquired from 66 subjects in this Institutional Review Board (IRB) approved study. The segmentation framework provides approximately 92% and 87% average DICE overlap with the ground truth annotations for ovary and follicles, respectively. We have obtained state-of-the-art results with a detection rate of 88%, 91% and 98% for follicles of size 2-4mm, 4-12mm and &gt;12mm.</t>
  </si>
  <si>
    <t>Personal identification with orthopantomography using simple convolutional neural networks: a preliminary study</t>
  </si>
  <si>
    <t>Forensic dental examination has played an important role in personal identification (PI). However, PI has essentially been based on traditional visual comparisons of ante- and postmortem dental records and radiographs, and there is no globally accepted PI method based on digital technology. Although many effective image recognition models have been developed, they have been underutilized in forensic odontology. The aim of this study was to verify the usefulness of PI with paired orthopantomographs obtained in a relatively short period using convolutional neural network (CNN) technologies. Thirty pairs of orthopantomographs obtained on different days were analyzed in terms of the accuracy of dental PI based on six well-known CNN architectures: VGG16, ResNet50, Inception-v3, InceptionResNet-v2, Xception, and MobileNet-v2. Each model was trained and tested using paired orthopantomographs, and pretraining and fine-tuning transfer learning methods were validated. Higher validation accuracy was achieved with fine-tuning than with pretraining, and each architecture showed a detection accuracy of 80.0% or more. The VGG16 model achieved the highest accuracy (100.0%) with pretraining and with fine-tuning. This study demonstrated the usefulness of CNN for PI using small numbers of orthopantomographic images, and it also showed that VGG16 was the most useful of the six tested CNN architectures.</t>
  </si>
  <si>
    <t>Nonlinear Optics with Near-Infrared Excitation Enable Real-Time Quantitative Diagnosis of Human Cervical Cancers</t>
  </si>
  <si>
    <t>Histopathologic analysis through biopsy has been one of the most useful methods for the assessment of malignant neoplasms. However, some aspects of the analysis such as invasiveness, evaluation range, and turnaround time from biopsy to report could be improved. Here, we report a novel method for visualizing human cervical tissue three-dimensionally, without biopsy, fixation, or staining, and with sufficient quality for histologic diagnosis. Near-infrared excitation and nonlinear optics were employed to visualize unstained human epithelial tissues of the cervix uteri by constructing images with third-harmonic generation (THG) and second-harmonic generation (SHG). THG images enabled evaluation of nuclear morphology in a quantitative manner with six parameters after image analysis using deep learning. It was also possible to quantitatively assess intraepithelial fibrotic changes based on SHG images and another deep learning analysis. Using each analytical procedure alone, normal and cancerous tissue were classified quantitatively with an AUC ≥0.92. Moreover, a combinatory analysis of THG and SHG images with a machine learning algorithm allowed accurate classification of three-dimensional image files of normal tissue, intraepithelial neoplasia, and invasive carcinoma with a weighted kappa coefficient of 0.86. Our method enables real-time noninvasive diagnosis of cervical lesions, thus constituting a potential tool to dramatically change early detection. SIGNIFICANCE: This study proposes a novel method for diagnosing cancer using nonlinear optics, which enables visualization of histologic features of living tissues without the need for any biopsy or staining dye.</t>
  </si>
  <si>
    <t>Prediction of lower-grade glioma molecular subtypes using deep learning</t>
  </si>
  <si>
    <t>INTRODUCTION: It is useful to know the molecular subtype of lower-grade gliomas (LGG) when deciding on a treatment strategy. This study aims to diagnose this preoperatively. METHODS: A deep learning model was developed to predict the 3-group molecular subtype using multimodal data including magnetic resonance imaging (MRI), positron emission tomography (PET), and computed tomography (CT). The performance was evaluated using leave-one-out cross validation with a dataset containing information from 217 LGG patients. RESULTS: The model performed best when the dataset contained MRI, PET, and CT data. The model could predict the molecular subtype with an accuracy of 96.6% for the training dataset and 68.7% for the test dataset. The model achieved test accuracies of 58.5%, 60.4%, and 59.4% when the dataset contained only MRI, MRI and PET, and MRI and CT data, respectively. The conventional method used to predict mutations in the isocitrate dehydrogenase (IDH) gene and the codeletion of chromosome arms 1p and 19q (1p/19q) sequentially had an overall accuracy of 65.9%. This is 2.8 percent point lower than the proposed method, which predicts the 3-group molecular subtype directly. CONCLUSIONS: A deep learning model was developed to diagnose the molecular subtype preoperatively based on multi-modality data in order to predict the 3-group classification directly. Cross-validation showed that the proposed model had an overall accuracy of 68.7% for the test dataset. This is the first model to double the expected value for a 3-group classification problem, when predicting the LGG molecular subtype.</t>
  </si>
  <si>
    <t>J Neurooncol</t>
  </si>
  <si>
    <t>Development and evaluation of automated ultrasonographic detection of bladder diameter for estimation of bladder urine volume</t>
  </si>
  <si>
    <t>Bladder urine volume has been estimated using an ellipsoid method based on triaxial measurements of the bladder extrapolated from two-dimensional ultrasound images. This study aimed to automate this process and to determine the accuracy of the automated estimation method for normal and small amounts of urine. A training set of 81 pairs of transverse and longitudinal ultrasound images were collected from healthy volunteers on a tablet-type ultrasound device, and an automatic detection tool was developed using them. The tool was evaluated using paired transverse/longitudinal ultrasound images from 27 other healthy volunteers. After imaging, the participants voided and their urine volume was measured. For determining accuracy, regression coefficients were calculated between estimated bladder volume and urine volume. Further, sensitivity and specificity for 50 and 100 ml bladder volume thresholds were evaluated. Data from 50 procedures were included. The regression coefficient was very similar between the automatic estimation (β = 0.99, R2 = 0.96) and manual estimation (β = 1.05, R2 = 0.97) methods. The sensitivity and specificity of the automatic estimation method were 88.5% and 100.0%, respectively, for 100 ml and were 94.1% and 100.0%, respectively, for 50 ml. The newly-developed automated tool accurately and reliably estimated bladder volume at two different volume thresholds of approximately 50 ml and 100 ml.</t>
  </si>
  <si>
    <t>Diagnosing Heart Failure from Chest X-Ray Images Using Deep Learning</t>
  </si>
  <si>
    <t>The development of deep learning technology has enabled machines to achieve high-level accuracy in interpreting medical images. While many previous studies have examined the detection of pulmonary nodules in chest X-rays using deep learning, the application of this technology to heart failure remains rare. In this paper, we investigated the performance of a deep learning algorithm in terms of diagnosing heart failure using images obtained from chest X-rays. We used 952 chest X-ray images from a labeled database published by the National Institutes of Health. Two cardiologists verified and relabeled a total of 260 normal and 378 heart failure images, with the remainder being discarded because they had been incorrectly labeled. Data augmentation and transfer learning were used to obtain an accuracy of 82% in diagnosing heart failure using the chest X-ray images. Furthermore, heatmap imaging allowed us to visualize decisions made by the machine. Deep learning can thus help support the diagnosis of heart failure using chest X-ray images.</t>
  </si>
  <si>
    <t>Int Heart J</t>
  </si>
  <si>
    <t>Reducing the U-Net size for practical scenarios: Virus recognition in electron microscopy images</t>
  </si>
  <si>
    <t>BACKGROUND AND OBJECTIVE: Convolutional neural networks (CNNs) offer human experts-like performance and in the same time they are faster and more consistent in their prediction. However, most of the proposed CNNs require an expensive state-of-the-art hardware which substantially limits their use in practical scenarios and commercial systems, especially for clinical, biomedical and other applications that require on-the-fly analysis. In this paper, we investigate the possibility of making CNNs lighter by parametrizing the architecture and decreasing the number of trainable weights of a popular CNN: U-Net. METHODS: In order to demonstrate that comparable results can be achieved with substantially less trainable weights than the original U-Net we used a challenging application of a pixel-wise virus classification in Transmission Electron Microscopy images with minimal annotations (i.e. consisting only of the virus particle centers or centerlines). We explored 4 U-Net hyper-parameters: the number of base feature maps, the feature maps multiplier, the number of the encoding-decoding levels and the number of feature maps in the last 2 convolutional layers. RESULTS: Our experiments lead to two main conclusions: 1) the architecture hyper-parameters are pivotal if less trainable weights are to be used, and 2) if there is no restriction on the trainable weights number using a deeper network generally gives better results. However, training larger networks takes longer, typically requires more data and such networks are also more prone to overfitting. Our best model achieved an accuracy of 82.2% which is similar to the original U-Net while using nearly 4 times less trainable weights (7.8 M in comparison to 31.0 M). We also present a network with  &lt; 2 M trainable weights that achieved an accuracy of 76.4%. CONCLUSIONS: The proposed U-Net hyper-parameter exploration can be adapted to other CNNs and other applications. It allows a comprehensive CNN architecture designing with the aim of a more efficient trainable weight use. Making the networks faster and lighter is crucial for their implementation in many practical applications. In addition, a lighter network ought to be less prone to over-fitting and hence generalize better.</t>
  </si>
  <si>
    <t>10.1016/j.clinimag.2017.11.007</t>
  </si>
  <si>
    <t>Artificial intelligence and deep learning - Radiology's next frontier?</t>
  </si>
  <si>
    <t>Tracing the use of computers in the radiology department from administrative functions through image acquisition, storage, and reporting, to early attempts at improved diagnosis, we begin to imagine possible new frontiers for their use in exam interpretation. Given their initially slow but ultimately substantial progress in the noninterpretive areas, we are left desiring and even expecting more in the interpretation realm. New technological advances may provide the next wave of progress and radiologists should be early adopters. Several potential applications are discussed and hopefully will serve to inspire future progress.</t>
  </si>
  <si>
    <t>10.1002/jmri.26534</t>
  </si>
  <si>
    <t>Deep learning in radiology: An overview of the concepts and a survey of the state of the art with focus on MRI</t>
  </si>
  <si>
    <t>Deep learning is a branch of artificial intelligence where networks of simple interconnected units are used to extract patterns from data in order to solve complex problems. Deep-learning algorithms have shown groundbreaking performance in a variety of sophisticated tasks, especially those related to images. They have often matched or exceeded human performance. Since the medical field of radiology mainly relies on extracting useful information from images, it is a very natural application area for deep learning, and research in this area has rapidly grown in recent years. In this article, we discuss the general context of radiology and opportunities for application of deep-learning algorithms. We also introduce basic concepts of deep learning, including convolutional neural networks. Then, we present a survey of the research in deep learning applied to radiology. We organize the studies by the types of specific tasks that they attempt to solve and review a broad range of deep-learning algorithms being utilized. Finally, we briefly discuss opportunities and challenges for incorporating deep learning in the radiology practice of the future. Level of Evidence: 3 Technical Efficacy: Stage 1 J. Magn. Reson. Imaging 2019;49:939-954.</t>
  </si>
  <si>
    <t>Use of artificial intelligence in computed tomography dose optimisation</t>
  </si>
  <si>
    <t>The field of artificial intelligence (AI) is transforming almost every aspect of modern society, including medical imaging. In computed tomography (CT), AI holds the promise of enabling further reductions in patient radiation dose through automation and optimisation of data acquisition processes, including patient positioning and acquisition parameter settings. Subsequent to data collection, optimisation of image reconstruction parameters, advanced reconstruction algorithms, and image denoising methods improve several aspects of image quality, especially in reducing image noise and enabling the use of lower radiation doses for data acquisition. Finally, AI-based methods to automatically segment organs or detect and characterise pathology have been translated out of the research environment and into clinical practice to bring automation, increased sensitivity, and new clinical applications to patient care, ultimately increasing the benefit to the patient from medically justified CT examinations. In summary, since the introduction of CT, a large number of technical advances have enabled increased clinical benefit and decreased patient risk, not only by reducing radiation dose, but also by reducing the likelihood of errors in the performance and interpretation of medically justified CT examinations.</t>
  </si>
  <si>
    <t>Ann ICRP</t>
  </si>
  <si>
    <t>Convolutional Neural Network-Based Automated Segmentation of the Spinal Cord and Contusion Injury: Deep Learning Biomarker Correlates of Motor Impairment in Acute Spinal Cord Injury</t>
  </si>
  <si>
    <t>BACKGROUND AND PURPOSE: Our aim was to use 2D convolutional neural networks for automatic segmentation of the spinal cord and traumatic contusion injury from axial T2-weighted MR imaging in a cohort of patients with acute spinal cord injury. MATERIALS AND METHODS: Forty-seven patients who underwent 3T MR imaging within 24 hours of spinal cord injury were included. We developed an image-analysis pipeline integrating 2D convolutional neural networks for whole spinal cord and intramedullary spinal cord lesion segmentation. Linear mixed modeling was used to compare test segmentation results between our spinal cord injury convolutional neural network (Brain and Spinal Cord Injury Center segmentation) and current state-of-the-art methods. Volumes of segmented lesions were then used in a linear regression analysis to determine associations with motor scores. RESULTS: Compared with manual labeling, the average test set Dice coefficient for the Brain and Spinal Cord Injury Center segmentation model was 0.93 for spinal cord segmentation versus 0.80 for PropSeg and 0.90 for DeepSeg (both components of the Spinal Cord Toolbox). Linear mixed modeling showed a significant difference between Brain and Spinal Cord Injury Center segmentation compared with PropSeg (P &lt; .001) and DeepSeg (P &lt; .05). Brain and Spinal Cord Injury Center segmentation showed significantly better adaptability to damaged areas compared with PropSeg (P &lt; .001) and DeepSeg (P &lt; .02). The contusion injury volumes based on automated segmentation were significantly associated with motor scores at admission (P = .002) and discharge (P = .009). CONCLUSIONS: Brain and Spinal Cord Injury Center segmentation of the spinal cord compares favorably with available segmentation tools in a population with acute spinal cord injury. Volumes of injury derived from automated lesion segmentation with Brain and Spinal Cord Injury Center segmentation correlate with measures of motor impairment in the acute phase. Targeted convolutional neural network training in acute spinal cord injury enhances algorithm performance for this patient population and provides clinically relevant metrics of cord injury.</t>
  </si>
  <si>
    <t>Multimodality image registration in the head-and-neck using a deep learning-derived synthetic CT as a bridge</t>
  </si>
  <si>
    <t>PURPOSE: To develop and demonstrate the efficacy of a novel head-and-neck multimodality image registration technique using deep-learning-based cross-modality synthesis. METHODS AND MATERIALS: Twenty-five head-and-neck patients received magnetic resonance (MR) and computed tomography (CT) (CT(aligned) ) scans on the same day with the same immobilization. Fivefold cross validation was used with all of the MR-CT pairs to train a neural network to generate synthetic CTs from MR images. Twenty-four of 25 patients also had a separate CT without immobilization (CT(non-aligned) ) and were used for testing. CT(non-aligned) 's were deformed to the synthetic CT, and compared to CT(non-aligned) registered to MR. The same registrations were performed from MR to CT(non-aligned) and from synthetic CT to CT(non-aligned) . All registrations used B-splines for modeling the deformation, and mutual information for the objective. Results were evaluated using the 95% Hausdorff distance among spinal cord contours, landmark error, inverse consistency, and Jacobian determinant of the estimated deformation fields. RESULTS: When large initial rigid misalignment is present, registering CT to MRI-derived synthetic CT aligns the cord better than a direct registration. The average landmark error decreased from 9.8 ± 3.1 mm in MR→CT(non-aligned) to 6.0 ± 2.1 mm in CT(synth) →CT(non-aligned) deformable registrations. In the CT to MR direction, the landmark error decreased from 10.0 ± 4.3 mm in CT(non-aligned) →MR deformable registrations to 6.6 ± 2.0 mm in CT(non-aligned) →CT(synth) deformable registrations. The Jacobian determinant had an average value of 0.98. The proposed method also demonstrated improved inverse consistency over the direct method. CONCLUSIONS: We showed that using a deep learning-derived synthetic CT in lieu of an MR for MR→CT and CT→MR deformable registration offers superior results to direct multimodal registration.</t>
  </si>
  <si>
    <t>Automatic detection of lesion load change in Multiple Sclerosis using convolutional neural networks with segmentation confidence</t>
  </si>
  <si>
    <t>The detection of new or enlarged white-matter lesions is a vital task in the monitoring of patients undergoing disease-modifying treatment for multiple sclerosis. However, the definition of 'new or enlarged' is not fixed, and it is known that lesion-counting is highly subjective, with high degree of inter- and intra-rater variability. Automated methods for lesion quantification, if accurate enough, hold the potential to make the detection of new and enlarged lesions consistent and repeatable. However, the majority of lesion segmentation algorithms are not evaluated for their ability to separate radiologically progressive from radiologically stable patients, despite this being a pressing clinical use-case. In this paper, we explore the ability of a deep learning segmentation classifier to separate stable from progressive patients by lesion volume and lesion count, and find that neither measure provides a good separation. Instead, we propose a method for identifying lesion changes of high certainty, and establish on an internal dataset of longitudinal multiple sclerosis cases that this method is able to separate progressive from stable time-points with a very high level of discrimination (AUC = 0.999), while changes in lesion volume are much less able to perform this separation (AUC = 0.71). Validation of the method on two external datasets confirms that the method is able to generalize beyond the setting in which it was trained, achieving an accuracies of 75 % and 85 % in separating stable and progressive time-points.</t>
  </si>
  <si>
    <t>CellProfiler has enabled the scientific research community to create flexible, modular image analysis pipelines since its release in 2005. Here, we describe CellProfiler 3.0, a new version of the software supporting both whole-volume and plane-wise analysis of three-dimensional (3D) image stacks, increasingly common in biomedical research. CellProfiler's infrastructure is greatly improved, and we provide a protocol for cloud-based, large-scale image processing. New plugins enable running pretrained deep learning models on images. Designed by and for biologists, CellProfiler equips researchers with powerful computational tools via a well-documented user interface, empowering biologists in all fields to create quantitative, reproducible image analysis workflows.</t>
  </si>
  <si>
    <t>C. McQuin, A. Goodman, V. Chernyshev, L. Kamentsky, B. A. Cimini, K. W. Karhohs, M. Doan, L. Ding, S. M. Rafelski, D. Thirstrup, W. Wiegraebe, S. Singh, T. Becker, J. C. Caicedo and A. E. Carpenter</t>
  </si>
  <si>
    <t>PLoS Biol</t>
  </si>
  <si>
    <t>Deep learning in glaucoma: progress, but still lots to do</t>
  </si>
  <si>
    <t>F. A. Medeiros</t>
  </si>
  <si>
    <t>From Machine to Machine: An OCT-Trained Deep Learning Algorithm for Objective Quantification of Glaucomatous Damage in Fundus Photographs</t>
  </si>
  <si>
    <t>PURPOSE: Previous approaches using deep learning (DL) algorithms to classify glaucomatous damage on fundus photographs have been limited by the requirement for human labeling of a reference training set. We propose a new approach using quantitative spectral-domain (SD) OCT data to train a DL algorithm to quantify glaucomatous structural damage on optic disc photographs. DESIGN: Cross-sectional study. PARTICIPANTS: A total of 32 820 pairs of optic disc photographs and SD OCT retinal nerve fiber layer (RNFL) scans from 2312 eyes of 1198 participants. METHODS: The sample was divided randomly into validation plus training (80%) and test (20%) sets, with randomization performed at the patient level. A DL convolutional neural network was trained to assess optic disc photographs and predict SD OCT average RNFL thickness. MAIN OUTCOME MEASURES: The DL algorithm performance was evaluated in the test sample by evaluating correlation and agreement between the predictions and actual SD OCT measurements. We also assessed the ability to discriminate eyes with glaucomatous visual field loss from healthy eyes with area under the receiver operating characteristic (ROC) curves. RESULTS: The mean prediction of average RNFL thickness from all 6292 optic disc photographs in the test set was 83.3±14.5 μm, whereas the mean average RNFL thickness from all corresponding SD OCT scans was 82.5±16.8 μm (P = 0.164). There was a very strong correlation between predicted and observed RNFL thickness values (Pearson r = 0.832; R(2) = 69.3%; P &lt; 0.001), with mean absolute error of the predictions of 7.39 μm. The area under the ROC curves for discriminating glaucomatous from healthy eyes with the DL predictions and actual SD OCT average RNFL thickness measurements were 0.944 (95% confidence interval [CI], 0.912-0.966) and 0.940 (95% CI, 0.902-0.966), respectively (P = 0.724). CONCLUSIONS: We introduced a novel DL approach to assess fundus photographs and provide quantitative information about the amount of neural damage that can be used to diagnose and stage glaucoma. In addition, training neural networks to predict SD OCT data objectively represents a new approach that overcomes limitations of human labeling and could be useful in other areas of ophthalmology.</t>
  </si>
  <si>
    <t>F. A. Medeiros, A. A. Jammal and A. C. Thompson</t>
  </si>
  <si>
    <t>DeepInfer: Open-Source Deep Learning Deployment Toolkit for Image-Guided Therapy</t>
  </si>
  <si>
    <t>Deep learning models have outperformed some of the previous state-of-the-art approaches in medical image analysis. Instead of using hand-engineered features, deep models attempt to automatically extract hierarchical representations at multiple levels of abstraction from the data. Therefore, deep models are usually considered to be more flexible and robust solutions for image analysis problems compared to conventional computer vision models. They have demonstrated significant improvements in computer-aided diagnosis and automatic medical image analysis applied to such tasks as image segmentation, classification and registration. However, deploying deep learning models often has a steep learning curve and requires detailed knowledge of various software packages. Thus, many deep models have not been integrated into the clinical research workflows causing a gap between the state-of-the-art machine learning in medical applications and evaluation in clinical research procedures. In this paper, we propose DeepInfer - an open-source toolkit for developing and deploying deep learning models within the 3D Slicer medical image analysis platform. Utilizing a repository of task-specific models, DeepInfer allows clinical researchers and biomedical engineers to deploy a trained model selected from the public registry, and apply it to new data without the need for software development or configuration. As two practical use cases, we demonstrate the application of DeepInfer in prostate segmentation for targeted MRI-guided biopsy and identification of the target plane in 3D ultrasound for spinal injections.</t>
  </si>
  <si>
    <t>A. Mehrtash, M. Pesteie, J. Hetherington, P. A. Behringer, T. Kapur, W. M. Wells, 3rd, R. Rohling, A. Fedorov and P. Abolmaesumi</t>
  </si>
  <si>
    <t>Connectome-Based Propagation Model in Amyotrophic Lateral Sclerosis</t>
  </si>
  <si>
    <t>OBJECTIVE: Clinical trials in amyotrophic lateral sclerosis (ALS) continue to rely on survival or functional scales as endpoints, despite the emergence of quantitative biomarkers. Neuroimaging-based biomarkers in ALS have been shown to detect ALS-associated pathology in vivo, although anatomical patterns of disease spread are poorly characterized. The objective of this study is to simulate disease propagation using network analyses of cerebral magnetic resonance imaging (MRI) data to predict disease progression. METHODS: Using brain networks of ALS patients (n = 208) and matched controls across longitudinal time points, network-based statistics unraveled progressive network degeneration originating from the motor cortex and expanding in a spatiotemporal manner. We applied a computational model to the MRI scan of patients to simulate this progressive network degeneration. Simulated aggregation levels at the group and individual level were validated with empirical impairment observed at later time points of white matter and clinical decline using both internal and external datasets. RESULTS: We observe that computer-simulated aggregation levels mimic true disease patterns in ALS patients. Simulated patterns of involvement across cortical areas show significant overlap with the patterns of empirically impaired brain regions on later scans, at both group and individual levels. These findings are validated using an external longitudinal dataset of 30 patients. INTERPRETATION: Our results are in accordance with established pathological staging systems and may have implications for patient stratification in future clinical trials. Our results demonstrate the utility of computational models in ALS to predict disease progression and underscore their potential as a prognostic biomarker. ANN NEUROL 2020;87:725-738.</t>
  </si>
  <si>
    <t>A study of positioning orientation effect on segmentation accuracy using convolutional neural networks for rectal cancer</t>
  </si>
  <si>
    <t>PURPOSE: Convolutional neural networks (CNN) have greatly improved medical image segmentation. A robust model requires training data can represent the entire dataset. One of the differing characteristics comes from variability in patient positioning (prone or supine) for radiotherapy. In this study, we investigated the effect of position orientation on segmentation using CNN. METHODS: Data of 100 patients (50 in supine and 50 in prone) with rectal cancer were collected for this study. We designed three sets of experiments for comparison: (a) segmentation using the model trained with data from the same orientation; (b) segmentation using the model trained with data from the opposite orientation; (c) segmentation using the model trained with data from both orientations. We performed fivefold cross-validation. The performance was evaluated on segmentation of the clinical target volume (CTV), bladder, and femurs with Dice similarity coefficient (DSC) and Hausdorff distance (HD). RESULTS: Compared with models trained on cases positioned in the same orientation, the models trained with cases positioned in the opposite orientation performed significantly worse (P &lt; 0.05) on CTV and bladder segmentation, but had comparable accuracy for femurs (P &gt; 0.05). The average DSC values were 0.74 vs 0.84, 0.85 vs 0.88, and 0.91 vs 0.91 for CTV, bladder, and femurs, respectively. The corresponding HD values (mm) were 16.6 vs 14.6, 8.4 vs 8.1, and 6.3 vs 6.3, respectively. The models trained with data from both orientations have comparable accuracy (P &gt; 0.05), with average DSC of 0.84, 0.88, and 0.91 and HD of 14.4, 8.1, and 6.3, respectively. CONCLUSIONS: Orientation affects the accuracy for CTV and bladder, but has negligible effect on the femurs. The model trained from data combining both orientations performs as well as a model trained with data from the same orientation for all the organs. These observations can offer guidance on the choice of training data for accurate segmentation.</t>
  </si>
  <si>
    <t>K. Men, P. Boimel, J. Janopaul-Naylor, C. Cheng, H. Zhong, M. Huang, H. Geng, Y. Fan, J. P. Plastaras, E. Ben-Josef and Y. Xiao</t>
  </si>
  <si>
    <t>Deep Deconvolutional Neural Network for Target Segmentation of Nasopharyngeal Cancer in Planning Computed Tomography Images</t>
  </si>
  <si>
    <t>BACKGROUND: Radiotherapy is one of the main treatment methods for nasopharyngeal carcinoma (NPC). It requires exact delineation of the nasopharynx gross tumor volume (GTVnx), the metastatic lymph node gross tumor volume (GTVnd), the clinical target volume (CTV), and organs at risk in the planning computed tomography images. However, this task is time-consuming and operator dependent. In the present study, we developed an end-to-end deep deconvolutional neural network (DDNN) for segmentation of these targets. METHODS: The proposed DDNN is an end-to-end architecture enabling fast training and testing. It consists of two important components: an encoder network and a decoder network. The encoder network was used to extract the visual features of a medical image and the decoder network was used to recover the original resolution by deploying deconvolution. A total of 230 patients diagnosed with NPC stage I or stage II were included in this study. Data from 184 patients were chosen randomly as a training set to adjust the parameters of DDNN, and the remaining 46 patients were the test set to assess the performance of the model. The Dice similarity coefficient (DSC) was used to quantify the segmentation results of the GTVnx, GTVnd, and CTV. In addition, the performance of DDNN was compared with the VGG-16 model. RESULTS: The proposed DDNN method outperformed the VGG-16 in all the segmentation. The mean DSC values of DDNN were 80.9% for GTVnx, 62.3% for the GTVnd, and 82.6% for CTV, whereas VGG-16 obtained 72.3, 33.7, and 73.7% for the DSC values, respectively. CONCLUSION: DDNN can be used to segment the GTVnx and CTV accurately. The accuracy for the GTVnd segmentation was relatively low due to the considerable differences in its shape, volume, and location among patients. The accuracy is expected to increase with more training data and combination of MR images. In conclusion, DDNN has the potential to improve the consistency of contouring and streamline radiotherapy workflows, but careful human review and a considerable amount of editing will be required.</t>
  </si>
  <si>
    <t>K. Men, X. Chen, Y. Zhang, T. Zhang, J. Dai, J. Yi and Y. Li</t>
  </si>
  <si>
    <t>Automatic segmentation of the clinical target volume and organs at risk in the planning CT for rectal cancer using deep dilated convolutional neural networks</t>
  </si>
  <si>
    <t>PURPOSE: Delineation of the clinical target volume (CTV) and organs at risk (OARs) is very important for radiotherapy but is time-consuming and prone to inter-observer variation. Here, we proposed a novel deep dilated convolutional neural network (DDCNN)-based method for fast and consistent auto-segmentation of these structures. METHODS: Our DDCNN method was an end-to-end architecture enabling fast training and testing. Specifically, it employed a novel multiple-scale convolutional architecture to extract multiple-scale context features in the early layers, which contain the original information on fine texture and boundaries and which are very useful for accurate auto-segmentation. In addition, it enlarged the receptive fields of dilated convolutions at the end of networks to capture complementary context features. Then, it replaced the fully connected layers with fully convolutional layers to achieve pixel-wise segmentation. We used data from 278 patients with rectal cancer for evaluation. The CTV and OARs were delineated and validated by senior radiation oncologists in the planning computed tomography (CT) images. A total of 218 patients chosen randomly were used for training, and the remaining 60 for validation. The Dice similarity coefficient (DSC) was used to measure segmentation accuracy. RESULTS: Performance was evaluated on segmentation of the CTV and OARs. In addition, the performance of DDCNN was compared with that of U-Net. The proposed DDCNN method outperformed the U-Net for all segmentations, and the average DSC value of DDCNN was 3.8% higher than that of U-Net. Mean DSC values of DDCNN were 87.7% for the CTV, 93.4% for the bladder, 92.1% for the left femoral head, 92.3% for the right femoral head, 65.3% for the intestine, and 61.8% for the colon. The test time was 45 s per patient for segmentation of all the CTV, bladder, left and right femoral heads, colon, and intestine. We also assessed our approaches and results with those in the literature: our system showed superior performance and faster speed. CONCLUSIONS: These data suggest that DDCNN can be used to segment the CTV and OARs accurately and efficiently. It was invariant to the body size, body shape, and age of the patients. DDCNN could improve the consistency of contouring and streamline radiotherapy workflows.</t>
  </si>
  <si>
    <t>K. Men, J. Dai and Y. Li</t>
  </si>
  <si>
    <t>Technical Note: More accurate and efficient segmentation of organs-at-risk in radiotherapy with convolutional neural networks cascades</t>
  </si>
  <si>
    <t>PURPOSE: Manual delineation of organs-at-risk (OARs) in radiotherapy is both time-consuming and subjective. Automated and more accurate segmentation is of the utmost importance in clinical application. The purpose of this study is to further improve the segmentation accuracy and efficiency with a novel network named convolutional neural networks (CNN) Cascades. METHODS: CNN Cascades was a two-step, coarse-to-fine approach that consisted of a simple region detector (SRD) and a fine segmentation unit (FSU). The SRD first used a relative shallow network to define the region of interest (ROI) where the organ was located, and then, the FSU took the smaller ROI as input and adopted a deep network for fine segmentation. The imaging data (14,651 slices) of 100 head-and-neck patients with segmentations were used for this study. The performance was compared with the state-of-the-art single CNN in terms of accuracy with metrics of Dice similarity coefficient (DSC) and Hausdorff distance (HD) values. RESULTS: The proposed CNN Cascades outperformed the single CNN on accuracy for each OAR. Similarly, for the average of all OARs, it was also the best with mean DSC of 0.90 (SRD: 0.86, FSU: 0.87, and U-Net: 0.85) and the mean HD of 3.0 mm (SRD: 4.0, FSU: 3.6, and U-Net: 4.4). Meanwhile, the CNN Cascades reduced the mean segmentation time per patient by 48% (FSU) and 5% (U-Net), respectively. CONCLUSIONS: The proposed two-step network demonstrated superior performance by reducing the input region. This potentially can be an effective segmentation method that provides accurate and consistent delineation with reduced clinician interventions for clinical applications as well as for quality assurance of a multicenter clinical trial.</t>
  </si>
  <si>
    <t>K. Men, H. Geng, C. Cheng, H. Zhong, M. Huang, Y. Fan, J. P. Plastaras, A. Lin and Y. Xiao</t>
  </si>
  <si>
    <t>A Deep Learning Model for Predicting Xerostomia Due to Radiation Therapy for Head and Neck Squamous Cell Carcinoma in the RTOG 0522 Clinical Trial</t>
  </si>
  <si>
    <t>PURPOSE: Xerostomia commonly occurs in patients who undergo head and neck radiation therapy and can seriously affect patients' quality of life. In this study, we developed a xerostomia prediction model with radiation treatment data using a 3-dimensional (3D) residual convolutional neural network (rCNN). The model can be used to guide radiation therapy to reduce toxicity. METHODS AND MATERIALS: A total of 784 patients with head and neck squamous cell carcinoma enrolled in the Radiation Therapy Oncology Group 0522 clinical trial were included in this study. Late xerostomia is defined as xerostomia of grade ≥2 occurring in the 12th month of radiation therapy. The computed tomography (CT) planning images, 3D dose distributions, and contours of the parotid and submandibular glands were included as 3D rCNN inputs. Comparative experiments were performed for the 3D rCNN model without 1 of the 3 inputs and for the logistic regression model. Accuracy, sensitivity, specificity, F-score, and area under the receiver operator characteristic curve were evaluated. RESULTS: The proposed model achieved promising prediction results. The performance metrics for 3D rCNN model with contour, CT images, and radiation therapy dose; 3D rCNN without contour; 3D rCNN without CT images; 3D rCNN without the dose; logistic regression with the dose and clinical parameters; and logistic regression without clinical parameters were as follows: accuracy: 0.76, 0.74, 0.73, 0.65, 0.64, and 0.56; sensitivity: 0.76, 0.72, 0.77, 0.59, 0.72, and 0.75; specificity: 0.76, 0.76, 0.71, 0.69, 0.59, and 0.43; F-score: 0.70, 0.68, 0.69, 0.56, 0.60, and 0.57; and area under the receiver operator characteristic curve: 0.84, 0.82, 0.78, 0.70, 0.74, and 0.68, respectively. CONCLUSIONS: The proposed model uses 3D rCNN filters to extract low- and high-level spatial features and to achieve promising performance. This is a potentially effective model for predicting objective toxicity for supporting clinical decision making.</t>
  </si>
  <si>
    <t>Fully automatic and robust segmentation of the clinical target volume for radiotherapy of breast cancer using big data and deep learning</t>
  </si>
  <si>
    <t>PURPOSE: To train and evaluate a very deep dilated residual network (DD-ResNet) for fast and consistent auto-segmentation of the clinical target volume (CTV) for breast cancer (BC) radiotherapy with big data. METHODS: DD-ResNet was an end-to-end model enabling fast training and testing. We used big data comprising 800 patients who underwent breast-conserving therapy for evaluation. The CTV were validated by experienced radiation oncologists. We performed a fivefold cross-validation to test the performance of the model. The segmentation accuracy was quantified by the Dice similarity coefficient (DSC) and the Hausdorff distance (HD). The performance of the proposed model was evaluated against two different deep learning models: deep dilated convolutional neural network (DDCNN) and deep deconvolutional neural network (DDNN). RESULTS: Mean DSC values of DD-ResNet (0.91 and 0.91) were higher than the other two networks (DDCNN: 0.85 and 0.85; DDNN: 0.88 and 0.87) for both right-sided and left-sided BC. It also has smaller mean HD values of 10.5 mm and 10.7 mm compared with DDCNN (15.1 mm and 15.6 mm) and DDNN (13.5 mm and 14.1 mm). Mean segmentation time was 4 s, 21 s and 15 s per patient with DDCNN, DDNN and DD-ResNet, respectively. The DD-ResNet was also superior with regard to results in the literature. CONCLUSIONS: The proposed method could segment the CTV accurately with acceptable time consumption. It was invariant to the body size and shape of patients and could improve the consistency of target delineation and streamline radiotherapy workflows.</t>
  </si>
  <si>
    <t>K. Men, T. Zhang, X. Chen, B. Chen, Y. Tang, S. Wang, Y. Li and J. Dai</t>
  </si>
  <si>
    <t>Discovering the hidden messages within cell trajectories using a deep learning approach for in vitro evaluation of cancer drug treatments</t>
  </si>
  <si>
    <t>We describe a novel method to achieve a universal, massive, and fully automated analysis of cell motility behaviours, starting from time-lapse microscopy images. The approach was inspired by the recent successes in application of machine learning for style recognition in paintings and artistic style transfer. The originality of the method relies i) on the generation of atlas from the collection of single-cell trajectories in order to visually encode the multiple descriptors of cell motility, and ii) on the application of pre-trained Deep Learning Convolutional Neural Network architecture in order to extract relevant features to be used for classification tasks from this visual atlas. Validation tests were conducted on two different cell motility scenarios: 1) a 3D biomimetic gels of immune cells, co-cultured with breast cancer cells in organ-on-chip devices, upon treatment with an immunotherapy drug; 2) Petri dishes of clustered prostate cancer cells, upon treatment with a chemotherapy drug. For each scenario, single-cell trajectories are very accurately classified according to the presence or not of the drugs. This original approach demonstrates the existence of universal features in cell motility (a so called motility style) which are identified by the DL approach in the rationale of discovering the unknown message in cell trajectories.</t>
  </si>
  <si>
    <t>Transfer Learning From Convolutional Neural Networks for Computer-Aided Diagnosis: A Comparison of Digital Breast Tomosynthesis and Full-Field Digital Mammography</t>
  </si>
  <si>
    <t>RATIONALE AND OBJECTIVES: With the growing adoption of digital breast tomosynthesis (DBT) in breast cancer screening, we compare the performance of deep learning computer-aided diagnosis on DBT images to that of conventional full-field digital mammography (FFDM). MATERIALS AND METHODS: In this study, we retrospectively collected FFDM and DBT images of 78 biopsy-proven lesions from 76 patients. A region of interest was selected for each lesion on FFDM, synthesized 2D, and DBT key slice images. Features were extracted from each lesion using a pretrained convolutional neural network (CNN) and served as input to a support vector machine classifier trained in the task of predicting likelihood of malignancy. RESULTS: From receiver operating characteristic (ROC) analysis of all 78 lesions, the synthesized 2D image performed best in both the cradiocaudal view (area under the ROC curve [AUC] = 0.81, SE = 0.05) and mediolateral oblique view (AUC = 0.88, SE = 0.04) in the task of lesion characterization. When cradiocaudal and mediolateral oblique data of each lesion were merged through soft voting, DBT key slice image performed best (AUC = 0.89, SE = 0.04). When only masses and architectural distortions (ARDs) were considered, DBT performed significantly better than FFDM (p = 0.024). CONCLUSION: DBT performed significantly better than FFDM in the merged view classification of mass and ARD lesions. The increased performance suggests that the information extracted by the CNN from DBT images may be more relevant to lesion malignancy status than the information extracted from FFDM images. Therefore, this study provides supporting evidence for the efficacy of computer-aided diagnosis on DBT in the evaluation of mass and ARD lesions.</t>
  </si>
  <si>
    <t>10.2214/ajr.18.20532</t>
  </si>
  <si>
    <t>Artificial Intelligence in Breast Imaging: Potentials and Limitations</t>
  </si>
  <si>
    <t>OBJECTIVE: The purpose of this article is to discuss potential applications of artificial intelligence (AI) in breast imaging and limitations that may slow or prevent its adoption. CONCLUSION: The algorithms of AI for workflow improvement and outcome analyses are advancing. Using imaging data of high quality and quantity, AI can support breast imagers in diagnosis and patient management, but AI cannot yet be relied on or be responsible for physicians' decisions that may affect survival. Education in AI is urgently needed for physicians.</t>
  </si>
  <si>
    <t>E. B. Mendelson</t>
  </si>
  <si>
    <t>Simulation of hyperelastic materials in real-time using deep learning</t>
  </si>
  <si>
    <t>The finite element method (FEM) is among the most commonly used numerical methods for solving engineering problems. Due to its computational cost, various ideas have been introduced to reduce computation times, such as domain decomposition, parallel computing, adaptive meshing, and model order reduction. In this paper we present U-Mesh: A data-driven method based on a U-Net architecture that approximates the non-linear relation between a contact force and the displacement field computed by a FEM algorithm. We show that deep learning, one of the latest machine learning methods based on artificial neural networks, can enhance computational mechanics through its ability to encode highly non-linear models in a compact form. Our method is applied to three benchmark examples: a cantilever beam, an L-shape and a liver model subject to moving punctual loads. A comparison between our method and proper orthogonal decomposition (POD) is done through the paper. The results show that U-Mesh can perform very fast simulations on various geometries and topologies, mesh resolutions and number of input forces with very small errors.</t>
  </si>
  <si>
    <t>Carpal Bone Segmentation Using Fully Convolutional Neural Network</t>
  </si>
  <si>
    <t>BACKGROUND: Bone Age Assessment (BAA) refers to a clinical procedure that aims to identify a discrepancy between biological and chronological age of an individual by assessing the bone age growth. Currently, there are two main methods of executing BAA which are known as Greulich-Pyle and Tanner-Whitehouse techniques. Both techniques involve a manual and qualitative assessment of hand and wrist radiographs, resulting in intra and inter-operator variability accuracy and time-consuming. An automatic segmentation can be applied to the radiographs, providing the physician with more accurate delineation of the carpal bone and accurate quantitative analysis. METHODS: In this study, we proposed an image feature extraction technique based on image segmentation with the fully convolutional neural network with eight stride pixel (FCN-8). A total of 290 radiographic images including both female and the male subject of age ranging from 0 to 18 were manually segmented and trained using FCN-8. RESULTS AND CONCLUSION: The results exhibit a high training accuracy value of 99.68% and a loss rate of 0.008619 for 50 epochs of training. The experiments compared 58 images against the gold standard ground truth images. The accuracy of our fully automated segmentation technique is 0.78 ± 0.06, 1.56 ±0.30 mm and 98.02% in terms of Dice Coefficient, Hausdorff Distance, and overall qualitative carpal recognition accuracy, respectively.</t>
  </si>
  <si>
    <t>Large-Scale Multi-Class Image-Based Cell Classification With Deep Learning</t>
  </si>
  <si>
    <t>Recent advances in ultra-high-throughput microscopy have enabled a new generation of cell classification methodologies using image-based cell phenotypes alone. In contrast to current single-cell analysis techniques that rely solely on slow and costly genetic/epigenetic analysis, these image-based analyses allow morphological profiling and screening of thousands or even millions of single cells at a fraction of the cost, and have been proven to demonstrate the statistical significance required for understanding the role of cell heterogeneity in diverse biological applications, ranging from cancer screening to drug candidate identification/validation processes. This paper examines the efficacies and opportunities presented by machine learning algorithms in processing large scale datasets with millions of label-free cell images. An automatic single-cell classification framework using convolutional neural network (CNN) has been developed. A comparative analysis of its efficiency in classifying large datasets against conventional k-nearest neighbors (kNN) and support vector machine (SVM) based methods are also presented. Experiments have shown that our proposed framework can efficiently identify multiple types cells with over 99% accuracy based on the phenotypic label-free bright-field images; and CNN-based models perform well and relatively stable against data volume compared with kNN and SVM.</t>
  </si>
  <si>
    <t>Mutual Information-based Disentangled Neural Networks for Classifying Unseen Categories in Different Domains: Application to Fetal Ultrasound Imaging</t>
  </si>
  <si>
    <t>Deep neural networks exhibit limited generalizability across images with different entangled domain features and categorical features. Learning generalizable features that can form universal categorical decision boundaries across domains is an interesting and difficult challenge. This problem occurs frequently in medical imaging applications when attempts are made to deploy and improve deep learning models across different image acquisition devices, across acquisition parameters or if some classes are unavailable in new training databases. To address this problem, we propose Mutual Information-based Disentangled Neural Networks (MIDNet), which extract generalizable categorical features to transfer knowledge to unseen categories in a target domain. The proposed MIDNet adopts a semi-supervised learning paradigm to alleviate the dependency on labeled data. This is important for real-world applications where data annotation is time-consuming, costly and requires training and expertise. We extensively evaluate the proposed method on fetal ultrasound datasets for two different image classification tasks where domain features are respectively defined by shadow artifacts and image acquisition devices. Experimental results show that the proposed method outperforms the state-of-the-art on the classification of unseen categories in a target domain with sparsely labeled training data.</t>
  </si>
  <si>
    <t>Weakly Supervised Estimation of Shadow Confidence Maps in Fetal Ultrasound Imaging</t>
  </si>
  <si>
    <t>Detecting acoustic shadows in ultrasound images is important in many clinical and engineering applications. Real-time feedback of acoustic shadows can guide sonographers to a standardized diagnostic viewing plane with minimal artifacts and can provide additional information for other automatic image analysis algorithms. However, automatically detecting shadow regions using learning-based algorithms is challenging because pixel-wise ground truth annotation of acoustic shadows is subjective and time consuming. In this paper, we propose a weakly supervised method for automatic confidence estimation of acoustic shadow regions. Our method is able to generate a dense shadow-focused confidence map. In our method, a shadow-seg module is built to learn general shadow features for shadow segmentation, based on global image-level annotations as well as a small number of coarse pixel-wise shadow annotations. A transfer function is introduced to extend the obtained binary shadow segmentation to a reference confidence map. In addition, a confidence estimation network is proposed to learn the mapping between input images and the reference confidence maps. This network is able to predict shadow confidence maps directly from input images during inference. We use evaluation metrics such as DICE, inter-class correlation, and so on, to verify the effectiveness of our method. Our method is more consistent than human annotation and outperforms the state-of-the-art quantitatively in shadow segmentation and qualitatively in confidence estimation of shadow regions. Furthermore, we demonstrate the applicability of our method by integrating shadow confidence maps into tasks such as ultrasound image classification, multi-view image fusion, and automated biometric measurements.</t>
  </si>
  <si>
    <t>Novel stochastic framework for automatic segmentation of human thigh MRI volumes and its applications in spinal cord injured individuals</t>
  </si>
  <si>
    <t>Severe spinal cord injury (SCI) leads to skeletal muscle atrophy and adipose tissue infiltration in the skeletal muscle, which can result in compromised muscle mechanical output and lead to health-related complications. In this study, we developed a novel automatic 3-D approach for volumetric segmentation and quantitative assessment of thigh Magnetic Resonance Imaging (MRI) volumes in individuals with chronic SCI as well as non-disabled individuals. In this framework, subcutaneous adipose tissue, inter-muscular adipose tissue and total muscle tissue are segmented using linear combination of discrete Gaussians algorithm. Also, three thigh muscle groups were segmented utilizing the proposed 3-D Joint Markov Gibbs Random Field model that integrates first order appearance model, spatial information, and shape model to localize the muscle groups. The accuracy of the automatic segmentation method was tested both on SCI (N = 16) and on non-disabled (N = 14) individuals, showing an overall 0.93±0.06 accuracy for adipose tissue and muscle compartments segmentation based on Dice Similarity Coefficient. The proposed framework for muscle compartment segmentation showed an overall higher accuracy compared to ANTs and STAPLE, two previously validated atlas-based segmentation methods. Also, the framework proposed in this study showed similar Dice accuracy and better Hausdorff distance measure to that obtained using DeepMedic Convolutional Neural Network structure, a well-known deep learning network for 3-D medical image segmentation. The automatic segmentation method proposed in this study can provide fast and accurate quantification of adipose and muscle tissues, which have important health and functional implications in the SCI population.</t>
  </si>
  <si>
    <t>S. Mesbah, A. M. Shalaby, S. Stills, A. M. Soliman, A. Willhite, S. J. Harkema, E. Rejc and A. S. El-Baz</t>
  </si>
  <si>
    <t>10.1002/jmri.27332</t>
  </si>
  <si>
    <t>AI-Enhanced Diagnosis of Challenging Lesions in Breast MRI: A Methodology and Application Primer</t>
  </si>
  <si>
    <t>Computer-aided diagnosis (CAD) systems have become an important tool in the assessment of breast tumors with magnetic resonance imaging (MRI). CAD systems can be used for the detection and diagnosis of breast tumors as a second opinion review complementing the radiologist's review. CAD systems have many common parts, such as image preprocessing, tumor feature extraction, and data classification that are mostly based on machine-learning (ML) techniques. In this review article, we describe applications of ML-based CAD systems in MRI covering the detection of diagnostically challenging lesions of the breast such as nonmass enhancing (NME) lesions, and furthermore discuss how multiparametric MRI and radiomics can be applied to the study of NME, including prediction of response to neoadjuvant chemotherapy (NAC). Since ML has been widely used in the medical imaging community, we provide an overview about the state-of-the-art and novel techniques applied as classifiers to CAD systems. The differences in the CAD systems in MRI of the breast for several standard and novel applications for NME are explained in detail to provide important examples, illustrating: 1) CAD for detection and diagnosis, 2) CAD in multiparametric imaging, 3) CAD in NAC, and 4) breast cancer radiomics. We aim to provide a comparison between these CAD applications and to illustrate a global view on intelligent CAD systems based on machine and deep learning in MRI of the breast. LEVEL OF EVIDENCE: 2 TECHNICAL EFFICACY STAGE: 2.</t>
  </si>
  <si>
    <t>Multispectral imaging for quantitative and compartment-specific immune infiltrates reveals distinct immune profiles that classify lung cancer patients</t>
  </si>
  <si>
    <t>Semiquantitative assessment of immune markers by immunohistochemistry (IHC) has significant limitations for describing the diversity of the immune response in cancer. Therefore, we evaluated a fluorescence-based multiplexed immunohistochemical method in combination with a multispectral imaging system to quantify immune infiltrates in situ in the environment of non-small-cell lung cancer (NSCLC). A tissue microarray including 57 NSCLC cases was stained with antibodies against CD8, CD20, CD4, FOXP3, CD45RO, and pan-cytokeratin, and immune cells were quantified in epithelial and stromal compartments. The results were compared with those of conventional IHC, and related to corresponding RNA-sequencing (RNAseq) expression values. We found a strong correlation between the visual and digital quantification of lymphocytes for CD45RO (correlation coefficient: r = 0.52), FOXP3 (r = 0.87), CD4 (r = 0.79), CD20 (r = 0.81) and CD8 (r = 0.90) cells. The correlation with RNAseq data for digital quantification (0.35-0.65) was comparable to or better than that for visual quantification (0.38-0.58). Combination of the signals of the five immune markers enabled further subpopulations of lymphocytes to be identified and localized. The specific pattern of immune cell infiltration based either on the spatial distribution (distance between regulatory CD8(+) T and cancer cells) or the relationships of lymphocyte subclasses with each other (e.g. cytotoxic/regulatory cell ratio) were associated with patient prognosis. In conclusion, the fluorescence multiplexed immunohistochemical method, based on only one tissue section, provided reliable quantification and localization of immune cells in cancer tissue. The application of this technique to clinical biopsies can provide a basic characterization of immune infiltrates to guide clinical decisions in the era of immunotherapy. Copyright © 2017 Pathological Society of Great Britain and Ireland. Published by John Wiley &amp; Sons, Ltd.</t>
  </si>
  <si>
    <t>Extraction of BI-RADS findings from breast ultrasound reports in Chinese using deep learning approaches</t>
  </si>
  <si>
    <t>BACKGROUND: The wide adoption of electronic health record systems (EHRs) in hospitals in China has made large amounts of data available for clinical research including breast cancer. Unfortunately, much of detailed clinical information is embedded in clinical narratives e.g., breast radiology reports. The American College of Radiology (ACR) has developed a Breast Imaging Reporting and Data System (BI-RADS) to standardize the clinical findings from breast radiology reports. OBJECTIVES: This study aims to develop natural language processing (NLP) methods to extract BI-RADS findings from breast ultrasound reports in Chinese, thus to support clinical operation and breast cancer research in China. METHODS: We developed and compared three different types of NLP approaches, including a rule-based method, a traditional machine learning-based method using the Conditional Random Fields (CRF) algorithm, and deep learning-based approaches, to extract all BI-RADS finding categories from breast ultrasound reports in Chinese. RESULTS: Using a manually annotated dataset containing 540 reports, our evaluation shows that the deep learning-based method achieved the best F1-score of 0.904, when compared with rule-based and CRF-based approaches (0.848 and 0.881 respectively). CONCLUSIONS: This is the first study that applies deep learning technologies to BI-RADS findings extraction in Chinese breast ultrasound reports, demonstrating its potential on enabling international collaborations on breast cancer research.</t>
  </si>
  <si>
    <t>S. Miao, T. Xu, Y. Wu, H. Xie, J. Wang, S. Jing, Y. Zhang, X. Zhang, Y. Yang, X. Zhang, T. Shan, L. Wang, H. Xu, S. Wang and Y. Liu</t>
  </si>
  <si>
    <t>Virtual-freezing fluorescence imaging flow cytometry</t>
  </si>
  <si>
    <t>By virtue of the combined merits of flow cytometry and fluorescence microscopy, imaging flow cytometry (IFC) has become an established tool for cell analysis in diverse biomedical fields such as cancer biology, microbiology, immunology, hematology, and stem cell biology. However, the performance and utility of IFC are severely limited by the fundamental trade-off between throughput, sensitivity, and spatial resolution. Here we present an optomechanical imaging method that overcomes the trade-off by virtually freezing the motion of flowing cells on the image sensor to effectively achieve 1000 times longer exposure time for microscopy-grade fluorescence image acquisition. Consequently, it enables high-throughput IFC of single cells at &gt;10,000 cells s(-1) without sacrificing sensitivity and spatial resolution. The availability of numerous information-rich fluorescence cell images allows high-dimensional statistical analysis and accurate classification with deep learning, as evidenced by our demonstration of unique applications in hematology and microbiology.</t>
  </si>
  <si>
    <t>Artificial Intelligence to Detect Papilledema from Ocular Fundus Photographs</t>
  </si>
  <si>
    <t>BACKGROUND: Nonophthalmologist physicians do not confidently perform direct ophthalmoscopy. The use of artificial intelligence to detect papilledema and other optic-disk abnormalities from fundus photographs has not been well studied. METHODS: We trained, validated, and externally tested a deep-learning system to classify optic disks as being normal or having papilledema or other abnormalities from 15,846 retrospectively collected ocular fundus photographs that had been obtained with pharmacologic pupillary dilation and various digital cameras in persons from multiple ethnic populations. Of these photographs, 14,341 from 19 sites in 11 countries were used for training and validation, and 1505 photographs from 5 other sites were used for external testing. Performance at classifying the optic-disk appearance was evaluated by calculating the area under the receiver-operating-characteristic curve (AUC), sensitivity, and specificity, as compared with a reference standard of clinical diagnoses by neuro-ophthalmologists. RESULTS: The training and validation data sets from 6779 patients included 14,341 photographs: 9156 of normal disks, 2148 of disks with papilledema, and 3037 of disks with other abnormalities. The percentage classified as being normal ranged across sites from 9.8 to 100%; the percentage classified as having papilledema ranged across sites from zero to 59.5%. In the validation set, the system discriminated disks with papilledema from normal disks and disks with nonpapilledema abnormalities with an AUC of 0.99 (95% confidence interval [CI], 0.98 to 0.99) and normal from abnormal disks with an AUC of 0.99 (95% CI, 0.99 to 0.99). In the external-testing data set of 1505 photographs, the system had an AUC for the detection of papilledema of 0.96 (95% CI, 0.95 to 0.97), a sensitivity of 96.4% (95% CI, 93.9 to 98.3), and a specificity of 84.7% (95% CI, 82.3 to 87.1). CONCLUSIONS: A deep-learning system using fundus photographs with pharmacologically dilated pupils differentiated among optic disks with papilledema, normal disks, and disks with nonpapilledema abnormalities. (Funded by the Singapore National Medical Research Council and the SingHealth Duke-NUS Ophthalmology and Visual Sciences Academic Clinical Program.).</t>
  </si>
  <si>
    <t>N Engl J Med</t>
  </si>
  <si>
    <t>A semi-automatic approach for epicardial adipose tissue segmentation and quantification on cardiac CT scans</t>
  </si>
  <si>
    <t>Many studies have shown that epicardial fat is associated with a higher risk of heart diseases. Accurate epicardial adipose tissue quantification is still an open research issue. Considering that manual approaches are generally user-dependent and time-consuming, computer-assisted tools can considerably improve the result repeatability as well as reduce the time required for performing an accurate segmentation. Unfortunately, fully automatic strategies might not always identify the Region of Interest (ROI) correctly. Moreover, they could require user interaction for handling unexpected events. This paper proposes a semi-automatic method for Epicardial Fat Volume (EFV) segmentation and quantification. Unlike supervised Machine Learning approaches, the method does not require any initial training or modeling phase to set up the system. As a further key novelty, the method also yields a subdivision into quartiles of the adipose tissue density. Quartile-based analysis conveys information about fat densities distribution, enabling an in-depth study towards a possible correlation between fat amounts, fat distribution, and heart diseases. Experimental tests were performed on 50 Calcium Score (CaSc) series and 95 Coronary Computed Tomography Angiography (CorCTA) series. Area-based and distance-based metrics were used to evaluate the segmentation accuracy, by obtaining Dice Similarity Coefficient (DSC) = 93.74% and Mean Absolute Distance (MAD) = 2.18 for CaSc, as well as DSC = 92.48% and MAD = 2.87 for CorCTA. Moreover, the Pearson and Spearman coefficients were computed for quantifying the correlation between the ground-truth EFV and the corresponding automated measurement, by obtaining 0.9591 and 0.9490 for CaSc, and 0.9513 and 0.9319 for CorCTA, respectively. In conclusion, the proposed EFV quantification and analysis method represents a clinically useable tool assisting the cardiologist to gain insights into a specific clinical scenario and leading towards personalized diagnosis and therapy.</t>
  </si>
  <si>
    <t>10.1016/j.amjmed.2017.10.035</t>
  </si>
  <si>
    <t>Artificial Intelligence in Medical Practice: The Question to the Answer?</t>
  </si>
  <si>
    <t>Computer science advances and ultra-fast computing speeds find artificial intelligence (AI) broadly benefitting modern society-forecasting weather, recognizing faces, detecting fraud, and deciphering genomics. AI's future role in medical practice remains an unanswered question. Machines (computers) learn to detect patterns not decipherable using biostatistics by processing massive datasets (big data) through layered mathematical models (algorithms). Correcting algorithm mistakes (training) adds to AI predictive model confidence. AI is being successfully applied for image analysis in radiology, pathology, and dermatology, with diagnostic speed exceeding, and accuracy paralleling, medical experts. While diagnostic confidence never reaches 100%, combining machines plus physicians reliably enhances system performance. Cognitive programs are impacting medical practice by applying natural language processing to read the rapidly expanding scientific literature and collate years of diverse electronic medical records. In this and other ways, AI may optimize the care trajectory of chronic disease patients, suggest precision therapies for complex illnesses, reduce medical errors, and improve subject enrollment into clinical trials.</t>
  </si>
  <si>
    <t>D. D. Miller and E. W. Brown</t>
  </si>
  <si>
    <t>Am J Med</t>
  </si>
  <si>
    <t>How Cognitive Machines Can Augment Medical Imaging</t>
  </si>
  <si>
    <t>OBJECTIVE: Artificial intelligence (AI) neural networks rapidly convert disparate facts and data into highly predictive analytic models. Machine learning maps image-patient phenotype correlations opaque to standard statistics. Deep learning performs accurate image-derived tissue characterization and can generate virtual CT images from MRI datasets. Natural language processing reads medical literature and efficiently reconfigures years of PACS and electronic medical record information. CONCLUSION: AI logistics solve radiology informatics workflow pain points. Imaging professionals and companies will drive health care AI technology insertion. Data science and computer science will jointly potentiate the impact of AI applications for medical imaging.</t>
  </si>
  <si>
    <t>Cloud Deployment of High-Resolution Medical Image Analysis With TOMAAT</t>
  </si>
  <si>
    <t>BACKGROUND: Deep learning has been recently applied to a multitude of computer vision and medical image analysis problems. Although recent research efforts have improved the state of the art, most of the methods cannot be easily accessed, compared or used by other researchers or clinicians. Even if developers publish their code and pre-trained models on the internet, integration in stand-alone applications and existing workflows is often not straightforward, especially for clinical research partners. In this paper, we propose an open-source framework to provide AI-enabled medical image analysis through the network. METHODS: TOMAAT provides a cloud environment for general medical image analysis, composed of three basic components: (i) an announcement service, maintaining a public registry of (ii) multiple distributed server nodes offering various medical image analysis solutions, and (iii) client software offering simple interfaces for users. Deployment is realized through HTTP-based communication, along with an API and wrappers for common image manipulations during pre- and post-processing. RESULTS: We demonstrate the utility and versatility of TOMAAT on several hallmark medical image analysis tasks: segmentation, diffeomorphic deformable atlas registration, landmark localization, and workflow integration. Through TOMAAT, the high hardware demands, setup and model complexity of demonstrated approaches are transparent to users, who are provided with simple client interfaces. We present example clients in three-dimensional Slicer, in the web browser, on iOS devices and in a commercially available, certified medical image analysis suite. CONCLUSION: TOMAAT enables deployment of state-of-the-art image segmentation in the cloud, fostering interaction among deep learning researchers and medical collaborators in the clinic. Currently, a public announcement service is hosted by the authors, and several ready-to-use services are registered and enlisted at http://tomaat.cloud.</t>
  </si>
  <si>
    <t>F. Milletari, J. Frei, M. Aboulatta, G. Vivar and S. A. Ahmadi</t>
  </si>
  <si>
    <t>Detection of optical coherence tomography-defined thin-cap fibroatheroma in the coronary artery using deep learning</t>
  </si>
  <si>
    <t>AIMS: The aim of this study was to develop a deep learning model for classifying frames with versus without optical coherence tomography (OCT)-derived thin-cap fibroatheroma (TCFA). METHODS AND RESULTS: A total of 602 coronary lesions from 602 angina patients were randomised into training and test sets in a 4:1 ratio. A DenseNet model was developed to classify OCT frames with or without OCT-derived TCFA. Gradient-weighted class activation mapping was used to visualise the area of attention. In the training sample (35,678 frames of 480 lesions), the model with fivefold cross-validation had an overall accuracy of 91.6±1.7%, sensitivity of 88.7±3.4%, and specificity of 91.8±2.0% (averaged AUC=0.96±0.01) in predicting the presence of TCFA. In the test samples (9,722 frames of 122 lesions), the overall accuracy at the frame level was 92.8% within the lesion (AUC=0.96) and 91.3% in the entire OCT pullback. The correlation between the %TCFA burden per vessel predicted by the model compared with that identified by experts was significant (r=0.87, p&lt;0.001). The region of attention was localised at the site of the thin cap in 93.4% of TCFA-containing frames. Total computational time per pullback was 2.1±0.3 seconds. CONCLUSIONS: A deep learning algorithm can accurately detect an OCT-TCFA with high reproducibility. The time-saving computerised process may assist clinicians to recognise high-risk lesions easily and to make decisions in the catheterisation laboratory.</t>
  </si>
  <si>
    <t>EuroIntervention</t>
  </si>
  <si>
    <t>10.5009/gnl18384</t>
  </si>
  <si>
    <t>Overview of Deep Learning in Gastrointestinal Endoscopy</t>
  </si>
  <si>
    <t>Artificial intelligence is likely to perform several roles currently performed by humans, and the adoption of artificial intelligence-based medicine in gastroenterology practice is expected in the near future. Medical image-based diagnoses, such as pathology, radiology, and endoscopy, are expected to be the first in the medical field to be affected by artificial intelligence. A convolutional neural network, a kind of deep-learning method with multilayer perceptrons designed to use minimal preprocessing, was recently reported as being highly beneficial in the field of endoscopy, including esophagogastroduodenoscopy, colonoscopy, and capsule endoscopy. A convolutional neural network-based diagnostic program was challenged to recognize anatomical locations in esophagogastroduodenoscopy images, Helicobacter pylori infection, and gastric cancer for esophagogastroduodenoscopy; to detect and classify colorectal polyps; to recognize celiac disease and hookworm; and to perform small intestine motility characterization of capsule endoscopy images. Artificial intelligence is expected to help endoscopists provide a more accurate diagnosis by automatically detecting and classifying lesions; therefore, it is essential that endoscopists focus on this novel technology. In this review, we describe the effects of artificial intelligence on gastroenterology with a special focus on automatic diagnosis, based on endoscopic findings.</t>
  </si>
  <si>
    <t>J. K. Min, M. S. Kwak and J. M. Cha</t>
  </si>
  <si>
    <t>Gut Liver</t>
  </si>
  <si>
    <t>Deep-COVID: Predicting COVID-19 from chest X-ray images using deep transfer learning</t>
  </si>
  <si>
    <t>The COVID-19 pandemic is causing a major outbreak in more than 150 countries around the world, having a severe impact on the health and life of many people globally. One of the crucial step in fighting COVID-19 is the ability to detect the infected patients early enough, and put them under special care. Detecting this disease from radiography and radiology images is perhaps one of the fastest ways to diagnose the patients. Some of the early studies showed specific abnormalities in the chest radiograms of patients infected with COVID-19. Inspired by earlier works, we study the application of deep learning models to detect COVID-19 patients from their chest radiography images. We first prepare a dataset of 5000 Chest X-rays from the publicly available datasets. Images exhibiting COVID-19 disease presence were identified by board-certified radiologist. Transfer learning on a subset of 2000 radiograms was used to train four popular convolutional neural networks, including ResNet18, ResNet50, SqueezeNet, and DenseNet-121, to identify COVID-19 disease in the analyzed chest X-ray images. We evaluated these models on the remaining 3000 images, and most of these networks achieved a sensitivity rate of 98% ( ±  3%), while having a specificity rate of around 90%. Besides sensitivity and specificity rates, we also present the receiver operating characteristic (ROC) curve, precision-recall curve, average prediction, and confusion matrix of each model. We also used a technique to generate heatmaps of lung regions potentially infected by COVID-19 and show that the generated heatmaps contain most of the infected areas annotated by our board certified radiologist. While the achieved performance is very encouraging, further analysis is required on a larger set of COVID-19 images, to have a more reliable estimation of accuracy rates. The dataset, model implementations (in PyTorch), and evaluations, are all made publicly available for research community at https://github.com/shervinmin/DeepCovid.git.</t>
  </si>
  <si>
    <t>MTBI Identification From Diffusion MR Images Using Bag of Adversarial Visual Features</t>
  </si>
  <si>
    <t>In this paper, we propose bag of adversarial features (BAFs) for identifying mild traumatic brain injury (MTBI) patients from their diffusion magnetic resonance images (MRIs) (obtained within one month of injury) by incorporating unsupervised feature learning techniques. MTBI is a growing public health problem with an estimated incidence of over 1.7 million people annually in USA. Diagnosis is based on clinical history and symptoms, and accurate, concrete measures of injury are lacking. Unlike most of the previous works, which use hand-crafted features extracted from different parts of brain for MTBI classification, we employ feature learning algorithms to learn more discriminative representation for this task. A major challenge in this field thus far is the relatively small number of subjects available for training. This makes it difficult to use an end-to-end convolutional neural network to directly classify a subject from MRIs. To overcome this challenge, we first apply an adversarial auto-encoder (with convolutional structure) to learn patch-level features, from overlapping image patches extracted from different brain regions. We then aggregate these features through a bag-of-words approach. We perform an extensive experimental study on a dataset of 227 subjects (including 109 MTBI patients, and 118 age and sex-matched healthy controls) and compare the bag-of-deep-features with several previous approaches. Our experimental results show that the BAF significantly outperforms earlier works relying on the mean values of MR metrics in selected brain regions.</t>
  </si>
  <si>
    <t>A Deep Unsupervised Learning Approach Toward MTBI Identification Using Diffusion MRI</t>
  </si>
  <si>
    <t>Mild traumatic brain injury is a growing public health problem with an estimated incidence of over 1.7 million people annually in US. Diagnosis is based on clinical history and symptoms, and accurate, concrete measures of injury are lacking. This work aims to directly use diffusion MR images obtained within one month of trauma to detect injury, by incorporating deep learning techniques. To overcome the challenge due to limited training data, we describe each brain region using the bag of word representation, which specifies the distribution of representative patch patterns. We apply a convolutional auto-encoder to learn the patch-level features, from overlapping image patches extracted from the MR images, to learn features from diffusion MR images of brain using an unsupervised approach. Our experimental results show that the bag of word representation using patch level features learnt by the auto encoder provides similar performance as that using the raw patch patterns, both significantly outperform earlier work relying on the mean values of MR metrics in selected brain regions.</t>
  </si>
  <si>
    <t>S. Minaee, Y. Wang, A. Choromanska, S. Chung, X. Wang, E. Fieremans, S. Flanagan, J. Rath and Y. W. Lui</t>
  </si>
  <si>
    <t>Denoising of Scintillation Camera Images Using a Deep Convolutional Neural Network: A Monte Carlo Simulation Approach</t>
  </si>
  <si>
    <t>Scintillation camera images contain a large amount of Poisson noise. We have investigated whether noise can be removed in whole-body bone scans using convolutional neural networks (CNNs) trained with sets of noisy and noiseless images obtained by Monte Carlo simulation. Methods: Three CNNs were generated using 3 different sets of training images: simulated bone scan images, images of a cylindric phantom with hot and cold spots, and a mix of the first two. Each training set consisted of 40,000 noiseless and noisy image pairs. The CNNs were evaluated with simulated images of a cylindric phantom and simulated bone scan images. The mean squared error between filtered and true images was used as difference metric, and the coefficient of variation was used to estimate noise reduction. The CNNs were compared with gaussian and median filters. A clinical evaluation was performed in which the ability to detect metastases for CNN- and gaussian-filtered bone scans with half the number of counts was compared with standard bone scans. Results: The best CNN reduced the coefficient of variation by, on average, 92%, and the best standard filter reduced the coefficient of variation by 88%. The best CNN gave a mean squared error that was on average 68% and 20% better than the best standard filters, for the cylindric and bone scan images, respectively. The best CNNs for the cylindric phantom and bone scans were the dedicated CNNs. No significant differences in the ability to detect metastases were found between standard, CNN-, and gaussian-filtered bone scans. Conclusion: Noise can be removed efficiently regardless of noise level with little or no resolution loss. The CNN filter enables reducing the scanning time by half and still obtaining good accuracy for bone metastasis assessment.</t>
  </si>
  <si>
    <t>10.1093/bib/bbx044</t>
  </si>
  <si>
    <t>Deep learning for healthcare: review, opportunities and challenges</t>
  </si>
  <si>
    <t>Gaining knowledge and actionable insights from complex, high-dimensional and heterogeneous biomedical data remains a key challenge in transforming health care. Various types of data have been emerging in modern biomedical research, including electronic health records, imaging, -omics, sensor data and text, which are complex, heterogeneous, poorly annotated and generally unstructured. Traditional data mining and statistical learning approaches typically need to first perform feature engineering to obtain effective and more robust features from those data, and then build prediction or clustering models on top of them. There are lots of challenges on both steps in a scenario of complicated data and lacking of sufficient domain knowledge. The latest advances in deep learning technologies provide new effective paradigms to obtain end-to-end learning models from complex data. In this article, we review the recent literature on applying deep learning technologies to advance the health care domain. Based on the analyzed work, we suggest that deep learning approaches could be the vehicle for translating big biomedical data into improved human health. However, we also note limitations and needs for improved methods development and applications, especially in terms of ease-of-understanding for domain experts and citizen scientists. We discuss such challenges and suggest developing holistic and meaningful interpretable architectures to bridge deep learning models and human interpretability.</t>
  </si>
  <si>
    <t>Applications of deep learning in detection of glaucoma: A systematic review</t>
  </si>
  <si>
    <t>Glaucoma is the leading cause of irreversible blindness and disability worldwide. Nevertheless, the majority of patients do not know they have the disease and detection of glaucoma progression using standard technology remains a challenge in clinical practice. Artificial intelligence (AI) is an expanding field that offers the potential to improve diagnosis and screening for glaucoma with minimal reliance on human input. Deep learning (DL) algorithms have risen to the forefront of AI by providing nearly human-level performance, at times exceeding the performance of humans for detection of glaucoma on structural and functional tests. A succinct summary of present studies and challenges to be addressed in this field is needed. Following PRISMA guidelines, we conducted a systematic review of studies that applied DL methods for detection of glaucoma using color fundus photographs, optical coherence tomography (OCT), or standard automated perimetry (SAP). In this review article we describe recent advances in DL as applied to the diagnosis of glaucoma and glaucoma progression for application in screening and clinical settings, as well as the challenges that remain when applying this novel technique in glaucoma.</t>
  </si>
  <si>
    <t>Eur J Ophthalmol</t>
  </si>
  <si>
    <t>Image quality improvement of single-shot turbo spin-echo magnetic resonance imaging of female pelvis using a convolutional neural network</t>
  </si>
  <si>
    <t>We have developed a deep learning-based approach to improve image quality of single-shot turbo spin-echo (SSTSE) images of female pelvis. We aimed to compare the deep learning-based single-shot turbo spin-echo (DL-SSTSE) images of female pelvis with turbo spin-echo (TSE) and conventional SSTSE images in terms of image quality.One hundred five and 21 subjects were used as training and test sets, respectively. We performed 6-fold cross validation. In the training process, low-quality images were generated from TSE images as input. TSE images were used as ground truth images. In the test process, the trained convolutional neural network was applied to SSTSE images. The output images were denoted as DL-SSTSE images. Apart from DL-SSTSE images, classical filtering methods were adopted to SSTSE images. Generated images were denoted as F-SSTSE images. Contrast ratio (CR) of gluteal fat and myometrium and signal-to-noise ratio (SNR) of gluteal fat were measured for all images. Two radiologists graded these images using a 5-point scale and evaluated the image quality with regard to overall image quality, contrast, noise, motion artifact, boundary sharpness of layers in the uterus, and the conspicuity of the ovaries. CRs, SNRs, and image quality scores were compared using the Steel-Dwass multiple comparison tests.CRs and SNRs were significantly higher in DL-SSTSE, F-SSTSE, and TSE images than in SSTSE images. Scores with regard to overall image quality, contrast, noise, and boundary sharpness of layers in the uterus were significantly higher on DL-SSTSE and TSE images than on SSTSE images. There were no significant differences in the CRs, SNRs, and respective scores between DL-SSTSE and TSE images. The score with regard to motion artifacts was significantly higher on DL-SSTSE, F-SSTSE, and SSTSE images than on TSE images. The score with regard to the conspicuity of ovaries was significantly higher on DL-SSTSE images than on F-SSTSE, SSTSE, and TSE images (P &lt; .001).DL-SSTSE images showed higher image quality as compared with SSTSE images. In comparison with conventional TSE images, DL-SSTSE images had acceptable image quality while keeping the advantage of the motion artifact-robustness and acquisition time efficiency in SSTSE imaging.</t>
  </si>
  <si>
    <t>Evaluation of Face2Gene using facial images of patients with congenital dysmorphic syndromes recruited in Japan</t>
  </si>
  <si>
    <t>An increasing number of genetic syndromes present a challenge to clinical geneticists. A deep learning-based diagnosis assistance system, Face2Gene, utilizes the aggregation of gestalt, comprising data summarizing features of patients' facial images, to suggest candidate syndromes. Because Face2Gene's results may be affected by ethnicity and age at which training facial images were taken, the system performance for patients in Japan is still unclear. Here, we present an evaluation of Face2Gene using the following two patient groups recruited in Japan: Group 1 consisting of 74 patients with 47 congenital dysmorphic syndromes, and Group 2 consisting of 34 patients with Down syndrome. In Group 1, facial recognition failed for 4 of 74 patients, while 13-21 of 70 patients had a diagnosis for which Face2Gene had not been trained. Omitting these 21 patients, for 85.7% (42/49) of the remainder, the correct syndrome was identified within the top 10 suggested list. In Group 2, for the youngest facial images taken for each of the 34 patients, Down syndrome was successfully identified as the highest-ranking condition using images taken from newborns to those aged 25 years. For the oldest facial images taken at ≥20 years in each of 17 applicable patients, Down syndrome was successfully identified as the highest- and second-highest-ranking condition in 82.2% (14/17) and 100% (17/17) of the patients using images taken from 20 to 40 years. These results suggest that Face2Gene in its current format is already useful in suggesting candidate syndromes to clinical geneticists, using patients with congenital dysmorphic syndromes in Japan.</t>
  </si>
  <si>
    <t>H. Mishima, H. Suzuki, M. Doi, M. Miyazaki, S. Watanabe, T. Matsumoto, K. Morifuji, H. Moriuchi, K. I. Yoshiura, T. Kondoh and K. Kosaki</t>
  </si>
  <si>
    <t>J Hum Genet</t>
  </si>
  <si>
    <t>Identifying COVID19 from Chest CT Images: A Deep Convolutional Neural Networks Based Approach</t>
  </si>
  <si>
    <t>Coronavirus Disease (COVID19) is a fast-spreading infectious disease that is currently causing a healthcare crisis around the world. Due to the current limitations of the reverse transcription-polymerase chain reaction (RT-PCR) based tests for detecting COVID19, recently radiology imaging based ideas have been proposed by various works. In this work, various Deep CNN based approaches are explored for detecting the presence of COVID19 from chest CT images. A decision fusion based approach is also proposed, which combines predictions from multiple individual models, to produce a final prediction. Experimental results show that the proposed decision fusion based approach is able to achieve above 86% results across all the performance metrics under consideration, with average AUROC and F1-Score being 0.883 and 0.867, respectively. The experimental observations suggest the potential applicability of such Deep CNN based approach in real diagnostic scenarios, which could be of very high utility in terms of achieving fast testing for COVID19.</t>
  </si>
  <si>
    <t>Automated Retinal Layer Segmentation Using Graph-based Algorithm Incorporating Deep-learning-derived Information</t>
  </si>
  <si>
    <t>Regular drusen, an accumulation of material below the retinal pigment epithelium (RPE), have long been established as a hallmark early feature of nonneovascular age-related macular degeneration (AMD). Advances in imaging have expanded the phenotype of AMD to include another extracellular deposit, reticular pseudodrusen (RPD) (also termed subretinal drusenoid deposits, SDD), which are located above the RPE. We developed an approach to automatically segment retinal layers associated with regular drusen and RPD in spectral domain (SD) optical coherence tomography (OCT) images. More specifically, a shortest-path algorithm enhanced with probability maps generated through a fully convolutional neural network was used to segment drusen and RPD, as well as 11 retinal layers in SD-OCT volumes. This algorithm achieves a mean difference that is within the subpixel accuracy range drusen and RPD, alongside the other 11 retinal layers, highlighting the high robustness of this algorithm for this dataset. To the best of our knowledge, this is the first report of a validated algorithm for the automated segmentation of the retinal layers including early AMD features of RPD and regular drusen separately on SD-OCT images.</t>
  </si>
  <si>
    <t>Synthesizing images from multiple kernels using a deep convolutional neural network</t>
  </si>
  <si>
    <t>PURPOSE: Filtering measured projections with a particular convolutional kernel is an essential step in analytic reconstruction of computed tomography (CT) images. A tradeoff between noise and spatial resolution exists for different choices of reconstruction kernel. In a clinical setting, this often requires producing multiple images reconstructed with different kernels for a single CT exam, which increases the burden of computation, networking, archival, and reading. We address this problem by training a deep convolutional neural network (CNN) to synthesize multiple input images into a single output image which exhibits low noise while also preserving features in images reconstructed with the sharpest kernels. METHODS: A CNN architecture consisting of repeated blocks of residual units containing a total of 20 convolutional layers was used to combine features. The CNN inputs consisted of two images produced with different reconstruction kernels, one smooth and one sharp, which were stacked in the channel dimension. The network was trained using supervised learning with both full-dose and simulated quarter-dose abdominal CT images. After training, the performance was evaluated using a reserved set of full-dose scans that were not used for network optimization. Noise reduction performance was measured by comparing root mean square (RMS) measurements in uniform regions. Spatial resolution was compared using line profiles of anatomic features. RESULTS: For the regions tested, the synthetic images feature noise levels slightly below those of the smooth input images, while maintaining the resolution of anatomic details found in the sharp input images. CONCLUSIONS: A deep CNN can be used combine features from CT images reconstructed with different kernels to produce a single synthesized image series that exhibits both low noise and high spatial resolution. This approach has implications for improving image quality, reducing radiation dose, and simplifying the clinical workflow for CT imaging.</t>
  </si>
  <si>
    <t>The importance of standardisation - COVID-19 CT &amp; Radiograph Image Data Stock for deep learning purpose</t>
  </si>
  <si>
    <t>With the number of affected individuals still growing world-wide, the research on COVID-19 is continuously expanding. The deep learning community concentrates their efforts on exploring if neural networks can potentially support the diagnosis using CT and radiograph images of patients' lungs. The two most popular publicly available datasets for COVID-19 classification are COVID-CT and COVID-19 Image Data Collection. In this work, we propose a new dataset which we call COVID-19 CT &amp; Radiograph Image Data Stock. It contains both CT and radiograph samples of COVID-19 lung findings and combines them with additional data to ensure a sufficient number of diverse COVID-19-negative samples. Moreover, it is supplemented with a carefully defined split. The aim of COVID-19 CT &amp; Radiograph Image Data Stock is to create a public pool of CT and radiograph images of lungs to increase the efficiency of distinguishing COVID-19 disease from other types of pneumonia and from healthy chest. We hope that the creation of this dataset would allow standardisation of the approach taken for training deep neural networks for COVID-19 classification and eventually for building more reliable models.</t>
  </si>
  <si>
    <t>The region of interest localization for glaucoma analysis from retinal fundus image using deep learning</t>
  </si>
  <si>
    <t>BACKGROUND AND OBJECTIVES: Retinal fundus image analysis without manual intervention has been rising as an imperative analytical approach for early detection of eye-related diseases such as glaucoma and diabetic retinopathy. For analysis and detection of Glaucoma and some other disease from retinal image, there is a significant role of predicting the bounding box coordinates of Optic Disc (OD) that acts as a Region of Interest (ROI). METHODS: We reframe ROI detection as a solitary regression predicament, from image pixel values to ROI coordinates including class probabilities. A Convolution Neural Network (CNN) has trained on full images to predict bounding boxes along with their analogous probabilities and confidence scores. The publically available MESSIDOR and Kaggle datasets have been used to train the network. We adopted various data augmentation techniques to amplify our dataset so that our network becomes less sensitive to noise. From a very high-level perspective, every image is divided into a 13 × 13 grid. Every grid cell envisages 5 bounding boxes along with the corresponding class probability and a confidence score. Before training, the network and the bounding box priors or anchors are initialized using k-means clustering on the original dataset using a distance metric based on Intersection of the Union (IOU) over ground-truth bounding boxes. During training in fact, a sum-squared loss function is used as the prediction's error function. Finally, Non-maximum suppression is applied by the proposed methodology to reach the concluding prediction. RESULTS: The following projected method accomplish an accuracy of 99.05% and 98.78% on the Kaggle and MESSIDOR test sets for ROI detection. Results of proposed methodology indicates that proposed network is able to perceive ROI in fundus images in 0.0045 s at 25 ms of latency, which is far better than the recent-time and using no handcrafted features. CONCLUSIONS: The network predicts accurate results even on low-quality images without being biased towards any particular type of image. The network prepared to see more summed up depiction rather than past works in the field. Going by the results, our novel method has better diagnosis of eye diseases in the future in a faster and reliable way.</t>
  </si>
  <si>
    <t>A. Mitra, P. S. Banerjee, S. Roy, S. Roy and S. K. Setua</t>
  </si>
  <si>
    <t>Automatic gas detection in prostate cancer patients during image-guided radiation therapy using a deep convolutional neural network</t>
  </si>
  <si>
    <t>PURPOSE: The detection of intestinal/rectal gas is very important during image-guided radiation therapy (IGRT) of prostate cancer patients because intestinal/rectal gas increases the inter- and intra-fractional prostate motion. We propose a deep convolutional neural network (DCNN) to detect intestinal/rectal gas in the pelvic region. MATERIAL AND METHODS: We selected 300 anterior-posterior kilo-voltage (kV) X-ray images from 30 prostate cancer patients. Thirty images were randomly chosen for a test set, and the remaining 270 images used as the training set. The intestinal/rectal gas was manually delineated on kV X-ray images and segmented. The training images were augmented by applying artificial shifts and fed into a DCNN. The network models were trained to keep the quality of the output image close to the quality of the input image by pooling and upsampling. The training set was used to adjust the parameters of the DCNN, and the test set was used to assess the performance of the model. The performance of the DCNN was evaluated using a fivefold cross-validation procedure. The dice similarity coefficient (DSC) was calculated to evaluate the detection accuracy between the manual contour and auto-segmentation. RESULTS: The DCNN was trained within approximately 17 min with a time step of 20 s/epoch. The training and validation accuracy of the models after 50epochs were 0.94 and 0.85, respectively. The average ± standard deviation of the DSC for 30 test images was 0.85 ± 0.08. CONCLUSIONS: The proposed DCNN method can automatically detect the intestinal/rectal gas in kV images with good accuracy.</t>
  </si>
  <si>
    <t>Deep learning shows the capability of high-level computer-aided diagnosis in malignant lymphoma</t>
  </si>
  <si>
    <t>A pathological evaluation is one of the most important methods for the diagnosis of malignant lymphoma. A standardized diagnosis is occasionally difficult to achieve even by experienced hematopathologists. Therefore, established procedures including a computer-aided diagnosis are desired. This study aims to classify histopathological images of malignant lymphomas through deep learning, which is a computer algorithm and type of artificial intelligence (AI) technology. We prepared hematoxylin and eosin (H&amp;E) slides of a lesion area from 388 sections, namely, 259 with diffuse large B-cell lymphoma, 89 with follicular lymphoma, and 40 with reactive lymphoid hyperplasia, and created whole slide images (WSIs) using a whole slide system. WSI was annotated in the lesion area by experienced hematopathologists. Image patches were cropped from the WSI to train and evaluate the classifiers. Image patches at magnifications of ×5, ×20, and ×40 were randomly divided into a test set and a training and evaluation set. The classifier was assessed using the test set through a cross-validation after training. The classifier achieved the highest levels of accuracy of 94.0%, 93.0%, and 92.0% for image patches with magnifications of ×5, ×20, and ×40, respectively, in comparison to diffuse large B-cell lymphoma, follicular lymphoma, and reactive lymphoid hyperplasia. Comparing the diagnostic accuracies between the proposed classifier and seven pathologists, including experienced hematopathologists, using the test set made up of image patches with magnifications of ×5, ×20, and ×40, the best accuracy demonstrated by the classifier was 97.0%, whereas the average accuracy achieved by the pathologists using WSIs was 76.0%, with the highest accuracy reaching 83.3%. In conclusion, the neural classifier can outperform pathologists in a morphological evaluation. These results suggest that the AI system can potentially support the diagnosis of malignant lymphoma.</t>
  </si>
  <si>
    <t>Lab Invest</t>
  </si>
  <si>
    <t>Automated interpretation of the coronary angioscopy with deep convolutional neural networks</t>
  </si>
  <si>
    <t>BACKGROUND: Coronary angioscopy (CAS) is a useful modality to assess atherosclerotic changes, but interpretation of the images requires expert knowledge. Deep convolutional neural networks (DCNN) can be used for diagnostic prediction and image synthesis. METHODS: 107 images from 47 patients, who underwent CAS in our hospital between 2014 and 2017, and 864 images, selected from 142 MEDLINE-indexed articles published between 2000 and 2019, were analysed. First, we developed a prediction model for the angioscopic findings. Next, we made a generative adversarial networks (GAN) model to simulate the CAS images. Finally, we tried to control the output images according to the angioscopic findings with conditional GAN architecture. RESULTS: For both yellow colour (YC) grade and neointimal coverage (NC) grade, we could observe strong correlations between the true grades and the predicted values (YC grade, average r=0.80±0.02, p&lt;0.001; NC grade, average r=0.73±0.02, p&lt;0.001). The binary classification model for the red thrombus yielded 0.71±0.03 F(1)-score and the area under the receiver operator characteristic curve was 0.91±0.02. The standard GAN model could generate realistic CAS images (average Inception score=3.57±0.06). GAN-based data augmentation improved the performance of the prediction models. In the conditional GAN model, there were significant correlations between given values and the expert's diagnosis in YC grade but not in NC grade. CONCLUSION: DCNN is useful in both predictive and generative modelling that can help develop the diagnostic support system for CAS.</t>
  </si>
  <si>
    <t>Open Heart</t>
  </si>
  <si>
    <t>3D convolutional neural networks for tumor segmentation using long-range 2D context</t>
  </si>
  <si>
    <t>We present an efficient deep learning approach for the challenging task of tumor segmentation in multisequence MR images. In recent years, Convolutional Neural Networks (CNN) have achieved state-of-the-art performances in a large variety of recognition tasks in medical imaging. Because of the considerable computational cost of CNNs, large volumes such as MRI are typically processed by subvolumes, for instance slices (axial, coronal, sagittal) or small 3D patches. In this paper we introduce a CNN-based model which efficiently combines the advantages of the short-range 3D context and the long-range 2D context. Furthermore, we propose a network architecture with modality-specific subnetworks in order to be more robust to the problem of missing MR sequences during the training phase. To overcome the limitations of specific choices of neural network architectures, we describe a hierarchical decision process to combine outputs of several segmentation models. Finally, a simple and efficient algorithm for training large CNN models is introduced. We evaluate our method on the public benchmark of the BRATS 2017 challenge on the task of multiclass segmentation of malignant brain tumors. Our method achieves good performances and produces accurate segmentations with median Dice scores of 0.918 (whole tumor), 0.883 (tumor core) and 0.854 (enhancing core).</t>
  </si>
  <si>
    <t>P. Mlynarski, H. Delingette, A. Criminisi and N. Ayache</t>
  </si>
  <si>
    <t>Development and testing of a deep learning-based strategy for scar segmentation on CMR-LGE images</t>
  </si>
  <si>
    <t>OBJECTIVE: The aim of this paper is to investigate the use of fully convolutional neural networks (FCNNs) to segment scar tissue in the left ventricle from cardiac magnetic resonance with late gadolinium enhancement (CMR-LGE) images. METHODS: A successful FCNN in the literature (the ENet) was modified and trained to provide scar-tissue segmentation. Two segmentation protocols (Protocol 1 and Protocol 2) were investigated, the latter limiting the scar-segmentation search area to the left ventricular myocardial tissue region. CMR-LGE from 30 patients with ischemic-heart disease were retrospectively analyzed, for a total of 250 images, presenting high variability in terms of scar dimension and location. Segmentation results were assessed against manual scar-tissue tracing using one-patient-out cross validation. RESULTS: Protocol 2 outperformed Protocol 1 significantly (p value &lt; 0.05), with median sensitivity and Dice similarity coefficient equal to 88.07% [inter-quartile range (IQR) 18.84%] and 71.25% (IQR 31.82%), respectively. DISCUSSION: Both segmentation protocols were able to detect scar tissues in the CMR-LGE images but higher performance was achieved when limiting the search area to the myocardial region. The findings of this paper represent an encouraging starting point for the use of FCNNs for the segmentation of nonviable scar tissue from CMR-LGE images.</t>
  </si>
  <si>
    <t>S. Moccia, R. Banali, C. Martini, G. Muscogiuri, G. Pontone, M. Pepi and E. G. Caiani</t>
  </si>
  <si>
    <t>Magma</t>
  </si>
  <si>
    <t>Accurate and rapid background estimation in single-molecule localization microscopy using the deep neural network BGnet</t>
  </si>
  <si>
    <t>Background fluorescence, especially when it exhibits undesired spatial features, is a primary factor for reduced image quality in optical microscopy. Structured background is particularly detrimental when analyzing single-molecule images for 3-dimensional localization microscopy or single-molecule tracking. Here, we introduce BGnet, a deep neural network with a U-net-type architecture, as a general method to rapidly estimate the background underlying the image of a point source with excellent accuracy, even when point-spread function (PSF) engineering is in use to create complex PSF shapes. We trained BGnet to extract the background from images of various PSFs and show that the identification is accurate for a wide range of different interfering background structures constructed from many spatial frequencies. Furthermore, we demonstrate that the obtained background-corrected PSF images, for both simulated and experimental data, lead to a substantial improvement in localization precision. Finally, we verify that structured background estimation with BGnet results in higher quality of superresolution reconstructions of biological structures.</t>
  </si>
  <si>
    <t>10.1038/s41592-019-0403-1</t>
  </si>
  <si>
    <t>Deep learning for cellular image analysis</t>
  </si>
  <si>
    <t>Recent advances in computer vision and machine learning underpin a collection of algorithms with an impressive ability to decipher the content of images. These deep learning algorithms are being applied to biological images and are transforming the analysis and interpretation of imaging data. These advances are positioned to render difficult analyses routine and to enable researchers to carry out new, previously impossible experiments. Here we review the intersection between deep learning and cellular image analysis and provide an overview of both the mathematical mechanics and the programming frameworks of deep learning that are pertinent to life scientists. We survey the field's progress in four key applications: image classification, image segmentation, object tracking, and augmented microscopy. Last, we relay our labs' experience with three key aspects of implementing deep learning in the laboratory: annotating training data, selecting and training a range of neural network architectures, and deploying solutions. We also highlight existing datasets and implementations for each surveyed application.</t>
  </si>
  <si>
    <t>Evaluation of a deep learning approach for the segmentation of brain tissues and white matter hyperintensities of presumed vascular origin in MRI</t>
  </si>
  <si>
    <t>Automatic segmentation of brain tissues and white matter hyperintensities of presumed vascular origin (WMH) in MRI of older patients is widely described in the literature. Although brain abnormalities and motion artefacts are common in this age group, most segmentation methods are not evaluated in a setting that includes these items. In the present study, our tissue segmentation method for brain MRI was extended and evaluated for additional WMH segmentation. Furthermore, our method was evaluated in two large cohorts with a realistic variation in brain abnormalities and motion artefacts. The method uses a multi-scale convolutional neural network with a T(1)-weighted image, a T(2)-weighted fluid attenuated inversion recovery (FLAIR) image and a T(1)-weighted inversion recovery (IR) image as input. The method automatically segments white matter (WM), cortical grey matter (cGM), basal ganglia and thalami (BGT), cerebellum (CB), brain stem (BS), lateral ventricular cerebrospinal fluid (lvCSF), peripheral cerebrospinal fluid (pCSF), and WMH. Our method was evaluated quantitatively with images publicly available from the MRBrainS13 challenge (n = 20), quantitatively and qualitatively in relatively healthy older subjects (n = 96), and qualitatively in patients from a memory clinic (n = 110). The method can accurately segment WMH (Overall Dice coefficient in the MRBrainS13 data of 0.67) without compromising performance for tissue segmentations (Overall Dice coefficients in the MRBrainS13 data of 0.87 for WM, 0.85 for cGM, 0.82 for BGT, 0.93 for CB, 0.92 for BS, 0.93 for lvCSF, 0.76 for pCSF). Furthermore, the automatic WMH volumes showed a high correlation with manual WMH volumes (Spearman's ρ = 0.83 for relatively healthy older subjects). In both cohorts, our method produced reliable segmentations (as determined by a human observer) in most images (relatively healthy/memory clinic: tissues 88%/77% reliable, WMH 85%/84% reliable) despite various degrees of brain abnormalities and motion artefacts. In conclusion, this study shows that a convolutional neural network-based segmentation method can accurately segment brain tissues and WMH in MR images of older patients with varying degrees of brain abnormalities and motion artefacts.</t>
  </si>
  <si>
    <t>P. Moeskops, J. de Bresser, H. J. Kuijf, A. M. Mendrik, G. J. Biessels, J. P. W. Pluim and I. Išgum</t>
  </si>
  <si>
    <t>Incorporating prior shape knowledge via data-driven loss model to improve 3D liver segmentation in deep CNNs</t>
  </si>
  <si>
    <t>PURPOSE: Convolutional neural networks (CNNs) have obtained enormous success in liver segmentation. However, there are several challenges, including low-contrast images, and large variations in the shape, and appearance of the liver. Incorporating prior knowledge in deep CNN models improves their performance and generalization. METHODS: A convolutional denoising auto-encoder is utilized to learn global information about 3D liver shapes in a low-dimensional latent space. Then, the deep data-driven knowledge is used to define a loss function and combine it with the Dice loss in the main segmentation model. The resultant hybrid model would be forced to learn the global shape information as prior knowledge, while it tries to produce accurate results and increase the Dice score. RESULTS: The proposed training strategy improved the performance of the 3D U-Net model and reached the Dice score of 97.62% on the Sliver07-I liver dataset, which is competitive to the state-of-the-art automatic segmentation methods. The proposed algorithm enhanced the generalization and robustness of the hybrid model and outperformed the 3D U-Net model in the prediction of unseen images. CONCLUSIONS: The results indicate that the incorporation of prior shape knowledge enhances liver segmentation tasks in deep CNN models. The proposed method improves the generalization and robustness of the hybrid model due to the abstract features provided by the data-driven loss model.</t>
  </si>
  <si>
    <t>A deep learning method for classifying mammographic breast density categories</t>
  </si>
  <si>
    <t>PURPOSE: Mammographic breast density is an established risk marker for breast cancer and is visually assessed by radiologists in routine mammogram image reading, using four qualitative Breast Imaging and Reporting Data System (BI-RADS) breast density categories. It is particularly difficult for radiologists to consistently distinguish the two most common and most variably assigned BI-RADS categories, i.e., scattered density and heterogeneously dense. The aim of this work was to investigate a deep learning-based breast density classifier to consistently distinguish these two categories, aiming at providing a potential computerized tool to assist radiologists in assigning a BI-RADS category in current clinical workflow. METHODS: In this study, we constructed a convolutional neural network (CNN)-based model coupled with a large (i.e., 22,000 images) digital mammogram imaging dataset to evaluate the classification performance between the two aforementioned breast density categories. All images were collected from a cohort of 1,427 women who underwent standard digital mammography screening from 2005 to 2016 at our institution. The truths of the density categories were based on standard clinical assessment made by board-certified breast imaging radiologists. Effects of direct training from scratch solely using digital mammogram images and transfer learning of a pretrained model on a large nonmedical imaging dataset were evaluated for the specific task of breast density classification. In order to measure the classification performance, the CNN classifier was also tested on a refined version of the mammogram image dataset by removing some potentially inaccurately labeled images. Receiver operating characteristic (ROC) curves and the area under the curve (AUC) were used to measure the accuracy of the classifier. RESULTS: The AUC was 0.9421 when the CNN-model was trained from scratch on our own mammogram images, and the accuracy increased gradually along with an increased size of training samples. Using the pretrained model followed by a fine-tuning process with as few as 500 mammogram images led to an AUC of 0.9265. After removing the potentially inaccurately labeled images, AUC was increased to 0.9882 and 0.9857 for without and with the pretrained model, respectively, both significantly higher (P &lt; 0.001) than when using the full imaging dataset. CONCLUSIONS: Our study demonstrated high classification accuracies between two difficult to distinguish breast density categories that are routinely assessed by radiologists. We anticipate that our approach will help enhance current clinical assessment of breast density and better support consistent density notification to patients in breast cancer screening.</t>
  </si>
  <si>
    <t>A. A. Mohamed, W. A. Berg, H. Peng, Y. Luo, R. C. Jankowitz and S. Wu</t>
  </si>
  <si>
    <t>Understanding Clinical Mammographic Breast Density Assessment: a Deep Learning Perspective</t>
  </si>
  <si>
    <t>Mammographic breast density has been established as an independent risk marker for developing breast cancer. Breast density assessment is a routine clinical need in breast cancer screening and current standard is using the Breast Imaging and Reporting Data System (BI-RADS) criteria including four qualitative categories (i.e., fatty, scattered density, heterogeneously dense, or extremely dense). In each mammogram examination, a breast is typically imaged with two different views, i.e., the mediolateral oblique (MLO) view and cranial caudal (CC) view. The BI-RADS-based breast density assessment is a qualitative process made by visual observation of both the MLO and CC views by radiologists, where there is a notable inter- and intra-reader variability. In order to maintain consistency and accuracy in BI-RADS-based breast density assessment, gaining understanding on radiologists' reading behaviors will be educational. In this study, we proposed to leverage the newly emerged deep learning approach to investigate how the MLO and CC view images of a mammogram examination may have been clinically used by radiologists in coming up with a BI-RADS density category. We implemented a convolutional neural network (CNN)-based deep learning model, aimed at distinguishing the breast density categories using a large (15,415 images) set of real-world clinical mammogram images. Our results showed that the classification of density categories (in terms of area under the receiver operating characteristic curve) using MLO view images is significantly higher than that using the CC view. This indicates that most likely it is the MLO view that the radiologists have predominately used to determine the breast density BI-RADS categories. Our study holds a potential to further interpret radiologists' reading characteristics, enhance personalized clinical training to radiologists, and ultimately reduce reader variations in breast density assessment.</t>
  </si>
  <si>
    <t>A. A. Mohamed, Y. Luo, H. Peng, R. C. Jankowitz and S. Wu</t>
  </si>
  <si>
    <t>Real-Time Deep Pose Estimation With Geodesic Loss for Image-to-Template Rigid Registration</t>
  </si>
  <si>
    <t>With an aim to increase the capture range and accelerate the performance of state-of-the-art inter-subject and subject-to-template 3-D rigid registration, we propose deep learning-based methods that are trained to find the 3-D position of arbitrarily-oriented subjects or anatomy in a canonical space based on slices or volumes of medical images. For this, we propose regression convolutional neural networks (CNNs) that learn to predict the angle-axis representation of 3-D rotations and translations using image features. We use and compare mean square error and geodesic loss to train regression CNNs for 3-D pose estimation used in two different scenarios: slice-to-volume registration and volume-to-volume registration. As an exemplary application, we applied the proposed methods to register arbitrarily oriented reconstructed images of fetuses scanned in-utero at a wide gestational age range to a standard atlas space. Our results show that in such registration applications that are amendable to learning, the proposed deep learning methods with geodesic loss minimization achieved 3-D pose estimation with a wide capture range in real-time (&lt;100ms). We also tested the generalization capability of the trained CNNs on an expanded age range and on images of newborn subjects with similar and different MR image contrasts. We trained our models on T2-weighted fetal brain MRI scans and used them to predict the 3-D pose of newborn brains based on T1-weighted MRI scans. We showed that the trained models generalized well for the new domain when we performed image contrast transfer through a conditional generative adversarial network. This indicates that the domain of application of the trained deep regression CNNs can be further expanded to image modalities and contrasts other than those used in training. A combination of our proposed methods with accelerated optimization-based registration algorithms can dramatically enhance the performance of automatic imaging devices and image processing methods of the future.</t>
  </si>
  <si>
    <t>S. S. Mohseni Salehi, S. Khan, D. Erdogmus and A. Gholipour</t>
  </si>
  <si>
    <t>Morphometric analysis of peripheral myelinated nerve fibers through deep learning</t>
  </si>
  <si>
    <t>Irrespective of initial causes of neurological diseases, these disorders usually exhibit two key pathological changes-axonal loss or demyelination or a mixture of the two. Therefore, vigorous quantification of myelin and axons is essential in studying these diseases. However, the process of quantification has been labor intensive and time-consuming because of the requisite manual segmentation of myelin and axons from microscopic nerve images. As a part of AI development, deep learning has been utilized to automate certain tasks, such as image analysis. This study describes the development of a convolutional neural network (CNN)-based approach to segment images of mouse nerve cross sections. We adapted the U-Net architecture and used manually-produced segmentation data accumulated over many years in our lab for training. These images ranged from normal nerves to those afflicted by severe myelin and axon pathologies; thus, maximizing the trained model's ability to recognize atypical myelin structures. Morphometric data produced by applying the trained model to additional images were then compared to manually obtained morphometrics. The former effectively shortened the time consumption in the morphometric analysis with excellent accuracy in axonal density and g-ratio. However, we were not able to completely eliminate manual refinement of the segmentation product. We also observed small variations in axon diameter and myelin thickness within 9.5%. Nevertheless, we learned alternative ways to improve accuracy through the study. Overall, greatly increased efficiency in the CNN-based approach out-weighs minor limitations that will be addressed in future studies, thus justifying our confidence in its prospects. Note: All the relevant code is freely available at https://neurology.med.wayne.edu/drli-datashairing.</t>
  </si>
  <si>
    <t>J Peripher Nerv Syst</t>
  </si>
  <si>
    <t>Prediction of Non-small Cell Lung Cancer Histology by a Deep Ensemble of Convolutional and Bidirectional Recurrent Neural Network</t>
  </si>
  <si>
    <t>Histology subtype prediction is a major task for grading non-small cell lung cancer (NSCLC) tumors. Invasive methods such as biopsy often lack in tumor sample, and as a result radiologists or oncologists find it difficult to detect proper histology of NSCLC tumors. The non-invasive methods such as machine learning may play a useful role to predict NSCLC histology by using medical image biomarkers. Few attempts have so far been made to predict NSCLC histology by considering all the major subtypes. The present study aimed to develop a more accurate deep learning model by clubbing convolutional and bidirectional recurrent neural networks. The NSCLC Radiogenomics dataset having 211 subjects was used in the study. Ten best models found during experimentation were averaged to form an ensemble. The model ensemble was executed with 10-fold repeated stratified cross-validation, and the results got were tested with metrics like accuracy, recall, precision, F1-score, Cohen's kappa, and ROC-AUC score. The accuracy of the ensemble model showed considerable improvement over the best model found with the single model. The proposed model may help significantly in the automated prognosis of NSCLC and other types of cancers.</t>
  </si>
  <si>
    <t>Fully Automated Postlumpectomy Breast Margin Assessment Utilizing Convolutional Neural Network Based Optical Coherence Tomography Image Classification Method</t>
  </si>
  <si>
    <t>BACKGROUND: The purpose of this study was to develop a deep learning classification approach to distinguish cancerous from noncancerous regions within optical coherence tomography (OCT) images of breast tissue for potential use in an intraoperative setting for margin assessment. METHODS: A custom ultrahigh-resolution OCT (UHR-OCT) system with an axial resolution of 2.7 μm and a lateral resolution of 5.5 μm was used in this study. The algorithm used an A-scan-based classification scheme and the convolutional neural network (CNN) was implemented using an 11-layer architecture consisting of serial 3 × 3 convolution kernels. Four tissue types were classified, including adipose, stroma, ductal carcinoma in situ, and invasive ductal carcinoma. RESULTS: The binary classification of cancer versus noncancer with the proposed CNN achieved 94% accuracy, 96% sensitivity, and 92% specificity. The mean five-fold validation F1 score was highest for invasive ductal carcinoma (mean standard deviation, 0.89 ± 0.09) and adipose (0.79 ± 0.17), followed by stroma (0.74 ± 0.18), and ductal carcinoma in situ (0.65 ± 0.15). CONCLUSION: It is feasible to use CNN based algorithm to accurately distinguish cancerous regions in OCT images. This fully automated method can overcome limitations of manual interpretation including interobserver variability and speed of interpretation and may enable real-time intraoperative margin assessment.</t>
  </si>
  <si>
    <t>10.1016/j.artmed.2020.101878</t>
  </si>
  <si>
    <t>Deep learning in generating radiology reports: A survey</t>
  </si>
  <si>
    <t>Substantial progress has been made towards implementing automated radiology reporting models based on deep learning (DL). This is due to the introduction of large medical text/image datasets. Generating radiology coherent paragraphs that do more than traditional medical image annotation, or single sentence-based description, has been the subject of recent academic attention. This presents a more practical and challenging application and moves towards bridging visual medical features and radiologist text. So far, the most common approach has been to utilize publicly available datasets and develop DL models that integrate convolutional neural networks (CNN) for image analysis alongside recurrent neural networks (RNN) for natural language processing (NLP) and natural language generation (NLG). This is an area of research that we anticipate will grow in the near future. We focus our investigation on the following critical challenges: understanding radiology text/image structures and datasets, applying DL algorithms (mainly CNN and RNN), generating radiology text, and improving existing DL based models and evaluation metrics. Lastly, we include a critical discussion and future research recommendations. This survey will be useful for researchers interested in DL, particularly those interested in applying DL to radiology reporting.</t>
  </si>
  <si>
    <t>10.1186/s13244-019-0832-5</t>
  </si>
  <si>
    <t>Deep learning workflow in radiology: a primer</t>
  </si>
  <si>
    <t>Interest for deep learning in radiology has increased tremendously in the past decade due to the high achievable performance for various computer vision tasks such as detection, segmentation, classification, monitoring, and prediction. This article provides step-by-step practical guidance for conducting a project that involves deep learning in radiology, from defining specifications, to deployment and scaling. Specifically, the objectives of this article are to provide an overview of clinical use cases of deep learning, describe the composition of multi-disciplinary team, and summarize current approaches to patient, data, model, and hardware selection. Key ideas will be illustrated by examples from a prototypical project on imaging of colorectal liver metastasis. This article illustrates the workflow for liver lesion detection, segmentation, classification, monitoring, and prediction of tumor recurrence and patient survival. Challenges are discussed, including ethical considerations, cohorting, data collection, anonymization, and availability of expert annotations. The practical guidance may be adapted to any project that requires automated medical image analysis.</t>
  </si>
  <si>
    <t>Multiclass semantic segmentation and quantification of traumatic brain injury lesions on head CT using deep learning: an algorithm development and multicentre validation study</t>
  </si>
  <si>
    <t>BACKGROUND: CT is the most common imaging modality in traumatic brain injury (TBI). However, its conventional use requires expert clinical interpretation and does not provide detailed quantitative outputs, which may have prognostic importance. We aimed to use deep learning to reliably and efficiently quantify and detect different lesion types. METHODS: Patients were recruited between Dec 9, 2014, and Dec 17, 2017, in 60 centres across Europe. We trained and validated an initial convolutional neural network (CNN) on expert manual segmentations (dataset 1). This CNN was used to automatically segment a new dataset of scans, which we then corrected manually (dataset 2). From this dataset, we used a subset of scans to train a final CNN for multiclass, voxel-wise segmentation of lesion types. The performance of this CNN was evaluated on a test subset. Performance was measured for lesion volume quantification, lesion progression, and lesion detection and lesion volume classification. For lesion detection, external validation was done on an independent set of 500 patients from India. FINDINGS: 98 scans from one centre were included in dataset 1. Dataset 2 comprised 839 scans from 38 centres: 184 scans were used in the training subset and 655 in the test subset. Compared with manual reference, CNN-derived lesion volumes showed a mean difference of 0·86 mL (95% CI -5·23 to 6·94) for intraparenchymal haemorrhage, 1·83 mL (-12·01 to 15·66) for extra-axial haemorrhage, 2·09 mL (-9·38 to 13·56) for perilesional oedema, and 0·07 mL (-1·00 to 1·13) for intraventricular haemorrhage. INTERPRETATION: We show the ability of a CNN to separately segment, quantify, and detect multiclass haemorrhagic lesions and perilesional oedema. These volumetric lesion estimates allow clinically relevant quantification of lesion burden and progression, with potential applications for personalised treatment strategies and clinical research in TBI. FUNDING: European Union 7th Framework Programme, Hannelore Kohl Stiftung, OneMind, NeuroTrauma Sciences, Integra Neurosciences, European Research Council Horizon 2020.</t>
  </si>
  <si>
    <t>10.1259/bjr.20190770</t>
  </si>
  <si>
    <t>Novel imaging biomarkers: epicardial adipose tissue evaluation</t>
  </si>
  <si>
    <t>Epicardial adipose tissue (EAT) is a metabolically activated beige adipose tissue, non-homogeneously surrounding the myocardium. Physiologically, EAT regulates toxic fatty acids, protects the coronary arteries against mechanical strain, regulates proinflammatory cytokines, stimulates the production of nitric oxide, reduces oxidative stress, and works as a thermogenic source against hypothermia. Conversely, EAT has pathologic paracrine interactions with the surrounded vessels, and might favour the onset of atrial fibrillation. In addition, initial atherosclerotic lesions can promote inflammation and trigger the EAT production of cytokines increasing vascular inflammation, which, in turn, may help the development of collateral vessels but also of self-stimulating, dysregulated inflammatory process, increasing coronary artery disease severity. Variations in EAT were also linked to metabolic syndrome. Echocardiography first estimated EAT measuring its thickness on the free wall of the right ventricle but does not allow accurate volumetric EAT estimates. Cardiac CT (CCT) and cardiac MR (CMR) allow for three-dimensional EAT estimates, the former showing higher spatial resolution and reproducibility but being limited by radiation exposure and long segmentation times, the latter being radiation-free but limited by lower spatial resolution and reproducibility, higher cost, and difficulties for obese patients. EAT radiodensity at CCT could to be related to underlying metabolic processes. The correlation between EAT and response to certain pharmacological therapies has also been investigated, showing promising results. In the future, semi-automatic or fully automatic techniques, machine/deep-learning methods, if validated, will facilitate research for various EAT measures and may find a place in CCT/CMR reporting.</t>
  </si>
  <si>
    <t>3D Deep Learning Angiography (3D-DLA) from C-arm Conebeam CT</t>
  </si>
  <si>
    <t>BACKGROUND AND PURPOSE: Deep learning is a branch of artificial intelligence that has demonstrated unprecedented performance in many medical imaging applications. Our purpose was to develop a deep learning angiography method to generate 3D cerebral angiograms from a single contrast-enhanced C-arm conebeam CT acquisition in order to reduce image artifacts and radiation dose. MATERIALS AND METHODS: A set of 105 3D rotational angiography examinations were randomly selected from an internal data base. All were acquired using a clinical system in conjunction with a standard injection protocol. More than 150 million labeled voxels from 35 subjects were used for training. A deep convolutional neural network was trained to classify each image voxel into 3 tissue types (vasculature, bone, and soft tissue). The trained deep learning angiography model was then applied for tissue classification into a validation cohort of 8 subjects and a final testing cohort of the remaining 62 subjects. The final vasculature tissue class was used to generate the 3D deep learning angiography images. To quantify the generalization error of the trained model, we calculated the accuracy, sensitivity, precision, and Dice similarity coefficients for vasculature classification in relevant anatomy. The 3D deep learning angiography and clinical 3D rotational angiography images were subjected to a qualitative assessment for the presence of intersweep motion artifacts. RESULTS: Vasculature classification accuracy and 95% CI in the testing dataset were 98.7% (98.3%-99.1%). No residual signal from osseous structures was observed for any 3D deep learning angiography testing cases except for small regions in the otic capsule and nasal cavity compared with 37% (23/62) of the 3D rotational angiographies. CONCLUSIONS: Deep learning angiography accurately recreated the vascular anatomy of the 3D rotational angiography reconstructions without a mask. Deep learning angiography reduced misregistration artifacts induced by intersweep motion, and it reduced radiation exposure required to obtain clinically useful 3D rotational angiography.</t>
  </si>
  <si>
    <t>J. C. Montoya, Y. Li, C. Strother and G. H. Chen</t>
  </si>
  <si>
    <t>10.1016/j.media.2020.101905</t>
  </si>
  <si>
    <t>A review of machine learning methods for retinal blood vessel segmentation and artery/vein classification</t>
  </si>
  <si>
    <t>The eye affords a unique opportunity to inspect a rich part of the human microvasculature non-invasively via retinal imaging. Retinal blood vessel segmentation and classification are prime steps for the diagnosis and risk assessment of microvascular and systemic diseases. A high volume of techniques based on deep learning have been published in recent years. In this context, we review 158 papers published between 2012 and 2020, focussing on methods based on machine and deep learning (DL) for automatic vessel segmentation and classification for fundus camera images. We divide the methods into various classes by task (segmentation or artery-vein classification), technique (supervised or unsupervised, deep and non-deep learning, hand-crafted methods) and more specific algorithms (e.g. multiscale, morphology). We discuss advantages and limitations, and include tables summarising results at-a-glance. Finally, we attempt to assess the quantitative merit of DL methods in terms of accuracy improvement compared to other methods. The results allow us to offer our views on the outlook for vessel segmentation and classification for fundus camera images.</t>
  </si>
  <si>
    <t>Acceleration of spleen segmentation with end-to-end deep learning method and automated pipeline</t>
  </si>
  <si>
    <t>Delineation of Computed Tomography (CT) abdominal anatomical structure, specifically spleen segmentation, is useful for not only measuring tissue volume and biomarkers but also for monitoring interventions. Recently, segmentation algorithms using deep learning have been widely used to reduce time humans spend to label CT data. However, the computerized segmentation has two major difficulties: managing intermediate results (e.g., resampled scans, 2D sliced image for deep learning), and setting up the system environments and packages for autonomous execution. To overcome these issues, we propose an automated pipeline for the abdominal spleen segmentation. This pipeline provides an end-to-end synthesized process that allows users to avoid installing any packages and to deal with the intermediate results locally. The pipeline has three major stages: pre-processing of input data, segmentation of spleen using deep learning, 3D reconstruction with the generated labels by matching the segmentation results with the original image dimensions, which can then be used later and for display or demonstration. Given the same volume scan, the approach described here takes about 50 s on average whereas the manual segmentation takes about 30 min on the average. Even if it includes all subsidiary processes such as preprocessing and necessary setups, the whole pipeline process requires on the average 20 min from beginning to end.</t>
  </si>
  <si>
    <t>MFP-Unet: A novel deep learning based approach for left ventricle segmentation in echocardiography</t>
  </si>
  <si>
    <t>Segmentation of the Left ventricle (LV) is a crucial step for quantitative measurements such as area, volume, and ejection fraction. However, the automatic LV segmentation in 2D echocardiographic images is a challenging task due to ill-defined borders, and operator dependence issues (insufficient reproducibility). U-net, which is a well-known architecture in medical image segmentation, addressed this problem through an encoder-decoder path. Despite outstanding overall performance, U-net ignores the contribution of all semantic strengths in the segmentation procedure. In the present study, we have proposed a novel architecture to tackle this drawback. Feature maps in all levels of the decoder path of U-net are concatenated, their depths are equalized, and up-sampled to a fixed dimension. This stack of feature maps would be the input of the semantic segmentation layer. The performance of the proposed model was evaluated using two sets of echocardiographic images: one public dataset and one prepared dataset. The proposed network yielded significantly improved results when comparing with results from U-net, dilated U-net, Unet++, ACNN, SHG, and deeplabv3. An average Dice Metric (DM) of 0.953, Hausdorff Distance (HD) of 3.49, and Mean Absolute Distance (MAD) of 1.12 are achieved in the public dataset. The correlation graph, bland-altman analysis, and box plot showed a great agreement between automatic and manually calculated volume, area, and length.</t>
  </si>
  <si>
    <t>S. Moradi, M. G. Oghli, A. Alizadehasl, I. Shiri, N. Oveisi, M. Oveisi, M. Maleki and J. Dhooge</t>
  </si>
  <si>
    <t>Deep learning approaches for bone and bone lesion segmentation on 18FDG PET/CT imaging in the context of metastatic breast cancer()</t>
  </si>
  <si>
    <t>(18)FDG PET/CT imaging is commonly used in diagnosis and follow-up of metastatic breast cancer, but its quantitative analysis is complicated by the number and location heterogeneity of metastatic lesions. Considering that bones are the most common location among metastatic sites, this work aims to compare different approaches to segment the bones and bone metastatic lesions in breast cancer.Two deep learning methods based on U-Net were developed and trained to segment either both bones and bone lesions or bone lesions alone on PET/CT images. These methods were cross-validated on 24 patients from the prospective EPICURE(seinmeta) metastatic breast cancer study and were evaluated using recall and precision to measure lesion detection, as well as the Dice score to assess bones and bone lesions segmentation accuracy.Results show that taking into account bone information in the training process allows to improve the precision of the lesions detection as well as the Dice score of the segmented lesions. Moreover, using the obtained bone and bone lesion masks, we were able to compute a PET bone index (PBI) inspired by the recognized Bone Scan Index (BSI). This automatically computed PBI globally agrees with the one calculated from ground truth delineations.Clinical relevance- We propose a completely automatic deep learning based method to detect and segment bones and bone lesions on (18)FDG PET/CT in the context of metastatic breast cancer. We also introduce an automatic PET bone index which could be incorporated in the monitoring and decision process.</t>
  </si>
  <si>
    <t>10.1007/s00347-020-01210-6</t>
  </si>
  <si>
    <t>[Multimodal imaging and evaluation in the age of artificial intelligence]</t>
  </si>
  <si>
    <t>Multimodal imaging is able to image the retina in unprecedented detail, and the joint analysis (integration) of these data not only enables the securing of diagnoses, but also a more precise definition; however, humans encounter temporal and cognitive limitations in the analysis of this amount of information, so that the potential of a joint examination of the findings is largely unused to date. Automatic image processing and methods, which are summarized under the collective term of artificial intelligence (AI), are able to overcome the bottleneck in the evaluation and to exploit the full potential of the available data. A basic understanding of AI methods and the ability to implement them will become increasingly more important for ophthalmologists in the future. In this article we give an insight into the functionality of AI methods and the current state of research in the field of automatic image analysis.</t>
  </si>
  <si>
    <t>Ophthalmologe</t>
  </si>
  <si>
    <t>Using a deep neural network for four-dimensional CT artifact reduction in image-guided radiotherapy</t>
  </si>
  <si>
    <t>INTRODUCTION: Breathing artifact may affect the quality of four-dimensional computed tomography (4DCT) images. We developed a deep neural network (DNN)-based artifact reduction method. METHODS: We used 857 thoracoabdominal 4DCT data sets scanned with 320-section CT with no 4DCT artifact within any volume (ground-truth image). The limitations of graphics processing unit (GPU) memory prevent importation of CT volume data into the DNN. To simulate 4DCT artifact, we interposed 4DCT images from other breathing phases at selected couch positions. Two DNNs, DNN1 and DNN2, were trained to maintain the quality of the output image to that of the ground truth by importing a single and 10 CT images, respectively. A third DNN consisting of an artifact classifier and image generator networks was added. The classifier network was based on residual networks and trained to detect CT section interposition-caused artifacts (artifact map). The generator network reduced artifacts by importing the coronal image data and the artifact map. RESULTS: By repeating the 4DCT artifact reduction with coronal images, the geometrical accuracy in the sagittal sections could be improved, especially with DNN3. Diaphragm position was most accurate when DNN3 was applied. DNN2 corrected artifacts by using CT images from other phases, but DNN2 also modified artifact-free regions. CONCLUSIONS: Additional information related to the 4DCT artifact, including information from other respiratory phases (DNN2) and/or artifact regions (DNN3), provided substantial improvement over DNN1. Interposition-related artifacts were reduced by use of an artifact positional map (DNN3).</t>
  </si>
  <si>
    <t>10.1016/j.ijrobp.2018.08.032</t>
  </si>
  <si>
    <t>A Deep Look Into the Future of Quantitative Imaging in Oncology: A Statement of Working Principles and Proposal for Change</t>
  </si>
  <si>
    <t>The adoption of enterprise digital imaging, along with the development of quantitative imaging methods and the re-emergence of statistical learning, has opened the opportunity for more personalized cancer treatments through transformative data science research. In the last 5 years, accumulating evidence has indicated that noninvasive advanced imaging analytics (i.e., radiomics) can reveal key components of tumor phenotype for multiple lesions at multiple time points over the course of treatment. Many groups using homegrown software have extracted engineered and deep quantitative features on 3-dimensional medical images for better spatial and longitudinal understanding of tumor biology and for the prediction of diverse outcomes. These developments could augment patient stratification and prognostication, buttressing emerging targeted therapeutic approaches. Unfortunately, the rapid growth in popularity of this immature scientific discipline has resulted in many early publications that miss key information or use underpowered patient data sets, without production of generalizable results. Quantitative imaging research is complex, and key principles should be followed to realize its full potential. The fields of quantitative imaging and radiomics in particular require a renewed focus on optimal study design and reporting practices, standardization, interpretability, data sharing, and clinical trials. Standardization of image acquisition, feature calculation, and statistical analysis (i.e., machine learning) are required for the field to move forward. A new data-sharing paradigm enacted among open and diverse participants (medical institutions, vendors and associations) should be embraced for faster development and comprehensive clinical validation of imaging biomarkers. In this review and critique of the field, we propose working principles and fundamental changes to the current scientific approach, with the goal of high-impact research and development of actionable prediction models that will yield more meaningful applications of precision cancer medicine.</t>
  </si>
  <si>
    <t>10.1016/j.mri.2019.06.009</t>
  </si>
  <si>
    <t>Role of deep learning in infant brain MRI analysis</t>
  </si>
  <si>
    <t>Deep learning algorithms and in particular convolutional networks have shown tremendous success in medical image analysis applications, though relatively few methods have been applied to infant MRI data due numerous inherent challenges such as inhomogenous tissue appearance across the image, considerable image intensity variability across the first year of life, and a low signal to noise setting. This paper presents methods addressing these challenges in two selected applications, specifically infant brain tissue segmentation at the isointense stage and presymptomatic disease prediction in neurodevelopmental disorders. Corresponding methods are reviewed and compared, and open issues are identified, namely low data size restrictions, class imbalance problems, and lack of interpretation of the resulting deep learning solutions. We discuss how existing solutions can be adapted to approach these issues as well as how generative models seem to be a particularly strong contender to address them.</t>
  </si>
  <si>
    <t>Optical Coherence Tomography-Based Deep-Learning Models for Classifying Normal and Age-Related Macular Degeneration and Exudative and Non-Exudative Age-Related Macular Degeneration Changes</t>
  </si>
  <si>
    <t>INTRODUCTION: The use of optical coherence tomography (OCT) images is increasing in the medical treatment of age-related macular degeneration (AMD), and thus, the amount of data requiring analysis is increasing. Advances in machine-learning techniques may facilitate processing of large amounts of medical image data. Among deep-learning methods, convolution neural networks (CNNs) show superior image recognition ability. This study aimed to build deep-learning models that could distinguish AMD from healthy OCT scans and to distinguish AMD with and without exudative changes without using a segmentation algorithm. METHODS: This was a cross-sectional observational clinical study. A total of 1621 spectral domain (SD)-OCT images of patients with AMD and a healthy control group were studied. The first CNN model was trained and validated using 1382 AMD images and 239 normal images. The second transfer-learning model was trained and validated with 721 AMD images with exudative changes and 661 AMD images without any exudate. The attention area of the CNN was described as a heat map by class activation mapping (CAM). In the second model, which classified images into AMD with or without exudative changes, we compared the learning stabilization of models using or not using transfer learning. RESULTS: Using the first CNN model, we could classify AMD and normal OCT images with 100% sensitivity, 91.8% specificity, and 99.0% accuracy. In the second, transfer-learning model, we could classify AMD as having or not having exudative changes, with 98.4% sensitivity, 88.3% specificity, and 93.9% accuracy. CAM successfully described the heat-map area on the OCT images. Including the transfer-learning model in the second model resulted in faster stabilization than when the transfer-learning model was not included. CONCLUSION: Two computational deep-learning models were developed and evaluated here; both models showed good performance. Automation of the interpretation process by using deep-learning models can save time and improve efficiency. TRIAL REGISTRATION: No15073.</t>
  </si>
  <si>
    <t>N. Motozawa, G. An, S. Takagi, S. Kitahata, M. Mandai, Y. Hirami, H. Yokota, M. Akiba, A. Tsujikawa, M. Takahashi and Y. Kurimoto</t>
  </si>
  <si>
    <t>Ophthalmol Ther</t>
  </si>
  <si>
    <t>CS(2)-Net: Deep learning segmentation of curvilinear structures in medical imaging</t>
  </si>
  <si>
    <t>Automated detection of curvilinear structures, e.g., blood vessels or nerve fibres, from medical and biomedical images is a crucial early step in automatic image interpretation associated to the management of many diseases. Precise measurement of the morphological changes of these curvilinear organ structures informs clinicians for understanding the mechanism, diagnosis, and treatment of e.g. cardiovascular, kidney, eye, lung, and neurological conditions. In this work, we propose a generic and unified convolution neural network for the segmentation of curvilinear structures and illustrate in several 2D/3D medical imaging modalities. We introduce a new curvilinear structure segmentation network (CS(2)-Net), which includes a self-attention mechanism in the encoder and decoder to learn rich hierarchical representations of curvilinear structures. Two types of attention modules - spatial attention and channel attention - are utilized to enhance the inter-class discrimination and intra-class responsiveness, to further integrate local features with their global dependencies and normalization, adaptively. Furthermore, to facilitate the segmentation of curvilinear structures in medical images, we employ a 1×3 and a 3×1 convolutional kernel to capture boundary features. Besides, we extend the 2D attention mechanism to 3D to enhance the network's ability to aggregate depth information across different layers/slices. The proposed curvilinear structure segmentation network is thoroughly validated using both 2D and 3D images across six different imaging modalities. Experimental results across nine datasets show the proposed method generally outperforms other state-of-the-art algorithms in various metrics.</t>
  </si>
  <si>
    <t>10.1161/strokeaha.119.027479</t>
  </si>
  <si>
    <t>Artificial Intelligence Applications in Stroke</t>
  </si>
  <si>
    <t>K. Mouridsen, P. Thurner and G. Zaharchuk</t>
  </si>
  <si>
    <t>Fully automated identification of skin morphology in raster-scan optoacoustic mesoscopy using artificial intelligence</t>
  </si>
  <si>
    <t>PURPOSE: Identification of morphological characteristics of skin lesions is of vital importance in diagnosing diseases with dermatological manifestations. This task is often performed manually or in an automated way based on intensity level. Recently, ultra-broadband raster-scan optoacoustic mesoscopy (UWB-RSOM) was developed to offer unique cross-sectional optical imaging of the skin. A machine learning (ML) approach is proposed here to enable, for the first time, automated identification of skin layers in UWB-RSOM data. MATERIALS AND METHODS: The proposed method, termed SkinSeg, was applied to coronal UWB-RSOM images obtained from 12 human participants. SkinSeg is a multi-step methodology that integrates data processing and transformation, feature extraction, feature selection, and classification. Various image features and learning models were tested for their suitability at discriminating skin layers including traditional machine learning along with more advanced deep learning algorithms. An support vector machines-based postprocessing approach was finally applied to further improve the classification outputs. RESULTS: Random forest proved to be the most effective technique, achieving mean classification accuracy of 86.89% evaluated based on a repeated leave-one-out strategy. Insights about the features extracted and their effect on classification accuracy are provided. The highest accuracy was achieved using a small group of four features and remained at the same level or was even slightly decreased when more features were included. Convolutional neural networks provided also promising results at a level of approximately 85%. The application of the proposed postprocessing technique was proved to be effective in terms of both testing accuracy and three-dimensional visualization of classification maps. CONCLUSIONS: SkinSeg demonstrated unique potential in identifying skin layers. The proposed method may facilitate clinical evaluation, monitoring, and diagnosis of diseases linked to skin inflammation, diabetes, and skin cancer.</t>
  </si>
  <si>
    <t>S. Moustakidis, M. Omar, J. Aguirre, P. Mohajerani and V. Ntziachristos</t>
  </si>
  <si>
    <t>Automatic segmentation of Sperm's parts in microscopic images of human semen smears using concatenated learning approaches</t>
  </si>
  <si>
    <t>Accurate segmentation of the sperms in microscopic semen smear images is a prerequisite step in automatic sperm morphology analysis. It is a challenging task due to the non-uniform distribution of light in semen smear images, low contrast between sperm's tail and its surrounding region, the existence of various artifacts, high concentration of sperms and wide spectrum of the shapes of the sperm's parts. This paper proposes an automatic framework based on concatenated learning approaches to segment the external and internal parts of the sperms. The external parts of the sperms are segmented using two convolutional neural network (CNN) models which produce the probability maps of the head and the axial filament regions. To obtain acrosome and nucleus segments, the K-means clustering approach is applied to the head segments. A Support Vector Machine (SVM) classifier is used to classify each pixel of the axial filament segments to extract tail and mid-piece regions from obtained segments. The proposed method is validated on the images of the Gold-standard dataset. It achieves 0.90, 0.77, 0.77, 0.78, 0.75 and 0.64 of the average of dice similarity coefficient for the head, axial filament, acrosome, nucleus, tail, and mid-piece segments, respectively. Experimental results demonstrate that the proposed method outperforms state-of-the-art algorithms for the head and its internal parts segmentation. It also segments the axial filament region and its internal parts with desirable accuracy. Different from previous works, the proposed method is able to segment all parts of the sperms which enables automatic quantitative analysis of the sperm morphology.</t>
  </si>
  <si>
    <t>[Research progress in medical imaging based on deep learning of neural network]</t>
  </si>
  <si>
    <t>The development of computer hardware allows rapid accumulation of medical imaging data. Deep learning has shown great potential in medical imaging data analysis and establish a new area of machine learning. The commonly used deep learning models were firstly introduced in the paper, and then, summarized with the application of deep learning in the detection, classification, diagnosis, segmentation, identification of medical imaging. The application of deep learning in oral and maxillofacial radiology and other discipline of stomatology was proposed. At the end, the paper discussed the problems of deep learning in medical imaging research.</t>
  </si>
  <si>
    <t>Non-invasive decision support for NSCLC treatment using PET/CT radiomics</t>
  </si>
  <si>
    <t>Two major treatment strategies employed in non-small cell lung cancer, NSCLC, are tyrosine kinase inhibitors, TKIs, and immune checkpoint inhibitors, ICIs. The choice of strategy is based on heterogeneous biomarkers that can dynamically change during therapy. Thus, there is a compelling need to identify comprehensive biomarkers that can be used longitudinally to help guide therapy choice. Herein, we report a (18)F-FDG-PET/CT-based deep learning model, which demonstrates high accuracy in EGFR mutation status prediction across patient cohorts from different institutions. A deep learning score (EGFR-DLS) was significantly and positively associated with longer progression free survival (PFS) in patients treated with EGFR-TKIs, while EGFR-DLS is significantly and negatively associated with higher durable clinical benefit, reduced hyperprogression, and longer PFS among patients treated with ICIs. Thus, the EGFR-DLS provides a non-invasive method for precise quantification of EGFR mutation status in NSCLC patients, which is promising to identify NSCLC patients sensitive to EGFR-TKI or ICI-treatments.</t>
  </si>
  <si>
    <t>White Matter Segmentation Algorithm for DTI Images Based on Super-Pixel Full Convolutional Network</t>
  </si>
  <si>
    <t>Diffusion tensor imaging (DTI) is a new imaging method that can be used to non-invasively measure the diffusion coefficient of water molecules in biological tissue structures in recent years. Since the DTI data is a tensor space, its segmentation is different from ordinary MRI images. Based on the existing deep learning model, an improved image semantic segmentation method based on super-pixels and conditional random field is proposed. Firstly, this paper uses the existing feature extraction model based on deep learning to obtain rough semantic segmentation results, including high-level semantic information of the image but lacking details of the image. In addition, the super-pixel segmentation algorithm is implemented to obtain super-pixels that carries more low-level information. Secondly, due to the lack of image details in rough segmentation results, the segmentation of the edge of the image is inaccurate. In this paper, a boundary optimization algorithm is proposed to optimize the edge segmentation accuracy of the rough results. Finally, the use of super-pixels for local boundary optimization can improve the segmentation accuracy. Experiments results show that this segment is a practical and effective method.</t>
  </si>
  <si>
    <t>Hybrid Deep Learning on Single Wide-field Optical Coherence tomography Scans Accurately Classifies Glaucoma Suspects</t>
  </si>
  <si>
    <t>PURPOSE: Existing summary statistics based upon optical coherence tomographic (OCT) scans and/or visual fields (VFs) are suboptimal for distinguishing between healthy and glaucomatous eyes in the clinic. This study evaluates the extent to which a hybrid deep learning method (HDLM), combined with a single wide-field OCT protocol, can distinguish eyes previously classified as either healthy suspects or mild glaucoma. METHODS: In total, 102 eyes from 102 patients, with or suspected open-angle glaucoma, had previously been classified by 2 glaucoma experts as either glaucomatous (57 eyes) or healthy/suspects (45 eyes). The HDLM had access only to information from a single, wide-field (9×12 mm) swept-source OCT scan per patient. Convolutional neural networks were used to extract rich features from maps derived from these scans. Random forest classifier was used to train a model based on these features to predict the existence of glaucomatous damage. The algorithm was compared against traditional OCT and VF metrics. RESULTS: The accuracy of the HDLM ranged from 63.7% to 93.1% depending upon the input map. The retinal nerve fiber layer probability map had the best accuracy (93.1%), with 4 false positives, and 3 false negatives. In comparison, the accuracy of the OCT and 24-2 and 10-2 VF metrics ranged from 66.7% to 87.3%. The OCT quadrants analysis had the best accuracy (87.3%) of the metrics, with 4 false positives and 9 false negatives. CONCLUSIONS: The HDLM protocol outperforms standard OCT and VF clinical metrics in distinguishing healthy suspect eyes from eyes with early glaucoma. It should be possible to further improve this algorithm and with improvement it might be useful for screening.</t>
  </si>
  <si>
    <t>H. Muhammad, T. J. Fuchs, N. De Cuir, C. G. De Moraes, D. M. Blumberg, J. M. Liebmann, R. Ritch and D. C. Hood</t>
  </si>
  <si>
    <t>Robustness of brain tumor segmentation</t>
  </si>
  <si>
    <t>Purpose: The segmentation of brain tumors is one of the most active areas of medical image analysis. While current methods perform superhuman on benchmark data sets, their applicability in daily clinical practice has not been evaluated. In this work, we investigate the generalization behavior of deep neural networks in this scenario. Approach: We evaluate the performance of three state-of-the-art methods, a basic U-Net architecture, and a cascadic Mumford-Shah approach. We also propose two simple modifications (which do not change the topology) to improve generalization performance. Results: In these experiments, we show that a well-trained U-network shows the best generalization behavior and is sufficient to solve this segmentation problem. We illustrate why extensions of this model in a realistic scenario can be not only pointless but even harmful. Conclusions: We conclude from these experiments that the generalization performance of deep neural networks is severely limited in medical image analysis especially in the area of brain tumor segmentation. In our opinion, current topologies are optimized for the actual benchmark data set but are not directly applicable in daily clinical practice.</t>
  </si>
  <si>
    <t>Chemical crystal identification with deep learning machine vision</t>
  </si>
  <si>
    <t>OBJECTIVE: This study was carried out with the purpose of testing the ability of deep learning machine vision to identify microscopic objects and geometries found in chemical crystal structures. RESULTS: A database of 6994 images taken with a light microscope showing microscopic crystal details of selected chemical compounds along with 180 images of an unknown chemical was created to train and test, respectively the deep learning models. The models used were GoogLeNet (22 layers deep network) and VGG-16 (16 layers deep network), based on the Caffe framework (University of California, Berkeley, CA) of the DIGITS platform (NVIDIA Corporation, Santa Clara, CA). The two models were successfully trained with the images, having validation accuracy values of 97.38% and 99.65% respectively. Finally, both models were able to correctly identify the unknown chemical sample with a high probability score of 93.34% (GoogLeNet) and 99.41% (VGG-16). The positive results found in this study can be further applied to other unknown sample identification tasks using light microscopy coupled with deep learning machine vision.</t>
  </si>
  <si>
    <t>P. Mungofa, A. Schumann and L. Waldo</t>
  </si>
  <si>
    <t>BMC Res Notes</t>
  </si>
  <si>
    <t>10.3390/cancers11091235</t>
  </si>
  <si>
    <t>Cancer Diagnosis Using Deep Learning: A Bibliographic Review</t>
  </si>
  <si>
    <t>In this paper, we first describe the basics of the field of cancer diagnosis, which includes steps of cancer diagnosis followed by the typical classification methods used by doctors, providing a historical idea of cancer classification techniques to the readers. These methods include Asymmetry, Border, Color and Diameter (ABCD) method, seven-point detection method, Menzies method, and pattern analysis. They are used regularly by doctors for cancer diagnosis, although they are not considered very efficient for obtaining better performance. Moreover, considering all types of audience, the basic evaluation criteria are also discussed. The criteria include the receiver operating characteristic curve (ROC curve), Area under the ROC curve (AUC), F1 score, accuracy, specificity, sensitivity, precision, dice-coefficient, average accuracy, and Jaccard index. Previously used methods are considered inefficient, asking for better and smarter methods for cancer diagnosis. Artificial intelligence and cancer diagnosis are gaining attention as a way to define better diagnostic tools. In particular, deep neural networks can be successfully used for intelligent image analysis. The basic framework of how this machine learning works on medical imaging is provided in this study, i.e., pre-processing, image segmentation and post-processing. The second part of this manuscript describes the different deep learning techniques, such as convolutional neural networks (CNNs), generative adversarial models (GANs), deep autoencoders (DANs), restricted Boltzmann's machine (RBM), stacked autoencoders (SAE), convolutional autoencoders (CAE), recurrent neural networks (RNNs), long short-term memory (LTSM), multi-scale convolutional neural network (M-CNN), multi-instance learning convolutional neural network (MIL-CNN). For each technique, we provide Python codes, to allow interested readers to experiment with the cited algorithms on their own diagnostic problems. The third part of this manuscript compiles the successfully applied deep learning models for different types of cancers. Considering the length of the manuscript, we restrict ourselves to the discussion of breast cancer, lung cancer, brain cancer, and skin cancer. The purpose of this bibliographic review is to provide researchers opting to work in implementing deep learning and artificial neural networks for cancer diagnosis a knowledge from scratch of the state-of-the-art achievements.</t>
  </si>
  <si>
    <t>Fully automated dose prediction using generative adversarial networks in prostate cancer patients</t>
  </si>
  <si>
    <t>PURPOSE: Although dose prediction for intensity modulated radiation therapy (IMRT) has been accomplished by a deep learning approach, delineation of some structures is needed for the prediction. We sought to develop a fully automated dose-generation framework for IMRT of prostate cancer by entering the patient CT datasets without the contour information into a generative adversarial network (GAN) and to compare its prediction performance to a conventional prediction model trained from patient contours. METHODS: We propose a synthetic approach to translate patient CT datasets into a dose distribution for IMRT. The framework requires only paired-images, i.e., patient CT images and corresponding RT-doses. The model was trained from 81 IMRT plans of prostate cancer patients, and then produced the dose distribution for 9 test cases. To compare its prediction performance to that of another trained model, we created a model trained from structure images. Dosimetric parameters for the planning target volume (PTV) and organs at risk (OARs) were calculated from the generated and original dose distributions, and mean differences of dosimetric parameters were compared between the CT-based model and the structure-based model. RESULTS: The mean differences of all dosimetric parameters except for D98% and D95% for PTV were within approximately 2% and 3% of the prescription dose for OARs in the CT-based model, while the differences in the structure-based model were within approximately 1% for PTV and approximately 2% for OARs, with a mean prediction time of 5 seconds per patient. CONCLUSIONS: Accurate and rapid dose prediction was achieved by the learning of patient CT datasets by a GAN-based framework. The CT-based dose prediction could reduce the time required for both the iterative optimization process and the structure contouring, allowing physicians and dosimetrists to focus their expertise on more challenging cases.</t>
  </si>
  <si>
    <t>Improving breast mass classification by shared data with domain transformation using a generative adversarial network</t>
  </si>
  <si>
    <t>Training of a convolutional neural network (CNN) generally requires a large dataset. However, it is not easy to collect a large medical image dataset. The purpose of this study is to investigate the utility of synthetic images in training CNNs and to demonstrate the applicability of unrelated images by domain transformation. Mammograms showing 202 benign and 212 malignant masses were used for evaluation. To create synthetic data, a cycle generative adversarial network was trained with 599 lung nodules in computed tomography (CT) and 1430 breast masses on digitized mammograms (DDSM). A CNN was trained for classification between benign and malignant masses. The classification performance was compared between the networks trained with the original data, augmented data, synthetic data, DDSM images, and natural images (ImageNet dataset). The results were evaluated in terms of the classification accuracy and the area under the receiver operating characteristic curves (AUC). The classification accuracy improved from 65.7% to 67.1% with data augmentation. The use of an ImageNet pretrained model was useful (79.2%). Performance was slightly improved when synthetic images or the DDSM images only were used for pretraining (67.6 and 72.5%, respectively). When the ImageNet pretrained model was trained with the synthetic images, the classification performance slightly improved (81.4%), although the difference in AUCs was not statistically significant. The use of the synthetic images had an effect similar to the DDSM images. The results of the proposed study indicated that the synthetic data generated from unrelated lesions by domain transformation could be used to increase the training samples.</t>
  </si>
  <si>
    <t>[Quantitative Analysis of Emphysema in Ultra-high-resolution CT by Using Deep Learning Reconstruction: Comparison with Hybrid Iterative Reconstruction]</t>
  </si>
  <si>
    <t>PURPOSE: The noise generated in ultra-high-resolution computed tomography (U-HRCT) images affects the quantitative analysis of emphysema. In this study, we compared the physical properties of reconstructed images for hybrid iterative reconstruction (HIR) and deep learning reconstruction (DLR), which are reconstruction methods for reducing image noise. Using clinical evaluation, we evaluated the correlation between low attenuation volume (LAV) % obtained by CT and forced expiratory volume in 1 s per forced vital capacity (FEV(1)/FVC) obtained by respiratory function tests. MATERIALS AND METHODS: CT data obtained by HIR and DLR were used for analysis (matrix size: 1024´1024, slice thickness: 0.25 mm). The physical characteristics were evaluated for the modulation transfer function (MTF) and noise power spectrum (NPS). Display-field of view (D-FOV) was analyzed by varying between 300 mm and 400 mm. The clinical data evaluated the relationship between LAV% and FEV(1)/FVC by Spearman's correlation coefficient. RESULT: The 10% MTFs were 1.3 cycles/mm (HIR) and 1.3 cycles/mm (DLR) at D-FOV 300 mm, and 1.2 cycles/mm (HIR) and 1.1 cycles/mm (DLR) at D-FOV 400 mm. The NPS had less noise in DLR than HIR in all frequency ranges. The correlation coefficients between LAV% and FEV(1)/FVC were 0.64 and 0.71, respectively, in HIR and DLR. CONCLUSION: There was no difference in the resolution characteristics of HIR and DLR. DLR had better noise characteristics than HIR. The correlation between LAV% measured by HIR and DLR and FEV(1)/FVC is equivalent. The noise characteristics of the DLR enable the reduction of exposure to emphysema quantitative analysis by CT.</t>
  </si>
  <si>
    <t>Deep-learning classification using convolutional neural network for evaluation of maxillary sinusitis on panoramic radiography</t>
  </si>
  <si>
    <t>OBJECTIVES: To apply a deep-learning system for diagnosis of maxillary sinusitis on panoramic radiography, and to clarify its diagnostic performance. METHODS: Training data for 400 healthy and 400 inflamed maxillary sinuses were enhanced to 6000 samples in each category by data augmentation. Image patches were input into a deep-learning system, the learning process was repeated for 200 epochs, and a learning model was created. Newly-prepared testing image patches from 60 healthy and 60 inflamed sinuses were input into the learning model, and the diagnostic performance was calculated. Receiver-operating characteristic (ROC) curves were drawn, and the area under the curve (AUC) values were obtained. The results were compared with those of two experienced radiologists and two dental residents. RESULTS: The diagnostic performance of the deep-learning system for maxillary sinusitis on panoramic radiographs was high, with accuracy of 87.5%, sensitivity of 86.7%, specificity of 88.3%, and AUC of 0.875. These values showed no significant differences compared with those of the radiologists and were higher than those of the dental residents. CONCLUSIONS: The diagnostic performance of the deep-learning system for maxillary sinusitis on panoramic radiographs was sufficiently high. Results from the deep-learning system are expected to provide diagnostic support for inexperienced dentists.</t>
  </si>
  <si>
    <t>Performance of a deep learning algorithm for the evaluation of CAD-RADS classification with CCTA</t>
  </si>
  <si>
    <t>BACKGROUND AND AIMS: Artificial intelligence (AI) is increasing its role in diagnosis of patients with suspicious coronary artery disease. The aim of this manuscript is to develop a deep convolutional neural network (CNN) to classify coronary computed tomography angiography (CCTA) in the correct Coronary Artery Disease Reporting and Data System (CAD-RADS) category. METHODS: Two hundred eighty eight patients who underwent clinically indicated CCTA were included in this single-center retrospective study. The CCTAs were stratified by CAD-RADS scores by expert readers and considered as reference standard. A deep CNN was designed and tested on the CCTA dataset and compared to on-site reading. The deep CNN analyzed the diagnostic accuracy of the following three Models based on CAD-RADS classification: Model A (CAD-RADS 0 vs CAD-RADS 1-2 vs CAD-RADS 3,4,5), Model 1 (CAD-RADS 0 vs CAD-RADS&gt;0), Model 2 (CAD-RADS 0-2 vs CAD-RADS 3-5). Time of analysis for both physicians and CNN were recorded. RESULTS: Model A showed a sensitivity, specificity, negative predictive value, positive predictive value and accuracy of 47%, 74%, 77%, 46% and 60%, respectively. Model 1 showed a sensitivity, specificity, negative predictive value, positive predictive value and accuracy of 66%, 91%, 92%, 63%, 86%, respectively. Conversely, Model 2 demonstrated the following sensitivity, specificity, negative predictive value, positive predictive value and accuracy: 82%, 58%, 74%, 69%, 71%, respectively. Time of analysis was significantly lower using CNN as compared to on-site reading (530.5 ± 179.1 vs 104.3 ± 1.4 sec, p=0.01) CONCLUSIONS: Deep CNN yielded accurate automated classification of patients with CAD-RADS.</t>
  </si>
  <si>
    <t>Atherosclerosis</t>
  </si>
  <si>
    <t>Guiding ultrasound image capture with artificial intelligence</t>
  </si>
  <si>
    <t>E. D. Muse and E. J. Topol</t>
  </si>
  <si>
    <t>MABAL: a Novel Deep-Learning Architecture for Machine-Assisted Bone Age Labeling</t>
  </si>
  <si>
    <t>Bone age assessment (BAA) is a commonly performed diagnostic study in pediatric radiology to assess skeletal maturity. The most commonly utilized method for assessment of BAA is the Greulich and Pyle method (Pediatr Radiol 46.9:1269-1274, 2016; Arch Dis Child 81.2:172-173, 1999) atlas. The evaluation of BAA can be a tedious and time-consuming process for the radiologist. As such, several computer-assisted detection/diagnosis (CAD) methods have been proposed for automation of BAA. Classical CAD tools have traditionally relied on hard-coded algorithmic features for BAA which suffer from a variety of drawbacks. Recently, the advent and proliferation of convolutional neural networks (CNNs) has shown promise in a variety of medical imaging applications. There have been at least two published applications of using deep learning for evaluation of bone age (Med Image Anal 36:41-51, 2017; JDI 1-5, 2017). However, current implementations are limited by a combination of both architecture design and relatively small datasets. The purpose of this study is to demonstrate the benefits of a customized neural network algorithm carefully calibrated to the evaluation of bone age utilizing a relatively large institutional dataset. In doing so, this study will aim to show that advanced architectures can be successfully trained from scratch in the medical imaging domain and can generate results that outperform any existing proposed algorithm. The training data consisted of 10,289 images of different skeletal age examinations, 8909 from the hospital Picture Archiving and Communication System at our institution and 1383 from the public Digital Hand Atlas Database. The data was separated into four cohorts, one each for male and female children above the age of 8, and one each for male and female children below the age of 10. The testing set consisted of 20 radiographs of each 1-year-age cohort from 0 to 1 years to 14-15+ years, half male and half female. The testing set included left-hand radiographs done for bone age assessment, trauma evaluation without significant findings, and skeletal surveys. A 14 hidden layer-customized neural network was designed for this study. The network included several state of the art techniques including residual-style connections, inception layers, and spatial transformer layers. Data augmentation was applied to the network inputs to prevent overfitting. A linear regression output was utilized. Mean square error was used as the network loss function and mean absolute error (MAE) was utilized as the primary performance metric. MAE accuracies on the validation and test sets for young females were 0.654 and 0.561 respectively. For older females, validation and test accuracies were 0.662 and 0.497 respectively. For young males, validation and test accuracies were 0.649 and 0.585 respectively. Finally, for older males, validation and test set accuracies were 0.581 and 0.501 respectively. The female cohorts were trained for 900 epochs each and the male cohorts were trained for 600 epochs. An eightfold cross-validation set was employed for hyperparameter tuning. Test error was obtained after training on a full data set with the selected hyperparameters. Using our proposed customized neural network architecture on our large available data, we achieved an aggregate validation and test set mean absolute errors of 0.637 and 0.536 respectively. To date, this is the best published performance on utilizing deep learning for bone age assessment. Our results support our initial hypothesis that customized, purpose-built neural networks provide improved performance over networks derived from pre-trained imaging data sets. We build on that initial work by showing that the addition of state-of-the-art techniques such as residual connections and inception architecture further improves prediction accuracy. This is important because the current assumption for use of residual and/or inception architectures is that a large pre-trained network is required for successful implementation given the relatively small datasets in medical imaging. Instead we show that a small, customized architecture incorporating advanced CNN strategies can indeed be trained from scratch, yielding significant improvements in algorithm accuracy. It should be noted that for all four cohorts, testing error outperformed validation error. One reason for this is that our ground truth for our test set was obtained by averaging two pediatric radiologist reads compared to our training data for which only a single read was used. This suggests that despite relatively noisy training data, the algorithm could successfully model the variation between observers and generate estimates that are close to the expected ground truth.</t>
  </si>
  <si>
    <t>S. Mutasa, P. D. Chang, C. Ruzal-Shapiro and R. Ayyala</t>
  </si>
  <si>
    <t>Learning needle tip localization from digital subtraction in 2D ultrasound</t>
  </si>
  <si>
    <t>PURPOSE: This paper addresses localization of needles inserted both in-plane and out-of-plane in challenging ultrasound-guided interventions where the shaft and tip have low intensity. Our approach combines a novel digital subtraction scheme for enhancement of low-level intensity changes caused by tip movement in the ultrasound image and a state-of-the-art deep learning scheme for tip detection. METHODS: As the needle tip moves through tissue, it causes subtle spatiotemporal variations in intensity. Relying on these intensity changes, we formulate a foreground detection scheme for enhancing the tip from consecutive ultrasound frames. The tip is augmented by solving a spatial total variation regularization problem using the split Bregman method. Lastly, we filter irrelevant motion events with a deep learning-based end-to-end data-driven method that models the appearance of the needle tip in ultrasound images, resulting in needle tip detection. RESULTS: The detection model is trained and evaluated on an extensive ex vivo dataset collected with 17G and 22G needles inserted in-plane and out-of-plane in bovine, porcine and chicken phantoms. We use 5000 images extracted from 20 video sequences for training and 1000 images from 10 sequences for validation. The overall framework is evaluated on 700 images from 20 sequences not used in training and validation, and achieves a tip localization error of 0.72 ± 0.04 mm and an overall processing time of 0.094 s per frame (~ 10 frames per second). CONCLUSION: The proposed method is faster and more accurate than state of the art and is resilient to spatiotemporal redundancies. The promising results demonstrate its potential for accurate needle localization in challenging ultrasound-guided interventions.</t>
  </si>
  <si>
    <t>C. Mwikirize, J. L. Nosher and I. Hacihaliloglu</t>
  </si>
  <si>
    <t>A deep learning framework for automatic detection of arbitrarily shaped fiducial markers in intrafraction fluoroscopic images</t>
  </si>
  <si>
    <t>PURPOSE: Real-time image-guided adaptive radiation therapy (IGART) requires accurate marker segmentation to resolve three-dimensional (3D) motion based on two-dimensional (2D) fluoroscopic images. Most common marker segmentation methods require prior knowledge of marker properties to construct a template. If marker properties are not known, an additional learning period is required to build the template which exposes the patient to an additional imaging dose. This work investigates a deep learning-based fiducial marker classifier for use in real-time IGART that requires no prior patient-specific data or additional learning periods. The proposed tracking system uses convolutional neural network (CNN) models to segment cylindrical and arbitrarily shaped fiducial markers. METHODS: The tracking system uses a tracking window approach to perform sliding window classification of each implanted marker. Three cylindrical marker training datasets were generated from phantom kilovoltage (kV) and patient intrafraction images with increasing levels of megavoltage (MV) scatter. The cylindrical shaped marker CNNs were validated on unseen kV fluoroscopic images from 12 fractions of 10 prostate cancer patients with implanted gold fiducials. For the training and validation of the arbitrarily shaped marker CNNs, cone beam computed tomography (CBCT) projection images from ten fractions of seven lung cancer patients with implanted coiled markers were used. The arbitrarily shaped marker CNNs were trained using three patients and the other four unseen patients were used for validation. The effects of full training using a compact CNN (four layers with learnable weights) and transfer learning using a pretrained CNN (AlexNet, eight layers with learnable weights) were analyzed. Each CNN was evaluated using a Precision-Recall curve (PRC), the area under the PRC plot (AUC), and by the calculation of sensitivity and specificity. The tracking system was assessed using the validation data and the accuracy was quantified by calculating the mean error, root-mean-square error (RMSE) and the 1st and 99th percentiles of the error. RESULTS: The fully trained CNN on the dataset with moderate noise levels had a sensitivity of 99.00% and specificity of 98.92%. Transfer learning of AlexNet resulted in a sensitivity and specificity of 99.42% and 98.13%, respectively, for the same datasets. For the arbitrarily shaped marker CNNs, the sensitivity was 98.58% and specificity was 98.97% for the fully trained CNN. The transfer learning CNN had a sensitivity and specificity of 98.49% and 99.56%, respectively. The CNNs were successfully incorporated into a multiple object tracking system for both cylindrical and arbitrarily shaped markers. The cylindrical shaped marker tracking had a mean RMSE of 1.6 ± 0.2 pixels and 1.3 ± 0.4 pixels in the x- and y-directions, respectively. The arbitrarily shaped marker tracking had a mean RMSE of 3.0 ± 0.5 pixels and 2.2 ± 0.4 pixels in the x- and y-directions, respectively. CONCLUSION: With deep learning CNNs, high classification performances on unseen patient images were achieved for both cylindrical and arbitrarily shaped markers. Furthermore, the application of CNN models to intrafraction monitoring was demonstrated using a simple tracking system. The results demonstrate that CNN models can be used to track markers without prior knowledge of the marker properties or an additional learning period.</t>
  </si>
  <si>
    <t>A. Mylonas, P. J. Keall, J. T. Booth, C. C. Shieh, T. Eade, P. R. Poulsen and D. T. Nguyen</t>
  </si>
  <si>
    <t>Deep Multi-Scale 3D Convolutional Neural Network (CNN) for MRI Gliomas Brain Tumor Classification</t>
  </si>
  <si>
    <t>Accurate and fully automatic brain tumor grading from volumetric 3D magnetic resonance imaging (MRI) is an essential procedure in the field of medical imaging analysis for full assistance of neuroradiology during clinical diagnosis. We propose, in this paper, an efficient and fully automatic deep multi-scale three-dimensional convolutional neural network (3D CNN) architecture for glioma brain tumor classification into low-grade gliomas (LGG) and high-grade gliomas (HGG) using the whole volumetric T1-Gado MRI sequence. Based on a 3D convolutional layer and a deep network, via small kernels, the proposed architecture has the potential to merge both the local and global contextual information with reduced weights. To overcome the data heterogeneity, we proposed a preprocessing technique based on intensity normalization and adaptive contrast enhancement of MRI data. Furthermore, for an effective training of such a deep 3D network, we used a data augmentation technique. The paper studied the impact of the proposed preprocessing and data augmentation on classification accuracy.Quantitative evaluations, over the well-known benchmark (Brats-2018), attest that the proposed architecture generates the most discriminative feature map to distinguish between LG and HG gliomas compared with 2D CNN variant. The proposed approach offers promising results outperforming the recently supervised and unsupervised state-of-the-art approaches by achieving an overall accuracy of 96.49% using the validation dataset. The obtained experimental results confirm that adequate MRI's preprocessing and data augmentation could lead to an accurate classification when exploiting CNN-based approaches.</t>
  </si>
  <si>
    <t>Fully Automatic Brain Tumor Segmentation using End-To-End Incremental Deep Neural Networks in MRI images</t>
  </si>
  <si>
    <t>BACKGROUND AND OBJECTIVE: Nowadays, getting an efficient Brain Tumor Segmentation in Multi-Sequence MR images as soon as possible, gives an early clinical diagnosis, treatment and follow-up. The aim of this study is to develop a new deep learning model for the segmentation of brain tumors. The proposed models are used to segment the brain tumors of Glioblastomas (with both high and low grade). Glioblastomas have four properties: different sizes, shapes, contrasts, in addition, Glioblastomas appear anywhere in the brain. METHODS: In this paper, we propose three end-to-end Incremental Deep Convolutional Neural Networks models for fully automatic Brain Tumor Segmentation. Our proposed models are different from the other CNNs-based models that follow the technique of trial and error process which does not use any guided approach to get the suitable hyper-parameters. Moreover, we adopt the technique of Ensemble Learning to design a more efficient model. For solving the problem of training CNNs model, we propose a new training strategy which takes into account the most influencing hyper-parameters by bounding and setting a roof to these hyper-parameters to accelerate the training. RESULTS: Our experiment results reported on BRATS-2017 dataset. The proposed deep learning models achieve the state-of-the-art performance without any post-processing operations. Indeed, our models achieve in average 0.88 Dice score over the complete region. Moreover, the efficient design with the advantage of GPU implementation, allows our three deep learning models to achieve brain segmentation results in average 20.87 s. CONCLUSIONS: The proposed deep learning models are effective for the segmentation of brain tumors and allow to obtain high accurate results. Moreover, the proposed models could help the physician experts to reduce the time of diagnostic.</t>
  </si>
  <si>
    <t>M. B. Naceur, R. Saouli, M. Akil and R. Kachouri</t>
  </si>
  <si>
    <t>10.3390/brainsci10020118</t>
  </si>
  <si>
    <t>Brain Tumor Analysis Empowered with Deep Learning: A Review, Taxonomy, and Future Challenges</t>
  </si>
  <si>
    <t>Deep Learning (DL) algorithms enabled computational models consist of multiple processing layers that represent data with multiple levels of abstraction. In recent years, usage of deep learning is rapidly proliferating in almost every domain, especially in medical image processing, medical image analysis, and bioinformatics. Consequently, deep learning has dramatically changed and improved the means of recognition, prediction, and diagnosis effectively in numerous areas of healthcare such as pathology, brain tumor, lung cancer, abdomen, cardiac, and retina. Considering the wide range of applications of deep learning, the objective of this article is to review major deep learning concepts pertinent to brain tumor analysis (e.g., segmentation, classification, prediction, evaluation.). A review conducted by summarizing a large number of scientific contributions to the field (i.e., deep learning in brain tumor analysis) is presented in this study. A coherent taxonomy of research landscape from the literature has also been mapped, and the major aspects of this emerging field have been discussed and analyzed. A critical discussion section to show the limitations of deep learning techniques has been included at the end to elaborate open research challenges and directions for future work in this emergent area.</t>
  </si>
  <si>
    <t>Brain Sci</t>
  </si>
  <si>
    <t>10.3390/diagnostics10100781</t>
  </si>
  <si>
    <t>Bone Age Assessment Empowered with Deep Learning: A Survey, Open Research Challenges and Future Directions</t>
  </si>
  <si>
    <t>Deep learning is a quite useful and proliferating technique of machine learning. Various applications, such as medical images analysis, medical images processing, text understanding, and speech recognition, have been using deep learning, and it has been providing rather promising results. Both supervised and unsupervised approaches are being used to extract and learn features as well as for the multi-level representation of pattern recognition and classification. Hence, the way of prediction, recognition, and diagnosis in various domains of healthcare including the abdomen, lung cancer, brain tumor, skeletal bone age assessment, and so on, have been transformed and improved significantly by deep learning. By considering a wide range of deep-learning applications, the main aim of this paper is to present a detailed survey on emerging research of deep-learning models for bone age assessment (e.g., segmentation, prediction, and classification). An enormous number of scientific research publications related to bone age assessment using deep learning are explored, studied, and presented in this survey. Furthermore, the emerging trends of this research domain have been analyzed and discussed. Finally, a critical discussion section on the limitations of deep-learning models has been presented. Open research challenges and future directions in this promising area have been included as well.</t>
  </si>
  <si>
    <t>Automated detection of a nonperfusion area caused by retinal vein occlusion in optical coherence tomography angiography images using deep learning</t>
  </si>
  <si>
    <t>We aimed to assess the ability of deep learning (DL) and support vector machine (SVM) to detect a nonperfusion area (NPA) caused by retinal vein occlusion (RVO) with optical coherence tomography angiography (OCTA) images. The study included 322 OCTA images (normal: 148; NPA owing to RVO: 174 [128 branch RVO images and 46 central RVO images]). Training to construct the DL model using deep convolutional neural network (DNN) algorithms was provided using OCTA images. The SVM used a scikit-learn library with a radial basis function kernel. The area under the curve (AUC), sensitivity and specificity for detecting an NPA were examined. We compared the diagnostic ability (sensitivity, specificity and average required time) between the DNN, SVM and seven ophthalmologists. Heat maps were generated. With regard to the DNN, the mean AUC, sensitivity, specificity and average required time for distinguishing RVO OCTA images with an NPA from normal OCTA images were 0.986, 93.7%, 97.3% and 176.9 s, respectively. With regard to SVM, the mean AUC, sensitivity, and specificity were 0.880, 79.3%, and 81.1%, respectively. With regard to the seven ophthalmologists, the mean AUC, sensitivity, specificity and average required time were 0.962, 90.8%, 89.2%, and 700.6 s, respectively. The DNN focused on the foveal avascular zone and NPA in heat maps. The performance of the DNN was significantly better than that of SVM in all parameters (p &lt; 0.01, all) and that of the ophthalmologists in AUC and specificity (p &lt; 0.01, all). The combination of DL and OCTA images had high accuracy for the detection of an NPA, and it might be useful in clinical practice and retinal screening.</t>
  </si>
  <si>
    <t>Artificial intelligence versus clinicians: systematic review of design, reporting standards, and claims of deep learning studies</t>
  </si>
  <si>
    <t>OBJECTIVE: To systematically examine the design, reporting standards, risk of bias, and claims of studies comparing the performance of diagnostic deep learning algorithms for medical imaging with that of expert clinicians. DESIGN: Systematic review. DATA SOURCES: Medline, Embase, Cochrane Central Register of Controlled Trials, and the World Health Organization trial registry from 2010 to June 2019. ELIGIBILITY CRITERIA FOR SELECTING STUDIES: Randomised trial registrations and non-randomised studies comparing the performance of a deep learning algorithm in medical imaging with a contemporary group of one or more expert clinicians. Medical imaging has seen a growing interest in deep learning research. The main distinguishing feature of convolutional neural networks (CNNs) in deep learning is that when CNNs are fed with raw data, they develop their own representations needed for pattern recognition. The algorithm learns for itself the features of an image that are important for classification rather than being told by humans which features to use. The selected studies aimed to use medical imaging for predicting absolute risk of existing disease or classification into diagnostic groups (eg, disease or non-disease). For example, raw chest radiographs tagged with a label such as pneumothorax or no pneumothorax and the CNN learning which pixel patterns suggest pneumothorax. REVIEW METHODS: Adherence to reporting standards was assessed by using CONSORT (consolidated standards of reporting trials) for randomised studies and TRIPOD (transparent reporting of a multivariable prediction model for individual prognosis or diagnosis) for non-randomised studies. Risk of bias was assessed by using the Cochrane risk of bias tool for randomised studies and PROBAST (prediction model risk of bias assessment tool) for non-randomised studies. RESULTS: Only 10 records were found for deep learning randomised clinical trials, two of which have been published (with low risk of bias, except for lack of blinding, and high adherence to reporting standards) and eight are ongoing. Of 81 non-randomised clinical trials identified, only nine were prospective and just six were tested in a real world clinical setting. The median number of experts in the comparator group was only four (interquartile range 2-9). Full access to all datasets and code was severely limited (unavailable in 95% and 93% of studies, respectively). The overall risk of bias was high in 58 of 81 studies and adherence to reporting standards was suboptimal (&lt;50% adherence for 12 of 29 TRIPOD items). 61 of 81 studies stated in their abstract that performance of artificial intelligence was at least comparable to (or better than) that of clinicians. Only 31 of 81 studies (38%) stated that further prospective studies or trials were required. CONCLUSIONS: Few prospective deep learning studies and randomised trials exist in medical imaging. Most non-randomised trials are not prospective, are at high risk of bias, and deviate from existing reporting standards. Data and code availability are lacking in most studies, and human comparator groups are often small. Future studies should diminish risk of bias, enhance real world clinical relevance, improve reporting and transparency, and appropriately temper conclusions. STUDY REGISTRATION: PROSPERO CRD42019123605.</t>
  </si>
  <si>
    <t>Bmj</t>
  </si>
  <si>
    <t>A Novel Method to Identify Pneumonia through Analyzing Chest Radiographs Employing a Multichannel Convolutional Neural Network</t>
  </si>
  <si>
    <t>Pneumonia is a virulent disease that causes the death of millions of people around the world. Every year it kills more children than malaria, AIDS, and measles combined and it accounts for approximately one in five child-deaths worldwide. The invention of antibiotics and vaccines in the past century has notably increased the survival rate of Pneumonia patients. Currently, the primary challenge is to detect the disease at an early stage and determine its type to initiate the appropriate treatment. Usually, a trained physician or a radiologist undertakes the task of diagnosing Pneumonia by examining the patient's chest X-ray. However, the number of such trained individuals is nominal when compared to the 450 million people who get affected by Pneumonia every year. Fortunately, this challenge can be met by introducing modern computers and improved Machine Learning techniques in Pneumonia diagnosis. Researchers have been trying to develop a method to automatically detect Pneumonia using machines by analyzing and the symptoms of the disease and chest radiographic images of the patients for the past two decades. However, with the development of cogent Deep Learning algorithms, the formation of such an automatic system is very much within the realms of possibility. In this paper, a novel diagnostic method has been proposed while using Image Processing and Deep Learning techniques that are based on chest X-ray images to detect Pneumonia. The method has been tested on a widely used chest radiography dataset, and the obtained results indicate that the model is very much potent to be employed in an automatic Pneumonia diagnosis scheme.</t>
  </si>
  <si>
    <t>Exploring uncertainty measures in deep networks for Multiple sclerosis lesion detection and segmentation</t>
  </si>
  <si>
    <t>Deep learning networks have recently been shown to outperform other segmentation methods on various public, medical-image challenge datasets, particularly on metrics focused on large pathologies. For diseases such as Multiple Sclerosis (MS), however, monitoring all the focal lesions visible on MRI sequences, even very small ones, is essential for disease staging, prognosis, and evaluating treatment efficacy. Small lesion segmentation presents significant challenges to popular deep learning models. This, coupled with their deterministic predictions, hinders their clinical adoption. Uncertainty estimates for these predictions would permit subsequent revision by clinicians. We present the first exploration of multiple uncertainty estimates based on Monte Carlo (MC) dropout (Gal and Ghahramani, 2016) in the context of deep networks for lesion detection and segmentation in medical images. Specifically, we develop a 3D MS lesion segmentation CNN, augmented to provide four different voxel-based uncertainty measures based on MC dropout. We train the network on a proprietary, large-scale, multi-site, multi-scanner, clinical MS dataset, and compute lesion-wise uncertainties by accumulating evidence from voxel-wise uncertainties within detected lesions. We analyze the performance of voxel-based segmentation and lesion-level detection by choosing operating points based on the uncertainty. Uncertainty filtering improves both voxel and lesion-wise TPR and FDR on remaining, certain predictions compared to sigmoid-based TPR/FDR curves. Small lesions and lesion-boundaries are the most uncertain regions, which is consistent with human-rater variability.</t>
  </si>
  <si>
    <t>T. Nair, D. Precup, D. L. Arnold and T. Arbel</t>
  </si>
  <si>
    <t>Identification and segmentation of myelinated nerve fibers in a cross-sectional optical microscopic image using a deep learning model</t>
  </si>
  <si>
    <t>BACKGROUND: The morphometric analysis of myelinated nerve fibers of peripheral nerves in cross-sectional optical microscopic images is valuable. Several automated methods for nerve fiber identification and segmentation have been reported. This paper presents a new method that uses a deep learning model of a convolutional neural network (CNN). We tested it for human sural nerve biopsy images. METHODS: The method comprises four steps: normalization, clustering segmentation, myelinated nerve fiber identification, and clump splitting. A normalized sample image was separated into individual objects with clustering segmentation. Each object was applied to a CNN deep learning model that labeled myelinated nerve fibers as positive and other structures as negative. Only positives proceeded to the next step. For pretraining the model, 70,000 positive and negative data each from 39 samples were used. The accuracy of the proposed algorithm was evaluated using 10 samples that were not part of the training set. A P-value of &lt;0.05 was considered statistically significant. RESULTS: The total true-positive rate (TPR) for the detection of myelinated fibers was 0.982, and the total false-positive rate was 0.016. The defined total area similarity (AS) and area overlap error of segmented myelin sheaths were 0.967 and 0.068, respectively. In all but one sample, there were no significant differences in estimated morphometric parameters obtained from our method and manual segmentation. COMPARISON WITH EXISTING METHODS: The TPR and AS were higher than those obtained using previous methods. CONCLUSIONS: High-performance automated identification and segmentation of myelinated nerve fibers were achieved using a deep learning model.</t>
  </si>
  <si>
    <t>T. Naito, Y. Nagashima, K. Taira, N. Uchio, S. Tsuji and J. Shimizu</t>
  </si>
  <si>
    <t>Quantitative and Qualitative Evaluation of Convolutional Neural Networks with a Deeper U-Net for Sparse-View Computed Tomography Reconstruction</t>
  </si>
  <si>
    <t>RATIONALE AND OBJECTIVES: To evaluate the utility of a convolutional neural network (CNN) with an increased number of contracting and expanding paths of U-net for sparse-view CT reconstruction. MATERIALS AND METHODS: This study used 60 anonymized chest CT cases from a public database called The Cancer Imaging Archive. Eight thousand images from 40 cases were used for training. Eight hundred and 80 images from another 20 cases were used for quantitative and qualitative evaluation, respectively. Sparse-view CT images subsampled by a factor of 20 were simulated, and two CNNs were trained to create denoised images from the sparse-view CT. A CNN based on U-net with residual learning with four contracting and expanding paths (the preceding CNN) was compared with another CNN with eight contracting and expanding paths (the proposed CNN) both quantitatively (peak signal to noise ratio, structural similarity index), and qualitatively (the scores given by two radiologists for anatomical visibility, artifact and noise, and overall image quality) using the Wilcoxon signed-rank test. Nodule and emphysema appearance were also evaluated qualitatively. RESULTS: The proposed CNN was significantly better than the preceding CNN both quantitatively and qualitatively (overall image quality interquartile range, 3.0-3.5 versus 1.0-1.0 reported from the preceding CNN; p &lt; 0.001). However, only 2 of 22 cases used for emphysematous evaluation (2 CNNs for every 11 cases with emphysema) had an average score of ≥ 2 (on a 3 point scale). CONCLUSION: Increasing contracting and expanding paths may be useful for sparse-view CT reconstruction with CNN. However, poor reproducibility of emphysema appearance should also be noted.</t>
  </si>
  <si>
    <t>10.1097/rct.0000000000000928</t>
  </si>
  <si>
    <t>Possibility of Deep Learning in Medical Imaging Focusing Improvement of Computed Tomography Image Quality</t>
  </si>
  <si>
    <t>Deep learning (DL), part of a broader family of machine learning methods, is based on learning data representations rather than task-specific algorithms. Deep learning can be used to improve the image quality of clinical scans with image noise reduction. We review the ability of DL to reduce the image noise, present the advantages and disadvantages of computed tomography image reconstruction, and examine the potential value of new DL-based computed tomography image reconstruction.</t>
  </si>
  <si>
    <t>J Comput Assist Tomogr</t>
  </si>
  <si>
    <t>10.1007/s11604-018-0804-6</t>
  </si>
  <si>
    <t>Recent technical development of artificial intelligence for diagnostic medical imaging</t>
  </si>
  <si>
    <t>Deep learning has caused a third boom of artificial intelligence and great changes of diagnostic medical imaging systems such as radiology, pathology, retinal imaging, dermatology inspection, and endoscopic diagnosis will be expected in the near future. However, various attempts and new methods of deep learning have been proposed in recent years, and their progress is extremely fast. Therefore, at the initial stage when medical artificial intelligence papers were published, the artificial intelligence technology itself may be old technology or well-known general-purpose common technology. Therefore, the author has reviewed state-of-the-art computer vision papers and presentations of 2018 using deep learning technologies, which will have future clinical potentials selected from the point of view of a radiologist such as generative adversarial network, knowledge distillation, and general image data sets for supervised learning.</t>
  </si>
  <si>
    <t>N. Nakata</t>
  </si>
  <si>
    <t>10.3389/fncom.2019.00083</t>
  </si>
  <si>
    <t>Data Augmentation for Brain-Tumor Segmentation: A Review</t>
  </si>
  <si>
    <t>Data augmentation is a popular technique which helps improve generalization capabilities of deep neural networks, and can be perceived as implicit regularization. It plays a pivotal role in scenarios in which the amount of high-quality ground-truth data is limited, and acquiring new examples is costly and time-consuming. This is a very common problem in medical image analysis, especially tumor delineation. In this paper, we review the current advances in data-augmentation techniques applied to magnetic resonance images of brain tumors. To better understand the practical aspects of such algorithms, we investigate the papers submitted to the Multimodal Brain Tumor Segmentation Challenge (BraTS 2018 edition), as the BraTS dataset became a standard benchmark for validating existent and emerging brain-tumor detection and segmentation techniques. We verify which data augmentation approaches were exploited and what was their impact on the abilities of underlying supervised learners. Finally, we highlight the most promising research directions to follow in order to synthesize high-quality artificial brain-tumor examples which can boost the generalization abilities of deep models.</t>
  </si>
  <si>
    <t>Fully-automated deep learning-powered system for DCE-MRI analysis of brain tumors</t>
  </si>
  <si>
    <t>Dynamic contrast-enhanced magnetic resonance imaging (DCE-MRI) plays an important role in diagnosis and grading of brain tumors. Although manual DCE biomarker extraction algorithms boost the diagnostic yield of DCE-MRI by providing quantitative information on tumor prognosis and prediction, they are time-consuming and prone to human errors. In this paper, we propose a fully-automated, end-to-end system for DCE-MRI analysis of brain tumors. Our deep learning-powered technique does not require any user interaction, it yields reproducible results, and it is rigorously validated against benchmark and clinical data. Also, we introduce a cubic model of the vascular input function used for pharmacokinetic modeling which significantly decreases the fitting error when compared with the state of the art, alongside a real-time algorithm for determination of the vascular input region. An extensive experimental study, backed up with statistical tests, showed that our system delivers state-of-the-art results while requiring less than 3 min to process an entire input DCE-MRI study using a single GPU.</t>
  </si>
  <si>
    <t>Development and Validation of Deep Learning-based Automatic Detection Algorithm for Malignant Pulmonary Nodules on Chest Radiographs</t>
  </si>
  <si>
    <t>Purpose To develop and validate a deep learning-based automatic detection algorithm (DLAD) for malignant pulmonary nodules on chest radiographs and to compare its performance with physicians including thoracic radiologists. Materials and Methods For this retrospective study, DLAD was developed by using 43 292 chest radiographs (normal radiograph-to-nodule radiograph ratio, 34 067:9225) in 34 676 patients (healthy-to-nodule ratio, 30 784:3892; 19 230 men [mean age, 52.8 years; age range, 18-99 years]; 15 446 women [mean age, 52.3 years; age range, 18-98 years]) obtained between 2010 and 2015, which were labeled and partially annotated by 13 board-certified radiologists, in a convolutional neural network. Radiograph classification and nodule detection performances of DLAD were validated by using one internal and four external data sets from three South Korean hospitals and one U.S. hospital. For internal and external validation, radiograph classification and nodule detection performances of DLAD were evaluated by using the area under the receiver operating characteristic curve (AUROC) and jackknife alternative free-response receiver-operating characteristic (JAFROC) figure of merit (FOM), respectively. An observer performance test involving 18 physicians, including nine board-certified radiologists, was conducted by using one of the four external validation data sets. Performances of DLAD, physicians, and physicians assisted with DLAD were evaluated and compared. Results According to one internal and four external validation data sets, radiograph classification and nodule detection performances of DLAD were a range of 0.92-0.99 (AUROC) and 0.831-0.924 (JAFROC FOM), respectively. DLAD showed a higher AUROC and JAFROC FOM at the observer performance test than 17 of 18 and 15 of 18 physicians, respectively (P &lt; .05), and all physicians showed improved nodule detection performances with DLAD (mean JAFROC FOM improvement, 0.043; range, 0.006-0.190; P &lt; .05). Conclusion This deep learning-based automatic detection algorithm outperformed physicians in radiograph classification and nodule detection performance for malignant pulmonary nodules on chest radiographs, and it enhanced physicians' performances when used as a second reader. © RSNA, 2018 Online supplemental material is available for this article.</t>
  </si>
  <si>
    <t>J. G. Nam, S. Park, E. J. Hwang, J. H. Lee, K. N. Jin, K. Y. Lim, T. H. Vu, J. H. Sohn, S. Hwang, J. M. Goo and C. M. Park</t>
  </si>
  <si>
    <t>Estimating age-related changes in in vivo cerebral magnetic resonance angiography using convolutional neural network</t>
  </si>
  <si>
    <t>Although age-related changes of cerebral arteries were observed in in vivo magnetic resonance angiography (MRA), standard tools or methods measuring those changes were limited. In this study, we developed and evaluated a model to measure age-related changes in the cerebral arteries from 3D MRA using a 3D deep convolutional neural network. From participants without any medical abnormality, training (n = 800) and validation sets (n = 88) of 3D MRA were built. After preprocessing and data augmentation, a 3D convolutional neural network was trained to estimate each subject's chronological age from in vivo MRA data. There was good correlation between chronological age and predicted age (r = 0.83) in an independent test set (n = 354). The predicted age difference (PAD) of the test set was 2.41 ± 6.22. Interaction term between age and sex was significant for PAD (p = 0.008). After correcting for age and interaction term, men showed higher PAD (p &lt; 0.001). Hypertension was associated with higher PAD with marginal significance (p = 0.073). We suggested that PAD might be a potential measurement of cerebral vascular aging.</t>
  </si>
  <si>
    <t>10.1002/cncr.31630</t>
  </si>
  <si>
    <t>Quantitative imaging of cancer in the postgenomic era: Radio(geno)mics, deep learning, and habitats</t>
  </si>
  <si>
    <t>Although cancer often is referred to as a disease of the genes, it is indisputable that the (epi)genetic properties of individual cancer cells are highly variable, even within the same tumor. Hence, preexisting resistant clones will emerge and proliferate after therapeutic selection that targets sensitive clones. Herein, the authors propose that quantitative image analytics, known as radiomics, can be used to quantify and characterize this heterogeneity. Virtually every patient with cancer is imaged radiologically. Radiomics is predicated on the beliefs that these images reflect underlying pathophysiologies, and that they can be converted into mineable data for improved diagnosis, prognosis, prediction, and therapy monitoring. In the last decade, the radiomics of cancer has grown from a few laboratories to a worldwide enterprise. During this growth, radiomics has established a convention, wherein a large set of annotated image features (1-2000 features) are extracted from segmented regions of interest and used to build classifier models to separate individual patients into their appropriate class (eg, indolent vs aggressive disease). An extension of this conventional radiomics is the application of deep learning, wherein convolutional neural networks can be used to detect the most informative regions and features without human intervention. A further extension of radiomics involves automatically segmenting informative subregions (habitats) within tumors, which can be linked to underlying tumor pathophysiology. The goal of the radiomics enterprise is to provide informed decision support for the practice of precision oncology.</t>
  </si>
  <si>
    <t>Are multi-contrast magnetic resonance images necessary for segmenting multiple sclerosis brains? A large cohort study based on deep learning</t>
  </si>
  <si>
    <t>BACKGROUND: Magnetic resonance images with multiple contrasts or sequences are commonly used for segmenting brain tissues, including lesions, in multiple sclerosis (MS). However, acquisition of images with multiple contrasts increases the scan time and complexity of the analysis, possibly introducing factors that could compromise segmentation quality. OBJECTIVE: To investigate the effect of various combinations of multi-contrast images as input on the segmented volumes of gray (GM) and white matter (WM), cerebrospinal fluid (CSF), and lesions using a deep neural network. METHODS: U-net, a fully convolutional neural network was used to automatically segment GM, WM, CSF, and lesions in 1000 MS patients. The input to the network consisted of 15 combinations of FLAIR, T1-, T2-, and proton density-weighted images. The Dice similarity coefficient (DSC) was evaluated to assess the segmentation performance. For lesions, true positive rate (TPR) and false positive rate (FPR) were also evaluated. In addition, the effect of lesion size on lesion segmentation was investigated. RESULTS: Highest DSC was observed for all the tissue volumes, including lesions, when the input was combination of all four image contrasts. All other input combinations that included FLAIR also provided high DSC for all tissue classes. However, the quality of lesion segmentation showed strong dependence on the input images. The DSC and TPR values for inputs with the four contrast combination and FLAIR alone were very similar, but FLAIR showed a moderately higher FPR for lesion size &lt;100 μl. For lesions smaller than 20 μl all image combinations resulted in poor performance. The segmentation quality improved with lesion size. CONCLUSIONS: Best performance for segmented tissue volumes was obtained with all four image contrasts as the input, and comparable performance was attainable with FLAIR only as the input, albeit with a moderate increase in FPR for small lesions. This implies that acquisition of only FLAIR images provides satisfactory tissue segmentation. Lesion segmentation was poor for very small lesions and improved rapidly with lesion size.</t>
  </si>
  <si>
    <t>Deep Learning for Predicting Enhancing Lesions in Multiple Sclerosis from Noncontrast MRI</t>
  </si>
  <si>
    <t>Background Enhancing lesions on MRI scans obtained after contrast material administration are commonly thought to represent disease activity in multiple sclerosis (MS); it is desirable to develop methods that can predict enhancing lesions without the use of contrast material. Purpose To evaluate whether deep learning can predict enhancing lesions on MRI scans obtained without the use of contrast material. Materials and Methods This study involved prospective analysis of existing MRI data. A convolutional neural network was used for classification of enhancing lesions on unenhanced MRI scans. This classification was performed for each slice, and the slice scores were combined by using a fully connected network to produce participant-wise predictions. The network input consisted of 1970 multiparametric MRI scans from 1008 patients recruited from 2005 to 2009. Enhanced lesions on postcontrast T1-weighted images served as the ground truth. The network performance was assessed by using fivefold cross-validation. Statistical analysis of the network performance included calculation of lesion detection rates and areas under the receiver operating characteristic curve (AUCs). Results MRI scans from 1008 participants (mean age, 37.7 years ± 9.7; 730 women) were analyzed. At least one enhancing lesion was observed in 519 participants. The sensitivity and specificity averaged across the five test sets were 78% ± 4.3 and 73% ± 2.7, respectively, for slice-wise prediction. The corresponding participant-wise values were 72% ± 9.0 and 70% ± 6.3. The diagnostic performances (AUCs) were 0.82 ± 0.02 and 0.75 ± 0.03 for slice-wise and participant-wise enhancement prediction, respectively. Conclusion Deep learning used with conventional MRI identified enhanced lesions in multiple sclerosis from images from unenhanced multiparametric MRI with moderate to high accuracy. © RSNA, 2019.</t>
  </si>
  <si>
    <t>Targeting Precision with Data Augmented Samples in Deep Learning</t>
  </si>
  <si>
    <t>In the last five years, deep learning (DL) has become the state-of-the-art tool for solving various tasks in medical image analysis. Among the different methods that have been proposed to improve the performance of Convolutional Neural Networks (CNNs), one typical approach is the augmentation of the training data set through various transformations of the input image. Data augmentation is typically used in cases where a small amount of data is available, such as the majority of medical imaging problems, to present a more substantial amount of data to the network and improve the overall accuracy. However, the ability of the network to improve the accuracy of the results when a slightly modified version of the same input is presented is often overestimated. This overestimation is the result of the strong correlation between data samples when they are considered independently in the training phase. In this paper, we emphasize the importance of optimizing for accuracy as well as precision among multiple replicates of the same training data in the context of data augmentation. To this end, we propose a new approach that leverages the augmented data to help the network focus on the precision through a specifically-designed loss function, with the ultimate goal to improve both the overall performance and the network's precision at the same time. We present two different applications of DL (regression and segmentation) to demonstrate the strength of the proposed strategy. We think that this work will pave the way to a explicit use of data augmentation within the loss function that helps the network to be invariant to small variations of the same input samples, a characteristic that is always required to every application in the medical imaging field.</t>
  </si>
  <si>
    <t>Pulmonary Artery-Vein Classification in CT Images Using Deep Learning</t>
  </si>
  <si>
    <t>Recent studies show that pulmonary vascular diseases may specifically affect arteries or veins through different physiologic mechanisms. To detect changes in the two vascular trees, physicians manually analyze the chest computed tomography (CT) image of the patients in search of abnormalities. This process is time consuming, difficult to standardize, and thus not feasible for large clinical studies or useful in real-world clinical decision making. Therefore, automatic separation of arteries and veins in CT images is becoming of great interest, as it may help physicians to accurately diagnose pathological conditions. In this paper, we present a novel, fully automatic approach to classify vessels from chest CT images into arteries and veins. The algorithm follows three main steps: first, a scale-space particles segmentation to isolate vessels; then a 3-D convolutional neural network (CNN) to obtain a first classification of vessels; finally, graph-cuts' optimization to refine the results. To justify the usage of the proposed CNN architecture, we compared different 2-D and 3-D CNNs that may use local information from bronchus- and vessel-enhanced images provided to the network with different strategies. We also compared the proposed CNN approach with a random forests (RFs) classifier. The methodology was trained and evaluated on the superior and inferior lobes of the right lung of 18 clinical cases with noncontrast chest CT scans, in comparison with manual classification. The proposed algorithm achieves an overall accuracy of 94%, which is higher than the accuracy obtained using other CNN architectures and RF. Our method was also validated with contrast-enhanced CT scans of patients with chronic thromboembolic pulmonary hypertension to demonstrate that our model generalizes well to contrast-enhanced modalities. The proposed method outperforms state-of-the-art methods, paving the way for future use of 3-D CNN for artery/vein classification in CT images.</t>
  </si>
  <si>
    <t>P. Nardelli, D. Jimenez-Carretero, D. Bermejo-Pelaez, G. R. Washko, F. N. Rahaghi, M. J. Ledesma-Carbayo and R. San Jose Estepar</t>
  </si>
  <si>
    <t>Deep Learning Based Sub-Retinal Fluid Segmentation in Central Serous Chorioretinopathy Optical Coherence Tomography Scans</t>
  </si>
  <si>
    <t>Development of an automated sub-retinal fluid segmentation technique from optical coherence tomography (OCT) scans is faced with challenges such as noise and motion artifacts present in OCT images, variation in size, shape and location of fluid pockets within the retina. The ability of a fully convolutional neural network to automatically learn significant low level features to differentiate subtle spatial variations makes it suitable for retinal fluid segmentation task. Hence, a fully convolutional neural network has been proposed in this work for the automatic segmentation of sub-retinal fluid in OCT scans of central serous chorioretinopathy (CSC) pathology. The proposed method has been evaluated on a dataset of 15 OCT volumes and an average Dice rate, Precision and Recall of 0.91, 0.93 and 0.89 respectively has been achieved over the test set.</t>
  </si>
  <si>
    <t>Automated Classification of Skin Lesions: From Pixels to Practice</t>
  </si>
  <si>
    <t>The letters Interpretation of the Outputs of Deep Learning Model trained with Skin Cancer Dataset and Automated Dermatological Diagnosis: Hype or Reality? highlight the opportunities, hurdles, and possible pitfalls with the development of tools that allow for automated skin lesion classification. The potential clinical impact of these advances relies on their scalability, accuracy, and generalizability across a range of diagnostic scenarios.</t>
  </si>
  <si>
    <t>Combining Deep Learning with Handcrafted Features for Cell Nuclei Segmentation()</t>
  </si>
  <si>
    <t>Segmentation of cell nuclei in fluorescence microscopy images provides valuable information about the shape and size of the nuclei, its chromatin texture and DNA content. It has many applications such as cell tracking, counting and classification. In this work, we extended our recently proposed approach for nuclei segmentation based on deep learning, by adding to its input handcrafted features. Our handcrafted features introduce additional domain knowledge that nuclei are expected to have an approximately round shape. For round shapes the gradient vector of points at the border point to the center. To convey this information, we compute a map of gradient convergence to be used by the CNN as a new channel, in addition to the fluorescence microscopy image. We applied our method to a dataset of microscopy images of cells stained with DAPI. Our results show that with this approach we are able to decrease the number of missdetections and, therefore, increase the F1-Score when compared to our previously proposed approach. Moreover, the results show that faster convergence is obtained when handcrafted features are combined with deep learning.</t>
  </si>
  <si>
    <t>Deep learning, computer-aided radiography reading for tuberculosis: a diagnostic accuracy study from a tertiary hospital in India</t>
  </si>
  <si>
    <t>In general, chest radiographs (CXR) have high sensitivity and moderate specificity for active pulmonary tuberculosis (PTB) screening when interpreted by human readers. However, they are challenging to scale due to hardware costs and the dearth of professionals available to interpret CXR in low-resource, high PTB burden settings. Recently, several computer-aided detection (CAD) programs have been developed to facilitate automated CXR interpretation. We conducted a retrospective case-control study to assess the diagnostic accuracy of a CAD software (qXR, Qure.ai, Mumbai, India) using microbiologically-confirmed PTB as the reference standard. To assess overall accuracy of qXR, receiver operating characteristic (ROC) analysis was used to determine the area under the curve (AUC), along with 95% confidence intervals (CI). Kappa coefficients, and associated 95% CI, were used to investigate inter-rater reliability of the radiologists for detection of specific chest abnormalities. In total, 317 cases and 612 controls were included in the analysis. The AUC for qXR for the detection of microbiologically-confirmed PTB was 0.81 (95% CI: 0.78, 0.84). Using the threshold that maximized sensitivity and specificity of qXR simultaneously, the software achieved a sensitivity and specificity of 71% (95% CI: 66%, 76%) and 80% (95% CI: 77%, 83%), respectively. The sensitivity and specificity of radiologists for the detection of microbiologically-confirmed PTB was 56% (95% CI: 50%, 62%) and 80% (95% CI: 77%, 83%), respectively. For detection of key PTB-related abnormalities 'pleural effusion' and 'cavity', qXR achieved an AUC of 0.94 (95% CI: 0.92, 0.96) and 0.84 (95% CI: 0.82, 0.87), respectively. For the other abnormalities, the AUC ranged from 0.75 (95% CI: 0.70, 0.80) to 0.94 (95% CI: 0.91, 0.96). The controls had a high prevalence of other lung diseases which can cause radiological manifestations similar to PTB (e.g., 26% had pneumonia, 15% had lung malignancy, etc.). In a tertiary hospital in India, qXR demonstrated moderate sensitivity and specificity for the detection of PTB. There is likely a larger role for CAD software as a triage test for PTB at the primary care level in settings where access to radiologists in limited. Larger prospective studies that can better assess heterogeneity in important subgroups are needed.</t>
  </si>
  <si>
    <t>DePicT Melanoma Deep-CLASS: a deep convolutional neural networks approach to classify skin lesion images</t>
  </si>
  <si>
    <t>BACKGROUND: Melanoma results in the vast majority of skin cancer deaths during the last decades, even though this disease accounts for only one percent of all skin cancers' instances. The survival rates of melanoma from early to terminal stages is more than fifty percent. Therefore, having the right information at the right time by early detection with monitoring skin lesions to find potential problems is essential to surviving this type of cancer. RESULTS: An approach to classify skin lesions using deep learning for early detection of melanoma in a case-based reasoning (CBR) system is proposed. This approach has been employed for retrieving new input images from the case base of the proposed system DePicT Melanoma Deep-CLASS to support users with more accurate recommendations relevant to their requested problem (e.g., image of affected area). The efficiency of our system has been verified by utilizing the ISIC Archive dataset in analysis of skin lesion classification as a benign and malignant melanoma. The kernel of DePicT Melanoma Deep-CLASS is built upon a convolutional neural network (CNN) composed of sixteen layers (excluding input and ouput layers), which can be recursively trained and learned. Our approach depicts an improved performance and accuracy in testing on the ISIC Archive dataset. CONCLUSIONS: Our methodology derived from a deep CNN, generates case representations for our case base to use in the retrieval process. Integration of this approach to DePicT Melanoma CLASS, significantly improving the efficiency of its image classification and the quality of the recommendation part of the system. The proposed method has been tested and validated on 1796 dermoscopy images. Analyzed results indicate that it is efficient on malignancy detection.</t>
  </si>
  <si>
    <t>Melanoma detection by analysis of clinical images using convolutional neural network</t>
  </si>
  <si>
    <t>Melanoma, most threatening type of skin cancer, is on the rise. In this paper an implementation of a deep-learning system on a computer server, equipped with graphic processing unit (GPU), is proposed for detection of melanoma lesions. Clinical (non-dermoscopic) images are used in the proposed system, which could assist a dermatologist in early diagnosis of this type of skin cancer. In the proposed system, input clinical images, which could contain illumination and noise effects, are preprocessed in order to reduce such artifacts. Afterward, the enhanced images are fed to a pre-trained convolutional neural network (CNN) which is a member of deep learning models. The CNN classifier, which is trained by large number of training samples, distinguishes between melanoma and benign cases. Experimental results show that the proposed method is superior in terms of diagnostic accuracy in comparison with the state-of-the-art methods.</t>
  </si>
  <si>
    <t>E. Nasr-Esfahani, S. Samavi, N. Karimi, S. M. Soroushmehr, M. H. Jafari, K. Ward and K. Najarian</t>
  </si>
  <si>
    <t>Vessel extraction in X-ray angiograms using deep learning</t>
  </si>
  <si>
    <t>Coronary artery disease (CAD) is the most common type of heart disease which is the leading cause of death all over the world. X-ray angiography is currently the gold standard imaging technique for CAD diagnosis. These images usually suffer from low quality and presence of noise. Therefore, vessel enhancement and vessel segmentation play important roles in CAD diagnosis. In this paper a deep learning approach using convolutional neural networks (CNN) is proposed for detecting vessel regions in angiography images. Initially, an input angiogram is preprocessed to enhance its contrast. Afterward, the image is evaluated using patches of pixels and the network determines the vessel and background regions. A set of 1,040,000 patches is used in order to train the deep CNN. Experimental results on angiography images of a dataset show that our proposed method has a superior performance in extraction of vessel regions.</t>
  </si>
  <si>
    <t>E. Nasr-Esfahani, S. Samavi, N. Karimi, S. M. Soroushmehr, K. Ward, M. H. Jafari, B. Felfeliyan, B. Nallamothu and K. Najarian</t>
  </si>
  <si>
    <t>Automated Lung Nodule Detection and Classification Using Deep Learning Combined with Multiple Strategies</t>
  </si>
  <si>
    <t>Lung cancer is one of the major causes of cancer-related deaths due to its aggressive nature and delayed detections at advanced stages. Early detection of lung cancer is very important for the survival of an individual, and is a significant challenging problem. Generally, chest radiographs (X-ray) and computed tomography (CT) scans are used initially for the diagnosis of the malignant nodules; however, the possible existence of benign nodules leads to erroneous decisions. At early stages, the benign and the malignant nodules show very close resemblance to each other. In this paper, a novel deep learning-based model with multiple strategies is proposed for the precise diagnosis of the malignant nodules. Due to the recent achievements of deep convolutional neural networks (CNN) in image analysis, we have used two deep three-dimensional (3D) customized mixed link network (CMixNet) architectures for lung nodule detection and classification, respectively. Nodule detections were performed through faster R-CNN on efficiently-learned features from CMixNet and U-Net like encoder-decoder architecture. Classification of the nodules was performed through a gradient boosting machine (GBM) on the learned features from the designed 3D CMixNet structure. To reduce false positives and misdiagnosis results due to different types of errors, the final decision was performed in connection with physiological symptoms and clinical biomarkers. With the advent of the internet of things (IoT) and electro-medical technology, wireless body area networks (WBANs) provide continuous monitoring of patients, which helps in diagnosis of chronic diseases-especially metastatic cancers. The deep learning model for nodules' detection and classification, combined with clinical factors, helps in the reduction of misdiagnosis and false positive (FP) results in early-stage lung cancer diagnosis. The proposed system was evaluated on LIDC-IDRI datasets in the form of sensitivity (94%) and specificity (91%), and better results were obatined compared to the existing methods.</t>
  </si>
  <si>
    <t>Deep learning reveals untapped information for local white-matter fiber reconstruction in diffusion-weighted MRI</t>
  </si>
  <si>
    <t>PURPOSE: Diffusion-weighted magnetic resonance imaging (DW-MRI) is of critical importance for characterizing in-vivo white matter. Models relating microarchitecture to observed DW-MRI signals as a function of diffusion sensitization are the lens through which DW-MRI data are interpreted. Numerous modern approaches offer opportunities to assess more complex intra-voxel structures. Nevertheless, there remains a substantial gap between intra-voxel estimated structures and ground truth captured by 3-D histology. METHODS: Herein, we propose a novel data-driven approach to model the non-linear mapping between observed DW-MRI signals and ground truth structures using a sequential deep neural network regression using residual block deep neural network (ResDNN). Training was performed on two 3-D histology datasets of squirrel monkey brains and validated on a third. A second validation was performed using scan-rescan datasets of 12 subjects from Human Connectome Project. The ResDNN was compared with multiple micro-structure reconstruction methods and super resolved-constrained spherical deconvolution (sCSD) in particular as baseline for both the validations. RESULTS: Angular correlation coefficient (ACC) is a correlation/similarity measure and can be interpreted as accuracy when compared with a ground truth. The median ACC of ResDNN is 0.82 and median ACC's of different variants of CSD are 0.75, 0.77, 0.79. The mean, median and std. of ResDNN &amp; sCSD ACC across 12 subjects from HCP are 0.74, 0.88, 0.31 and 0.61, 0.71, 0.31 respectively. CONCLUSION: This work highlights the ability of deep learning to capture linkages between ex-vivo ground truth data with feasible MRI sequences. The data-driven approach is applicable to human in-vivo data and results in intriguingly high reproducibility of orientation structure.</t>
  </si>
  <si>
    <t>V. Nath, K. G. Schilling, P. Parvathaneni, C. B. Hansen, A. E. Hainline, Y. Huo, J. A. Blaber, I. Lyu, V. Janve, Y. Gao, I. Stepniewska, A. W. Anderson and B. A. Landman</t>
  </si>
  <si>
    <t>Diminishing Uncertainty within the Training Pool: Active Learning for Medical Image Segmentation</t>
  </si>
  <si>
    <t>Active learning is a unique abstraction of machine learning techniques where the model/algorithm could guide users for annotation of a set of data points that would be beneficial to the model, unlike passive machine learning. The primary advantage being that active learning frameworks select data points that can accelerate the learning process of amodel and can reduce the amount of data needed to achieve full accuracy as compared to a model trained on a randomly acquired data set. Multiple frameworks for active learning combined with deep learning have been proposed, and the majority of them are dedicated to classification tasks. Herein, we explore active learning for the task of segmentation of medical imaging data sets. We investigate our proposed framework using two datasets: 1.) MRI scans of the hippocampus, 2.) CT scans of pancreas and tumors. This work presents a query-by-committee approach for active learning where a joint optimizer is used for the committee. At the same time, we propose three new strategies for active learning: 1.) increasing frequency of uncertain data to bias the training data set; 2.) Using mutual information among the input images as a regularizer for acquisition to ensure diversity in the training dataset; 3.) adaptation of Dice log-likelihood for Stein variational gradient descent (SVGD). The results indicate an improvement in terms of data reduction by achieving full accuracy while only using 22.69 % and 48.85 % of the available data for each dataset, respectively.</t>
  </si>
  <si>
    <t>Computer-aided diagnosis of cirrhosis and hepatocellular carcinoma using multi-phase abdomen CT</t>
  </si>
  <si>
    <t>PURPOSE: High mortality rate due to liver cirrhosis has been reported over the globe in the previous years. Early detection of cirrhosis may help in controlling the disease progression toward hepatocellular carcinoma (HCC). The lack of trained CT radiologists and increased patient population delays the diagnosis and further management. This study proposes a computer-aided diagnosis system for detecting cirrhosis and HCC in a very efficient and less time-consuming approach. METHODS: Contrast-enhanced CT dataset of 40 patients (n = 40; M:F = 5:3; age = 25-55 years) with three groups of subjects: healthy (n = 14), cirrhosis (n = 12) and cirrhosis with HCC (n = 14), were retrospectively analyzed in this study. A novel method for the automatic 3D segmentation of liver using modified region-growing segmentation technique was developed and compared with the state-of-the-art deep learning-based technique. Further, histogram parameters were calculated from segmented CT liver volume for classification between healthy and diseased (cirrhosis and HCC) liver using logistic regression. Multi-phase analysis of CT images was performed to extract 24 temporal features for detecting cirrhosis and HCC liver using support vector machine (SVM). RESULTS: The proposed method produced improved 3D segmentation with Dice coefficient 90% for healthy liver, 86% for cirrhosis and 81% for HCC subjects compared to the deep learning algorithm (healthy: 82%; cirrhosis: 78%; HCC: 70%). Standard deviation and kurtosis were found to be statistically different (p &lt; 0.05) among healthy and diseased liver, and using logistic regression, classification accuracy obtained was 92.5%. For detecting cirrhosis and HCC liver, SVM with RBF kernel obtained highest slice-wise and patient-wise prediction accuracy of 86.9% (precision = 0.93, recall = 0.7) and 80% (precision = 0.86, recall = 0.75), respectively, than that of linear kernel (slice-wise: accuracy = 85.4%, precision = 0.92, recall = 0.67; patient-wise: accuracy = 73.33%, precision = 0.75, recall = 0.75). CONCLUSIONS: The proposed computer-aided diagnosis system for detecting cirrhosis and hepatocellular carcinoma (HCC) showed promising results and can be used as effective screening tool in medical image analysis.</t>
  </si>
  <si>
    <t>A. Nayak, E. Baidya Kayal, M. Arya, J. Culli, S. Krishan, S. Agarwal and A. Mehndiratta</t>
  </si>
  <si>
    <t>10.1016/j.compbiomed.2020.104035</t>
  </si>
  <si>
    <t>Computer-aided diagnosis of liver lesions using CT images: A systematic review</t>
  </si>
  <si>
    <t>BACKGROUND: Medical image processing has a strong footprint in radio diagnosis for the detection of diseases from the images. Several computer-aided systems were researched in the recent past to assist the radiologist in diagnosing liver diseases and reducing the interpretation time. The aim of this paper is to provide an overview of the state-of-the-art techniques in computer-assisted diagnosis systems to predict benign and malignant lesions using computed tomography images. METHODS: The research articles published between 1998 and 2020 obtained from various standard databases were considered for preparing the review. The research papers include both conventional as well as deep learning-based systems for liver lesion diagnosis. The paper initially discusses the various hepatic lesions that are identifiable on computed tomography images, then the computer-aided diagnosis systems and their workflow. The conventional and deep learning-based systems are presented in stages wherein the various methods used for preprocessing, liver and lesion segmentation, radiological feature extraction and classification are discussed. CONCLUSION: The review suggests the scope for future, work as efficient and effective segmentation methods that work well with diverse images have not been developed. Furthermore, unsupervised and semi-supervised deep learning models were not investigated for liver disease diagnosis in the reviewed papers. Other areas to be explored include image fusion and inclusion of essential clinical features along with the radiological features for better classification accuracy.</t>
  </si>
  <si>
    <t>Segmentation of Nuclei in Histopathology Images by Deep Regression of the Distance Map</t>
  </si>
  <si>
    <t>The advent of digital pathology provides us with the challenging opportunity to automatically analyze whole slides of diseased tissue in order to derive quantitative profiles that can be used for diagnosis and prognosis tasks. In particular, for the development of interpretable models, the detection and segmentation of cell nuclei is of the utmost importance. In this paper, we describe a new method to automatically segment nuclei from Haematoxylin and Eosin (H&amp;E) stained histopathology data with fully convolutional networks. In particular, we address the problem of segmenting touching nuclei by formulating the segmentation problem as a regression task of the distance map. We demonstrate superior performance of this approach as compared to other approaches using Convolutional Neural Networks.</t>
  </si>
  <si>
    <t>P. Naylor, M. Lae, F. Reyal and T. Walter</t>
  </si>
  <si>
    <t>Diabetic retinopathy detection through novel tetragonal local octa patterns and extreme learning machines</t>
  </si>
  <si>
    <t>Diabetic retinopathy (DR) is an eye disease that victimize the people suffering from diabetes from many years. The severe form of DR results in form of the blindness that can initially be controlled by the DR-screening oriented treatment. The effective screening programs require the trained human resource that manually grade the fundus images to understand the severity of the disease. But due to the complexity of this process, and the insufficient number of the trained workers, the precise manual grading is an expensive process. The CAD-based solutions try to address these limitations but most of the existing DR detection systems are as evaluated over small sets and become ineffective when applied in real scenarios. Therefore, in this paper we proposed a novel technique to precisely detect the various stages of the DR by extending the research of the content-based image retrieval domain. To achieve the human-level performance over the large-scale DR-datasets (i.e. Kaggle-DR), the fundus images are represented by the novel tetragonal local octa pattern (T-LOP) features, that are then classified through the extreme learning machine (ELM). To justify the significance of the method, the proposed scheme is compared against several state-of-the-art methods including the deep learning-based methods over four DR-datasets of variational lengths (i.e. Kaggle-DR, DRIVE, Review-DB, STARE). The experimental results confirm the significance of the DR-detection scheme to serve as a stand-alone solution for providing the precise information of the severity of the DR in an efficient manner.</t>
  </si>
  <si>
    <t>An End-to-End Deep Learning Pipeline for Emphysema Quantification Using Multi-label Learning</t>
  </si>
  <si>
    <t>We propose and validate an end-to-end deep learning pipeline employing multi-label learning as a tool for creating differential diagnoses of lung pathology as well as quantifying the extent and distribution of emphysema in chest CT images. The proposed pipeline first employs deep learning based volumetric lung segmentation using a 3D CNN to extract the entire lung out of CT images. Then, a multi-label learning model is exploited for the classification creation differential diagnoses for emphysema and then used to correlate with the emphysema diagnosed by radiologists. The five lung tissue patterns which are involved in most lung disease differential diagnoses were classified as: ground glass, fibrosis, micronodules (random, perilymphatic and centrilobular lung nodules), normal appearing lung, and emphysematous lung tissue. To the best of our knowledge, this is the first end-to-end deep learning pipeline for the creation of differential diagnoses for lung disease and the quantification of emphysema. A comparative analysis shows the performance of the proposed pipeline on two publicly available datasets.</t>
  </si>
  <si>
    <t>Application of artificial neural networks for automated analysis of cystoscopic images: a review of the current status and future prospects</t>
  </si>
  <si>
    <t>BACKGROUND: Optimal detection and surveillance of bladder cancer (BCa) rely primarily on the cystoscopic visualization of bladder lesions. AI-assisted cystoscopy may improve image recognition and accelerate data acquisition. OBJECTIVE: To provide a comprehensive review of machine learning (ML), deep learning (DL) and convolutional neural network (CNN) applications in cystoscopic image recognition. EVIDENCE ACQUISITION: A detailed search of original articles was performed using the PubMed-MEDLINE database to identify recent English literature relevant to ML, DL and CNN applications in cystoscopic image recognition. EVIDENCE SYNTHESIS: In total, two articles and one conference abstract were identified addressing the application of AI methods in cystoscopic image recognition. These investigations showed accuracies exceeding 90% for tumor detection; however, future work is necessary to incorporate these methods into AI-aided cystoscopy and compared to other tumor visualization tools. Furthermore, we present results from the RaVeNNA-4pi consortium initiative which has extracted 4200 frames from 62 videos, analyzed them with the U-Net network and achieved an average dice score of 0.67. Improvements in its precision can be achieved by augmenting the video/frame database. CONCLUSION: AI-aided cystoscopy has the potential to outperform urologists at recognizing and classifying bladder lesions. To ensure their real-life implementation, however, these algorithms require external validation to generalize their results across other data sets.</t>
  </si>
  <si>
    <t>World J Urol</t>
  </si>
  <si>
    <t>DeepSTORM3D: dense 3D localization microscopy and PSF design by deep learning</t>
  </si>
  <si>
    <t>An outstanding challenge in single-molecule localization microscopy is the accurate and precise localization of individual point emitters in three dimensions in densely labeled samples. One established approach for three-dimensional single-molecule localization is point-spread-function (PSF) engineering, in which the PSF is engineered to vary distinctively with emitter depth using additional optical elements. However, images of dense emitters, which are desirable for improving temporal resolution, pose a challenge for algorithmic localization of engineered PSFs, due to lateral overlap of the emitter PSFs. Here we train a neural network to localize multiple emitters with densely overlapping Tetrapod PSFs over a large axial range. We then use the network to design the optimal PSF for the multi-emitter case. We demonstrate our approach experimentally with super-resolution reconstructions of mitochondria and volumetric imaging of fluorescently labeled telomeres in cells. Our approach, DeepSTORM3D, enables the study of biological processes in whole cells at timescales that are rarely explored in localization microscopy.</t>
  </si>
  <si>
    <t>Molecular imaging with neural training of identification algorithm (neural network localization identification)</t>
  </si>
  <si>
    <t>Superresolution localization microscopy strongly relies on robust identification algorithms for accurate reconstruction of the biological systems it is used to measure. The fields of machine learning and computer vision have provided promising solutions for automated object identification, but usually rely on well represented training sets to learn object features. However, using a static training set can result in the learned identification algorithm making mistakes on data that is not well represented by the training set. Here, we present a method for training an artificial neural network without providing a training set in advance. This method uses the data to be analyzed, and the fitting algorithm to train an artificial neural network tailored to that data set. We show that the same artificial neural network can learn to identify at least two types of molecular emissions: the regular point spread functions (PSFs), and the astigmatism PSF. Simulations indicate that this method can be extremely reliable in extracting molecular emission signatures. Additionally, we implemented the artificial neural network calculation to be performed on a graphics processing unit (GPU) for massively parallelized calculation which drastically reduces the time required for the identification process. By implementing the neural identification on a GPU, we allow this method of identification to be used in a real time analysis algorithm. RESEARCH HIGHLIGHTS: Here, we present a machine learning algorithm for identifying point-spread functions without the need for an a priori training set. We show that this method can detect over 90% of molecules with less than 1% false positive identification in simulations. We further show that because this algorithm does not make assumptions of about the shape of molecular emission, it is compatible with models beyond the symmetric 2D Gaussian.</t>
  </si>
  <si>
    <t>A. J. Nelson and S. T. Hess</t>
  </si>
  <si>
    <t>Efficacy evaluation of 2D, 3D U-Net semantic segmentation and atlas-based segmentation of normal lungs excluding the trachea and main bronchi</t>
  </si>
  <si>
    <t>This study aimed to examine the efficacy of semantic segmentation implemented by deep learning and to confirm whether this method is more effective than a commercially dominant auto-segmentation tool with regards to delineating normal lung excluding the trachea and main bronchi. A total of 232 non-small-cell lung cancer cases were examined. The computed tomography (CT) images of these cases were converted from Digital Imaging and Communications in Medicine (DICOM) Radiation Therapy (RT) formats to arrays of 32 × 128 × 128 voxels and input into both 2D and 3D U-Net, which are deep learning networks for semantic segmentation. The number of training, validation and test sets were 160, 40 and 32, respectively. Dice similarity coefficients (DSCs) of the test set were evaluated employing Smart SegmentationⓇ Knowledge Based Contouring (Smart segmentation is an atlas-based segmentation tool), as well as the 2D and 3D U-Net. The mean DSCs of the test set were 0.964 [95% confidence interval (CI), 0.960-0.968], 0.990 (95% CI, 0.989-0.992) and 0.990 (95% CI, 0.989-0.991) with Smart segmentation, 2D and 3D U-Net, respectively. Compared with Smart segmentation, both U-Nets presented significantly higher DSCs by the Wilcoxon signed-rank test (P &lt; 0.01). There was no difference in mean DSC between the 2D and 3D U-Net systems. The newly-devised 2D and 3D U-Net approaches were found to be more effective than a commercial auto-segmentation tool. Even the relatively shallow 2D U-Net which does not require high-performance computational resources was effective enough for the lung segmentation. Semantic segmentation using deep learning was useful in radiation treatment planning for lung cancers.</t>
  </si>
  <si>
    <t>Simple low-cost approaches to semantic segmentation in radiation therapy planning for prostate cancer using deep learning with non-contrast planning CT images</t>
  </si>
  <si>
    <t>PURPOSE: Deep learning has shown great efficacy for semantic segmentation. However, there are difficulties in the collection, labeling and management of medical imaging data, because of ethical complications and the limited number of imaging studies available at a single facility. This study aimed to find a simple and low-cost method to increase the accuracy of deep learning semantic segmentation for radiation therapy of prostate cancer. METHODS: In total, 556 cases with non-contrast CT images for prostate cancer radiation therapy were examined using a two-dimensional U-Net. Initially, all slices were used for the input data. Then, we removed slices of the cranial portions, which were beyond the margins of the bladder and rectum. Finally, the ground truth labels for the bladder and rectum were added as channels to the input for the prostate training dataset. RESULTS: The highest mean dice similarity coefficients (DSCs) for each organ in the test dataset of 56 cases were 0.85 ± 0.05, 0.94 ± 0.04 and 0.85 ± 0.07 for the prostate, bladder and rectum, respectively. Removal of the cranial slices from the original images significantly increased the DSC of the rectum from 0.83 ± 0.09 to 0.85 ± 0.07 (p &lt; 0.05). Adding bladder and rectum information to prostate training without removing the slices significantly increased the DSC of the prostate from 0.79 ± 0.05 to 0.85 ± 0.05 (p &lt; 0.05). CONCLUSIONS: These cost-free approaches may be useful for new applications, which may include updated models and datasets. They may be applicable to other organs at risk (OARs) and clinical targets such as elective nodal irradiation.</t>
  </si>
  <si>
    <t>10.2967/jnumed.118.220590</t>
  </si>
  <si>
    <t>Artificial Intelligence in Nuclear Medicine</t>
  </si>
  <si>
    <t>Despite the great media attention for artificial intelligence (AI), for many health care professionals the term and the functioning of AI remain a black box, leading to exaggerated expectations on the one hand and unfounded fears on the other. In this review, we provide a conceptual classification and a brief summary of the technical fundamentals of AI. Possible applications are discussed on the basis of a typical work flow in medical imaging, grouped by planning, scanning, interpretation, and reporting. The main limitations of current AI techniques, such as issues with interpretability or the need for large amounts of annotated data, are briefly addressed. Finally, we highlight the possible impact of AI on the nuclear medicine profession, the associated challenges and, last but not least, the opportunities.</t>
  </si>
  <si>
    <t>Evaluation of proton and photon dose distributions recalculated on 2D and 3D Unet-generated pseudoCTs from T1-weighted MR head scans</t>
  </si>
  <si>
    <t>Introduction: The recent developments of magnetic resonance (MR) based adaptive strategies for photon and, potentially for proton therapy, require a fast and reliable conversion of MR images to X-ray computed tomography (CT) values. CT values are needed for photon and proton dose calculation. The improvement of conversion results employing a 3D deep learning approach is evaluated. Material and methods: A database of 89 T1-weighted MR head scans with about 100 slices each, including rigidly registered CTs, was created. Twenty-eight validation patients were randomly sampled, and four patients were selected for application. The remaining patients were used to train a 2D and a 3D U-shaped convolutional neural network (Unet). A stack size of 32 slices was used for 3D training. For all application cases, volumetric modulated arc therapy photon and single-field uniform dose pencil-beam scanning proton plans at four different gantry angles were optimized for a generic target on the CT and recalculated on 2D and 3D Unet-based pseudoCTs. Mean (absolute) error (MAE/ME) and a gradient sharpness estimate were used to quantify the image quality. Three-dimensional gamma and dose difference analyses were performed for photon (gamma criteria: 1%, 1 mm) and proton dose distributions (gamma criteria: 2%, 2 mm). Range (80% fall off) differences for beam's eye view profiles were evaluated for protons. Results: Training 36 h for 1000 epochs in 3D (6 h for 200 epochs in 2D) yielded a maximum MAE of 147 HU (135 HU) for the application patients. Except for one patient gamma pass rates for photon and proton dose distributions were above 96% for both Unets. Slice discontinuities were reduced for 3D training at the cost of sharpness. Conclusions: Image analysis revealed a slight advantage of 2D Unets compared to 3D Unets. Similar dose calculation performance was reached for the 2D and 3D network.</t>
  </si>
  <si>
    <t>Acta Oncol</t>
  </si>
  <si>
    <t>Combining deep learning and level set for the automated segmentation of the left ventricle of the heart from cardiac cine magnetic resonance</t>
  </si>
  <si>
    <t>We introduce a new methodology that combines deep learning and level set for the automated segmentation of the left ventricle of the heart from cardiac cine magnetic resonance (MR) data. This combination is relevant for segmentation problems, where the visual object of interest presents large shape and appearance variations, but the annotated training set is small, which is the case for various medical image analysis applications, including the one considered in this paper. In particular, level set methods are based on shape and appearance terms that use small training sets, but present limitations for modelling the visual object variations. Deep learning methods can model such variations using relatively small amounts of annotated training, but they often need to be regularised to produce good generalisation. Therefore, the combination of these methods brings together the advantages of both approaches, producing a methodology that needs small training sets and produces accurate segmentation results. We test our methodology on the MICCAI 2009 left ventricle segmentation challenge database (containing 15 sequences for training, 15 for validation and 15 for testing), where our approach achieves the most accurate results in the semi-automated problem and state-of-the-art results for the fully automated challenge.</t>
  </si>
  <si>
    <t>T. A. Ngo, Z. Lu and G. Carneiro</t>
  </si>
  <si>
    <t>Ultrasound Image-Based Diagnosis of Malignant Thyroid Nodule Using Artificial Intelligence</t>
  </si>
  <si>
    <t>Computer-aided diagnosis systems have been developed to assist doctors in diagnosing thyroid nodules to reduce errors made by traditional diagnosis methods, which are mainly based on the experiences of doctors. Therefore, the performance of such systems plays an important role in enhancing the quality of a diagnosing task. Although there have been the state-of-the art studies regarding this problem, which are based on handcrafted features, deep features, or the combination of the two, their performances are still limited. To overcome these problems, we propose an ultrasound image-based diagnosis of the malignant thyroid nodule method using artificial intelligence based on the analysis in both spatial and frequency domains. Additionally, we propose the use of weighted binary cross-entropy loss function for the training of deep convolutional neural networks to reduce the effects of unbalanced training samples of the target classes in the training data. Through our experiments with a popular open dataset, namely the thyroid digital image database (TDID), we confirm the superiority of our method compared to the state-of-the-art methods.</t>
  </si>
  <si>
    <t>Deep Learning-Based Enhanced Presentation Attack Detection for Iris Recognition by Combining Features from Local and Global Regions Based on NIR Camera Sensor</t>
  </si>
  <si>
    <t>Iris recognition systems have been used in high-security-level applications because of their high recognition rate and the distinctiveness of iris patterns. However, as reported by recent studies, an iris recognition system can be fooled by the use of artificial iris patterns and lead to a reduction in its security level. The accuracies of previous presentation attack detection research are limited because they used only features extracted from global iris region image. To overcome this problem, we propose a new presentation attack detection method for iris recognition by combining features extracted from both local and global iris regions, using convolutional neural networks and support vector machines based on a near-infrared (NIR) light camera sensor. The detection results using each kind of image features are fused, based on two fusion methods of feature level and score level to enhance the detection ability of each kind of image features. Through extensive experiments using two popular public datasets (LivDet-Iris-2017 Warsaw and Notre Dame Contact Lens Detection 2015) and their fusion, we validate the efficiency of our proposed method by providing smaller detection errors than those produced by previous studies.</t>
  </si>
  <si>
    <t>D. T. Nguyen, T. D. Pham, Y. W. Lee and K. R. Park</t>
  </si>
  <si>
    <t>Generating Point Cloud from Measurements and Shapes Based on Convolutional Neural Network: An Application for Building 3D Human Model</t>
  </si>
  <si>
    <t>It has been widely known that 3D shape models are comprehensively parameterized using point cloud and meshes. The point cloud particularly is much simpler to handle compared with meshes, and it also contains the shape information of a 3D model. In this paper, we would like to introduce our new method to generating the 3D point cloud from a set of crucial measurements and shapes of importance positions. In order to find the correspondence between shapes and measurements, we introduced a method of representing 3D data called slice structure. A Neural Networks-based hierarchical learning model is presented to be compatible with the data representation. Primary slices are generated by matching the measurements set before the whole point cloud tuned by Convolutional Neural Network. We conducted the experiment on a 3D human dataset which contains 1706 examples. Our results demonstrate the effectiveness of the proposed framework with the average error 7.72% and fine visualization. This study indicates that paying more attention to local features is worthwhile when dealing with 3D shapes.</t>
  </si>
  <si>
    <t>A learning approach with incomplete pixel-level labels for deep neural networks</t>
  </si>
  <si>
    <t>Learning with incomplete labels in Neural Networks has been actively investigated these last years. Among different kinds of incomplete labels, we investigate incomplete pixel-level labels which are tackled in many concrete problems. One of the challenges for incomplete pixel-level labels is the missing information at local-level. Most of the current researches with incomplete labels in Neural Network focus on the incompleteness of global labels, only a few works focus on the incompleteness of local labels. To deal with the local incompleteness, we propose a learning approach which uses two dynamic weighted maps in parallel: one for object pixels and another one for background pixels. The two maps are integrated into the loss function of the target Neural Networks, to optimize the model by the present labels and to minimize the damage of the missing labels. We validate our approach on the speech balloon extraction problem in comic book images. Our approach uses the output of a balloon extraction algorithm as incomplete labels. The results are comparable with the state of the art supervised approach with manual labels. The results are very promising because our method does not require any manual labels. In addition, we apply our method to the medical image segmentation task to confirm the generalization of our approach.</t>
  </si>
  <si>
    <t>Automatic phase aberration compensation for digital holographic microscopy based on deep learning background detection</t>
  </si>
  <si>
    <t>We propose a fully automatic technique to obtain aberration free quantitative phase imaging in digital holographic microscopy (DHM) based on deep learning. The traditional DHM solves the phase aberration compensation problem by manually detecting the background for quantitative measurement. This would be a drawback in real time implementation and for dynamic processes such as cell migration phenomena. A recent automatic aberration compensation approach using principle component analysis (PCA) in DHM avoids human intervention regardless of the cells' motion. However, it corrects spherical/elliptical aberration only and disregards the higher order aberrations. Traditional image segmentation techniques can be employed to spatially detect cell locations. Ideally, automatic image segmentation techniques make real time measurement possible. However, existing automatic unsupervised segmentation techniques have poor performance when applied to DHM phase images because of aberrations and speckle noise. In this paper, we propose a novel method that combines a supervised deep learning technique with convolutional neural network (CNN) and Zernike polynomial fitting (ZPF). The deep learning CNN is implemented to perform automatic background region detection that allows for ZPF to compute the self-conjugated phase to compensate for most aberrations.</t>
  </si>
  <si>
    <t>T. Nguyen, V. Bui, V. Lam, C. B. Raub, L. C. Chang and G. Nehmetallah</t>
  </si>
  <si>
    <t>10.1097/rmr.0000000000000249</t>
  </si>
  <si>
    <t>Applying Artificial Intelligence to Mitigate Effects of Patient Motion or Other Complicating Factors on Image Quality</t>
  </si>
  <si>
    <t>Artificial intelligence, particularly deep learning, offers several possibilities to improve the quality or speed of image acquisition in magnetic resonance imaging (MRI). In this article, we briefly review basic machine learning concepts and discuss commonly used neural network architectures for image-to-image translation. Recent examples in the literature describing application of machine learning techniques to clinical MR image acquisition or postprocessing are discussed. Machine learning can contribute to better image quality by improving spatial resolution, reducing image noise, and removing undesired motion or other artifacts. As patients occasionally are unable to tolerate lengthy acquisition times or gadolinium agents, machine learning can potentially assist MRI workflow and patient comfort by facilitating faster acquisitions or reducing exogenous contrast dosage. Although artificial intelligence approaches often have limitations, such as problems with generalizability or explainability, there is potential for these techniques to improve diagnostic utility, throughput, and patient experience in clinical MRI practice.</t>
  </si>
  <si>
    <t>Top Magn Reson Imaging</t>
  </si>
  <si>
    <t>GC-Net: Global context network for medical image segmentation</t>
  </si>
  <si>
    <t>BACKGROUND AND OBJECTIVE: Medical image segmentation plays an important role in many clinical applications such as disease diagnosis, surgery planning, and computer-assisted therapy. However, it is a very challenging task due to variant images qualities, complex shapes of objects, and the existence of outliers. Recently, researchers have presented deep learning methods to segment medical images. However, these methods often use the high-level features of the convolutional neural network directly or the high-level features combined with the shallow features, thus ignoring the role of the global context features for the segmentation task. Consequently, they have limited capability on extensive medical segmentation tasks. The purpose of this work is to devise a neural network with global context feature information for accomplishing medical image segmentation of different tasks. METHODS: The proposed global context network (GC-Net) consists of two components; feature encoding and decoding modules. We use multiple convolutions and batch normalization layers in the encoding module. On the other hand, the decoding module is formed by a proposed global context attention (GCA) block and squeeze and excitation pyramid pooling (SEPP) block. The GCA module connects low-level and high-level features to produce more representative features, while the SEPP module increases the size of the receptive field and the ability of multi-scale feature fusion. Moreover, a weighted cross entropy loss is designed to better balance the segmented and non-segmented regions. RESULTS: The proposed GC-Net is validated on three publicly available datasets and one local dataset. The tested medical segmentation tasks include segmentation of intracranial blood vessel, retinal vessels, cell contours, and lung. Experiments demonstrate that, our network outperforms state-of-the-art methods concerning several commonly used evaluation metrics. CONCLUSION: Medical segmentation of different tasks can be accurately and effectively achieved by devising a deep convolutional neural network with a global context attention mechanism.</t>
  </si>
  <si>
    <t>J. Ni, J. Wu, J. Tong, Z. Chen and J. Zhao</t>
  </si>
  <si>
    <t>Deep Learning for Automated Classification of Inferior Vena Cava Filter Types on Radiographs</t>
  </si>
  <si>
    <t>PURPOSE: To demonstrate the feasibility and evaluate the performance of a deep-learning convolutional neural network (CNN) classification model for automated identification of different types of inferior vena cava (IVC) filters on radiographs. MATERIALS AND METHODS: In total, 1,375 cropped radiographic images of 14 types of IVC filters were collected from patients enrolled in a single-center IVC filter registry, with 139 images withheld as a test set and the remainder used to train and validate the classification model. Image brightness, contrast, intensity, and rotation were varied to augment the training set. A 50-layer ResNet architecture with fixed pre-trained weights was trained using a soft margin loss over 50 epochs. The final model was evaluated on the test set. RESULTS: The CNN classification model achieved a F1 score of 0.97 (0.92-0.99) for the test set overall and of 1.00 for 10 of 14 individual filter types. Of the 139 test set images, 4 (2.9%) were misidentified, all mistaken for other filter types that appear highly similar. Heat maps elucidated salient features for each filter type that the model used for class prediction. CONCLUSIONS: A CNN classification model was successfully developed to identify 14 types of IVC filters on radiographs and demonstrated high performance. Further refinement and testing of the model is necessary before potential real-world application.</t>
  </si>
  <si>
    <t>A deep learning approach to characterize 2019 coronavirus disease (COVID-19) pneumonia in chest CT images</t>
  </si>
  <si>
    <t>OBJECTIVES: To utilize a deep learning model for automatic detection of abnormalities in chest CT images from COVID-19 patients and compare its quantitative determination performance with radiological residents. METHODS: A deep learning algorithm consisted of lesion detection, segmentation, and location was trained and validated in 14,435 participants with chest CT images and definite pathogen diagnosis. The algorithm was tested in a non-overlapping dataset of 96 confirmed COVID-19 patients in three hospitals across China during the outbreak. Quantitative detection performance of the model was compared with three radiological residents with two experienced radiologists' reading reports as reference standard by assessing the accuracy, sensitivity, specificity, and F1 score. RESULTS: Of 96 patients, 88 had pneumonia lesions on CT images and 8 had no abnormities on CT images. For per-patient basis, the algorithm showed superior sensitivity of 1.00 (95% confidence interval (CI) 0.95, 1.00) and F1 score of 0.97 in detecting lesions from CT images of COVID-19 pneumonia patients. While for per-lung lobe basis, the algorithm achieved a sensitivity of 0.96 (95% CI 0.94, 0.98) and a slightly inferior F1 score of 0.86. The median volume of lesions calculated by algorithm was 40.10 cm(3). An average running speed of 20.3 s ± 5.8 per case demonstrated the algorithm was much faster than the residents in assessing CT images (all p &lt; 0.017). The deep learning algorithm can also assist radiologists make quicker diagnosis (all p &lt; 0.0001) with superior diagnostic performance. CONCLUSIONS: The algorithm showed excellent performance in detecting COVID-19 pneumonia on chest CT images compared with resident radiologists. KEY POINTS: • The higher sensitivity of deep learning model in detecting COVID-19 pneumonia were found compared with radiological residents on a per-lobe and per-patient basis. • The deep learning model improves diagnosis efficiency by shortening processing time. • The deep learning model can automatically calculate the volume of the lesions and whole lung.</t>
  </si>
  <si>
    <t>Identifying tumor in pancreatic neuroendocrine neoplasms from Ki67 images using transfer learning</t>
  </si>
  <si>
    <t>The World Health Organization (WHO) has clear guidelines regarding the use of Ki67 index in defining the proliferative rate and assigning grade for pancreatic neuroendocrine tumor (NET). WHO mandates the quantification of Ki67 index by counting at least 500 positive tumor cells in a hotspot. Unfortunately, Ki67 antibody may stain both tumor and non-tumor cells as positive depending on the phase of the cell cycle. Likewise, the counter stain labels both tumor and non-tumor as negative. This non-specific nature of Ki67 stain and counter stain therefore hinders the exact quantification of Ki67 index. To address this problem, we present a deep learning method to automatically differentiate between NET and non-tumor regions based on images of Ki67 stained biopsies. Transfer learning was employed to recognize and apply relevant knowledge from previous learning experiences to differentiate between tumor and non-tumor regions. Transfer learning exploits a rich set of features previously used to successfully categorize non-pathology data into 1,000 classes. The method was trained and validated on a set of whole-slide images including 33 NETs subject to Ki67 immunohistochemical staining using a leave-one-out cross-validation. When applied to 30 high power fields (HPF) and assessed against a gold standard (evaluation by two expert pathologists), the method resulted in a high sensitivity of 97.8% and specificity of 88.8%. The deep learning method developed has the potential to reduce pathologists' workload by directly identifying tumor boundaries on images of Ki67 stained slides. Moreover, it has the potential to replace sophisticated and expensive imaging methods which are recently developed for identification of tumor boundaries in images of Ki67-stained NETs.</t>
  </si>
  <si>
    <t>M. K. K. Niazi, T. E. Tavolara, V. Arole, D. J. Hartman, L. Pantanowitz and M. N. Gurcan</t>
  </si>
  <si>
    <t>Pulmonary nodule classification with deep residual networks</t>
  </si>
  <si>
    <t>PURPOSE  : Lung cancer has the highest death rate among all cancers in the USA. In this work we focus on improving the ability of computer-aided diagnosis (CAD) systems to predict the malignancy of nodules from cropped CT images of lung nodules. METHODS: We evaluate the effectiveness of very deep convolutional neural networks at the task of expert-level lung nodule malignancy classification. Using the state-of-the-art ResNet architecture as our basis, we explore the effect of curriculum learning, transfer learning, and varying network depth on the accuracy of malignancy classification. RESULTS: Due to a lack of public datasets with standardized problem definitions and train/test splits, studies in this area tend to not compare directly against other existing work. This makes it hard to know the relative improvement in the new solution. In contrast, we directly compare our system against two state-of-the-art deep learning systems for nodule classification on the LIDC/IDRI dataset using the same experimental setup and data set. The results show that our system achieves the highest performance in terms of all metrics measured including sensitivity, specificity, precision, AUROC, and accuracy. CONCLUSIONS: The proposed method of combining deep residual learning, curriculum learning, and transfer learning translates to high nodule classification accuracy. This reveals a promising new direction for effective pulmonary nodule CAD systems that mirrors the success of recent deep learning advances in other image-based application domains.</t>
  </si>
  <si>
    <t>A. Nibali, Z. He and D. Wollersheim</t>
  </si>
  <si>
    <t>Melanoma lesion detection and segmentation using deep region based convolutional neural network and fuzzy C-means clustering</t>
  </si>
  <si>
    <t>OBJECTIVE: Melanoma is a dangerous form of the skin cancer responsible for thousands of deaths every year. Early detection of melanoma is possible through visual inspection of pigmented lesions over the skin, treated with simple excision of the cancerous cells. However, due to the limited availability of dermatologists, the visual inspection alone has the limited and variable accuracy that leads the patient to undergo a series of biopsies and complicates the treatment. In this work, a deep learning method is proposed for automated Melanoma region segmentation using dermoscopic images to overcome the challenges of automated Melanoma region segmentation within dermoscopic images. MATERIALS AND METHODS: A deep region based convolutional neural network (RCNN) precisely detects the multiple affected regions in the form of bounding boxes that simplify localization through Fuzzy C-mean (FCM) clustering. Our method constitutes of three step process: skin refinement, localization of Melanoma region, and finally segmentation of Melanoma. We applied the proposed method on benchmark dataset ISIC-2016 by International Symposium on biomedical images (ISBI) having 900 training and 376 testing Melanoma dermatological images. MAIN FINDINGS: The performance is evaluated for Melanoma segmentation using various quantitative measures. Our method achieved average values of pixel level specificity (SP) as 0.9417, pixel level sensitivity (SE) as 0.9781, F1 _ s core as 0.9589, pixel level accuracy (Ac) as 0.948. In addition, average dice score (Di) of segmentation was recorded as 0.94, which represents good segmentation performance. Moreover, Jaccard coefficient (Jc) averaged value on entire testing images was 0.93. Comparative analysis with the state of art methods and the results have demonstrated the superiority of the proposed method. CONCLUSION: In contrast with state of the art systems, the RCNN is capable to compute deep features with amen representation of Melanoma, and hence improves the segmentation performance. The RCNN can detect features for multiple skin diseases of the same patient as well as various diseases of different patients with efficient training mechanism. Series of experiments towards Melanoma detection and segmentation validates the effectiveness of our method.</t>
  </si>
  <si>
    <t>N. Nida, A. Irtaza, A. Javed, M. H. Yousaf and M. T. Mahmood</t>
  </si>
  <si>
    <t>Multi-Channel 3D Deep Feature Learning for Survival Time Prediction of Brain Tumor Patients Using Multi-Modal Neuroimages</t>
  </si>
  <si>
    <t>High-grade gliomas are the most aggressive malignant brain tumors. Accurate pre-operative prognosis for this cohort can lead to better treatment planning. Conventional survival prediction based on clinical information is subjective and could be inaccurate. Recent radiomics studies have shown better prognosis by using carefully-engineered image features from magnetic resonance images (MRI). However, feature engineering is usually time consuming, laborious and subjective. Most importantly, the engineered features cannot effectively encode other predictive but implicit information provided by multi-modal neuroimages. We propose a two-stage learning-based method to predict the overall survival (OS) time of high-grade gliomas patient. At the first stage, we adopt deep learning, a recently dominant technique of artificial intelligence, to automatically extract implicit and high-level features from multi-modal, multi-channel preoperative MRI such that the features are competent of predicting survival time. Specifically, we utilize not only contrast-enhanced T1 MRI, but also diffusion tensor imaging (DTI) and resting-state functional MRI (rs-fMRI), for computing multiple metric maps (including various diffusivity metric maps derived from DTI, and also the frequency-specific brain fluctuation amplitude maps and local functional connectivity anisotropy-related metric maps derived from rs-fMRI) from 68 high-grade glioma patients with different survival time. We propose a multi-channel architecture of 3D convolutional neural networks (CNNs) for deep learning upon those metric maps, from which high-level predictive features are extracted for each individual patch of these maps. At the second stage, those deeply learned features along with the pivotal limited demographic and tumor-related features (such as age, tumor size and histological type) are fed into a support vector machine (SVM) to generate the final prediction result (i.e., long or short overall survival time). The experimental results demonstrate that this multi-model, multi-channel deep survival prediction framework achieves an accuracy of 90.66%, outperforming all the competing methods. This study indicates highly demanded effectiveness on prognosis of deep learning technique in neuro-oncological applications for better individualized treatment planning towards precision medicine.</t>
  </si>
  <si>
    <t>Medical Image Synthesis with Context-Aware Generative Adversarial Networks</t>
  </si>
  <si>
    <t>Computed tomography (CT) is critical for various clinical applications, e.g., radiation treatment planning and also PET attenuation correction in MRI/PET scanner. However, CT exposes radiation during acquisition, which may cause side effects to patients. Compared to CT, magnetic resonance imaging (MRI) is much safer and does not involve radiations. Therefore, recently researchers are greatly motivated to estimate CT image from its corresponding MR image of the same subject for the case of radiation planning. In this paper, we propose a data-driven approach to address this challenging problem. Specifically, we train a fully convolutional network (FCN) to generate CT given the MR image. To better model the nonlinear mapping from MRI to CT and produce more realistic images, we propose to use the adversarial training strategy to train the FCN. Moreover, we propose an image-gradient-difference based loss function to alleviate the blurriness of the generated CT. We further apply Auto-Context Model (ACM) to implement a context-aware generative adversarial network. Experimental results show that our method is accurate and robust for predicting CT images from MR images, and also outperforms three state-of-the-art methods under comparison.</t>
  </si>
  <si>
    <t>D. Nie, R. Trullo, J. Lian, C. Petitjean, S. Ruan, Q. Wang and D. Shen</t>
  </si>
  <si>
    <t>Medical Image Synthesis with Deep Convolutional Adversarial Networks</t>
  </si>
  <si>
    <t>Medical imaging plays a critical role in various clinical applications. However, due to multiple considerations such as cost and radiation dose, the acquisition of certain image modalities may be limited. Thus, medical image synthesis can be of great benefit by estimating a desired imaging modality without incurring an actual scan. In this paper, we propose a generative adversarial approach to address this challenging problem. Specifically, we train a fully convolutional network (FCN) to generate a target image given a source image. To better model a nonlinear mapping from source to target and to produce more realistic target images, we propose to use the adversarial learning strategy to better model the FCN. Moreover, the FCN is designed to incorporate an image-gradient-difference-based loss function to avoid generating blurry target images. Long-term residual unit is also explored to help the training of the network. We further apply Auto-Context Model to implement a context-aware deep convolutional adversarial network. Experimental results show that our method is accurate and robust for synthesizing target images from the corresponding source images. In particular, we evaluate our method on three datasets, to address the tasks of generating CT from MRI and generating 7T MRI from 3T MRI images. Our method outperforms the state-of-the-art methods under comparison in all datasets and tasks.</t>
  </si>
  <si>
    <t>D. Nie, R. Trullo, J. Lian, L. Wang, C. Petitjean, S. Ruan, Q. Wang and D. Shen</t>
  </si>
  <si>
    <t>3D Deep Learning for Multi-modal Imaging-Guided Survival Time Prediction of Brain Tumor Patients</t>
  </si>
  <si>
    <t>High-grade glioma is the most aggressive and severe brain tumor that leads to death of almost 50% patients in 1-2 years. Thus, accurate prognosis for glioma patients would provide essential guidelines for their treatment planning. Conventional survival prediction generally utilizes clinical information and limited handcrafted features from magnetic resonance images (MRI), which is often time consuming, laborious and subjective. In this paper, we propose using deep learning frameworks to automatically extract features from multi-modal preoperative brain images (i.e., T1 MRI, fMRI and DTI) of high-grade glioma patients. Specifically, we adopt 3D convolutional neural networks (CNNs) and also propose a new network architecture for using multi-channel data and learning supervised features. Along with the pivotal clinical features, we finally train a support vector machine to predict if the patient has a long or short overall survival (OS) time. Experimental results demonstrate that our methods can achieve an accuracy as high as 89.9% We also find that the learned features from fMRI and DTI play more important roles in accurately predicting the OS time, which provides valuable insights into functional neuro-oncological applications.</t>
  </si>
  <si>
    <t>D. Nie, H. Zhang, E. Adeli, L. Liu and D. Shen</t>
  </si>
  <si>
    <t>Prediction of Tissue Outcome and Assessment of Treatment Effect in Acute Ischemic Stroke Using Deep Learning</t>
  </si>
  <si>
    <t>BACKGROUND AND PURPOSE: Treatment options for patients with acute ischemic stroke depend on the volume of salvageable tissue. This volume assessment is currently based on fixed thresholds and single imagine modalities, limiting accuracy. We wish to develop and validate a predictive model capable of automatically identifying and combining acute imaging features to accurately predict final lesion volume. METHODS: Using acute magnetic resonance imaging, we developed and trained a deep convolutional neural network (CNN(deep)) to predict final imaging outcome. A total of 222 patients were included, of which 187 were treated with rtPA (recombinant tissue-type plasminogen activator). The performance of CNN(deep) was compared with a shallow CNN based on the perfusion-weighted imaging biomarker Tmax (CNN(Tmax)), a shallow CNN based on a combination of 9 different biomarkers (CNN(shallow)), a generalized linear model, and thresholding of the diffusion-weighted imaging biomarker apparent diffusion coefficient (ADC) at 600×10(-6) mm(2)/s (ADC(thres)). To assess whether CNN(deep) is capable of differentiating outcomes of ±intravenous rtPA, patients not receiving intravenous rtPA were included to train CNN(deep,)(-rtpa) to access a treatment effect. The networks' performances were evaluated using visual inspection, area under the receiver operating characteristic curve (AUC), and contrast. RESULTS: CNN(deep) yields significantly better performance in predicting final outcome (AUC=0.88±0.12) than generalized linear model (AUC=0.78±0.12; P=0.005), CNN(Tmax) (AUC=0.72±0.14; P&lt;0.003), and ADC(thres) (AUC=0.66±0.13; P&lt;0.0001) and a substantially better performance than CNN(shallow) (AUC=0.85±0.11; P=0.063). Measured by contrast, CNN(deep) improves the predictions significantly, showing superiority to all other methods (P≤0.003). CNN(deep) also seems to be able to differentiate outcomes based on treatment strategy with the volume of final infarct being significantly different (P=0.048). CONCLUSIONS: The considerable prediction improvement accuracy over current state of the art increases the potential for automated decision support in providing recommendations for personalized treatment plans.</t>
  </si>
  <si>
    <t>A. Nielsen, M. B. Hansen, A. Tietze and K. Mouridsen</t>
  </si>
  <si>
    <t>10.1016/j.joca.2018.12.009</t>
  </si>
  <si>
    <t>Osteoarthritis year in review 2018: imaging</t>
  </si>
  <si>
    <t>PURPOSE: To provide a narrative review of the most relevant original research published in 2017/2018 on osteoarthritis imaging. METHODS: The PubMed database was used to recover all relevant articles pertaining to osteoarthritis and medical imaging published between 1 April 2017 and 31 March 2018. Review articles, case studies and in vitro or animal studies were excluded. The original publications were subjectively sorted based on relevance, novelty and impact. RESULTS AND CONCLUSIONS: The publication search yielded 1,155 references. In the assessed publications, the most common imaging modalities were radiography (N = 708) and magnetic resonance imaging (MRI) (355), followed by computed tomography (CT) (220), ultrasound (85) and nuclear medicine (17). An overview of the most important publications to the osteoarthritis (OA) research community is presented in this narrative review. Imaging studies play an increasingly important role in OA research, and have helped us to understand better the pathophysiology of OA. Radiography and MRI continue to be the most applied imaging modalities, while quantitative MRI methods and texture analysis are becoming more popular. The value of ultrasound in OA research has been demonstrated. Several multi-modality predictive models have been developed. Deep learning has potential for more automatic and standardized analyses in future OA imaging research.</t>
  </si>
  <si>
    <t>Osteoarthritis Cartilage</t>
  </si>
  <si>
    <t>Metric Learning for Image Registration</t>
  </si>
  <si>
    <t>Image registration is a key technique in medical image analysis to estimate deformations between image pairs. A good deformation model is important for high-quality estimates. However, most existing approaches use ad-hoc deformation models chosen for mathematical convenience rather than to capture observed data variation. Recent deep learning approaches learn deformation models directly from data. However, they provide limited control over the spatial regularity of transformations. Instead of learning the entire registration approach, we learn a spatially-adaptive regularizer within a registration model. This allows controlling the desired level of regularity and preserving structural properties of a registration model. For example, diffeomorphic transformations can be attained. Our approach is a radical departure from existing deep learning approaches to image registration by embedding a deep learning model in an optimization-based registration algorithm to parameterize and data-adapt the registration model itself. Source code is publicly-available at https://github.com/uncbiag/registration.</t>
  </si>
  <si>
    <t>Proc IEEE Comput Soc Conf Comput Vis Pattern Recognit</t>
  </si>
  <si>
    <t>Classification of C2C12 cells at differentiation by convolutional neural network of deep learning using phase contrast images</t>
  </si>
  <si>
    <t>In the field of regenerative medicine, tremendous numbers of cells are necessary for tissue/organ regeneration. Today automatic cell-culturing system has been developed. The next step is constructing a non-invasive method to monitor the conditions of cells automatically. As an image analysis method, convolutional neural network (CNN), one of the deep learning method, is approaching human recognition level. We constructed and applied the CNN algorithm for automatic cellular differentiation recognition of myogenic C2C12 cell line. Phase-contrast images of cultured C2C12 are prepared as input dataset. In differentiation process from myoblasts to myotubes, cellular morphology changes from round shape to elongated tubular shape due to fusion of the cells. CNN abstract the features of the shape of the cells and classify the cells depending on the culturing days from when differentiation is induced. Changes in cellular shape depending on the number of days of culture (Day 0, Day 3, Day 6) are classified with 91.3% accuracy. Image analysis with CNN has a potential to realize regenerative medicine industry.</t>
  </si>
  <si>
    <t>H. Niioka, S. Asatani, A. Yoshimura, H. Ohigashi, S. Tagawa and J. Miyake</t>
  </si>
  <si>
    <t>Hum Cell</t>
  </si>
  <si>
    <t>Open resource of clinical data from patients with pneumonia for the prediction of COVID-19 outcomes via deep learning</t>
  </si>
  <si>
    <t>Data from patients with coronavirus disease 2019 (COVID-19) are essential for guiding clinical decision making, for furthering the understanding of this viral disease, and for diagnostic modelling. Here, we describe an open resource containing data from 1,521 patients with pneumonia (including COVID-19 pneumonia) consisting of chest computed tomography (CT) images, 130 clinical features (from a range of biochemical and cellular analyses of blood and urine samples) and laboratory-confirmed severe acute respiratory syndrome coronavirus 2 (SARS-CoV-2) clinical status. We show the utility of the database for prediction of COVID-19 morbidity and mortality outcomes using a deep learning algorithm trained with data from 1,170 patients and 19,685 manually labelled CT slices. In an independent validation cohort of 351 patients, the algorithm discriminated between negative, mild and severe cases with areas under the receiver operating characteristic curve of 0.944, 0.860 and 0.884, respectively. The open database may have further uses in the diagnosis and management of patients with COVID-19.</t>
  </si>
  <si>
    <t>Pattern Classification for Gastrointestinal Stromal Tumors by Integration of Radiomics and Deep Convolutional Features</t>
  </si>
  <si>
    <t>Predicting malignant potential is one of the most critical components of a computer-aided diagnosis system for gastrointestinal stromal tumors (GISTs). These tumors have been studied only on the basis of subjective computed tomography findings. Among various methodologies, radiomics, and deep learning algorithms, specifically convolutional neural networks (CNNs), have recently been confirmed to achieve significant success by outperforming the state-of-the-art performance in medical image pattern classification and have rapidly become leading methodologies in this field. However, the existing methods generally use radiomics or deep convolutional features independently for pattern classification, which tend to take into account only global or local features, respectively. In this paper, we introduce and evaluate a hybrid structure that includes different features selected with radiomics model and CNNs and integrates these features to deal with GISTs classification. The Radiomics model and CNNs are constructed for global radiomics and local convolutional feature selection, respectively. Subsequently, we utilize distinct radiomics and deep convolutional features to perform pattern classification for GISTs. Specifically, we propose a new pooling strategy to assemble the deep convolutional features of 54 three-dimensional patches from the same case and integrate these features with the radiomics features for independent case, followed by random forest classifier. Our method can be extensively evaluated using multiple clinical datasets. The classification performance (area under the curve (AUC): 0.882; 95% confidence interval (CI): 0.816-0.947) consistently outperforms those of independent radiomics (AUC: 0.807; 95% CI: 0.724-0.892) and CNNs (AUC: 0.826; 95% CI: 0.795-0.856) approaches.</t>
  </si>
  <si>
    <t>Z. Ning, J. Luo, Y. Li, S. Han, Q. Feng, Y. Xu, W. Chen, T. Chen and Y. Zhang</t>
  </si>
  <si>
    <t>Homological radiomics analysis for prognostic prediction in lung cancer patients</t>
  </si>
  <si>
    <t>PURPOSE: This study explored a novel homological analysis method for prognostic prediction in lung cancer patients. MATERIALS AND METHODS: The potential of homology-based radiomic features (HFs) was investigated by comparing HFs to conventional wavelet-based radiomic features (WFs) and combined radiomic features consisting of HFs and WFs (HWFs), using training (n = 135) and validation (n = 70) datasets, and Kaplan-Meier analysis. A total of 13,824 HFs were derived through homology-based texture analysis using Betti numbers, which represent the topologically invariant morphological characteristics of lung cancer. The prognostic potential of HFs was evaluated using statistically significant differences (p-values, log-rank test) to compare the survival curves of high- and low-risk patients. Those patients were stratified into high- and low-risk groups using the medians of the radiomic scores of signatures constructed with an elastic-net-regularized Cox proportional hazard model. Furthermore, deep learning (DL) based on AlexNet was utilized to compare HFs by stratifying patients into the two groups using a network that was pre-trained with over one million natural images from an ImageNet database. RESULTS: For the training dataset, the p-values between the two survival curves were 6.7 × 10(-6) (HF), 5.9 × 10(-3) (WF), 7.4 × 10(-6) (HWF), and 1.1 × 10(-3) (DL). The p-values for the validation dataset were 3.4 × 10(-5) (HF), 6.7 × 10(-1) (WF), 1.7 × 10(-7) (HWF), and 1.2 × 10(-1) (DL). CONCLUSION: This study demonstrates the excellent potential of HFs for prognostic prediction in lung cancer patients.</t>
  </si>
  <si>
    <t>Comparison of Artificial Intelligence Techniques to Evaluate Performance of a Classifier for Automatic Grading of Prostate Cancer From Digitized Histopathologic Images</t>
  </si>
  <si>
    <t>IMPORTANCE: Proper evaluation of the performance of artificial intelligence techniques in the analysis of digitized medical images is paramount for the adoption of such techniques by the medical community and regulatory agencies. OBJECTIVES: To compare several cross-validation (CV) approaches to evaluate the performance of a classifier for automatic grading of prostate cancer in digitized histopathologic images and compare the performance of the classifier when trained using data from 1 expert and multiple experts. DESIGN, SETTING, AND PARTICIPANTS: This quality improvement study used tissue microarray data (333 cores) from 231 patients who underwent radical prostatectomy at the Vancouver General Hospital between June 27, 1997, and June 7, 2011. Digitized images of tissue cores were annotated by 6 pathologists for 4 classes (benign and Gleason grades 3, 4, and 5) between December 12, 2016, and October 5, 2017. Patches of 192 µm2 were extracted from these images. There was no overlap between patches. A deep learning classifier based on convolutional neural networks was trained to predict a class label from among the 4 classes (benign and Gleason grades 3, 4, and 5) for each image patch. The classification performance was evaluated in leave-patches-out CV, leave-cores-out CV, and leave-patients-out 20-fold CV. The analysis was performed between November 15, 2018, and January 1, 2019. MAIN OUTCOMES AND MEASURES: The classifier performance was evaluated by its accuracy, sensitivity, and specificity in detection of cancer (benign vs cancer) and in low-grade vs high-grade differentiation (Gleason grade 3 vs grades 4-5). The statistical significance analysis was performed using the McNemar test. The agreement level between pathologists and the classifier was quantified using a quadratic-weighted κ statistic. RESULTS: On 333 tissue microarray cores from 231 participants with prostate cancer (mean [SD] age, 63.2 [6.3] years), 20-fold leave-patches-out CV resulted in mean (SD) accuracy of 97.8% (1.2%), sensitivity of 98.5% (1.0%), and specificity of 97.5% (1.2%) for classifying benign patches vs cancerous patches. By contrast, 20-fold leave-patients-out CV resulted in mean (SD) accuracy of 85.8% (4.3%), sensitivity of 86.3% (4.1%), and specificity of 85.5% (7.2%). Similarly, 20-fold leave-cores-out CV resulted in mean (SD) accuracy of 86.7% (3.7%), sensitivity of 87.2% (4.0%), and specificity of 87.7% (5.5%). Results of McNemar tests showed that the leave-patches-out CV accuracy, sensitivity, and specificity were significantly higher than those for both leave-patients-out CV and leave-cores-out CV. Similar results were observed for classifying low-grade cancer vs high-grade cancer. When trained on a single expert, the overall agreement in grading between pathologists and the classifier ranged from 0.38 to 0.58; when trained using the majority vote among all experts, it was 0.60. CONCLUSIONS AND RELEVANCE: Results of this study suggest that in prostate cancer classification from histopathologic images, patch-wise CV and single-expert training and evaluation may lead to a biased estimation of classifier's performance. To allow reproducibility and facilitate comparison between automatic classification methods, studies in the field should evaluate their performance using patient-based CV and multiexpert data. Some of these conclusions may be generalizable to other histopathologic applications and to other applications of machine learning in medicine.</t>
  </si>
  <si>
    <t>G. Nir, D. Karimi, S. L. Goldenberg, L. Fazli, B. F. Skinnider, P. Tavassoli, D. Turbin, C. F. Villamil, G. Wang, D. J. S. Thompson, P. C. Black and S. E. Salcudean</t>
  </si>
  <si>
    <t>A deep-learning classifier identifies patients with clinical heart failure using whole-slide images of H&amp;E tissue</t>
  </si>
  <si>
    <t>Over 26 million people worldwide suffer from heart failure annually. When the cause of heart failure cannot be identified, endomyocardial biopsy (EMB) represents the gold-standard for the evaluation of disease. However, manual EMB interpretation has high inter-rater variability. Deep convolutional neural networks (CNNs) have been successfully applied to detect cancer, diabetic retinopathy, and dermatologic lesions from images. In this study, we develop a CNN classifier to detect clinical heart failure from H&amp;E stained whole-slide images from a total of 209 patients, 104 patients were used for training and the remaining 105 patients for independent testing. The CNN was able to identify patients with heart failure or severe pathology with a 99% sensitivity and 94% specificity on the test set, outperforming conventional feature-engineering approaches. Importantly, the CNN outperformed two expert pathologists by nearly 20%. Our results suggest that deep learning analytics of EMB can be used to predict cardiac outcome.</t>
  </si>
  <si>
    <t>J. J. Nirschl, A. Janowczyk, E. G. Peyster, R. Frank, K. B. Margulies, M. D. Feldman and A. Madabhushi</t>
  </si>
  <si>
    <t>Deep Learning-Derived High-Level Neuroimaging Features Predict Clinical Outcomes for Large Vessel Occlusion</t>
  </si>
  <si>
    <t>Background and Purpose- For patients with large vessel occlusion, neuroimaging biomarkers that evaluate the changes in brain tissue are important for determining the indications for mechanical thrombectomy. In this study, we applied deep learning to derive imaging features from pretreatment diffusion-weighted image data and evaluated the ability of these features in predicting clinical outcomes for patients with large vessel occlusion. Methods- This multicenter retrospective study included patients with anterior circulation large vessel occlusion treated with mechanical thrombectomy between 2013 and 2018. We designed a 2-output deep learning model based on convolutional neural networks (the convolutional neural network model). This model employed encoder-decoder architecture for the ischemic lesion segmentation, which automatically extracted high-level feature maps in its middle layers, and used its information to predict the clinical outcome. Its performance was internally validated with 5-fold cross-validation, externally validated, and the results compared with those from the standard neuroimaging biomarkers Alberta Stroke Program Early CT Score and ischemic core volume. The prediction target was a good clinical outcome, defined as a modified Rankin Scale score at 90-day follow-up of 0 to 2. Results- The derivation cohort included 250 patients, and the validation cohort included 74 patients. The convolutional neural network model showed the highest area under the receiver operating characteristic curve: 0.81±0.06 compared with 0.63±0.05 and 0.64±0.05 for the Alberta Stroke Program Early CT Score and ischemic core volume models, respectively. In the external validation, the area under the curve for the convolutional neural network model was significantly superior to those for the other 2 models. Conclusions- Compared with the standard neuroimaging biomarkers, our deep learning model derived a greater amount of prognostic information from pretreatment neuroimaging data. Although a confirmatory prospective evaluation is needed, the high-level imaging features derived by deep learning may offer an effective prognostic imaging biomarker.</t>
  </si>
  <si>
    <t>10.1007/s12072-019-09937-4</t>
  </si>
  <si>
    <t>Current status and perspectives for computer-aided ultrasonic diagnosis of liver lesions using deep learning technology</t>
  </si>
  <si>
    <t>An ultrasound (US) examination is a common noninvasive technique widely applied for diagnosis of a variety of diseases. Based on the rapid development of US equipment, many US images have been accumulated and are now available and ready for the preparation of a database for the development of computer-aided US diagnosis with deep learning technology. On the contrary, because of the unique characteristics of the US image, there could be some issues that need to be resolved for the establishment of computer-aided diagnosis (CAD) system in this field. For example, compared to the other modalities, the quality of a US image is, currently, highly operator dependent; the conditions of examination should also directly affect the quality of US images. So far, these factors have hampered the application of deep learning-based technology in the field of US diagnosis. However, the development of CAD and US technologies will contribute to an increase in diagnostic quality, facilitate the development of remote medicine, and reduce the costs in the national health care through the early diagnosis of diseases. From this point of view, it may have a large enough potential to induce a paradigm shift in the field of US imaging and diagnosis of liver diseases.</t>
  </si>
  <si>
    <t>Hepatol Int</t>
  </si>
  <si>
    <t>Importance of Better Human-Computer Interaction in the Era of Deep Learning: Mammography Computer-Aided Diagnosis as a Use Case</t>
  </si>
  <si>
    <t>R. M. Nishikawa and K. T. Bae</t>
  </si>
  <si>
    <t>[State-of-the-Art Technologies in Nuclear Medicine Imaging]</t>
  </si>
  <si>
    <t>Nuclear medicine imaging is an important tool for cancer diagnosis, brain research, molecular imaging research and so on. Therefore, various imaging techniques and methods are being developed and investigated in nuclear medicine physics. In this report, we introduce state-of-the-art techniques, such as Compton camera imaging, time-of-flight positron emission tomography, semiconductor detectors for medical applications, image reconstruction and deep learning, which were reported in the 2017 IEEE Nuclear Science Symposium &amp; Medical Imaging Conference.</t>
  </si>
  <si>
    <t>Igaku Butsuri</t>
  </si>
  <si>
    <t>Personal Computer-Based Cephalometric Landmark Detection With Deep Learning, Using Cephalograms on the Internet</t>
  </si>
  <si>
    <t>BACKGROUND: Cephalometric analysis has long been, and still is one of the most important tools in evaluating craniomaxillofacial skeletal profile. To perform this, manual tracing of x-ray film and plotting landmarks have been required. This procedure is time-consuming and demands expertise. In these days, computerized cephalometric systems have been introduced; however, tracing and plotting still have to be done on the monitor display. Artificial intelligence is developing rapidly. Deep learning is one of the most evolving areas in artificial intelligence. The authors made an automated landmark predicting system, based on a deep learning neural network. METHODS: On a personal desktop computer, a convolutional network was built for regression analysis of cephalometric landmarks' coordinate values. Lateral cephalogram images were gathered through the internet and 219 images were obtained. Ten skeletal cephalometric landmarks were manually plotted and coordinate values of them were listed. The images were randomly divided into 153 training images and 66 testing images. Training images were expanded 51 folds. The network was trained with the expanded training images. With the testing images, landmarks were predicted by the network. Prediction errors from manually plotted points were evaluated. RESULTS: Average and median prediction errors were 17.02 and 16.22 pixels. Angles and lengths in cephalometric analysis, predicted by the neural network, were not statistically different from those calculated from manually plotted points. CONCLUSION: Despite the variety of image quality, using cephalogram images on the internet is a feasible approach for landmark prediction.</t>
  </si>
  <si>
    <t>S. Nishimoto, Y. Sotsuka, K. Kawai, H. Ishise and M. Kakibuchi</t>
  </si>
  <si>
    <t>Predicting the future direction of cell movement with convolutional neural networks</t>
  </si>
  <si>
    <t>Image-based deep learning systems, such as convolutional neural networks (CNNs), have recently been applied to cell classification, producing impressive results; however, application of CNNs has been confined to classification of the current cell state from the image. Here, we focused on cell movement where current and/or past cell shape can influence the future cell movement. We demonstrate that CNNs prospectively predicted the future direction of cell movement with high accuracy from a single image patch of a cell at a certain time. Furthermore, by visualizing the image features that were learned by the CNNs, we could identify morphological features, e.g., the protrusions and trailing edge that have been experimentally reported to determine the direction of cell movement. Our results indicate that CNNs have the potential to predict the future direction of cell movement from current cell shape, and can be used to automatically identify those morphological features that influence future cell movement.</t>
  </si>
  <si>
    <t>Three-dimensional optoacoustic imaging of nailfold capillaries in systemic sclerosis and its potential for disease differentiation using deep learning</t>
  </si>
  <si>
    <t>The autoimmune disease systemic sclerosis (SSc) causes microvascular changes that can be easily observed cutaneously at the finger nailfold. Optoacoustic imaging (OAI), a combination of optical and ultrasound imaging, specifically raster-scanning optoacoustic mesoscopy (RSOM), offers a non-invasive high-resolution 3D visualization of capillaries allowing for a better view of microvascular changes and an extraction of volumetric measures. In this study, nailfold capillaries of patients with SSc and healthy controls are imaged and compared with each other for the first time using OAI. The nailfolds of 23 patients with SSc and 19 controls were imaged using RSOM. The acquired images were qualitatively compared to images from state-of-the-art imaging tools for SSc, dermoscopy and high magnification capillaroscopy. The vascular volume in the nailfold capillaries were computed from the RSOM images. The vascular volumes differ significantly between both cohorts (0.216 ± 0.085 mm(3) and 0.337 ± 0.110 mm(3); p &lt; 0.0005). In addition, an artificial neural network was trained to automatically differentiate nailfold images from both cohorts to further assess whether OAI is sensitive enough to visualize anatomical differences in the capillaries between the two cohorts. Using transfer learning, the model classifies images with an area under the ROC curve of 0.897, and a sensitivity of 0.783 and specificity of 0.895. In conclusion, this study demonstrates the capabilities of RSOM as an imaging tool for SSc and establishes it as a modality that facilitates more in-depth studies into the disease mechanisms and progression.</t>
  </si>
  <si>
    <t>Deep Learning Based Lung Region Segmentation with Data Preprocessing by Generative Adversarial Nets</t>
  </si>
  <si>
    <t>In endoscopic surgery, it is necessary to understand the three-dimensional structure of the target region to improve safety. For organs that do not deform much during surgery, preoperative computed tomography (CT) images can be used to understand their three-dimensional structure, however, deformation estimation is necessary for organs that deform substantially. Even though the intraoperative deformation estimation of organs has been widely studied, two-dimensional organ region segmentations from camera images are necessary to perform this estimation. In this paper, we propose a region segmentation method using U-net for the lung, which is an organ that deforms substantially during surgery. Because the accuracy of the results for smoker lungs is lower than that for non-smoker lungs, we improved the accuracy by translating the texture of the lung surface using a CycleGAN.</t>
  </si>
  <si>
    <t>10.1016/j.ymeth.2017.02.007</t>
  </si>
  <si>
    <t>Analysis of live cell images: Methods, tools and opportunities</t>
  </si>
  <si>
    <t>Advances in optical microscopy, biosensors and cell culturing technologies have transformed live cell imaging. Thanks to these advances live cell imaging plays an increasingly important role in basic biology research as well as at all stages of drug development. Image analysis methods are needed to extract quantitative information from these vast and complex data sets. The aim of this review is to provide an overview of available image analysis methods for live cell imaging, in particular required preprocessing image segmentation, cell tracking and data visualisation methods. The potential opportunities recent advances in machine learning, especially deep learning, and computer vision provide are being discussed. This review includes overview of the different available software packages and toolkits.</t>
  </si>
  <si>
    <t>Testing a deep convolutional neural network for automated hippocampus segmentation in a longitudinal sample of healthy participants</t>
  </si>
  <si>
    <t>Subtle changes in hippocampal volumes may occur during both physiological and pathophysiological processes in the human brain. Assessing hippocampal volumes manually is a time-consuming procedure, however, creating a need for automated segmentation methods that are both fast and reliable over time. Segmentation algorithms that employ deep convolutional neural networks (CNN) have emerged as a promising solution for large longitudinal neuroimaging studies. However, for these novel algorithms to be useful in clinical studies, the accuracy and reproducibility should be established on independent datasets. Here, we evaluate the performance of a CNN-based hippocampal segmentation algorithm that was developed by Thyreau and colleagues - Hippodeep. We compared its segmentation outputs to manual segmentation and FreeSurfer 6.0 in a sample of 200 healthy participants scanned repeatedly at seven sites across Canada, as part of the Canadian Biomarker Integration Network in Depression consortium. The algorithm demonstrated high levels of stability and reproducibility of volumetric measures across all time points compared to the other two techniques. Although more rigorous testing in clinical populations is necessary, this approach holds promise as a viable option for tracking volumetric changes in longitudinal neuroimaging studies.</t>
  </si>
  <si>
    <t>Artificial intelligence using neural network architecture for radiology (AINNAR): classification of MR imaging sequences</t>
  </si>
  <si>
    <t>PURPOSE: The confusion of MRI sequence names could be solved if MR images were automatically identified after image data acquisition. We revealed the ability of deep learning to classify head MRI sequences. MATERIALS AND METHODS: Seventy-eight patients with mild cognitive impairment (MCI) having apparently normal head MR images and 78 intracranial hemorrhage (ICH) patients with morphologically deformed head MR images were enrolled. Six imaging protocols were selected to be performed: T2-weighted imaging, fluid attenuated inversion recovery imaging, T2-star-weighted imaging, diffusion-weighted imaging, apparent diffusion coefficient mapping, and source images of time-of-flight magnetic resonance angiography. The proximal first image slices and middle image slices having ambiguous and distinctive contrast patterns, respectively, were classified by two deep learning imaging classifiers, AlexNet and GoogLeNet. RESULTS: AlexNet had accuracies of 73.3%, 73.6%, 73.1%, and 60.7% in the middle slices of MCI group, middle slices of ICH group, first slices of MCI group, and first slices of ICH group, while GoogLeNet had accuracies of 100%, 98.1%, 93.1%, and 94.8%, respectively. AlexNet significantly had lower classification ability than GoogLeNet for all datasets. CONCLUSIONS: GoogLeNet could judge the types of head MRI sequences with a small amount of training data, irrespective of morphological or contrast conditions.</t>
  </si>
  <si>
    <t>T. Noguchi, D. Higa, T. Asada, Y. Kawata, A. Machitori, Y. Shida, T. Okafuji, K. Yokoyama, F. Uchiyama and T. Tajima</t>
  </si>
  <si>
    <t>A Fundamental Study Assessing the Diagnostic Performance of Deep Learning for a Brain Metastasis Detection Task</t>
  </si>
  <si>
    <t>PURPOSE: Increased use of deep convolutional neural networks (DCNNs) in medical imaging diagnosis requires determinate evaluation of diagnostic performance. We performed the fundamental investigation of diagnostic performance of DCNNs using the detection task of brain metastasis. METHODS: We retrospectively investigated AlexNet and GoogLeNet using 3117 positive and 37961 negative MRI images with and without metastasis regarding (1) diagnostic biases, (2) the optimal K number of K-fold cross validations (K-CVs), (3) the optimal positive versus negative image ratio, (4) the accuracy improvement curves, (5) the accuracy range prediction by the bootstrap method, and (6) metastatic lesion detection by regions with CNNs (R-CNNs). RESULTS: Respectively, AlexNet and GoogLeNet had (1) 50 ± 4.6% and 50 ± 4.9% of the maximal mean ± 95% confidence intervals (95% CIs) measured with equal-sized negative versus negative image datasets and positive versus positive image datasets, (2) no less than 10 and 4 of K number in K-CVs fell within the respective maximum biases of 4.6% or 4.9%, (3) 74% of the highest accuracy with equal positive versus negative image ratio dataset and 91% of that with four times of negative-to-positive image ratio dataset, (4) the accuracy improvement curves increasing from 69% to 74% and 73% to 88% as positive versus negative pairs of the training images increased from 500 to 2495, (5) at least nine and six out of 10-CV result sets essential to predict the accuracy ranges by the bootstrap method, and (6) 50% and 45% of metastatic lesion detection accuracies by R-CNNs. CONCLUSIONS: Our research presented methodological fundamentals to evaluate diagnostic features in the visual recognition of DCNNs. Our series will help to conduct the accuracy investigation of computer diagnosis in medical imaging.</t>
  </si>
  <si>
    <t>T. Noguchi, F. Uchiyama, Y. Kawata, A. Machitori, Y. Shida, T. Okafuji, K. Yokoyama, Y. Inaba and T. Tajima</t>
  </si>
  <si>
    <t>Projection-domain scatter correction for cone beam computed tomography using a residual convolutional neural network</t>
  </si>
  <si>
    <t>PURPOSE: Scatter is a major factor degrading the image quality of cone beam computed tomography (CBCT). Conventional scatter correction strategies require handcrafted analytical models with ad hoc assumptions, which often leads to less accurate scatter removal. This study aims to develop an effective scatter correction method using a residual convolutional neural network (CNN). METHODS: A U-net based 25-layer CNN was constructed for CBCT scatter correction. The establishment of the model consists of three steps: model training, validation, and testing. For model training, a total of 1800 pairs of x-ray projection and the corresponding scatter-only distribution in nonanthropomorphic phantoms taken in full-fan scan were generated using Monte Carlo simulation of a CBCT scanner installed with a proton therapy system. An end-to-end CNN training was implemented with two major loss functions for 100 epochs with a mini-batch size of 10. Image rotations and flips were randomly applied to augment the training datasets during training. For validation, 200 projections of a digital head phantom were collected. The proposed CNN-based method was compared to a conventional projection-domain scatter correction method named fast adaptive scatter kernel superposition (fASKS) method using 360 projections of an anthropomorphic head phantom. Two different loss functions were applied for the same CNN to evaluate the impact of loss functions on the final results. Furthermore, the CNN model trained with full-fan projections was fine-tuned for scatter correction in half-fan scan by using transfer learning with additional 360 half-fan projection pairs of nonanthropomorphic phantoms. The tuned-CNN model for half-fan scan was compared with the fASKS method as well as the CNN-based method without the fine-tuning using additional lung phantom projections. RESULTS: The CNN-based method provides projections with significantly reduced scatter and CBCT images with more accurate Hounsfield Units (HUs) than that of the fASKS-based method. Root mean squared error of the CNN-corrected projections was improved to 0.0862 compared to 0.278 for uncorrected projections or 0.117 for the fASKS-corrected projections. The CNN-corrected reconstruction provided better HU quantification, especially in regions near the air or bone interfaces. All four image quality measures, which include mean absolute error (MAE), mean squared error (MSE), peak signal-to-noise ratio (PSNR), and structural similarity (SSIM), indicated that the CNN-corrected images were significantly better than that of the fASKS-corrected images. Moreover, the proposed transfer learning technique made it possible for the CNN model trained with full-fan projections to be applicable to remove scatters in half-fan projections after fine-tuning with only a small number of additional half-fan training datasets. SSIM value of the tuned-CNN-corrected images was 0.9993 compared to 0.9984 for the non-tuned-CNN-corrected images or 0.9990 for the fASKS-corrected images. Finally, the CNN-based method is computationally efficient - the correction time for the 360 projections only took less than 5 s in the reported experiments on a PC (4.20 GHz Intel Core-i7 CPU) with a single NVIDIA GTX 1070 GPU. CONCLUSIONS: The proposed deep learning-based method provides an effective tool for CBCT scatter correction and holds significant value for quantitative imaging and image-guided radiation therapy.</t>
  </si>
  <si>
    <t>Y. Nomura, Q. Xu, H. Shirato, S. Shimizu and L. Xing</t>
  </si>
  <si>
    <t>Hyperspectral Image Enhancement and Mixture Deep-Learning Classification of Corneal Epithelium Injuries</t>
  </si>
  <si>
    <t>In our preliminary study, the reflectance signatures obtained from hyperspectral imaging (HSI) of normal and abnormal corneal epithelium tissues of porcine show similar morphology with subtle differences. Here we present image enhancement algorithms that can be used to improve the interpretability of data into clinically relevant information to facilitate diagnostics. A total of 25 corneal epithelium images without the application of eye staining were used. Three image feature extraction approaches were applied for image classification: (i) image feature classification from histogram using a support vector machine with a Gaussian radial basis function (SVM-GRBF); (ii) physical image feature classification using deep-learning Convolutional Neural Networks (CNNs) only; and (iii) the combined classification of CNNs and SVM-Linear. The performance results indicate that our chosen image features from the histogram and length-scale parameter were able to classify with up to 100% accuracy; particularly, at CNNs and CNNs-SVM, by employing 80% of the data sample for training and 20% for testing. Thus, in the assessment of corneal epithelium injuries, HSI has high potential as a method that could surpass current technologies regarding speed, objectivity, and reliability.</t>
  </si>
  <si>
    <t>S. S. M. Noor, K. Michael, S. Marshall and J. Ren</t>
  </si>
  <si>
    <t>Nuclear medicine radiomics in precision medicine: why we can't do without artificial intelligence</t>
  </si>
  <si>
    <t>In recent years, radiomics, defined as the extraction of large amounts of quantitative features from medical images, has gained emerging interest. Radiomics consists of the extraction of handcrafted features combined with sophisticated statistical methods or machine learning algorithms for modelling, or deep learning algorithms that both learn features from raw data and perform modelling. These features have the potential to serve as non-invasive biomarkers for tumor characterization, prognostic stratification and response prediction, thereby contributing to precision medicine. However, especially in nuclear medicine, variable results are obtained when using radiomics for these purposes. Individual studies show promising results, but due to small numbers of patients per study and little standardization, it is difficult to compare and validate results on other datasets. This review describes the radiomic pipeline, its applications and the increasing role of artificial intelligence within the field. Furthermore, the challenges that need to be overcome to achieve clinical translation are discussed, so that, eventually, radiomics, combined with clinical data and other biomarkers, can contribute to precision medicine, by providing the right treatment to the right patient, with the right dose, at the right time.</t>
  </si>
  <si>
    <t>Q J Nucl Med Mol Imaging</t>
  </si>
  <si>
    <t>Deep Learning-Based Regression and Classification for Automatic Landmark Localization in Medical Images</t>
  </si>
  <si>
    <t>In this study, we propose a fast and accurate method to automatically localize anatomical landmarks in medical images. We employ a global-to-local localization approach using fully convolutional neural networks (FCNNs). First, a global FCNN localizes multiple landmarks through the analysis of image patches, performing regression and classification simultaneously. In regression, displacement vectors pointing from the center of image patches towards landmark locations are determined. In classification, presence of landmarks of interest in the patch is established. Global landmark locations are obtained by averaging the predicted displacement vectors, where the contribution of each displacement vector is weighted by the posterior classification probability of the patch that it is pointing from. Subsequently, for each landmark localized with global localization, local analysis is performed. Specialized FCNNs refine the global landmark locations by analyzing local sub-images in a similar manner, i.e. by performing regression and classification simultaneously and combining the results. Evaluation was performed through localization of 8 anatomical landmarks in CCTA scans, 2 landmarks in olfactory MR scans, and 19 landmarks in cephalometric X-rays. We demonstrate that the method performs similarly to a second observer and is able to localize landmarks in a diverse set of medical images, differing in image modality, image dimensionality, and anatomical coverage.</t>
  </si>
  <si>
    <t>Use of 2D U-Net Convolutional Neural Networks for Automated Cartilage and Meniscus Segmentation of Knee MR Imaging Data to Determine Relaxometry and Morphometry</t>
  </si>
  <si>
    <t>Purpose To analyze how automatic segmentation translates in accuracy and precision to morphology and relaxometry compared with manual segmentation and increases the speed and accuracy of the work flow that uses quantitative magnetic resonance (MR) imaging to study knee degenerative diseases such as osteoarthritis (OA). Materials and Methods This retrospective study involved the analysis of 638 MR imaging volumes from two data cohorts acquired at 3.0 T: (a) spoiled gradient-recalled acquisition in the steady state T1(ρ)-weighted images and (b) three-dimensional (3D) double-echo steady-state (DESS) images. A deep learning model based on the U-Net convolutional network architecture was developed to perform automatic segmentation. Cartilage and meniscus compartments were manually segmented by skilled technicians and radiologists for comparison. Performance of the automatic segmentation was evaluated on Dice coefficient overlap with the manual segmentation, as well as by the automatic segmentations' ability to quantify, in a longitudinally repeatable way, relaxometry and morphology. Results The models produced strong Dice coefficients, particularly for 3D-DESS images, ranging between 0.770 and 0.878 in the cartilage compartments to 0.809 and 0.753 for the lateral meniscus and medial meniscus, respectively. The models averaged 5 seconds to generate the automatic segmentations. Average correlations between manual and automatic quantification of T1(ρ) and T2 values were 0.8233 and 0.8603, respectively, and 0.9349 and 0.9384 for volume and thickness, respectively. Longitudinal precision of the automatic method was comparable with that of the manual one. Conclusion U-Net demonstrates efficacy and precision in quickly generating accurate segmentations that can be used to extract relaxation times and morphologic characterization and values that can be used in the monitoring and diagnosis of OA. (©) RSNA, 2018 Online supplemental material is available for this article.</t>
  </si>
  <si>
    <t>B. Norman, V. Pedoia and S. Majumdar</t>
  </si>
  <si>
    <t>Deep Sequential Segmentation of Organs in Volumetric Medical Scans</t>
  </si>
  <si>
    <t>Segmentation in 3-D scans is playing an increasingly important role in current clinical practice supporting diagnosis, tissue quantification, or treatment planning. The current 3-D approaches based on convolutional neural networks usually suffer from at least three main issues caused predominantly by implementation constraints-first, they require resizing the volume to the lower-resolutional reference dimensions, and second, the capacity of such approaches is very limited due to memory restrictions, and third, all slices of volumes have to be available at any given training or testing time. We address these problems by a U-Net-like architecture consisting of bidirectional convolutional long short-term memory and convolutional, pooling, upsampling, and concatenation layers enclosed into time-distributed wrappers. Our network can either process the full volumes in a sequential manner or segment slabs of slices on demand. We demonstrate performance of our architecture on vertebrae and liver segmentation tasks in 3-D computed tomography scans.</t>
  </si>
  <si>
    <t>A Lightweight Convolutional Neural Network Architecture Applied for Bone Metastasis Classification in Nuclear Medicine: A Case Study on Prostate Cancer Patients</t>
  </si>
  <si>
    <t>Bone metastasis is among the most frequent in diseases to patients suffering from metastatic cancer, such as breast or prostate cancer. A popular diagnostic method is bone scintigraphy where the whole body of the patient is scanned. However, hot spots that are presented in the scanned image can be misleading, making the accurate and reliable diagnosis of bone metastasis a challenge. Artificial intelligence can play a crucial role as a decision support tool to alleviate the burden of generating manual annotations on images and therefore prevent oversights by medical experts. So far, several state-of-the-art convolutional neural networks (CNN) have been employed to address bone metastasis diagnosis as a binary or multiclass classification problem achieving adequate accuracy (higher than 90%). However, due to their increased complexity (number of layers and free parameters), these networks are severely dependent on the number of available training images that are typically limited within the medical domain. Our study was dedicated to the use of a new deep learning architecture that overcomes the computational burden by using a convolutional neural network with a significantly lower number of floating-point operations (FLOPs) and free parameters. The proposed lightweight look-behind fully convolutional neural network was implemented and compared with several well-known powerful CNNs, such as ResNet50, VGG16, Inception V3, Xception, and MobileNet on an imaging dataset of moderate size (778 images from male subjects with prostate cancer). The results prove the superiority of the proposed methodology over the current state-of-the-art on identifying bone metastasis. The proposed methodology demonstrates a unique potential to revolutionize image-based diagnostics enabling new possibilities for enhanced cancer metastasis monitoring and treatment.</t>
  </si>
  <si>
    <t>Healthcare (Basel)</t>
  </si>
  <si>
    <t>Deep Learning of Warping Functions for Shape Analysis</t>
  </si>
  <si>
    <t>Rate-invariant or reparameterization-invariant matching between functions and shapes of curves, respectively, is an important problem in computer vision and medical imaging. Often, the computational cost of matching using approaches such as dynamic time warping or dynamic programming is prohibitive for large datasets. Here, we propose a deep neural-network-based approach for learning the warping functions from training data consisting of a large number of optimal matches, and use it to predict optimal diffeomorphic warping functions. Results show prediction performance on a synthetic dataset of bump functions and two-dimensional curves from the ETH-80 dataset as well as a significant reduction in computational cost.</t>
  </si>
  <si>
    <t>Conf Comput Vis Pattern Recognit Workshops</t>
  </si>
  <si>
    <t>Deep learning for patient-specific quality assurance: Identifying errors in radiotherapy delivery by radiomic analysis of gamma images with convolutional neural networks</t>
  </si>
  <si>
    <t>PURPOSE: Patient-specific quality assurance (QA) for intensity-modulated radiation therapy (IMRT) is a ubiquitous clinical procedure, but conventional methods have often been criticized as being insensitive to errors or less effective than other common physics checks. Recently, there has been interest in the application of radiomics, quantitative extraction of image features, to radiotherapy QA. In this work, we investigate a deep learning approach to classify the presence or absence of introduced radiotherapy treatment delivery errors from patient-specific QA. METHODS: Planar dose maps from 186 IMRT beams from 23 IMRT plans were evaluated. Each plan was transferred to a cylindrical phantom CT geometry. Three sets of planar doses were exported from each plan corresponding to (a) the error-free case, (b) a random multileaf collimator (MLC) error case, and (c) a systematic MLC error case. Each plan was delivered to the electronic portal imaging device (EPID), and planned and measured doses were used to calculate gamma images in an EPID dosimetry software package (for a total of 558 gamma images). Two radiomic approaches were used. In the first, a convolutional neural network with triplet learning was used to extract image features from the gamma images. In the second, a handcrafted approach using texture features was used. The resulting metrics from both approaches were input into four machine learning classifiers (support vector machines, multilayer perceptrons, decision trees, and k-nearest-neighbors) in order to determine whether images contained the introduced errors. Two experiments were considered: the two-class experiment classified images as error-free or containing any MLC error, and the three-class experiment classified images as error-free, containing a random MLC error, or containing a systematic MLC error. Additionally, threshold-based passing criteria were calculated for comparison. RESULTS: In total, 303 gamma images were used for model training and 255 images were used for model testing. The highest classification accuracy was achieved with the deep learning approach, with a maximum accuracy of 77.3% in the two-class experiment and 64.3% in the three-class experiment. The performance of the handcrafted approach with texture features was lower, with a maximum accuracy of 66.3% in the two-class experiment and 53.7% in the three-class experiment. Variability between the results of the four machine learning classifiers was lower for the deep learning approach vs the texture feature approach. Both radiomic approaches were superior to threshold-based passing criteria. CONCLUSIONS: Deep learning with convolutional neural networks can be used to classify the presence or absence of introduced radiotherapy treatment delivery errors from patient-specific gamma images. The performance of the deep learning network was superior to a handcrafted approach with texture features, and both radiomic approaches were better than threshold-based passing criteria. The results suggest that radiomic QA is a promising direction for clinical radiotherapy.</t>
  </si>
  <si>
    <t>M. J. Nyflot, P. Thammasorn, L. S. Wootton, E. C. Ford and W. A. Chaovalitwongse</t>
  </si>
  <si>
    <t>Holographic virtual staining of individual biological cells</t>
  </si>
  <si>
    <t>Many medical and biological protocols for analyzing individual biological cells involve morphological evaluation based on cell staining, designed to enhance imaging contrast and enable clinicians and biologists to differentiate between various cell organelles. However, cell staining is not always allowed in certain medical procedures. In other cases, staining may be time-consuming or expensive to implement. Staining protocols may be operator-sensitive, and hence may lead to varying analytical results, as well as cause artificial imaging artifacts or false heterogeneity. We present a deep-learning approach, called HoloStain, which converts images of isolated biological cells acquired without staining by holographic microscopy to their virtually stained images. We demonstrate this approach for human sperm cells, as there is a well-established protocol and global standardization for characterizing the morphology of stained human sperm cells for fertility evaluation, but, on the other hand, staining might be cytotoxic and thus is not allowed during human in vitro fertilization (IVF). After a training process, the deep neural network can take images of unseen sperm cells retrieved from holograms acquired without staining and convert them to their stainlike images. We obtained a fivefold recall improvement in the analysis results, demonstrating the advantage of using virtual staining for sperm cell analysis. With the introduction of simple holographic imaging methods in clinical settings, the proposed method has a great potential to become a common practice in human IVF procedures, as well as to significantly simplify and radically change other cell analyses and techniques such as imaging flow cytometry.</t>
  </si>
  <si>
    <t>Exploring Large-scale Public Medical Image Datasets</t>
  </si>
  <si>
    <t>RATIONALE AND OBJECTIVES: Medical artificial intelligence systems are dependent on well characterized large-scale datasets. Recently released public datasets have been of great interest to the field, but pose specific challenges due to the disconnect they cause between data generation and data usage, potentially limiting the utility of these datasets. MATERIALS AND METHODS: We visually explore two large public datasets, to determine how accurate the provided labels are and whether other subtle problems exist. The ChestXray14 dataset contains 112,120 frontal chest films, and the Musculoskeletal Radiology (MURA) dataset contains 40,561 upper limb radiographs. A subset of around 700 images from both datasets was reviewed by a board-certified radiologist, and the quality of the original labels was determined. RESULTS: The ChestXray14 labels did not accurately reflect the visual content of the images, with positive predictive values mostly between 10% and 30% lower than the values presented in the original documentation. There were other significant problems, with examples of hidden stratification and label disambiguation failure. The MURA labels were more accurate, but the original normal/abnormal labels were inaccurate for the subset of cases with degenerative joint disease, with a sensitivity of 60% and a specificity of 82%. CONCLUSION: Visual inspection of images is a necessary component of understanding large image datasets. We recommend that teams producing public datasets should perform this important quality control procedure and include a thorough description of their findings, along with an explanation of the data generating procedures and labeling rules, in the documentation for their datasets.</t>
  </si>
  <si>
    <t>L. Oakden-Rayner</t>
  </si>
  <si>
    <t>Precision Radiology: Predicting longevity using feature engineering and deep learning methods in a radiomics framework</t>
  </si>
  <si>
    <t>Precision medicine approaches rely on obtaining precise knowledge of the true state of health of an individual patient, which results from a combination of their genetic risks and environmental exposures. This approach is currently limited by the lack of effective and efficient non-invasive medical tests to define the full range of phenotypic variation associated with individual health. Such knowledge is critical for improved early intervention, for better treatment decisions, and for ameliorating the steadily worsening epidemic of chronic disease. We present proof-of-concept experiments to demonstrate how routinely acquired cross-sectional CT imaging may be used to predict patient longevity as a proxy for overall individual health and disease status using computer image analysis techniques. Despite the limitations of a modest dataset and the use of off-the-shelf machine learning methods, our results are comparable to previous 'manual' clinical methods for longevity prediction. This work demonstrates that radiomics techniques can be used to extract biomarkers relevant to one of the most widely used outcomes in epidemiological and clinical research - mortality, and that deep learning with convolutional neural networks can be usefully applied to radiomics research. Computer image analysis applied to routinely collected medical images offers substantial potential to enhance precision medicine initiatives.</t>
  </si>
  <si>
    <t>L. Oakden-Rayner, G. Carneiro, T. Bessen, J. C. Nascimento, A. P. Bradley and L. J. Palmer</t>
  </si>
  <si>
    <t>Deep learning based classification of solid lipid-poor contrast enhancing renal masses using contrast enhanced CT</t>
  </si>
  <si>
    <t>OBJECTIVE: Establish a workflow that utilizes convolutional neural nets (CNN) to classify solid, lipid-poor, contrast enhancing renal masses using multiphase contrast enhanced CT (CECT) images and to assess the performance of the resulting network. METHODS: In this institutional review board approved study of 143 patients with predominantly solid, lipid-poor, contrast enhancing renal lesions (46 benign and 97 malignant), patients with a pre-operative multiphase CECT of the abdomen and pelvis obtained between June 2009 and June 2015 were retrospectively queried. Benign renal masses included oncocytoma and lipid-poor angiomyolipoma and the malignant group included clear cell, papillary, and chromophobe carcinomas.Region of interests of whole tumor volumes were manually segmented, and CT phase images with the largest cross-section of the segmented tumor in the axial plane were used for assessment. Post-surgical pathological evaluation was used to establish diagnosis.The segmented images of renal masses were used as input to a CNN. The data were augmented and split into training (83.9%) and validation sets (16.1%) to determine the hyperparameters of the CNN. Thereafter. the performance of the resulting CNN was quantified using eightfold cross-validation. RESULTS: The CNN-based classifier demonstrated an overall accuracy of 78% (95% confidence interval: 76-80%), sensitivity of 70% (95% confidence interval: 66-74%), specificity of 81% (79-83%) and an area under the curve of 0.82. CONCLUSION: A CNN-based classifier to diagnose solid enhancing malignant renal masses based on multiphase CECT images was developed. ADVANCES IN KNOWLEDGE: It was established that a CNN-based classifier could be trained to accurately distinguish malignant renal lesions.</t>
  </si>
  <si>
    <t>Abdominal artery segmentation method from CT volumes using fully convolutional neural network</t>
  </si>
  <si>
    <t>PURPOSE : The purpose of this paper is to present a fully automated abdominal artery segmentation method from a CT volume. Three-dimensional (3D) blood vessel structure information is important for diagnosis and treatment. Information about blood vessels (including arteries) can be used in patient-specific surgical planning and intra-operative navigation. Since blood vessels have large inter-patient variations in branching patterns and positions, a patient-specific blood vessel segmentation method is necessary. Even though deep learning-based segmentation methods provide good segmentation accuracy among large organs, small organs such as blood vessels are not well segmented. We propose a deep learning-based abdominal artery segmentation method from a CT volume. Because the artery is one of small organs that is difficult to segment, we introduced an original training sample generation method and a three-plane segmentation approach to improve segmentation accuracy. METHOD : Our proposed method segments abdominal arteries from an abdominal CT volume with a fully convolutional network (FCN). To segment small arteries, we employ a 2D patch-based segmentation method and an area imbalance reduced training patch generation (AIRTPG) method. AIRTPG adjusts patch number imbalances between patches with artery regions and patches without them. These methods improved the segmentation accuracies of small artery regions. Furthermore, we introduced a three-plane segmentation approach to obtain clear 3D segmentation results from 2D patch-based processes. In the three-plane approach, we performed three segmentation processes using patches generated on axial, coronal, and sagittal planes and combined the results to generate a 3D segmentation result. RESULTS : The evaluation results of the proposed method using 20 cases of abdominal CT volumes show that the averaged F-measure, precision, and recall rates were 87.1%, 85.8%, and 88.4%, respectively. This result outperformed our previous automated FCN-based segmentation method. Our method offers competitive performance compared to the previous blood vessel segmentation methods from 3D volumes. CONCLUSIONS : We developed an abdominal artery segmentation method using FCN. The 2D patch-based and AIRTPG methods effectively segmented the artery regions. In addition, the three-plane approach generated good 3D segmentation results.</t>
  </si>
  <si>
    <t>Classification of schizophrenia and normal controls using 3D convolutional neural network and outcome visualization</t>
  </si>
  <si>
    <t>BACKGROUND: The recent deep learning-based studies on the classification of schizophrenia (SCZ) using MRI data rely on manual extraction of feature vector, which destroys the 3D structure of MRI data. In order to both identify SCZ and find relevant biomarkers, preserving the 3D structure in classification pipeline is critical. OBJECTIVES: The present study investigated whether the proposed 3D convolutional neural network (CNN) model produces higher accuracy compared to the support vector machine (SVM) and other 3D-CNN models in distinguishing individuals with SCZ spectrum disorders (SSDs) from healthy controls. We sought to construct saliency map using class saliency visualization (CSV) method. METHODS: Task-based fMRI data were obtained from 103 patients with SSDs and 41 normal controls. To preserve spatial locality, we used 3D activation map as input for the 3D convolutional autoencoder (3D-CAE)-based CNN model. Data on 62 patients with SSDs were used for unsupervised pretraining with 3D-CAE. Data on the remaining 41 patients and 41 normal controls were processed for training and testing with CNN. The performance of our model was analyzed and compared with SVM and other 3D-CNN models. The learned CNN model was visualized using CSV method. RESULTS: Using task-based fMRI data, our model achieved 84.15%∼84.43% classification accuracies, outperforming SVM and other 3D-CNN models. The inferior and middle temporal lobes were identified as key regions for classification. CONCLUSIONS: Our findings suggest that the proposed 3D-CAE-based CNN can classify patients with SSDs and controls with higher accuracy compared to other models. Visualization of salient regions provides important clinical information.</t>
  </si>
  <si>
    <t>Schizophr Res</t>
  </si>
  <si>
    <t>Deep Learning COVID-19 Features on CXR Using Limited Training Data Sets</t>
  </si>
  <si>
    <t>Under the global pandemic of COVID-19, the use of artificial intelligence to analyze chest X-ray (CXR) image for COVID-19 diagnosis and patient triage is becoming important. Unfortunately, due to the emergent nature of the COVID-19 pandemic, a systematic collection of CXR data set for deep neural network training is difficult. To address this problem, here we propose a patch-based convolutional neural network approach with a relatively small number of trainable parameters for COVID-19 diagnosis. The proposed method is inspired by our statistical analysis of the potential imaging biomarkers of the CXR radiographs. Experimental results show that our method achieves state-of-the-art performance and provides clinically interpretable saliency maps, which are useful for COVID-19 diagnosis and patient triage.</t>
  </si>
  <si>
    <t>Endoscopic detection and differentiation of esophageal lesions using a deep neural network</t>
  </si>
  <si>
    <t>BACKGROUND AND AIMS: Diagnosing esophageal squamous cell carcinoma (SCC) depends on individual physician expertise and may be subject to interobserver variability. Therefore, we developed a computerized image-analysis system to detect and differentiate esophageal SCC. METHODS: A total of 9591 nonmagnified endoscopy (non-ME) and 7844 ME images of pathologically confirmed superficial esophageal SCCs and 1692 non-ME and 3435 ME images from noncancerous lesions or normal esophagus were used as training image data. Validation was performed using 255 non-ME white-light images, 268 non-ME narrow-band images/blue-laser images, and 204 ME narrow-band images/blue-laser images from 135 patients. The same validation test data were diagnosed by 15 board-certified specialists (experienced endoscopists). RESULTS: Regarding diagnosis by non-ME with narrow-band imaging/blue-laser imaging, the sensitivity, specificity, and accuracy were 100%, 63%, and 77%, respectively, for the artificial intelligence (AI) system and 92%, 69%, and 78%, respectively, for the experienced endoscopists. Regarding diagnosis by non-ME with white-light imaging, the sensitivity, specificity, and accuracy were 90%, 76%, and 81%, respectively, for the AI system and 87%, 67%, and 75%, respectively, for the experienced endoscopists. Regarding diagnosis by ME, the sensitivity, specificity, and accuracy were 98%, 56%, and 77%, respectively, for the AI system and 83%, 70%, and 76%, respectively, for the experienced endoscopists. There was no significant difference in the diagnostic performance between the AI system and the experienced endoscopists. CONCLUSIONS: Our AI system showed high sensitivity for detecting SCC by non-ME and high accuracy for differentiating SCC from noncancerous lesions by ME.</t>
  </si>
  <si>
    <t>Differentiation of Benign from Malignant Pulmonary Nodules by Using a Convolutional Neural Network to Determine Volume Change at Chest CT</t>
  </si>
  <si>
    <t>Background Deep learning may help to improve computer-aided detection of volume (CADv) measurement of pulmonary nodules at chest CT. Purpose To determine the efficacy of a deep learning method for improving CADv for measuring the solid and ground-glass opacity (GGO) volumes of a nodule, doubling time (DT), and the change in volume at chest CT. Materials and Methods From January 2014 to December 2016, patients with pulmonary nodules at CT were retrospectively reviewed. CADv without and with a convolutional neural network (CNN) automatically determined total nodule volume change per day and DT. Area under the curves (AUCs) on a per-nodule basis and diagnostic accuracy on a per-patient basis were compared among all indexes from CADv with and without CNN for differentiating benign from malignant nodules. Results The CNN training set was 294 nodules in 217 patients, the validation set was 41 nodules in 32 validation patients, and the test set was 290 nodules in 188 patients. A total of 170 patients had 290 nodules (mean size ± standard deviation, 11 mm ± 5; range, 4-29 mm) diagnosed as 132 malignant nodules and 158 benign nodules. There were 132 solid nodules (46%), 106 part-solid nodules (36%), and 52 ground-glass nodules (18%). The test set results showed that the diagnostic performance of the CNN with CADv for total nodule volume change per day was larger than DT of CADv with CNN (AUC, 0.94 [95% confidence interval {CI}: 0.90, 0.96] vs 0.67 [95% CI: 0.60, 0.74]; P &lt; .001) and CADv without CNN (total nodule volume change per day: AUC, 0.69 [95% CI: 0.62, 0.75]; P &lt; .001; DT: AUC, 0.58 [95% CI: 0.51, 0.65]; P &lt; .001). The accuracy of total nodule volume change per day of CADv with CNN was significantly higher than that of CADv without CNN (P &lt; .001) and DT of both methods (P &lt; .001). Conclusion Convolutional neural network is useful for improving accuracy of computer-aided detection of volume measurement and nodule differentiation capability at CT for patients with pulmonary nodules. © RSNA, 2020 Online supplemental material is available for this article.</t>
  </si>
  <si>
    <t>Artificial intelligence in medical imaging: A radiomic guide to precision phenotyping of cardiovascular disease</t>
  </si>
  <si>
    <t>Rapid technological advances in non-invasive imaging, coupled with the availability of large data sets and the expansion of computational models and power, have revolutionized the role of imaging in medicine. Non-invasive imaging is the pillar of modern cardiovascular diagnostics, with modalities such as cardiac computed tomography (CT) now recognized as first-line options for cardiovascular risk stratification and the assessment of stable or even unstable patients. To date, cardiovascular imaging has lagged behind other fields, such as oncology, in the clinical translational of artificial intelligence (AI)-based approaches. We hereby review the current status of AI in non-invasive cardiovascular imaging, using cardiac CT as a running example of how novel machine learning (ML)-based radiomic approaches can improve clinical care. The integration of ML, deep learning, and radiomic methods has revealed direct links between tissue imaging phenotyping and tissue biology, with important clinical implications. More specifically, we discuss the current evidence, strengths, limitations, and future directions for AI in cardiac imaging and CT, as well as lessons that can be learned from other areas. Finally, we propose a scientific framework in order to ensure the clinical and scientific validity of future studies in this novel, yet highly promising field. Still in its infancy, AI-based cardiovascular imaging has a lot to offer to both the patients and their doctors as it catalyzes the transition towards a more precise phenotyping of cardiovascular disease.</t>
  </si>
  <si>
    <t>Cardiovasc Res</t>
  </si>
  <si>
    <t>Deep Learning-Based Detection and Correction of Cardiac MR Motion Artefacts During Reconstruction for High-Quality Segmentation</t>
  </si>
  <si>
    <t>Segmenting anatomical structures in medical images has been successfully addressed with deep learning methods for a range of applications. However, this success is heavily dependent on the quality of the image that is being segmented. A commonly neglected point in the medical image analysis community is the vast amount of clinical images that have severe image artefacts due to organ motion, movement of the patient and/or image acquisition related issues. In this paper, we discuss the implications of image motion artefacts on cardiac MR segmentation and compare a variety of approaches for jointly correcting for artefacts and segmenting the cardiac cavity. The method is based on our recently developed joint artefact detection and reconstruction method, which reconstructs high quality MR images from k-space using a joint loss function and essentially converts the artefact correction task to an under-sampled image reconstruction task by enforcing a data consistency term. In this paper, we propose to use a segmentation network coupled with this in an end-to-end framework. Our training optimises three different tasks: 1) image artefact detection, 2) artefact correction and 3) image segmentation. We train the reconstruction network to automatically correct for motion-related artefacts using synthetically corrupted cardiac MR k-space data and uncorrected reconstructed images. Using a test set of 500 2D+time cine MR acquisitions from the UK Biobank data set, we achieve demonstrably good image quality and high segmentation accuracy in the presence of synthetic motion artefacts. We showcase better performance compared to various image correction architectures.</t>
  </si>
  <si>
    <t>Automatic CNN-based detection of cardiac MR motion artefacts using k-space data augmentation and curriculum learning</t>
  </si>
  <si>
    <t>Good quality of medical images is a prerequisite for the success of subsequent image analysis pipelines. Quality assessment of medical images is therefore an essential activity and for large population studies such as the UK Biobank (UKBB), manual identification of artefacts such as those caused by unanticipated motion is tedious and time-consuming. Therefore, there is an urgent need for automatic image quality assessment techniques. In this paper, we propose a method to automatically detect the presence of motion-related artefacts in cardiac magnetic resonance (CMR) cine images. We compare two deep learning architectures to classify poor quality CMR images: 1) 3D spatio-temporal Convolutional Neural Networks (3D-CNN), 2) Long-term Recurrent Convolutional Network (LRCN). Though in real clinical setup motion artefacts are common, high-quality imaging of UKBB, which comprises cross-sectional population data of volunteers who do not necessarily have health problems creates a highly imbalanced classification problem. Due to the high number of good quality images compared to the relatively low number of images with motion artefacts, we propose a novel data augmentation scheme based on synthetic artefact creation in k-space. We also investigate a learning approach using a predetermined curriculum based on synthetic artefact severity. We evaluate our pipeline on a subset of the UK Biobank data set consisting of 3510 CMR images. The LRCN architecture outperformed the 3D-CNN architecture and was able to detect 2D+time short axis images with motion artefacts in less than 1ms with high recall. We compare our approach to a range of state-of-the-art quality assessment methods. The novel data augmentation and curriculum learning approaches both improved classification performance achieving overall area under the ROC curve of 0.89.</t>
  </si>
  <si>
    <t>I. Oksuz, B. Ruijsink, E. Puyol-Antón, J. R. Clough, G. Cruz, A. Bustin, C. Prieto, R. Botnar, D. Rueckert, J. A. Schnabel and A. P. King</t>
  </si>
  <si>
    <t>Evaluation of Deep Learning to Augment Image-Guided Radiotherapy for Head and Neck and Prostate Cancers</t>
  </si>
  <si>
    <t>IMPORTANCE: Personalized radiotherapy planning depends on high-quality delineation of target tumors and surrounding organs at risk (OARs). This process puts additional time burdens on oncologists and introduces variability among both experts and institutions. OBJECTIVE: To explore clinically acceptable autocontouring solutions that can be integrated into existing workflows and used in different domains of radiotherapy. DESIGN, SETTING, AND PARTICIPANTS: This quality improvement study used a multicenter imaging data set comprising 519 pelvic and 242 head and neck computed tomography (CT) scans from 8 distinct clinical sites and patients diagnosed either with prostate or head and neck cancer. The scans were acquired as part of treatment dose planning from patients who received intensity-modulated radiation therapy between October 2013 and February 2020. Fifteen different OARs were manually annotated by expert readers and radiation oncologists. The models were trained on a subset of the data set to automatically delineate OARs and evaluated on both internal and external data sets. Data analysis was conducted October 2019 to September 2020. MAIN OUTCOMES AND MEASURES: The autocontouring solution was evaluated on external data sets, and its accuracy was quantified with volumetric agreement and surface distance measures. Models were benchmarked against expert annotations in an interobserver variability (IOV) study. Clinical utility was evaluated by measuring time spent on manual corrections and annotations from scratch. RESULTS: A total of 519 participants' (519 [100%] men; 390 [75%] aged 62-75 years) pelvic CT images and 242 participants' (184 [76%] men; 194 [80%] aged 50-73 years) head and neck CT images were included. The models achieved levels of clinical accuracy within the bounds of expert IOV for 13 of 15 structures (eg, left femur, κ = 0.982; brainstem, κ = 0.806) and performed consistently well across both external and internal data sets (eg, mean [SD] Dice score for left femur, internal vs external data sets: 98.52% [0.50] vs 98.04% [1.02]; P = .04). The correction time of autogenerated contours on 10 head and neck and 10 prostate scans was measured as a mean of 4.98 (95% CI, 4.44-5.52) min/scan and 3.40 (95% CI, 1.60-5.20) min/scan, respectively, to ensure clinically accepted accuracy. Manual segmentation of the head and neck took a mean 86.75 (95% CI, 75.21-92.29) min/scan for an expert reader and 73.25 (95% CI, 68.68-77.82) min/scan for a radiation oncologist. The autogenerated contours represented a 93% reduction in time. CONCLUSIONS AND RELEVANCE: In this study, the models achieved levels of clinical accuracy within expert IOV while reducing manual contouring time and performing consistently well across previously unseen heterogeneous data sets. With the availability of open-source libraries and reliable performance, this creates significant opportunities for the transformation of radiation treatment planning.</t>
  </si>
  <si>
    <t>A Deep Learning-based correction to EPID dosimetry for attenuation and scatter in the Unity MR-Linac system</t>
  </si>
  <si>
    <t>PURPOSE: EPID dosimetry in the Unity MR-Linac system allows for reconstruction of absolute dose distributions within the patient geometry. Dose reconstruction is accurate for the parts of the beam arriving at the EPID through the MRI central unattenuated region, free of gradient coils, resulting in a maximum field size of ~10 × 22 cm(2) at isocentre. The purpose of this study is to develop a Deep Learning-based method to improve the accuracy of 2D EPID reconstructed dose distributions outside this central region, accounting for the effects of the extra attenuation and scatter. METHODS: A U-Net was trained to correct EPID dose images calculated at the isocenter inside a cylindrical phantom using the corresponding TPS dose images as ground truth for training. The model was evaluated using a 5-fold cross validation procedure. The clinical validity of the U-Net corrected dose images (the so-called DEEPID dose images) was assessed with in vivo verification data of 45 large rectum IMRT fields. The sensitivity of DEEPID to leaf bank position errors (±1.5 mm) and ±5% MU delivery errors was also tested. RESULTS: Compared to the TPS, in vivo 2D DEEPID dose images showed an average γ-pass rate of 90.2% (72.6%-99.4%) outside the central unattenuated region. Without DEEPID correction, this number was 44.5% (4.0%-78.4%). DEEPID correctly detected the introduced delivery errors. CONCLUSIONS: DEEPID allows for accurate dose reconstruction using the entire EPID image, thus enabling dosimetric verification for field sizes up to ~19 × 22 cm(2) at isocentre. The method can be used to detect clinically relevant errors.</t>
  </si>
  <si>
    <t>Synthetic CT reconstruction using a deep spatial pyramid convolutional framework for MR-only breast radiotherapy</t>
  </si>
  <si>
    <t>PURPOSE: The superior soft-tissue contrast achieved using magnetic resonance imaging (MRI) compared to x-ray computed tomography (CT) has led to the popularization of MRI-guided radiation therapy (MR-IGRT), especially in recent years with the advent of first and second generation MRI-based therapy delivery systems for MR-IGRT. The expanding use of these systems is driving interest in MRI-only RT workflows in which MRI is the sole imaging modality used for treatment planning and dose calculations. To enable such a workflow, synthetic CT (sCT) data must be generated based on a patient's MRI data so that dose calculations may be performed using the electron density information derived from CT images. In this study, we propose a novel deep spatial pyramid convolutional framework for the MRI-to-CT image-to-image translation task and compare its performance to the well established U-Net architecture in a generative adversarial network (GAN) framework. METHODS: Our proposed framework utilizes atrous convolution in a method named atrous spatial pyramid pooling (ASPP) to significantly reduce the total number of parameters required to describe the model while effectively capturing rich, multi-scale structural information in a manner that is not possible in the conventional framework. The proposed framework consists of a generative model composed of stacked encoders and decoders separated by the ASPP module, where atrous convolution is applied at increasing rates in parallel to encode large-scale features. The performance of the proposed method is compared to that of the conventional GAN framework in terms of the time required to train the model and the image quality of the generated sCT as measured by the root mean square error (RMSE), structural similarity index (SSIM), and peak signal-to-noise ratio (PSNR) depending on the size of the training data set. Dose calculations based on sCT data generated using the proposed architecture are also compared to clinical plans to evaluate the dosimetric accuracy of the method. RESULTS: Significant reductions in training time and improvements in image quality are observed at every training data set size when the proposed framework is adopted instead of the conventional framework. Over 1042 test images, values of 17.7 ± 4.3 HU, 0.9995 ± 0.0003, and 71.7 ± 2.3 are observed for the RMSE, SSIM, and PSNR metrics, respectively. Dose distributions calculated based on sCT data generated using the proposed framework demonstrate passing rates equal to or greater than 98% using the 3D gamma index with a 2%/2 mm criterion. CONCLUSIONS: The deep spatial pyramid convolutional framework proposed here demonstrates improved performance compared to the conventional GAN framework that has been applied to the image-to-image translation task of sCT generation. Adopting the method is a first step toward an MRI-only RT workflow that enables widespread clinical applications for MR-IGRT including online adaptive therapy.</t>
  </si>
  <si>
    <t>Artificial intelligence for analyzing orthopedic trauma radiographs</t>
  </si>
  <si>
    <t>Background and purpose - Recent advances in artificial intelligence (deep learning) have shown remarkable performance in classifying non-medical images, and the technology is believed to be the next technological revolution. So far it has never been applied in an orthopedic setting, and in this study we sought to determine the feasibility of using deep learning for skeletal radiographs. Methods - We extracted 256,000 wrist, hand, and ankle radiographs from Danderyd's Hospital and identified 4 classes: fracture, laterality, body part, and exam view. We then selected 5 openly available deep learning networks that were adapted for these images. The most accurate network was benchmarked against a gold standard for fractures. We furthermore compared the network's performance with 2 senior orthopedic surgeons who reviewed images at the same resolution as the network. Results - All networks exhibited an accuracy of at least 90% when identifying laterality, body part, and exam view. The final accuracy for fractures was estimated at 83% for the best performing network. The network performed similarly to senior orthopedic surgeons when presented with images at the same resolution as the network. The 2 reviewer Cohen's kappa under these conditions was 0.76. Interpretation - This study supports the use for orthopedic radiographs of artificial intelligence, which can perform at a human level. While current implementation lacks important features that surgeons require, e.g. risk of dislocation, classifications, measurements, and combining multiple exam views, these problems have technical solutions that are waiting to be implemented for orthopedics.</t>
  </si>
  <si>
    <t>J. Olczak, N. Fahlberg, A. Maki, A. S. Razavian, A. Jilert, A. Stark, O. Sköldenberg and M. Gordon</t>
  </si>
  <si>
    <t>A Domain Enriched Deep Learning Approach to Classify Atherosclerosis using Intravascular Ultrasound Imaging</t>
  </si>
  <si>
    <t>Intravascular ultrasound (IVUS) imaging is widely used for diagnostic imaging in interventional cardiology. The detection and quantification of atherosclerosis from acquired images is typically performed manually by medical experts or by virtual histology IVUS (VH-IVUS) software. VH-IVUS analyzes backscattered radio frequency (RF) signals to provide a color-coded tissue map, and is the method of choice for assessing atherosclerotic plaque in situ. However, a significant amount of tissue cannot be analyzed in reasonable time because the method can be applied just once per cardiac cycle. Furthermore, only hardware and software compatible with RF signal acquisition and processing may be used. We present an image-based tissue characterization method that can be applied to entire acquisition sequences post hoc for the assessment of diseased vessels. The pixel-based method utilizes domain knowledge of arterial pathology and physiology, and leverages technological advances of convolutional neural networks to segment diseased vessel walls into the same tissue classes as virtual histology using only grayscale IVUS images. The method was trained and tested on patches extracted from VH-IVUS images acquired from several patients, and achieved overall accuracy of 93.5% for all segmented tissue. Imposing physically-relevant spatial constraints driven by domain knowledge was key to achieving such strong performance. This enriched approach offers capabilities akin to VH-IVUS without the constraints of RF signals or limited once-per-cycle analysis, offering superior potential information acquisition speed, reduced hardware and software requirements, and more widespread applicability. Such an approach may well yield promise for future clinical and research applications.</t>
  </si>
  <si>
    <t>IEEE J Sel Top Signal Process</t>
  </si>
  <si>
    <t>Deep Learning Based Software to Identify Large Vessel Occlusion on Noncontrast Computed Tomography</t>
  </si>
  <si>
    <t>BACKGROUND AND PURPOSE: Reliable recognition of large vessel occlusion (LVO) on noncontrast computed tomography (NCCT) may accelerate identification of endovascular treatment candidates. We aim to validate a machine learning algorithm (MethinksLVO) to identify LVO on NCCT. METHODS: Patients with suspected acute stroke who underwent NCCT and computed tomography angiography (CTA) were included. Software detection of LVO (MethinksLVO) on NCCT was tested against the CTA readings of 2 experienced radiologists (NR-CTA). We used a deep learning algorithm to identify clot signs on NCCT. The software image output trained a binary classifier to determine LVO on NCCT. We studied software accuracy when adding National Institutes of Health Stroke Scale and time from onset to the model (MethinksLVO+). RESULTS: From 1453 patients, 823 (57%) had LVO by NR-CTA. The area under the curve for the identification of LVO with MethinksLVO was 0.87 (sensitivity: 83%, specificity: 71%, positive predictive value: 79%, negative predictive value: 76%) and improved to 0.91 with MethinksLVO+ (sensitivity: 83%, specificity: 85%, positive predictive value: 88%, negative predictive value: 79%). CONCLUSIONS: In patients with suspected acute stroke, MethinksLVO software can rapidly and reliably predict LVO. MethinksLVO could reduce the need to perform CTA, generate alarms, and increase the efficiency of patient transfers in stroke networks.</t>
  </si>
  <si>
    <t>Automated Myocardial Wall Motion Classification using Handcrafted Features vs a Deep CNN-based mapping</t>
  </si>
  <si>
    <t>Compared to other modalities such as computed tomography or magnetic resonance imaging, the appearance of ultrasound images is highly dependent on the expertise of the sonographer or clinician making the image acquisition, as well as the machine used, making it a challenge to analyze due to the frequent presence of artefacts, missing boundaries, attenuation, shadows, and speckle. In addition, manual contouring of the epicardial and endocardial walls exhibits large inconsistencies and variations as it is strongly dependent on the sonographer's training and expertise. Hence, in this paper we propose a fully automated image analysis framework to ultimately perform wall motion abnormality classification in 2D+T images. We explore both traditional Random Forests classification with handcrafted features and spatio-temporal hierarchical aggregation of information with a deep learning CNN-based approach. Regarding the later classifier, we also investigate the effect of local phase information retrieval through the use of Feature Asymmetry (FA), and demonstrate that pre-processing videos with FA enables the spatio-temporal CNN to better discover relevant left ventricle endocardial abstractions from low-level features to high-level representations automatically.</t>
  </si>
  <si>
    <t>H. A. Omar, A. Patra, J. S. Domingos, P. Leeson and A. J. Noblel</t>
  </si>
  <si>
    <t>The effects of physics-based data augmentation on the generalizability of deep neural networks: Demonstration on nodule false-positive reduction</t>
  </si>
  <si>
    <t>PURPOSE: An important challenge for deep learning models is generalizing to new datasets that may be acquired with acquisition protocols different from the training set. It is not always feasible to expand training data to the range encountered in clinical practice. We introduce a new technique, physics-based data augmentation (PBDA), that can emulate new computed tomography (CT) data acquisition protocols. We demonstrate two forms of PBDA, emulating increases in slice thickness and reductions of dose, on the specific problem of false-positive reduction in the automatic detection of lung nodules. METHODS: We worked with CT images from the lung image database consortium (LIDC) collection. We employed a hybrid ensemble convolutional neural network (CNN), which consists of multiple CNN modules (VGG, DenseNet, ResNet), for a classification task of determining whether an image patch was a suspicious nodule or a false positive. To emulate a reduction in tube current, we injected noise by simulating forward projection, noise addition, and backprojection corresponding to 1.5 mAs (a chest x-ray dose). To simulate thick slice CT scans from thin slice CT scans, we grouped and averaged spatially contiguous CT within thin slice data. The neural network was trained with 10% of the LIDC dataset that was selected to have either the highest tube current or the thinnest slices. The network was tested on the remaining data. We compared PBDA to a baseline with standard geometric augmentations (such as shifts and rotations) and Gaussian noise addition. RESULTS: PBDA improved the performance of the networks when generalizing to the test dataset in a limited number of cases. We found that the best performance was obtained by applying augmentation at very low doses (1.5 mAs), about an order of magnitude less than most screening protocols. In the baseline augmentation, a comparable level of Gaussian noise was injected. For dose reduction PBDA, the average sensitivity of 0.931 for the hybrid ensemble network was not statistically different from the average sensitivity of 0.935 without PBDA. Similarly for slice thickness PBDA, the average sensitivity of 0.900 when augmenting with doubled simulated slice thicknesses was not statistically different from the average sensitivity of 0.895 without PBDA. While there were cases detailed in this paper in which we observed improvements, the overall picture was one that suggests PBDA may not be an effective data enrichment tool. CONCLUSIONS: PBDA is a newly proposed strategy for mitigating the performance loss of neural networks related to the variation of acquisition protocol between the training dataset and the data that is encountered in deployment or testing. We found that PBDA does not provide robust improvements with the four neural networks (three modules and the ensemble) tested and for the specific task of false-positive reduction in nodule detection.</t>
  </si>
  <si>
    <t>Diffeomorphic Lung Registration Using Deep CNNs and Reinforced Learning</t>
  </si>
  <si>
    <t>Image registration is a well-known problem in the field of medical imaging. In this paper, we focus on the registration of chest inspiratory and expiratory computed tomography (CT) scans from the same patient. Our method recovers the diffeomorphic elastic displacement vector field (DVF) by jointly regressing the direct and the inverse transformation. Our architecture is based on the RegNet network but we implement a reinforced learning strategy that can accommodate a large training dataset. Our results show that our method performs with a lower estimation error for the same number of epochs than the RegNet approach.</t>
  </si>
  <si>
    <t>Multiorgan structures detection using deep convolutional neural networks</t>
  </si>
  <si>
    <t>Many automatic image analysis algorithms in medical imaging require a good initialization to work properly. A similar problem occurs in many imaging-based clinical workflows, which depend on anatomical landmarks. The localization of anatomic structures based on a defined context provides with a solution to that problem, which turns out to be more challenging in medical imaging where labeled images are difficult to obtain. We propose a two-stage process to detect and regress 2D bounding boxes of predefined anatomical structures based on a 2D surrounding context. First, we use a deep convolutional neural network (DCNN) architecture to detect the optimal slice where an anatomical structure is present, based on relevant landmark features. After this detection, we employ a similar architecture to perform a 2D regression with the aim of proposing a bounding box where the structure is encompassed. We trained and tested our system for 57 anatomical structures defined in axial, sagittal and coronal planes with a dataset of 504 labeled Computed Tomography (CT) scans. We compared our method with a well-known object detection algorithm (Viola Jones) and with the inter-rater error for two human experts. Despite the relatively small number of scans and the exhaustive number of structures analyzed, our method obtained promising and consistent results, which proves our architecture very generalizable to other anatomical structures.</t>
  </si>
  <si>
    <t>J. O. Onieva, G. G. Serrano, T. P. Young, G. R. Washko, M. J. L. Carbayo and R. S. J. Estépar</t>
  </si>
  <si>
    <t>Investigation of pulmonary nodule classification using multi-scale residual network enhanced with 3DGAN-synthesized volumes</t>
  </si>
  <si>
    <t>It is often difficult to distinguish between benign and malignant pulmonary nodules using only image diagnosis. A biopsy is performed when malignancy is suspected based on CT examination. However, biopsies are highly invasive, and patients with benign nodules may undergo unnecessary procedures. In this study, we performed automated classification of pulmonary nodules using a three-dimensional convolutional neural network (3DCNN). In addition, to increase the number of training data, we utilized generative adversarial networks (GANs), a deep learning technique used as a data augmentation method. In this approach, three-dimensional regions of different sizes centered on pulmonary nodules were extracted from CT images, and a large number of pseudo-pulmonary nodules were synthesized using 3DGAN. The 3DCNN has a multi-scale structure in which multiple nodules in each region are inputted and integrated into the final layer. During the training of multi-scale 3DCNN, pre-training was first performed using 3DGAN-synthesized nodules, and the pulmonary nodules were then comprehensively classified by fine-tuning the pre-trained model using real nodules. Using an evaluation process that involved 60 confirmed cases of pathological diagnosis based on biopsies, the sensitivity was determined to be 90.9% and specificity was 74.1%. The classification accuracy was improved compared to the case of training with only real nodules without pre-training. The 2DCNN results of our previous study were slightly better than the 3DCNN results. However, it was shown that even though 3DCNN is difficult to train with limited data such as in the case of medical images, classification accuracy can be improved by GAN.</t>
  </si>
  <si>
    <t>GENERALIZABLE MULTI-SITE TRAINING AND TESTING OF DEEP NEURAL NETWORKS USING IMAGE NORMALIZATION</t>
  </si>
  <si>
    <t>The ability of medical image analysis deep learning algorithms to generalize across multiple sites is critical for clinical adoption of these methods. Medical imging data, especially MRI, can have highly variable intensity characteristics across different individuals, scanners, and sites. However, it is not practical to train algorithms with data from all imaging equipment sources at all possible sites. Intensity normalization methods offer a potential solution for working with multi-site data. We evaluate five different image normalization methods on training a deep neural network to segment the prostate gland in MRI. Using 600 MRI prostate gland segmentations from two different sites, our results show that both intra-site and inter-site evaluation is critical for assessing the robustness of trained models and that training with single-site data produces models that fail to fully generalize across testing data from sites not included in the training.</t>
  </si>
  <si>
    <t>Sparse Data-Driven Learning for Effective and Efficient Biomedical Image Segmentation</t>
  </si>
  <si>
    <t>Sparsity is a powerful concept to exploit for high-dimensional machine learning and associated representational and computational efficiency. Sparsity is well suited for medical image segmentation. We present a selection of techniques that incorporate sparsity, including strategies based on dictionary learning and deep learning, that are aimed at medical image segmentation and related quantification.</t>
  </si>
  <si>
    <t>Segmenting the Brain Surface From CT Images With Artifacts Using Locally Oriented Appearance and Dictionary Learning</t>
  </si>
  <si>
    <t>The accurate segmentation of the brain surface in post-surgical computed tomography (CT) images is critical for image-guided neurosurgical procedures in epilepsy patients. Following surgical implantation of intracranial electrodes, surgeons require accurate registration of the post-implantation CT images to the pre-implantation functional and structural magnetic resonance imaging to guide surgical resection of epileptic tissue. One way to perform the registration is via surface matching. The key challenge in this setup is the CT segmentation, where the extraction of the cortical surface is difficult due to the missing parts of the skull and artifacts introduced from the electrodes. In this paper, we present a dictionary learning-based method to segment the brain surface in post-surgical CT images of epilepsy patients following surgical implantation of electrodes. We propose learning a model of locally oriented appearance that captures both the normal tissue and the artifacts found along this brain surface boundary. Utilizing a database of clinical epilepsy imaging data to train and test our approach, we demonstrate that our method using locally oriented image appearance both more accurately extracts the brain surface and better localizes electrodes on the post-operative brain surface compared to standard, non-oriented appearance modeling. In addition, we compare our method to a standard atlas-based segmentation approach and to a U-Net-based deep convolutional neural network segmentation method.</t>
  </si>
  <si>
    <t>J. A. Onofrey, L. H. Staib and X. Papademetris</t>
  </si>
  <si>
    <t>Deep Learning Assisted Localization of Polycystic Kidney on Contrast-Enhanced CT Images</t>
  </si>
  <si>
    <t>Total Kidney Volume (TKV) is essential for analyzing the progressive loss of renal function in Autosomal Dominant Polycystic Kidney Disease (ADPKD). Conventionally, to measure TKV from medical images, a radiologist needs to localize and segment the kidneys by defining and delineating the kidney's boundary slice by slice. However, kidney localization is a time-consuming and challenging task considering the unstructured medical images from big data such as Contrast-enhanced Computed Tomography (CCT). This study aimed to design an automatic localization model of ADPKD using Artificial Intelligence. A robust detection model using CCT images, image preprocessing, and Single Shot Detector (SSD) Inception V2 Deep Learning (DL) model is designed here. The model is trained and evaluated with 110 CCT images that comprise 10,078 slices. The experimental results showed that our derived detection model outperformed other DL detectors in terms of Average Precision (AP) and mean Average Precision (mAP). We achieved mAP = 94% for image-wise testing and mAP = 82% for subject-wise testing, when threshold on Intersection over Union (IoU) = 0.5. This study proves that our derived automatic detection model can assist radiologist in locating and classifying the ADPKD kidneys precisely and rapidly in order to improve the segmentation task and TKV calculation.</t>
  </si>
  <si>
    <t>Evaluation of artificial intelligence for detecting periapical pathosis on cone-beam computed tomography scans</t>
  </si>
  <si>
    <t>AIM: To verify the diagnostic performance of an artificial intelligence system based on the deep convolutional neural network method to detect periapical pathosis on cone-beam computed tomography (CBCT) images. METHODOLOGY: images of 153 periapical lesions obtained from 109 patients were included. The specific area of the jaw and teeth associated with the periapical lesions were then determined by a human observer. Lesion volumes were calculated using the manual segmentation methods using Fujifilm-Synapse 3D software (Fujifilm Medical Systems, Tokyo, Japan). The neural network was then used to determine (i) whether the lesion could be detected; (ii) if the lesion was detected, where it was localized (maxilla, mandible or specific tooth); and (iii) lesion volume. Manual segmentation and artificial intelligence (AI) (Diagnocat Inc., San Francisco, CA, USA) methods were compared using Wilcoxon signed rank test and Bland-Altman analysis. RESULTS: The deep convolutional neural network system was successful in detecting teeth and numbering specific teeth. Only one tooth was incorrectly identified. The AI system was able to detect 142 of a total of 153 periapical lesions. The reliability of correctly detecting a periapical lesion was 92.8%. The deep convolutional neural network volumetric measurements of the lesions were similar to those with manual segmentation. There was no significant difference between the two measurement methods (P &gt; 0.05). CONCLUSIONS: Volume measurements performed by humans and by AI systems were comparable to each other. AI systems based on deep learning methods can be useful for detecting periapical pathosis on CBCT images for clinical application.</t>
  </si>
  <si>
    <t>Int Endod J</t>
  </si>
  <si>
    <t>REFUGE Challenge: A unified framework for evaluating automated methods for glaucoma assessment from fundus photographs</t>
  </si>
  <si>
    <t>Glaucoma is one of the leading causes of irreversible but preventable blindness in working age populations. Color fundus photography (CFP) is the most cost-effective imaging modality to screen for retinal disorders. However, its application to glaucoma has been limited to the computation of a few related biomarkers such as the vertical cup-to-disc ratio. Deep learning approaches, although widely applied for medical image analysis, have not been extensively used for glaucoma assessment due to the limited size of the available data sets. Furthermore, the lack of a standardize benchmark strategy makes difficult to compare existing methods in a uniform way. In order to overcome these issues we set up the Retinal Fundus Glaucoma Challenge, REFUGE (https://refuge.grand-challenge.org), held in conjunction with MICCAI 2018. The challenge consisted of two primary tasks, namely optic disc/cup segmentation and glaucoma classification. As part of REFUGE, we have publicly released a data set of 1200 fundus images with ground truth segmentations and clinical glaucoma labels, currently the largest existing one. We have also built an evaluation framework to ease and ensure fairness in the comparison of different models, encouraging the development of novel techniques in the field. 12 teams qualified and participated in the online challenge. This paper summarizes their methods and analyzes their corresponding results. In particular, we observed that two of the top-ranked teams outperformed two human experts in the glaucoma classification task. Furthermore, the segmentation results were in general consistent with the ground truth annotations, with complementary outcomes that can be further exploited by ensembling the results.</t>
  </si>
  <si>
    <t>J. I. Orlando, H. Fu, J. Barbosa Breda, K. van Keer, D. R. Bathula, A. Diaz-Pinto, R. Fang, P. A. Heng, J. Kim, J. Lee, J. Lee, X. Li, P. Liu, S. Lu, B. Murugesan, V. Naranjo, S. S. R. Phaye, S. M. Shankaranarayana, A. Sikka, J. Son, A. van den Hengel, S. Wang, J. Wu, Z. Wu, G. Xu, Y. Xu, P. Yin, F. Li, X. Zhang, Y. Xu and H. Bogunović</t>
  </si>
  <si>
    <t>Automated Quantification of Photoreceptor alteration in macular disease using Optical Coherence Tomography and Deep Learning</t>
  </si>
  <si>
    <t>Diabetic macular edema (DME) and retina vein occlusion (RVO) are macular diseases in which central photoreceptors are affected due to pathological accumulation of fluid. Optical coherence tomography allows to visually assess and evaluate photoreceptor integrity, whose alteration has been observed as an important biomarker of both diseases. However, the manual quantification of this layered structure is challenging, tedious and time-consuming. In this paper we introduce a deep learning approach for automatically segmenting and characterising photoreceptor alteration. The photoreceptor layer is segmented using an ensemble of four different convolutional neural networks. En-face representations of the layer thickness are produced to characterize the photoreceptors. The pixel-wise standard deviation of the score maps produced by the individual models is also taken to indicate areas of photoreceptor abnormality or ambiguous results. Experimental results showed that our ensemble is able to produce results in pair with a human expert, outperforming each of its constitutive models. No statistically significant differences were observed between mean thickness estimates obtained from automated and manually generated annotations. Therefore, our model is able to reliable quantify photoreceptors, which can be used to improve prognosis and managment of macular diseases.</t>
  </si>
  <si>
    <t>An ensemble deep learning based approach for red lesion detection in fundus images</t>
  </si>
  <si>
    <t>BACKGROUND AND OBJECTIVES: Diabetic retinopathy (DR) is one of the leading causes of preventable blindness in the world. Its earliest sign are red lesions, a general term that groups both microaneurysms (MAs) and hemorrhages (HEs). In daily clinical practice, these lesions are manually detected by physicians using fundus photographs. However, this task is tedious and time consuming, and requires an intensive effort due to the small size of the lesions and their lack of contrast. Computer-assisted diagnosis of DR based on red lesion detection is being actively explored due to its improvement effects both in clinicians consistency and accuracy. Moreover, it provides comprehensive feedback that is easy to assess by the physicians. Several methods for detecting red lesions have been proposed in the literature, most of them based on characterizing lesion candidates using hand crafted features, and classifying them into true or false positive detections. Deep learning based approaches, by contrast, are scarce in this domain due to the high expense of annotating the lesions manually. METHODS: In this paper we propose a novel method for red lesion detection based on combining both deep learned and domain knowledge. Features learned by a convolutional neural network (CNN) are augmented by incorporating hand crafted features. Such ensemble vector of descriptors is used afterwards to identify true lesion candidates using a Random Forest classifier. RESULTS: We empirically observed that combining both sources of information significantly improve results with respect to using each approach separately. Furthermore, our method reported the highest performance on a per-lesion basis on DIARETDB1 and e-ophtha, and for screening and need for referral on MESSIDOR compared to a second human expert. CONCLUSIONS: Results highlight the fact that integrating manually engineered approaches with deep learned features is relevant to improve results when the networks are trained from lesion-level annotated data. An open source implementation of our system is publicly available at https://github.com/ignaciorlando/red-lesion-detection.</t>
  </si>
  <si>
    <t>J. I. Orlando, E. Prokofyeva, M. Del Fresno and M. B. Blaschko</t>
  </si>
  <si>
    <t>Microscopy, Meet Big Data</t>
  </si>
  <si>
    <t>The analysis of massive microscopy datasets using deep neural networks provides an alternative to molecular labeling to characterize cellular states.</t>
  </si>
  <si>
    <t>Cell Syst</t>
  </si>
  <si>
    <t>Ensembles of Deep Learning Architectures for the Early Diagnosis of the Alzheimer's Disease</t>
  </si>
  <si>
    <t>Computer Aided Diagnosis (CAD) constitutes an important tool for the early diagnosis of Alzheimer's Disease (AD), which, in turn, allows the application of treatments that can be simpler and more likely to be effective. This paper explores the construction of classification methods based on deep learning architectures applied on brain regions defined by the Automated Anatomical Labeling (AAL). Gray Matter (GM) images from each brain area have been split into 3D patches according to the regions defined by the AAL atlas and these patches are used to train different deep belief networks. An ensemble of deep belief networks is then composed where the final prediction is determined by a voting scheme. Two deep learning based structures and four different voting schemes are implemented and compared, giving as a result a potent classification architecture where discriminative features are computed in an unsupervised fashion. The resulting method has been evaluated using a large dataset from the Alzheimer's disease Neuroimaging Initiative (ADNI). Classification results assessed by cross-validation prove that the proposed method is not only valid for differentiate between controls (NC) and AD images, but it also provides good performances when tested for the more challenging case of classifying Mild Cognitive Impairment (MCI) Subjects. In particular, the classification architecture provides accuracy values up to 0.90 and AUC of 0.95 for NC/AD classification, 0.84 and AUC of 0.91 for stable MCI/AD classification and 0.83 and AUC of 0.95 for NC/MCI converters classification.</t>
  </si>
  <si>
    <t>A. Ortiz, J. Munilla, J. M. Górriz and J. Ramírez</t>
  </si>
  <si>
    <t>Identification of the presence of ischaemic stroke lesions by means of texture analysis on brain magnetic resonance images</t>
  </si>
  <si>
    <t>BACKGROUND: The differential quantification of brain atrophy, white matter hyperintensities (WMH) and stroke lesions is important in studies of stroke and dementia. However, the presence of stroke lesions is usually overlooked by automatic neuroimage processing methods and the-state-of-the-art deep learning schemes, which lack sufficient annotated data. We explore the use of radiomics in identifying whether a brain magnetic resonance imaging (MRI) scan belongs to an individual that had a stroke or not. MATERIALS AND METHODS: We used 1800 3D sets of MRI data from three prospective studies: one of stroke mechanisms and two of cognitive ageing, evaluated 114 textural features in WMH, cerebrospinal fluid, deep grey and normal-appearing white matter, and attempted to classify the scans using a random forest and support vector machine classifiers with and without feature selection. We evaluated the discriminatory power of each feature independently in each population and corrected the result against Type 1 errors. We also evaluated the influence of clinical parameters in the classification results. RESULTS: Subtypes of ischaemic strokes (i.e. lacunar vs. cortical) cannot be discerned using radiomics, but the presence of a stroke-type lesion can be ascertained with accuracies ranging from 0.7 &lt; AUC &lt; 0.83. Feature selection, tissue type, stroke subtype and MRI sequence did not seem to determine the classification results. From all clinical variables evaluated, age correlated with the proportion of images classified correctly using either different or the same descriptors (Pearson r = 0.31 and 0.39 respectively, p &lt; 0.001). CONCLUSIONS: Texture features in conventionally automatically segmented tissues may help in the identification of the presence of previous stroke lesions on an MRI scan, and should be taken into account in transfer learning strategies of the-state-of-the-art deep learning schemes.</t>
  </si>
  <si>
    <t>Real-Time Standard View Classification in Transthoracic Echocardiography Using Convolutional Neural Networks</t>
  </si>
  <si>
    <t>Transthoracic echocardiography examinations are usually performed according to a protocol comprising different probe postures providing standard views of the heart. These are used as a basis when assessing cardiac function, and it is essential that the morphophysiological representations are correct. Clinical analysis is often initialized with the current view, and automatic classification can thus be useful in improving today's workflow. In this article, convolutional neural networks (CNNs) are used to create classification models predicting up to seven different cardiac views. Data sets of 2-D ultrasound acquired from studies totaling more than 500 patients and 7000 videos were included. State-of-the-art accuracies of 98.3% ± 0.6% and 98.9% ± 0.6% on single frames and sequences, respectively, and real-time performance with 4.4 ± 0.3 ms per frame were achieved. Further, it was found that CNNs have the potential for use in automatic multiplanar reformatting and orientation guidance. Using 3-D data to train models applicable for 2-D classification, we achieved a median deviation of 4° ± 3° from the optimal orientations.</t>
  </si>
  <si>
    <t>A. Østvik, E. Smistad, S. A. Aase, B. O. Haugen and L. Lovstakken</t>
  </si>
  <si>
    <t>Liver tissue segmentation in multiphase CT scans using cascaded convolutional neural networks</t>
  </si>
  <si>
    <t>PURPOSE: We address the automatic segmentation of healthy and cancerous liver tissues (parenchyma, active and necrotic parts of hepatocellular carcinoma (HCC) tumor) on multiphase CT images using a deep learning approach. METHODS: We devise a cascaded convolutional neural network based on the U-Net architecture. Two strategies for dealing with multiphase information are compared: Single-phase images are concatenated in a multi-dimensional features map on the input layer, or output maps are computed independently for each phase before being merged to produce the final segmentation. Each network of the cascade is specialized in the segmentation of a specific tissue. The performances of these networks taken separately and of the cascaded architecture are assessed on both single-phase and on multiphase images. RESULTS: In terms of Dice coefficients, the proposed method is on par with a state-of-the-art method designed for automatic MR image segmentation and outperforms previously used technique for interactive CT image segmentation. We validate the hypothesis that several cascaded specialized networks have a higher prediction accuracy than a single network addressing all tasks simultaneously. Although the portal venous phase alone seems to provide sufficient contrast for discriminating tumors from healthy parenchyma, the multiphase information brings significant improvement for the segmentation of cancerous tissues (active versus necrotic part). CONCLUSION: The proposed cascaded multiphase architecture showed promising performances for the automatic segmentation of liver tissues, allowing to reliably estimate the necrosis rate, a valuable imaging biomarker of the clinical outcome.</t>
  </si>
  <si>
    <t>F. Ouhmich, V. Agnus, V. Noblet, F. Heitz and P. Pessaux</t>
  </si>
  <si>
    <t>Video-based AI for beat-to-beat assessment of cardiac function</t>
  </si>
  <si>
    <t>Accurate assessment of cardiac function is crucial for the diagnosis of cardiovascular disease(1), screening for cardiotoxicity(2) and decisions regarding the clinical management of patients with a critical illness(3). However, human assessment of cardiac function focuses on a limited sampling of cardiac cycles and has considerable inter-observer variability despite years of training(4,5). Here, to overcome this challenge, we present a video-based deep learning algorithm-EchoNet-Dynamic-that surpasses the performance of human experts in the critical tasks of segmenting the left ventricle, estimating ejection fraction and assessing cardiomyopathy. Trained on echocardiogram videos, our model accurately segments the left ventricle with a Dice similarity coefficient of 0.92, predicts ejection fraction with a mean absolute error of 4.1% and reliably classifies heart failure with reduced ejection fraction (area under the curve of 0.97). In an external dataset from another healthcare system, EchoNet-Dynamic predicts the ejection fraction with a mean absolute error of 6.0% and classifies heart failure with reduced ejection fraction with an area under the curve of 0.96. Prospective evaluation with repeated human measurements confirms that the model has variance that is comparable to or less than that of human experts. By leveraging information across multiple cardiac cycles, our model can rapidly identify subtle changes in ejection fraction, is more reproducible than human evaluation and lays the foundation for precise diagnosis of cardiovascular disease in real time. As a resource to promote further innovation, we also make publicly available a large dataset of 10,030 annotated echocardiogram videos.</t>
  </si>
  <si>
    <t>Ultra-low-dose PET reconstruction using generative adversarial network with feature matching and task-specific perceptual loss</t>
  </si>
  <si>
    <t>PURPOSE: Our goal was to use a generative adversarial network (GAN) with feature matching and task-specific perceptual loss to synthesize standard-dose amyloid Positron emission tomography (PET) images of high quality and including accurate pathological features from ultra-low-dose PET images only. METHODS: Forty PET datasets from 39 participants were acquired with a simultaneous PET/MRI scanner following injection of 330 ± 30 MBq of the amyloid radiotracer 18F-florbetaben. The raw list-mode PET data were reconstructed as the standard-dose ground truth and were randomly undersampled by a factor of 100 to reconstruct 1% low-dose PET scans. A 2D encoder-decoder network was implemented as the generator to synthesize a standard-dose image and a discriminator was used to evaluate them. The two networks contested with each other to achieve high-visual quality PET from the ultra-low-dose PET. Multi-slice inputs were used to reduce noise by providing the network with 2.5D information. Feature matching was applied to reduce hallucinated structures. Task-specific perceptual loss was designed to maintain the correct pathological features. The image quality was evaluated by peak signal-to-noise ratio (PSNR), structural similarity (SSIM), and root mean square error (RMSE) metrics with and without each of these modules. Two expert radiologists were asked to score image quality on a 5-point scale and identified the amyloid status (positive or negative). RESULTS: With only low-dose PET as input, the proposed method significantly outperformed Chen et al.'s method (Chen et al. Radiology. 2018;290:649-656) (which shows the best performance in this task) with the same input (PET-only model) by 1.87 dB in PSNR, 2.04% in SSIM, and 24.75% in RMSE. It also achieved comparable results to Chen et al.'s method which used additional magnetic resonance imaging (MRI) inputs (PET-MR model). Experts' reading results showed that the proposed method could achieve better overall image quality and maintain better pathological features indicating amyloid status than both PET-only and PET-MR models proposed by Chen et al. CONCLUSION: Standard-dose amyloid PET images can be synthesized from ultra-low-dose images using GAN. Applying adversarial learning, feature matching, and task-specific perceptual loss are essential to ensure image quality and the preservation of pathological features.</t>
  </si>
  <si>
    <t>Deep learning massively accelerates super-resolution localization microscopy</t>
  </si>
  <si>
    <t>The speed of super-resolution microscopy methods based on single-molecule localization, for example, PALM and STORM, is limited by the need to record many thousands of frames with a small number of observed molecules in each. Here, we present ANNA-PALM, a computational strategy that uses artificial neural networks to reconstruct super-resolution views from sparse, rapidly acquired localization images and/or widefield images. Simulations and experimental imaging of microtubules, nuclear pores, and mitochondria show that high-quality, super-resolution images can be reconstructed from up to two orders of magnitude fewer frames than usually needed, without compromising spatial resolution. Super-resolution reconstructions are even possible from widefield images alone, though adding localization data improves image quality. We demonstrate super-resolution imaging of &gt;1,000 fields of view containing &gt;1,000 cells in ∼3 h, yielding an image spanning spatial scales from ∼20 nm to ∼2 mm. The drastic reduction in acquisition time and sample irradiation afforded by ANNA-PALM enables faster and gentler high-throughput and live-cell super-resolution imaging.</t>
  </si>
  <si>
    <t>W. Ouyang, A. Aristov, M. Lelek, X. Hao and C. Zimmer</t>
  </si>
  <si>
    <t>Analysis of the Human Protein Atlas Image Classification competition</t>
  </si>
  <si>
    <t>Pinpointing subcellular protein localizations from microscopy images is easy to the trained eye, but challenging to automate. Based on the Human Protein Atlas image collection, we held a competition to identify deep learning solutions to solve this task. Challenges included training on highly imbalanced classes and predicting multiple labels per image. Over 3 months, 2,172 teams participated. Despite convergence on popular networks and training techniques, there was considerable variety among the solutions. Participants applied strategies for modifying neural networks and loss functions, augmenting data and using pretrained networks. The winning models far outperformed our previous effort at multi-label classification of protein localization patterns by ~20%. These models can be used as classifiers to annotate new images, feature extractors to measure pattern similarity or pretrained networks for a wide range of biological applications.</t>
  </si>
  <si>
    <t>Dual-Sampling Attention Network for Diagnosis of COVID-19 From Community Acquired Pneumonia</t>
  </si>
  <si>
    <t>The coronavirus disease (COVID-19) is rapidly spreading all over the world, and has infected more than 1,436,000 people in more than 200 countries and territories as of April 9, 2020. Detecting COVID-19 at early stage is essential to deliver proper healthcare to the patients and also to protect the uninfected population. To this end, we develop a dual-sampling attention network to automatically diagnose COVID-19 from the community acquired pneumonia (CAP) in chest computed tomography (CT). In particular, we propose a novel online attention module with a 3D convolutional network (CNN) to focus on the infection regions in lungs when making decisions of diagnoses. Note that there exists imbalanced distribution of the sizes of the infection regions between COVID-19 and CAP, partially due to fast progress of COVID-19 after symptom onset. Therefore, we develop a dual-sampling strategy to mitigate the imbalanced learning. Our method is evaluated (to our best knowledge) upon the largest multi-center CT data for COVID-19 from 8 hospitals. In the training-validation stage, we collect 2186 CT scans from 1588 patients for a 5-fold cross-validation. In the testing stage, we employ another independent large-scale testing dataset including 2796 CT scans from 2057 patients. Results show that our algorithm can identify the COVID-19 images with the area under the receiver operating characteristic curve (AUC) value of 0.944, accuracy of 87.5%, sensitivity of 86.9%, specificity of 90.1%, and F1-score of 82.0%. With this performance, the proposed algorithm could potentially aid radiologists with COVID-19 diagnosis from CAP, especially in the early stage of the COVID-19 outbreak.</t>
  </si>
  <si>
    <t>Learning Hierarchical Attention for Weakly-supervised Chest X-Ray Abnormality Localization and Diagnosis</t>
  </si>
  <si>
    <t>We consider the problem of abnormality localization for clinical applications. While deep learning has driven much recent progress in medical imaging, many clinical challenges are not fully addressed, limiting its broader usage. While recent methods report high diagnostic accuracies, physicians have concerns trusting these algorithm results for diagnostic decision-making purposes because of a general lack of algorithm decision reasoning and interpretability. One potential way to address this problem is to further train these models to localize abnormalities in addition to just classifying them. However, doing this accurately will require a large amount of disease localization annotations by clinical experts, a task that is prohibitively expensive to accomplish for most applications. In this work, we take a step towards addressing these issues by means of a new attention-driven weakly supervised algorithm comprising a hierarchical attention mining framework that unifies activation- and gradient-based visual attention in a holistic manner. Our key algorithmic innovations include the design of explicit ordinal attention constraints, enabling principled model training in a weakly-supervised fashion, while also facilitating the generation of visual-attention-driven model explanations by means of localization cues. On two large-scale chest X-ray datasets (NIH ChestX-ray14 and CheXpert), we demonstrate significant localization performance improvements over the current state of the art while also achieving competitive classification performance.</t>
  </si>
  <si>
    <t>Artificial Intelligence-Based Classification of Multiple Gastrointestinal Diseases Using Endoscopy Videos for Clinical Diagnosis</t>
  </si>
  <si>
    <t>Various techniques using artificial intelligence (AI) have resulted in a significant contribution to field of medical image and video-based diagnoses, such as radiology, pathology, and endoscopy, including the classification of gastrointestinal (GI) diseases. Most previous studies on the classification of GI diseases use only spatial features, which demonstrate low performance in the classification of multiple GI diseases. Although there are a few previous studies using temporal features based on a three-dimensional convolutional neural network, only a specific part of the GI tract was involved with the limited number of classes. To overcome these problems, we propose a comprehensive AI-based framework for the classification of multiple GI diseases by using endoscopic videos, which can simultaneously extract both spatial and temporal features to achieve better classification performance. Two different residual networks and a long short-term memory model are integrated in a cascaded mode to extract spatial and temporal features, respectively. Experiments were conducted on a combined dataset consisting of one of the largest endoscopic videos with 52,471 frames. The results demonstrate the effectiveness of the proposed classification framework for multi-GI diseases. The experimental results of the proposed model (97.057% area under the curve) demonstrate superior performance over the state-of-the-art methods and indicate its potential for clinical applications.</t>
  </si>
  <si>
    <t>M. Owais, M. Arsalan, J. Choi, T. Mahmood and K. R. Park</t>
  </si>
  <si>
    <t>Automated Diagnosis of Various Gastrointestinal Lesions Using a Deep Learning-Based Classification and Retrieval Framework With a Large Endoscopic Database: Model Development and Validation</t>
  </si>
  <si>
    <t>BACKGROUND: The early diagnosis of various gastrointestinal diseases can lead to effective treatment and reduce the risk of many life-threatening conditions. Unfortunately, various small gastrointestinal lesions are undetectable during early-stage examination by medical experts. In previous studies, various deep learning-based computer-aided diagnosis tools have been used to make a significant contribution to the effective diagnosis and treatment of gastrointestinal diseases. However, most of these methods were designed to detect a limited number of gastrointestinal diseases, such as polyps, tumors, or cancers, in a specific part of the human gastrointestinal tract. OBJECTIVE: This study aimed to develop a comprehensive computer-aided diagnosis tool to assist medical experts in diagnosing various types of gastrointestinal diseases. METHODS: Our proposed framework comprises a deep learning-based classification network followed by a retrieval method. In the first step, the classification network predicts the disease type for the current medical condition. Then, the retrieval part of the framework shows the relevant cases (endoscopic images) from the previous database. These past cases help the medical expert validate the current computer prediction subjectively, which ultimately results in better diagnosis and treatment. RESULTS: All the experiments were performed using 2 endoscopic data sets with a total of 52,471 frames and 37 different classes. The optimal performances obtained by our proposed method in accuracy, F1 score, mean average precision, and mean average recall were 96.19%, 96.99%, 98.18%, and 95.86%, respectively. The overall performance of our proposed diagnostic framework substantially outperformed state-of-the-art methods. CONCLUSIONS: This study provides a comprehensive computer-aided diagnosis framework for identifying various types of gastrointestinal diseases. The results show the superiority of our proposed method over various other recent methods and illustrate its potential for clinical diagnosis and treatment. Our proposed network can be applicable to other classification domains in medical imaging, such as computed tomography scans, magnetic resonance imaging, and ultrasound sequences.</t>
  </si>
  <si>
    <t>Extending pretrained segmentation networks with additional anatomical structures</t>
  </si>
  <si>
    <t>PURPOSE: For comprehensive surgical planning with sophisticated patient-specific models, all relevant anatomical structures need to be segmented. This could be achieved using deep neural networks given sufficiently many annotated samples; however, datasets of multiple annotated structures are often unavailable in practice and costly to procure. Therefore, being able to build segmentation models with datasets from different studies and centers in an incremental fashion is highly desirable. METHODS: We propose a class-incremental framework for extending a deep segmentation network to new anatomical structures using a minimal incremental annotation set. Through distilling knowledge from the current network state, we overcome the need for a full retraining. RESULTS: We evaluate our methods on 100 MR volumes from SKI10 challenge with varying incremental annotation ratios. For 50% incremental annotations, our proposed method suffers less than 1% Dice score loss in retaining old-class performance, as opposed to 25% loss of conventional finetuning. Our framework inherently exploits transferable knowledge from previously trained structures to incremental tasks, demonstrated by results superior even to non-incremental training: In a single volume one-shot incremental learning setting, our method outperforms vanilla network performance by&gt;11% in Dice. CONCLUSIONS: With the presented method, new anatomical structures can be learned while retaining performance for older structures, without a major increase in complexity and memory footprint, hence suitable for lifelong class-incremental learning. By leveraging information from older examples, a fraction of annotations can be sufficient for incrementally building comprehensive segmentation models. With our meta-method, a deep segmentation network is extended with only a minor addition per structure, thus can be applicable also for future network architectures.</t>
  </si>
  <si>
    <t>F. Ozdemir and O. Goksel</t>
  </si>
  <si>
    <t>10.1155/2020/9756518</t>
  </si>
  <si>
    <t>Review on Diagnosis of COVID-19 from Chest CT Images Using Artificial Intelligence</t>
  </si>
  <si>
    <t>The COVID-19 diagnostic approach is mainly divided into two broad categories, a laboratory-based and chest radiography approach. The last few months have witnessed a rapid increase in the number of studies use artificial intelligence (AI) techniques to diagnose COVID-19 with chest computed tomography (CT). In this study, we review the diagnosis of COVID-19 by using chest CT toward AI. We searched ArXiv, MedRxiv, and Google Scholar using the terms deep learning, neural networks, COVID-19, and chest CT. At the time of writing (August 24, 2020), there have been nearly 100 studies and 30 studies among them were selected for this review. We categorized the studies based on the classification tasks: COVID-19/normal, COVID-19/non-COVID-19, COVID-19/non-COVID-19 pneumonia, and severity. The sensitivity, specificity, precision, accuracy, area under the curve, and F1 score results were reported as high as 100%, 100%, 99.62, 99.87%, 100%, and 99.5%, respectively. However, the presented results should be carefully compared due to the different degrees of difficulty of different classification tasks.</t>
  </si>
  <si>
    <t>Automated detection of COVID-19 cases using deep neural networks with X-ray images</t>
  </si>
  <si>
    <t>The novel coronavirus 2019 (COVID-2019), which first appeared in Wuhan city of China in December 2019, spread rapidly around the world and became a pandemic. It has caused a devastating effect on both daily lives, public health, and the global economy. It is critical to detect the positive cases as early as possible so as to prevent the further spread of this epidemic and to quickly treat affected patients. The need for auxiliary diagnostic tools has increased as there are no accurate automated toolkits available. Recent findings obtained using radiology imaging techniques suggest that such images contain salient information about the COVID-19 virus. Application of advanced artificial intelligence (AI) techniques coupled with radiological imaging can be helpful for the accurate detection of this disease, and can also be assistive to overcome the problem of a lack of specialized physicians in remote villages. In this study, a new model for automatic COVID-19 detection using raw chest X-ray images is presented. The proposed model is developed to provide accurate diagnostics for binary classification (COVID vs. No-Findings) and multi-class classification (COVID vs. No-Findings vs. Pneumonia). Our model produced a classification accuracy of 98.08% for binary classes and 87.02% for multi-class cases. The DarkNet model was used in our study as a classifier for the you only look once (YOLO) real time object detection system. We implemented 17 convolutional layers and introduced different filtering on each layer. Our model (available at (https://github.com/muhammedtalo/COVID-19)) can be employed to assist radiologists in validating their initial screening, and can also be employed via cloud to immediately screen patients.</t>
  </si>
  <si>
    <t>An expert system for brain tumor detection: Fuzzy C-means with super resolution and convolutional neural network with extreme learning machine</t>
  </si>
  <si>
    <t>Super-resolution, which is one of the trend issues of recent times, increases the resolution of the images to higher levels. Increasing the resolution of a vital image in terms of the information it contains such as brain magnetic resonance image (MRI), makes the important information in the MRI image more visible and clearer. Thus, it is provided that the borders of the tumors in the related image are found more successfully. In this study, brain tumor detection based on fuzzy C-means with super-resolution and convolutional neural networks with extreme learning machine algorithms (SR-FCM-CNN) approach has been proposed. The aim of this study has been segmented the tumors in high performance by using Super Resolution Fuzzy-C-Means (SR-FCM) approach for tumor detection from brain MR images. Afterward, feature extraction and pretrained SqueezeNet architecture from convolutional neural network (CNN) architectures and classification process with extreme learning machine (ELM) were performed. In the experimental studies, it has been determined that brain tumors have been better segmented and removed using SR-FCM method. Using the SquezeeNet architecture, features were extracted from a smaller neural network model with fewer parameters. In the proposed method, 98.33% accuracy rate has been detected in the diagnosis of segmented brain tumors using SR-FCM. This rate is greater 10% than the rate of recognition of brain tumors segmented with fuzzy C-means (FCM) without SR.</t>
  </si>
  <si>
    <t>Deep Convolution Neural Network for Malignancy Detection and Classification in Microscopic Uterine Cervix Cell Images</t>
  </si>
  <si>
    <t>OBJECTIVE: Automated Pap smear cervical screening is one of the most effective imaging based cancer detection&lt;br /&gt; tools used for categorizing cervical cell images as normal and abnormal. Traditional classification methods depend on&lt;br /&gt; hand-engineered features and show limitations in large, diverse datasets. Effective feature extraction requires an efficient&lt;br /&gt; image preprocessing and segmentation, which remains prominent challenge in the field of Pathology. In this paper, a&lt;br /&gt; deep learning concept is used for cell image classification in large datasets. METHODS: This relatively proposed novel&lt;br /&gt; method, combines abstract and complicated representations of data acquired in a hierarchical architecture. Convolution&lt;br /&gt; Neural Network (CNN) learns meaningful kernels that simulate the extraction of visual features such as edges, size,&lt;br /&gt; shape and colors in image classification. A deep prediction model is built using such a CNN network to classify the&lt;br /&gt; various grades of cancer: normal, mild, moderate, severe and carcinoma. It is an effective computational model which&lt;br /&gt; uses multiple processing layers to learn complex features. A large dataset is prepared for this study by systematically&lt;br /&gt; augmenting the images in Herlev dataset. RESULT: Among the three sets considered for the study, the first set of single&lt;br /&gt; cell enhanced original images achieved an accuracy of 94.1% for 5 class, 96.2% for 4 class, 94.8% for 3 class and&lt;br /&gt; 95.7% for 2 class problems. The second set includes contour extracted images showed an accuracy of 92.14%, 92.9%,&lt;br /&gt; 94.7% and 89.9% for 5, 4, 3 and 2 class problems. The third set of binary images showed 85.07% for 5 class, 84%&lt;br /&gt; for 4 class, 92.07% for 3 class and highest accuracy of 99.97% for 2 class problems. CONCLUSION: The experimental&lt;br /&gt; results of the proposed model showed an effective classification of different grades of cancer in cervical cell images,&lt;br /&gt; exhibiting the extensive potential of deep learning in Pap smear cell image classification.</t>
  </si>
  <si>
    <t>10.1016/j.compbiomed.2020.104003</t>
  </si>
  <si>
    <t>A comprehensive review of deep learning in colon cancer</t>
  </si>
  <si>
    <t>Deep learning has emerged as a leading machine learning tool in object detection and has attracted attention with its achievements in progressing medical image analysis. Convolutional Neural Networks (CNNs) are the most preferred method of deep learning algorithms for this purpose and they have an essential role in the detection and potential early diagnosis of colon cancer. In this article, we hope to bring a perspective to progress in this area by reviewing deep learning practices for colon cancer analysis. This study first presents an overview of popular deep learning architectures used in colon cancer analysis. After that, all studies related to colon cancer analysis are collected under the field of colon cancer and deep learning, then they are divided into five categories that are detection, classification, segmentation, survival prediction, and inflammatory bowel diseases. Then, the studies collected under each category are summarized in detail and listed. We conclude our work with a summary of recent deep learning practices for colon cancer analysis, a critical discussion of the challenges faced, and suggestions for future research. This study differs from other studies by including 135 recent academic papers, separating colon cancer into five different classes, and providing a comprehensive structure. We hope that this study is beneficial to researchers interested in using deep learning techniques for the diagnosis of colon cancer.</t>
  </si>
  <si>
    <t>Quantifying deep grey matter atrophy using automated segmentation approaches: A systematic review of structural MRI studies</t>
  </si>
  <si>
    <t>The deep grey matter (DGM) nuclei of the brain play a crucial role in learning, behaviour, cognition, movement and memory. Although automated segmentation strategies can provide insight into the impact of multiple neurological conditions affecting these structures, such as Multiple Sclerosis (MS), Huntington's disease (HD), Alzheimer's disease (AD), Parkinson's disease (PD) and Cerebral Palsy (CP), there are a number of technical challenges limiting an accurate automated segmentation of the DGM. Namely, the insufficient contrast of T1 sequences to completely identify the boundaries of these structures, as well as the presence of iso-intense white matter lesions or extensive tissue loss caused by brain injury. Therefore in this systematic review, 269 eligible studies were analysed and compared to determine the optimal approaches for addressing these technical challenges. The automated approaches used among the reviewed studies fall into three broad categories, atlas-based approaches focusing on the accurate alignment of atlas priors, algorithmic approaches which utilise intensity information to a greater extent, and learning-based approaches that require an annotated training set. Studies that utilise freely available software packages such as FIRST, FreeSurfer and LesionTOADS were also eligible, and their performance compared. Overall, deep learning approaches achieved the best overall performance, however these strategies are currently hampered by the lack of large-scale annotated data. Improving model generalisability to new datasets could be achieved in future studies with data augmentation and transfer learning. Multi-atlas approaches provided the second-best performance overall, and may be utilised to construct a silver standard annotated training set for deep learning. To address the technical challenges, providing robustness to injury can be improved by using multiple channels, highly elastic diffeomorphic transformations such as LDDMM, and by following atlas-based approaches with an intensity driven refinement of the segmentation, which has been done with the Expectation Maximisation (EM) and level sets methods. Accounting for potential lesions should be achieved with a separate lesion segmentation approach, as in LesionTOADS. Finally, to address the issue of limited contrast, R2*, T2* and QSM sequences could be used to better highlight the DGM due to its higher iron content. Future studies could look to additionally acquire these sequences by retaining the phase information from standard structural scans, or alternatively acquiring these sequences for only a training set, allowing models to learn the improved segmentation from T1-sequences alone.</t>
  </si>
  <si>
    <t>10.7507/1001-5515.201803025</t>
  </si>
  <si>
    <t>[Applications of generative adversarial networks in medical image processing]</t>
  </si>
  <si>
    <t>In recent years, researchers have introduced various methods in many domains into medical image processing so that its effectiveness and efficiency can be improved to some extent. The applications of generative adversarial networks (GAN) in medical image processing are evolving very fast. In this paper, the state of the art in this area has been reviewed. Firstly, the basic concepts of the GAN were introduced. And then, from the perspectives of the medical image denoising, detection, segmentation, synthesis, reconstruction and classification, the applications of the GAN were summarized. Finally, prospects for further research in this area were presented.</t>
  </si>
  <si>
    <t>Generalizable Inter-Institutional Classification of Abnormal Chest Radiographs Using Efficient Convolutional Neural Networks</t>
  </si>
  <si>
    <t>Our objective is to evaluate the effectiveness of efficient convolutional neural networks (CNNs) for abnormality detection in chest radiographs and investigate the generalizability of our models on data from independent sources. We used the National Institutes of Health ChestX-ray14 (NIH-CXR) and the Rhode Island Hospital chest radiograph (RIH-CXR) datasets in this study. Both datasets were split into training, validation, and test sets. The DenseNet and MobileNetV2 CNN architectures were used to train models on each dataset to classify chest radiographs into normal or abnormal categories; models trained on NIH-CXR were designed to also predict the presence of 14 different pathological findings. Models were evaluated on both NIH-CXR and RIH-CXR test sets based on the area under the receiver operating characteristic curve (AUROC). DenseNet and MobileNetV2 models achieved AUROCs of 0.900 and 0.893 for normal versus abnormal classification on NIH-CXR and AUROCs of 0.960 and 0.951 on RIH-CXR. For the 14 pathological findings in NIH-CXR, MobileNetV2 achieved an AUROC within 0.03 of DenseNet for each finding, with an average difference of 0.01. When externally validated on independently collected data (e.g., RIH-CXR-trained models on NIH-CXR), model AUROCs decreased by 3.6-5.2% relative to their locally trained counterparts. MobileNetV2 achieved comparable performance to DenseNet in our analysis, demonstrating the efficacy of efficient CNNs for chest radiograph abnormality detection. In addition, models were able to generalize to external data albeit with performance decreases that should be taken into consideration when applying models on data from different institutions.</t>
  </si>
  <si>
    <t>Tumor segmentation in automated whole breast ultrasound using bidirectional LSTM neural network and attention mechanism</t>
  </si>
  <si>
    <t>Accurate breast mass segmentation of automated breast ultrasound (ABUS) is a great help to breast cancer diagnosis and treatment. However, the lack of clear boundary and significant variation in mass shapes make the automatic segmentation very challenging. In this paper, a novel automatic tumor segmentation method SC-FCN-BLSTM is proposed by incorporating bi-directional long short-term memory (BLSTM) and spatial-channel attention (SC-attention) module into fully convolutional network (FCN). In order to decrease performance degradation caused by ambiguous boundaries and varying tumor sizes, an SC-attention module is designed to integrate both finer-grained spatial information and rich semantic information. Since ABUS is three-dimensional data, utilizing inter-slice context can improve segmentation performance. A BLSTM module with SC-attention is constructed to model the correlation between slices, which employs inter-slice context to assist segmentation for false positive elimination. The proposed method is verified on our private ABUS dataset of 124 patients with 170 volumes, including 3636 2D labeled slices. The Dice similarity coefficient (DSC), Recall, Precision and Hausdorff distance (HD) of the proposed method are 0.8178, 0.8067, 0.8292 and 11.1367. Experimental results demonstrate that the proposed method offered improved segmentation results compared with existing deep learning-based methods.</t>
  </si>
  <si>
    <t>Ultrasonics</t>
  </si>
  <si>
    <t>Technical Note: Impact on central frequency and noise magnitude ratios by advanced CT image reconstruction techniques</t>
  </si>
  <si>
    <t>PURPOSE: We use central frequency ratio and noise magnitude ratio from noise power spectrum (NPS) to evaluate the noise reduction techniques of ASiR and ASiR-V of GE, SAFIRE and ADMIRE of Siemens, and PixelShine of AlgoMedica. ASiR, ASiR-V, SAFIRE and ADMIRE use a combination of image and projection data whereas PixelShine uses artificial intelligence neural network for noise reduction. METHODS AND MATERIALS: The homogeneous module of the ACR computed tomography (CT) phantom was scanned on a GE Revolution HD 64-slice CT for ASiR and ASiR-V, a Siemens Somatom Force for ADMIRE, and a Siemens Definition AS 64-slice for SAFIRE for NPS calculation. The baseline filtered back-projection (FBP) reconstructions were derived from the standard kernel on Revolution HD, Hr44f on Force and D40s on Definition AS. The central frequency ratio (CFR) indicates the degree of shift in the central frequency of NPS after noise reduction. A smaller CFR means a larger shift of the NPS curve, or a larger degree of image blurring. The noise magnitude ratio (NMR) indicates the amount of noise removed. A smaller NMR means a larger degree of noise reduction. An ideal noise reduction shall maintain a CFR close to 1 and a NMR close to 0. RESULTS: The ideal noise reduction by increasing radiation exposure did not shift the central frequency when the image noise was reduced. PixelShine was the closest to the ideal noise reduction in CFR, and was followed by SAFIRE, ASiR-V, ADMIRE and ASiR, in sequence. Similarly, PixelShine had the smallest NMR, and was followed by SAFIRE, ASiR-V, ADMIRE and ASiR in sequence. Overall, PixelShine had the least central frequency shift for the same amount of noise reduction or the most noise reduction for the same amount of central frequency shift. For the same CFR, ASiR-V reduced more noise than ASiR; and SAFIRE reduced more noise than ADMIRE. CONCLUSIONS: We introduced two new parameters of CFR and NMR from NPS to compare the reconstructions from different manufacturers. PixelShine had the least central frequency shift for the same amount of noise reduction or the most noise reduction for the same amount of central frequency shift. For the same central frequency shift, ASiR-V reduced more noise than ASiR, and SAFIRE reduced more noise than ADMIRE.</t>
  </si>
  <si>
    <t>Evaluation of a computer-aided method for measuring the Cobb angle on chest X-rays</t>
  </si>
  <si>
    <t>OBJECTIVES: To automatically measure the Cobb angle and diagnose scoliosis on chest X-rays, a computer-aided method was proposed and the reliability and accuracy were evaluated. METHODS: Two Mask R-CNN models as the core of a computer-aided method were used to separately detect and segment the spine and all vertebral bodies on chest X-rays, and the Cobb angle of the spinal curve was measured from the output of the Mask R-CNN models. To evaluate the reliability and accuracy of the computer-aided method, the Cobb angles on 248 chest X-rays from lung cancer screening were measured automatically using a computer-aided method, and two experienced radiologists used a manual method to separately measure Cobb angles on the aforementioned chest X-rays. RESULTS: For manual measurement of the Cobb angle on chest X-rays, the intraclass correlation coefficients (ICC) of intra- and inter-observer reliability analysis was 0.941 and 0.887, respectively, and the mean absolute differences were &lt; 3.5°. The ICC between the computer-aided and manual methods for Cobb angle measurement was 0.854, and the mean absolute difference was 3.32°. These results indicated that the computer-aided method had good reliability for Cobb angle measurement on chest X-rays. Using the mean value of Cobb angles in manual measurements &gt; 10° as a reference standard for scoliosis, the computer-aided method achieved a high level of sensitivity (89.59%) and a relatively low level of specificity (70.37%) for diagnosing scoliosis on chest X-rays. CONCLUSION: The computer-aided method has potential for automatic Cobb angle measurement and scoliosis diagnosis on chest X-rays. These slides can be retrieved under Electronic Supplementary Material.</t>
  </si>
  <si>
    <t>Automatic opportunistic osteoporosis screening using low-dose chest computed tomography scans obtained for lung cancer screening</t>
  </si>
  <si>
    <t>OBJECTIVE: Osteoporosis is a prevalent and treatable condition, but it remains underdiagnosed. In this study, a deep learning-based system was developed to automatically measure bone mineral density (BMD) for opportunistic osteoporosis screening using low-dose chest computed tomography (LDCT) scans obtained for lung cancer screening. METHODS: First, a deep learning model was trained and tested with 200 annotated LDCT scans to segment and label all vertebral bodies (VBs). Then, the mean CT numbers of the trabecular area of target VBs were obtained based on the segmentation mask through geometric operations. Finally, a linear function was built to map the trabecular CT numbers of target VBs to their BMDs collected from approved software used for osteoporosis diagnosis. The diagnostic performance of the developed system was evaluated using an independent dataset of 374 LDCT scans with standard BMDs and osteoporosis diagnosis. RESULTS: Our deep learning model achieved a mean Dice coefficient of 86.6% for VB segmentation and 97.5% accuracy for VB labeling. Line regression and Bland-Altman analyses showed good agreement between the predicted BMD and the ground truth, with correlation coefficients of 0.964-0.968 and mean errors of 2.2-4.0 mg/cm(3). The area under the curve (AUC) was 0.927 for detecting osteoporosis and 0.942 for distinguishing low BMD. CONCLUSION: The proposed deep learning-based system demonstrated the potential to automatically perform opportunistic osteoporosis screening using LDCT scans obtained for lung cancer screening. KEY POINTS: • Osteoporosis is a prevalent but underdiagnosed condition that can increase the risk of fracture. • A deep learning-based system was developed to fully automate bone mineral density measurement in low-dose chest computed tomography scans. • The developed system achieved high accuracy for automatic opportunistic osteoporosis screening using low-dose chest computed tomography scans obtained for lung cancer screening.</t>
  </si>
  <si>
    <t>AI in Medical Imaging Informatics: Current Challenges and Future Directions</t>
  </si>
  <si>
    <t>This paper reviews state-of-the-art research solutions across the spectrum of medical imaging informatics, discusses clinical translation, and provides future directions for advancing clinical practice. More specifically, it summarizes advances in medical imaging acquisition technologies for different modalities, highlighting the necessity for efficient medical data management strategies in the context of AI in big healthcare data analytics. It then provides a synopsis of contemporary and emerging algorithmic methods for disease classification and organ/ tissue segmentation, focusing on AI and deep learning architectures that have already become the de facto approach. The clinical benefits of in-silico modelling advances linked with evolving 3D reconstruction and visualization applications are further documented. Concluding, integrative analytics approaches driven by associate research branches highlighted in this study promise to revolutionize imaging informatics as known today across the healthcare continuum for both radiology and digital pathology applications. The latter, is projected to enable informed, more accurate diagnosis, timely prognosis, and effective treatment planning, underpinning precision medicine.</t>
  </si>
  <si>
    <t>Radiogenomics for Precision Medicine With a Big Data Analytics Perspective</t>
  </si>
  <si>
    <t>Precision medicine promises better healthcare delivery by improving clinical practice. Using evidence-based substratification of patients, the objective is to achieve better prognosis, diagnosis, and treatment that will transform existing clinical pathways toward optimizing care for the specific needs of each patient. The wealth of today's healthcare data, often characterized as big data, provides invaluable resources toward new knowledge discovery that has the potential to advance precision medicine. The latter requires interdisciplinary efforts that will capitalize the information, know-how, and medical data of newly formed groups fusing different backgrounds and expertise. The objective of this paper is to provide insights with respect to the state-of-the-art research in precision medicine. More specifically, our goal is to highlight the fundamental challenges in emerging fields of radiomics and radiogenomics by reviewing the case studies of Cancer and Alzheimer's disease, describe the computational challenges from a big data analytics perspective, and discuss standardization and open data initiatives that will facilitate the adoption of precision medicine methods and practices.</t>
  </si>
  <si>
    <t>Real-time Concealed Object Detection from Passive Millimeter Wave Images Based on the YOLOv3 Algorithm</t>
  </si>
  <si>
    <t>The detection of objects concealed under people's clothing is a very challenging task, which has crucial applications for security. When testing the human body for metal contraband, the concealed targets are usually small in size and are required to be detected within a few seconds. Focusing on weapon detection, this paper proposes using a real-time detection method for detecting concealed metallic weapons on the human body applied to passive millimeter wave (PMMW) imagery based on the You Only Look Once (YOLO) algorithm, YOLOv3, and a small sample dataset. The experimental results from YOLOv3-13, YOLOv3-53, and Single Shot MultiBox Detector (SSD) algorithm, SSD-VGG16, are compared ultimately, using the same PMMW dataset. For the perspective of detection accuracy, detection speed, and computation resource, it shows that the YOLOv3-53 model had a detection speed of 36 frames per second (FPS) and a mean average precision (mAP) of 95% on a GPU-1080Ti computer, more effective and feasible for the real-time detection of weapon contraband on human body for PMMW images, even with small sample data.</t>
  </si>
  <si>
    <t>A novel YOLOv3-arch model for identifying cholelithiasis and classifying gallstones on CT images</t>
  </si>
  <si>
    <t>Locating diseases precisely from medical images, like ultrasonic and CT images, have been one of the most challenging problems in medical image analysis. In recent years, the vigorous development of deep learning models have greatly improved the accuracy in disease location on medical images. However, there are few artificial intelligent methods for identifying cholelithiasis and classifying gallstones on CT images, since no open source CT images dataset of cholelithiasis and gallstones is available for training the models and verifying their performance. In this paper, we build up the first medical image dataset of cholelithiasis by collecting 223846 CT images with gallstone of 1369 patients. With these CT images, a neural network is trained to pick up CT images of high quality as training set, and then a novel Yolo neural network, named Yolov3-arch neural network, is proposed to identify cholelithiasis and classify gallstones on CT images. Identification and classification accuracies are obtained by 10-fold cross-validations. It is obtained that our Yolov3-arch model is with average accuracy 92.7% in identifying granular gallstones and average accuracy 80.3% in identifying muddy gallstones. This achieves 3.5% and 8% improvements in identifying granular and muddy gallstones to general Yolo v3 model, respectively. Also, the average cholelithiasis identifying accuracy is improved to 86.50% from 80.75%. Meanwhile, our method can reduce the misdiagnosis rate of negative samples by the object detection model.</t>
  </si>
  <si>
    <t>S. Pang, T. Ding, S. Qiao, F. Meng, S. Wang, P. Li and X. Wang</t>
  </si>
  <si>
    <t>A novel fused convolutional neural network for biomedical image classification</t>
  </si>
  <si>
    <t>With the advent of biomedical imaging technology, the number of captured and stored biomedical images is rapidly increasing day by day in hospitals, imaging laboratories and biomedical institutions. Therefore, more robust biomedical image analysis technology is needed to meet the requirement of the diagnosis and classification of various kinds of diseases using biomedical images. However, the current biomedical image classification methods and general non-biomedical image classifiers cannot extract more compact biomedical image features or capture the tiny differences between similar images with different types of diseases from the same category. In this paper, we propose a novel fused convolutional neural network to develop a more accurate and highly efficient classifier for biomedical images, which combines shallow layer features and deep layer features from the proposed deep neural network architecture. In the analysis, it was observed that the shallow layers provided more detailed local features, which could distinguish different diseases in the same category, while the deep layers could convey more high-level semantic information used to classify the diseases among the various categories. A detailed comparison of our approach with traditional classification algorithms and popular deep classifiers across several public biomedical image datasets showed the superior performance of our proposed method for biomedical image classification. In addition, we also evaluated the performance of our method in modality classification of medical images using the ImageCLEFmed dataset. Graphical abstract The graphical abstract shows the fused, deep convolutional neural network architecture proposed for biomedical image classification. In the architecture, we can clearly see the feature-fusing process going from shallow layers and the deep layers.</t>
  </si>
  <si>
    <t>S. Pang, A. Du, M. A. Orgun and Z. Yu</t>
  </si>
  <si>
    <t>Hippocampus Segmentation Based on Iterative Local Linear Mapping With Representative and Local Structure-Preserved Feature Embedding</t>
  </si>
  <si>
    <t>Hippocampus segmentation plays a significant role in mental disease diagnoses, such as Alzheimer's disease, epilepsy, and so on. Patch-based multi-atlas segmentation (PBMAS) approach is a popular method for hippocampus segmentation and has achieved a promising result. However, the PBMAS approach needs high computation cost due to registration and the segmentation accuracy is subject to the registration accuracy. In this paper, we propose a novel method based on iterative local linear mapping (ILLM) with the representative and local structure-preserved feature embedding to achieve accurate and robust hippocampus segmentation with no need for registration. In the proposed approach, semi-supervised deep autoencoder (SSDA) exploits unsupervised deep autoencoder and local structure-preserved manifold regularization to nonlinearly transform the extracted magnetic resonance (MR) patch to embedded feature manifold, whose adjacent relationship is similar to the signed distance map (SDM) patch manifold. Local linear mapping is used to preliminarily predict SDM patch corresponding to the MR patch. Subsequently, threshold segmentation generates a preliminary segmentation. The ILLM refines the segmentation result iteratively by ensuring the local constraints of embedded feature manifold and SDM patch manifold using a space-constrained dictionary update. Thus, a refined segmentation is obtained with no need for registration. The experiments on 135 subjects from ADNI dataset show that the proposed approach is superior to the state-of-the-art PBMAS and classification-based approaches with mean Dice similarity coefficients of 0.8852±0.0203 and 0.8783 ± 0.0251 for bilateral hippocampus segmentation of 1.5T and 3.0T datasets, respectively.</t>
  </si>
  <si>
    <t>A novel biomedical image indexing and retrieval system via deep preference learning</t>
  </si>
  <si>
    <t>BACKGROUND AND OBJECTIVES: The traditional biomedical image retrieval methods as well as content-based image retrieval (CBIR) methods originally designed for non-biomedical images either only consider using pixel and low-level features to describe an image or use deep features to describe images but still leave a lot of room for improving both accuracy and efficiency. In this work, we propose a new approach, which exploits deep learning technology to extract the high-level and compact features from biomedical images. The deep feature extraction process leverages multiple hidden layers to capture substantial feature structures of high-resolution images and represent them at different levels of abstraction, leading to an improved performance for indexing and retrieval of biomedical images. METHODS: We exploit the current popular and multi-layered deep neural networks, namely, stacked denoising autoencoders (SDAE) and convolutional neural networks (CNN) to represent the discriminative features of biomedical images by transferring the feature representations and parameters of pre-trained deep neural networks from another domain. Moreover, in order to index all the images for finding the similarly referenced images, we also introduce preference learning technology to train and learn a kind of a preference model for the query image, which can output the similarity ranking list of images from a biomedical image database. To the best of our knowledge, this paper introduces preference learning technology for the first time into biomedical image retrieval. RESULTS: We evaluate the performance of two powerful algorithms based on our proposed system and compare them with those of popular biomedical image indexing approaches and existing regular image retrieval methods with detailed experiments over several well-known public biomedical image databases. Based on different criteria for the evaluation of retrieval performance, experimental results demonstrate that our proposed algorithms outperform the state-of-the-art techniques in indexing biomedical images. CONCLUSIONS: We propose a novel and automated indexing system based on deep preference learning to characterize biomedical images for developing computer aided diagnosis (CAD) systems in healthcare. Our proposed system shows an outstanding indexing ability and high efficiency for biomedical image retrieval applications and it can be used to collect and annotate the high-resolution images in a biomedical database for further biomedical image research and applications.</t>
  </si>
  <si>
    <t>S. Pang, M. A. Orgun and Z. Yu</t>
  </si>
  <si>
    <t>Direct automated quantitative measurement of spine by cascade amplifier regression network with manifold regularization</t>
  </si>
  <si>
    <t>Automated quantitative measurement of the spine (i.e., multiple indices estimation of heights, widths, areas, and so on for the vertebral body and disc) plays a significant role in clinical spinal disease diagnoses and assessments, such as osteoporosis, intervertebral disc degeneration, and lumbar disc herniation, yet still an unprecedented challenge due to the variety of spine structure and the high dimensionality of indices to be estimated. In this paper, we propose a novel cascade amplifier regression network (CARN) with manifold regularization including local structure-preserved manifold regularization (LSPMR) and adaptive local shape-constrained manifold regularization (ALSCMR), to achieve accurate direct automated multiple indices estimation. The CARN architecture is composed of a cascade amplifier network (CAN) for expressive feature embedding and a linear regression model for multiple indices estimation. The CAN produces an expressive feature embedding by cascade amplifier units (AUs), which are used for selective feature reuse by stimulating effective feature and suppressing redundant feature during propagating feature map between adjacent layers. During training, the LSPMR is employed to obtain discriminative feature embedding by preserving the local geometric structure of the latent feature space similar to the target output manifold. The ALSCMR is utilized to alleviate overfitting and generate realistic estimation by learning the multiple indices distribution. Experiments on T1-weighted MR images of 215 subjects and T2-weighted MR images of 20 subjects show that the proposed approach achieves impressive performance with mean absolute errors of 1.22 ± 1.04 mm and 1.24 ± 1.07 mm for the 30 lumbar spinal indices estimation of the T1-weighted and T2-weighted spinal MR images respectively. The proposed method has great potential in clinical spinal disease diagnoses and assessments.</t>
  </si>
  <si>
    <t>An artificial intelligent diagnostic system on mobile Android terminals for cholelithiasis by lightweight convolutional neural network</t>
  </si>
  <si>
    <t>Artificial intelligence (AI) tools have been applied to diagnose or predict disease risk from medical images with recent data disclosure actions, but few of them are designed for mobile terminals due to the limited computational power and storage capacity of mobile devices. In this work, a novel AI diagnostic system is proposed for cholelithiasis recognition on mobile devices with Android platform. To this aim, a data set of CT images of cholelithiasis is firstly collected from The Third Hospital of Shandong Province, China, and then we technically use histogram equalization to preprocess these CT images. As results, a lightweight convolutional neural network is obtained in a constructive way to extract cholelith features and recognize gallstones. In terms of implementation, we compile Java and C++ to adapt to the application of deep learning algorithm on mobile devices with Android platform. Noted that, the training task is completed offline on PC, but cholelithiasis recognition tasks are performed on mobile terminals. We evaluate and compare the performance of our MobileNetV2 with MobileNetV1, Single Shot Detector (SSD), YOLOv2 and original SSD (with VGG-16) as feature extractors for object detection. It is achieved that our MobileNetV2 achieve similar accuracy rate, about 91% with the other four methods, but the number of parameters used is reduced from 36.1M (SSD 300, SSD512), 50.7M (Yolov2) and 5.1M (MobileNetV1) to 4.3M (MobileNetV2). The complete process on testing mobile devices, including Virtual machine, Xiaomi 7 and Htc One M8 can be controlled within 4 seconds in recognizing cholelithiasis as well as the degree of the disease.</t>
  </si>
  <si>
    <t>S. Pang, S. Wang, A. Rodríguez-Patón, P. Li and X. Wang</t>
  </si>
  <si>
    <t>A novel end-to-end classifier using domain transferred deep convolutional neural networks for biomedical images</t>
  </si>
  <si>
    <t>BACKGROUND AND OBJECTIVES: Highly accurate classification of biomedical images is an essential task in the clinical diagnosis of numerous medical diseases identified from those images. Traditional image classification methods combined with hand-crafted image feature descriptors and various classifiers are not able to effectively improve the accuracy rate and meet the high requirements of classification of biomedical images. The same also holds true for artificial neural network models directly trained with limited biomedical images used as training data or directly used as a black box to extract the deep features based on another distant dataset. In this study, we propose a highly reliable and accurate end-to-end classifier for all kinds of biomedical images via deep learning and transfer learning. METHODS: We first apply domain transferred deep convolutional neural network for building a deep model; and then develop an overall deep learning architecture based on the raw pixels of original biomedical images using supervised training. In our model, we do not need the manual design of the feature space, seek an effective feature vector classifier or segment specific detection object and image patches, which are the main technological difficulties in the adoption of traditional image classification methods. Moreover, we do not need to be concerned with whether there are large training sets of annotated biomedical images, affordable parallel computing resources featuring GPUs or long times to wait for training a perfect deep model, which are the main problems to train deep neural networks for biomedical image classification as observed in recent works. RESULTS: With the utilization of a simple data augmentation method and fast convergence speed, our algorithm can achieve the best accuracy rate and outstanding classification ability for biomedical images. We have evaluated our classifier on several well-known public biomedical datasets and compared it with several state-of-the-art approaches. CONCLUSIONS: We propose a robust automated end-to-end classifier for biomedical images based on a domain transferred deep convolutional neural network model that shows a highly reliable and accurate performance which has been confirmed on several public biomedical image datasets.</t>
  </si>
  <si>
    <t>S. Pang, Z. Yu and M. A. Orgun</t>
  </si>
  <si>
    <t>A deep learning and grad-CAM based color visualization approach for fast detection of COVID-19 cases using chest X-ray and CT-Scan images</t>
  </si>
  <si>
    <t>The world is suffering from an existential global health crisis known as the COVID-19 pandemic. Countries like India, Bangladesh, and other developing countries are still having a slow pace in the detection of COVID-19 cases. Therefore, there is an urgent need for fast detection with clear visualization of infection is required using which a suspected patient of COVID-19 could be saved. In the recent technological advancements, the fusion of deep learning classifiers and medical images provides more promising results corresponding to traditional RT-PCR testing while making detection and predictions about COVID-19 cases with increased accuracy. In this paper, we have proposed a deep transfer learning algorithm that accelerates the detection of COVID-19 cases by using X-ray and CT-Scan images of the chest. It is because, in COVID-19, initial screening of chest X-ray (CXR) may provide significant information in the detection of suspected COVID-19 cases. We have considered three datasets known as 1) COVID-chest X-ray, 2) SARS-COV-2 CT-scan, and 3) Chest X-Ray Images (Pneumonia). In the obtained results, the proposed deep learning model can detect the COVID-19 positive cases in  ≤  2 seconds which is faster than RT-PCR tests currently being used for detection of COVID-19 cases. We have also established a relationship between COVID-19 patients along with the Pneumonia patients which explores the pattern between Pneumonia and COVID-19 radiology images. In all the experiments, we have used the Grad-CAM based color visualization approach in order to clearly interpretate the detection of radiology images and taking further course of action.</t>
  </si>
  <si>
    <t>Chaos Solitons Fractals</t>
  </si>
  <si>
    <t>Deep learning opens new horizons in personalized medicine</t>
  </si>
  <si>
    <t>Although the idea of the personalization of patient care dates back to the time of Hippocrates, recent advances in diagnostic medical imaging and molecular medicine are gradually transforming healthcare services, by offering information and diagnostic tools enabling individualized patient management. Facilitating personalized / precision medicine requires taking into account multiple heterogenous parameters, such as sociodemographics, gene variability, environmental and lifestyle factors. Therefore, one of the most critical challenges in personalized medicine is the need to transform large, multi-modal data into decision support tools, capable of bridging the translational gap to the clinical setting. Towards these challenges, deep learning (DL) provides a novel approach, which enables obtaining or developing high-accuracy, multi-modal predictive models, that allow the implementation of the personalized medicine vision in the near future. DL is a highly effective strategy in addressing these challenges, with DL-based models leading to unprecedented results, matching or even improving state-of-the-art prediction/detection rates based on both intuitive and non-intuitive disease descriptors. These results hold promise for significant socio-economic benefits from the application of DL personalized medicine.</t>
  </si>
  <si>
    <t>Biomed Rep</t>
  </si>
  <si>
    <t>Bone metastasis is one of the most frequent diseases in prostate cancer; scintigraphy imaging is particularly important for the clinical diagnosis of bone metastasis. Up to date, minimal research has been conducted regarding the application of machine learning with emphasis on modern efficient convolutional neural networks (CNNs) algorithms, for the diagnosis of prostate cancer metastasis from bone scintigraphy images. The advantageous and outstanding capabilities of deep learning, machine learning's groundbreaking technological advancement, have not yet been fully investigated regarding their application in computer-aided diagnosis systems in the field of medical image analysis, such as the problem of bone metastasis classification in whole-body scans. In particular, CNNs are gaining great attention due to their ability to recognize complex visual patterns, in the same way as human perception operates. Considering all these new enhancements in the field of deep learning, a set of simpler, faster and more accurate CNN architectures, designed for classification of metastatic prostate cancer in bones, is explored. This research study has a two-fold goal: to create and also demonstrate a set of simple but robust CNN models for automatic classification of whole-body scans in two categories, malignant (bone metastasis) or healthy, using solely the scans at the input level. Through a meticulous exploration of CNN hyper-parameter selection and fine-tuning, the best architecture is selected with respect to classification accuracy. Thus a CNN model with improved classification capabilities for bone metastasis diagnosis is produced, using bone scans from prostate cancer patients. The achieved classification testing accuracy is 97.38%, whereas the average sensitivity is approximately 95.8%. Finally, the best-performing CNN method is compared to other popular and well-known CNN architectures used for medical imaging, like VGG16, ResNet50, GoogleNet and MobileNet. The classification results show that the proposed CNN-based approach outperforms the popular CNN methods in nuclear medicine for metastatic prostate cancer diagnosis in bones.</t>
  </si>
  <si>
    <t>Efficient Bone Metastasis Diagnosis in Bone Scintigraphy Using a Fast Convolutional Neural Network Architecture</t>
  </si>
  <si>
    <t>(1) Background: Bone metastasis is among diseases that frequently appear in breast, lung and prostate cancer; the most popular imaging method of screening in metastasis is bone scintigraphy and presents very high sensitivity (95%). In the context of image recognition, this work investigates convolutional neural networks (CNNs), which are an efficient type of deep neural networks, to sort out the diagnosis problem of bone metastasis on prostate cancer patients; (2) Methods: As a deep learning model, CNN is able to extract the feature of an image and use this feature to classify images. It is widely applied in medical image classification. This study is devoted to developing a robust CNN model that efficiently and fast classifies bone scintigraphy images of patients suffering from prostate cancer, by determining whether or not they develop metastasis of prostate cancer. The retrospective study included 778 sequential male patients who underwent whole-body bone scans. A nuclear medicine physician classified all the cases into three categories: (a) benign, (b) malignant and (c) degenerative, which were used as gold standard; (3) Results: An efficient and fast CNN architecture was built, based on CNN exploration performance, using whole body scintigraphy images for bone metastasis diagnosis, achieving a high prediction accuracy. The results showed that the method is sufficiently precise when it comes to differentiate a bone metastasis case from other either degenerative changes or normal tissue cases (overall classification accuracy = 91.61% ± 2.46%). The accuracy of prostate patient cases identification regarding normal, malignant and degenerative changes was 91.3%, 94.7% and 88.6%, respectively. To strengthen the outcomes of this study the authors further compared the best performing CNN method to other popular CNN architectures for medical imaging, like ResNet50, VGG16, GoogleNet and MobileNet, as clearly reported in the literature; and (4) Conclusions: The remarkable outcome of this study is the ability of the method for an easier and more precise interpretation of whole-body images, with effects on the diagnosis accuracy and decision making on the treatment to be applied.</t>
  </si>
  <si>
    <t>Development of Convolutional Neural Networks to identify bone metastasis for prostate cancer patients in bone scintigraphy</t>
  </si>
  <si>
    <t>OBJECTIVE: The main aim of this work is to build a robust Convolutional Neural Network (CNN) algorithm that efficiently and quickly classifies bone scintigraphy images, by determining the presence or absence of prostate cancer metastasis. METHODS: CNN, widely applied in medical image classification, was used for bone scintigraphy image classification. The retrospective study included 778 sequential male patients who underwent whole-body bone scans. A nuclear medicine physician classified all the cases into 3 categories: (1) normal, (2) malignant, and (3) degenerative, which were used as the gold standard. RESULTS: An efficient CNN architecture was built, based on CNN exploration performance, achieving high prediction accuracy. The results showed that the method is sufficiently precise when it comes to differentiating a bone metastasis from other either degenerative changes or normal tissue (overall classification accuracy = 91.42% ± 1.64%). To strengthen the outcomes of this study the authors further compared the best performing CNN method to other popular CNN architectures for medical imaging, like ResNet50, VGG16 and GoogleNet, as reported in the literature. CONCLUSIONS: The prediction results reveal the efficacy of the proposed CNN-based approach and its ability for an easier and more precise interpretation of whole-body images in bone metastasis diagnosis for prostate cancer patients in nuclear medicine. This leads to marked effects on the diagnostic accuracy and decision-making regarding the treatment to be applied.</t>
  </si>
  <si>
    <t>Ann Nucl Med</t>
  </si>
  <si>
    <t>Multiparametric deep learning tissue signatures for a radiological biomarker of breast cancer: Preliminary results</t>
  </si>
  <si>
    <t>PURPOSE: Deep learning is emerging in radiology due to the increased computational capabilities available to reading rooms. These computational developments have the ability to mimic the radiologist and may allow for more accurate tissue characterization of normal and pathological lesion tissue to assist radiologists in defining different diseases. We introduce a novel tissue signature model based on tissue characteristics in breast tissue from multiparametric magnetic resonance imaging (mpMRI). The breast tissue signatures are used as inputs in a stacked sparse autoencoder (SSAE) multiparametric deep learning (MPDL) network for segmentation of breast mpMRI. METHODS: We constructed the MPDL network from SSAE with 5 layers with 10 nodes at each layer. A total cohort of 195 breast cancer subjects were used for training and testing of the MPDL network. The cohort consisted of a training dataset of 145 subjects and an independent validation set of 50 subjects. After segmentation, we used a combined SAE-support vector machine (SAE-SVM) learning method for classification. Dice similarity (DS) metrics were calculated between the segmented MPDL and dynamic contrast enhancement (DCE) MRI-defined lesions. Sensitivity, specificity, and area under the curve (AUC) metrics were used to classify benign from malignant lesions. RESULTS: The MPDL segmentation resulted in a high DS of 0.87 ± 0.05 for malignant lesions and 0.84 ± 0.07 for benign lesions. The MPDL had excellent sensitivity and specificity of 86% and 86% with positive predictive and negative predictive values of 92% and 73%, respectively, and an AUC of 0.90. CONCLUSIONS: Using a new tissue signature model as inputs into the MPDL algorithm, we have successfully validated MPDL in a large cohort of subjects and achieved results similar to radiologists.</t>
  </si>
  <si>
    <t>Deep Learning-Assisted Diagnosis of Cerebral Aneurysms Using the HeadXNet Model</t>
  </si>
  <si>
    <t>IMPORTANCE: Deep learning has the potential to augment clinician performance in medical imaging interpretation and reduce time to diagnosis through automated segmentation. Few studies to date have explored this topic. OBJECTIVE: To develop and apply a neural network segmentation model (the HeadXNet model) capable of generating precise voxel-by-voxel predictions of intracranial aneurysms on head computed tomographic angiography (CTA) imaging to augment clinicians' intracranial aneurysm diagnostic performance. DESIGN, SETTING, AND PARTICIPANTS: In this diagnostic study, a 3-dimensional convolutional neural network architecture was developed using a training set of 611 head CTA examinations to generate aneurysm segmentations. Segmentation outputs from this support model on a test set of 115 examinations were provided to clinicians. Between August 13, 2018, and October 4, 2018, 8 clinicians diagnosed the presence of aneurysm on the test set, both with and without model augmentation, in a crossover design using randomized order and a 14-day washout period. Head and neck examinations performed between January 3, 2003, and May 31, 2017, at a single academic medical center were used to train, validate, and test the model. Examinations positive for aneurysm had at least 1 clinically significant, nonruptured intracranial aneurysm. Examinations with hemorrhage, ruptured aneurysm, posttraumatic or infectious pseudoaneurysm, arteriovenous malformation, surgical clips, coils, catheters, or other surgical hardware were excluded. All other CTA examinations were considered controls. MAIN OUTCOMES AND MEASURES: Sensitivity, specificity, accuracy, time, and interrater agreement were measured. Metrics for clinician performance with and without model augmentation were compared. RESULTS: The data set contained 818 examinations from 662 unique patients with 328 CTA examinations (40.1%) containing at least 1 intracranial aneurysm and 490 examinations (59.9%) without intracranial aneurysms. The 8 clinicians reading the test set ranged in experience from 2 to 12 years. Augmenting clinicians with artificial intelligence-produced segmentation predictions resulted in clinicians achieving statistically significant improvements in sensitivity, accuracy, and interrater agreement when compared with no augmentation. The clinicians' mean sensitivity increased by 0.059 (95% CI, 0.028-0.091; adjusted P = .01), mean accuracy increased by 0.038 (95% CI, 0.014-0.062; adjusted P = .02), and mean interrater agreement (Fleiss κ) increased by 0.060, from 0.799 to 0.859 (adjusted P = .05). There was no statistically significant change in mean specificity (0.016; 95% CI, -0.010 to 0.041; adjusted P = .16) and time to diagnosis (5.71 seconds; 95% CI, 7.22-18.63 seconds; adjusted P = .19). CONCLUSIONS AND RELEVANCE: The deep learning model developed successfully detected clinically significant intracranial aneurysms on CTA. This suggests that integration of an artificial intelligence-assisted diagnostic model may augment clinician performance with dependable and accurate predictions and thereby optimize patient care.</t>
  </si>
  <si>
    <t>A. Park, C. Chute, P. Rajpurkar, J. Lou, R. L. Ball, K. Shpanskaya, R. Jabarkheel, L. H. Kim, E. McKenna, J. Tseng, J. Ni, F. Wishah, F. Wittber, D. S. Hong, T. J. Wilson, S. Halabi, S. Basu, B. N. Patel, M. P. Lungren, A. Y. Ng and K. W. Yeom</t>
  </si>
  <si>
    <t>Can Artificial Intelligence Fix the Reproducibility Problem of Radiomics?</t>
  </si>
  <si>
    <t>C. M. Park</t>
  </si>
  <si>
    <t>Endometrium segmentation on transvaginal ultrasound image using key-point discriminator</t>
  </si>
  <si>
    <t>PURPOSE: Transvaginal ultrasound imaging provides useful information for diagnosing endometrial pathologies and reproductive health. Endometrium segmentation in transvaginal ultrasound (TVUS) images is very challenging due to ambiguous boundaries and heterogeneous textures. In this study, we developed a new segmentation framework which provides robust segmentation against ambiguous boundaries and heterogeneous textures of TVUS images. METHODS: To achieve endometrium segmentation from TVUS images, we propose a new segmentation framework with a discriminator guided by four key points of the endometrium (namely, the endometrium cavity tip, the internal os of the cervix, and the two thickest points between the two basal layers on the anterior and posterior uterine walls). The key points of the endometrium are defined as meaningful points that are related to the characteristics of the endometrial morphology, namely the length and thickness of the endometrium. In the proposed segmentation framework, the key-point discriminator distinguishes a predicted segmentation map from a ground-truth segmentation map according to the key-point maps. Meanwhile, the endometrium segmentation network predicts accurate segmentation results that the key-point discriminator cannot discriminate. In this adversarial way, the key-point information containing endometrial morphology characteristics is effectively incorporated in the segmentation network. The segmentation network can accurately find the segmentation boundary while the key-point discriminator learns the shape distribution of the endometrium. Moreover, the endometrium segmentation can be robust to the heterogeneous texture of the endometrium. We conducted an experiment on a TVUS dataset that contained 3,372 sagittal TVUS images and the corresponding key points. The dataset was collected by three hospitals (Ewha Woman's University School of Medicine, Asan Medical Center, and Yonsei University College of Medicine) with the approval of the three hospitals' Institutional Review Board. For verification, fivefold cross-validation was performed. RESULT: The proposed key-point discriminator improved the performance of the endometrium segmentation, achieving 82.67 % for the Dice coefficient and 70.46% for the Jaccard coefficient. In comparison, on the TVUS images UNet, showed 58.69 % for the Dice coefficient and 41.59 % for the Jaccard coefficient. The qualitative performance of the endometrium segmentation was also improved over the conventional deep learning segmentation networks. Our experimental results indicated robust segmentation by the proposed method on TVUS images with heterogeneous texture and unclear boundary. In addition, the effect of the key-point discriminator was verified by an ablation study. CONCLUSION: We proposed a key-point discriminator to train a segmentation network for robust segmentation of the endometrium with TVUS images. By utilizing the key-point information, the proposed method showed more reliable and accurate segmentation performance and outperformed the conventional segmentation networks both in qualitative and quantitative comparisons.</t>
  </si>
  <si>
    <t>H. Park, H. J. Lee, H. G. Kim, Y. M. Ro, D. Shin, S. R. Lee, S. H. Kim and M. Kong</t>
  </si>
  <si>
    <t>Development and Validation of a Deep Learning System for Segmentation of Abdominal Muscle and Fat on Computed Tomography</t>
  </si>
  <si>
    <t>OBJECTIVE: We aimed to develop and validate a deep learning system for fully automated segmentation of abdominal muscle and fat areas on computed tomography (CT) images. MATERIALS AND METHODS: A fully convolutional network-based segmentation system was developed using a training dataset of 883 CT scans from 467 subjects. Axial CT images obtained at the inferior endplate level of the 3rd lumbar vertebra were used for the analysis. Manually drawn segmentation maps of the skeletal muscle, visceral fat, and subcutaneous fat were created to serve as ground truth data. The performance of the fully convolutional network-based segmentation system was evaluated using the Dice similarity coefficient and cross-sectional area error, for both a separate internal validation dataset (426 CT scans from 308 subjects) and an external validation dataset (171 CT scans from 171 subjects from two outside hospitals). RESULTS: The mean Dice similarity coefficients for muscle, subcutaneous fat, and visceral fat were high for both the internal (0.96, 0.97, and 0.97, respectively) and external (0.97, 0.97, and 0.97, respectively) validation datasets, while the mean cross-sectional area errors for muscle, subcutaneous fat, and visceral fat were low for both internal (2.1%, 3.8%, and 1.8%, respectively) and external (2.7%, 4.6%, and 2.3%, respectively) validation datasets. CONCLUSION: The fully convolutional network-based segmentation system exhibited high performance and accuracy in the automatic segmentation of abdominal muscle and fat on CT images.</t>
  </si>
  <si>
    <t>CT sinogram-consistency learning for metal-induced beam hardening correction</t>
  </si>
  <si>
    <t>PURPOSE: This paper proposes a sinogram-consistency learning method to deal with beam hardening-related artifacts in polychromatic computerized tomography (CT). The presence of highly attenuating materials in the scan field causes an inconsistent sinogram that does not match the range space of the Radon transform. When the mismatched data are entered into the range space during CT reconstruction, streaking and shading artifacts are generated owing to the inherent nature of the inverse Radon transform METHODS: The proposed learning method aims to repair inconsistent sinogram by removing the primary metal-induced beam hardening factors along the metal trace in the sinogram. Taking account of the fundamental difficulty in obtaining sufficient training data in a medical environment, the learning method is designed to use simulated training data and a patient's implant type-specific learning model is used to simplify the learning process. RESULTS: The feasibility of the proposed method is investigated using a dataset, consisting of real CT scans of pelvises containing simulated hip prostheses. The anatomical areas in training and test data are different, in order to demonstrate that the proposed method extracts the beam hardening features, selectively. The results show that our method successfully corrects sinogram inconsistency by extracting beam hardening sources by means of deep learning. CONCLUSION: This paper proposed a deep learning method of sinogram correction for beam hardening reduction in CT for the first time. Conventional methods for beam hardening reduction are based on regularizations, and have the fundamental drawback of being not easily able to use manifold CT images, while a deep learning approach has the potential to do so.</t>
  </si>
  <si>
    <t>H. S. Park, S. M. Lee, H. P. Kim, J. K. Seo and Y. E. Chung</t>
  </si>
  <si>
    <t>Measurement of Glomerular Filtration Rate using Quantitative SPECT/CT and Deep-learning-based Kidney Segmentation</t>
  </si>
  <si>
    <t>Quantitative SPECT/CT is potentially useful for more accurate and reliable measurement of glomerular filtration rate (GFR) than conventional planar scintigraphy. However, manual drawing of a volume of interest (VOI) on renal parenchyma in CT images is a labor-intensive and time-consuming task. The aim of this study is to develop a fully automated GFR quantification method based on a deep learning approach to the 3D segmentation of kidney parenchyma in CT. We automatically segmented the kidneys in CT images using the proposed method with remarkably high Dice similarity coefficient relative to the manual segmentation (mean = 0.89). The GFR values derived using manual and automatic segmentation methods were strongly correlated (R2 = 0.96). The absolute difference between the individual GFR values using manual and automatic methods was only 2.90%. Moreover, the two segmentation methods had comparable performance in the urolithiasis patients and kidney donors. Furthermore, both segmentation modalities showed significantly decreased individual GFR in symptomatic kidneys compared with the normal or asymptomatic kidney groups. The proposed approach enables fast and accurate GFR measurement.</t>
  </si>
  <si>
    <t>Computed tomography super-resolution using deep convolutional neural network</t>
  </si>
  <si>
    <t>The objective of this study is to develop a convolutional neural network (CNN) for computed tomography (CT) image super-resolution. The network learns an end-to-end mapping between low (thick-slice thickness) and high (thin-slice thickness) resolution images using the modified U-Net. To verify the proposed method, we train and test the CNN using axially averaged data of existing thin-slice CT images as input and their middle slice as the label. Fifty-two CT studies are used as the CNN training set, and 13 CT studies are used as the test set. We perform five-fold cross-validation to confirm the performance consistency. Because all input and output images are used in two-dimensional slice format, the total number of slices for training the CNN is 7670. We assess the performance of the proposed method with respect to the resolution and contrast, as well as the noise properties. The CNN generates output images that are virtually equivalent to the ground truth. The most remarkable image-recovery improvement by the CNN is deblurring of boundaries of bone structures and air cavities. The CNN output yields an approximately 10% higher peak signal-to-noise ratio and lower normalized root mean square error than the input (thicker slices). The CNN output noise level is lower than the ground truth and equivalent to the iterative image reconstruction result. The proposed deep learning method is useful for both super-resolution and de-noising.</t>
  </si>
  <si>
    <t>J. Park, D. Hwang, K. Y. Kim, S. K. Kang, Y. K. Kim and J. S. Lee</t>
  </si>
  <si>
    <t>A deep learning approach to predict visual field using optical coherence tomography</t>
  </si>
  <si>
    <t>We developed a deep learning architecture based on Inception V3 to predict visual field using optical coherence tomography (OCT) imaging and evaluated its performance. Two OCT images, macular ganglion cell-inner plexiform layer (mGCIPL) and peripapillary retinal nerve fibre layer (pRNFL) thicknesses, were acquired and combined. A convolutional neural network architecture was constructed to predict visual field using this combined OCT image. The root mean square error (RMSE) between the actual and predicted visual fields was calculated to evaluate the performance. Globally (the entire visual field area), the RMSE for all patients was 4.79 ± 2.56 dB, with 3.27 dB and 5.27 dB for the normal and glaucoma groups, respectively. The RMSE of the macular region (4.40 dB) was higher than that of the peripheral region (4.29 dB) for all subjects. In normal subjects, the RMSE of the macular region (2.45 dB) was significantly lower than that of the peripheral region (3.11 dB), whereas in glaucoma subjects, the RMSE was higher (5.62 dB versus 5.03 dB, respectively). The deep learning method effectively predicted the visual field 24-2 using the combined OCT image. This method may help clinicians determine visual fields, particularly for patients who are unable to undergo a physical visual field exam.</t>
  </si>
  <si>
    <t>Annotated normal CT data of the abdomen for deep learning: Challenges and strategies for implementation</t>
  </si>
  <si>
    <t>PURPOSE: The purpose of this study was to report procedures developed to annotate abdominal computed tomography (CT) images from subjects without pancreatic disease that will be used as the input for deep convolutional neural networks (DNN) for development of deep learning algorithms for automatic recognition of a normal pancreas. MATERIALS AND METHODS: Dual-phase contrast-enhanced volumetric CT acquired from 2005 to 2009 from potential kidney donors were retrospectively assessed. Four trained human annotators manually and sequentially annotated 22 structures in each datasets, then expert radiologists confirmed the annotation. For efficient annotation and data management, a commercial software package that supports three-dimensional segmentation was used. RESULTS: A total of 1150 dual-phase CT datasets from 575 subjects were annotated. There were 229 men and 346 women (mean age: 45±12years; range: 18-79years). The mean intra-observer intra-subject dual-phase CT volume difference of all annotated structures was 4.27mL (7.65%). The deep network prediction for multi-organ segmentation showed high fidelity with 89.4% and 1.29mm in terms of mean Dice similarity coefficients and mean surface distances, respectively. CONCLUSIONS: A reliable data collection/annotation process for abdominal structures was developed. This process can be used to generate large datasets appropriate for deep learning.</t>
  </si>
  <si>
    <t>Deep Learning Algorithm for Reducing CT Slice Thickness: Effect on Reproducibility of Radiomic Features in Lung Cancer</t>
  </si>
  <si>
    <t>OBJECTIVE: To retrospectively assess the effect of CT slice thickness on the reproducibility of radiomic features (RFs) of lung cancer, and to investigate whether convolutional neural network (CNN)-based super-resolution (SR) algorithms can improve the reproducibility of RFs obtained from images with different slice thicknesses. MATERIALS AND METHODS: CT images with 1-, 3-, and 5-mm slice thicknesses obtained from 100 pathologically proven lung cancers between July 2017 and December 2017 were evaluated. CNN-based SR algorithms using residual learning were developed to convert thick-slice images into 1-mm slices. Lung cancers were semi-automatically segmented and a total of 702 RFs (tumor intensity, texture, and wavelet features) were extracted from 1-, 3-, and 5-mm slices, as well as the 1-mm slices generated from the 3- and 5-mm images. The stabilities of the RFs were evaluated using concordance correlation coefficients (CCCs). RESULTS: The mean CCCs for the comparisons of original 1 mm vs. 3 mm, 1 mm vs. 5 mm, and 3 mm vs. 5 mm images were 0.41, 0.27, and 0.65, respectively (p &lt; 0.001 for all comparisons). Tumor intensity features showed the best reproducibility while wavelets showed the lowest reproducibility. The majority of RFs failed to achieve reproducibility (CCC ≥ 0.85; 3.6%, 1.0%, and 21.5%, respectively). After applying the CNN-based SR algorithms, the reproducibility significantly improved in all three pairings (mean CCCs: 0.58, 0.45, and 0.72; p &lt; 0.001 for all comparisons). The reproducible RFs also increased (36.3%, 17.4%, and 36.9%, respectively). CONCLUSION: The reproducibility of RFs in lung cancer is significantly influenced by CT slice thickness, which can be improved by the CNN-based SR algorithms.</t>
  </si>
  <si>
    <t>Application of deep learning-based computer-aided detection system: detecting pneumothorax on chest radiograph after biopsy</t>
  </si>
  <si>
    <t>OBJECTIVES: To retrospectively evaluate the diagnostic performance of a convolutional neural network (CNN) model in detecting pneumothorax on chest radiographs obtained after percutaneous transthoracic needle biopsy (PTNB) for pulmonary lesions. METHODS: A CNN system for computer-aided diagnosis on chest radiographs was developed using the full 26-layer You Only Look Once model. A total of 1596 chest radiographs with pneumothorax were used for training. To validate the clinical feasibility of this model, follow-up chest radiographs obtained after PTNB for 1333 pulmonary lesions in 1319 patients in 2016 were prepared as an independent test set. Two experienced radiologists determined the presence of pneumothorax by consensus. The diagnostic performance of the CNN model was assessed using the jackknife free-response receiver operating characteristic method. RESULTS: The incidence of pneumothorax was 17.9% (247/1379) on 3-h follow-up chest radiographs and 23.3% (309/1329) on 1-day follow-up chest radiographs. Twenty-three (1.7% of all PTNBs) cases required drainage catheter insertion. Our approach had a sensitivity, a specificity, and an area under the curve (AUC), respectively, of 61.1% (151/247), 93.0% (1053/1132), and 0.898 for 3-h follow-up chest radiographs and 63.4% (196/309), 93.5% (954/1020), and 0.905 for 1-day follow-up chest radiographs. The overall accuracy was 87.3% (1204/1379) for 3-h follow-up radiographs and 86.5% (1150/1329) for 1-day follow-up radiographs. The CNN model found all 23 cases of pneumothorax requiring drainage. CONCLUSIONS: Our CNN model had good performance for detection of pneumothorax on chest radiographs after PTNB, especially for those requiring further procedures. It can be used as a screening tool prior to radiologist interpretation. KEY POINTS: • The CNN model had good performance for detection of pneumothorax on chest radiographs after PTNB and showed high specificity and negative predictive value. • The CNN model found all cases of pneumothorax requiring drainage after PTNB. • The CNN model can be used as a screening tool prior to radiologist interpretation.</t>
  </si>
  <si>
    <t>S. Park, S. M. Lee, N. Kim, J. Choe, Y. Cho, K. H. Do and J. B. Seo</t>
  </si>
  <si>
    <t>Deep learning-based detection system for multiclass lesions on chest radiographs: comparison with observer readings</t>
  </si>
  <si>
    <t>OBJECTIVE: To investigate the feasibility of a deep learning-based detection (DLD) system for multiclass lesions on chest radiograph, in comparison with observers. METHODS: A total of 15,809 chest radiographs were collected from two tertiary hospitals (7204 normal and 8605 abnormal with nodule/mass, interstitial opacity, pleural effusion, or pneumothorax). Except for the test set (100 normal and 100 abnormal (nodule/mass, 70; interstitial opacity, 10; pleural effusion, 10; pneumothorax, 10)), radiographs were used to develop a DLD system for detecting multiclass lesions. The diagnostic performance of the developed model and that of nine observers with varying experiences were evaluated and compared using area under the receiver operating characteristic curve (AUROC), on a per-image basis, and jackknife alternative free-response receiver operating characteristic figure of merit (FOM) on a per-lesion basis. The false-positive fraction was also calculated. RESULTS: Compared with the group-averaged observations, the DLD system demonstrated significantly higher performances on image-wise normal/abnormal classification and lesion-wise detection with pattern classification (AUROC, 0.985 vs. 0.958; p = 0.001; FOM, 0.962 vs. 0.886; p &lt; 0.001). In lesion-wise detection, the DLD system outperformed all nine observers. In the subgroup analysis, the DLD system exhibited consistently better performance for both nodule/mass (FOM, 0.913 vs. 0.847; p &lt; 0.001) and the other three abnormal classes (FOM, 0.995 vs. 0.843; p &lt; 0.001). The false-positive fraction of all abnormalities was 0.11 for the DLD system and 0.19 for the observers. CONCLUSIONS: The DLD system showed the potential for detection of lesions and pattern classification on chest radiographs, performing normal/abnormal classifications and achieving high diagnostic performance. KEY POINTS: • The DLD system was feasible for detection with pattern classification of multiclass lesions on chest radiograph. • The DLD system had high performance of image-wise classification as normal or abnormal chest radiographs (AUROC, 0.985) and showed especially high specificity (99.0%). • In lesion-wise detection of multiclass lesions, the DLD system outperformed all 9 observers (FOM, 0.962 vs. 0.886; p &lt; 0.001).</t>
  </si>
  <si>
    <t>Computer-aided diagnosis (CAD) systems hold potential to improve the diagnostic accuracy of thyroid ultrasound (US). We aimed to develop a deep learning-based US CAD system (dCAD) for the diagnosis of thyroid nodules and compare its performance with those of a support vector machine (SVM)-based US CAD system (sCAD) and radiologists. dCAD was developed by using US images of 4919 thyroid nodules from three institutions. Its diagnostic performance was prospectively evaluated between June 2016 and February 2017 in 286 nodules, and was compared with those of sCAD and radiologists, using logistic regression with the generalized estimating equation. Subgroup analyses were performed according to experience level and separately for small thyroid nodules 1-2 cm. There was no difference in overall sensitivity, specificity, positive predictive value (PPV), negative predictive value and accuracy (all p &gt; 0.05) between radiologists and dCAD. Radiologists and dCAD showed higher specificity, PPV, and accuracy than sCAD (all p &lt; 0.001). In small nodules, experienced radiologists showed higher specificity, PPV and accuracy than sCAD (all p &lt; 0.05). In conclusion, dCAD showed overall comparable diagnostic performance with radiologists and assessed thyroid nodules more effectively than sCAD, without loss of sensitivity.</t>
  </si>
  <si>
    <t>10.1158/1078-0432.Ccr-18-0385</t>
  </si>
  <si>
    <t>Data Analysis Strategies in Medical Imaging</t>
  </si>
  <si>
    <t>Radiographic imaging continues to be one of the most effective and clinically useful tools within oncology. Sophistication of artificial intelligence has allowed for detailed quantification of radiographic characteristics of tissues using predefined engineered algorithms or deep learning methods. Precedents in radiology as well as a wealth of research studies hint at the clinical relevance of these characteristics. However, critical challenges are associated with the analysis of medical imaging data. Although some of these challenges are specific to the imaging field, many others like reproducibility and batch effects are generic and have already been addressed in other quantitative fields such as genomics. Here, we identify these pitfalls and provide recommendations for analysis strategies of medical imaging data, including data normalization, development of robust models, and rigorous statistical analyses. Adhering to these recommendations will not only improve analysis quality but also enhance precision medicine by allowing better integration of imaging data with other biomedical data sources. Clin Cancer Res; 24(15); 3492-9. ©2018 AACR.</t>
  </si>
  <si>
    <t>An artificial intelligence algorithm that identifies middle turbinate pneumatisation (concha bullosa) on sinus computed tomography scans</t>
  </si>
  <si>
    <t>OBJECTIVE: Convolutional neural networks are a subclass of deep learning or artificial intelligence that are predominantly used for image analysis and classification. This proof-of-concept study attempts to train a convolutional neural network algorithm that can reliably determine if the middle turbinate is pneumatised (concha bullosa) on coronal sinus computed tomography images. METHOD: Consecutive high-resolution computed tomography scans of the paranasal sinuses were retrospectively collected between January 2016 and December 2018 at a tertiary rhinology hospital in Australia. The classification layer of Inception-V3 was retrained in Python using a transfer learning method to interpret the computed tomography images. Segmentation analysis was also performed in an attempt to increase diagnostic accuracy. RESULTS: The trained convolutional neural network was found to have diagnostic accuracy of 81 per cent (95 per cent confidence interval: 73.0-89.0 per cent) with an area under the curve of 0.93. CONCLUSION: A trained convolutional neural network algorithm appears to successfully identify pneumatisation of the middle turbinate with high accuracy. Further studies can be pursued to test its ability in other clinically important anatomical variants in otolaryngology and rhinology.</t>
  </si>
  <si>
    <t>Accurate Classification of Protein Subcellular Localization from High-Throughput Microscopy Images Using Deep Learning</t>
  </si>
  <si>
    <t>High-throughput microscopy of many single cells generates high-dimensional data that are far from straightforward to analyze. One important problem is automatically detecting the cellular compartment where a fluorescently-tagged protein resides, a task relatively simple for an experienced human, but difficult to automate on a computer. Here, we train an 11-layer neural network on data from mapping thousands of yeast proteins, achieving per cell localization classification accuracy of 91%, and per protein accuracy of 99% on held-out images. We confirm that low-level network features correspond to basic image characteristics, while deeper layers separate localization classes. Using this network as a feature calculator, we train standard classifiers that assign proteins to previously unseen compartments after observing only a small number of training examples. Our results are the most accurate subcellular localization classifications to date, and demonstrate the usefulness of deep learning for high-throughput microscopy.</t>
  </si>
  <si>
    <t>T. Pärnamaa and L. Parts</t>
  </si>
  <si>
    <t>G3 (Bethesda)</t>
  </si>
  <si>
    <t>Improving human cortical sulcal curve labeling in large scale cross-sectional MRI using deep neural networks</t>
  </si>
  <si>
    <t>BACKGROUND: Human cortical primary sulci are relatively stable landmarks and commonly observed across the population. Despite their stability, the primary sulci exhibit phenotypic variability. NEW METHOD: We propose a fully automated pipeline that integrates both sulcal curve extraction and labeling. In this study, we use a large normal control population (n = 1424) to train neural networks for accurately labeling the primary sulci. Briefly, we use sulcal curve distance map, surface parcellation, mean curvature and spectral features to delineate their sulcal labels. We evaluate the proposed method with 8 primary sulcal curves in the left and right hemispheres compared to an established multi-atlas curve labeling method. RESULTS: Sulcal labels by the proposed method reasonably well agree with manual labeling. The proposed method outperforms the existing multi-atlas curve labeling method. COMPARISON WITH EXISTING METHOD: Significantly improved sulcal labeling results are achieved with over 12.5 and 20.6 percent improvement on labeling accuracy in the left and right hemispheres, respectively compared to that of a multi-atlas curve labeling method in eight curves (p≪0.001, two-sample t-test). CONCLUSION: The proposed method offers a computationally efficient and robust labeling of major sulci.</t>
  </si>
  <si>
    <t>Efficient Deep Network Architectures for Fast Chest X-Ray Tuberculosis Screening and Visualization</t>
  </si>
  <si>
    <t>Automated diagnosis of tuberculosis (TB) from chest X-Rays (CXR) has been tackled with either hand-crafted algorithms or machine learning approaches such as support vector machines (SVMs) and convolutional neural networks (CNNs). Most deep neural network applied to the task of tuberculosis diagnosis have been adapted from natural image classification. These models have a large number of parameters as well as high hardware requirements, which makes them prone to overfitting and harder to deploy in mobile settings. We propose a simple convolutional neural network optimized for the problem which is faster and more efficient than previous models but preserves their accuracy. Moreover, the visualization capabilities of CNNs have not been fully investigated. We test saliency maps and grad-CAMs as tuberculosis visualization methods, and discuss them from a radiological perspective.</t>
  </si>
  <si>
    <t>Deep Learning in Gastrointestinal Endoscopy</t>
  </si>
  <si>
    <t>Gastrointestinal (GI) endoscopy is used to inspect the lumen or interior of the GI tract for several purposes, including, (1) making a clinical diagnosis, in real time, based on the visual appearances; (2) taking targeted tissue samples for subsequent histopathological examination; and (3) in some cases, performing therapeutic interventions targeted at specific lesions. GI endoscopy is therefore predicated on the assumption that the operator-the endoscopist-is able to identify and characterize abnormalities or lesions accurately and reproducibly. However, as in other areas of clinical medicine, such as histopathology and radiology, many studies have documented marked interobserver and intraobserver variability in lesion recognition. Thus, there is a clear need and opportunity for techniques or methodologies that will enhance the quality of lesion recognition and diagnosis and improve the outcomes of GI endoscopy. Deep learning models provide a basis to make better clinical decisions in medical image analysis. Biomedical image segmentation, classification, and registration can be improved with deep learning. Recent evidence suggests that the application of deep learning methods to medical image analysis can contribute significantly to computer-aided diagnosis. Deep learning models are usually considered to be more flexible and provide reliable solutions for image analysis problems compared to conventional computer vision models. The use of fast computers offers the possibility of real-time support that is important for endoscopic diagnosis, which has to be made in real time. Advanced graphics processing units and cloud computing have also favored the use of machine learning, and more particularly, deep learning for patient care. This paper reviews the rapidly evolving literature on the feasibility of applying deep learning algorithms to endoscopic imaging.</t>
  </si>
  <si>
    <t>Crit Rev Biomed Eng</t>
  </si>
  <si>
    <t>Breast Cancer Image Classification: A Review</t>
  </si>
  <si>
    <t>BACKGROUND: Breast cancer represents uncontrolled breast cell growth. Breast cancer is the most diagnosed cancer in women worldwide. Early detection of breast cancer improves the chances of survival and increases treatment options. There are various methods for screening breast cancer such as mammogram, ultrasound, computed tomography, Magnetic Resonance Imaging (MRI). MRI is gaining prominence as an alternative screening tool for early detection and breast cancer diagnosis. Nevertheless, MRI can hardly be examined without the use of a Computer-Aided Diagnosis (CAD) framework, due to the vast amount of data. OBJECTIVE: This paper aims to cover the approaches used in CAD system for the detection of breast cancer. METHOD: In this paper, the methods used in CAD systems are categories in two classes: the conventional approach and artificial intelligence (AI) approach. The conventional approach covers the basic steps of image processing such as preprocessing, segmentation, feature extraction and classification. The AI approach covers the various convolutional and deep learning networks used for diagnosis. CONCLUSION: This review discusses some of the core concepts used in breast cancer and presents a comprehensive review of efforts in the past to address this problem.</t>
  </si>
  <si>
    <t>Automated Ultrasound Doppler Angle Estimation Using Deep Learning</t>
  </si>
  <si>
    <t>Angle estimation is an important step in the Doppler ultrasound clinical workflow to measure blood velocity. It is widely recognized that incorrect angle estimation is a leading cause of error in Doppler-based blood velocity measurements. In this paper, we propose a deep learning-based approach for automated Doppler angle estimation. The approach was developed using 2100 human carotid ultrasound images including image augmentation. Five pre-trained models were used to extract images features, and these features were passed to a custom shallow network for Doppler angle estimation. Independently, measurements were obtained by a human observer reviewing the images for comparison. The mean absolute error (MAE) between the automated and manual angle estimates ranged from 3.9° to 9.4° for the models evaluated. Furthermore, the MAE for the best performing model was less than the acceptable clinical Doppler angle error threshold thus avoiding misclassification of normal velocity values as a stenosis. The results demonstrate potential for applying a deep-learning based technique for automated ultrasound Doppler angle estimation. Such a technique could potentially be implemented within the imaging software on commercial ultrasound scanners.</t>
  </si>
  <si>
    <t>Efficient Ultrasound Image Analysis Models with Sonographer Gaze Assisted Distillation</t>
  </si>
  <si>
    <t>Recent automated medical image analysis methods have attained state-of-the-art performance but have relied on memory and compute-intensive deep learning models. Reducing model size without significant loss in performance metrics is crucial for time and memory-efficient automated image-based decision-making. Traditional deep learning based image analysis only uses expert knowledge in the form of manual annotations. Recently, there has been interest in introducing other forms of expert knowledge into deep learning architecture design. This is the approach considered in the paper where we propose to combine ultrasound video with point-of-gaze tracked for expert sonographers as they scan to train memory-efficient ultrasound image analysis models. Specifically we develop teacher-student knowledge transfer models for the exemplar task of frame classification for the fetal abdomen, head, and femur. The best performing memory-efficient models attain performance within 5% of conventional models that are 1000× larger in size.</t>
  </si>
  <si>
    <t>Transfer learning for informative-frame selection in laryngoscopic videos through learned features</t>
  </si>
  <si>
    <t>Narrow-band imaging (NBI) laryngoscopy is an optical-biopsy technique used for screening and diagnosing cancer of the laryngeal tract, reducing the biopsy risks but at the cost of some drawbacks, such as large amount of data to review to make the diagnosis. The purpose of this paper is to develop a deep-learning-based strategy for the automatic selection of informative laryngoscopic-video frames, reducing the amount of data to process for diagnosis. The strategy leans on the transfer learning process that is implemented to perform learned-features extraction using six different convolutional neural networks (CNNs) pre-trained on natural images. To test the proposed strategy, the learned features were extracted from the NBI-InfFrames dataset. Support vector machines (SVMs) and CNN-based approach were then used to classify frames as informative (I) and uninformative ones such as blurred (B), with saliva or specular reflections (S), and underexposed (U). The best-performing learned-feature set was achieved with VGG 16 resulting in a recall of I of 0.97 when classifying frames with SVMs and 0.98 with the CNN-based classification. This work presents a valuable novel approach towards the selection of informative frames in laryngoscopic videos and a demonstration of the potential of transfer learning in medical image analysis. Flowchart of the proposed approach to automatic informative-frame selection in laryngoscopic videos. The approach leans on the transfer learning process, which is implemented to perform learned-features extraction using different convolutional neural networks (CNNs) pre-trained on natural images. Frame classification is performed exploiting two different classifiers: support vector machines and fine-tuned CNNs.</t>
  </si>
  <si>
    <t>Open-source pipeline for multi-class segmentation of the spinal cord with deep learning</t>
  </si>
  <si>
    <t>This paper presents an open-source pipeline to train neural networks to segment structures of interest from MRI data. The pipeline is tailored towards homogeneous datasets and requires relatively low amounts of manual segmentations (few dozen, or less depending on the homogeneity of the dataset). Two use-case scenarios for segmenting the spinal cord white and grey matter are presented: one in marmosets with variable numbers of lesions, and the other in the publicly available human grey matter segmentation challenge [1]. The pipeline is freely available at: https://github.com/neuropoly/multiclass-segmentation.</t>
  </si>
  <si>
    <t>Explaining Deep Features Using Radiologist-Defined Semantic Features and Traditional Quantitative Features</t>
  </si>
  <si>
    <t>Quantitative features are generated from a tumor phenotype by various data characterization, feature-extraction approaches and have been used successfully as a biomarker. These features give us information about a nodule, for example, nodule size, pixel intensity, histogram-based information, and texture information from wavelets or a convolution kernel. Semantic features, on the other hand, can be generated by an experienced radiologist and consist of the common characteristics of a tumor, for example, location of a tumor, fissure, or pleural wall attachment, presence of fibrosis or emphysema, concave cut on nodule surface. These features have been derived for lung nodules by our group. Semantic features have also shown promise in predicting malignancy. Deep features from images are generally extracted from the last layers before the classification layer of a convolutional neural network (CNN). By training with the use of different types of images, the CNN learns to recognize various patterns and textures. But when we extract deep features, there is no specific naming approach for them, other than denoting them by the feature column number (position of a neuron in a hidden layer). In this study, we tried to relate and explain deep features with respect to traditional quantitative features and semantic features. We discovered that 26 deep features from the Vgg-S neural network and 12 deep features from our trained CNN could be explained by semantic or traditional quantitative features. From this, we concluded that those deep features can have a recognizable definition via semantic or quantitative features.</t>
  </si>
  <si>
    <t>Tomography</t>
  </si>
  <si>
    <t>Automated detection of age-related macular degeneration in color fundus photography: a systematic review</t>
  </si>
  <si>
    <t>The rising prevalence of age-related eye diseases, particularly age-related macular degeneration, places an ever-increasing burden on health care providers. As new treatments emerge, it is necessary to develop methods for reliably assessing patients' disease status and stratifying risk of progression. The presence of drusen in the retina represents a key early feature in which size, number, and morphology are thought to correlate significantly with the risk of progression to sight-threatening age-related macular degeneration. Manual labeling of drusen on color fundus photographs by a human is labor intensive and is where automatic computerized detection would appreciably aid patient care. We review and evaluate current artificial intelligence methods and developments for the automated detection of drusen in the context of age-related macular degeneration.</t>
  </si>
  <si>
    <t>Surv Ophthalmol</t>
  </si>
  <si>
    <t>10.1016/j.joca.2019.02.800</t>
  </si>
  <si>
    <t>Diagnosing osteoarthritis from T(2) maps using deep learning: an analysis of the entire Osteoarthritis Initiative baseline cohort</t>
  </si>
  <si>
    <t>OBJECTIVE: We aim to study to what extent conventional and deep-learning-based T(2) relaxometry patterns are able to distinguish between knees with and without radiographic osteoarthritis (OA). METHODS: T(2) relaxation time maps were analyzed for 4,384 subjects from the baseline Osteoarthritis Initiative (OAI) Dataset. Voxel Based Relaxometry (VBR) was used for automatic quantification and voxel-based analysis of the differences in T(2) between subjects with and without radiographic OA. A Densely Connected Convolutional Neural Network (DenseNet) was trained to diagnose OA from T(2) data. For comparison, more classical feature extraction techniques and shallow classifiers were used to benchmark the performance of our algorithm's results. Deep and shallow models were evaluated with and without the inclusion of risk factors. Sensitivity and Specificity values and McNemar test were used to compare the performance of the different classifiers. RESULTS: The best shallow model was obtained when the first ten Principal Components, demographics and pain score were included as features (AUC = 77.77%, Sensitivity = 67.01%, Specificity = 71.79%). In comparison, DenseNet trained on raw T(2) data obtained AUC = 83.44%, Sensitivity = 76.99%, Specificity = 77.94%. McNemar test on two misclassified proportions form the shallow and deep model showed that the boost in performance was statistically significant (McNemar's chi-squared = 10.33, degree of freedom (DF) = 1, P-value = 0.0013). CONCLUSION: In this study, we presented a Magnetic Resonance Imaging (MRI)-based data-driven platform using T(2) measurements to characterize radiographic OA. Our results showed that feature learning from T(2) maps has potential in uncovering information that can potentially better diagnose OA than simple averages or linear patterns decomposition.</t>
  </si>
  <si>
    <t>10.1002/jor.24151</t>
  </si>
  <si>
    <t>Translation of morphological and functional musculoskeletal imaging</t>
  </si>
  <si>
    <t>In an effort to develop quantitative biomarkers for degenerative joint disease and fill the void that exists for diagnosing, monitoring, and assessing the extent of whole joint degeneration, the past decade has been marked by a greatly increased role of noninvasive imaging. This coupled with recent advances in image processing and deep learning opens new possibilities for promising quantitative techniques. The clinical translation of quantitative imaging was previously hampered by tedious non-scalable and subjective image analysis. Osteoarthritis (OA) diagnosis using X-rays can be automated by the use of deep learning models and pilot studies showed feasibility of using similar techniques to reliably segment multiple musculoskeletal tissues and detect and stage the severity of morphological abnormalities in magnetic resonance imaging (MRI). Automation and more advanced feature extraction techniques have applications on larger more heterogeneous samples. Analyses based on voxel based relaxometry have shown local patterns in relaxation time elevations and local correlations with outcome variables. Bone cartilage interactions are also enhanced by the analysis of three-dimensional bone morphology and the potential for the assessment of metabolic activity with simultaneous Positron Emission Tomography (PET)/MR systems. Novel techniques in image processing and deep learning are augmenting imaging to be a source of quantitative and reliable data and new multidimensional analytics allow us to exploit the interactions of data from various sources. In this review, we aim to summarize recent advances in quantitative imaging, the application of image processing and deep learning techniques to study knee and hip OA. ©2018 Orthopaedic Research Society. Published by Wiley Periodicals, Inc. J Orthop Res XX:XX-XX, 2018.</t>
  </si>
  <si>
    <t>V. Pedoia and S. Majumdar</t>
  </si>
  <si>
    <t>3D convolutional neural networks for detection and severity staging of meniscus and PFJ cartilage morphological degenerative changes in osteoarthritis and anterior cruciate ligament subjects</t>
  </si>
  <si>
    <t>BACKGROUND: Semiquantitative assessment of MRI plays a central role in musculoskeletal research; however, in the clinical setting MRI reports often tend to be subjective and qualitative. Grading schemes utilized in research are not used because they are extraordinarily time-consuming and unfeasible in clinical practice. PURPOSE: To evaluate the ability of deep-learning models to detect and stage severity of meniscus and patellofemoral cartilage lesions in osteoarthritis and anterior cruciate ligament (ACL) subjects. STUDY TYPE: Retrospective study aimed to evaluate a technical development. POPULATION: In all, 1478 MRI studies, including subjects at various stages of osteoarthritis and after ACL injury and reconstruction. FIELD STRENGTH/SEQUENCE: 3T MRI, 3D FSE CUBE. ASSESSMENT: Automatic segmentation of cartilage and meniscus using 2D U-Net, automatic detection, and severity staging of meniscus and cartilage lesion with a 3D convolutional neural network (3D-CNN). STATISTICAL TESTS: Receiver operating characteristic (ROC) curve, specificity and sensitivity, and class accuracy. RESULTS: Sensitivity of 89.81% and specificity of 81.98% for meniscus lesion detection and sensitivity of 80.0% and specificity of 80.27% for cartilage were achieved. The best performances for staging lesion severity were obtained by including demographics factors, achieving accuracies of 80.74%, 78.02%, and 75.00% for normal, small, and complex large lesions, respectively. DATA CONCLUSION: In this study we provide a proof of concept of a fully automated deep-learning pipeline that can identify the presence of meniscal and patellar cartilage lesions. This pipeline has also shown potential in making more in-depth examinations of lesion subjects for multiclass prediction and severity staging. LEVEL OF EVIDENCE: 2 Technical Efficacy: Stage 2 J. Magn. Reson. Imaging 2019;49:400-410.</t>
  </si>
  <si>
    <t>Deep learning derived tumor infiltration maps for personalized target definition in Glioblastoma radiotherapy</t>
  </si>
  <si>
    <t>PURPOSE: Glioblastoma is routinely treated by concomitant radiochemotherapy. Current target definition guidelines use anatomic MRI (magnetic resonance imaging) scans, taking into account contrast enhancement and the rather unspecific hyperintensity on the fluid-attenuated inversion recovery (FLAIR) sequence. METHODS AND MATERIALS: We applied deep learning based free water correction of diffusion tensor imaging (DTI) scans to estimate the infiltrative gross tumor volume (iGTV) inside of the FLAIR hyperintense region. We analyzed the resulting iGTVs and their impact on target volume definition in a retrospective cohort of 33 GBM patients. RESULTS: iGTVs were significantly smaller compared to standard pre- and post-operative gross tumor volume (GTV) definitions. Two novel infiltrative tumor GTVs (nGTV(PRE-OP) and nGTV(POST-OP)) defined as the conjunction volume of the standard GTV and the iGTV showed only a moderate increase in size compared to standard GTV definitions. On postoperative scans, the iGTV was predominantly covered by the two clinical target volume (CTV) concepts CTV(EORTC) and CTV(ROTG1). A novel infiltrative tumor CTV (nCTV) [nGTV(POST-OP) + 2 cm margin] was significantly smaller compared to CTV(ROTG1) but larger than CTV(EORTC). The overlap volume and conformity index demonstrated a distinct spatial configuration of the nCTV. Tumor recurrences overlapped with the iGTV in all but one patients and were completely covered by the nCTV in all patients. After reducing the margin to 1 cm recurrences coverage was at least in-field in all patients. CONCLUSION: To conclude, free water corrected DTI scans may help to define infiltrative tumor areas of GBM that could ultimately be used to individualize RT treatment planning in terms of dose sparing or dose escalation.</t>
  </si>
  <si>
    <t>Deep learning based retinal OCT segmentation</t>
  </si>
  <si>
    <t>We look at the recent application of deep learning (DL) methods in automated fine-grained segmentation of spectral domain optical coherence tomography (OCT) images of the retina. We describe a new method combining fully convolutional networks (FCN) with Gaussian Processes for post processing. We report performance comparisons between the proposed approach, human clinicians, and other machine learning (ML) such as graph based approaches. The approach is demonstrated on an OCT dataset consisting of mild non-proliferative diabetic retinopathy from the University of Miami. The method is shown to have performance on par with humans, also compares favorably with the other ML methods, and appears to have as small or smaller mean unsigned error (equal to 1.06), versus errors ranging from 1.17 to 1.81 for other methods, and compared with human error of 1.10.</t>
  </si>
  <si>
    <t>Sociodemographic data and APOE-ε4 augmentation for MRI-based detection of amnestic mild cognitive impairment using deep learning systems</t>
  </si>
  <si>
    <t>Detection and diagnosis of early and subclinical stages of Alzheimer's Disease (AD) play an essential role in the implementation of intervention and prevention strategies. Neuroimaging techniques predominantly provide insight into anatomic structure changes associated with AD. Deep learning methods have been extensively applied towards creating and evaluating models capable of differentiating between cognitively unimpaired, patients with Mild Cognitive Impairment (MCI) and AD dementia. Several published approaches apply information fusion techniques, providing ways of combining several input sources in the medical domain, which contributes to knowledge of broader and enriched quality. The aim of this paper is to fuse sociodemographic data such as age, marital status, education and gender, and genetic data (presence of an apolipoprotein E (APOE)-ε4 allele) with Magnetic Resonance Imaging (MRI) scans. This enables enriched multi-modal features, that adequately represent the MRI scan visually and is adopted for creating and modeling classification systems capable of detecting amnestic MCI (aMCI). To fully utilize the potential of deep convolutional neural networks, two extra color layers denoting contrast intensified and blurred image adaptations are virtually augmented to each MRI scan, completing the Red-Green-Blue (RGB) color channels. Deep convolutional activation features (DeCAF) are extracted from the average pooling layer of the deep learning system Inception_v3. These features from the fused MRI scans are used as visual representation for the Long Short-Term Memory (LSTM) based Recurrent Neural Network (RNN) classification model. The proposed approach is evaluated on a sub-study containing 120 participants (aMCI = 61 and cognitively unimpaired = 59) of the Heinz Nixdorf Recall (HNR) Study with a baseline model accuracy of 76%. Further evaluation was conducted on the ADNI Phase 1 dataset with 624 participants (aMCI = 397 and cognitively unimpaired = 227) with a baseline model accuracy of 66.27%. Experimental results show that the proposed approach achieves 90% accuracy and 0.90 F1-Score at classification of aMCI vs. cognitively unimpaired participants on the HNR Study dataset, and 77% accuracy and 0.83 F1-Score on the ADNI dataset.</t>
  </si>
  <si>
    <t>Variations on Branding with Text Occurrence for Optimized Body Parts Classification</t>
  </si>
  <si>
    <t>The aim of this paper is to combine automatically generated image keywords with radiographs, thus enabling an enriched multi-modal image representation for body part classification. The proposed method could also be used to incorporate meta data into images for combined learning. Multi-modality is achieved by branding the radiographs via intensity markers, which denotes the occurrence of textual features. There is a need to create systems capable of adequately detecting and classifying body parts in radiology images, as the number of digital medical scans taken daily has expeditiously increased. This is a fundamental step towards computer-aided interpretation, as manual annotation is time-consuming, prone to errors and often impractical. Word embeddings are derived from keywords, automatically generated with the Long Short-Term Memory (LSTM) based Recurrent Neural Network (RNN) Show-and-Tell model, and incorporated by augmentation into radiographs with Word2Vec: Deep learning systems are trained with the augmented radiographs. Using the data sets, Musculoskeletal Radiographs (MURA) and ImageCLEF 2015 Medical Clustering Task, the proposed approach obtains best prediction accuracy, with 95.78 % and 83.90 %, respectively.</t>
  </si>
  <si>
    <t>Prognostic Value of Deep Learning PET/CT-Based Radiomics: Potential Role for Future Individual Induction Chemotherapy in Advanced Nasopharyngeal Carcinoma</t>
  </si>
  <si>
    <t>PURPOSE: We aimed to evaluate the value of deep learning on positron emission tomography with computed tomography (PET/CT)-based radiomics for individual induction chemotherapy (IC) in advanced nasopharyngeal carcinoma (NPC). EXPERIMENTAL DESIGN: We constructed radiomics signatures and nomogram for predicting disease-free survival (DFS) based on the extracted features from PET and CT images in a training set (n = 470), and then validated it on a test set (n = 237). Harrell's concordance indices (C-index) and time-independent receiver operating characteristic (ROC) analysis were applied to evaluate the discriminatory ability of radiomics nomogram, and compare radiomics signatures with plasma Epstein-Barr virus (EBV) DNA. RESULTS: A total of 18 features were selected to construct CT-based and PET-based signatures, which were significantly associated with DFS (P &lt; 0.001). Using these signatures, we proposed a radiomics nomogram with a C-index of 0.754 [95% confidence interval (95% CI), 0.709-0.800] in the training set and 0.722 (95% CI, 0.652-0.792) in the test set. Consequently, 206 (29.1%) patients were stratified as high-risk group and the other 501 (70.9%) as low-risk group by the radiomics nomogram, and the corresponding 5-year DFS rates were 50.1% and 87.6%, respectively (P &lt; 0.0001). High-risk patients could benefit from IC while the low-risk could not. Moreover, radiomics nomogram performed significantly better than the EBV DNA-based model (C-index: 0.754 vs. 0.675 in the training set and 0.722 vs. 0.671 in the test set) in risk stratification and guiding IC. CONCLUSIONS: Deep learning PET/CT-based radiomics could serve as a reliable and powerful tool for prognosis prediction and may act as a potential indicator for individual IC in advanced NPC.</t>
  </si>
  <si>
    <t>Data-Driven Engineering of Social Dynamics: Pattern Matching and Profit Maximization</t>
  </si>
  <si>
    <t>In this paper, we define a new problem related to social media, namely, the data-driven engineering of social dynamics. More precisely, given a set of observations from the past, we aim at finding the best short-term intervention that can lead to predefined long-term outcomes. Toward this end, we propose a general formulation that covers two useful engineering tasks as special cases, namely, pattern matching and profit maximization. By incorporating a deep learning model, we derive a solution using convex relaxation and quadratic-programming transformation. Moreover, we propose a data-driven evaluation method in place of the expensive field experiments. Using a Twitter dataset, we demonstrate the effectiveness of our dynamics engineering approach for both pattern matching and profit maximization, and study the multifaceted interplay among several important factors of dynamics engineering, such as solution validity, pattern-matching accuracy, and intervention cost. Finally, the method we propose is general enough to work with multi-dimensional time series, so it can potentially be used in many other applications.</t>
  </si>
  <si>
    <t>Residual convolutional neural network for predicting response of transarterial chemoembolization in hepatocellular carcinoma from CT imaging</t>
  </si>
  <si>
    <t>BACKGROUND: We attempted to train and validate a model of deep learning for the preoperative prediction of the response of patients with intermediate-stage hepatocellular carcinoma (HCC) undergoing transarterial chemoembolization (TACE). METHOD: All computed tomography (CT) images were acquired for 562 patients from the Nan Fang Hospital (NFH), 89 patients from Zhu Hai Hospital Affiliated with Jinan University (ZHHAJU), and 138 patients from the Sun Yat-sen University Cancer Center (SYUCC). We built a predictive model from the outputs using the transfer learning techniques of a residual convolutional neural network (ResNet50). The prediction accuracy for each patch was revaluated in two independent validation cohorts. RESULTS: In the training set (NFH), the deep learning model had an accuracy of 84.3% and areas under curves (AUCs) of 0.97, 0.96, 0.95, and 0.96 for complete response (CR), partial response (PR), stable disease (SD), and progressive disease (PD), respectively. In the other two validation sets (ZHHAJU and SYUCC), the deep learning model had accuracies of 85.1% and 82.8% for CR, PR, SD, and PD. The ResNet50 model also had high AUCs for predicting the objective response of TACE therapy in patches and patients of three cohorts. Decision curve analysis (DCA) showed that the ResNet50 model had a high net benefit in the two validation cohorts. CONCLUSION: The deep learning model presented a good performance for predicting the response of TACE therapy and could help clinicians in better screening patients with HCC who can benefit from the interventional treatment. KEY POINTS: • Therapy response of TACE can be predicted by a deep learning model based on CT images. • The probability value from a trained or validation deep learning model showed significant correlation with different therapy responses. • Further improvement is necessary before clinical utilization.</t>
  </si>
  <si>
    <t>Classification and Quantification of Emphysema Using a Multi-Scale Residual Network</t>
  </si>
  <si>
    <t>Automated tissue classification is an essential step for quantitative analysis and treatment of emphysema. Although many studies have been conducted in this area, there still remain two major challenges. First, different emphysematous tissue appears in different scales, which we call inter-class variations. Second, the intensities of CT images acquired from different patients, scanners or scanning protocols may vary, which we call intra-class variations. In this paper, we present a novel multi-scale residual network with two channels of raw CT image and its differential excitation component. We incorporate multi-scale information into our networks to address the challenge of inter-class variations. In addition to the conventional raw CT image, we use its differential excitation component as a pair of inputs to handle intra-class variations. Experimental results show that our approach has superior performance over the state-of-the- art methods, achieving a classification accuracy of 93.74% on our original emphysema database. Based on the classification results, we also perform the quantitative analysis of emphysema in 50 subjects by correlating the quantitative results (the area percentage of each class) with pulmonary functions. We show that centrilobular emphysema (CLE) and panlobular emphysema (PLE) have strong correlation with the pulmonary functions and the sum of CLE and PLE can be used as a new and accurate measure of emphysema severity instead of the conventional measure (sum of all subtypes of emphysema). The correlations between the new measure and various pulmonary functions are up to |r| = 0.922 (r is correlation coefficient).</t>
  </si>
  <si>
    <t>[Comparison of Three CNN Models Applied in Bone Age Assessment of Pelvic Radiographs of Adolescents]</t>
  </si>
  <si>
    <t>Objective To compare the performance of three deep-learning models （VGG19, Inception-V3 and Inception-ResNet-V2） in automatic bone age assessment based on pelvic X-ray radiographs. Methods A total of 962 pelvic X ray radiographs taken from adolescents （481 males, 481 females） aged from 11.0 to 21.0 years in five provinces and cities of China were collected, preprocessed and used as objects of study. Eighty percent of these X ray radiographs were divided into training set and validation set with random sampling method and used for model fitting and hyper-parameters adjustment. Twenty percent were used as test sets, to evaluate the ability of model generalization. The performances of the three models were assessed by comparing the root mean square error （RMSE）, mean absolute error （MAE） and Bland-Altman plots between the model estimates and the chronological ages. Results The mean RMSE and MAE between bone age estimates of the VGG19 model and the chronological ages were 1.29 and 1.02 years, respectively. The mean RMSE and MAE between bone age estimates of the Inception-V3 model and the chronological ages were 1.17 and 0.82 years, respectively. The mean RMSE and MAE between bone age estimates of the Inception-ResNet-V2 model and the chronological ages were 1.11 and 0.84 years, respectively. The Bland-Altman plots showed that the mean value of differences between bone age estimates of Inception-ResNet-V2 model and the chronological ages was the lowest. Conclusion In the automatic bone age assessment of adolescent pelvis, the Inception-ResNet-V2 model performs the best while the Inception-V3 model achieves a similar accuracy as VGG19 model.</t>
  </si>
  <si>
    <t>Deep multi-modality collaborative learning for distant metastases predication in PET-CT soft-tissue sarcoma studies</t>
  </si>
  <si>
    <t>Soft-tissue Sarcomas (STS) are a heterogeneous group of malignant neoplasms with a relatively high mortality rate from distant metastases. Early prediction or quantitative evaluation of distant metastases risk for patients with STS is an important step which can provide better-personalized treatments and thereby improve survival rates. Positron emission tomography-computed tomography (PET-CT) image is regarded as the imaging modality of choice for the evaluation, staging and assessment of STS. Radiomics, which refers to the extraction and analysis of the quantitative of high-dimensional mineable data from medical images, is foreseen as an important prognostic tool for cancer risk assessment. However, conventional radiomics methods that depend heavily on hand-crafted features (e.g. shape and texture) and prior knowledge (e.g. tuning of many parameters) therefore cannot fully represent the semantic information of the image. In addition, convolutional neural networks (CNN) based radiomics methods present capabilities to improve, but currently, they are mainly designed for single modality e.g., CT or a particular body region e.g., lung structure. In this work, we propose a deep multi-modality collaborative learning to iteratively derive optimal ensembled deep and conventional features from PET-CT images. In addition, we introduce an end-to-end volumetric deep learning architecture to learn complementary PET-CT features optimised for image radiomics. Our experimental results using public PET-CT dataset of STS patients demonstrate that our method has better performance when compared with the state-of-the-art methods.</t>
  </si>
  <si>
    <t>DeepSeeNet: A Deep Learning Model for Automated Classification of Patient-based Age-related Macular Degeneration Severity from Color Fundus Photographs</t>
  </si>
  <si>
    <t>PURPOSE: In assessing the severity of age-related macular degeneration (AMD), the Age-Related Eye Disease Study (AREDS) Simplified Severity Scale predicts the risk of progression to late AMD. However, its manual use requires the time-consuming participation of expert practitioners. Although several automated deep learning systems have been developed for classifying color fundus photographs (CFP) of individual eyes by AREDS severity score, none to date has used a patient-based scoring system that uses images from both eyes to assign a severity score. DESIGN: DeepSeeNet, a deep learning model, was developed to classify patients automatically by the AREDS Simplified Severity Scale (score 0-5) using bilateral CFP. PARTICIPANTS: DeepSeeNet was trained on 58 402 and tested on 900 images from the longitudinal follow-up of 4549 participants from AREDS. Gold standard labels were obtained using reading center grades. METHODS: DeepSeeNet simulates the human grading process by first detecting individual AMD risk factors (drusen size, pigmentary abnormalities) for each eye and then calculating a patient-based AMD severity score using the AREDS Simplified Severity Scale. MAIN OUTCOME MEASURES: Overall accuracy, specificity, sensitivity, Cohen's kappa, and area under the curve (AUC). The performance of DeepSeeNet was compared with that of retinal specialists. RESULTS: DeepSeeNet performed better on patient-based classification (accuracy = 0.671; kappa = 0.558) than retinal specialists (accuracy = 0.599; kappa = 0.467) with high AUC in the detection of large drusen (0.94), pigmentary abnormalities (0.93), and late AMD (0.97). DeepSeeNet also outperformed retinal specialists in the detection of large drusen (accuracy 0.742 vs. 0.696; kappa 0.601 vs. 0.517) and pigmentary abnormalities (accuracy 0.890 vs. 0.813; kappa 0.723 vs. 0.535) but showed lower performance in the detection of late AMD (accuracy 0.967 vs. 0.973; kappa 0.663 vs. 0.754). CONCLUSIONS: By simulating the human grading process, DeepSeeNet demonstrated high accuracy with increased transparency in the automated assignment of individual patients to AMD risk categories based on the AREDS Simplified Severity Scale. These results highlight the potential of deep learning to assist and enhance clinical decision-making in patients with AMD, such as early AMD detection and risk prediction for developing late AMD. DeepSeeNet is publicly available on https://github.com/ncbi-nlp/DeepSeeNet.</t>
  </si>
  <si>
    <t>Y. Peng, S. Dharssi, Q. Chen, T. D. Keenan, E. Agrón, W. T. Wong, E. Y. Chew and Z. Lu</t>
  </si>
  <si>
    <t>Classification of diabetes-related retinal diseases using a deep learning approach in optical coherence tomography</t>
  </si>
  <si>
    <t>BACKGROUND AND OBJECTIVES: Spectral Domain Optical Coherence Tomography (SD-OCT) is a volumetric imaging technique that allows measuring patterns between layers such as small amounts of fluid. Since 2012, automatic medical image analysis performance has steadily increased through the use of deep learning models that automatically learn relevant features for specific tasks, instead of designing visual features manually. Nevertheless, providing insights and interpretation of the predictions made by the model is still a challenge. This paper describes a deep learning model able to detect medically interpretable information in relevant images from a volume to classify diabetes-related retinal diseases. METHODS: This article presents a new deep learning model, OCT-NET, which is a customized convolutional neural network for processing scans extracted from optical coherence tomography volumes. OCT-NET is applied to the classification of three conditions seen in SD-OCT volumes. Additionally, the proposed model includes a feedback stage that highlights the areas of the scans to support the interpretation of the results. This information is potentially useful for a medical specialist while assessing the prediction produced by the model. RESULTS: The proposed model was tested on the public SERI-CUHK and A2A SD-OCT data sets containing healthy, diabetic retinopathy, diabetic macular edema and age-related macular degeneration. The experimental evaluation shows that the proposed method outperforms conventional convolutional deep learning models from the state of the art reported on the SERI+CUHK and A2A SD-OCT data sets with a precision of 93% and an area under the ROC curve (AUC) of 0.99 respectively. CONCLUSIONS: The proposed method is able to classify the three studied retinal diseases with high accuracy. One advantage of the method is its ability to produce interpretable clinical information in the form of highlighting the regions of the image that most contribute to the classifier decision.</t>
  </si>
  <si>
    <t>O. Perdomo, H. Rios, F. J. Rodríguez, S. Otálora, F. Meriaudeau, H. Müller and F. A. González</t>
  </si>
  <si>
    <t>COVID-19 identification in chest X-ray images on flat and hierarchical classification scenarios</t>
  </si>
  <si>
    <t>BACKGROUND AND OBJECTIVE: The COVID-19 can cause severe pneumonia and is estimated to have a high impact on the healthcare system. Early diagnosis is crucial for correct treatment in order to possibly reduce the stress in the healthcare system. The standard image diagnosis tests for pneumonia are chest X-ray (CXR) and computed tomography (CT) scan. Although CT scan is the gold standard, CXR are still useful because it is cheaper, faster and more widespread. This study aims to identify pneumonia caused by COVID-19 from other types and also healthy lungs using only CXR images. METHODS: In order to achieve the objectives, we have proposed a classification schema considering the following perspectives: i) a multi-class classification; ii) hierarchical classification, since pneumonia can be structured as a hierarchy. Given the natural data imbalance in this domain, we also proposed the use of resampling algorithms in the schema in order to re-balance the classes distribution. We observed that, texture is one of the main visual attributes of CXR images, our classification schema extract features using some well-known texture descriptors and also using a pre-trained CNN model. We also explored early and late fusion techniques in the schema in order to leverage the strength of multiple texture descriptors and base classifiers at once. To evaluate the approach, we composed a database, named RYDLS-20, containing CXR images of pneumonia caused by different pathogens as well as CXR images of healthy lungs. The classes distribution follows a real-world scenario in which some pathogens are more common than others. RESULTS: The proposed approach tested in RYDLS-20 achieved a macro-avg F1-Score of 0.65 using a multi-class approach and a F1-Score of 0.89 for the COVID-19 identification in the hierarchical classification scenario. CONCLUSIONS: As far as we know, the top identification rate obtained in this paper is the best nominal rate obtained for COVID-19 identification in an unbalanced environment with more than three classes. We must also highlight the novel proposed hierarchical classification approach for this task, which considers the types of pneumonia caused by the different pathogens and lead us to the best COVID-19 recognition rate obtained here.</t>
  </si>
  <si>
    <t>Adaptive Feature Recombination and Recalibration for Semantic Segmentation With Fully Convolutional Networks</t>
  </si>
  <si>
    <t>Fully convolutional networks have been achieving remarkable results in image semantic segmentation, while being efficient. Such efficiency results from the capability of segmenting several voxels in a single forward pass. So, there is a direct spatial correspondence between a unit in a feature map and the voxel in the same location. In a convolutional layer, the kernel spans over all channels and extracts information from them. We observe that linear recombination of feature maps by increasing the number of channels followed by compression may enhance their discriminative power. Moreover, not all feature maps have the same relevance for the classes being predicted. In order to learn the inter-channel relationships and recalibrate the channels to suppress the less relevant ones, squeeze and excitation blocks were proposed in the context of image classification with convolutional neural networks. However, this is not well adapted for segmentation with fully convolutional networks since they segment several objects simultaneously, hence a feature map may contain relevant information only in some locations. In this paper, we propose recombination of features and a spatially adaptive recalibration block that is adapted for semantic segmentation with fully convolutional networks- the SegSE block. Feature maps are recalibrated by considering the cross-channel information together with spatial relevance. The experimental results indicate that recombination and recalibration improve the results of a competitive baseline, and generalize across three different problems: brain tumor segmentation, stroke penumbra estimation, and ischemic stroke lesion outcome prediction. The obtained results are competitive or outperform the state of the art in the three applications.</t>
  </si>
  <si>
    <t>10.1016/s2468-1253(19)30416-9</t>
  </si>
  <si>
    <t>Early detection of pancreatic cancer</t>
  </si>
  <si>
    <t>Pancreatic ductal adenocarcinoma is most frequently detected at an advanced stage. Such late detection restricts treatment options and contributes to a dismal 5-year survival rate of 3-15%. Pancreatic ductal adenocarcinoma is relatively uncommon and screening of the asymptomatic adult population is not feasible or recommended with current modalities. However, screening of individuals in high-risk groups is recommended. Here, we review groups at high risk for pancreatic ductal adenocarcinoma, including individuals with inherited predisposition and patients with pancreatic cystic lesions. We discuss studies aimed at finding ways of identifying pancreatic ductal adenocarcinoma in high-risk groups, such as among individuals with new-onset diabetes mellitus and people attending primary and secondary care practices with symptoms that suggest this cancer. We review early detection biomarkers, explore the potential of using social media for detection, appraise prediction models developed using electronic health records and research data, and examine the application of artificial intelligence to medical imaging for the purposes of early detection.</t>
  </si>
  <si>
    <t>Lancet Gastroenterol Hepatol</t>
  </si>
  <si>
    <t>Classification of contrast-enhanced spectral mammography (CESM) images</t>
  </si>
  <si>
    <t>PURPOSE: Contrast-enhanced spectral mammography (CESM) is a recently developed breast imaging technique. CESM relies on dual-energy acquisition following contrast agent injection to improve mammography sensitivity. CESM is comparable to contrast-enhanced MRI in terms of sensitivity, at a fraction of the cost. However, since lesion variability is large, even with the improved visibility provided by CESM, differentiation between benign and malignant enhancement is not accurate and a biopsy is usually performed for final assessment. Breast biopsies can be stressful to the patient and are expensive to healthcare systems. Moreover, as the biopsies results are most of the time benign, a specificity improvement in the radiologist diagnosis is required. This work presents a deep learning-based decision support system, which aims at improving the specificity of breast cancer diagnosis by CESM without affecting sensitivity. METHODS: We compare two analysis approaches, fine-tuning a pretrained network and fully training a convolutional neural network, for classification of CESM breast mass as benign or malignant. Breast Imaging Reporting and Data Systems (BIRADS) is a radiological lexicon, used with breast images, to categorize lesions. We improve each classification network by incorporating BIRADS textual features as an additional input to the network. We evaluate two ways of BIRADS fusion as network input: feature fusion and decision fusion. This leads to multimodal network architectures. At classification, we also exploit information from apparently normal breast tissue in the CESM of the considered patient, leading to a patient-specific classification. RESULTS: We evaluate performance using fivefold cross-validation, on 129 randomly selected breast lesions annotated by an experienced radiologist. Each annotation includes a contour of the mass in the image, biopsy-proven label of benign or malignant lesion and BIRADS descriptors. At 100% sensitivity, specificity of 66% was achieved using a multimodal network, which combines inputs at feature level and patient-specific classification. CONCLUSIONS: The presented multimodal network may significantly reduce benign biopsies, without compromising sensitivity.</t>
  </si>
  <si>
    <t>S. Perek, N. Kiryati, G. Zimmerman-Moreno, M. Sklair-Levy, E. Konen and A. Mayer</t>
  </si>
  <si>
    <t>Evaluation of Enhanced Learning Techniques for Segmenting Ischaemic Stroke Lesions in Brain Magnetic Resonance Perfusion Images Using a Convolutional Neural Network Scheme</t>
  </si>
  <si>
    <t>Magnetic resonance (MR) perfusion imaging non-invasively measures cerebral perfusion, which describes the blood's passage through the brain's vascular network. Therefore, it is widely used to assess cerebral ischaemia. Convolutional Neural Networks (CNN) constitute the state-of-the-art method in automatic pattern recognition and hence, in segmentation tasks. But none of the CNN architectures developed to date have achieved high accuracy when segmenting ischaemic stroke lesions, being the main reasons their heterogeneity in location, shape, size, image intensity and texture, especially in this imaging modality. We use a freely available CNN framework, developed for MR imaging lesion segmentation, as core algorithm to evaluate the impact of enhanced machine learning techniques, namely data augmentation, transfer learning and post-processing, in the segmentation of stroke lesions using the ISLES 2017 dataset, which contains expert annotated diffusion-weighted perfusion and diffusion brain MRI of 43 stroke patients. Of all the techniques evaluated, data augmentation with binary closing achieved the best results, improving the mean Dice score in 17% over the baseline model. Consistent with previous works, better performance was obtained in the presence of large lesions.</t>
  </si>
  <si>
    <t>C. U. Pérez Malla, M. D. C. Valdés Hernández, M. F. Rachmadi and T. Komura</t>
  </si>
  <si>
    <t>Clinical Evaluation of a Multiparametric Deep Learning Model for Glioblastoma Segmentation Using Heterogeneous Magnetic Resonance Imaging Data From Clinical Routine</t>
  </si>
  <si>
    <t>OBJECTIVES: The aims of this study were, first, to evaluate a deep learning-based, automatic glioblastoma (GB) tumor segmentation algorithm on clinical routine data from multiple centers and compare the results to a ground truth, manual expert segmentation, and second, to evaluate the quality of the segmentation results across heterogeneous acquisition protocols of routinely acquired clinical magnetic resonance imaging (MRI) examinations from multiple centers. MATERIALS AND METHODS: The data consisted of preoperative MRI scans (T1, T2, FLAIR, and contrast-enhanced [CE] T1) of 64 patients with an initial diagnosis of primary GB, which were acquired in 15 institutions with varying protocols. All images underwent preprocessing (coregistration, skull stripping, resampling to isotropic resolution, normalization) and were fed into an independently trained deep learning model based on DeepMedic, a multilayer, multiscale convolutional neural network for detection and segmentation of tumor compartments. Automatic segmentation results for the whole tumor, necrosis, and CE tumor were compared with manual segmentations. RESULTS: Whole tumor and CE tumor compartments were correctly detected in 100% of the cases; necrosis was correctly detected in 91% of the cases. A high segmentation accuracy comparable to interrater variability was achieved for the whole tumor (mean dice similarity coefficient [DSC], 0.86 ± 0.09) and CE tumor (DSC, 0.78 ± 0.15). The DSC for tumor necrosis was 0.62 ± 0.30. We have observed robust segmentation quality over heterogeneous image acquisition protocols, for example, there were no correlations between resolution and segmentation accuracy of the single tumor compartments. Furthermore, no relevant correlation was found between quality of automatic segmentation and volume of interest properties (surface-to-volume ratio and volume). CONCLUSIONS: The proposed approach for automatic segmentation of GB proved to be robust on routine clinical data and showed on all tumor compartments a high automatic detection rate and a high accuracy, comparable to interrater variability. Further work on improvements of the segmentation accuracy for the necrosis compartments should be guided by the evaluation of the clinical relevance.Therefore, we propose this approach as a suitable building block for automatic tumor segmentation to support radiologists or neurosurgeons in the preoperative reading of GB MRI images and characterization of primary GB.</t>
  </si>
  <si>
    <t>M. Perkuhn, P. Stavrinou, F. Thiele, G. Shakirin, M. Mohan, D. Garmpis, C. Kabbasch and J. Borggrefe</t>
  </si>
  <si>
    <t>Unsupervised domain adaptation for medical imaging segmentation with self-ensembling</t>
  </si>
  <si>
    <t>Recent advances in deep learning methods have redefined the state-of-the-art for many medical imaging applications, surpassing previous approaches and sometimes even competing with human judgment in several tasks. Those models, however, when trained to reduce the empirical risk on a single domain, fail to generalize when applied to other domains, a very common scenario in medical imaging due to the variability of images and anatomical structures, even across the same imaging modality. In this work, we extend the method of unsupervised domain adaptation using self-ensembling for the semantic segmentation task and explore multiple facets of the method on a small and realistic publicly-available magnetic resonance (MRI) dataset. Through an extensive evaluation, we show that self-ensembling can indeed improve the generalization of the models even when using a small amount of unlabeled data.</t>
  </si>
  <si>
    <t>C. S. Perone, P. Ballester, R. C. Barros and J. Cohen-Adad</t>
  </si>
  <si>
    <t>Spinal cord gray matter segmentation using deep dilated convolutions</t>
  </si>
  <si>
    <t>Gray matter (GM) tissue changes have been associated with a wide range of neurological disorders and were recently found relevant as a biomarker for disability in amyotrophic lateral sclerosis. The ability to automatically segment the GM is, therefore, an important task for modern studies of the spinal cord. In this work, we devise a modern, simple and end-to-end fully-automated human spinal cord gray matter segmentation method using Deep Learning, that works both on in vivo and ex vivo MRI acquisitions. We evaluate our method against six independently developed methods on a GM segmentation challenge. We report state-of-the-art results in 8 out of 10 evaluation metrics as well as major network parameter reduction when compared to the traditional medical imaging architectures such as U-Nets.</t>
  </si>
  <si>
    <t>C. S. Perone, E. Calabrese and J. Cohen-Adad</t>
  </si>
  <si>
    <t>10.1186/s41747-018-0061-6</t>
  </si>
  <si>
    <t>Artificial intelligence in medical imaging: threat or opportunity? Radiologists again at the forefront of innovation in medicine</t>
  </si>
  <si>
    <t>One of the most promising areas of health innovation is the application of artificial intelligence (AI), primarily in medical imaging. This article provides basic definitions of terms such as machine/deep learning and analyses the integration of AI into radiology. Publications on AI have drastically increased from about 100-150 per year in 2007-2008 to 700-800 per year in 2016-2017. Magnetic resonance imaging and computed tomography collectively account for more than 50% of current articles. Neuroradiology appears in about one-third of the papers, followed by musculoskeletal, cardiovascular, breast, urogenital, lung/thorax, and abdomen, each representing 6-9% of articles. With an irreversible increase in the amount of data and the possibility to use AI to identify findings either detectable or not by the human eye, radiology is now moving from a subjective perceptual skill to a more objective science. Radiologists, who were on the forefront of the digital era in medicine, can guide the introduction of AI into healthcare. Yet, they will not be replaced because radiology includes communication of diagnosis, consideration of patient's values and preferences, medical judgment, quality assurance, education, policy-making, and interventional procedures. The higher efficiency provided by AI will allow radiologists to perform more value-added tasks, becoming more visible to patients and playing a vital role in multidisciplinary clinical teams.</t>
  </si>
  <si>
    <t>F. Pesapane, M. Codari and F. Sardanelli</t>
  </si>
  <si>
    <t>10.1007/s12032-020-01368-8</t>
  </si>
  <si>
    <t>Myths and facts about artificial intelligence: why machine- and deep-learning will not replace interventional radiologists</t>
  </si>
  <si>
    <t>Artificial intelligence (AI) is revolutionizing healthcare and transforming the clinical practice of physicians across the world. Radiology has a strong affinity for machine learning and is at the forefront of the paradigm shift, as machines compete with humans for cognitive abilities. AI is a computer science simulation of the human mind that utilizes algorithms based on collective human knowledge and the best available evidence to process various forms of inputs and deliver desired outcomes, such as clinical diagnoses and optimal treatment options. Despite the overwhelmingly positive uptake of the technology, warnings have been published about the potential dangers of AI. Concerns have been expressed reflecting opinions that future medicine based on AI will render radiologists irrelevant. Thus, how much of this is based on reality? To answer these questions, it is important to examine the facts, clarify where AI really stands and why many of these speculations are untrue. We aim to debunk the 6 top myths regarding AI in the future of radiologists.</t>
  </si>
  <si>
    <t>Med Oncol</t>
  </si>
  <si>
    <t>Learning to detect chest radiographs containing pulmonary lesions using visual attention networks</t>
  </si>
  <si>
    <t>Machine learning approaches hold great potential for the automated detection of lung nodules on chest radiographs, but training algorithms requires very large amounts of manually annotated radiographs, which are difficult to obtain. The increasing availability of PACS (Picture Archiving and Communication System), is laying the technological foundations needed to make available large volumes of clinical data and images from hospital archives. Binary labels indicating whether a radiograph contains a pulmonary lesion can be extracted at scale, using natural language processing algorithms. In this study, we propose two novel neural networks for the detection of chest radiographs containing pulmonary lesions. Both architectures make use of a large number of weakly-labelled images combined with a smaller number of manually annotated x-rays. The annotated lesions are used during training to deliver a type of visual attention feedback informing the networks about their lesion localisation performance. The first architecture extracts saliency maps from high-level convolutional layers and compares the inferred position of a lesion against the true position when this information is available; a localisation error is then back-propagated along with the softmax classification error. The second approach consists of a recurrent attention model that learns to observe a short sequence of smaller image portions through reinforcement learning; the reward function penalises the exploration of areas, within an image, that are unlikely to contain nodules. Using a repository of over 430,000 historical chest radiographs, we present and discuss the proposed methods over related architectures that use either weakly-labelled or annotated images only.</t>
  </si>
  <si>
    <t>E. Pesce, S. Joseph Withey, P. P. Ypsilantis, R. Bakewell, V. Goh and G. Montana</t>
  </si>
  <si>
    <t>Adaptive Augmentation of Medical Data Using Independently Conditional Variational Auto-Encoders</t>
  </si>
  <si>
    <t>Current deep supervised learning methods typically require large amounts of labeled data for training. Since there is a significant cost associated with clinical data acquisition and labeling, medical datasets used for training these models are relatively small in size. In this paper, we aim to alleviate this limitation by proposing a variational generative model along with an effective data augmentation approach that utilizes the generative model to synthesize data. In our approach, the model learns the probability distribution of image data conditioned on a latent variable and the corresponding labels. The trained model can then be used to synthesize new images for data augmentation. We demonstrate the effectiveness of the approach on two independent clinical datasets consisting of ultrasound images of the spine and magnetic resonance images of the brain. For the spine dataset, a baseline and a residual model achieve an accuracy of 85% and 92%, respectively, using our method compared to 78% and 83% using a conventional training approach for image classification task. For the brain dataset, a baseline and a U-net network achieve an accuracy of 84% and 88%, respectively, in Dice coefficient in tumor segmentation compared to 80% and 83% for the convention training approach.</t>
  </si>
  <si>
    <t>Automatic Localization of the Needle Target for Ultrasound-Guided Epidural Injections</t>
  </si>
  <si>
    <t>Accurate identification of the needle target is crucial for effective epidural anesthesia. Currently, epidural needle placement is administered by a manual technique, relying on the sense of feel, which has a significant failure rate. Moreover, misleading the needle may lead to inadequate anesthesia, post dural puncture headaches, and other potential complications. Ultrasound offers guidance to the physician for identification of the needle target, but accurate interpretation and localization remain challenges. A hybrid machine learning system is proposed to automatically localize the needle target for epidural needle placement in ultrasound images of the spine. In particular, a deep network architecture along with a feature augmentation technique is proposed for automatic identification of the anatomical landmarks of the epidural space in ultrasound images. Experimental results of the target localization on planes of 3-D as well as 2-D images have been compared against an expert sonographer. When compared with the expert annotations, the average lateral and vertical errors on the planes of 3-D test data were 1 and 0.4 mm, respectively. On 2-D test data set, an average lateral error of 1.7 mm and vertical error of 0.8 mm were acquired.</t>
  </si>
  <si>
    <t>M. Pesteie, V. Lessoway, P. Abolmaesumi and R. N. Rohling</t>
  </si>
  <si>
    <t>Data-Driven, Feature-Agnostic Deep Learning vs Retinal Nerve Fiber Layer Thickness for the Diagnosis of Glaucoma</t>
  </si>
  <si>
    <t>C. A. Petersen, P. Mehta and A. Y. Lee</t>
  </si>
  <si>
    <t>A comprehensive study on classification of COVID-19 on computed tomography with pretrained convolutional neural networks</t>
  </si>
  <si>
    <t>The use of imaging data has been reported to be useful for rapid diagnosis of COVID-19. Although computed tomography (CT) scans show a variety of signs caused by the viral infection, given a large amount of images, these visual features are difficult and can take a long time to be recognized by radiologists. Artificial intelligence methods for automated classification of COVID-19 on CT scans have been found to be very promising. However, current investigation of pretrained convolutional neural networks (CNNs) for COVID-19 diagnosis using CT data is limited. This study presents an investigation on 16 pretrained CNNs for classification of COVID-19 using a large public database of CT scans collected from COVID-19 patients and non-COVID-19 subjects. The results show that, using only 6 epochs for training, the CNNs achieved very high performance on the classification task. Among the 16 CNNs, DenseNet-201, which is the deepest net, is the best in terms of accuracy, balance between sensitivity and specificity, [Formula: see text] score, and area under curve. Furthermore, the implementation of transfer learning with the direct input of whole image slices and without the use of data augmentation provided better classification rates than the use of data augmentation. Such a finding alleviates the task of data augmentation and manual extraction of regions of interest on CT images, which are adopted by current implementation of deep-learning models for COVID-19 classification.</t>
  </si>
  <si>
    <t>T. D. Pham</t>
  </si>
  <si>
    <t>Unsupervised Two-Path Neural Network for Cell Event Detection and Classification Using Spatiotemporal Patterns</t>
  </si>
  <si>
    <t>Automatic event detection in cell videos is essential for monitoring cell populations in biomedicine. Deep learning methods have advantages over traditional approaches for cell event detection due to their ability to capture more discriminative features of cellular processes. Supervised deep learning methods, however, are inherently limited due to the scarcity of annotated data. Unsupervised deep learning methods have shown promise in general (non-cell) videos because they can learn the visual appearance and motion of regularly occurring events. Cell videos, however, can have rapid, irregular changes in cell appearance and motion, such as during cell division and death, which are often the events of most interest. We propose a novel unsupervised two-path input neural network architecture to capture these irregular events with three key elements: 1) a visual encoding path to capture regular spatiotemporal patterns of observed objects with convolutional long short-term memory units; 2) an event detection path to extract information related to irregular events with max-pooling layers; and 3) integration of the hidden states of the two paths to provide a comprehensive representation of the video that is used to simultaneously locate and classify cell events. We evaluated our network in detecting cell division in densely packed stem cells in phase-contrast microscopy videos. Our unsupervised method achieved higher or comparable accuracy to standard and state-of-the-art supervised methods.</t>
  </si>
  <si>
    <t>10.1007/s10278-019-00232-0</t>
  </si>
  <si>
    <t>RIL-Contour: a Medical Imaging Dataset Annotation Tool for and with Deep Learning</t>
  </si>
  <si>
    <t>Deep-learning algorithms typically fall within the domain of supervised artificial intelligence and are designed to learn from annotated data. Deep-learning models require large, diverse training datasets for optimal model convergence. The effort to curate these datasets is widely regarded as a barrier to the development of deep-learning systems. We developed RIL-Contour to accelerate medical image annotation for and with deep-learning. A major goal driving the development of the software was to create an environment which enables clinically oriented users to utilize deep-learning models to rapidly annotate medical imaging. RIL-Contour supports using fully automated deep-learning methods, semi-automated methods, and manual methods to annotate medical imaging with voxel and/or text annotations. To reduce annotation error, RIL-Contour promotes the standardization of image annotations across a dataset. RIL-Contour accelerates medical imaging annotation through the process of annotation by iterative deep learning (AID). The underlying concept of AID is to iteratively annotate, train, and utilize deep-learning models during the process of dataset annotation and model development. To enable this, RIL-Contour supports workflows in which multiple-image analysts annotate medical images, radiologists approve the annotations, and data scientists utilize these annotations to train deep-learning models. To automate the feedback loop between data scientists and image analysts, RIL-Contour provides mechanisms to enable data scientists to push deep newly trained deep-learning models to other users of the software. RIL-Contour and the AID methodology accelerate dataset annotation and model development by facilitating rapid collaboration between analysts, radiologists, and engineers.</t>
  </si>
  <si>
    <t>K. A. Philbrick, A. D. Weston, Z. Akkus, T. L. Kline, P. Korfiatis, T. Sakinis, P. Kostandy, A. Boonrod, A. Zeinoddini, N. Takahashi and B. J. Erickson</t>
  </si>
  <si>
    <t>What Does Deep Learning See? Insights From a Classifier Trained to Predict Contrast Enhancement Phase From CT Images</t>
  </si>
  <si>
    <t>OBJECTIVE: Deep learning has shown great promise for improving medical image classification tasks. However, knowing what aspects of an image the deep learning system uses or, in a manner of speaking, sees to make its prediction is difficult. MATERIALS AND METHODS: Within a radiologic imaging context, we investigated the utility of methods designed to identify features within images on which deep learning activates. In this study, we developed a classifier to identify contrast enhancement phase from whole-slice CT data. We then used this classifier as an easily interpretable system to explore the utility of class activation map (CAMs), gradient-weighted class activation maps (Grad-CAMs), saliency maps, guided backpropagation maps, and the saliency activation map, a novel map reported here, to identify image features the model used when performing prediction. RESULTS: All techniques identified voxels within imaging that the classifier used. SAMs had greater specificity than did guided backpropagation maps, CAMs, and Grad-CAMs at identifying voxels within imaging that the model used to perform prediction. At shallow network layers, SAMs had greater specificity than Grad-CAMs at identifying input voxels that the layers within the model used to perform prediction. CONCLUSION: As a whole, voxel-level visualizations and visualizations of the imaging features that activate shallow network layers are powerful techniques to identify features that deep learning models use when performing prediction.</t>
  </si>
  <si>
    <t>K. A. Philbrick, K. Yoshida, D. Inoue, Z. Akkus, T. L. Kline, A. D. Weston, P. Korfiatis, N. Takahashi and B. J. Erickson</t>
  </si>
  <si>
    <t>Assessment of Accuracy of an Artificial Intelligence Algorithm to Detect Melanoma in Images of Skin Lesions</t>
  </si>
  <si>
    <t>IMPORTANCE: A high proportion of suspicious pigmented skin lesions referred for investigation are benign. Techniques to improve the accuracy of melanoma diagnoses throughout the patient pathway are needed to reduce the pressure on secondary care and pathology services. OBJECTIVE: To determine the accuracy of an artificial intelligence algorithm in identifying melanoma in dermoscopic images of lesions taken with smartphone and digital single-lens reflex (DSLR) cameras. DESIGN, SETTING, AND PARTICIPANTS: This prospective, multicenter, single-arm, masked diagnostic trial took place in dermatology and plastic surgery clinics in 7 UK hospitals. Dermoscopic images of suspicious and control skin lesions from 514 patients with at least 1 suspicious pigmented skin lesion scheduled for biopsy were captured on 3 different cameras. Data were collected from January 2017 to July 2018. Clinicians and the Deep Ensemble for Recognition of Malignancy, a deterministic artificial intelligence algorithm trained to identify melanoma in dermoscopic images of pigmented skin lesions using deep learning techniques, assessed the likelihood of melanoma. Initial data analysis was conducted in September 2018; further analysis was conducted from February 2019 to August 2019. INTERVENTIONS: Clinician and algorithmic assessment of melanoma. MAIN OUTCOMES AND MEASURES: Area under the receiver operating characteristic curve (AUROC), sensitivity, and specificity of the algorithmic and specialist assessment, determined using histopathology diagnosis as the criterion standard. RESULTS: The study population of 514 patients included 279 women (55.7%) and 484 white patients (96.8%), with a mean (SD) age of 52.1 (18.6) years. A total of 1550 images of skin lesions were included in the analysis (551 [35.6%] biopsied lesions; 999 [64.4%] control lesions); 286 images (18.6%) were used to train the algorithm, and a further 849 (54.8%) images were missing or unsuitable for analysis. Of the biopsied lesions that were assessed by the algorithm and specialists, 125 (22.7%) were diagnosed as melanoma. Of these, 77 (16.7%) were used for the primary analysis. The algorithm achieved an AUROC of 90.1% (95% CI, 86.3%-94.0%) for biopsied lesions and 95.8% (95% CI, 94.1%-97.6%) for all lesions using iPhone 6s images; an AUROC of 85.8% (95% CI, 81.0%-90.7%) for biopsied lesions and 93.8% (95% CI, 91.4%-96.2%) for all lesions using Galaxy S6 images; and an AUROC of 86.9% (95% CI, 80.8%-93.0%) for biopsied lesions and 91.8% (95% CI, 87.5%-96.1%) for all lesions using DSLR camera images. At 100% sensitivity, the algorithm achieved a specificity of 64.8% with iPhone 6s images. Specialists achieved an AUROC of 77.8% (95% CI, 72.5%-81.9%) and a specificity of 69.9%. CONCLUSIONS AND RELEVANCE: In this study, the algorithm demonstrated an ability to identify melanoma from dermoscopic images of selected lesions with an accuracy similar to that of specialists.</t>
  </si>
  <si>
    <t>Multi-planar 3D breast segmentation in MRI via deep convolutional neural networks</t>
  </si>
  <si>
    <t>Nowadays, Dynamic Contrast Enhanced-Magnetic Resonance Imaging (DCE-MRI) has demonstrated to be a valid complementary diagnostic tool for early detection and diagnosis of breast cancer. However, without a CAD (Computer Aided Detection) system, manual DCE-MRI examination can be difficult and error-prone. The early stage of breast tissue segmentation, in a typical CAD, is crucial to increase reliability and reduce the computational effort by reducing the number of voxels to analyze and removing foreign tissues and air. In recent years, the deep convolutional neural networks (CNNs) enabled a sensible improvement in many visual tasks automation, such as image classification and object recognition. These advances also involved radiomics, enabling high-throughput extraction of quantitative features, resulting in a strong improvement in automatic diagnosis through medical imaging. However, machine learning and, in particular, deep learning approaches are gaining popularity in the radiomics field for tissue segmentation. This work aims to accurately segment breast parenchyma from the air and other tissues (such as chest-wall) by applying an ensemble of deep CNNs on 3D MR data. The novelty, besides applying cutting-edge techniques in the radiomics field, is a multi-planar combination of U-Net CNNs by a suitable projection-fusing approach, enabling multi-protocol applications. The proposed approach has been validated over two different datasets for a total of 109 DCE-MRI studies with histopathologically proven lesions and two different acquisition protocols. The median dice similarity index for both the datasets is 96.60 % (±0.30 %) and 95.78 % (±0.51 %) respectively with p &lt; 0.05, and 100% of neoplastic lesion coverage.</t>
  </si>
  <si>
    <t>Automated CT biomarkers for opportunistic prediction of future cardiovascular events and mortality in an asymptomatic screening population: a retrospective cohort study</t>
  </si>
  <si>
    <t>BACKGROUND: Body CT scans are frequently performed for a wide variety of clinical indications, but potentially valuable biometric information typically goes unused. We investigated the prognostic ability of automated CT-based body composition biomarkers derived from previously-developed deep-learning and feature-based algorithms for predicting major cardiovascular events and overall survival in an adult screening cohort, compared with clinical parameters. METHODS: Mature and fully-automated CT-based algorithms with pre-defined metrics for quantifying aortic calcification, muscle density, visceral/subcutaneous fat, liver fat, and bone mineral density (BMD) were applied to a generally-healthy asymptomatic outpatient cohort of 9223 adults (mean age, 57.1 years; 5152 women) undergoing abdominal CT for routine colorectal cancer screening. Longitudinal clinical follow-up (median, 8.8 years; IQR, 5.1-11.6 years) documented subsequent major cardiovascular events or death in 19.7% (n=1831). Predictive ability of CT-based biomarkers was compared against the Framingham Risk Score (FRS) and body mass index (BMI). FINDINGS: Significant differences were observed for all five automated CT-based body composition measures according to adverse events (p&lt;0.001). Univariate 5-year AUROC (with 95% CI) for automated CT-based aortic calcification, muscle density, visceral/subcutaneous fat ratio, liver density, and vertebral density for predicting death were 0.743(0.705-0.780)/0.721(0.683-0.759)/0.661(0.625-0.697)/0.619 (0.582-0.656)/0.646(0.603-0.688), respectively, compared with 0.499(0.454-0.544) for BMI and 0.688(0.650-0.727) for FRS (p&lt;0.05 for aortic calcification vs. FRS and BMI); all trends were similar for 2-year and 10-year ROC analyses. Univariate hazard ratios (with 95% CIs) for highest-risk quartile versus others for these same CT measures were 4.53(3.82-5.37) /3.58(3.02-4.23)/2.28(1.92-2.71)/1.82(1.52-2.17)/2.73(2.31-3.23), compared with 1.36(1.13-1.64) and 2.82(2.36-3.37) for BMI and FRS, respectively. Similar significant trends were observed for cardiovascular events. Multivariate combinations of CT biomarkers further improved prediction over clinical parameters (p&lt;0.05 for AUROCs). For example, by combining aortic calcification, muscle density, and liver density, the 2-year AUROC for predicting overall survival was 0.811 (0.761-0.860). INTERPRETATION: Fully-automated quantitative tissue biomarkers derived from CT scans can outperform established clinical parameters for pre-symptomatic risk stratification for future serious adverse events, and add opportunistic value to CT scans performed for other indications.</t>
  </si>
  <si>
    <t>Using deep belief network modelling to characterize differences in brain morphometry in schizophrenia</t>
  </si>
  <si>
    <t>Neuroimaging-based models contribute to increasing our understanding of schizophrenia pathophysiology and can reveal the underlying characteristics of this and other clinical conditions. However, the considerable variability in reported neuroimaging results mirrors the heterogeneity of the disorder. Machine learning methods capable of representing invariant features could circumvent this problem. In this structural MRI study, we trained a deep learning model known as deep belief network (DBN) to extract features from brain morphometry data and investigated its performance in discriminating between healthy controls (N = 83) and patients with schizophrenia (N = 143). We further analysed performance in classifying patients with a first-episode psychosis (N = 32). The DBN highlighted differences between classes, especially in the frontal, temporal, parietal, and insular cortices, and in some subcortical regions, including the corpus callosum, putamen, and cerebellum. The DBN was slightly more accurate as a classifier (accuracy = 73.6%) than the support vector machine (accuracy = 68.1%). Finally, the error rate of the DBN in classifying first-episode patients was 56.3%, indicating that the representations learned from patients with schizophrenia and healthy controls were not suitable to define these patients. Our data suggest that deep learning could improve our understanding of psychiatric disorders such as schizophrenia by improving neuromorphometric analyses.</t>
  </si>
  <si>
    <t>W. H. Pinaya, A. Gadelha, O. M. Doyle, C. Noto, A. Zugman, Q. Cordeiro, A. P. Jackowski, R. A. Bressan and J. R. Sato</t>
  </si>
  <si>
    <t>Using deep autoencoders to identify abnormal brain structural patterns in neuropsychiatric disorders: A large-scale multi-sample study</t>
  </si>
  <si>
    <t>Machine learning is becoming an increasingly popular approach for investigating spatially distributed and subtle neuroanatomical alterations in brain-based disorders. However, some machine learning models have been criticized for requiring a large number of cases in each experimental group, and for resembling a black box that provides little or no insight into the nature of the data. In this article, we propose an alternative conceptual and practical approach for investigating brain-based disorders which aim to overcome these limitations. We used an artificial neural network known as deep autoencoder to create a normative model using structural magnetic resonance imaging data from 1,113 healthy people. We then used this model to estimate total and regional neuroanatomical deviation in individual patients with schizophrenia and autism spectrum disorder using two independent data sets (n = 263). We report that the model was able to generate different values of total neuroanatomical deviation for each disease under investigation relative to their control group (p &lt; .005). Furthermore, the model revealed distinct patterns of neuroanatomical deviations for the two diseases, consistent with the existing neuroimaging literature. We conclude that the deep autoencoder provides a flexible and promising framework for assessing total and regional neuroanatomical deviations in neuropsychiatric populations.</t>
  </si>
  <si>
    <t>Using Deep Learning Algorithms to Automatically Identify the Brain MRI Contrast: Implications for Managing Large Databases</t>
  </si>
  <si>
    <t>Neuroimaging science has seen a recent explosion in dataset size driving the need to develop database management with efficient processing pipelines. Multi-center neuroimaging databases consistently receive magnetic resonance imaging (MRI) data with unlabeled or incorrectly labeled contrast. There is a need to automatically identify the contrast of MRI scans to save database-managing facilities valuable resources spent by trained technicians required for visual inspection. We developed a deep learning (DL) algorithm with convolution neural network architecture to automatically infer the contrast of MRI scans based on the image intensity of multiple slices. For comparison, we developed a random forest (RF) algorithm to automatically infer the contrast of MRI scans based on acquisition parameters. The DL algorithm was able to automatically identify the MRI contrast of an unseen dataset with &lt;0.2% error rate. The RF algorithm was able to identify the MRI contrast of the same dataset with 1.74% error rate. Our analysis showed that reduced dataset sizes caused the DL algorithm to lose generalizability. Finally, we developed a confidence measure, which made it possible to detect, with 100% specificity, all MRI volumes that were misclassified by the DL algorithm. This confidence measure can be used to alert the user on the need to inspect the small fraction of MRI volumes that are prone to misclassification. Our study introduces a practical solution for automatically identifying the MRI contrast. Furthermore, it demonstrates the powerful combination of convolution neural networks and DL for analyzing large MRI datasets.</t>
  </si>
  <si>
    <t>R. Pizarro, H. E. Assemlal, D. De Nigris, C. Elliott, S. Antel, D. Arnold and A. Shmuel</t>
  </si>
  <si>
    <t>Reading the (functional) writing on the (structural) wall: Multimodal fusion of brain structure and function via a deep neural network based translation approach reveals novel impairments in schizophrenia</t>
  </si>
  <si>
    <t>This work presents a novel approach to finding linkage/association between multimodal brain imaging data, such as structural MRI (sMRI) and functional MRI (fMRI). Motivated by the machine translation domain, we employ a deep learning model, and consider two different imaging views of the same brain like two different languages conveying some common facts. That analogy enables finding linkages between two modalities. The proposed translation-based fusion model contains a computing layer that learns alignments (or links) between dynamic connectivity features from fMRI data and static gray matter patterns from sMRI data. The approach is evaluated on a multi-site dataset consisting of eyes-closed resting state imaging data collected from 298 subjects (age- and gender matched 154 healthy controls and 144 patients with schizophrenia). Results are further confirmed on an independent dataset consisting of eyes-open resting state imaging data from 189 subjects (age- and gender matched 91 healthy controls and 98 patients with schizophrenia). We used dynamic functional connectivity (dFNC) states as the functional features and ICA-based sources from gray matter densities as the structural features. The dFNC states characterized by weakly correlated intrinsic connectivity networks (ICNs) were found to have stronger association with putamen and insular gray matter pattern, while the dFNC states of profuse strongly correlated ICNs exhibited stronger links with the gray matter pattern in precuneus, posterior cingulate cortex (PCC), and temporal cortex. Further investigation with the estimated link strength (or alignment score) showed significant group differences between healthy controls and patients with schizophrenia in several key regions including temporal lobe, and linked these to connectivity states showing less occupancy in healthy controls. Moreover, this novel approach revealed significant correlation between a cognitive score (attention/vigilance) and the function/structure alignment score that was not detected when data modalities were considered separately.</t>
  </si>
  <si>
    <t>S. M. Plis, M. F. Amin, A. Chekroud, D. Hjelm, E. Damaraju, H. J. Lee, J. R. Bustillo, K. Cho, G. D. Pearlson and V. D. Calhoun</t>
  </si>
  <si>
    <t>10.1136/neurintsurg-2019-015214</t>
  </si>
  <si>
    <t>Automatic radiomic feature extraction using deep learning for angiographic parametric imaging of intracranial aneurysms</t>
  </si>
  <si>
    <t>BACKGROUND: Angiographic parametric imaging (API) is an imaging method that uses digital subtraction angiography (DSA) to characterize contrast media dynamics throughout the vasculature. This requires manual placement of a region of interest over a lesion (eg, an aneurysm sac) by an operator. OBJECTIVE: The purpose of our work was to determine if a convolutional neural network (CNN) was able to identify and segment the intracranial aneurysm (IA) sac in a DSA and extract API radiomic features with minimal errors compared with human user results. METHODS: Three hundred and fifty angiographic images of IAs were retrospectively collected. The IAs and surrounding vasculature were manually contoured and the masks put to a CNN tasked with semantic segmentation. The CNN segmentations were assessed for accuracy using the Dice similarity coefficient (DSC) and Jaccard index (JI). Area under the receiver operating characteristic curve (AUROC) was computed. API features based on the CNN segmentation were compared with the human user results. RESULTS: The mean JI was 0.823 (95% CI 0.783 to 0.863) for the IA and 0.737 (95% CI 0.682 to 0.792) for the vasculature. The mean DSC was 0.903 (95% CI 0.867 to 0.937) for the IA and 0.849 (95% CI 0.811 to 0.887) for the vasculature. The mean AUROC was 0.791 (95% CI 0.740 to 0.817) for the IA and 0.715 (95% CI 0.678 to 0.733) for the vasculature. All five API features measured inside the predicted masks were within 18% of those measured inside manually contoured masks. CONCLUSIONS: CNN segmentation of IAs and surrounding vasculature from DSA images is non-inferior to manual contours of aneurysms and can be used in parametric imaging procedures.</t>
  </si>
  <si>
    <t>Deep learning-based quantification of PET/CT prostate gland uptake: association with overall survival</t>
  </si>
  <si>
    <t>AIM: To validate a deep-learning (DL) algorithm for automated quantification of prostate cancer on positron emission tomography/computed tomography (PET/CT) and explore the potential of PET/CT measurements as prognostic biomarkers. MATERIAL AND METHODS: Training of the DL-algorithm regarding prostate volume was performed on manually segmented CT images in 100 patients. Validation of the DL-algorithm was carried out in 45 patients with biopsy-proven hormone-naïve prostate cancer. The automated measurements of prostate volume were compared with manual measurements made independently by two observers. PET/CT measurements of tumour burden based on volume and SUV of abnormal voxels were calculated automatically. Voxels in the co-registered (18) F-choline PET images above a standardized uptake value (SUV) of 2·65, and corresponding to the prostate as defined by the automated segmentation in the CT images, were defined as abnormal. Validation of abnormal voxels was performed by manual segmentation of radiotracer uptake. Agreement between algorithm and observers regarding prostate volume was analysed by Sørensen-Dice index (SDI). Associations between automatically based PET/CT biomarkers and age, prostate-specific antigen (PSA), Gleason score as well as overall survival were evaluated by a univariate Cox regression model. RESULTS: The SDI between the automated and the manual volume segmentations was 0·78 and 0·79, respectively. Automated PET/CT measures reflecting total lesion uptake and the relation between volume of abnormal voxels and total prostate volume were significantly associated with overall survival (P = 0·02), whereas age, PSA, and Gleason score were not. CONCLUSION: Automated PET/CT biomarkers showed good agreement to manual measurements and were significantly associated with overall survival.</t>
  </si>
  <si>
    <t>Clin Physiol Funct Imaging</t>
  </si>
  <si>
    <t>AI-doscopist: a real-time deep-learning-based algorithm for localising polyps in colonoscopy videos with edge computing devices</t>
  </si>
  <si>
    <t>We have designed a deep-learning model, an Artificial Intelligent Endoscopist (a.k.a. AI-doscopist), to localise colonic neoplasia during colonoscopy. This study aims to evaluate the agreement between endoscopists and AI-doscopist for colorectal neoplasm localisation. AI-doscopist was pre-trained by 1.2 million non-medical images and fine-tuned by 291,090 colonoscopy and non-medical images. The colonoscopy images were obtained from six databases, where the colonoscopy images were classified into 13 categories and the polyps' locations were marked image-by-image by the smallest bounding boxes. Seven categories of non-medical images, which were believed to share some common features with colorectal polyps, were downloaded from an online search engine. Written informed consent were obtained from 144 patients who underwent colonoscopy and their full colonoscopy videos were prospectively recorded for evaluation. A total of 128 suspicious lesions were resected or biopsied for histological confirmation. When evaluated image-by-image on the 144 full colonoscopies, the specificity of AI-doscopist was 93.3%. AI-doscopist were able to localise 124 out of 128 polyps (polyp-based sensitivity = 96.9%). Furthermore, after reviewing the suspected regions highlighted by AI-doscopist in a 102-patient cohort, an endoscopist has high confidence in recognizing four missed polyps in three patients who were not diagnosed with any lesion during their original colonoscopies. In summary, AI-doscopist can localise 96.9% of the polyps resected by the endoscopists. If AI-doscopist were to be used in real-time, it can potentially assist endoscopists in detecting one more patient with polyp in every 20-33 colonoscopies.</t>
  </si>
  <si>
    <t>Prediction of cardiovascular risk factors from retinal fundus photographs via deep learning</t>
  </si>
  <si>
    <t>Traditionally, medical discoveries are made by observing associations, making hypotheses from them and then designing and running experiments to test the hypotheses. However, with medical images, observing and quantifying associations can often be difficult because of the wide variety of features, patterns, colours, values and shapes that are present in real data. Here, we show that deep learning can extract new knowledge from retinal fundus images. Using deep-learning models trained on data from 284,335 patients and validated on two independent datasets of 12,026 and 999 patients, we predicted cardiovascular risk factors not previously thought to be present or quantifiable in retinal images, such as age (mean absolute error within 3.26 years), gender (area under the receiver operating characteristic curve (AUC) = 0.97), smoking status (AUC = 0.71), systolic blood pressure (mean absolute error within 11.23 mmHg) and major adverse cardiac events (AUC = 0.70). We also show that the trained deep-learning models used anatomical features, such as the optic disc or blood vessels, to generate each prediction.</t>
  </si>
  <si>
    <t>R. Poplin, A. V. Varadarajan, K. Blumer, Y. Liu, M. V. McConnell, G. S. Corrado, L. Peng and D. R. Webster</t>
  </si>
  <si>
    <t>IDRiD: Diabetic Retinopathy - Segmentation and Grading Challenge</t>
  </si>
  <si>
    <t>Diabetic Retinopathy (DR) is the most common cause of avoidable vision loss, predominantly affecting the working-age population across the globe. Screening for DR, coupled with timely consultation and treatment, is a globally trusted policy to avoid vision loss. However, implementation of DR screening programs is challenging due to the scarcity of medical professionals able to screen a growing global diabetic population at risk for DR. Computer-aided disease diagnosis in retinal image analysis could provide a sustainable approach for such large-scale screening effort. The recent scientific advances in computing capacity and machine learning approaches provide an avenue for biomedical scientists to reach this goal. Aiming to advance the state-of-the-art in automatic DR diagnosis, a grand challenge on Diabetic Retinopathy - Segmentation and Grading was organized in conjunction with the IEEE International Symposium on Biomedical Imaging (ISBI - 2018). In this paper, we report the set-up and results of this challenge that is primarily based on Indian Diabetic Retinopathy Image Dataset (IDRiD). There were three principal sub-challenges: lesion segmentation, disease severity grading, and localization of retinal landmarks and segmentation. These multiple tasks in this challenge allow to test the generalizability of algorithms, and this is what makes it different from existing ones. It received a positive response from the scientific community with 148 submissions from 495 registrations effectively entered in this challenge. This paper outlines the challenge, its organization, the dataset used, evaluation methods and results of top-performing participating solutions. The top-performing approaches utilized a blend of clinical information, data augmentation, and an ensemble of models. These findings have the potential to enable new developments in retinal image analysis and image-based DR screening in particular.</t>
  </si>
  <si>
    <t>10.1007/s00105-020-04663-7</t>
  </si>
  <si>
    <t>[Artificial intelligence in image analysis-fundamentals and new developments]</t>
  </si>
  <si>
    <t>BACKGROUND: Since 2017, there have been several reports of artificial intelligence (AI) achieving comparable performance to human experts on medical image analysis tasks. With the first ratification of a computer vision algorithm as a medical device in 2018, the way was paved for these methods to eventually become an integral part of modern clinical practice. OBJECTIVES: The purpose of this article is to review the main developments that have occurred over the last few years in AI for image analysis, in relation to clinical applications and dermatology. MATERIALS AND METHODS: Following the annual ImageNet challenge, we review classical methods of machine learning for image analysis and demonstrate how these methods incorporated human expertise but failed to meet industrial requirements regarding performance and scalability. With the rise of deep learning based on artificial neural networks, these limitations could be overcome. We discuss important aspects of this technology including transfer learning and report on recent developments such as explainable AI and generative models. RESULTS: Deep learning models achieved performance on a par with human experts in a broad variety of diagnostic tasks and were shown to be suitable for industrialization. Therefore, current developments focus less on further improving accuracy but rather address open issues such as interpretability and applicability under clinical conditions. Upcoming generative models allow for entirely new applications. CONCLUSIONS: Deep learning has a history of remarkable success and has become the new technical standard for image analysis. The dramatic improvement these models brought over classical approaches enables applications in a rapidly increasing number of clinical fields. In dermatology, as in many other domains, artificial intelligence still faces considerable challenges but is undoubtedly developing into an essential tool of modern medicine.</t>
  </si>
  <si>
    <t>Hautarzt</t>
  </si>
  <si>
    <t>Automated lesion segmentation and dermoscopic feature segmentation for skin cancer analysis</t>
  </si>
  <si>
    <t>Segmentation is the first and most important task in computer-based diagnosis of skin cancer since other tasks are relied mainly on accurately segmented lesions. Recently, deep learning as a mainstream method in machine learning has shown promising results on semantic image segmentation. In this paper, we demonstrate applying deep convolutional networks to two main segmentation tasks in melanoma diagnosis, a lesion segmentation task followed by a lesion dermoscopic feature segmentation task. The proposed method is evaluated on a database from ISBI challenge 2016. By using a hybrid model, computation load for the second task decreases and masks provided by lesion segmentation have been used to enhance the results for the feature segmentation task as well. The results are close to the best results of ISBI challenge 2016. The proposed model yields quite promising results although it is based on very initial hybrid model without an aggressive fine-tuning that is heavily required in Deep Learning implementations. Therefore, there is a room for further improvements.</t>
  </si>
  <si>
    <t>M. P. Pour, H. Seker and S. Ling</t>
  </si>
  <si>
    <t>10.1007/s00347-018-0708-y</t>
  </si>
  <si>
    <t>[Deep learning to support therapy decisions for intravitreal injections]</t>
  </si>
  <si>
    <t>Significant progress has been made in artificial intelligence and computer vision research in recent years. Machine learning methods excel in a wide variety of tasks where sufficient data are available. We describe the application of a deep convolutional neural network for the prediction of treatment indication with anti-vascular endothelial growth factor (VEGF) medications based on central retinal optical coherence tomography (OCT) scans. The neural network classifier was trained with OCT images acquired during routine treatment at the University of Regensburg over the years 2008-2016. In over 95% of the cases the treatment indication was accurately predicted based on a singular OCT B scan without human intervention. Despite promising classification the results of deep learning techniques, should always be controlled by the treating physician because false classification can never be excluded due to the probabilistic nature of the method.</t>
  </si>
  <si>
    <t>OCT-based deep learning algorithm for the evaluation of treatment indication with anti-vascular endothelial growth factor medications</t>
  </si>
  <si>
    <t>PURPOSE: Intravitreal injections with anti-vascular endothelial growth factor (anti-VEGF) medications have become the standard of care for their respective indications. Optical coherence tomography (OCT) scans of the central retina provide detailed anatomical data and are widely used by clinicians in the decision-making process of anti-VEGF indication. In recent years, significant progress has been made in artificial intelligence and computer vision research. We trained a deep convolutional artificial neural network to predict treatment indication based on central retinal OCT scans without human intervention. METHOD: A total of 183,402 retinal OCT B-scans acquired between 2008 and 2016 were exported from the institutional image archive of a university hospital. OCT images were cross-referenced with the electronic institutional intravitreal injection records. OCT images with a following intravitreal injection during the first 21 days after image acquisition were assigned into the 'injection' group, while the same amount of random OCT images without intravitreal injections was labeled as 'no injection'. After image preprocessing, OCT images were split in a 9:1 ratio to training and test datasets. We trained a GoogLeNet inception deep convolutional neural network and assessed its performance on the validation dataset. We calculated prediction accuracy, sensitivity, specificity, and receiver operating characteristics. RESULTS: The deep convolutional neural network was successfully trained on the extracted clinical data. The trained neural network classifier reached a prediction accuracy of 95.5% on the images in the validation dataset. For single retinal B-scans in the validation dataset, a sensitivity of 90.1% and a specificity of 96.2% were achieved. The area under the receiver operating characteristic curve was 0.968 on a per B-scan image basis, and 0.988 by averaging over six B-scans per examination on the validation dataset. CONCLUSION: Deep artificial neural networks show impressive performance on classification of retinal OCT scans. After training on historical clinical data, machine learning methods can offer the clinician support in the decision-making process. Care should be taken not to mistake neural network output as treatment recommendation and to ensure a final thorough evaluation by the treating physician.</t>
  </si>
  <si>
    <t>P. Prahs, V. Radeck, C. Mayer, Y. Cvetkov, N. Cvetkova, H. Helbig and D. Märker</t>
  </si>
  <si>
    <t>Deep learning and SURF for automated classification and detection of calcaneus fractures in CT images</t>
  </si>
  <si>
    <t>BACKGROUND AND OBJECTIVES: The calcaneus is the most fracture-prone tarsal bone and injuries to the surrounding tissue are some of the most difficult to treat. Currently there is a lack of consensus on treatment or interpretation of computed tomography (CT) images for calcaneus fractures. This study proposes a novel computer-assisted method for automated classification and detection of fracture locations in calcaneus CT images using a deep learning algorithm. METHODS: Two types of Convolutional Neural Network (CNN) architectures with different network depths, a Residual network (ResNet) and a Visual geometry group (VGG), were evaluated and compared for the classification performance of CT scans into fracture and non-fracture categories based on coronal, sagittal, and transverse views. The bone fracture detection algorithm incorporated fracture area matching using the speeded-up robust features (SURF) method, Canny edge detection, and contour tracing. RESULTS: Results showed that ResNet was comparable in accuracy (98%) to the VGG network for bone fracture classification but achieved better performance for involving a deeper neural network architecture. ResNet classification results were used as the input for detecting the location and type of bone fracture using SURF algorithm. CONCLUSIONS: Results from real patient fracture data sets demonstrate the feasibility using deep CNN and SURF for computer-aided classification and detection of the location of calcaneus fractures in CT images.</t>
  </si>
  <si>
    <t>Y. D. Pranata, K. C. Wang, J. C. Wang, I. Idram, J. Y. Lai, J. W. Liu and I. H. Hsieh</t>
  </si>
  <si>
    <t>Deep feature learning for knee cartilage segmentation using a triplanar convolutional neural network</t>
  </si>
  <si>
    <t>Segmentation of anatomical structures in medical images is often based on a voxel/pixel classification approach. Deep learning systems, such as convolutional neural networks (CNNs), can infer a hierarchical representation of images that fosters categorization. We propose a novel system for voxel classification integrating three 2D CNNs, which have a one-to-one association with the xy, yz and zx planes of 3D image, respectively. We applied our method to the segmentation of tibial cartilage in low field knee MRI scans and tested it on 114 unseen scans. Although our method uses only 2D features at a single scale, it performs better than a state-of-the-art method using 3D multi-scale features. In the latter approach, the features and the classifier have been carefully adapted to the problem at hand. That we were able to get better results by a deep learning architecture that autonomously learns the features from the images is the main insight of this study.</t>
  </si>
  <si>
    <t>A. Prasoon, K. Petersen, C. Igel, F. Lauze, E. Dam and M. Nielsen</t>
  </si>
  <si>
    <t>Novel Approaches for Diagnosing Melanoma Skin Lesions Through Supervised and Deep Learning Algorithms</t>
  </si>
  <si>
    <t>Dermoscopy is a technique used to capture the images of skin, and these images are useful to analyze the different types of skin diseases. Malignant melanoma is a kind of skin cancer whose severity even leads to death. Earlier detection of melanoma prevents death and the clinicians can treat the patients to increase the chances of survival. Only few machine learning algorithms are developed to detect the melanoma using its features. This paper proposes a Computer Aided Diagnosis (CAD) system which equips efficient algorithms to classify and predict the melanoma. Enhancement of the images are done using Contrast Limited Adaptive Histogram Equalization technique (CLAHE) and median filter. A new segmentation algorithm called Normalized Otsu's Segmentation (NOS) is implemented to segment the affected skin lesion from the normal skin, which overcomes the problem of variable illumination. Fifteen features are derived and extracted from the segmented images are fed into the proposed classification techniques like Deep Learning based Neural Networks and Hybrid Adaboost-Support Vector Machine (SVM) algorithms. The proposed system is tested and validated with nearly 992 images (malignant &amp; benign lesions) and it provides a high classification accuracy of 93 %. The proposed CAD system can assist the dermatologists to confirm the decision of the diagnosis and to avoid excisional biopsies.</t>
  </si>
  <si>
    <t>J. Premaladha and K. S. Ravichandran</t>
  </si>
  <si>
    <t>Segmentation of the foveal microvasculature using deep learning networks</t>
  </si>
  <si>
    <t>Accurate segmentation of the retinal microvasculature is a critical step in the quantitative analysis of the retinal circulation, which can be an important marker in evaluating the severity of retinal diseases. As manual segmentation remains the gold standard for segmentation of optical coherence tomography angiography (OCT-A) images, we present a method for automating the segmentation of OCT-A images using deep neural networks (DNNs). Eighty OCT-A images of the foveal region in 12 eyes from 6 healthy volunteers were acquired using a prototype OCT-A system and subsequently manually segmented. The automated segmentation of the blood vessels in the OCT-A images was then performed by classifying each pixel into vessel or nonvessel class using deep convolutional neural networks. When the automated results were compared against the manual segmentation results, a maximum mean accuracy of 0.83 was obtained. When the automated results were compared with inter and intrarater accuracies, the automated results were shown to be comparable to the human raters suggesting that segmentation using DNNs is comparable to a second manual rater. As manually segmenting the retinal microvasculature is a tedious task, having a reliable automated output such as automated segmentation by DNNs, is an important step in creating an automated output.</t>
  </si>
  <si>
    <t>P. Prentašic, M. Heisler, Z. Mammo, S. Lee, A. Merkur, E. Navajas, M. F. Beg, M. Šarunic and S. Loncaric</t>
  </si>
  <si>
    <t>Automated Critical Test Findings Identification and Online Notification System Using Artificial Intelligence in Imaging</t>
  </si>
  <si>
    <t>Purpose To evaluate the performance of an artificial intelligence (AI) tool using a deep learning algorithm for detecting hemorrhage, mass effect, or hydrocephalus (HMH) at non-contrast material-enhanced head computed tomographic (CT) examinations and to determine algorithm performance for detection of suspected acute infarct (SAI). Materials and Methods This HIPAA-compliant retrospective study was completed after institutional review board approval. A training and validation dataset of noncontrast-enhanced head CT examinations that comprised 100 examinations of HMH, 22 of SAI, and 124 of noncritical findings was obtained resulting in 2583 representative images. Examinations were processed by using a convolutional neural network (deep learning) using two different window and level configurations (brain window and stroke window). AI algorithm performance was tested on a separate dataset containing 50 examinations with HMH findings, 15 with SAI findings, and 35 with noncritical findings. Results Final algorithm performance for HMH showed 90% (45 of 50) sensitivity (95% confidence interval [CI]: 78%, 97%) and 85% (68 of 80) specificity (95% CI: 76%, 92%), with area under the receiver operating characteristic curve (AUC) of 0.91 with the brain window. For SAI, the best performance was achieved with the stroke window showing 62% (13 of 21) sensitivity (95% CI: 38%, 82%) and 96% (27 of 28) specificity (95% CI: 82%, 100%), with AUC of 0.81. Conclusion AI using deep learning demonstrates promise for detecting critical findings at noncontrast-enhanced head CT. A dedicated algorithm was required to detect SAI. Detection of SAI showed lower sensitivity in comparison to detection of HMH, but showed reasonable performance. Findings support further investigation of the algorithm in a controlled and prospective clinical setting to determine whether it can independently screen noncontrast-enhanced head CT examinations and notify the interpreting radiologist of critical findings. (©) RSNA, 2017 Online supplemental material is available for this article.</t>
  </si>
  <si>
    <t>L. M. Prevedello, B. S. Erdal, J. L. Ryu, K. J. Little, M. Demirer, S. Qian and R. D. White</t>
  </si>
  <si>
    <t>3D freehand ultrasound without external tracking using deep learning</t>
  </si>
  <si>
    <t>This work aims at creating 3D freehand ultrasound reconstructions from 2D probes with image-based tracking, therefore not requiring expensive or cumbersome external tracking hardware. Existing model-based approaches such as speckle decorrelation only partially capture the underlying complexity of ultrasound image formation, thus producing reconstruction accuracies incompatible with current clinical requirements. Here, we introduce an alternative approach that relies on a statistical analysis rather than physical models, and use a convolutional neural network (CNN) to directly estimate the motion of successive ultrasound frames in an end-to-end fashion. We demonstrate how this technique is related to prior approaches, and derive how to further improve its predictive capabilities by incorporating additional information such as data from inertial measurement units (IMU). This novel method is thoroughly evaluated and analyzed on a dataset of 800 in vivo ultrasound sweeps, yielding unprecedentedly accurate reconstructions with a median normalized drift of 5.2%. Even on long sweeps exceeding 20 cm with complex trajectories, this allows to obtain length measurements with median errors of 3.4%, hence paving the way toward translation into clinical routine.</t>
  </si>
  <si>
    <t>R. Prevost, M. Salehi, S. Jagoda, N. Kumar, J. Sprung, A. Ladikos, R. Bauer, O. Zettinig and W. Wein</t>
  </si>
  <si>
    <t>Automated segmentation of haematoma and perihaematomal oedema in MRI of acute spontaneous intracerebral haemorrhage</t>
  </si>
  <si>
    <t>BACKGROUND: Spontaneous intracerebral haemorrhage (SICH) is a common condition with high morbidity and mortality. Segmentation of haematoma and perihaematoma oedema on medical images provides quantitative outcome measures for clinical trials and may provide important markers of prognosis in people with SICH. METHODS: We take advantage of improved contrast seen on magnetic resonance (MR) images of patients with acute and early subacute SICH and introduce an automated algorithm for haematoma and oedema segmentation from these images. To our knowledge, there is no previously proposed segmentation technique for SICH that utilises MR images directly. The method is based on shape and intensity analysis for haematoma segmentation and voxel-wise dynamic thresholding of hyper-intensities for oedema segmentation. RESULTS: Using Dice scores to measure segmentation overlaps between labellings yielded by the proposed algorithm and five different expert raters on 18 patients, we observe that our technique achieves overlap scores that are very similar to those obtained by pairwise expert rater comparison. A further comparison between the proposed method and a state-of-the-art Deep Learning segmentation on a separate set of 32 manually annotated subjects confirms the proposed method can achieve comparable results with very mild computational burden and in a completely training-free and unsupervised way. CONCLUSION: Our technique can be a computationally light and effective way to automatically delineate haematoma and oedema extent directly from MR images. Thus, with increasing use of MR images clinically after intracerebral haemorrhage this technique has the potential to inform clinical practice in the future.</t>
  </si>
  <si>
    <t>S. Pszczolkowski, Z. K. Law, R. G. Gallagher, D. Meng, D. J. Swienton, P. S. Morgan, P. M. Bath, N. Sprigg and R. A. Dineen</t>
  </si>
  <si>
    <t>Automated quantification of COVID-19 severity and progression using chest CT images</t>
  </si>
  <si>
    <t>OBJECTIVE: To develop and test computer software to detect, quantify, and monitor progression of pneumonia associated with COVID-19 using chest CT scans. METHODS: One hundred twenty chest CT scans from subjects with lung infiltrates were used for training deep learning algorithms to segment lung regions and vessels. Seventy-two serial scans from 24 COVID-19 subjects were used to develop and test algorithms to detect and quantify the presence and progression of infiltrates associated with COVID-19. The algorithm included (1) automated lung boundary and vessel segmentation, (2) registration of the lung boundary between serial scans, (3) computerized identification of the pneumonitis regions, and (4) assessment of disease progression. Agreement between radiologist manually delineated regions and computer-detected regions was assessed using the Dice coefficient. Serial scans were registered and used to generate a heatmap visualizing the change between scans. Two radiologists, using a five-point Likert scale, subjectively rated heatmap accuracy in representing progression. RESULTS: There was strong agreement between computer detection and the manual delineation of pneumonic regions with a Dice coefficient of 81% (CI 76-86%). In detecting large pneumonia regions (&gt; 200 mm(3)), the algorithm had a sensitivity of 95% (CI 94-97%) and specificity of 84% (CI 81-86%). Radiologists rated 95% (CI 72 to 99) of heatmaps at least acceptable for representing disease progression. CONCLUSION: The preliminary results suggested the feasibility of using computer software to detect and quantify pneumonic regions associated with COVID-19 and to generate heatmaps that can be used to visualize and assess progression. KEY POINTS: • Both computer vision and deep learning technology were used to develop computer software to quantify the presence and progression of pneumonia associated with COVID-19 depicted on CT images. • The computer software was tested using both quantitative experiments and subjective assessment. • The computer software has the potential to assist in the detection of the pneumonic regions, monitor disease progression, and assess treatment efficacy related to COVID-19.</t>
  </si>
  <si>
    <t>Neuroimaging modality fusion in Alzheimer's classification using convolutional neural networks</t>
  </si>
  <si>
    <t>Automated methods for Alzheimer's disease (AD) classification have the potential for great clinical benefits and may provide insight for combating the disease. Machine learning, and more specifically deep neural networks, have been shown to have great efficacy in this domain. These algorithms often use neurological imaging data such as MRI and FDG PET, but a comprehensive and balanced comparison of the MRI and amyloid PET modalities has not been performed. In order to accurately determine the relative strength of each imaging variant, this work performs a comparison study in the context of Alzheimer's dementia classification using the Alzheimer's Disease Neuroimaging Initiative (ADNI) dataset with identical neural network architectures. Furthermore, this work analyzes the benefits of using both modalities in a fusion setting and discusses how these data types may be leveraged in future AD studies using deep learning.</t>
  </si>
  <si>
    <t>10.1016/j.jaad.2020.05.053</t>
  </si>
  <si>
    <t>Because of a convergence of the availability of large data sets, graphics-specific computer hardware, and important theoretical advancements, artificial intelligence has recently contributed to dramatic progress in medicine. One type of artificial intelligence known as deep learning has been particularly impactful for medical image analysis. Deep learning applications have shown promising results in dermatology and other specialties, including radiology, cardiology, and ophthalmology. The modern clinician will benefit from an understanding of the basic features of deep learning to effectively use new applications and to better gauge their utility and limitations. In this second article of a 2-part series, we review the existing and emerging clinical applications of deep learning in dermatology and discuss future opportunities and limitations. Part 1 of this series offered an introduction to the basic concepts of deep learning to facilitate effective communication between clinicians and technical experts.</t>
  </si>
  <si>
    <t>Learning Where to See: A Novel Attention Model for Automated Immunohistochemical Scoring</t>
  </si>
  <si>
    <t>Estimating over-amplification of human epidermal growth factor receptor 2 (HER2) on invasive breast cancer is regarded as a significant predictive and prognostic marker. We propose a novel deep reinforcement learning (DRL)-based model that treats immunohistochemical (IHC) scoring of HER2 as a sequential learning task. For a given image tile sampled from multi-resolution giga-pixel whole slide image (WSI), the model learns to sequentially identify some of the diagnostically relevant regions of interest (ROIs) by following a parameterized policy. The selected ROIs are processed by recurrent and residual convolution networks to learn the discriminative features for different HER2 scores and predict the next location, without requiring to process all the sub-image patches of a given tile for predicting the HER2 score, mimicking the histopathologist who would not usually analyze every part of the slide at the highest magnification. The proposed model incorporates a task-specific regularization term and inhibition of return mechanism to prevent the model from revisiting the previously attended locations. We evaluated our model on two IHC datasets: a publicly available dataset from the HER2 scoring challenge contest and another dataset consisting of WSIs of gastroenteropancreatic neuroendocrine tumor sections stained with Glo1 marker. We demonstrate that the proposed model outperforms other methods based on state-of-the-art deep convolutional networks. To the best of our knowledge, this is the first study using DRL for IHC scoring and could potentially lead to wider use of DRL in the domain of computational pathology reducing the computational burden of the analysis of large multi-gigapixel histology images.</t>
  </si>
  <si>
    <t>Automatic segmentation of tumors and affected organs in the abdomen using a 3D hybrid model for computed tomography imaging</t>
  </si>
  <si>
    <t>Automatic segmentation on computed tomography images of kidney and liver tumors remains a challenging task due to heterogeneity and variation in shapes. Recently, two-dimensional (2D) and three-dimensional (3D) deep convolutional neural networks have become popular in medical image segmentation tasks because they can leverage large labeled datasets, thus enabling them to learn hierarchical features. However, 3D networks have some drawbacks due to their high cost of computational resources. In this paper, we propose a hybrid 3D residual network (RN) with a squeeze-and-excitation (SE) block for volumetric segmentation of kidney, liver, and their associated tumors. The proposed network uses SE blocks to capture spatial information based on the reweighting function in a 3D RN. This study is the first to use an SE residual mechanism to process medical volumetric images using the proposed 3D residual network composed of various combinations of residual blocks. Our framework was evaluated both on the Kidney Tumor Segmentation 2019 dataset and the public MICCAI 2017 Liver Tumor Segmentation dataset. The results show that our architecture outperforms other state-of-the-art methods. Moreover, the SE-RN achieves good performance in volumetric biomedical segmentation.</t>
  </si>
  <si>
    <t>Long-term follow-up of persistent pulmonary pure ground-glass nodules with deep learning-assisted nodule segmentation</t>
  </si>
  <si>
    <t>OBJECTIVE: To investigate the natural history of persistent pulmonary pure ground-glass nodules (pGGNs) with deep learning-assisted nodule segmentation. METHODS: Between January 2007 and October 2018, 110 pGGNs from 110 patients with 573 follow-up CT scans were included in this retrospective study. pGGN automatic segmentation was performed on initial and all follow-up CT scans using the Dr. Wise system based on convolution neural networks. Subsequently, pGGN diameter, density, volume, mass, volume doubling time (VDT), and mass doubling time (MDT) were calculated automatically. Enrolled pGGNs were categorized into growth, 52 (47.3%), and non-growth, 58 (52.7%), groups according to volume growth. Kaplan-Meier analyses with the log-rank test and Cox proportional hazards regression analysis were conducted to analyze the cumulative percentages of pGGN growth and identify risk factors for growth. RESULTS: The mean follow-up period of the enrolled pGGNs was 48.7 ± 23.8 months. The median VDT of the 52 pGGNs having grown was 1448 (range, 339-8640) days, and their median MDT was 1332 (range, 290-38,912) days. The 12-month, 24.7-month, and 60.8-month cumulative percentages of pGGN growth were 10%, 25.5%, and 51.1%, respectively, and they significantly differed among the initial diameter, volume, and mass subgroups (all p &lt; 0.001). The growth pattern of pGGNs may conform to the exponential model. Lobulated sign (p = 0.044), initial mean diameter (p &lt; 0.001), volume (p = 0.003), and mass (p = 0.023) predicted pGGN growth. CONCLUSIONS: Persistent pGGNs showed an indolent course. Deep learning can assist in accurately elucidating the natural history of pGGNs. pGGNs with lobulated sign and larger initial diameter, volume, and mass are more likely to grow. KEY POINTS: • The pure ground-glass nodule (pGGN) segmentation accuracy of the Dr. Wise system based on convolution neural networks (CNNs) was 96.5% (573/594). • The median volume doubling time (VDT) of 52 pure ground-glass nodules (pGGNs) having grown was 1448 days (range, 339-8640 days), and their median mass doubling time (MDT) was 1332 days (range, 290-38,912 days). The mean time to growth in volume was 854 ± 675 days (range, 116-2856 days). • The 12-month, 24.7-month, and 60.8-month cumulative percentages of pGGN growth were 10%, 25.5%, and 51.1%, respectively, and they significantly differed among the initial diameter, volume, and mass subgroups (all p values &lt; 0.001). The growth pattern of pure ground-glass nodules may conform to exponential model.</t>
  </si>
  <si>
    <t>Multi-sequence MR image-based synthetic CT generation using a generative adversarial network for head and neck MRI-only radiotherapy</t>
  </si>
  <si>
    <t>PURPOSE: The purpose of this study is to investigate the effect of different magnetic resonance (MR) sequences on the accuracy of deep learning-based synthetic computed tomography (sCT) generation in the complex head and neck region. METHODS: Four sequences of MR images (T1, T2, T1C, and T1DixonC-water) were collected from 45 patients with nasopharyngeal carcinoma. Seven conditional generative adversarial network (cGAN) models were trained with different sequences (single channel) and different combinations (multi-channel) as inputs. To further verify the cGAN performance, we also used a U-net network as a comparison. Mean absolute error, structural similarity index, peak signal-to-noise ratio, dice similarity coefficient, and dose distribution were evaluated between the actual CTs and sCTs generated from different models. RESULTS: The results show that the cGAN model with multi-channel (i.e., T1 + T2 + T1C + T1DixonC-water) as input to predict sCT achieves higher accuracy than any single MR sequence model. The T1-weighted MR model achieves better results than T2, T1C, and T1DixonC-water models. The comparison between cGAN and U-net shows that the sCTs predicted by cGAN retains additional image details are less blurred and more similar to the actual CT. CONCLUSIONS: Conditional generative adversarial network with multiple MR sequences as model input shows the best accuracy. The T1-weighted MR images provide sufficient image information and are suitable for sCT prediction in clinical scenarios with limited acquisition sequences or limited acquisition time.</t>
  </si>
  <si>
    <t>Label-Efficient Breast Cancer Histopathological Image Classification</t>
  </si>
  <si>
    <t>The automatic classification of breast cancer histopathological images has great significance in computer-aided diagnosis. Recently, deep learning via neural networks has enabled pattern detection and prediction using large, labeled datasets; whereas, collecting and annotating sufficient histological data using professional pathologists is time consuming, tedious, and extremely expensive. In the proposed paper, a deep active learning framework is designed and implemented for classification of breast cancer histopathological images, with the goal of maximizing the learning accuracy from very limited labeling. This method involves manual annotation of the most valuable unlabeled samples, which are then integrated into the training set. The model is then iteratively updated with an increasing training set. Here, two selection strategies are discussed for the proposed deep active learning framework: An entropy-based strategy and a confidence-boosting strategy. The proposed method has been validated using a publicly available breast cancer histopathological image dataset, wherein each image patch is binarily classified as benign or malignant. The experimental results demonstrate that, compared with a random selection, our proposed framework can reduce annotation costs up to 66.67%, with higher accuracy and less expensive annotation than standard query strategy.</t>
  </si>
  <si>
    <t>Multi-Target Deep Learning for Algal Detection and Classification</t>
  </si>
  <si>
    <t>Water quality has a direct impact on industry, agriculture, and public health. Algae species are common indicators of water quality. It is because algal communities are sensitive to changes in their habitats, giving valuable knowledge on variations in water quality. However, water quality analysis requires professional inspection of algal detection and classification under microscopes, which is very time-consuming and tedious. In this paper, we propose a novel multi-target deep learning framework for algal detection and classification. Extensive experiments were carried out on a large-scale colored microscopic algal dataset. Experimental results demonstrate that the proposed method leads to the promising performance on algal detection, class identification and genus identification.</t>
  </si>
  <si>
    <t>M (3)Lung-Sys: A Deep Learning System for Multi-Class Lung Pneumonia Screening From CT Imaging</t>
  </si>
  <si>
    <t>To counter the outbreak of COVID-19, the accurate diagnosis of suspected cases plays a crucial role in timely quarantine, medical treatment, and preventing the spread of the pandemic. Considering the limited training cases and resources (e.g, time and budget), we propose a Multi-task Multi-slice Deep Learning System (M (3)Lung-Sys) for multi-class lung pneumonia screening from CT imaging, which only consists of two 2D CNN networks, i.e., slice- and patient-level classification networks. The former aims to seek the feature representations from abundant CT slices instead of limited CT volumes, and for the overall pneumonia screening, the latter one could recover the temporal information by feature refinement and aggregation between different slices. In addition to distinguish COVID-19 from Healthy, H1N1, and CAP cases, our M (3)Lung-Sys also be able to locate the areas of relevant lesions, without any pixel-level annotation. To further demonstrate the effectiveness of our model, we conduct extensive experiments on a chest CT imaging dataset with a total of 734 patients (251 healthy people, 245 COVID-19 patients, 105 H1N1 patients, and 133 CAP patients). The quantitative results with plenty of metrics indicate the superiority of our proposed model on both slice- and patient-level classification tasks. More importantly, the generated lesion location maps make our system interpretable and more valuable to clinicians.</t>
  </si>
  <si>
    <t>Convolutional Recurrent Neural Networks for Dynamic MR Image Reconstruction</t>
  </si>
  <si>
    <t>Accelerating the data acquisition of dynamic magnetic resonance imaging leads to a challenging ill-posed inverse problem, which has received great interest from both the signal processing and machine learning communities over the last decades. The key ingredient to the problem is how to exploit the temporal correlations of the MR sequence to resolve aliasing artifacts. Traditionally, such observation led to a formulation of an optimization problem, which was solved using iterative algorithms. Recently, however, deep learning-based approaches have gained significant popularity due to their ability to solve general inverse problems. In this paper, we propose a unique, novel convolutional recurrent neural network architecture which reconstructs high quality cardiac MR images from highly undersampled k-space data by jointly exploiting the dependencies of the temporal sequences as well as the iterative nature of the traditional optimization algorithms. In particular, the proposed architecture embeds the structure of the traditional iterative algorithms, efficiently modeling the recurrence of the iterative reconstruction stages by using recurrent hidden connections over such iterations. In addition, spatio-temporal dependencies are simultaneously learnt by exploiting bidirectional recurrent hidden connections across time sequences. The proposed method is able to learn both the temporal dependence and the iterative reconstruction process effectively with only a very small number of parameters, while outperforming current MR reconstruction methods in terms of reconstruction accuracy and speed.</t>
  </si>
  <si>
    <t>Fine-grained leukocyte classification with deep residual learning for microscopic images</t>
  </si>
  <si>
    <t>BACKGROUND AND OBJECTIVE: Leukocyte classification and cytometry have wide applications in medical domain, previous researches usually exploit machine learning techniques to classify leukocytes automatically. However, constrained by the past development of machine learning techniques, for example, extracting distinctive features from raw microscopic images are difficult, the widely used SVM classifier only has relative few parameters to tune, these methods cannot efficiently handle fine-grained classification cases when the white blood cells have up to 40 categories. METHODS: Based on deep learning theory, a systematic study is conducted on finer leukocyte classification in this paper. A deep residual neural network based leukocyte classifier is constructed at first, which can imitate the domain expert's cell recognition process, and extract salient features robustly and automatically. Then the deep neural network classifier's topology is adjusted according to the prior knowledge of white blood cell test. After that the microscopic image dataset with almost one hundred thousand labeled leukocytes belonging to 40 categories is built, and combined training strategies are adopted to make the designed classifier has good generalization ability. RESULTS: The proposed deep residual neural network based classifier was tested on microscopic image dataset with 40 leukocyte categories. It achieves top-1 accuracy of 77.80%, top-5 accuracy of 98.75% during the training procedure. The average accuracy on the test set is nearly 76.84%. CONCLUSIONS: This paper presents a fine-grained leukocyte classification method for microscopic images, based on deep residual learning theory and medical domain knowledge. Experimental results validate the feasibility and effectiveness of our approach. Extended experiments support that the fine-grained leukocyte classifier could be used in real medical applications, assist doctors in diagnosing diseases, reduce human power significantly.</t>
  </si>
  <si>
    <t>F. Qin, N. Gao, Y. Peng, Z. Wu, S. Shen and A. Grudtsin</t>
  </si>
  <si>
    <t>A GAN-based image synthesis method for skin lesion classification</t>
  </si>
  <si>
    <t>BACKGROUND AND OBJECTIVE: There are many types of skin cancer, and melanoma is the most lethal one. Dermoscopy is an important imaging technique to screen melanoma and other skin lesions. However, Skin lesion classification based on computer-aided diagnostic techniques is a challenging task owing to the scarcity of labeled data and class-imbalanced dataset. It is necessary to apply data augmentation technique based on generative adversarial networks (GANs) to skin lesion classification for helping dermatologists in more accurate diagnostic decisions. METHODS: A whole process of using GAN-based data augmentation technology to improve the skin lesion classification performance has been established in this article. First of all, the skin lesion style-based GANs is proposed according to the basic architecture of style-based GANs. The proposed model modifies the structure of style control and noise input in the original generator, adjusts both the generator and discriminator to efficiently synthesize high-quality skin lesion images. As for image classification, the classifier is constructed on the pretrained deep neural network using transfer learning method. The synthetic images from the proposed skin lesion style-based GANs are finally added to the training set to help train the classifier for better classification performance. RESULTS: The proposed skin lesion style-based GAN has been evaluated by Inception Score (IS), Fréchet Inception Distance (FID), Precision and Recall, and is superior to other compared GAN models in these quantitative evaluation metrics. By adding the synthesized images to the training set, the main classification indicators like accuracy, sensitivity, specificity, average precision and balanced multiclass accuracy are 95.2%, 83.2%, 74.3%, 96.6% and 83.1% on the dataset of International Skin Imaging Collaboration (ISIC) 2018 Challenge, which have been improved by 1.6%, 24.4%, 3.6%, 23.2% and 5.6% respectively compared to the CNN model. CONCLUSIONS: The proposed skin lesion style-based GANs can generate high-quality skin lesion images efficiently, leading to the performance improvement of the classification model. This work provides a valuable reference for medical image analysis based on deep learning.</t>
  </si>
  <si>
    <t>Using artificial intelligence to read chest radiographs for tuberculosis detection: A multi-site evaluation of the diagnostic accuracy of three deep learning systems</t>
  </si>
  <si>
    <t>Deep learning (DL) neural networks have only recently been employed to interpret chest radiography (CXR) to screen and triage people for pulmonary tuberculosis (TB). No published studies have compared multiple DL systems and populations. We conducted a retrospective evaluation of three DL systems (CAD4TB, Lunit INSIGHT, and qXR) for detecting TB-associated abnormalities in chest radiographs from outpatients in Nepal and Cameroon. All 1196 individuals received a Xpert MTB/RIF assay and a CXR read by two groups of radiologists and the DL systems. Xpert was used as the reference standard. The area under the curve of the three systems was similar: Lunit (0.94, 95% CI: 0.93-0.96), qXR (0.94, 95% CI: 0.92-0.97) and CAD4TB (0.92, 95% CI: 0.90-0.95). When matching the sensitivity of the radiologists, the specificities of the DL systems were significantly higher except for one. Using DL systems to read CXRs could reduce the number of Xpert MTB/RIF tests needed by 66% while maintaining sensitivity at 95% or better. Using a universal cutoff score resulted different performance in each site, highlighting the need to select scores based on the population screened. These DL systems should be considered by TB programs where human resources are constrained, and automated technology is available.</t>
  </si>
  <si>
    <t>Super-resolution reconstruction of knee magnetic resonance imaging based on deep learning</t>
  </si>
  <si>
    <t>BACKGROUND AND OBJECTIVE: With the rapid development of medical imaging and intelligent diagnosis, artificial intelligence methods have become a research hotspot of radiography processing technology in recent years. The low definition of knee magnetic resonance image texture seriously affects the diagnosis of knee osteoarthritis. This paper presents a super-resolution reconstruction method to address this problem. METHODS: In this paper, we propose an efficient medical image super-resolution (EMISR) method, in which we mainly adopted three hidden layers of super-resolution convolution neural network (SRCNN) and a sub-pixel convolution layer of efficient sub-pixel convolution neural network (ESPCN). The addition of the efficient sub-pixel convolutional layer in the hidden layer and the small network replacement consisting of concatenated convolutions to address low-resolution images but not high-resolution images are important. The EMISR method also uses cascaded small convolution kernels to improve reconstruction speed and deepen the convolution neural network to improve reconstruction quality. RESULTS: The proposed method is tested in the public dataset IDI, and the reconstruction quality of the algorithm is higher than that of the sparse coding-based network (SCN) method, the SRCNN method, and the ESPCN method (+ 2.306 dB, + 2.540 dB, + 1.089 dB improved); moreover, the reconstruction speed is faster than its counterparts (+ 4.272 s, + 1.967 s, and + 0.073 s improved). CONCLUSION: The experimental results show that our EMISR framework has improved performance and greatly reduces the number of parameters and training time. Furthermore, the reconstructed image presents more details, and the edges are more complete. Therefore, the EMISR technique provides a more powerful medical analysis in knee osteoarthritis examinations.</t>
  </si>
  <si>
    <t>D. Qiu, S. Zhang, Y. Liu, J. Zhu and L. Zheng</t>
  </si>
  <si>
    <t>Self-supervised iterative refinement learning for macular OCT volumetric data classification</t>
  </si>
  <si>
    <t>We present self-supervised iterative refinement learning (SIRL) as a pipeline to improve a type of macular optical coherence tomography (OCT) volumetric image classification algorithms. In this type of algorithms, first, two-dimensional (2D) image classification algorithms are applied to each B-scan in an OCT volume, and then B-scan level classification results are combined to obtain the classification result of the volume. Specifically, SIRL consists of repetitive training-sieving-relabeling steps. In the initialization stage, the label of each 2D image is assigned as the label of the volume they belong to, yielding an initial label set. In the training stage, the network is trained using the current label set. In the sieving and relabeling stage, the label of each 2D image is renewed based on the classification result of the trained network, and a new label set is obtained. Experiments are conducted on a clinical dataset and public dataset, on which the performances of the models trained by a normal scheme and our proposed methods are compared under a five-fold cross validation. Our proposed method achieves sensitivity, specificity, and accuracy of 89.74%, 94.87%, and 93.18%, respectively, on the clinical dataset. On the public dataset, the results of the corresponding three metrics are 98.22%, 90.43% and 95.88%. The results demonstrate the effectiveness of our proposed method as an approach to improve the B-scan-classification-based macular OCT volumetric image classification algorithms.</t>
  </si>
  <si>
    <t>Development and validation of an interpretable deep learning framework for Alzheimer's disease classification</t>
  </si>
  <si>
    <t>Alzheimer's disease is the primary cause of dementia worldwide, with an increasing morbidity burden that may outstrip diagnosis and management capacity as the population ages. Current methods integrate patient history, neuropsychological testing and MRI to identify likely cases, yet effective practices remain variably applied and lacking in sensitivity and specificity. Here we report an interpretable deep learning strategy that delineates unique Alzheimer's disease signatures from multimodal inputs of MRI, age, gender, and Mini-Mental State Examination score. Our framework linked a fully convolutional network, which constructs high resolution maps of disease probability from local brain structure to a multilayer perceptron and generates precise, intuitive visualization of individual Alzheimer's disease risk en route to accurate diagnosis. The model was trained using clinically diagnosed Alzheimer's disease and cognitively normal subjects from the Alzheimer's Disease Neuroimaging Initiative (ADNI) dataset (n = 417) and validated on three independent cohorts: the Australian Imaging, Biomarker and Lifestyle Flagship Study of Ageing (AIBL) (n = 382), the Framingham Heart Study (n = 102), and the National Alzheimer's Coordinating Center (NACC) (n = 582). Performance of the model that used the multimodal inputs was consistent across datasets, with mean area under curve values of 0.996, 0.974, 0.876 and 0.954 for the ADNI study, AIBL, Framingham Heart Study and NACC datasets, respectively. Moreover, our approach exceeded the diagnostic performance of a multi-institutional team of practicing neurologists (n = 11), and high-risk cerebral regions predicted by the model closely tracked post-mortem histopathological findings. This framework provides a clinically adaptable strategy for using routinely available imaging techniques such as MRI to generate nuanced neuroimaging signatures for Alzheimer's disease diagnosis, as well as a generalizable approach for linking deep learning to pathophysiological processes in human disease.</t>
  </si>
  <si>
    <t>Deep neural network inspired by iterative shrinkage-thresholding algorithm with data consistency (NISTAD) for fast Undersampled MRI reconstruction</t>
  </si>
  <si>
    <t>With the aim of developing a fast algorithm for high-quality MRI reconstruction from undersampled k-space data, we propose a novel deep neural Network, which is inspired by Iterative Shrinkage Thresholding Algorithm with Data consistency (NISTAD). NISTAD consists of three consecutive blocks: an encoding block, which models the flow graph of ISTA, a classical iteration-based compressed sensing magnetic resonance imaging (CS-MRI) method; a decoding block, which recovers the image from sparse representation; a data consistency block, which adaptively enforces consistency with the acquired raw data according to learned noise level. The ISTA method is thereby mapped to an end-to-end deep neural network, which greatly reduces the reconstruction time and simplifies the tuning of hyper-parameters, compared to conventional model-based CS-MRI methods. On the other hand, compared to general deep learning-based MRI reconstruction methods, the proposed method uses a simpler network architecture with fewer parameters. NISTAD has been validated on retrospectively undersampled diencephalon standard challenge data using different acceleration factors, and compared with DAGAN and Cascade CNN, two state-of-the-art deep neural network-based methods which outperformed many other state-of-the-art model-based and deep learning-based methods. Experimental results demonstrated that NISTAD reconstruction achieved comparable image quality with DAGAN and Cascade CNN reconstruction in terms of both PSNR and SSIM metrics, and subjective assessment, though with a simpler network structure.</t>
  </si>
  <si>
    <t>A new approach to develop computer-aided diagnosis scheme of breast mass classification using deep learning technology</t>
  </si>
  <si>
    <t>PURPOSE: To develop and test a deep learning based computer-aided diagnosis (CAD) scheme of mammograms for classifying between malignant and benign masses. METHODS: An image dataset involving 560 regions of interest (ROIs) extracted from digital mammograms was used. After down-sampling each ROI from 512×512 to 64×64 pixel size, we applied an 8 layer deep learning network that involves 3 pairs of convolution-max-pooling layers for automatic feature extraction and a multiple layer perceptron (MLP) classifier for feature categorization to process ROIs. The 3 pairs of convolution layers contain 20, 10, and 5 feature maps, respectively. Each convolution layer is connected with a max-pooling layer to improve the feature robustness. The output of the sixth layer is fully connected with a MLP classifier, which is composed of one hidden layer and one logistic regression layer. The network then generates a classification score to predict the likelihood of ROI depicting a malignant mass. A four-fold cross validation method was applied to train and test this deep learning network. RESULTS: The results revealed that this CAD scheme yields an area under the receiver operation characteristic curve (AUC) of 0.696±0.044, 0.802±0.037, 0.836±0.036, and 0.822±0.035 for fold 1 to 4 testing datasets, respectively. The overall AUC of the entire dataset is 0.790±0.019. CONCLUSIONS: This study demonstrates the feasibility of applying a deep learning based CAD scheme to classify between malignant and benign breast masses without a lesion segmentation, image feature computation and selection process.</t>
  </si>
  <si>
    <t>Y. Qiu, S. Yan, R. R. Gundreddy, Y. Wang, S. Cheng, H. Liu and B. Zheng</t>
  </si>
  <si>
    <t>10.1155/2018/8961781</t>
  </si>
  <si>
    <t>Gastric Pathology Image Classification Using Stepwise Fine-Tuning for Deep Neural Networks</t>
  </si>
  <si>
    <t>Deep learning using convolutional neural networks (CNNs) is a distinguished tool for many image classification tasks. Due to its outstanding robustness and generalization, it is also expected to play a key role to facilitate advanced computer-aided diagnosis (CAD) for pathology images. However, the shortage of well-annotated pathology image data for training deep neural networks has become a major issue at present because of the high-cost annotation upon pathologist's professional observation. Faced with this problem, transfer learning techniques are generally used to reinforcing the capacity of deep neural networks. In order to further boost the performance of the state-of-the-art deep neural networks and alleviate insufficiency of well-annotated data, this paper presents a novel stepwise fine-tuning-based deep learning scheme for gastric pathology image classification and establishes a new type of target-correlative intermediate datasets. Our proposed scheme is deemed capable of making the deep neural network imitating the pathologist's perception manner and of acquiring pathology-related knowledge in advance, but with very limited extra cost in data annotation. The experiments are conducted with both well-annotated gastric pathology data and the proposed target-correlative intermediate data on several state-of-the-art deep neural networks. The results congruously demonstrate the feasibility and superiority of our proposed scheme for boosting the classification performance.</t>
  </si>
  <si>
    <t>Compressed Sensing MRI Reconstruction Using a Generative Adversarial Network With a Cyclic Loss</t>
  </si>
  <si>
    <t>Compressed sensing magnetic resonance imaging (CS-MRI) has provided theoretical foundations upon which the time-consuming MRI acquisition process can be accelerated. However, it primarily relies on iterative numerical solvers, which still hinders their adaptation in time-critical applications. In addition, recent advances in deep neural networks have shown their potential in computer vision and image processing, but their adaptation to MRI reconstruction is still in an early stage. In this paper, we propose a novel deep learning-based generative adversarial model, RefineGAN, for fast and accurate CS-MRI reconstruction. The proposed model is a variant of fully-residual convolutional autoencoder and generative adversarial networks (GANs), specifically designed for CS-MRI formulation; it employs deeper generator and discriminator networks with cyclic data consistency loss for faithful interpolation in the given under-sampled -space data. In addition, our solution leverages a chained network to further enhance the reconstruction quality. RefineGAN is fast and accurate-the reconstruction process is extremely rapid, as low as tens of milliseconds for reconstruction of a image, because it is one-way deployment on a feed-forward network, and the image quality is superior even for extremely low sampling rate (as low as 10%) due to the data-driven nature of the method. We demonstrate that RefineGAN outperforms the state-of-the-art CS-MRI methods by a large margin in terms of both running time and image quality via evaluation using several open-source MRI databases.</t>
  </si>
  <si>
    <t>T. M. Quan, T. Nguyen-Duc and W. K. Jeong</t>
  </si>
  <si>
    <t>CardioXNet: Automated Detection for Cardiomegaly Based on Deep Learning</t>
  </si>
  <si>
    <t>In this paper, we present an automated procedure to determine the presence of cardiomegaly on chest X-ray image based on deep learning. The proposed algorithm CardioXNet uses deep learning methods U-NET and cardiothoracic ratio for diagnosis of cardiomegaly from chest X-rays. U-NET learns the segmentation task from the ground truth data. OpenCV is used to denoise and maintain the precision of region of interest once minor errors occur. Therefore, Cardiothoracic ratio (CTR) is calculated as a criterion to determine cardiomegaly from U-net segmentations. End-to-end Dense-Net neural network is used as baseline. This study has shown that the feasibility of combing deep learning segmentation and medical criterion to automatically recognize heart disease in medical images with high accuracy and agreement with the clinical results.</t>
  </si>
  <si>
    <t>Q. Que, Z. Tang, R. Wang, Z. Zeng, J. Wang, M. Chua, T. S. Gee, X. Yang and B. Veeravalli</t>
  </si>
  <si>
    <t>Deep image mining for diabetic retinopathy screening</t>
  </si>
  <si>
    <t>Deep learning is quickly becoming the leading methodology for medical image analysis. Given a large medical archive, where each image is associated with a diagnosis, efficient pathology detectors or classifiers can be trained with virtually no expert knowledge about the target pathologies. However, deep learning algorithms, including the popular ConvNets, are black boxes: little is known about the local patterns analyzed by ConvNets to make a decision at the image level. A solution is proposed in this paper to create heatmaps showing which pixels in images play a role in the image-level predictions. In other words, a ConvNet trained for image-level classification can be used to detect lesions as well. A generalization of the backpropagation method is proposed in order to train ConvNets that produce high-quality heatmaps. The proposed solution is applied to diabetic retinopathy (DR) screening in a dataset of almost 90,000 fundus photographs from the 2015 Kaggle Diabetic Retinopathy competition and a private dataset of almost 110,000 photographs (e-ophtha). For the task of detecting referable DR, very good detection performance was achieved: A(z)=0.954 in Kaggle's dataset and A(z)=0.949 in e-ophtha. Performance was also evaluated at the image level and at the lesion level in the DiaretDB1 dataset, where four types of lesions are manually segmented: microaneurysms, hemorrhages, exudates and cotton-wool spots. For the task of detecting images containing these four lesion types, the proposed detector, which was trained to detect referable DR, outperforms recent algorithms trained to detect those lesions specifically, with pixel-level supervision. At the lesion level, the proposed detector outperforms heatmap generation algorithms for ConvNets. This detector is part of the Messidor® system for mobile eye pathology screening. Because it does not rely on expert knowledge or manual segmentation for detecting relevant patterns, the proposed solution is a promising image mining tool, which has the potential to discover new biomarkers in images.</t>
  </si>
  <si>
    <t>G. Quellec, K. Charrière, Y. Boudi, B. Cochener and M. Lamard</t>
  </si>
  <si>
    <t>Deep Learning for Pediatric Posterior Fossa Tumor Detection and Classification: A Multi-Institutional Study</t>
  </si>
  <si>
    <t>BACKGROUND AND PURPOSE: Posterior fossa tumors are the most common pediatric brain tumors. MR imaging is key to tumor detection, diagnosis, and therapy guidance. We sought to develop an MR imaging-based deep learning model for posterior fossa tumor detection and tumor pathology classification. MATERIALS AND METHODS: The study cohort comprised 617 children (median age, 92 months; 56% males) from 5 pediatric institutions with posterior fossa tumors: diffuse midline glioma of the pons (n = 122), medulloblastoma (n = 272), pilocytic astrocytoma (n = 135), and ependymoma (n = 88). There were 199 controls. Tumor histology served as ground truth except for diffuse midline glioma of the pons, which was primarily diagnosed by MR imaging. A modified ResNeXt-50-32x4d architecture served as the backbone for a multitask classifier model, using T2-weighted MRIs as input to detect the presence of tumor and predict tumor class. Deep learning model performance was compared against that of 4 radiologists. RESULTS: Model tumor detection accuracy exceeded an AUROC of 0.99 and was similar to that of 4 radiologists. Model tumor classification accuracy was 92% with an F(1) score of 0.80. The model was most accurate at predicting diffuse midline glioma of the pons, followed by pilocytic astrocytoma and medulloblastoma. Ependymoma prediction was the least accurate. Tumor type classification accuracy and F(1) score were higher than those of 2 of the 4 radiologists. CONCLUSIONS: We present a multi-institutional deep learning model for pediatric posterior fossa tumor detection and classification with the potential to augment and improve the accuracy of radiologic diagnosis.</t>
  </si>
  <si>
    <t>3D-CNN based discrimination of schizophrenia using resting-state fMRI</t>
  </si>
  <si>
    <t>MOTIVATION: This study reports a framework to discriminate patients with schizophrenia and normal healthy control subjects, based on magnetic resonance imaging (MRI) of the brain. Resting-state functional MRI data from a total of 144 subjects (72 patients with schizophrenia and 72 healthy controls) was obtained from a publicly available dataset using a three-dimensional convolution neural network 3D-CNN based deep learning classification framework and ICA based features. RESULTS: We achieved 98.09 ± 1.01% ten-fold cross-validated classification accuracy with a p-value &lt; 0.001 and an area under the curve (AUC) of 0.9982 ± 0.015. In addition, differences in functional connectivity between the two groups were statistically analyzed across multiple resting-state networks. The disconnection between the visual and frontal network was prominent in patients, while they showed higher connectivity between the default mode network and other task-positive/ cerebellar networks. These ICA functional network maps served as highly discriminative three-dimensional imaging features for the discrimination of schizophrenia in this study. CONCLUSION: Due to the very high AUC, this research with more validation on the cross diagnosis and publicly available dataset, may be translated in future as an adjunct tool to assist clinicians in the initial screening of schizophrenia.</t>
  </si>
  <si>
    <t>10.1016/j.pdpdt.2020.101880</t>
  </si>
  <si>
    <t>Optical techniques, computed tomography and deep learning role in the diagnosis of COVID-19 pandemic towards increasing the survival rate of vulnerable populations</t>
  </si>
  <si>
    <t>• Severe lung complications can be explored using computed tomography during COVID-19 pandemic. • Ultra-low dose CT can enhance COVID-19 infected patients diagnostic capability. • Optically monitored CT along with deep learning is the best solution for diagnosis of COVID-19 during pandemic. • CT scans sensitivity (88 %) is preferable on clinical approach sensitivity (59 %) for COVID-19 suspected patients. • CT and Computer aided approaches helps the radiologist to make fast and accurate diagnosis during COVID-19 pandemic.</t>
  </si>
  <si>
    <t>Photodiagnosis Photodyn Ther</t>
  </si>
  <si>
    <t>Deep Learning Based Skin Lesion Segmentation and Classification of Melanoma Using Support Vector Machine (SVM)</t>
  </si>
  <si>
    <t>Objective: The main objective of this study is to improve the classification performance of melanoma using deep learning based automatic skin lesion segmentation. It can be assist medical experts on early diagnosis of melanoma on dermoscopy images. Methods: First A Convolutional Neural Network (CNN) based U-net algorithm is used for segmentation process. Then extract color, texture and shape features from the segmented image using Local Binary Pattern ( LBP), Edge Histogram (EH), Histogram of Oriented Gradients (HOG) and Gabor method. Finally all the features extracted from these methods were fed into the Support Vector Machine (SVM), Random Forest (RF), K-Nearest Neighbor (KNN) and Naïve Bayes (NB) classifiers to diagnose the skin image which is either melanoma or benign lesions. Results: Experimental results show the effectiveness of the proposed method. The Dice co-efficiency value of 77.5% is achieved for image segmentation and SVM classifier produced 85.19% of accuracy. Conclusion: In deep learning environment, U-Net segmentation algorithm is found to be the best method for segmentation and it helps to improve the classification performance.</t>
  </si>
  <si>
    <t>D. S. R and S. A</t>
  </si>
  <si>
    <t>Segmentation of white matter hyperintensities using convolutional neural networks with global spatial information in routine clinical brain MRI with none or mild vascular pathology</t>
  </si>
  <si>
    <t>We propose an adaptation of a convolutional neural network (CNN) scheme proposed for segmenting brain lesions with considerable mass-effect, to segment white matter hyperintensities (WMH) characteristic of brains with none or mild vascular pathology in routine clinical brain magnetic resonance images (MRI). This is a rather difficult segmentation problem because of the small area (i.e., volume) of the WMH and their similarity to non-pathological brain tissue. We investigate the effectiveness of the 2D CNN scheme by comparing its performance against those obtained from another deep learning approach: Deep Boltzmann Machine (DBM), two conventional machine learning approaches: Support Vector Machine (SVM) and Random Forest (RF), and a public toolbox: Lesion Segmentation Tool (LST), all reported to be useful for segmenting WMH in MRI. We also introduce a way to incorporate spatial information in convolution level of CNN for WMH segmentation named global spatial information (GSI). Analysis of covariance corroborated known associations between WMH progression, as assessed by all methods evaluated, and demographic and clinical data. Deep learning algorithms outperform conventional machine learning algorithms by excluding MRI artefacts and pathologies that appear similar to WMH. Our proposed approach of incorporating GSI also successfully helped CNN to achieve better automatic WMH segmentation regardless of network's settings tested. The mean Dice Similarity Coefficient (DSC) values for LST-LGA, SVM, RF, DBM, CNN and CNN-GSI were 0.2963, 0.1194, 0.1633, 0.3264, 0.5359 and 5389 respectively.</t>
  </si>
  <si>
    <t>M. F. Rachmadi, M. D. C. Valdés-Hernández, M. L. F. Agan, C. Di Perri and T. Komura</t>
  </si>
  <si>
    <t>Preface</t>
  </si>
  <si>
    <t>D. Racoceanu and P. Hufnagl</t>
  </si>
  <si>
    <t>Trophectoderm segmentation in human embryo images via inceptioned U-Net</t>
  </si>
  <si>
    <t>Trophectoderm (TE) is one of the main components of a day-5 human embryo (blastocyst) that correlates with the embryo's quality. Precise segmentation of TE is an important step toward achieving automatic human embryo quality assessment based on morphological image features. Automatic segmentation of TE, however, is a challenging task and previous work on this is quite limited. In this paper, four fully convolutional deep models are proposed for accurate segmentation of trophectoderm in microscopic images of the human blastocyst. In addition, a multi-scaled ensembling method is proposed that aggregates five models trained at various scales offering trade-offs between the quantity and quality of the spatial information. Furthermore, synthetic embryo images are generated for the first time to address the lack of data in training deep learning models. These synthetically generated images are proven to be effective to fill the generalization gap in deep learning when limited data is available for training. Experimental results confirm that the proposed models are capable of segmenting TE regions with an average Precision, Recall, Accuracy, Dice Coefficient and Jaccard Index of 83.8%, 90.1%, 96.9%, 86.61% and 76.71%, respectively. Particularly, the proposed Inceptioned U-Net model outperforms state-of-the-art by 10.3% in Accuracy, 9.3% in Dice Coefficient and 13.7% in Jaccard Index. Further experiments are conducted to highlight the effectiveness of the proposed models compared to some recent deep learning based segmentation methods.</t>
  </si>
  <si>
    <t>Machine Learning for Nuclear Mechano-Morphometric Biomarkers in Cancer Diagnosis</t>
  </si>
  <si>
    <t>Current cancer diagnosis employs various nuclear morphometric measures. While these have allowed accurate late-stage prognosis, early diagnosis is still a major challenge. Recent evidence highlights the importance of alterations in mechanical properties of single cells and their nuclei as critical drivers for the onset of cancer. We here present a method to detect subtle changes in nuclear morphometrics at single-cell resolution by combining fluorescence imaging and deep learning. This assay includes a convolutional neural net pipeline and allows us to discriminate between normal and human breast cancer cell lines (fibrocystic and metastatic states) as well as normal and cancer cells in tissue slices with high accuracy. Further, we establish the sensitivity of our pipeline by detecting subtle alterations in normal cells when subjected to small mechano-chemical perturbations that mimic tumor microenvironments. In addition, our assay provides interpretable features that could aid pathological inspections. This pipeline opens new avenues for early disease diagnostics and drug discovery.</t>
  </si>
  <si>
    <t>A. Radhakrishnan, K. Damodaran, A. C. Soylemezoglu, C. Uhler and G. V. Shivashankar</t>
  </si>
  <si>
    <t>Artificial intelligence in abdominal aortic aneurysm</t>
  </si>
  <si>
    <t>OBJECTIVE: Abdominal aortic aneurysm (AAA) is a life-threatening disease, and the only curative treatment relies on open or endovascular repair. The decision to treat relies on the evaluation of the risk of AAA growth and rupture, which can be difficult to assess in practice. Artificial intelligence (AI) has revealed new insights into the management of cardiovascular diseases, but its application in AAA has so far been poorly described. The aim of this review was to summarize the current knowledge on the potential applications of AI in patients with AAA. METHODS: A comprehensive literature review was performed. The MEDLINE database was searched according to the Preferred Reporting Items for Systematic Reviews and Meta-Analyses guidelines. The search strategy used a combination of keywords and included studies using AI in patients with AAA published between May 2019 and January 2000. Two authors independently screened titles and abstracts and performed data extraction. The search of published literature identified 34 studies with distinct methodologies, aims, and study designs. RESULTS: AI was used in patients with AAA to improve image segmentation and for quantitative analysis and characterization of AAA morphology, geometry, and fluid dynamics. AI allowed computation of large data sets to identify patterns that may be predictive of AAA growth and rupture. Several predictive and prognostic programs were also developed to assess patients' postoperative outcomes, including mortality and complications after endovascular aneurysm repair. CONCLUSIONS: AI represents a useful tool in the interpretation and analysis of AAA imaging by enabling automatic quantitative measurements and morphologic characterization. It could be used to help surgeons in preoperative planning. AI-driven data management may lead to the development of computational programs for the prediction of AAA evolution and risk of rupture as well as postoperative outcomes. AI could also be used to better evaluate the indications and types of surgical treatment and to plan the postoperative follow-up. AI represents an attractive tool for decision-making and may facilitate development of personalized therapeutic approaches for patients with AAA.</t>
  </si>
  <si>
    <t>J Vasc Surg</t>
  </si>
  <si>
    <t>Identification of COVID-19 samples from chest X-Ray images using deep learning: A comparison of transfer learning approaches</t>
  </si>
  <si>
    <t>BACKGROUND: The novel coronavirus disease 2019 (COVID-19) constitutes a public health emergency globally. The number of infected people and deaths are proliferating every day, which is putting tremendous pressure on our social and healthcare system. Rapid detection of COVID-19 cases is a significant step to fight against this virus as well as release pressure off the healthcare system. OBJECTIVE: One of the critical factors behind the rapid spread of COVID-19 pandemic is a lengthy clinical testing time. The imaging tool, such as Chest X-ray (CXR), can speed up the identification process. Therefore, our objective is to develop an automated CAD system for the detection of COVID-19 samples from healthy and pneumonia cases using CXR images. METHODS: Due to the scarcity of the COVID-19 benchmark dataset, we have employed deep transfer learning techniques, where we examined 15 different pre-trained CNN models to find the most suitable one for this task. RESULTS: A total of 860 images (260 COVID-19 cases, 300 healthy and 300 pneumonia cases) have been employed to investigate the performance of the proposed algorithm, where 70% images of each class are accepted for training, 15% is used for validation, and rest is for testing. It is observed that the VGG19 obtains the highest classification accuracy of 89.3% with an average precision, recall, and F1 score of 0.90, 0.89, 0.90, respectively. CONCLUSION: This study demonstrates the effectiveness of deep transfer learning techniques for the identification of COVID-19 cases using CXR images.</t>
  </si>
  <si>
    <t>10.1097/icu.0000000000000470</t>
  </si>
  <si>
    <t>Deep learning applications in ophthalmology</t>
  </si>
  <si>
    <t>PURPOSE OF REVIEW: To describe the emerging applications of deep learning in ophthalmology. RECENT FINDINGS: Recent studies have shown that various deep learning models are capable of detecting and diagnosing various diseases afflicting the posterior segment of the eye with high accuracy. Most of the initial studies have centered around detection of referable diabetic retinopathy, age-related macular degeneration, and glaucoma. SUMMARY: Deep learning has shown promising results in automated image analysis of fundus photographs and optical coherence tomography images. Additional testing and research is required to clinically validate this technology.</t>
  </si>
  <si>
    <t>E. Rahimy</t>
  </si>
  <si>
    <t>Malaria, one of the leading causes of death in underdeveloped countries, is primarily diagnosed using microscopy. Computer-aided diagnosis of malaria is a challenging task owing to the fine-grained variability in the appearance of some uninfected and infected class. In this paper, we transform a malaria parasite object detection dataset into a classification dataset, making it the largest malaria classification dataset (63,645 cells), and evaluate the performance of several state-of-the-art deep neural network architectures pretrained on both natural and medical images on this new dataset. We provide detailed insights into the variation of the dataset and qualitative analysis of the results produced by the best models. We also evaluate the models using an independent test set to demonstrate the model's ability to generalize in different domains. Finally, we demonstrate the effect of conditional image synthesis on malaria parasite detection. We provide detailed insights into the influence of synthetic images for the class imbalance problem in the malaria diagnosis context.</t>
  </si>
  <si>
    <t>Multi-scale segmentation in GBM treatment using diffusion tensor imaging</t>
  </si>
  <si>
    <t>Glioblastoma (GBM) is the commonest primary malignant brain tumor in adults, and despite advances in multi-modality therapy, the outlook for patients has changed little in the last 10 years. Local recurrence is the predominant pattern of treatment failure, hence improved local therapies (surgery and radiotherapy) are needed to improve patient outcomes. Currently segmentation of GBM for surgery or radiotherapy (RT) planning is labor intensive, especially for high-dimensional MR imaging methods that may provide more sensitive indicators of tumor phenotype. Automating processing and segmentation of these images will aid treatment planning. Diffusion tensor magnetic resonance imaging is a recently developed technique (DTI) that is exquisitely sensitive to the ordered diffusion of water in white matter tracts. Our group has shown that decomposition of the tensor information into the isotropic component (p - shown to represent tumor invasion) and the anisotropic component (q - shown to represent the tumor bulk) can provide valuable prognostic information regarding tumor infiltration and patient survival. However, tensor decomposition of DTI data is not commonly used for neurosurgery or radiotherapy treatment planning due to difficulties in segmenting the resultant image maps. For this reason, automated techniques for segmentation of tensor decomposition maps would have significant clinical utility. In this paper, we modified a well-established convolutional neural network architecture (CNN) for medical image segmentation and used it as an automatic multi-sequence GBM segmentation based on both DTI image maps (p and q maps) and conventional MRI sequences (T2-FLAIR and T1 weighted post contrast (T1c)). In this proof-of-concept work, we have used multiple MRI sequences, each with individually defined ground truths for better understanding of the contribution of each image sequence to the segmentation performance. The high accuracy and efficiency of our proposed model demonstrates the potential of utilizing diffusion MR images for target definition in precision radiation treatment planning and surgery in routine clinical practice.</t>
  </si>
  <si>
    <t>Fog Computing Employed Computer Aided Cancer Classification System Using Deep Neural Network in Internet of Things Based Healthcare System</t>
  </si>
  <si>
    <t>Computer assisted automatic smart pattern analysis of cancer affected pixel structure takes critical role in pre-interventional decision making for oral cancer treatment. Internet of Things (IoT) in healthcare systems is now emerging solution for modern e-healthcare system to provide high quality medical care. In this research work, we proposed a novel method which utilizes a modified vesselness measurement and a Deep Convolutional Neural Network (DCNN) to identify the oral cancer region structure in IoT based smart healthcare system. The robust vesselness filtering scheme handles noise while reserving small structures, while the CNN framework considerably improves classification accuracy by deblurring focused region of interest (ROI) through integrating with multi-dimensional information from feature vector selection step. The marked feature vector points are extracted from each connected component in the region and used as input for training the CNN. During classification, each connected part is individually analysed using the trained DCNN by considering the feature vector values that belong to its region. For a training of 1500 image dataset, an accuracy of 96.8% and sensitivity of 92% is obtained. Hence, the results of this work validate that the proposed algorithm is effective and accurate in terms of classification of oral cancer region in accurate decision making. The developed system can be used in IoT based diagnosis in health care systems, where accuracy and real time diagnosis are essential.</t>
  </si>
  <si>
    <t>Detection and visualization of abnormality in chest radiographs using modality-specific convolutional neural network ensembles</t>
  </si>
  <si>
    <t>Convolutional neural networks (CNNs) trained on natural images are extremely successful in image classification and localization due to superior automated feature extraction capability. In extending their use to biomedical recognition tasks, it is important to note that visual features of medical images tend to be uniquely different than natural images. There are advantages offered through training these networks on large scale medical common modality image collections pertaining to the recognition task. Further, improved generalization in transferring knowledge across similar tasks is possible when the models are trained to learn modality-specific features and then suitably repurposed for the target task. In this study, we propose modality-specific ensemble learning toward improving abnormality detection in chest X-rays (CXRs). CNN models are trained on a large-scale CXR collection to learn modality-specific features and then repurposed for detecting and localizing abnormalities. Model predictions are combined using different ensemble strategies toward reducing prediction variance and sensitivity to the training data while improving overall performance and generalization. Class-selective relevance mapping (CRM) is used to visualize the learned behavior of the individual models and their ensembles. It localizes discriminative regions of interest (ROIs) showing abnormal regions and offers an improved explanation of model predictions. It was observed that the model ensembles demonstrate superior localization performance in terms of Intersection of Union (IoU) and mean Average Precision (mAP) metrics than any individual constituent model.</t>
  </si>
  <si>
    <t>PeerJ</t>
  </si>
  <si>
    <t>Analyzing inter-reader variability affecting deep ensemble learning for COVID-19 detection in chest radiographs</t>
  </si>
  <si>
    <t>Data-driven deep learning (DL) methods using convolutional neural networks (CNNs) demonstrate promising performance in natural image computer vision tasks. However, their use in medical computer vision tasks faces several limitations, viz., (i) adapting to visual characteristics that are unlike natural images; (ii) modeling random noise during training due to stochastic optimization and backpropagation-based learning strategy; (iii) challenges in explaining DL black-box behavior to support clinical decision-making; and (iv) inter-reader variability in the ground truth (GT) annotations affecting learning and evaluation. This study proposes a systematic approach to address these limitations through application to the pandemic-caused need for Coronavirus disease 2019 (COVID-19) detection using chest X-rays (CXRs). Specifically, our contribution highlights significant benefits obtained through (i) pretraining specific to CXRs in transferring and fine-tuning the learned knowledge toward improving COVID-19 detection performance; (ii) using ensembles of the fine-tuned models to further improve performance over individual constituent models; (iii) performing statistical analyses at various learning stages for validating results; (iv) interpreting learned individual and ensemble model behavior through class-selective relevance mapping (CRM)-based region of interest (ROI) localization; and, (v) analyzing inter-reader variability and ensemble localization performance using Simultaneous Truth and Performance Level Estimation (STAPLE) methods. We find that ensemble approaches markedly improved classification and localization performance, and that inter-reader variability and performance level assessment helps guide algorithm design and parameter optimization. To the best of our knowledge, this is the first study to construct ensembles, perform ensemble-based disease ROI localization, and analyze inter-reader variability and algorithm performance for COVID-19 detection in CXRs.</t>
  </si>
  <si>
    <t>Assessment of an ensemble of machine learning models toward abnormality detection in chest radiographs</t>
  </si>
  <si>
    <t>Respiratory diseases account for a significant proportion of deaths and disabilities across the world. Chest X-ray (CXR) analysis remains a common diagnostic imaging modality for confirming intra-thoracic cardiopulmonary abnormalities. However, there remains an acute shortage of expert radiologists, particularly in under-resourced settings, resulting in severe interpretation delays. These issues can be mitigated by a computer-aided diagnostic (CADx) system to supplement decision-making and improve throughput while preserving and possibly improving the standard-of-care. Systems reported in the literature or popular media use handcrafted features and/or data-driven algorithms like deep learning (DL) to learn underlying data distributions. The remarkable success of convolutional neural networks (CNN) toward image recognition tasks has made them a promising choice for automated medical image analyses. However, CNNs suffer from high variance and may overfit due to their sensitivity to training data fluctuations. Ensemble learning helps to reduce this variance by combining predictions of multiple learning algorithms to construct complex, non-linear functions and improve robustness and generalization. This study aims to construct and assess the performance of an ensemble of machine learning (ML) models applied to the challenge of classifying normal and abnormal CXRs and significantly reducing the diagnostic load of radiologists and primary-care physicians.</t>
  </si>
  <si>
    <t>Automated plaque classification using computed tomography angiography and Gabor transformations</t>
  </si>
  <si>
    <t>Cardiovascular diseases are the primary cause of death globally. These are often associated with atherosclerosis. This inflammation process triggers important variations in the coronary arteries (CA) and can lead to coronary artery disease (CAD). The presence of CA calcification (CAC) has recently been shown to be a strong predictor of CAD. In this clinical setting, computed tomography angiography (CTA) has begun to play a crucial role as a non-intrusive imaging method to characterize and study CA plaques. Herein, we describe an automated algorithm to classify plaque as either normal, calcified, or non-calcified using 2646 CTA images acquired from 73 patients. The automated technique is based on various features that are extracted from the Gabor transform of the acquired CTA images. Specifically, seven features are extracted from the Gabor coefficients : energy, and Kapur, Max, Rényi, Shannon, Vajda, and Yager entropies. The features were then ordered based on the F-value and input to numerous classification methods to achieve the best classification accuracy with the least number of features. Moreover, two well-known feature reduction techniques were employed, and the features acquired were also ranked according to F-value and input to several classifiers. The best classification results were obtained using all computed features without the employment of feature reduction, using a probabilistic neural network. An accuracy, positive predictive value, sensitivity, and specificity of 89.09%, 91.70%, 91.83% and 83.70% was obtained, respectively. Based on these results, it is evident that the technique can be helpful in the automated classification of plaques present in CTA images, and may become an important tool to reduce procedural costs and patient radiation dose. This could also aid clinicians in plaque diagnostics.</t>
  </si>
  <si>
    <t>10.1016/j.rcl.2020.02.011</t>
  </si>
  <si>
    <t>Updates in Vascular Computed Tomography</t>
  </si>
  <si>
    <t>Computed tomography angiography (CTA) has become a mainstay for the imaging of vascular diseases, because of high accuracy, availability, and rapid turnaround time. High-quality CTA images can now be routinely obtained with high isotropic spatial resolution and temporal resolution. Advances in CTA have focused on improving the image quality, increasing the acquisition speed, eliminating artifacts, and reducing the doses of radiation and iodinated contrast media. Dual-energy computed tomography provides material composition capabilities that can be used for characterizing lesions, optimizing contrast, decreasing artifact, and reducing radiation dose. Deep learning techniques can be used for classification, segmentation, quantification, and image enhancement.</t>
  </si>
  <si>
    <t>P. Rajiah</t>
  </si>
  <si>
    <t>High-Throughput Classification of Radiographs Using Deep Convolutional Neural Networks</t>
  </si>
  <si>
    <t>The study aimed to determine if computer vision techniques rooted in deep learning can use a small set of radiographs to perform clinically relevant image classification with high fidelity. One thousand eight hundred eighty-five chest radiographs on 909 patients obtained between January 2013 and July 2015 at our institution were retrieved and anonymized. The source images were manually annotated as frontal or lateral and randomly divided into training, validation, and test sets. Training and validation sets were augmented to over 150,000 images using standard image manipulations. We then pre-trained a series of deep convolutional networks based on the open-source GoogLeNet with various transformations of the open-source ImageNet (non-radiology) images. These trained networks were then fine-tuned using the original and augmented radiology images. The model with highest validation accuracy was applied to our institutional test set and a publicly available set. Accuracy was assessed by using the Youden Index to set a binary cutoff for frontal or lateral classification. This retrospective study was IRB approved prior to initiation. A network pre-trained on 1.2 million greyscale ImageNet images and fine-tuned on augmented radiographs was chosen. The binary classification method correctly classified 100 % (95 % CI 99.73-100 %) of both our test set and the publicly available images. Classification was rapid, at 38 images per second. A deep convolutional neural network created using non-radiological images, and an augmented set of radiographs is effective in highly accurate classification of chest radiograph view type and is a feasible, rapid method for high-throughput annotation.</t>
  </si>
  <si>
    <t>A. Rajkomar, S. Lingam, A. G. Taylor, M. Blum and J. Mongan</t>
  </si>
  <si>
    <t>Deep learning for chest radiograph diagnosis: A retrospective comparison of the CheXNeXt algorithm to practicing radiologists</t>
  </si>
  <si>
    <t>BACKGROUND: Chest radiograph interpretation is critical for the detection of thoracic diseases, including tuberculosis and lung cancer, which affect millions of people worldwide each year. This time-consuming task typically requires expert radiologists to read the images, leading to fatigue-based diagnostic error and lack of diagnostic expertise in areas of the world where radiologists are not available. Recently, deep learning approaches have been able to achieve expert-level performance in medical image interpretation tasks, powered by large network architectures and fueled by the emergence of large labeled datasets. The purpose of this study is to investigate the performance of a deep learning algorithm on the detection of pathologies in chest radiographs compared with practicing radiologists. METHODS AND FINDINGS: We developed CheXNeXt, a convolutional neural network to concurrently detect the presence of 14 different pathologies, including pneumonia, pleural effusion, pulmonary masses, and nodules in frontal-view chest radiographs. CheXNeXt was trained and internally validated on the ChestX-ray8 dataset, with a held-out validation set consisting of 420 images, sampled to contain at least 50 cases of each of the original pathology labels. On this validation set, the majority vote of a panel of 3 board-certified cardiothoracic specialist radiologists served as reference standard. We compared CheXNeXt's discriminative performance on the validation set to the performance of 9 radiologists using the area under the receiver operating characteristic curve (AUC). The radiologists included 6 board-certified radiologists (average experience 12 years, range 4-28 years) and 3 senior radiology residents, from 3 academic institutions. We found that CheXNeXt achieved radiologist-level performance on 11 pathologies and did not achieve radiologist-level performance on 3 pathologies. The radiologists achieved statistically significantly higher AUC performance on cardiomegaly, emphysema, and hiatal hernia, with AUCs of 0.888 (95% confidence interval [CI] 0.863-0.910), 0.911 (95% CI 0.866-0.947), and 0.985 (95% CI 0.974-0.991), respectively, whereas CheXNeXt's AUCs were 0.831 (95% CI 0.790-0.870), 0.704 (95% CI 0.567-0.833), and 0.851 (95% CI 0.785-0.909), respectively. CheXNeXt performed better than radiologists in detecting atelectasis, with an AUC of 0.862 (95% CI 0.825-0.895), statistically significantly higher than radiologists' AUC of 0.808 (95% CI 0.777-0.838); there were no statistically significant differences in AUCs for the other 10 pathologies. The average time to interpret the 420 images in the validation set was substantially longer for the radiologists (240 minutes) than for CheXNeXt (1.5 minutes). The main limitations of our study are that neither CheXNeXt nor the radiologists were permitted to use patient history or review prior examinations and that evaluation was limited to a dataset from a single institution. CONCLUSIONS: In this study, we developed and validated a deep learning algorithm that classified clinically important abnormalities in chest radiographs at a performance level comparable to practicing radiologists. Once tested prospectively in clinical settings, the algorithm could have the potential to expand patient access to chest radiograph diagnostics.</t>
  </si>
  <si>
    <t>P. Rajpurkar, J. Irvin, R. L. Ball, K. Zhu, B. Yang, H. Mehta, T. Duan, D. Ding, A. Bagul, C. P. Langlotz, B. N. Patel, K. W. Yeom, K. Shpanskaya, F. G. Blankenberg, J. Seekins, T. J. Amrhein, D. A. Mong, S. S. Halabi, E. J. Zucker, A. Y. Ng and M. P. Lungren</t>
  </si>
  <si>
    <t>AppendiXNet: Deep Learning for Diagnosis of Appendicitis from A Small Dataset of CT Exams Using Video Pretraining</t>
  </si>
  <si>
    <t>The development of deep learning algorithms for complex tasks in digital medicine has relied on the availability of large labeled training datasets, usually containing hundreds of thousands of examples. The purpose of this study was to develop a 3D deep learning model, AppendiXNet, to detect appendicitis, one of the most common life-threatening abdominal emergencies, using a small training dataset of less than 500 training CT exams. We explored whether pretraining the model on a large collection of natural videos would improve the performance of the model over training the model from scratch. AppendiXNet was pretrained on a large collection of YouTube videos called Kinetics, consisting of approximately 500,000 video clips and annotated for one of 600 human action classes, and then fine-tuned on a small dataset of 438 CT scans annotated for appendicitis. We found that pretraining the 3D model on natural videos significantly improved the performance of the model from an AUC of 0.724 (95% CI 0.625, 0.823) to 0.810 (95% CI 0.725, 0.895). The application of deep learning to detect abnormalities on CT examinations using video pretraining could generalize effectively to other challenging cross-sectional medical imaging tasks when training data is limited.</t>
  </si>
  <si>
    <t>ChronoMID-Cross-modal neural networks for 3-D temporal medical imaging data</t>
  </si>
  <si>
    <t>ChronoMID-neural networks for temporally-varying, hence Chrono, Medical Imaging Data-makes the novel application of cross-modal convolutional neural networks (X-CNNs) to the medical domain. In this paper, we present multiple approaches for incorporating temporal information into X-CNNs and compare their performance in a case study on the classification of abnormal bone remodelling in mice. Previous work developing medical models has predominantly focused on either spatial or temporal aspects, but rarely both. Our models seek to unify these complementary sources of information and derive insights in a bottom-up, data-driven approach. As with many medical datasets, the case study herein exhibits deep rather than wide data; we apply various techniques, including extensive regularisation, to account for this. After training on a balanced set of approximately 70000 images, two of the models-those using difference maps from known reference points-outperformed a state-of-the-art convolutional neural network baseline by over 30pp (&gt; 99% vs. 68.26%) on an unseen, balanced validation set comprising around 20000 images. These models are expected to perform well with sparse data sets based on both previous findings with X-CNNs and the representations of time used, which permit arbitrarily large and irregular gaps between data points. Our results highlight the importance of identifying a suitable description of time for a problem domain, as unsuitable descriptors may not only fail to improve a model, they may in fact confound it.</t>
  </si>
  <si>
    <t>Hexa-functional tumour-seeking nano voyagers and annihilators for synergistic cancer theranostic applications</t>
  </si>
  <si>
    <t>In order to meet the unmet medical needs for effective cancer treatment, multifunctional nanocarriers based on iron oxide nanoparticles hold tremendous promise. Here we report a superparamagnetic iron oxide nanoparticles based hexa-functional nanosystem for synergistic cancer theranostic applications by offering active tumour targeting, accumulation and complementary imaging capability by combining magnetic resonance imaging as well as near-infrared fluorescence, magnetophotothermia and chemotherapy. The uniquely designed nanosystem exhibited a paramount increase in the antitumour efficacy through the simultaneous application of multiple thermal effects called magnetophotothermia, which outweighed the therapeutic efficacy of the current thermo-chemo therapies or stand-alone therapies. The active tumour-seeking property with prolonged tumour accumulation and complementary imaging capability with improved sensitivity and resolution also augments the therapeutic efficacy of the proposed nanosystem. Additionally, the work proposes a deep-learning-based tumour cell nuclei detection technique from H&amp;E stained images in anticipation of providing much inspiration for the future of precision histology.</t>
  </si>
  <si>
    <t>A. Ramachandra Kurup Sasikala, A. R. Unnithan, R. G. Thomas, T. Batgerel, Y. Y. Jeong, C. H. Park and C. S. Kim</t>
  </si>
  <si>
    <t>Nanoscale</t>
  </si>
  <si>
    <t>Deep learning based genome analysis and NGS-RNA LL identification with a novel hybrid model</t>
  </si>
  <si>
    <t>The conventional image segmentation techniques have a lot of issues with highest computational cost and low level accuracy for medical image diagnosis and genome analysis. The deep learning based optimization models utilize to predict the liver cancer with RNA genome using CT images and the prediction of genome classification with NGS is a higher probable in recent medical disease classification. This paper proposes a hybrid deep learning technique constructs with SegNet, MultiResUNet, and Krill Herd optimization (KHO) algorithm to perform the extraction of the liver lesions and RNA sequencing that the optimization techniques used into the deep learning method. The proposed technique implements the SegNet for segregating the liver with genome from the CT scan; the MultiResUNet is constructed to perform the extractions of liver lesions. The KHO algorithm is combined with the deep learning approaches for tuning the hyper parameters to every Convolutional neural network model and enhances the segmentation process which may elaborately identifies the sequence that causes the liver classification disease. The proposed technique is compared with the related techniques on liver lesion classification (LL) for NGS in genome. The performance results show that the proposed technique is better to other algorithms on various performance metrics.</t>
  </si>
  <si>
    <t>Biosystems</t>
  </si>
  <si>
    <t>10.1038/s41433-018-0269-y</t>
  </si>
  <si>
    <t>Fundus photograph-based deep learning algorithms in detecting diabetic retinopathy</t>
  </si>
  <si>
    <t>Remarkable advances in biomedical research have led to the generation of large amounts of data. Using artificial intelligence, it has become possible to extract meaningful information from large volumes of data, in a shorter frame of time, with very less human interference. In effect, convolutional neural networks (a deep learning method) have been taught to recognize pathological lesions from images. Diabetes has high morbidity, with millions of people who need to be screened for diabetic retinopathy (DR). Deep neural networks offer a great advantage of screening for DR from retinal images, in improved identification of DR lesions and risk factors for diseases, with high accuracy and reliability. This review aims to compare the current evidences on various deep learning models for diagnosis of diabetic retinopathy (DR).</t>
  </si>
  <si>
    <t>chi they have no conflict of interest.</t>
  </si>
  <si>
    <t>Eye (Lond)</t>
  </si>
  <si>
    <t>Breast pectoral muscle segmentation in mammograms using a modified holistically-nested edge detection network</t>
  </si>
  <si>
    <t>This paper presents a method for automatic breast pectoral muscle segmentation in mediolateral oblique mammograms using a Convolutional Neural Network (CNN) inspired by the Holistically-nested Edge Detection (HED) network. Most of the existing methods in the literature are based on hand-crafted models such as straight-line, curve-based techniques or a combination of both. Unfortunately, such models are insufficient when dealing with complex shape variations of the pectoral muscle boundary and when the boundary is unclear due to overlapping breast tissue. To compensate for these issues, we propose a neural network framework that incorporates multi-scale and multi-level learning, capable of learning complex hierarchical features to resolve spatial ambiguity in estimating the pectoral muscle boundary. For this purpose, we modified the HED network architecture to specifically find 'contour-like' objects in mammograms. The proposed framework produced a probability map that can be used to estimate the initial pectoral muscle boundary. Subsequently, we process these maps by extracting morphological properties to find the actual pectoral muscle boundary. Finally, we developed two different post-processing steps to find the actual pectoral muscle boundary. Quantitative evaluation results show that the proposed method is comparable with alternative state-of-the-art methods producing on average values of 94.8 ± 8.5% and 97.5 ± 6.3% for the Jaccard and Dice similarity metrics, respectively, across four different databases.</t>
  </si>
  <si>
    <t>A Deep Learning Approach for Automated Diagnosis and Multi-Class Classification of Alzheimer's Disease Stages Using Resting-State fMRI and Residual Neural Networks</t>
  </si>
  <si>
    <t>Alzheimer's disease (AD) is an incurable neurodegenerative disorder accounting for 70%-80% dementia cases worldwide. Although, research on AD has increased in recent years, however, the complexity associated with brain structure and functions makes the early diagnosis of this disease a challenging task. Resting-state functional magnetic resonance imaging (rs-fMRI) is a neuroimaging technology that has been widely used to study the pathogenesis of neurodegenerative diseases. In literature, the computer-aided diagnosis of AD is limited to binary classification or diagnosis of AD and MCI stages. However, its applicability to diagnose multiple progressive stages of AD is relatively under-studied. This study explores the effectiveness of rs-fMRI for multi-class classification of AD and its associated stages including CN, SMC, EMCI, MCI, LMCI, and AD. A longitudinal cohort of resting-state fMRI of 138 subjects (25 CN, 25 SMC, 25 EMCI, 25 LMCI, 13 MCI, and 25 AD) from Alzheimer's Disease Neuroimaging Initiative (ADNI) is studied. To provide a better insight into deep learning approaches and their applications to AD classification, we investigate ResNet-18 architecture in detail. We consider the training of the network from scratch by using single-channel input as well as performed transfer learning with and without fine-tuning using an extended network architecture. We experimented with residual neural networks to perform AD classification task and compared it with former research in this domain. The performance of the models is evaluated using precision, recall, f1-measure, AUC and ROC curves. We found that our networks were able to significantly classify the subjects. We achieved improved results with our fine-tuned model for all the AD stages with an accuracy of 100%, 96.85%, 97.38%, 97.43%, 97.40% and 98.01% for CN, SMC, EMCI, LMCI, MCI, and AD respectively. However, in terms of overall performance, we achieved state-of-the-art results with an average accuracy of 97.92% and 97.88% for off-the-shelf and fine-tuned models respectively. The Analysis of results indicate that classification and prediction of neurodegenerative brain disorders such as AD using functional magnetic resonance imaging and advanced deep learning methods is promising for clinical decision making and have the potential to assist in early diagnosis of AD and its associated stages.</t>
  </si>
  <si>
    <t>Detection of glaucomatous optic neuropathy with spectral-domain optical coherence tomography: a retrospective training and validation deep-learning analysis</t>
  </si>
  <si>
    <t>BACKGROUND: Spectral-domain optical coherence tomography (SDOCT) can be used to detect glaucomatous optic neuropathy, but human expertise in interpretation of SDOCT is limited. We aimed to develop and validate a three-dimensional (3D) deep-learning system using SDOCT volumes to detect glaucomatous optic neuropathy. METHODS: We retrospectively collected a dataset including 4877 SDOCT volumes of optic disc cube for training (60%), testing (20%), and primary validation (20%) from electronic medical and research records at the Chinese University of Hong Kong Eye Centre (Hong Kong, China) and the Hong Kong Eye Hospital (Hong Kong, China). Residual network was used to build the 3D deep-learning system. Three independent datasets (two from Hong Kong and one from Stanford, CA, USA), including 546, 267, and 1231 SDOCT volumes, respectively, were used for external validation of the deep-learning system. Volumes were labelled as having or not having glaucomatous optic neuropathy according to the criteria of retinal nerve fibre layer thinning on reliable SDOCT images with position-correlated visual field defect. Heatmaps were generated for qualitative assessments. FINDINGS: 6921 SDOCT volumes from 1 384 200 two-dimensional cross-sectional scans were studied. The 3D deep-learning system had an area under the receiver operation characteristics curve (AUROC) of 0·969 (95% CI 0·960-0·976), sensitivity of 89% (95% CI 83-93), specificity of 96% (92-99), and accuracy of 91% (89-93) in the primary validation, outperforming a two-dimensional deep-learning system that was trained on en face fundus images (AUROC 0·921 [0·905-0·937]; p&lt;0·0001). The 3D deep-learning system performed similarly in the external validation datasets, with AUROCs of 0·893-0·897, sensitivities of 78-90%, specificities of 79-86%, and accuracies of 80-86%. The heatmaps of glaucomatous optic neuropathy showed that the learned features by the 3D deep-learning system used for detection of glaucomatous optic neuropathy were similar to those used by clinicians. INTERPRETATION: The proposed 3D deep-learning system performed well in detection of glaucomatous optic neuropathy in both primary and external validations. Further prospective studies are needed to estimate the incremental cost-effectiveness of incorporation of an artificial intelligence-based model for glaucoma screening. FUNDING: Hong Kong Research Grants Council.</t>
  </si>
  <si>
    <t>10.1038/s41433-020-01191-5</t>
  </si>
  <si>
    <t>Deep learning in glaucoma with optical coherence tomography: a review</t>
  </si>
  <si>
    <t>Deep learning (DL), a subset of artificial intelligence (AI) based on deep neural networks, has made significant breakthroughs in medical imaging, particularly for image classification and pattern recognition. In ophthalmology, applying DL for glaucoma assessment with optical coherence tomography (OCT), including OCT traditional reports, two-dimensional (2D) B-scans, and three-dimensional (3D) volumetric scans, has increasingly raised research interests. Studies have demonstrated that using DL for interpreting OCT is efficient, accurate, and with good performance for discriminating glaucomatous eyes from normal eyes, suggesting that incorporation of DL technology in OCT for glaucoma assessment could potentially address some gaps in the current practice and clinical workflow. However, further research is crucial in tackling some existing challenges, such as annotation standardization (i.e., setting a standard for ground truth labelling among different studies), development of DL-powered IT infrastructure for real-world implementation, prospective validation in unseen datasets for further evaluation of generalizability, cost-effectiveness analysis after integration of DL, the AI black box explanation problem. This review summarizes recent studies on the application of DL on OCT for glaucoma assessment, identifies the potential clinical impact arising from the development and deployment of the DL models, and discusses future research directions.</t>
  </si>
  <si>
    <t>Denoising of 3D magnetic resonance images using a residual encoder-decoder Wasserstein generative adversarial network</t>
  </si>
  <si>
    <t>Structure-preserved denoising of 3D magnetic resonance imaging (MRI) images is a critical step in medical image analysis. Over the past few years, many algorithms with impressive performances have been proposed. In this paper, inspired by the idea of deep learning, we introduce an MRI denoising method based on the residual encoder-decoder Wasserstein generative adversarial network (RED-WGAN). Specifically, to explore the structure similarity between neighboring slices, a 3D configuration is utilized as the basic processing unit. Residual autoencoders combined with deconvolution operations are introduced into the generator network. Furthermore, to alleviate the oversmoothing shortcoming of the traditional mean squared error (MSE) loss function, the perceptual similarity, which is implemented by calculating the distances in the feature space extracted by a pretrained VGG-19 network, is incorporated with the MSE and adversarial losses to form the new loss function. Extensive experiments are implemented to assess the performance of the proposed method. The experimental results show that the proposed RED-WGAN achieves performance superior to several state-of-the-art methods in both simulated and real clinical data. In particular, our method demonstrates powerful abilities in both noise suppression and structure preservation.</t>
  </si>
  <si>
    <t>M. Ran, J. Hu, Y. Chen, H. Chen, H. Sun, J. Zhou and Y. Zhang</t>
  </si>
  <si>
    <t>A Deep Convolutional Neural Network for Annotation of Magnetic Resonance Imaging Sequence Type</t>
  </si>
  <si>
    <t>The explosion of medical imaging data along with the advent of big data analytics has launched an exciting era for clinical research. One factor affecting the ability to aggregate large medical image collections for research is the lack of infrastructure for automated data annotation. Among all imaging modalities, annotation of magnetic resonance (MR) images is particularly challenging due to the non-standard labeling of MR image types. In this work, we aimed to train a deep neural network to annotate MR image sequence type for scans of brain tumor patients. We focused on the four most common MR sequence types within neuroimaging: T1-weighted (T1W), T1-weighted post-gadolinium contrast (T1Gd), T2-weighted (T2W), and T2-weighted fluid-attenuated inversion recovery (FLAIR). Our repository contains images acquired using a variety of pulse sequences, sequence parameters, field strengths, and scanner manufacturers. Image selection was agnostic to patient demographics, diagnosis, and the presence of tumor in the imaging field of view. We used a total of 14,400 two-dimensional images, each visualizing a different part of the brain. Data was split into train, validation, and test sets (9600, 2400, and 2400 images, respectively) and sets consisted of equal-sized groups of image types. Overall, the model reached an accuracy of 99% on the test set. Our results showed excellent performance of deep learning techniques in predicting sequence types for brain tumor MR images. We conclude deep learning models can serve as tools to support clinical research and facilitate efficient database management.</t>
  </si>
  <si>
    <t>S. Ranjbar, K. W. Singleton, P. R. Jackson, C. R. Rickertsen, S. A. Whitmire, K. R. Clark-Swanson, J. R. Mitchell, K. R. Swanson and L. S. Hu</t>
  </si>
  <si>
    <t>Learning-based estimation of dielectric properties and tissue density in head models for personalized radio-frequency dosimetry</t>
  </si>
  <si>
    <t>Radio-frequency dosimetry is an important process in assessments for human exposure safety and for compliance of related products. Recently, computational human models generated from medical images have often been used for such assessment, especially to consider the inter-subject variability. However, a common procedure to develop personalized models is time consuming because it involves excessive segmentation of several components that represent different biological tissues, which is a major obstacle in the inter-subject variability assessment of radiation safety. Deep learning methods have been shown to be a powerful approach for pattern recognition and signal analysis. Convolutional neural networks with deep architecture are proven robust for feature extraction and image mapping in several biomedical applications. In this study, we develop a learning-based approach for fast and accurate estimation of the dielectric properties and density of tissues directly from magnetic resonance images in a single shot. The smooth distribution of the dielectric properties in head models, which is realized using a process without tissue segmentation, improves the smoothness of the specific absorption rate (SAR) distribution compared with that in the commonly used procedure. The estimated SAR distributions, as well as that averaged over 10 g of tissue in a cubic shape, are found to be highly consistent with those computed using the conventional methods that employ segmentation.</t>
  </si>
  <si>
    <t>Development of accurate human head models for personalized electromagnetic dosimetry using deep learning</t>
  </si>
  <si>
    <t>The development of personalized human head models from medical images has become an important topic in the electromagnetic dosimetry field, including the optimization of electrostimulation, safety assessments, etc. Human head models are commonly generated via the segmentation of magnetic resonance images into different anatomical tissues. This process is time consuming and requires special experience for segmenting a relatively large number of tissues. Thus, it is challenging to accurately compute the electric field in different specific brain regions. Recently, deep learning has been applied for the segmentation of the human brain. However, most studies have focused on the segmentation of brain tissue only and little attention has been paid to other tissues, which are considerably important for electromagnetic dosimetry. In this study, we propose a new architecture for a convolutional neural network, named ForkNet, to perform the segmentation of whole human head structures, which is essential for evaluating the electrical field distribution in the brain. The proposed network can be used to generate personalized head models and applied for the evaluation of the electric field in the brain during transcranial magnetic stimulation. Our computational results indicate that the head models generated using the proposed network exhibit strong matching with those created via manual segmentation in an intra-scanner segmentation task.</t>
  </si>
  <si>
    <t>Skin Lesion Classification Using GAN based Data Augmentation</t>
  </si>
  <si>
    <t>Early detection and frequent monitoring are critical for survival of skin cancer patients. Unfortunately, in practice a significant number of cases remain undetected until advanced stages, reducing the chances of survival. An appealing approach for early detection is to employ automated classification of dermoscopic images acquired via low-cost, smartphone-based hardware. By far, the most successful classification approaches on this task are based on deep learning. Unfortunately, most medical image classification tasks are unable to leverage the true potential of deep learning due to limited sizes of training datasets. Investigation of novel data generation techniques is thus an appealing option since it can enable us to augment our training data by a large number of synthetically generated examples. In this work, we investigate the possibility of obtaining realistic looking dermoscopic images via generative adversarial networks (GANs). These images are then employed to augment our existing training set in an effort to enhance the performance of a deep convolutional neural network on the skin lesion classification task. Results are compared with conventional data augmentation strategies and demonstrate that GAN based augmentation delivers significant performance gains.</t>
  </si>
  <si>
    <t>10.1038/s41581-019-0243-3</t>
  </si>
  <si>
    <t>Artificial intelligence approaches to improve kidney care</t>
  </si>
  <si>
    <t>Artificial intelligence is increasingly being used to improve diagnosis and prognostication for acute and chronic kidney diseases. Studies published in 2019 relied on a variety of available data sources towards this objective, including electronic health records, intraoperative physiological signals, kidney ultrasound imaging, and digitized biopsy specimens.</t>
  </si>
  <si>
    <t>Nat Rev Nephrol</t>
  </si>
  <si>
    <t>10.1097/aco.0000000000000779</t>
  </si>
  <si>
    <t>Primer on machine learning: utilization of large data set analyses to individualize pain management</t>
  </si>
  <si>
    <t>PURPOSE OF REVIEW: Pain researchers and clinicians increasingly encounter machine learning algorithms in both research methods and clinical practice. This review provides a summary of key machine learning principles, as well as applications to both structured and unstructured datasets. RECENT FINDINGS: Aside from increasing use in the analysis of electronic health record data, machine and deep learning algorithms are now key tools in the analyses of neuroimaging and facial expression recognition data used in pain research. SUMMARY: In the coming years, machine learning is likely to become a key component of evidence-based medicine, yet will require additional skills and perspectives for its successful and ethical use in research and clinical settings.</t>
  </si>
  <si>
    <t>Curr Opin Anaesthesiol</t>
  </si>
  <si>
    <t>The role of artificial intelligence in colon polyps detection</t>
  </si>
  <si>
    <t>Over the past few decades, artificial intelligence (AI) has evolved dramatically and is believed to have a significant impact on all aspects of technology and daily life. The use of AI in the healthcare system has been rapidly growing, owing to the large amount of data. Various methods of AI including machine learning, deep learning and convolutional neural network (CNN) have been used in diagnostic imaging, which have helped physicians in the accurate diagnosis of diseases and determination of appropriate treatment for them. Using and collecting a huge number of digital images and medical records has led to the creation of big data over a time period. Currently, considerations regarding the diagnosis of various presentations in all endoscopic procedures and imaging findings are solely handled by endoscopists. Moreover, AI has shown to be highly effective in the field of gastroenterology in terms of diagnosis, prognosis, and image processing. Herein, this review aimed to discuss different aspects of AI use for early detection and treatment of gastroenterology diseases.</t>
  </si>
  <si>
    <t>Machine Learning-Based Classification of the Health State of Mice Colon in Cancer Study from Confocal Laser Endomicroscopy</t>
  </si>
  <si>
    <t>In this article, we address the problem of the classification of the health state of the colon's wall of mice, possibly injured by cancer with machine learning approaches. This problem is essential for translational research on cancer and is a priori challenging since the amount of data is usually limited in all preclinical studies for practical and ethical reasons. Three states considered including cancer, health, and inflammatory on tissues. Fully automated machine learning-based methods are proposed, including deep learning, transfer learning, and shallow learning with SVM. These methods addressed different training strategies corresponding to clinical questions such as the automatic clinical state prediction on unseen data using a pre-trained model, or in an alternative setting, real-time estimation of the clinical state of individual tissue samples during the examination. Experimental results show the best performance of 99.93% correct recognition rate obtained for the second strategy as well as the performance of 98.49% which were achieved for the more difficult first case.</t>
  </si>
  <si>
    <t>Comparison of iterative parametric and indirect deep learning-based reconstruction methods in highly undersampled DCE-MR Imaging of the breast</t>
  </si>
  <si>
    <t>PURPOSE: To compare the performance of iterative direct and indirect parametric reconstruction methods with indirect deep learning-based reconstruction methods in estimating tracer-kinetic parameters from highly undersampled DCE-MR Imaging breast data and provide a systematic comparison of the same. METHODS: Estimation of tracer-kinetic parameters using indirect methods from undersampled data requires to reconstruct the anatomical images initially by solving an inverse problem. This reconstructed images gets utilized in turn to estimate the tracer-kinetic parameters. In direct estimation, the parameters are estimated without reconstructing the anatomical images. Both problems are ill-posed and are typically solved using prior-based regularization or using deep learning. In this study, for indirect estimation, two deep learning-based reconstruction frameworks namely, ISTA-Net(+) and MODL, were utilized. For direct and indirect parametric estimation, sparsity inducing priors (L1 and Total-Variation) and limited memory Broyden-Fletcher-Goldfarb-Shanno algorithm as solver was deployed. The performance of these techniques were compared systematically in estimation of vascular permeability ( Ktrans ) from undersampled DCE-MRI breast data using Patlak as pharmaco-kinetic model. The experiments involved retrospective undersampling of the data 20×, 50×, and 100× and compared the results using PSNR, nRMSE, SSIM, and Xydeas metrics. The Ktrans maps estimated from fully sampled data were utilized as ground truth. The developed code was made available as https://github.com/Medical-Imaging-Group/DCE-MRI-Compare open-source for enthusiastic users. RESULTS: The reconstruction methods performance was evaluated using ten patients breast data (five patients each for training and testing). Consistent with other studies, the results indicate that direct parametric reconstruction methods provide improved performance compared to the indirect parameteric reconstruction methods. The results also indicate that for 20× undersampling, deep learning-based methods performs better or at par with direct estimation in terms of PSNR, SSIM, and nRMSE. However, for higher undersampling rates (50× and 100×) direct estimation performs better in all metrics. For all undersampling rates, direct reconstruction performed better in terms of Xydeas metric, which indicated fidelity in magnitude and orientation of edges. CONCLUSION: Deep learning-based indirect techniques perform at par with direct estimation techniques for lower undersampling rates in the breast DCE-MR imaging. At higher undersampling rates, they are not able to provide much needed generalization. Direct estimation techniques are able to provide more accurate results than both deep learning- and parametric-based indirect methods in these high undersampling scenarios.</t>
  </si>
  <si>
    <t>Towards the automation of early-stage human embryo development detection</t>
  </si>
  <si>
    <t>BACKGROUND: Infertility and subfertility affect a significant proportion of humanity. Assisted reproductive technology has been proven capable of alleviating infertility issues. In vitro fertilisation is one such option whose success is highly dependent on the selection of a high-quality embryo for transfer. This is typically done manually by analysing embryos under a microscope. However, evidence has shown that the success rate of manual selection remains low. The use of new incubators with integrated time-lapse imaging system is providing new possibilities for embryo assessment. As such, we address this problem by proposing an approach based on deep learning for automated embryo quality evaluation through the analysis of time-lapse images. Automatic embryo detection is complicated by the topological changes of a tracked object. Moreover, the algorithm should process a large number of image files of different qualities in a reasonable amount of time. METHODS: We propose an automated approach to detect human embryo development stages during incubation and to highlight embryos with abnormal behaviour by focusing on five different stages. This method encompasses two major steps. First, the location of an embryo in the image is detected by employing a Haar feature-based cascade classifier and leveraging the radiating lines. Then, a multi-class prediction model is developed to identify a total cell number in the embryo using the technique of deep learning. RESULTS: The experimental results demonstrate that the proposed method achieves an accuracy of at least 90% in the detection of embryo location. The implemented deep learning approach to identify the early stages of embryo development resulted in an overall accuracy of over 92% using the selected architectures of convolutional neural networks. The most problematic stage was the 3-cell stage, presumably due to its short duration during development. CONCLUSION: This research contributes to the field by proposing a model to automate the monitoring of early-stage human embryo development. Unlike in other imaging fields, only a few published attempts have involved leveraging deep learning in this field. Therefore, the approach presented in this study could be used in the creation of novel algorithms integrated into the assisted reproductive technology used by embryologists.</t>
  </si>
  <si>
    <t>Deep representation learning for domain adaptable classification of infrared spectral imaging data</t>
  </si>
  <si>
    <t>MOTIVATION: Applying infrared microscopy in the context of tissue diagnostics heavily relies on computationally preprocessing the infrared pixel spectra that constitute an infrared microscopic image. Existing approaches involve physical models, which are non-linear in nature and lead to classifiers that do not generalize well, e.g. across different types of tissue preparation. Furthermore, existing preprocessing approaches involve iterative procedures that are computationally demanding, so that computation time required for preprocessing does not keep pace with recent progress in infrared microscopes which can capture whole-slide images within minutes. RESULTS: We investigate the application of stacked contractive autoencoders as an unsupervised approach to preprocess infrared microscopic pixel spectra, followed by supervised fine-tuning to obtain neural networks that can reliably resolve tissue structure. To validate the robustness of the resulting classifier, we demonstrate that a network trained on embedded tissue can be transferred to classify fresh frozen tissue. The features obtained from unsupervised pretraining thus generalize across the large spectral differences between embedded and fresh frozen tissue, where under previous approaches separate classifiers had to be trained from scratch. AVAILABILITY AND IMPLEMENTATION: Our implementation can be downloaded from https://github.com/arnrau/SCAE_IR_Spectral_Imaging. SUPPLEMENTARY INFORMATION: Supplementary data are available at Bioinformatics online.</t>
  </si>
  <si>
    <t>Artificial Intelligence System Approaching Neuroradiologist-level Differential Diagnosis Accuracy at Brain MRI</t>
  </si>
  <si>
    <t>Background Although artificial intelligence (AI) shows promise across many aspects of radiology, the use of AI to create differential diagnoses for rare and common diseases at brain MRI has not been demonstrated. Purpose To evaluate an AI system for generation of differential diagnoses at brain MRI compared with radiologists. Materials and Methods This retrospective study tested performance of an AI system for probabilistic diagnosis in patients with 19 common and rare diagnoses at brain MRI acquired between January 2008 and January 2018. The AI system combines data-driven and domain-expertise methodologies, including deep learning and Bayesian networks. First, lesions were detected by using deep learning. Then, 18 quantitative imaging features were extracted by using atlas-based coregistration and segmentation. Third, these image features were combined with five clinical features by using Bayesian inference to develop probability-ranked differential diagnoses. Quantitative feature extraction algorithms and conditional probabilities were fine-tuned on a training set of 86 patients (mean age, 49 years ± 16 [standard deviation]; 53 women). Accuracy was compared with radiology residents, general radiologists, neuroradiology fellows, and academic neuroradiologists by using accuracy of top one, top two, and top three differential diagnoses in 92 independent test set patients (mean age, 47 years ± 18; 52 women). Results For accuracy of top three differential diagnoses, the AI system (91% correct) performed similarly to academic neuroradiologists (86% correct; P = .20), and better than radiology residents (56%; P &lt; .001), general radiologists (57%; P &lt; .001), and neuroradiology fellows (77%; P = .003). The performance of the AI system was not affected by disease prevalence (93% accuracy for common vs 85% for rare diseases; P = .26). Radiologists were more accurate at diagnosing common versus rare diagnoses (78% vs 47% across all radiologists; P &lt; .001). Conclusion An artificial intelligence system for brain MRI approached overall top one, top two, and top three differential diagnoses accuracy of neuroradiologists and exceeded that of less-specialized radiologists. © RSNA, 2020 Online supplemental material is available for this article. See also the editorial by Zaharchuk in this issue.</t>
  </si>
  <si>
    <t>HUMAN-MACHINE COLLABORATION FOR MEDICAL IMAGE SEGMENTATION</t>
  </si>
  <si>
    <t>Image segmentation is a ubiquitous step in almost any medical image study. Deep learning-based approaches achieve state-of-the-art in the majority of image segmentation benchmarks. However, end-to-end training of such models requires sufficient annotation. In this paper, we propose a method based on conditional Generative Adversarial Network (cGAN) to address segmentation in semi-supervised setup and in a human-in-the-loop fashion. More specifically, we use the generator in the GAN to synthesize segmentations on unlabeled data and use the discriminator to identify unreliable slices for which expert annotation is required. The quantitative results on a conventional standard benchmark show that our method is comparable with the state-of-the-art fully supervised methods in slice-level evaluation, despite of requiring far less annotated data.</t>
  </si>
  <si>
    <t>Proc IEEE Int Conf Acoust Speech Signal Process</t>
  </si>
  <si>
    <t>Adversarial training with cycle consistency for unsupervised super-resolution in endomicroscopy</t>
  </si>
  <si>
    <t>In recent years, endomicroscopy has become increasingly used for diagnostic purposes and interventional guidance. It can provide intraoperative aids for real-time tissue characterization and can help to perform visual investigations aimed for example to discover epithelial cancers. Due to physical constraints on the acquisition process, endomicroscopy images, still today have a low number of informative pixels which hampers their quality. Post-processing techniques, such as Super-Resolution (SR), are a potential solution to increase the quality of these images. SR techniques are often supervised, requiring aligned pairs of low-resolution (LR) and high-resolution (HR) images patches to train a model. However, in our domain, the lack of HR images hinders the collection of such pairs and makes supervised training unsuitable. For this reason, we propose an unsupervised SR framework based on an adversarial deep neural network with a physically-inspired cycle consistency, designed to impose some acquisition properties on the super-resolved images. Our framework can exploit HR images, regardless of the domain where they are coming from, to transfer the quality of the HR images to the initial LR images. This property can be particularly useful in all situations where pairs of LR/HR are not available during the training. Our quantitative analysis, validated using a database of 238 endomicroscopy video sequences from 143 patients, shows the ability of the pipeline to produce convincing super-resolved images. A Mean Opinion Score (MOS) study also confirms this quantitative image quality assessment.</t>
  </si>
  <si>
    <t>D. Ravì, A. B. Szczotka, S. P. Pereira and T. Vercauteren</t>
  </si>
  <si>
    <t>Effective deep learning training for single-image super-resolution in endomicroscopy exploiting video-registration-based reconstruction</t>
  </si>
  <si>
    <t>PURPOSE: Probe-based confocal laser endomicroscopy (pCLE) is a recent imaging modality that allows performing in vivo optical biopsies. The design of pCLE hardware, and its reliance on an optical fibre bundle, fundamentally limits the image quality with a few tens of thousands fibres, each acting as the equivalent of a single-pixel detector, assembled into a single fibre bundle. Video registration techniques can be used to estimate high-resolution (HR) images by exploiting the temporal information contained in a sequence of low-resolution (LR) images. However, the alignment of LR frames, required for the fusion, is computationally demanding and prone to artefacts. METHODS: In this work, we propose a novel synthetic data generation approach to train exemplar-based Deep Neural Networks (DNNs). HR pCLE images with enhanced quality are recovered by the models trained on pairs of estimated HR images (generated by the video registration algorithm) and realistic synthetic LR images. Performance of three different state-of-the-art DNNs techniques were analysed on a Smart Atlas database of 8806 images from 238 pCLE video sequences. The results were validated through an extensive image quality assessment that takes into account different quality scores, including a Mean Opinion Score (MOS). RESULTS: Results indicate that the proposed solution produces an effective improvement in the quality of the obtained reconstructed image. CONCLUSION: The proposed training strategy and associated DNNs allows us to perform convincing super-resolution of pCLE images.</t>
  </si>
  <si>
    <t>D. Ravì, A. B. Szczotka, D. I. Shakir, S. P. Pereira and T. Vercauteren</t>
  </si>
  <si>
    <t>10.1109/jbhi.2016.2636665</t>
  </si>
  <si>
    <t>Deep Learning for Health Informatics</t>
  </si>
  <si>
    <t>With a massive influx of multimodality data, the role of data analytics in health informatics has grown rapidly in the last decade. This has also prompted increasing interests in the generation of analytical, data driven models based on machine learning in health informatics. Deep learning, a technique with its foundation in artificial neural networks, is emerging in recent years as a powerful tool for machine learning, promising to reshape the future of artificial intelligence. Rapid improvements in computational power, fast data storage, and parallelization have also contributed to the rapid uptake of the technology in addition to its predictive power and ability to generate automatically optimized high-level features and semantic interpretation from the input data. This article presents a comprehensive up-to-date review of research employing deep learning in health informatics, providing a critical analysis of the relative merit, and potential pitfalls of the technique as well as its future outlook. The paper mainly focuses on key applications of deep learning in the fields of translational bioinformatics, medical imaging, pervasive sensing, medical informatics, and public health.</t>
  </si>
  <si>
    <t>Image Reconstruction: From Sparsity to Data-adaptive Methods and Machine Learning</t>
  </si>
  <si>
    <t>The field of medical image reconstruction has seen roughly four types of methods. The first type tended to be analytical methods, such as filtered back-projection (FBP) for X-ray computed tomography (CT) and the inverse Fourier transform for magnetic resonance imaging (MRI), based on simple mathematical models for the imaging systems. These methods are typically fast, but have suboptimal properties such as poor resolution-noise trade-off for CT. A second type is iterative reconstruction methods based on more complete models for the imaging system physics and, where appropriate, models for the sensor statistics. These iterative methods improved image quality by reducing noise and artifacts. The FDA-approved methods among these have been based on relatively simple regularization models. A third type of methods has been designed to accommodate modified data acquisition methods, such as reduced sampling in MRI and CT to reduce scan time or radiation dose. These methods typically involve mathematical image models involving assumptions such as sparsity or low-rank. A fourth type of methods replaces mathematically designed models of signals and systems with data-driven or adaptive models inspired by the field of machine learning. This paper focuses on the two most recent trends in medical image reconstruction: methods based on sparsity or low-rank models, and data-driven methods based on machine learning techniques.</t>
  </si>
  <si>
    <t>Proc IEEE Inst Electr Electron Eng</t>
  </si>
  <si>
    <t>Micro-Net: A unified model for segmentation of various objects in microscopy images</t>
  </si>
  <si>
    <t>Object segmentation and structure localization are important steps in automated image analysis pipelines for microscopy images. We present a convolution neural network (CNN) based deep learning architecture for segmentation of objects in microscopy images. The proposed network can be used to segment cells, nuclei and glands in fluorescence microscopy and histology images after slight tuning of input parameters. The network trains at multiple resolutions of the input image, connects the intermediate layers for better localization and context and generates the output using multi-resolution deconvolution filters. The extra convolutional layers which bypass the max-pooling operation allow the network to train for variable input intensities and object size and make it robust to noisy data. We compare our results on publicly available data sets and show that the proposed network outperforms recent deep learning algorithms.</t>
  </si>
  <si>
    <t>S. E. A. Raza, L. Cheung, M. Shaban, S. Graham, D. Epstein, S. Pelengaris, M. Khan and N. M. Rajpoot</t>
  </si>
  <si>
    <t>Efficient Brain Tumor Segmentation With Multiscale Two-Pathway-Group Conventional Neural Networks</t>
  </si>
  <si>
    <t>Manual segmentation of the brain tumors for cancer diagnosis from MRI images is a difficult, tedious, and time-consuming task. The accuracy and the robustness of brain tumor segmentation, therefore, are crucial for the diagnosis, treatment planning, and treatment outcome evaluation. Mostly, the automatic brain tumor segmentation methods use hand designed features. Similarly, traditional methods of deep learning such as convolutional neural networks require a large amount of annotated data to learn from, which is often difficult to obtain in the medical domain. Here, we describe a new model two-pathway-group CNN architecture for brain tumor segmentation, which exploits local features and global contextual features simultaneously. This model enforces equivariance in the two-pathway CNN model to reduce instabilities and overfitting parameter sharing. Finally, we embed the cascade architecture into two-pathway-group CNN in which the output of a basic CNN is treated as an additional source and concatenated at the last layer. Validation of the model on BRATS2013 and BRATS2015 data sets revealed that embedding of a group CNN into a two pathway architecture improved the overall performance over the currently published state-of-the-art while computational complexity remains attractive.</t>
  </si>
  <si>
    <t>Rise of Robot Radiologists</t>
  </si>
  <si>
    <t>S. Reardon</t>
  </si>
  <si>
    <t>Divide and Conquer: Stratifying Training Data by Tumor Grade Improves Deep Learning-Based Brain Tumor Segmentation</t>
  </si>
  <si>
    <t>It is a general assumption in deep learning that more training data leads to better performance, and that models will learn to generalize well across heterogeneous input data as long as that variety is represented in the training set. Segmentation of brain tumors is a well-investigated topic in medical image computing, owing primarily to the availability of a large publicly-available dataset arising from the long-running yearly Multimodal Brain Tumor Segmentation (BraTS) challenge. Research efforts and publications addressing this dataset focus predominantly on technical improvements of model architectures and less on properties of the underlying data. Using the dataset and the method ranked third in the BraTS 2018 challenge, we performed experiments to examine the impact of tumor type on segmentation performance. We propose to stratify the training dataset into high-grade glioma (HGG) and low-grade glioma (LGG) subjects and train two separate models. Although we observed only minor gains in overall mean dice scores by this stratification, examining case-wise rankings of individual subjects revealed statistically significant improvements. Compared to a baseline model trained on both HGG and LGG cases, two separately trained models led to better performance in 64.9% of cases (p &lt; 0.0001) for the tumor core. An analysis of subjects which did not profit from stratified training revealed that cases were missegmented which had poor image quality, or which presented clinically particularly challenging cases (e.g., underrepresented subtypes such as IDH1-mutant tumors), underlining the importance of such latent variables in the context of tumor segmentation. In summary, we found that segmentation models trained on the BraTS 2018 dataset, stratified according to tumor type, lead to a significant increase in segmentation performance. Furthermore, we demonstrated that this gain in segmentation performance is evident in the case-wise ranking of individual subjects but not in summary statistics. We conclude that it may be useful to consider the segmentation of brain tumors of different types or grades as separate tasks, rather than developing one tool to segment them all. Consequently, making this information available for the test data should be considered, potentially leading to a more clinically relevant BraTS competition.</t>
  </si>
  <si>
    <t>M. Rebsamen, U. Knecht, M. Reyes, R. Wiest, R. Meier and R. McKinley</t>
  </si>
  <si>
    <t>Deep Learning Role in Early Diagnosis of Prostate Cancer</t>
  </si>
  <si>
    <t>The objective of this work is to develop a computer-aided diagnostic system for early diagnosis of prostate cancer. The presented system integrates both clinical biomarkers (prostate-specific antigen) and extracted features from diffusion-weighted magnetic resonance imaging collected at multiple b values. The presented system performs 3 major processing steps. First, prostate delineation using a hybrid approach that combines a level-set model with nonnegative matrix factorization. Second, estimation and normalization of diffusion parameters, which are the apparent diffusion coefficients of the delineated prostate volumes at different b values followed by refinement of those apparent diffusion coefficients using a generalized Gaussian Markov random field model. Then, construction of the cumulative distribution functions of the processed apparent diffusion coefficients at multiple b values. In parallel, a K-nearest neighbor classifier is employed to transform the prostate-specific antigen results into diagnostic probabilities. Finally, those prostate-specific antigen-based probabilities are integrated with the initial diagnostic probabilities obtained using stacked nonnegativity constraint sparse autoencoders that employ apparent diffusion coefficient-cumulative distribution functions for better diagnostic accuracy. Experiments conducted on 18 diffusion-weighted magnetic resonance imaging data sets achieved 94.4% diagnosis accuracy (sensitivity = 88.9% and specificity = 100%), which indicate the promising results of the presented computer-aided diagnostic system.</t>
  </si>
  <si>
    <t>I. Reda, A. Khalil, M. Elmogy, A. Abou El-Fetouh, A. Shalaby, M. Abou El-Ghar, A. Elmaghraby, M. Ghazal and A. El-Baz</t>
  </si>
  <si>
    <t>A comprehensive non-invasive framework for diagnosing prostate cancer</t>
  </si>
  <si>
    <t>Early detection of prostate cancer increases chances of patients' survival. Our automated non-invasive system for computer-aided diagnosis (CAD) of prostate cancer segments the prostate on diffusion-weighted magnetic resonance images (DW-MRI) acquired at different b-values, estimates its apparent diffusion coefficients (ADC), and classifies their descriptors - empirical cumulative distribution functions (CDF) - with a trained deep learning network. To segment the prostate, an evolving geometric (level-set-based) deformable model is guided by a speed function depending on intensity attributes extracted from the DW-MRI with nonnegative matrix factorization (NMF). For a more robust evolution, the attributes are fused with a probabilistic shape prior and estimated spatial dependencies between prostate voxels. To preserve continuity, the ADCs of the segmented prostate volume at different b-values are normalized and refined using a generalized Gauss-Markov random field image model. The CDFs of the refined ADCs at different b-values are considered global water diffusion features and used to distinguish between benign and malignant prostates. A deep learning network of stacked non-negativity-constrained auto-encoders (SNCAE) is trained to classify the benign or malignant prostates on the basis of the constructed CDFs. Our experiments on 53 clinical DW-MRI data sets resulted in 92.3% accuracy, 83.3% sensitivity, and 100% specificity, indicating that the proposed CAD system could be used as a reliable non-invasive diagnostic tool.</t>
  </si>
  <si>
    <t>I. Reda, A. Shalaby, M. Elmogy, A. A. Elfotouh, F. Khalifa, M. A. El-Ghar, E. Hosseini-Asl, G. Gimel'farb, N. Werghi and A. El-Baz</t>
  </si>
  <si>
    <t>Classification of acute lymphoblastic leukemia using deep learning</t>
  </si>
  <si>
    <t>Acute Leukemia is a life-threatening disease common both in children and adults that can lead to death if left untreated. Acute Lymphoblastic Leukemia (ALL) spreads out in children's bodies rapidly and takes the life within a few weeks. To diagnose ALL, the hematologists perform blood and bone marrow examination. Manual blood testing techniques that have been used since long time are often slow and come out with the less accurate diagnosis. This work improves the diagnosis of ALL with a computer-aided system, which yields accurate result by using image processing and deep learning techniques. This research proposed a method for the classification of ALL into its subtypes and reactive bone marrow (normal) in stained bone marrow images. A robust segmentation and deep learning techniques with the convolutional neural network are used to train the model on the bone marrow images to achieve accurate classification results. Experimental results thus obtained and compared with the results of other classifiers Naïve Bayesian, KNN, and SVM. Experimental results reveal that the proposed method achieved 97.78% accuracy. The obtained results exhibit that the proposed approach could be used as a tool to diagnose Acute Lymphoblastic Leukemia and its sub-types that will definitely assist pathologists.</t>
  </si>
  <si>
    <t>A. Rehman, N. Abbas, T. Saba, S. I. U. Rahman, Z. Mehmood and H. Kolivand</t>
  </si>
  <si>
    <t>10.1016/j.pdpdt.2020.102165</t>
  </si>
  <si>
    <t>A review of the medical hyperspectral imaging systems and unmixing algorithms' in biological tissues</t>
  </si>
  <si>
    <t>Hyperspectral fluorescence imaging (HFI) is a well-known technique in the medical research field and is considered as a non-invasive tool for tissue diagnosis. This review article gives a brief introduction to acquisition methods, including the image preprocessing methods, feature selection and extraction methods, data classification techniques and medical image analysis along with recent relevant references. The process of fusion of unsupervised unmixing techniques with other classification methods like the combination of support vector machine with an artificial neural network, the latest snapshot Hyperspectral imaging (HSI) and vortex analysis techniques is also outlined. Finally, the recent applications of hyperspectral images in cellular differentiation of various types of cancer are discussed.</t>
  </si>
  <si>
    <t>A Region-Based Deep Level Set Formulation for Vertebral Bone Segmentation of Osteoporotic Fractures</t>
  </si>
  <si>
    <t>Accurate segmentation of the vertebrae from medical images plays an important role in computer-aided diagnoses (CADs). It provides an initial and early diagnosis of various vertebral abnormalities to doctors and radiologists. Vertebrae segmentation is very important but difficult task in medical imaging due to low-contrast imaging and noise. It becomes more challenging when dealing with fractured (osteoporotic) cases. This work is dedicated to address the challenging problem of vertebra segmentation. In the past, various segmentation techniques of vertebrae have been proposed. Recently, deep learning techniques have been introduced in biomedical image processing for segmentation and characterization of several abnormalities. These techniques are becoming popular for segmentation purposes due to their robustness and accuracy. In this paper, we present a novel combination of traditional region-based level set with deep learning framework in order to predict shape of vertebral bones accurately; thus, it would be able to handle the fractured cases efficiently. We termed this novel Framework as FU-Net which is a powerful and practical framework to handle fractured vertebrae segmentation efficiently. The proposed method was successfully evaluated on two different challenging datasets: (1) 20 CT scans, 15 healthy cases, and 5 fractured cases provided at spine segmentation challenge CSI 2014; (2) 25 CT image data (both healthy and fractured cases) provided at spine segmentation challenge CSI 2016 or xVertSeg.v1 challenge. We have achieved promising results on our proposed technique especially on fractured cases. Dice score was found to be 96.4 ± 0.8% without fractured cases and 92.8 ± 1.9% with fractured cases in CSI 2014 dataset (lumber and thoracic). Similarly, dice score was 95.2 ± 1.9% on 15 CT dataset (with given ground truths) and 95.4 ± 2.1% on total 25 CT dataset for CSI 2016 datasets (with 10 annotated CT datasets). The proposed technique outperformed other state-of-the-art techniques and handled the fractured cases for the first time efficiently.</t>
  </si>
  <si>
    <t>F. Rehman, S. I. Ali Shah, M. N. Riaz, S. O. Gilani and F. R</t>
  </si>
  <si>
    <t>How Haptics and Drawing Enhance the Learning of Anatomy</t>
  </si>
  <si>
    <t>Students' engagement with two-dimensional (2D) representations as opposed to three-dimensional (3D) representations of anatomy such as in dissection, is significant in terms of the depth of their comprehension. This qualitative study aimed to understand how students learned anatomy using observational and drawing activities that included touch, called haptics. Five volunteer second year medical students at the University of Cape Town participated in a six-day educational intervention in which a novel haptico-visual observation and drawing (HVOD) method was employed. Data were collected through individual interviews as well as a focus group discussion. The HVOD method was successfully applied by all the participants, who reported an improvement of their cognitive understanding and memorization of the 3D form of the anatomical part. All the five participants described the development of a mental picture of the object as being central to deep learning. The use of the haptic senses coupled with the simultaneous act of drawing enrolled sources of information that were reported by the participants to have enabled better memorization. We postulate that the more sources of information about an object, the greater degree of complexity could be appreciated, and therefore the more clearly it could be captured and memorized. The inclusion of haptics has implications for cadaveric dissection versus non-cadaveric forms of learning. This study was limited by its sample size as well as the bias and position of the researchers, but the sample of five produced a sufficient amount of data to generate a conceptual model and hypothesis.</t>
  </si>
  <si>
    <t>S. Reid, L. Shapiro and G. Louw</t>
  </si>
  <si>
    <t>Anat Sci Educ</t>
  </si>
  <si>
    <t>10.1002/jmri.26852</t>
  </si>
  <si>
    <t>Machine learning in breast MRI</t>
  </si>
  <si>
    <t>Machine-learning techniques have led to remarkable advances in data extraction and analysis of medical imaging. Applications of machine learning to breast MRI continue to expand rapidly as increasingly accurate 3D breast and lesion segmentation allows the combination of radiologist-level interpretation (eg, BI-RADS lexicon), data from advanced multiparametric imaging techniques, and patient-level data such as genetic risk markers. Advances in breast MRI feature extraction have led to rapid dataset analysis, which offers promise in large pooled multiinstitutional data analysis. The object of this review is to provide an overview of machine-learning and deep-learning techniques for breast MRI, including supervised and unsupervised methods, anatomic breast segmentation, and lesion segmentation. Finally, it explores the role of machine learning, current limitations, and future applications to texture analysis, radiomics, and radiogenomics. Level of Evidence: 3 Technical Efficacy Stage: 2 J. Magn. Reson. Imaging 2019. J. Magn. Reson. Imaging 2020;52:998-1018.</t>
  </si>
  <si>
    <t>Evaluating the Impact of Intensity Normalization on MR Image Synthesis</t>
  </si>
  <si>
    <t>Image synthesis learns a transformation from the intensity features of an input image to yield a different tissue contrast of the output image. This process has been shown to have application in many medical image analysis tasks including imputation, registration, and segmentation. To carry out synthesis, the intensities of the input images are typically scaled-i.e., normalized-both in training to learn the transformation and in testing when applying the transformation, but it is not presently known what type of input scaling is optimal. In this paper, we consider seven different intensity normalization algorithms and three different synthesis methods to evaluate the impact of normalization. Our experiments demonstrate that intensity normalization as a preprocessing step improves the synthesis results across all investigated synthesis algorithms. Furthermore, we show evidence that suggests intensity normalization is vital for successful deep learning-based MR image synthesis.</t>
  </si>
  <si>
    <t>J. C. Reinhold, B. E. Dewey, A. Carass and J. L. Prince</t>
  </si>
  <si>
    <t>Application of Deep Learning to Predict Standardized Uptake Value Ratio and Amyloid Status on (18)F-Florbetapir PET Using ADNI Data</t>
  </si>
  <si>
    <t>BACKGROUND AND PURPOSE: Cortical amyloid quantification on PET by using the standardized uptake value ratio is valuable for research studies and clinical trials in Alzheimer disease. However, it is resource intensive, requiring co-registered MR imaging data and specialized segmentation software. We investigated the use of deep learning to automatically quantify standardized uptake value ratio and used this for classification. MATERIALS AND METHODS: Using the Alzheimer's Disease Neuroimaging Initiative dataset, we identified 2582 (18)F-florbetapir PET scans, which were separated into positive and negative cases by using a standardized uptake value ratio threshold of 1.1. We trained convolutional neural networks (ResNet-50 and ResNet-152) to predict standardized uptake value ratio and classify amyloid status. We assessed performance based on network depth, number of PET input slices, and use of ImageNet pretraining. We also assessed human performance with 3 readers in a subset of 100 randomly selected cases. RESULTS: We have found that 48% of cases were amyloid positive. The best performance was seen for ResNet-50 by using regression before classification, 3 input PET slices, and pretraining, with a standardized uptake value ratio root-mean-square error of 0.054, corresponding to 95.1% correct amyloid status prediction. Using more than 3 slices did not improve performance, but ImageNet initialization did. The best trained network was more accurate than humans (96% versus a mean of 88%, respectively). CONCLUSIONS: Deep learning algorithms can estimate standardized uptake value ratio and use this to classify (18)F-florbetapir PET scans. Such methods have promise to automate this laborious calculation, enabling quantitative measurements rapidly and in settings without extensive image processing manpower and expertise.</t>
  </si>
  <si>
    <t>Distributed deep learning for robust multi-site segmentation of CT imaging after traumatic brain injury</t>
  </si>
  <si>
    <t>Machine learning models are becoming commonplace in the domain of medical imaging, and with these methods comes an ever-increasing need for more data. However, to preserve patient anonymity it is frequently impractical or prohibited to transfer protected health information (PHI) between institutions. Additionally, due to the nature of some studies, there may not be a large public dataset available on which to train models. To address this conundrum, we analyze the efficacy of transferring the model itself in lieu of data between different sites. By doing so we accomplish two goals: 1) the model gains access to training on a larger dataset that it could not normally obtain and 2) the model better generalizes, having trained on data from separate locations. In this paper, we implement multi-site learning with disparate datasets from the National Institutes of Health (NIH) and Vanderbilt University Medical Center (VUMC) without compromising PHI. Three neural networks are trained to convergence on a computed tomography (CT) brain hematoma segmentation task: one only with NIH data, one only with VUMC data, and one multi-site model alternating between NIH and VUMC data. Resultant lesion masks with the multi-site model attain an average Dice similarity coefficient of 0.64 and the automatically segmented hematoma volumes correlate to those done manually with a Pearson correlation coefficient of 0.87, corresponding to an 8% and 5% improvement, respectively, over the single-site model counterparts.</t>
  </si>
  <si>
    <t>S. Remedios, S. Roy, J. Blaber, C. Bermudez, V. Nath, M. B. Patel, J. A. Butman, B. A. Landman and D. L. Pham</t>
  </si>
  <si>
    <t>Distributed deep learning across multisite datasets for generalized CT hemorrhage segmentation</t>
  </si>
  <si>
    <t>PURPOSE: As deep neural networks achieve more success in the wide field of computer vision, greater emphasis is being placed on the generalizations of these models for production deployment. With sufficiently large training datasets, models can typically avoid overfitting their data; however, for medical imaging it is often difficult to obtain enough data from a single site. Sharing data between institutions is also frequently nonviable or prohibited due to security measures and research compliance constraints, enforced to guard protected health information (PHI) and patient anonymity. METHODS: In this paper, we implement cyclic weight transfer with independent datasets from multiple geographically disparate sites without compromising PHI. We compare results between single-site learning (SSL) and multisite learning (MSL) models on testing data drawn from each of the training sites as well as two other institutions. RESULTS: The MSL model attains an average dice similarity coefficient (DSC) of 0.690 on the holdout institution datasets with a volume correlation of 0.914, respectively corresponding to a 7% and 5% statistically significant improvement over the average of both SSL models, which attained an average DSC of 0.646 and average correlation of 0.871. CONCLUSIONS: We show that a neural network can be efficiently trained on data from two physically remote sites without consolidating patient data to a single location. The resulting network improves model generalization and achieves higher average DSCs on external datasets than neural networks trained on data from a single source.</t>
  </si>
  <si>
    <t>S. W. Remedios, S. Roy, C. Bermudez, M. B. Patel, J. A. Butman, B. A. Landman and D. L. Pham</t>
  </si>
  <si>
    <t>Automatic Recognition of Laryngoscopic Images Using a Deep-Learning Technique</t>
  </si>
  <si>
    <t>OBJECTIVES/HYPOTHESIS: To develop a deep-learning-based computer-aided diagnosis system for distinguishing laryngeal neoplasms (benign, precancerous lesions, and cancer) and improve the clinician-based accuracy of diagnostic assessments of laryngoscopy findings. STUDY DESIGN: Retrospective study. METHODS: A total of 24,667 laryngoscopy images (normal, vocal nodule, polyps, leukoplakia and malignancy) were collected to develop and test a convolutional neural network (CNN)-based classifier. A comparison between the proposed CNN-based classifier and the clinical visual assessments (CVAs) by 12 otolaryngologists was conducted. RESULTS: In the independent testing dataset, an overall accuracy of 96.24% was achieved; for leukoplakia, benign, malignancy, normal, and vocal nodule, the sensitivity and specificity were 92.8% vs. 98.9%, 97% vs. 99.7%, 89% vs. 99.3%, 99.0% vs. 99.4%, and 97.2% vs. 99.1%, respectively. Furthermore, when compared with CVAs on the randomly selected test dataset, the CNN-based classifier outperformed physicians for most laryngeal conditions, with striking improvements in the ability to distinguish nodules (98% vs. 45%, P &lt; .001), polyps (91% vs. 86%, P &lt; .001), leukoplakia (91% vs. 65%, P &lt; .001), and malignancy (90% vs. 54%, P &lt; .001). CONCLUSIONS: The CNN-based classifier can provide a valuable reference for the diagnosis of laryngeal neoplasms during laryngoscopy, especially for distinguishing benign, precancerous, and cancer lesions. LEVEL OF EVIDENCE: NA Laryngoscope, 130:E686-E693, 2020.</t>
  </si>
  <si>
    <t>Laryngoscope</t>
  </si>
  <si>
    <t>Regression Convolutional Neural Network for Automated Pediatric Bone Age Assessment From Hand Radiograph</t>
  </si>
  <si>
    <t>Skeletal bone age assessment is a common clinical practice to investigate endocrinology, and genetic and growth disorders of children. However, clinical interpretation and bone age analyses are time-consuming, labor intensive, and often subject to inter-observer variability. This advocates the need of a fully automated method for bone age assessment. We propose a regression convolutional neural network (CNN) to automatically assess the pediatric bone age from hand radiograph. Our network is specifically trained to place more attention to those bone age related regions in the X-ray images. Specifically, we first adopt the attention module to process all images and generate the coarse/fine attention maps as inputs for the regression network. Then, the regression CNN follows the supervision of the dynamic attention loss during training; thus, it can estimate the bone age of the hard (or outlier) images more accurately. The experimental results show that our method achieves an average discrepancy of 5.2-5.3 months between clinical and automatic bone age evaluations on two large datasets. In conclusion, we propose a fully automated deep learning solution to process X-ray images of the hand for bone age assessment, with the accuracy comparable to human experts but with much better efficiency.</t>
  </si>
  <si>
    <t>A manifold learning regularization approach to enhance 3D CT image-based lung nodule classification</t>
  </si>
  <si>
    <t>PURPOSE: Diagnosis of lung cancer requires radiologists to review every lung nodule in CT images. Such a process can be very time-consuming, and the accuracy is affected by many factors, such as experience of radiologists and available diagnosis time. To address this problem, we proposed to develop a deep learning-based system to automatically classify benign and malignant lung nodules. METHODS: The proposed method automatically determines benignity or malignancy given the 3D CT image patch of a lung nodule to assist diagnosis process. Motivated by the fact that real structure among data is often embedded on a low-dimensional manifold, we developed a novel manifold regularized classification deep neural network (MRC-DNN) to perform classification directly based on the manifold representation of lung nodule images. The concise manifold representation revealing important data structure is expected to benefit the classification, while the manifold regularization enforces strong, but natural constraints on network training, preventing over-fitting. RESULTS: The proposed method achieves accurate manifold learning with reconstruction error of ~ 30 HU on real lung nodule CT image data. In addition, the classification accuracy on testing data is 0.90 with sensitivity of 0.81 and specificity of 0.95, which outperforms state-of-the-art deep learning methods. CONCLUSION: The proposed MRC-DNN facilitates an accurate manifold learning approach for lung nodule classification based on 3D CT images. More importantly, MRC-DNN suggests a new and effective idea of enforcing regularization for network training, possessing the potential impact to a board range of applications.</t>
  </si>
  <si>
    <t>Variability and reproducibility in deep learning for medical image segmentation</t>
  </si>
  <si>
    <t>Medical image segmentation is an important tool for current clinical applications. It is the backbone of numerous clinical diagnosis methods, oncological treatments and computer-integrated surgeries. A new class of machine learning algorithm, deep learning algorithms, outperforms the results of classical segmentation in terms of accuracy. However, these techniques are complex and can have a high range of variability, calling the reproducibility of the results into question. In this article, through a literature review, we propose an original overview of the sources of variability to better understand the challenges and issues of reproducibility related to deep learning for medical image segmentation. Finally, we propose 3 main recommendations to address these potential issues: (1) an adequate description of the framework of deep learning, (2) a suitable analysis of the different sources of variability in the framework of deep learning, and (3) an efficient system for evaluating the segmentation results.</t>
  </si>
  <si>
    <t>Metaheuristic Algorithms for Convolution Neural Network</t>
  </si>
  <si>
    <t>A typical modern optimization technique is usually either heuristic or metaheuristic. This technique has managed to solve some optimization problems in the research area of science, engineering, and industry. However, implementation strategy of metaheuristic for accuracy improvement on convolution neural networks (CNN), a famous deep learning method, is still rarely investigated. Deep learning relates to a type of machine learning technique, where its aim is to move closer to the goal of artificial intelligence of creating a machine that could successfully perform any intellectual tasks that can be carried out by a human. In this paper, we propose the implementation strategy of three popular metaheuristic approaches, that is, simulated annealing, differential evolution, and harmony search, to optimize CNN. The performances of these metaheuristic methods in optimizing CNN on classifying MNIST and CIFAR dataset were evaluated and compared. Furthermore, the proposed methods are also compared with the original CNN. Although the proposed methods show an increase in the computation time, their accuracy has also been improved (up to 7.14 percent).</t>
  </si>
  <si>
    <t>Deep Learning for Automated Liver Segmentation to Aid in the Study of Infectious Diseases in Nonhuman Primates</t>
  </si>
  <si>
    <t>With the advent of deep learning, convolutional neural networks (CNNs) have evolved as an effective method for the automated segmentation of different tissues in medical image analysis. In certain infectious diseases, the liver is one of the more highly affected organs, where an accurate liver segmentation method may play a significant role to improve the diagnosis, quantification, and follow-up. Although several segmentation algorithms have been proposed for liver or liver-tumor segmentation in computed tomography (CT) of human subjects, none of them have been investigated for nonhuman primates (NHPs), where the livers have a wide range in size and morphology. In addition, the unique characteristics of different infections or the heterogeneous immune responses of different NHPs to the infections appear with a diverse radiodensity distribution in the CT imaging. In this study, we investigated three state-of-the-art algorithms; VNet, UNet, and feature pyramid network (FPN) for automated liver segmentation in whole-body CT images of NHPs. The efficacy of the CNNs were evaluated on 82 scans of 37 animals, including pre and post-exposure to different viruses such as Ebola, Marburg, and Lassa. Using a 10-fold cross-validation, the best performance for the segmented liver was provided by the FPN; an average 94.77% Dice score, and 3.6% relative absolute volume difference. Our study demonstrated the efficacy of multiple CNNs, wherein the FPN outperforms VNet and UNet for liver segmentation in infectious disease imaging research.</t>
  </si>
  <si>
    <t>Generative multi-adversarial network for striking the right balance in abdominal image segmentation</t>
  </si>
  <si>
    <t>Purpose The identification of abnormalities that are relatively rare within otherwise normal anatomy is a major challenge for deep learning in the semantic segmentation of medical images. The small number of samples of the minority classes in the training data makes the learning of optimal classification challenging, while the more frequently occurring samples of the majority class hamper the generalization of the classification boundary between infrequently occurring target objects and classes. In this paper, we developed a novel generative multi-adversarial network, called Ensemble-GAN, for mitigating this class imbalance problem in the semantic segmentation of abdominal images.Method The Ensemble-GAN framework is composed of a single-generator and a multi-discriminator variant for handling the class imbalance problem to provide a better generalization than existing approaches. The ensemble model aggregates the estimates of multiple models by training from different initializations and losses from various subsets of the training data. The single generator network analyzes the input image as a condition to predict a corresponding semantic segmentation image by use of feedback from the ensemble of discriminator networks. To evaluate the framework, we trained our framework on two public datasets, with different imbalance ratios and imaging modalities: the Chaos 2019 and the LiTS 2017.Result In terms of the F1 score, the accuracies of the semantic segmentation of healthy spleen, liver, and left and right kidneys were 0.93, 0.96, 0.90 and 0.94, respectively. The overall F1 scores for simultaneous segmentation of the lesions and liver were 0.83 and 0.94, respectively.Conclusion The proposed Ensemble-GAN framework demonstrated outstanding performance in the semantic segmentation of medical images in comparison with other approaches on popular abdominal imaging benchmarks. The Ensemble-GAN has the potential to segment abdominal images more accurately than human experts.</t>
  </si>
  <si>
    <t>Zero-shot learning and its applications from autonomous vehicles to COVID-19 diagnosis: A review</t>
  </si>
  <si>
    <t>The challenge of learning a new concept, object, or a new medical disease recognition without receiving any examples beforehand is called Zero-Shot Learning (ZSL). One of the major issues in deep learning based methodologies such as in Medical Imaging and other real-world applications is the requirement of large annotated datasets prepared by clinicians or experts to train the model. ZSL is known for having minimal human intervention by relying only on previously known or trained concepts plus currently existing auxiliary information. This is ever-growing research for the cases where we have very limited or no annotated datasets available and the detection / recognition system has human-like characteristics in learning new concepts. This makes the ZSL applicable in many real-world scenarios, from unknown object detection in autonomous vehicles to medical imaging and unforeseen diseases such as COVID-19 Chest X-Ray (CXR) based diagnosis. In this review paper, we introduce a novel and broaden solution called Few / one-shot learning, and present the definition of the ZSL problem as an extreme case of the few-shot learning. We review over fundamentals and the challenging steps of Zero-Shot Learning, including state-of-the-art categories of solutions, as well as our recommended solution, motivations behind each approach, their advantages over each category to guide both clinicians and AI researchers to proceed with the best techniques and practices based on their applications. Inspired from different settings and extensions, we then review through different datasets inducing medical and non-medical images, the variety of splits, and the evaluation protocols proposed so far. Finally, we discuss the recent applications and future directions of ZSL. We aim to convey a useful intuition through this paper towards the goal of handling complex learning tasks more similar to the way humans learn. We mainly focus on two applications in the current modern yet challenging era: coping with an early and fast diagnosis of COVID-19 cases, and also encouraging the readers to develop other similar AI-based automated detection / recognition systems using ZSL.</t>
  </si>
  <si>
    <t>Microscopic medical image classification framework via deep learning and shearlet transform</t>
  </si>
  <si>
    <t>Cancer is the second leading cause of death in US after cardiovascular disease. Image-based computer-aided diagnosis can assist physicians to efficiently diagnose cancers in early stages. Existing computer-aided algorithms use hand-crafted features such as wavelet coefficients, co-occurrence matrix features, and recently, histogram of shearlet coefficients for classification of cancerous tissues and cells in images. These hand-crafted features often lack generalizability since every cancerous tissue and cell has a specific texture, structure, and shape. An alternative approach is to use convolutional neural networks (CNNs) to learn the most appropriate feature abstractions directly from the data and handle the limitations of hand-crafted features. A framework for breast cancer detection and prostate Gleason grading using CNN trained on images along with the magnitude and phase of shearlet coefficients is presented. Particularly, we apply shearlet transform on images and extract the magnitude and phase of shearlet coefficients. Then we feed shearlet features along with the original images to our CNN consisting of multiple layers of convolution, max pooling, and fully connected layers. Our experiments show that using the magnitude and phase of shearlet coefficients as extra information to the network can improve the accuracy of detection and generalize better compared to the state-of-the-art methods that rely on hand-crafted features. This study expands the application of deep neural networks into the field of medical image analysis, which is a difficult domain considering the limited medical data available for such analysis.</t>
  </si>
  <si>
    <t>H. Rezaeilouyeh, A. Mollahosseini and M. H. Mahoor</t>
  </si>
  <si>
    <t>Automatic detection of contouring errors using convolutional neural networks</t>
  </si>
  <si>
    <t>PURPOSE: To develop a head and neck normal structures autocontouring tool that could be used to automatically detect the errors in autocontours from a clinically validated autocontouring tool. METHODS: An autocontouring tool based on convolutional neural networks (CNN) was developed for 16 normal structures of the head and neck and tested to identify the contour errors from a clinically validated multiatlas-based autocontouring system (MACS). The computed tomography (CT) scans and clinical contours from 3495 patients were semiautomatically curated and used to train and validate the CNN-based autocontouring tool. The final accuracy of the tool was evaluated by calculating the Sørensen-Dice similarity coefficients (DSC) and Hausdorff distances between the automatically generated contours and physician-drawn contours on 174 internal and 24 external CT scans. Lastly, the CNN-based tool was evaluated on 60 patients' CT scans to investigate the possibility to detect contouring failures. The contouring failures on these patients were classified as either minor or major errors. The criteria to detect contouring errors were determined by analyzing the DSC between the CNN- and MACS-based contours under two independent scenarios: (a) contours with minor errors are clinically acceptable and (b) contours with minor errors are clinically unacceptable. RESULTS: The average DSC and Hausdorff distance of our CNN-based tool was 98.4%/1.23 cm for brain, 89.1%/0.42 cm for eyes, 86.8%/1.28 cm for mandible, 86.4%/0.88 cm for brainstem, 83.4%/0.71 cm for spinal cord, 82.7%/1.37 cm for parotids, 80.7%/1.08 cm for esophagus, 71.7%/0.39 cm for lenses, 68.6%/0.72 for optic nerves, 66.4%/0.46 cm for cochleas, and 40.7%/0.96 cm for optic chiasm. With the error detection tool, the proportions of the clinically unacceptable MACS contours that were correctly detected were 0.99/0.80 on average except for the optic chiasm, when contours with minor errors are clinically acceptable/unacceptable, respectively. The proportions of the clinically acceptable MACS contours that were correctly detected were 0.81/0.60 on average except for the optic chiasm, when contours with minor errors are clinically acceptable/unacceptable, respectively. CONCLUSION: Our CNN-based autocontouring tool performed well on both the publically available and the internal datasets. Furthermore, our results show that CNN-based algorithms are able to identify ill-defined contours from a clinically validated and used multiatlas-based autocontouring tool. Therefore, our CNN-based tool can effectively perform automatic verification of MACS contours.</t>
  </si>
  <si>
    <t>Segmenting brain tumors from FLAIR MRI using fully convolutional neural networks</t>
  </si>
  <si>
    <t>BACKGROUND AND OBJECTIVE: Magnetic resonance imaging (MRI) is an indispensable tool in diagnosing brain-tumor patients. Automated tumor segmentation is being widely researched to accelerate the MRI analysis and allow clinicians to precisely plan treatment-accurate delineation of brain tumors is a critical step in assessing their volume, shape, boundaries, and other characteristics. However, it is still a very challenging task due to inherent MR data characteristics and high variability, e.g., in tumor sizes or shapes. We present a new deep learning approach for accurate brain tumor segmentation which can be trained from small and heterogeneous datasets annotated by a human reader (providing high-quality ground-truth segmentation is very costly in practice). METHODS: In this paper, we present a new deep learning technique for segmenting brain tumors from fluid attenuation inversion recovery MRI. Our technique exploits fully convolutional neural networks, and it is equipped with a battery of augmentation techniques that make the algorithm robust against low data quality, and heterogeneity of small training sets. We train our models using only positive (tumorous) examples, due to the limited amount of available data. RESULTS: Our algorithm was tested on a set of stage II-IV brain-tumor patients (image data collected using MAGNETOM Prisma 3T, Siemens). Rigorous experiments, backed up with statistical tests, revealed that our approach outperforms the state-of-the-art approach (utilizing hand-crafted features) in terms of segmentation accuracy, offers very fast training and instant segmentation (analysis of an image takes less than a second). Building our deep model is 1.3 times faster compared with extracting features for extremely randomized trees, and this training time can be controlled. Finally, we showed that too aggressive data augmentation may lead to deteriorated performance of the model, especially in the fixed-budget training (with maximum numbers of training epochs). CONCLUSIONS: Our method yields the better performance when compared with the state of the art method which utilizes hand-crafted features. In addition, our deep network can be effectively applied to difficult (small, imbalanced, and heterogeneous) datasets, offers controllable training time, and infers in real-time.</t>
  </si>
  <si>
    <t>P. Ribalta Lorenzo, J. Nalepa, B. Bobek-Billewicz, P. Wawrzyniak, G. Mrukwa, M. Kawulok, P. Ulrych and M. P. Hayball</t>
  </si>
  <si>
    <t>Detecting and classifying lesions in mammograms with Deep Learning</t>
  </si>
  <si>
    <t>In the last two decades, Computer Aided Detection (CAD) systems were developed to help radiologists analyse screening mammograms, however benefits of current CAD technologies appear to be contradictory, therefore they should be improved to be ultimately considered useful. Since 2012, deep convolutional neural networks (CNN) have been a tremendous success in image recognition, reaching human performance. These methods have greatly surpassed the traditional approaches, which are similar to currently used CAD solutions. Deep CNN-s have the potential to revolutionize medical image analysis. We propose a CAD system based on one of the most successful object detection frameworks, Faster R-CNN. The system detects and classifies malignant or benign lesions on a mammogram without any human intervention. The proposed method sets the state of the art classification performance on the public INbreast database, AUC = 0.95. The approach described here has achieved 2nd place in the Digital Mammography DREAM Challenge with AUC = 0.85. When used as a detector, the system reaches high sensitivity with very few false positive marks per image on the INbreast dataset. Source code, the trained model and an OsiriX plugin are published online at https://github.com/riblidezso/frcnn_cad .</t>
  </si>
  <si>
    <t>D. Ribli, A. Horváth, Z. Unger, P. Pollner and I. Csabai</t>
  </si>
  <si>
    <t>[Potential applications of deep learning-based technologies in Hungarian mammography]</t>
  </si>
  <si>
    <t>INTRODUCTION AND AIM: The technology, named 'deep learning' is the promising result of the last two decades of development in computer science. It poses an unavoidable challenge for medicine, how to understand, apply and adopt the - today not fully explored - possibilities that have become available by these new methods. METHOD: It is a gift and a mission, since the exponentially growing volume of raw data (from imaging, laboratory, therapy diagnostics or therapy interactions, etc.) did not solve until now our wished and aimed goal to treat patients according to their personal status and setting or specific to their tumor and disease. RESULTS: Currently, as a responsible health care provider and financier, we face the problem of supporting suboptimal procedures and protocols either at individual or at community level. The problem roots in the overwhelming amount of data and, at the same time, the lack of targeted information for treatment. We expect from the deep learning technology an aid which helps to reinforce and extend the human-human cooperations in patient-doctor visits. We expect that computers take over the tedious work allowing to revive the core of healing medicine: the insightful meeting and discussion between patients and medical experts. CONCLUSION: We should learn the revelational possibilities of deep learning techniques that can help to overcome our recognized finite capacities in data processing and integration. If we, doctors and health care providers or decision makers, are able to abandon our fears and prejudices, then we can utilize this new tool not only in imaging diagnostics but also for daily therapies (e.g., immune therapy). The paper aims to make a great mind to do this. Orv Hetil. 2019; 160(4): 138-143.</t>
  </si>
  <si>
    <t>Orv Hetil</t>
  </si>
  <si>
    <t>Noninterpretive Uses of Artificial Intelligence in Radiology</t>
  </si>
  <si>
    <t>We deem a computer to exhibit artificial intelligence (AI) when it performs a task that would normally require intelligent action by a human. Much of the recent excitement about AI in the medical literature has revolved around the ability of AI models to recognize anatomy and detect pathology on medical images, sometimes at the level of expert physicians. However, AI can also be used to solve a wide range of noninterpretive problems that are relevant to radiologists and their patients. This review summarizes some of the newer noninterpretive uses of AI in radiology.</t>
  </si>
  <si>
    <t>Automatic Segmentation Using Deep Learning to Enable Online Dose Optimization During Adaptive Radiation Therapy of Cervical Cancer</t>
  </si>
  <si>
    <t>PURPOSE: This study investigated deep learning models for automatic segmentation to support the development of daily online dose optimization strategies, eliminating the need for internal target volume expansions and thereby reducing toxicity events of intensity modulated radiation therapy for cervical cancer. METHODS AND MATERIALS: The cervix-uterus, vagina, parametrium, bladder, rectum, sigmoid, femoral heads, kidneys, spinal cord, and bowel bag were delineated on 408 computed tomography (CT) scans from patients treated at MD Anderson Cancer Center (n = 214), Polyclinique Bordeaux Nord Aquitaine (n = 30), and enrolled in a Medical Image Computing &amp; Computer Assisted Intervention challenge (n = 3). The data were divided into 255 training, 61 validation, 62 internal test, and 30 external test CT scans. Two models were investigated: the 2-dimensional (2D) DeepLabV3+ (Google) and 3-dimensional (3D) Unet in RayStation (RaySearch Laboratories). Three intensity modulated radiation therapy plans were generated on each CT of the internal and external test sets using either the manual, 2D model, or 3D model segmentations. The dose constraints followed the External beam radiochemotherapy and MRI based adaptive BRAchytherapy in locally advanced CErvical cancer (EMBRACE) II protocol, with reduced margins of 5 and 3 mm for the target and nodal planning target volume. Geometric discrepancies between the manual and predicted contours were assessed using the Dice similarity coefficient (DSC), distance-to-agreement, and Hausdorff distance. Dosimetric discrepancies between the manual and model doses were assessed using clinical indices on the manual contours and the gamma index. Interobserver variability was assessed for the cervix-uterus, parametrium, and vagina for the definition of the primary clinical target volume (CTV(T)) on the external test set. RESULTS: Average DSCs across all organs were 0.67 to 0.96, 0.71 to 0.97, and 0.42 to 0.92 for the 2D model and 0.66 to 0.96, 0.70 to 0.97, and 0.37 to 0.93 for the 3D model on the validation, internal, and external test sets. Average DSCs of the CTV(T) were 0.88 and 0.81 for the 2D model and 0.87 and 0.82 for the 3D model on the internal and external test sets. Interobserver variability of the CTV(T) corresponded to a mean (range) DSC of 0.85 (0.77-0.90) on the external test set. On the internal test set, the doses from the 2D and 3D model contours provided a CTV(T) V42.75 Gy &gt;98% for 98% and 91% of the CT scans, respectively. On the external test set, these percentages were increased to 100% and 93% for the 2D and 3D models, respectively. CONCLUSIONS: The investigated models provided auto-segmentation of the cervix anatomy with similar performances on 2 institutional data sets and reasonable dosimetric accuracies using small planning target volume margins, paving the way to automatic online dose optimization for advanced adaptive radiation therapy strategies.</t>
  </si>
  <si>
    <t>10.3390/s20040969</t>
  </si>
  <si>
    <t>Deep Learning in Physiological Signal Data: A Survey</t>
  </si>
  <si>
    <t>Deep Learning (DL), a successful promising approach for discriminative and generative tasks, has recently proved its high potential in 2D medical imaging analysis; however, physiological data in the form of 1D signals have yet to be beneficially exploited from this novel approach to fulfil the desired medical tasks. Therefore, in this paper we survey the latest scientific research on deep learning in physiological signal data such as electromyogram (EMG), electrocardiogram (ECG), electroencephalogram (EEG), and electrooculogram (EOG). We found 147 papers published between January 2018 and October 2019 inclusive from various journals and publishers. The objective of this paper is to conduct a detailed study to comprehend, categorize, and compare the key parameters of the deep-learning approaches that have been used in physiological signal analysis for various medical applications. The key parameters of deep-learning approach that we review are the input data type, deep-learning task, deep-learning model, training architecture, and dataset sources. Those are the main key parameters that affect system performance. We taxonomize the research works using deep-learning method in physiological signal analysis based on: (1) physiological signal data perspective, such as data modality and medical application; and (2) deep-learning concept perspective such as training architecture and dataset sources.</t>
  </si>
  <si>
    <t>Prediction of systemic biomarkers from retinal photographs: development and validation of deep-learning algorithms</t>
  </si>
  <si>
    <t>BACKGROUND: The application of deep learning to retinal photographs has yielded promising results in predicting age, sex, blood pressure, and haematological parameters. However, the broader applicability of retinal photograph-based deep learning for predicting other systemic biomarkers and the generalisability of this approach to various populations remains unexplored. METHODS: With use of 236 257 retinal photographs from seven diverse Asian and European cohorts (two health screening centres in South Korea, the Beijing Eye Study, three cohorts in the Singapore Epidemiology of Eye Diseases study, and the UK Biobank), we evaluated the capacities of 47 deep-learning algorithms to predict 47 systemic biomarkers as outcome variables, including demographic factors (age and sex); body composition measurements; blood pressure; haematological parameters; lipid profiles; biochemical measures; biomarkers related to liver function, thyroid function, kidney function, and inflammation; and diabetes. The standard neural network architecture of VGG16 was adopted for model development. FINDINGS: In addition to previously reported systemic biomarkers, we showed quantification of body composition indices (muscle mass, height, and bodyweight) and creatinine from retinal photographs. Body muscle mass could be predicted with an R(2) of 0·52 (95% CI 0·51-0·53) in the internal test set, and of 0·33 (0·30-0·35) in one external test set with muscle mass measurement available. The R(2) value for the prediction of height was 0·42 (0·40-0·43), of bodyweight was 0·36 (0·34-0·37), and of creatinine was 0·38 (0·37-0·40) in the internal test set. However, the performances were poorer in external test sets (with the lowest performance in the European cohort), with R(2) values ranging between 0·08 and 0·28 for height, 0·04 and 0·19 for bodyweight, and 0·01 and 0·26 for creatinine. Of the 47 systemic biomarkers, 37 could not be predicted well from retinal photographs via deep learning (R(2)≤0·14 across all external test sets). INTERPRETATION: Our work provides new insights into the potential use of retinal photographs to predict systemic biomarkers, including body composition indices and serum creatinine, using deep learning in populations with a similar ethnic background. Further evaluations are warranted to validate these findings and evaluate the clinical utility of these algorithms. FUNDING: Agency for Science, Technology, and Research and National Medical Research Council, Singapore; Korea Institute for Advancement of Technology.</t>
  </si>
  <si>
    <t>Deep learning for the classification of human sperm</t>
  </si>
  <si>
    <t>BACKGROUND: Infertility is a global health concern, and couples are increasingly seeking medical assistance to achieve reproduction. Semen analysis is a primary assessment performed by a clinician, in which the morphology of the sperm population is evaluated. Machine learning algorithms that automate, standardize, and expedite sperm classification are the subject of ongoing research. METHOD: We demonstrate a deep learning method to classify sperm into one of several World Health Organization (WHO) shape-based categories. Our method uses VGG16, a deep convolutional neural network (CNN) initially trained on ImageNet, a collection of human-annotated everyday images, which we retrain for sperm classification using two freely-available sperm head datasets (HuSHeM and SCIAN). RESULTS: Our deep learning approach classifies sperm at high accuracy and performs well in head-to-head comparisons with earlier approaches using identical datasets. We demonstrate improvement in true positive rate over a classifier approach based on a cascade ensemble of support vector machines (CE-SVM) and show similar true positive rates as compared to an adaptive patch-based dictionary learning (APDL) method. Retraining an off-the-shelf VGG16 network avoids excessive neural network computation or having to learn and use the massive dictionaries required for sparse representation, both of which can be computationally expensive. CONCLUSIONS: We show that our deep learning approach to sperm head classification represents a viable method to automate, standardize, and accelerate semen analysis. Our approach highlights the potential of artificial intelligence technologies to eventually exceed human experts in terms of accuracy, reliability, and throughput.</t>
  </si>
  <si>
    <t>Somatic Mutations Drive Distinct Imaging Phenotypes in Lung Cancer</t>
  </si>
  <si>
    <t>Tumors are characterized by somatic mutations that drive biological processes ultimately reflected in tumor phenotype. With regard to radiographic phenotypes, generally unconnected through present understanding to the presence of specific mutations, artificial intelligence methods can automatically quantify phenotypic characters by using predefined, engineered algorithms or automatic deep-learning methods, a process also known as radiomics. Here we demonstrate how imaging phenotypes can be connected to somatic mutations through an integrated analysis of independent datasets of 763 lung adenocarcinoma patients with somatic mutation testing and engineered CT image analytics. We developed radiomic signatures capable of distinguishing between tumor genotypes in a discovery cohort (n = 353) and verified them in an independent validation cohort (n = 352). All radiomic signatures significantly outperformed conventional radiographic predictors (tumor volume and maximum diameter). We found a radiomic signature related to radiographic heterogeneity that successfully discriminated between EGFR(+) and EGFR(-) cases (AUC = 0.69). Combining this signature with a clinical model of EGFR status (AUC = 0.70) significantly improved prediction accuracy (AUC = 0.75). The highest performing signature was capable of distinguishing between EGFR(+) and KRAS(+) tumors (AUC = 0.80) and, when combined with a clinical model (AUC = 0.81), substantially improved its performance (AUC = 0.86). A KRAS(+)/KRAS(-) radiomic signature also showed significant albeit lower performance (AUC = 0.63) and did not improve the accuracy of a clinical predictor of KRAS status. Our results argue that somatic mutations drive distinct radiographic phenotypes that can be predicted by radiomics. This work has implications for the use of imaging-based biomarkers in the clinic, as applied noninvasively, repeatedly, and at low cost. Cancer Res; 77(14); 3922-30. ©2017 AACR.</t>
  </si>
  <si>
    <t>Prediction of final infarct volume from native CT perfusion and treatment parameters using deep learning</t>
  </si>
  <si>
    <t>CT Perfusion (CTP) imaging has gained importance in the diagnosis of acute stroke. Conventional perfusion analysis performs a deconvolution of the measurements and thresholds the perfusion parameters to determine the tissue status. We pursue a data-driven and deconvolution-free approach, where a deep neural network learns to predict the final infarct volume directly from the native CTP images and metadata such as the time parameters and treatment. This would allow clinicians to simulate various treatments and gain insight into predicted tissue status over time. We demonstrate on a multicenter dataset that our approach is able to predict the final infarct and effectively uses the metadata. An ablation study shows that using the native CTP measurements instead of the deconvolved measurements improves the prediction.</t>
  </si>
  <si>
    <t>Visual Kinship Recognition of Families in the Wild</t>
  </si>
  <si>
    <t>We present the largest database for visual kinship recognition, Families In the Wild (FIW), with over 13,000 family photos of 1,000 family trees with 4-to-38 members. It took only a small team to build FIW with efficient labeling tools and work-flow. To extend FIW, we further improved upon this process with a novel semi-automatic labeling scheme that used annotated faces and unlabeled text metadata to discover labels, which were then used, along with existing FIW data, for the proposed clustering algorithm that generated label proposals for all newly added data-both processes are shared and compared in depth, showing great savings in time and human input required. Essentially, the clustering algorithm proposed is semi-supervised and uses labeled data to produce more accurate clusters. We statistically compare FIW to related datasets, which unarguably shows enormous gains in overall size and amount of information encapsulated in the labels. We benchmark two tasks, kinship verification and family classification, at scales incomparably larger than ever before. Pre-trained CNN models fine-tuned on FIW outscores other conventional methods and achieved state-of-the art on the renowned KinWild datasets. We also measure human performance on kinship recognition and compare to a fine-tuned CNN.</t>
  </si>
  <si>
    <t>J. P. Robinson, M. Shao, Y. Wu, H. Liu, T. Gillis and Y. Fu</t>
  </si>
  <si>
    <t>Conventional Filtering Versus U-Net Based Models for Pulmonary Nodule Segmentation in CT Images</t>
  </si>
  <si>
    <t>Lung cancer is considered one of the deadliest diseases in the world. An early and accurate diagnosis aims to promote the detection and characterization of pulmonary nodules, which is of vital importance to increase the patients' survival rates. The mentioned characterization is done through a segmentation process, facing several challenges due to the diversity in nodular shape, size, and texture, as well as the presence of adjacent structures. This paper tackles pulmonary nodule segmentation in computed tomography scans proposing three distinct methodologies. First, a conventional approach which applies the Sliding Band Filter (SBF) to estimate the filter's support points, matching the border coordinates. The remaining approaches are Deep Learning based, using the U-Net and a novel network called SegU-Net to achieve the same goal. Their performance is compared, as this work aims to identify the most promising tool to improve nodule characterization. All methodologies used 2653 nodules from the LIDC database, achieving a Dice score of 0.663, 0.830, and 0.823 for the SBF, U-Net and SegU-Net respectively. This way, the U-Net based models yield more identical results to the ground truth reference annotated by specialists, thus being a more reliable approach for the proposed exercise. The novel network revealed similar scores to the U-Net, while at the same time reducing computational cost and improving memory efficiency. Consequently, such study may contribute to the possible implementation of this model in a decision support system, assisting the physicians in establishing a reliable diagnosis of lung pathologies based on this segmentation task.</t>
  </si>
  <si>
    <t>Deep segmentation leverages geometric pose estimation in computer-aided total knee arthroplasty</t>
  </si>
  <si>
    <t>Knee arthritis is a common joint disease that usually requires a total knee arthroplasty. There are multiple surgical variables that have a direct impact on the correct positioning of the implants, and an optimal combination of all these variables is the most challenging aspect of the procedure. Usually, preoperative planning using a computed tomography scan or magnetic resonance imaging helps the surgeon in deciding the most suitable resections to be made. This work is a proof of concept for a navigation system that supports the surgeon in following a preoperative plan. Existing solutions require costly sensors and special markers, fixed to the bones using additional incisions, which can interfere with the normal surgical flow. In contrast, the authors propose a computer-aided system that uses consumer RGB and depth cameras and do not require additional markers or tools to be tracked. They combine a deep learning approach for segmenting the bone surface with a recent registration algorithm for computing the pose of the navigation sensor with respect to the preoperative 3D model. Experimental validation using ex-vivo data shows that the method enables contactless pose estimation of the navigation sensor with the preoperative model, providing valuable information for guiding the surgeon during the medical procedure.</t>
  </si>
  <si>
    <t>Can we reduce the workload of mammographic screening by automatic identification of normal exams with artificial intelligence? A feasibility study</t>
  </si>
  <si>
    <t>PURPOSE: To study the feasibility of automatically identifying normal digital mammography (DM) exams with artificial intelligence (AI) to reduce the breast cancer screening reading workload. METHODS AND MATERIALS: A total of 2652 DM exams (653 cancer) and interpretations by 101 radiologists were gathered from nine previously performed multi-reader multi-case receiver operating characteristic (MRMC ROC) studies. An AI system was used to obtain a score between 1 and 10 for each exam, representing the likelihood of cancer present. Using all AI scores between 1 and 9 as possible thresholds, the exams were divided into groups of low- and high likelihood of cancer present. It was assumed that, under the pre-selection scenario, only the high-likelihood group would be read by radiologists, while all low-likelihood exams would be reported as normal. The area under the reader-averaged ROC curve (AUC) was calculated for the original evaluations and for the pre-selection scenarios and compared using a non-inferiority hypothesis. RESULTS: Setting the low/high-likelihood threshold at an AI score of 5 (high likelihood &gt; 5) results in a trade-off of approximately halving (- 47%) the workload to be read by radiologists while excluding 7% of true-positive exams. Using an AI score of 2 as threshold yields a workload reduction of 17% while only excluding 1% of true-positive exams. Pre-selection did not change the average AUC of radiologists (inferior 95% CI &gt; - 0.05) for any threshold except at the extreme AI score of 9. CONCLUSION: It is possible to automatically pre-select exams using AI to significantly reduce the breast cancer screening reading workload. KEY POINTS: • There is potential to use artificial intelligence to automatically reduce the breast cancer screening reading workload by excluding exams with a low likelihood of cancer. • The exclusion of exams with the lowest likelihood of cancer in screening might not change radiologists' breast cancer detection performance. • When excluding exams with the lowest likelihood of cancer, the decrease in true-positive recalls would be balanced by a simultaneous reduction in false-positive recalls.</t>
  </si>
  <si>
    <t>A. Rodriguez-Ruiz, K. Lång, A. Gubern-Merida, J. Teuwen, M. Broeders, G. Gennaro, P. Clauser, T. H. Helbich, M. Chevalier, T. Mertelmeier, M. G. Wallis, I. Andersson, S. Zackrisson, I. Sechopoulos and R. M. Mann</t>
  </si>
  <si>
    <t>New reconstruction algorithm for digital breast tomosynthesis: better image quality for humans and computers</t>
  </si>
  <si>
    <t>Background The image quality of digital breast tomosynthesis (DBT) volumes depends greatly on the reconstruction algorithm. Purpose To compare two DBT reconstruction algorithms used by the Siemens Mammomat Inspiration system, filtered back projection (FBP), and FBP with iterative optimizations (EMPIRE), using qualitative analysis by human readers and detection performance of machine learning algorithms. Material and Methods Visual grading analysis was performed by four readers specialized in breast imaging who scored 100 cases reconstructed with both algorithms (70 lesions). Scoring (5-point scale: 1 = poor to 5 = excellent quality) was performed on presence of noise and artifacts, visualization of skin-line and Cooper's ligaments, contrast, and image quality, and, when present, lesion visibility. In parallel, a three-dimensional deep-learning convolutional neural network (3D-CNN) was trained (n = 259 patients, 51 positives with BI-RADS 3, 4, or 5 calcifications) and tested (n = 46 patients, nine positives), separately with FBP and EMPIRE volumes, to discriminate between samples with and without calcifications. The partial area under the receiver operating characteristic curve (pAUC) of each 3D-CNN was used for comparison. Results EMPIRE reconstructions showed better contrast (3.23 vs. 3.10, P = 0.010), image quality (3.22 vs. 3.03, P &lt; 0.001), visibility of calcifications (3.53 vs. 3.37, P = 0.053, significant for one reader), and fewer artifacts (3.26 vs. 2.97, P &lt; 0.001). The 3D-CNN-EMPIRE had better performance than 3D-CNN-FBP (pAUC-EMPIRE = 0.880 vs. pAUC-FBP = 0.857; P &lt; 0.001). Conclusion The new algorithm provides DBT volumes with better contrast and image quality, fewer artifacts, and improved visibility of calcifications for human observers, as well as improved detection performance with deep-learning algorithms.</t>
  </si>
  <si>
    <t>A. Rodriguez-Ruiz, J. Teuwen, S. Vreemann, R. W. Bouwman, R. E. van Engen, N. Karssemeijer, R. M. Mann, A. Gubern-Merida and I. Sechopoulos</t>
  </si>
  <si>
    <t>Acta Radiol</t>
  </si>
  <si>
    <t>10.1038/s41569-018-0123-8</t>
  </si>
  <si>
    <t>Cardiovascular calcification: artificial intelligence and big data accelerate mechanistic discovery</t>
  </si>
  <si>
    <t>Cardiovascular calcification is a health disorder with increasing prevalence and high morbidity and mortality. The only available therapeutic options for calcific vascular and valvular heart disease are invasive transcatheter procedures or surgeries that do not fully address the wide spectrum of these conditions; therefore, an urgent need exists for medical options. Cardiovascular calcification is an active process, which provides a potential opportunity for effective therapeutic targeting. Numerous biological processes are involved in calcific disease, including matrix remodelling, transcriptional regulation, mitochondrial dysfunction, oxidative stress, calcium and phosphate signalling, endoplasmic reticulum stress, lipid and mineral metabolism, autophagy, inflammation, apoptosis, loss of mineralization inhibition, impaired mineral resorption, cellular senescence and extracellular vesicles that act as precursors of microcalcification. Advances in molecular imaging and big data technology, including in multiomics and network medicine, and the integration of these approaches are helping to provide a more comprehensive map of human disease. In this Review, we discuss ectopic calcification processes in the cardiovascular system, with an emphasis on emerging mechanistic knowledge obtained through patient data and advances in imaging methods, experimental models and multiomics-generated big data. We also highlight the potential and challenges of artificial intelligence, machine learning and deep learning to integrate imaging and mechanistic data for drug discovery.</t>
  </si>
  <si>
    <t>10.1259/bjr.20190948</t>
  </si>
  <si>
    <t>Radiomics: from qualitative to quantitative imaging</t>
  </si>
  <si>
    <t>Historically, medical imaging has been a qualitative or semi-quantitative modality. It is difficult to quantify what can be seen in an image, and to turn it into valuable predictive outcomes. As a result of advances in both computational hardware and machine learning algorithms, computers are making great strides in obtaining quantitative information from imaging and correlating it with outcomes. Radiomics, in its two forms handcrafted and deep, is an emerging field that translates medical images into quantitative data to yield biological information and enable radiologic phenotypic profiling for diagnosis, theragnosis, decision support, and monitoring. Handcrafted radiomics is a multistage process in which features based on shape, pixel intensities, and texture are extracted from radiographs. Within this review, we describe the steps: starting with quantitative imaging data, how it can be extracted, how to correlate it with clinical and biological outcomes, resulting in models that can be used to make predictions, such as survival, or for detection and classification used in diagnostics. The application of deep learning, the second arm of radiomics, and its place in the radiomics workflow is discussed, along with its advantages and disadvantages. To better illustrate the technologies being used, we provide real-world clinical applications of radiomics in oncology, showcasing research on the applications of radiomics, as well as covering its limitations and its future direction.</t>
  </si>
  <si>
    <t>Targeted transfer learning to improve performance in small medical physics datasets</t>
  </si>
  <si>
    <t>PURPOSE: To perform an in-depth evaluation of current state of the art techniques in training neural networks to identify appropriate approaches in small datasets. METHOD: In total, 112,120 frontal-view X-ray images from the NIH ChestXray14 dataset were used in our analysis. Two tasks were studied: unbalanced multi-label classification of 14 diseases, and binary classification of pneumonia vs non-pneumonia. All datasets were randomly split into training, validation, and testing (70%, 10%, and 20%). Two popular convolution neural networks (CNNs), DensNet121 and ResNet50, were trained using PyTorch. We performed several experiments to test: (a) whether transfer learning using pretrained networks on ImageNet are of value to medical imaging/physics tasks (e.g., predicting toxicity from radiographic images after training on images from the internet), (b) whether using pretrained networks trained on problems that are similar to the target task helps transfer learning (e.g., using X-ray pretrained networks for X-ray target tasks), (c) whether freeze deep layers or change all weights provides an optimal transfer learning strategy, (d) the best strategy for the learning rate policy, and (e) what quantity of data is needed in order to appropriately deploy these various strategies (N = 50 to N = 77 880). RESULTS: In the multi-label problem, DensNet121 needed at least 1600 patients to be comparable to, and 10 000 to outperform, radiomics-based logistic regression. In classifying pneumonia vs non-pneumonia, both CNN and radiomics-based methods performed poorly when N &lt; 2000. For small datasets ( &lt; 2000), however, a significant boost in performance (&gt;15% increase on AUC) comes from a good selection of the transfer learning dataset, dropout, cycling learning rate, and freezing and unfreezing of deep layers as training progresses. In contrast, if sufficient data are available (&gt;35 000), little or no tweaking is needed to obtain impressive performance. While transfer learning using X-ray images from other anatomical sites improves performance, we also observed a similar boost by using pretrained networks from ImageNet. Having source images from the same anatomical site, however, outperforms every other methodology, by up to 15%. In this case, DL models can be trained with as little as N = 50. CONCLUSIONS: While training DL models in small datasets (N &lt; 2000) is challenging, no tweaking is necessary for bigger datasets (N &gt; 35 000). Using transfer learning with images from the same anatomical site can yield remarkable performance in new tasks with as few as N = 50. Surprisingly, we did not find any advantage for using images from other anatomical sites over networks that have been trained using ImageNet. This indicates that features learned may not be as general as currently believed, and performance decays rapidly even by just changing the anatomical site of the images.</t>
  </si>
  <si>
    <t>A deep learning based strategy for identifying and associating mitotic activity with gene expression derived risk categories in estrogen receptor positive breast cancers</t>
  </si>
  <si>
    <t>The treatment and management of early stage estrogen receptor positive (ER+) breast cancer is hindered by the difficulty in identifying patients who require adjuvant chemotherapy in contrast to those that will respond to hormonal therapy. To distinguish between the more and less aggressive breast tumors, which is a fundamental criterion for the selection of an appropriate treatment plan, Oncotype DX (ODX) and other gene expression tests are typically employed. While informative, these gene expression tests are expensive, tissue destructive, and require specialized facilities. Bloom-Richardson (BR) grade, the common scheme employed in breast cancer grading, has been shown to be correlated with the Oncotype DX risk score. Unfortunately, studies have also shown that the BR grade determined experiences notable inter-observer variability. One of the constituent categories in BR grading is the mitotic index. The goal of this study was to develop a deep learning (DL) classifier to identify mitotic figures from whole slides images of ER+ breast cancer, the hypothesis being that the number of mitoses identified by the DL classifier would correlate with the corresponding Oncotype DX risk categories. The mitosis detector yielded an average F-score of 0.556 in the AMIDA mitosis dataset using a 6-fold validation setup. For a cohort of 174 whole slide images with early stage ER+ breast cancer for which the corresponding Oncotype DX score was available, the distributions of the number of mitoses identified by the DL classifier was found to be significantly different between the high vs low Oncotype DX risk groups (P &lt; 0.01). Comparisons of other risk groups, using both ODX score and histological grade, were also found to present significantly different automated mitoses distributions. Additionally, a support vector machine classifier trained to separate low/high Oncotype DX risk categories using the mitotic count determined by the DL classifier yielded a 83.19% classification accuracy. © 2017 International Society for Advancement of Cytometry.</t>
  </si>
  <si>
    <t>D. Romo-Bucheli, A. Janowczyk, H. Gilmore, E. Romero and A. Madabhushi</t>
  </si>
  <si>
    <t>Colour Doppler ultrasound of temporal arteries for the diagnosis of giant cell arteritis: a multicentre deep learning study</t>
  </si>
  <si>
    <t>OBJECTIVES: Giant cell arteritis (GCA) is the most common systemic vasculitis in adults. In recent years, colour Doppler ultrasound of the temporal arteries (CDU) has proven to be a powerful non-invasive diagnostic tool, but its place in the diagnosis of GCA remains to be defined. A limitation of the CDU is the inter-operator reproducibility. Image analysis from a different perspective is now possible with the development of artificial intelligence algorithms. We propose to assess this technology for the detection of the halo sign on CDU images. METHODS: Three public hospitals retrospectively collected data from 137 patients suspected of having GCA between January 2017 and April 2019. CDU images (n=1,311) were labelled with the VIA software. Three sets (training, validation and test) were created and analysed with a semantic segmentation technique using a U-Net convolutional neural network. RESULTS: The area under the curve (AUC) was 0.931 and 0.835 on the validation and test set, respectively. An image positivity threshold was determined by focusing on the specificity. With this threshold, a specificity of 95% and a sensitivity of 60% were obtained for the test set. The analysis of the false interpretation showed that the acquisition modalities and the presence of thrombus caused confusion for the algorithm. CONCLUSIONS: We propose an automated image analysis tool for GCA diagnosis. The 2018 EULAR guidelines for image acquisition must be respected before generalising this algorithm. After external validation, this tool could be used as an aid for diagnosis, staff training and student education.</t>
  </si>
  <si>
    <t>Quantitative whole-brain 3D imaging of tyrosine hydroxylase-labeled neuron architecture in the mouse MPTP model of Parkinson's disease</t>
  </si>
  <si>
    <t>Parkinson's disease (PD) is a basal ganglia movement disorder characterized by progressive degeneration of the nigrostriatal dopaminergic system. Immunohistochemical methods have been widely used for characterization of dopaminergic neuronal injury in animal models of PD, including the MPTP (1-methyl-4-phenyl-1,2,3,6-tetrahydropyridine) mouse model. However, conventional immunohistochemical techniques applied to tissue sections have inherent limitations with respect to loss of 3D resolution, yielding insufficient information on the architecture of the dopaminergic system. To provide a more comprehensive and non-biased map of MPTP-induced changes in central dopaminergic pathways, we used iDISCO immunolabeling, light-sheet fluorescence microscopy (LSFM) and deep-learning computational methods for whole-brain three-dimensional visualization and automated quantitation of tyrosine hydroxylase (TH)-positive neurons in the adult mouse brain. Mice terminated 7 days after acute MPTP administration demonstrated widespread alterations in TH expression. Compared to vehicle controls, MPTP-dosed mice showed a significant loss of TH-positive neurons in the substantia nigra pars compacta and ventral tegmental area. Also, MPTP dosing reduced overall TH signal intensity in basal ganglia nuclei, i.e. the substantia nigra, caudate-putamen, globus pallidus and subthalamic nucleus. In contrast, increased TH signal intensity was predominantly observed in limbic regions, including several subdivisions of the amygdala and hypothalamus. In conclusion, mouse whole-brain 3D imaging is ideal for unbiased automated counting and densitometric analysis of TH-positive cells. The LSFM-deep learning pipeline tracked brain-wide changes in catecholaminergic pathways in the MPTP mouse model of PD, and may be applied for preclinical characterization of compounds targeting dopaminergic neurotransmission.</t>
  </si>
  <si>
    <t>Combining Differential Kinematics and Optical Flow for Automatic Labeling of Continuum Robots in Minimally Invasive Surgery</t>
  </si>
  <si>
    <t>The segmentation of continuum robots in medical images can be of interest for analyzing surgical procedures or for controlling them. However, the automatic segmentation of continuous and flexible shapes is not an easy task. On one hand conventional approaches are not adapted to the specificities of these instruments, such as imprecise kinematic models, and on the other hand techniques based on deep-learning showed interesting capabilities but need many manually labeled images. In this article we propose a novel approach for segmenting continuum robots on endoscopic images, which requires no prior on the instrument visual appearance and no manual annotation of images. The method relies on the use of the combination of kinematic models and differential kinematic models of the robot and the analysis of optical flow in the images. A cost function aggregating information from the acquired image, from optical flow and from robot encoders is optimized using particle swarm optimization and provides estimated parameters of the pose of the continuum instrument and a mask defining the instrument in the image. In addition a temporal consistency is assessed in order to improve stochastic optimization and reject outliers. The proposed approach has been tested for the robotic instruments of a flexible endoscopy platform both for benchtop acquisitions and an in vivo video. The results show the ability of the technique to correctly segment the instruments without a prior, and in challenging conditions. The obtained segmentation can be used for several applications, for instance for providing automatic labels for machine learning techniques.</t>
  </si>
  <si>
    <t>Front Robot AI</t>
  </si>
  <si>
    <t>Prediction of epileptic seizures with convolutional neural networks and functional near-infrared spectroscopy signals</t>
  </si>
  <si>
    <t>There have been different efforts to predict epileptic seizures and most of them are based on the analysis of electroencephalography (EEG) signals; however, recent publications have suggested that functional Near-Infrared Spectroscopy (fNIRS), a relatively new technique, could be used to predict seizures. The objectives of this research are to show that the application of fNIRS to epileptic seizure detection yields results that are superior to those based on EEG and to demonstrate that the application of deep learning to this problem is suitable given the nature of fNIRS recordings. A Convolutional Neural Network (CNN) is applied to the prediction of epileptic seizures from fNIRS signals, an optical modality for recording brain waves. The implementation of the proposed method is presented in this work. Application of CNN to fNIRS recordings showed an accuracy ranging between 96.9% and 100%, sensitivity between 95.24% and 100%, specificity between 98.57% and 100%, a positive predictive value between 98.52% and 100%, and a negative predictive value between 95.39% and 100%. The most important aspect of this research is the combination of fNIRS signals with the particular CNN algorithm. The fNIRS modality has not been used in epileptic seizure prediction. A CNN is suitable for this application because fNIRS recordings are high dimensional data and they can be modeled as three-dimensional tensors for classification.</t>
  </si>
  <si>
    <t>Exploiting the potential of unlabeled endoscopic video data with self-supervised learning</t>
  </si>
  <si>
    <t>PURPOSE: Surgical data science is a new research field that aims to observe all aspects of the patient treatment process in order to provide the right assistance at the right time. Due to the breakthrough successes of deep learning-based solutions for automatic image annotation, the availability of reference annotations for algorithm training is becoming a major bottleneck in the field. The purpose of this paper was to investigate the concept of self-supervised learning to address this issue. METHODS: Our approach is guided by the hypothesis that unlabeled video data can be used to learn a representation of the target domain that boosts the performance of state-of-the-art machine learning algorithms when used for pre-training. Core of the method is an auxiliary task based on raw endoscopic video data of the target domain that is used to initialize the convolutional neural network (CNN) for the target task. In this paper, we propose the re-colorization of medical images with a conditional generative adversarial network (cGAN)-based architecture as auxiliary task. A variant of the method involves a second pre-training step based on labeled data for the target task from a related domain. We validate both variants using medical instrument segmentation as target task. RESULTS: The proposed approach can be used to radically reduce the manual annotation effort involved in training CNNs. Compared to the baseline approach of generating annotated data from scratch, our method decreases exploratively the number of labeled images by up to 75% without sacrificing performance. Our method also outperforms alternative methods for CNN pre-training, such as pre-training on publicly available non-medical (COCO) or medical data (MICCAI EndoVis2017 challenge) using the target task (in this instance: segmentation). CONCLUSION: As it makes efficient use of available (non-)public and (un-)labeled data, the approach has the potential to become a valuable tool for CNN (pre-)training.</t>
  </si>
  <si>
    <t>T. Ross, D. Zimmerer, A. Vemuri, F. Isensee, M. Wiesenfarth, S. Bodenstedt, F. Both, P. Kessler, M. Wagner, B. Müller, H. Kenngott, S. Speidel, A. Kopp-Schneider, K. Maier-Hein and L. Maier-Hein</t>
  </si>
  <si>
    <t>Multi-parametric prostate MRI (mpMRI) is a powerful tool to diagnose prostate cancer, though difficult to interpret even for experienced radiologists. A common radiological procedure is to compare a magnetic resonance image with similarly diagnosed cases. To assist the radiological image interpretation process, computerized Content-Based Image Retrieval systems (CBIRs) can therefore be employed to improve the reporting workflow and increase its accuracy. In this paper, we propose a new, supervised siamese deep learning architecture able to handle multi-modal and multi-view MR images with similar PIRADS score. An experimental comparison with well-established deep learning-based CBIRs (namely standard siamese networks and autoencoders) showed significantly improved performance with respect to both diagnostic (ROC-AUC), and information retrieval metrics (Precision-Recall, Discounted Cumulative Gain and Mean Average Precision). Finally, the new proposed multi-view siamese network is general in design, facilitating a broad use in diagnostic medical imaging retrieval.</t>
  </si>
  <si>
    <t>Spatial aggregation of holistically-nested convolutional neural networks for automated pancreas localization and segmentation</t>
  </si>
  <si>
    <t>Accurate and automatic organ segmentation from 3D radiological scans is an important yet challenging problem for medical image analysis. Specifically, as a small, soft, and flexible abdominal organ, the pancreas demonstrates very high inter-patient anatomical variability in both its shape and volume. This inhibits traditional automated segmentation methods from achieving high accuracies, especially compared to the performance obtained for other organs, such as the liver, heart or kidneys. To fill this gap, we present an automated system from 3D computed tomography (CT) volumes that is based on a two-stage cascaded approach-pancreas localization and pancreas segmentation. For the first step, we localize the pancreas from the entire 3D CT scan, providing a reliable bounding box for the more refined segmentation step. We introduce a fully deep-learning approach, based on an efficient application of holistically-nested convolutional networks (HNNs) on the three orthogonal axial, sagittal, and coronal views. The resulting HNN per-pixel probability maps are then fused using pooling to reliably produce a 3D bounding box of the pancreas that maximizes the recall. We show that our introduced localizer compares favorably to both a conventional non-deep-learning method and a recent hybrid approach based on spatial aggregation of superpixels using random forest classification. The second, segmentation, phase operates within the computed bounding box and integrates semantic mid-level cues of deeply-learned organ interior and boundary maps, obtained by two additional and separate realizations of HNNs. By integrating these two mid-level cues, our method is capable of generating boundary-preserving pixel-wise class label maps that result in the final pancreas segmentation. Quantitative evaluation is performed on a publicly available dataset of 82 patient CT scans using 4-fold cross-validation (CV). We achieve a (mean  ±  std. dev.) Dice similarity coefficient (DSC) of 81.27 ± 6.27% in validation, which significantly outperforms both a previous state-of-the art method and a preliminary version of this work that report DSCs of 71.80 ± 10.70% and 78.01 ± 8.20%, respectively, using the same dataset.</t>
  </si>
  <si>
    <t>H. R. Roth, L. Lu, N. Lay, A. P. Harrison, A. Farag, A. Sohn and R. M. Summers</t>
  </si>
  <si>
    <t>An application of cascaded 3D fully convolutional networks for medical image segmentation</t>
  </si>
  <si>
    <t>Recent advances in 3D fully convolutional networks (FCN) have made it feasible to produce dense voxel-wise predictions of volumetric images. In this work, we show that a multi-class 3D FCN trained on manually labeled CT scans of several anatomical structures (ranging from the large organs to thin vessels) can achieve competitive segmentation results, while avoiding the need for handcrafting features or training class-specific models. To this end, we propose a two-stage, coarse-to-fine approach that will first use a 3D FCN to roughly define a candidate region, which will then be used as input to a second 3D FCN. This reduces the number of voxels the second FCN has to classify to ∼10% and allows it to focus on more detailed segmentation of the organs and vessels. We utilize training and validation sets consisting of 331 clinical CT images and test our models on a completely unseen data collection acquired at a different hospital that includes 150 CT scans, targeting three anatomical organs (liver, spleen, and pancreas). In challenging organs such as the pancreas, our cascaded approach improves the mean Dice score from 68.5 to 82.2%, achieving the highest reported average score on this dataset. We compare with a 2D FCN method on a separate dataset of 240 CT scans with 18 classes and achieve a significantly higher performance in small organs and vessels. Furthermore, we explore fine-tuning our models to different datasets. Our experiments illustrate the promise and robustness of current 3D FCN based semantic segmentation of medical images, achieving state-of-the-art results.(1).</t>
  </si>
  <si>
    <t>H. R. Roth, H. Oda, X. Zhou, N. Shimizu, Y. Yang, Y. Hayashi, M. Oda, M. Fujiwara, K. Misawa and K. Mori</t>
  </si>
  <si>
    <t>Bayesian QuickNAT: Model uncertainty in deep whole-brain segmentation for structure-wise quality control</t>
  </si>
  <si>
    <t>We introduce Bayesian QuickNAT for the automated quality control of whole-brain segmentation on MRI T1 scans. Next to the Bayesian fully convolutional neural network, we also present inherent measures of segmentation uncertainty that allow for quality control per brain structure. For estimating model uncertainty, we follow a Bayesian approach, wherein, Monte Carlo (MC) samples from the posterior distribution are generated by keeping the dropout layers active at test time. Entropy over the MC samples provides a voxel-wise model uncertainty map, whereas expectation over the MC predictions provides the final segmentation. Next to voxel-wise uncertainty, we introduce four metrics to quantify structure-wise uncertainty in segmentation for quality control. We report experiments on four out-of-sample datasets comprising of diverse age range, pathology and imaging artifacts. The proposed structure-wise uncertainty metrics are highly correlated with the Dice score estimated with manual annotation and therefore present an inherent measure of segmentation quality. In particular, the intersection over union over all the MC samples is a suitable proxy for the Dice score. In addition to quality control at scan-level, we propose to incorporate the structure-wise uncertainty as a measure of confidence to do reliable group analysis on large data repositories. We envisage that the introduced uncertainty metrics would help assess the fidelity of automated deep learning based segmentation methods for large-scale population studies, as they enable automated quality control and group analyses in processing large data repositories.</t>
  </si>
  <si>
    <t>A. G. Roy, S. Conjeti, N. Navab and C. Wachinger</t>
  </si>
  <si>
    <t>Deep-learning-based accurate hepatic steatosis quantification for histological assessment of liver biopsies</t>
  </si>
  <si>
    <t>Hepatic steatosis droplet quantification with histology biopsies has high clinical significance for risk stratification and management of patients with fatty liver diseases and in the decision to use donor livers for transplantation. However, pathology reviewing processes, when conducted manually, are subject to a high inter- and intra-reader variability, due to the overwhelmingly large number and significantly varying appearance of steatosis instances. This process is challenging as there is a large number of overlapped steatosis droplets with either missing or weak boundaries. In this study, we propose a deep-learning-based region-boundary integrated network for precise steatosis quantification with whole slide liver histopathology images. The proposed model consists of two sequential steps: a region extraction and a boundary prediction module for foreground regions and steatosis boundary prediction, followed by an integrated prediction map generation. Missing steatosis boundaries are next recovered from the predicted map and assembled from adjacent image patches to generate results for the whole slide histopathology image. The resulting steatosis measures both at the pixel level and steatosis object-level present strong correlation with pathologist annotations, radiology readouts and clinical data. In addition, the segregated steatosis object count is shown as a promising alternative measure to the traditional metrics at the pixel level. These results suggest a high potential of artificial intelligence-assisted technology to enhance liver disease decision support using whole slide images.</t>
  </si>
  <si>
    <t>MDL-IWS: Multi-view Deep Learning with Iterative Watershed for Pulmonary Fissure Segmentation</t>
  </si>
  <si>
    <t>Pulmonary fissure segmentation is important for localization of lung lesions which include nodules at respective lobar territories. This can be very useful for diagnosis as well as treatment planning. In this paper, we propose a novel coarse-to-fine fissure segmentation approach by proposing a Multi-View Deep Learning driven Iterative WaterShed Algorithm (MDL-IWS). Coarse fissure segmentation obtained from multi-view deep learning yields incomplete fissure volume of interest (VOI) with additional false positives. An iterative watershed algorithm (IWS) is presented to achieve fine segmentation of fissure surfaces. As a part of the IWS algorithm, surface fitting is used to generate a more accurate fissure VOI with substantial reduction in false positives. Additionally, a weight map is used to reduce the over-segmentation of watershed in subsequent iterations. Experiments on the publicly available LOLA11 dataset clearly reveal that our method outperforms several state-of-the-art competitors.</t>
  </si>
  <si>
    <t>Deep Learning for Classification and Localization of COVID-19 Markers in Point-of-Care Lung Ultrasound</t>
  </si>
  <si>
    <t>Deep learning (DL) has proved successful in medical imaging and, in the wake of the recent COVID-19 pandemic, some works have started to investigate DL-based solutions for the assisted diagnosis of lung diseases. While existing works focus on CT scans, this paper studies the application of DL techniques for the analysis of lung ultrasonography (LUS) images. Specifically, we present a novel fully-annotated dataset of LUS images collected from several Italian hospitals, with labels indicating the degree of disease severity at a frame-level, video-level, and pixel-level (segmentation masks). Leveraging these data, we introduce several deep models that address relevant tasks for the automatic analysis of LUS images. In particular, we present a novel deep network, derived from Spatial Transformer Networks, which simultaneously predicts the disease severity score associated to a input frame and provides localization of pathological artefacts in a weakly-supervised way. Furthermore, we introduce a new method based on uninorms for effective frame score aggregation at a video-level. Finally, we benchmark state of the art deep models for estimating pixel-level segmentations of COVID-19 imaging biomarkers. Experiments on the proposed dataset demonstrate satisfactory results on all the considered tasks, paving the way to future research on DL for the assisted diagnosis of COVID-19 from LUS data.</t>
  </si>
  <si>
    <t>End-to-End Deep Learning Model for Cardiac Cycle Synchronization from Multi-View Angiographic Sequences</t>
  </si>
  <si>
    <t>Dynamic reconstructions (3D+T) of coronary arteries could give important perfusion details to clinicians. Temporal matching of the different views, which may not be acquired simultaneously, is a prerequisite for an accurate stereo-matching of the coronary segments. In this paper, we show how a neural network can be trained from angiographic sequences to synchronize different views during the cardiac cycle using raw x-ray angiography videos exclusively. First, we train a neural network model with angiographic sequences to extract features describing the progression of the cardiac cycle. Then, we compute the distance between the feature vectors of every frame from the first view with those from the second view to generate distance maps that display stripe patterns. Using pathfinding, we extract the best temporally coherent associations between each frame of both videos. Finally, we compare the synchronized frames of an evaluation set with the ECG signals to show an alignment with 96.04% accuracy.</t>
  </si>
  <si>
    <t>Evaluation of methods for generative modeling of cell and nuclear shape</t>
  </si>
  <si>
    <t>MOTIVATION: Cell shape provides both geometry for, and a reflection of, cell function. Numerous methods for describing and modeling cell shape have been described, but previous evaluation of these methods in terms of the accuracy of generative models has been limited. RESULTS: Here we compare traditional methods and deep autoencoders to build generative models for cell shapes in terms of the accuracy with which shapes can be reconstructed from models. We evaluated the methods on different collections of 2D and 3D cell images, and found that none of the methods gave accurate reconstructions using low dimensional encodings. As expected, much higher accuracies were observed using high dimensional encodings, with outline-based methods significantly outperforming image-based autoencoders. The latter tended to encode all cells as having smooth shapes, even for high dimensions. For complex 3D cell shapes, we developed a significant improvement of a method based on the spherical harmonic transform that performs significantly better than other methods. We obtained similar results for the joint modeling of cell and nuclear shape. Finally, we evaluated the modeling of shape dynamics by interpolation in the shape space. We found that our modified method provided lower deformation energies along linear interpolation paths than other methods. This allows practical shape evolution in high dimensional shape spaces. We conclude that our improved spherical harmonic based methods are preferable for cell and nuclear shape modeling, providing better representations, higher computational efficiency and requiring fewer training images than deep learning methods. AVAILABILITY AND IMPLEMENTATION: All software and data is available at http://murphylab.cbd.cmu.edu/software. SUPPLEMENTARY INFORMATION: Supplementary data are available at Bioinformatics online.</t>
  </si>
  <si>
    <t>TOP-GAN: Stain-free cancer cell classification using deep learning with a small training set</t>
  </si>
  <si>
    <t>We propose a new deep learning approach for medical imaging that copes with the problem of a small training set, the main bottleneck of deep learning, and apply it for classification of healthy and cancer cell lines acquired by quantitative phase imaging. The proposed method, called transferring of pre-trained generative adversarial network (TOP-GAN), is hybridization between transfer learning and generative adversarial networks (GANs). Healthy cells and cancer cells of different metastatic potential have been imaged by low-coherence off-axis holography. After the acquisition, the optical path delay maps of the cells are extracted and directly used as inputs to the networks. In order to cope with the small number of classified images, we use GANs to train a large number of unclassified images from another cell type (sperm cells). After this preliminary training, we change the last layers of the network and design automatic classifiers for the correct cell type (healthy/primary cancer/metastatic cancer) with 90-99% accuracies, although small training sets of down to several images are used. These results are better in comparison to other classic methods that aim at coping with the same problem of a small training set. We believe that our approach makes the combination of holographic microscopy and deep learning networks more accessible to the medical field by enabling a rapid, automatic and accurate classification in stain-free imaging flow cytometry. Furthermore, our approach is expected to be applicable to many other medical image classification tasks, suffering from a small training set.</t>
  </si>
  <si>
    <t>M. Rubin, O. Stein, N. A. Turko, Y. Nygate, D. Roitshtain, L. Karako, I. Barnea, R. Giryes and N. T. Shaked</t>
  </si>
  <si>
    <t>10.1038/s41395-018-0268-4</t>
  </si>
  <si>
    <t>Artificial Intelligence-Assisted Gastroenterology- Promises and Pitfalls</t>
  </si>
  <si>
    <t>Technological advances in artificial intelligence (AI) represent an enticing opportunity to benefit gastroenterological practice. Moreover, AI, through machine or deep learning, permits the ability to develop predictive models from large datasets. Possibilities of predictive model development in machine learning are numerous dependent on the clinical question. For example, binary classifiers aim to stratify allocation to a categorical outcome, such as the presence or absence of a gastrointestinal disease. In addition, continuous variable fitting techniques can be used to predict quantity of a therapeutic response, thus offering a tool to predict which therapeutic intervention may be most beneficial to the given patient. Namely, this permits an important opportunity for personalization of medicine, including a movement from guideline-specific treatment algorithms to patient-specific ones, providing both clinician and patient the capacity for data-driven decision making. Furthermore, such analyses could predict the development of GI disease prior to the manifestation of symptoms, raising the possibility of prevention or pre-treatment. In addition, computer vision additionally provides an exciting opportunity in endoscopy to automatically detect lesions. In this review, we overview the recent developments in healthcare-based AI and machine learning and describe promises and pitfalls for its application to gastroenterology.</t>
  </si>
  <si>
    <t>Am J Gastroenterol</t>
  </si>
  <si>
    <t>Intervertebral disc detection in X-ray images using faster R-CNN</t>
  </si>
  <si>
    <t>Automatic identification of specific osseous landmarks on the spinal radiograph can be used to automate calculations for correcting ligament instability and injury, which affect 75% of patients injured in motor vehicle accidents. In this work, we propose to use deep learning based object detection method as the first step towards identifying landmark points in lateral lumbar X-ray images. The significant breakthrough of deep learning technology has made it a prevailing choice for perception based applications, however, the lack of large annotated training dataset has brought challenges to utilizing the technology in medical image processing field. In this work, we propose to fine tune a deep network, Faster-RCNN, a state-of-the-art deep detection network in natural image domain, using small annotated clinical datasets. In the experiment we show that, by using only 81 lateral lumbar X-Ray training images, one can achieve much better performance compared to traditional sliding window detection method on hand crafted features. Furthermore, we fine-tuned the network using 974 training images and tested on 108 images, which achieved average precision of 0.905 with average computation time of 3 second per image, which greatly outperformed traditional methods in terms of accuracy and efficiency.</t>
  </si>
  <si>
    <t>S. Ruhan, W. Owens, R. Wiegand, M. Studin, D. Capoferri, K. Barooha, A. Greaux, R. Rattray, A. Hutton, J. Cintineo and V. Chaudhary</t>
  </si>
  <si>
    <t>Fully Automated, Quality-Controlled Cardiac Analysis From CMR: Validation and Large-Scale Application to Characterize Cardiac Function</t>
  </si>
  <si>
    <t>OBJECTIVES: This study sought to develop a fully automated framework for cardiac function analysis from cardiac magnetic resonance (CMR), including comprehensive quality control (QC) algorithms to detect erroneous output. BACKGROUND: Analysis of cine CMR imaging using deep learning (DL) algorithms could automate ventricular function assessment. However, variable image quality, variability in phenotypes of disease, and unavoidable weaknesses in training of DL algorithms currently prevent their use in clinical practice. METHODS: The framework consists of a pre-analysis DL image QC, followed by a DL algorithm for biventricular segmentation in long-axis and short-axis views, myocardial feature-tracking (FT), and a post-analysis QC to detect erroneous results. The study validated the framework in healthy subjects and cardiac patients by comparison against manual analysis (n = 100) and evaluation of the QC steps' ability to detect erroneous results (n = 700). Next, this method was used to obtain reference values for cardiac function metrics from the UK Biobank. RESULTS: Automated analysis correlated highly with manual analysis for left and right ventricular volumes (all r &gt; 0.95), strain (circumferential r = 0.89, longitudinal r &gt; 0.89), and filling and ejection rates (all r ≥ 0.93). There was no significant bias for cardiac volumes and filling and ejection rates, except for right ventricular end-systolic volume (bias +1.80 ml; p = 0.01). The bias for FT strain was &lt;1.3%. The sensitivity of detection of erroneous output was 95% for volume-derived parameters and 93% for FT strain. Finally, reference values were automatically derived from 2,029 CMR exams in healthy subjects. CONCLUSIONS: The study demonstrates a DL-based framework for automated, quality-controlled characterization of cardiac function from cine CMR, without the need for direct clinician oversight.</t>
  </si>
  <si>
    <t>Synthesis of CT images from digital body phantoms using CycleGAN</t>
  </si>
  <si>
    <t>PURPOSE: The potential of medical image analysis with neural networks is limited by the restricted availability of extensive data sets. The incorporation of synthetic training data is one approach to bypass this shortcoming, as synthetic data offer accurate annotations and unlimited data size. METHODS: We evaluated eleven CycleGAN for the synthesis of computed tomography (CT) images based on XCAT body phantoms. The image quality was assessed in terms of anatomical accuracy and realistic noise properties. We performed two studies exploring various network and training configurations as well as a task-based adaption of the corresponding loss function. RESULTS: The CycleGAN using the Res-Net architecture and three XCAT input slices achieved the best overall performance in the configuration study. In the task-based study, the anatomical accuracy of the generated synthetic CTs remained high ([Formula: see text] and [Formula: see text]). At the same time, the generated noise texture was close to real data with a noise power spectrum correlation coefficient of [Formula: see text]. Simultaneously, we observed an improvement in annotation accuracy of 65% when using the dedicated loss function. The feasibility of a combined training on both real and synthetic data was demonstrated in a blood vessel segmentation task (dice similarity coefficient [Formula: see text]). CONCLUSION: CT synthesis using CycleGAN is a feasible approach to generate realistic images from simulated XCAT phantoms. Synthetic CTs generated with a task-based loss function can be used in addition to real data to improve the performance of segmentation networks.</t>
  </si>
  <si>
    <t>T. Russ, S. Goerttler, A. K. Schnurr, D. F. Bauer, S. Hatamikia, L. R. Schad, F. G. Zöllner and K. Chung</t>
  </si>
  <si>
    <t>Deep Learning for Prediction of AMD Progression: A Pilot Study</t>
  </si>
  <si>
    <t>PURPOSE: To develop and assess a method for predicting the likelihood of converting from early/intermediate to advanced wet age-related macular degeneration (AMD) using optical coherence tomography (OCT) imaging and methods of deep learning. METHODS: Seventy-one eyes of 71 patients with confirmed early/intermediate AMD with contralateral wet AMD were imaged with OCT three times over 2 years (baseline, year 1, year 2). These eyes were divided into two groups: eyes that had not converted to wet AMD (n = 40) at year 2 and those that had (n = 31). Two deep convolutional neural networks (CNN) were evaluated using 5-fold cross validation on the OCT data at baseline to attempt to predict which eyes would convert to advanced AMD at year 2: (1) VGG16, a popular CNN for image recognition was fine-tuned, and (2) a novel, simplified CNN architecture was trained from scratch. Preprocessing was added in the form of a segmentation-based normalization to reduce variance in the data and improve performance. RESULTS: Our new architecture, AMDnet, with preprocessing, achieved an area under the receiver operating characteristic (ROC) curve (AUC) of 0.89 at the B-scan level and 0.91 for volumes. Results for VGG16, an established CNN architecture, with preprocessing were 0.82 for B-scans/0.87 for volumes versus 0.66 for B-scans/0.69 for volumes without preprocessing. CONCLUSIONS: A CNN with layer segmentation-based preprocessing shows strong predictive power for the progression of early/intermediate AMD to advanced AMD. Use of the preprocessing was shown to improve performance regardless of the network architecture.</t>
  </si>
  <si>
    <t>D. B. Russakoff, A. Lamin, J. D. Oakley, A. M. Dubis and S. Sivaprasad</t>
  </si>
  <si>
    <t>Automated 3D ultrasound image analysis for first trimester assessment of fetal health</t>
  </si>
  <si>
    <t>The first trimester fetal ultrasound scan is important to confirm fetal viability, to estimate the gestational age of the fetus, and to detect fetal anomalies early in pregnancy. First trimester ultrasound images have a different appearance than for the second trimester scan, reflecting the different stage of fetal development. There is limited literature on automation of image-based assessment for this earlier trimester, and most of the literature is focused on one specific fetal anatomy. In this paper, we consider automation to support first trimester fetal assessment of multiple fetal anatomies including both visualization and the measurements from a single 3D ultrasound scan. We present a deep learning and image processing solution (i) to perform semantic segmentation of the whole fetus, (ii) to estimate plane orientation for standard biometry views, (iii) to localize and automatically estimate biometry, and (iv) to detect fetal limbs from a 3D first trimester volume. Computational analysis methods were built using a real-world dataset (n  =  44 volumes). An evaluation on a further independent clinical dataset (n  =  21 volumes) showed that the automated methods approached human expert assessment of a 3D volume.</t>
  </si>
  <si>
    <t>Data-driven synthetic MRI FLAIR artifact correction via deep neural network</t>
  </si>
  <si>
    <t>BACKGROUND: FLAIR (fluid attenuated inversion recovery) imaging via synthetic MRI methods leads to artifacts in the brain, which can cause diagnostic limitations. The main sources of the artifacts are attributed to the partial volume effect and flow, which are difficult to correct by analytical modeling. In this study, a deep learning (DL)-based synthetic FLAIR method was developed, which does not require analytical modeling of the signal. PURPOSE: To correct artifacts in synthetic FLAIR using a DL method. STUDY TYPE: Retrospective. SUBJECTS: A total of 80 subjects with clinical indications (60.6 ± 16.7 years, 38 males, 42 females) were divided into three groups: a training set (56 subjects, 62.1 ± 14.8 years, 25 males, 31 females), a validation set (1 subject, 62 years, male), and the testing set (23 subjects, 57.3 ± 20.4 years, 13 males, 10 females). FIELD STRENGTH/SEQUENCE: 3 T MRI using a multiple-dynamic multiple-echo acquisition (MDME) sequence for synthetic MRI and a conventional FLAIR sequence. ASSESSMENT: Normalized root mean square (NRMSE) and structural similarity (SSIM) were computed for uncorrected synthetic FLAIR and DL-corrected FLAIR. In addition, three neuroradiologists scored the three FLAIR datasets blindly, evaluating image quality and artifacts for sulci/periventricular and intraventricular/cistern space regions. STATISTICAL TESTS: Pairwise Student's t-tests and a Wilcoxon test were performed. RESULTS: For quantitative assessment, NRMSE improved from 4.2% to 2.9% (P &lt; 0.0001) and SSIM improved from 0.85 to 0.93 (P &lt; 0.0001). Additionally, NRMSE values significantly improved from 1.58% to 1.26% (P &lt; 0.001), 3.1% to 1.5% (P &lt; 0.0001), and 2.7% to 1.4% (P &lt; 0.0001) in white matter, gray matter, and cerebral spinal fluid (CSF) regions, respectively, when using DL-corrected FLAIR. For qualitative assessment, DL correction achieved improved overall quality, fewer artifacts in sulci and periventricular regions, and in intraventricular and cistern space regions. DATA CONCLUSION: The DL approach provides a promising method to correct artifacts in synthetic FLAIR. LEVEL OF EVIDENCE: 4 Technical Efficacy: Stage 1 J. Magn. Reson. Imaging 2019;50:1413-1423.</t>
  </si>
  <si>
    <t>Convolutional Neural Network for Segmentation and Measurement of Intima Media Thickness</t>
  </si>
  <si>
    <t>The measurement of Carotid Intima Media Thickness (IMT) on Common Carotid Artery (CCA) is a principle marker of risk of cardiovascular disease. This paper presents a novel method of using deep Convolutional Neural Network (CNN) for identification and measurement of IMT on the far wall of the artery. The Region of Interest (ROI) is extracted using CNN architecture with 8 layers. 110 subjects are taken for the study. Each subject is recorded with one Right Common Carotid Artery (RCCA) and Left Common Carotid Artery (LCCA) frame resulting in 220 recordings. Patch based segmentation with 2640 patches are given to the training network for ROI localization. Intima Media Complex (IMC) is the area where IMT is measured. This region is extracted after defining the ROI. Keeping in mind the end objective of measurement of IMT values binary threshold with snake algorithm is applied to extract the lumen-intima and media-adventitia boundary. IMT values are measured for 20 cases and mean difference is found to be 0.08 mm.</t>
  </si>
  <si>
    <t>S. S, B. J. K, R. C, N. Madian and S. T</t>
  </si>
  <si>
    <t>10.1016/j.ejrad.2019.02.038</t>
  </si>
  <si>
    <t>The present and future of deep learning in radiology</t>
  </si>
  <si>
    <t>The advent of Deep Learning (DL) is poised to dramatically change the delivery of healthcare in the near future. Not only has DL profoundly affected the healthcare industry it has also influenced global businesses. Within a span of very few years, advances such as self-driving cars, robots performing jobs that are hazardous to human, and chat bots talking with human operators have proved that DL has already made large impact on our lives. The open source nature of DL and decreasing prices of computer hardware will further propel such changes. In healthcare, the potential is immense due to the need to automate the processes and evolve error free paradigms. The sheer quantum of DL publications in healthcare has surpassed other domains growing at a very fast pace, particular in radiology. It is therefore imperative for the radiologists to learn about DL and how it differs from other approaches of Artificial Intelligence (AI). The next generation of radiology will see a significant role of DL and will likely serve as the base for augmented radiology (AR). Better clinical judgement by AR will help in improving the quality of life and help in life saving decisions, while lowering healthcare costs. A comprehensive review of DL as well as its implications upon the healthcare is presented in this review. We had analysed 150 articles of DL in healthcare domain from PubMed, Google Scholar, and IEEE EXPLORE focused in medical imagery only. We have further examined the ethic, moral and legal issues surrounding the use of DL in medical imaging.</t>
  </si>
  <si>
    <t>10.23736/s0392-9590.19.04267-6</t>
  </si>
  <si>
    <t>Global perspective on carotid intima-media thickness and plaque: should the current measurement guidelines be revisited?</t>
  </si>
  <si>
    <t>Carotid intima-media thickness (cIMT) and carotid plaque (CP) currently act as risk predictors for CVD/Stroke risk assessment. Over 2000 articles have been published that cover either use cIMT/CP or alterations of cIMT/CP and additional image-based phenotypes to associate cIMT related markers with CVD/Stroke risk. These articles have shown variable results, which likely reflect a lack of standardization in the tools for measurement, risk stratification, and risk assessment. Guidelines for cIMT/CP measurement are influenced by major factors like the atherosclerosis disease itself, conventional risk factors, 10-year measurement tools, types of CVD/Stroke risk calculators, incomplete validation of measurement tools, and the fast pace of computer technology advancements. This review discusses the following major points: 1) the American Society of Echocardiography and Mannheim guidelines for cIMT/CP measurements; 2) forces that influence the guidelines; and 3) calculators for risk stratification and assessment under the influence of advanced intelligence methods. The review also presents the knowledge-based learning strategies such as machine and deep learning which may play a future role in CVD/stroke risk assessment. We conclude that both machine learning and non-machine learning strategies will flourish for current and 10-year CVD/Stroke risk prediction as long as they integrate image-based phenotypes with conventional risk factors.</t>
  </si>
  <si>
    <t>Int Angiol</t>
  </si>
  <si>
    <t>Recent advancement in cancer detection using machine learning: Systematic survey of decades, comparisons and challenges</t>
  </si>
  <si>
    <t>Cancer is a fatal illness often caused by genetic disorder aggregation and a variety of pathological changes. Cancerous cells are abnormal areas often growing in any part of human body that are life-threatening. Cancer also known as tumor must be quickly and correctly detected in the initial stage to identify what might be beneficial for its cure. Even though modality has different considerations, such as complicated history, improper diagnostics and treatement that are main causes of deaths. The aim of the research is to analyze, review, categorize and address the current developments of human body cancer detection using machine learning techniques for breast, brain, lung, liver, skin cancer leukemia. The study highlights how cancer diagnosis, cure process is assisted using machine learning with supervised, unsupervised and deep learning techniques. Several state of art techniques are categorized under the same cluster and results are compared on benchmark datasets from accuracy, sensitivity, specificity, false-positive metrics. Finally, challenges are also highlighted for possible future work.</t>
  </si>
  <si>
    <t>T. Saba</t>
  </si>
  <si>
    <t>J Infect Public Health</t>
  </si>
  <si>
    <t>Region Extraction and Classification of Skin Cancer: A Heterogeneous framework of Deep CNN Features Fusion and Reduction</t>
  </si>
  <si>
    <t>Cancer is one of the leading causes of deaths in the last two decades. It is either diagnosed malignant or benign - depending upon the severity of the infection and the current stage. The conventional methods require a detailed physical inspection by an expert dermatologist, which is time-consuming and imprecise. Therefore, several computer vision methods are introduced lately, which are cost-effective and somewhat accurate. In this work, we propose a new automated approach for skin lesion detection and recognition using a deep convolutional neural network (DCNN). The proposed cascaded design incorporates three fundamental steps including; a) contrast enhancement through fast local Laplacian filtering (FlLpF) along HSV color transformation; b) lesion boundary extraction using color CNN approach by following XOR operation; c) in-depth features extraction by applying transfer learning using Inception V3 model prior to feature fusion using hamming distance (HD) approach. An entropy controlled feature selection method is also introduced for the selection of the most discriminant features. The proposed method is tested on PH2 and ISIC 2017 datasets, whereas the recognition phase is validated on PH2, ISBI 2016, and ISBI 2017 datasets. From the results, it is concluded that the proposed method outperforms several existing methods and attained accuracy 98.4% on PH2 dataset, 95.1% on ISBI dataset and 94.8% on ISBI 2017 dataset.</t>
  </si>
  <si>
    <t>Lung Nodule Detection based on Ensemble of Hand Crafted and Deep Features</t>
  </si>
  <si>
    <t>Lung cancer is considered as a deadliest disease worldwide due to which 1.76 million deaths occurred in the year 2018. Keeping in view its dreadful effect on humans, cancer detection at a premature stage is a more significant requirement to reduce the probability of mortality rate. This manuscript depicts an approach of finding lung nodule at an initial stage that comprises of three major phases: (1) lung nodule segmentation using Otsu threshold followed by morphological operation; (2) extraction of geometrical, texture and deep learning features for selecting optimal features; (3) The optimal features are fused serially for classification of lung nodule into two categories that is malignant and benign. The lung image database consortium image database resource initiative (LIDC-IDRI) is used for experimentation. The experimental outcomes show better performance of presented approach as compared with the existing methods.</t>
  </si>
  <si>
    <t>A deep learning algorithm to detect chronic kidney disease from retinal photographs in community-based populations</t>
  </si>
  <si>
    <t>BACKGROUND: Screening for chronic kidney disease is a challenge in community and primary care settings, even in high-income countries. We developed an artificial intelligence deep learning algorithm (DLA) to detect chronic kidney disease from retinal images, which could add to existing chronic kidney disease screening strategies. METHODS: We used data from three population-based, multiethnic, cross-sectional studies in Singapore and China. The Singapore Epidemiology of Eye Diseases study (SEED, patients aged ≥40 years) was used to develop (5188 patients) and validate (1297 patients) the DLA. External testing was done on two independent datasets: the Singapore Prospective Study Program (SP2, 3735 patients aged ≥25 years) and the Beijing Eye Study (BES, 1538 patients aged ≥40 years). Chronic kidney disease was defined as estimated glomerular filtration rate less than 60 mL/min per 1·73m(2). Three models were trained: 1) image DLA; 2) risk factors (RF) including age, sex, ethnicity, diabetes, and hypertension; and 3) hybrid DLA combining image and RF. Model performances were evaluated using the area under the receiver operating characteristic curve (AUC). FINDINGS: In the SEED validation dataset, the AUC was 0·911 for image DLA (95% CI 0·886 -0·936), 0·916 for RF (0·891-0·941), and 0·938 for hybrid DLA (0·917-0·959). Corresponding estimates in the SP2 testing dataset were 0·733 for image DLA (95% CI 0·696-0·770), 0·829 for RF (0·797-0·861), and 0·810 for hybrid DLA (0·776-0·844); and in the BES testing dataset estimates were 0·835 for image DLA (0·767-0·903), 0·887 for RF (0·828-0·946), and 0·858 for hybrid DLA (0·794-0·922). AUC estimates were similar in subgroups of people with diabetes (image DLA 0·889 [95% CI 0·850-0·928], RF 0·899 [0·862-0·936], hybrid 0·925 [0·893-0·957]) and hypertension (image DLA 0·889 [95% CI 0·860-0·918], RF 0·889 [0·860-0·918], hybrid 0·918 [0·893-0·943]). INTERPRETATION: A retinal image DLA shows good performance for estimating chronic kidney disease, underlying the feasibility of using retinal photography as an adjunctive or opportunistic screening tool for chronic kidney disease in community populations. FUNDING: National Medical Research Council, Singapore.</t>
  </si>
  <si>
    <t>A deep bag-of-features model for the classification of melanomas in dermoscopy images</t>
  </si>
  <si>
    <t>Deep learning and unsupervised feature learning have received great attention in past years for their ability to transform input data into high level representations using machine learning techniques. Such interest has been growing steadily in the field of medical image diagnosis, particularly in melanoma classification. In this paper, a novel application of deep learning (stacked sparse auto-encoders) is presented for skin lesion classification task. The stacked sparse auto-encoder discovers latent information features in input images (pixel intensities). These high-level features are subsequently fed into a classifier for classifying dermoscopy images. In addition, we proposed a new deep neural network architecture based on bag-of-features (BoF) model, which learns high-level image representation and maps images into BoF space. Then, we examine how using this deep representation of BoF, compared with pixel intensities of images, can improve the classification accuracy. The proposed method is evaluated on a test set of 244 skin images. To test the performance of the proposed method, the area under the receiver operating characteristics curve (AUC) is utilized. The proposed method is found to achieve 95% accuracy.</t>
  </si>
  <si>
    <t>S. Sabbaghi, M. Aldeen and R. Garnavi</t>
  </si>
  <si>
    <t>Convolutional neural network-based approach to estimate bulk optical properties in diffuse optical tomography</t>
  </si>
  <si>
    <t>Deep learning has been actively investigated for various applications such as image classification, computer vision, and regression tasks, and it has shown state-of-the-art performance. In diffuse optical tomography (DOT), the accurate estimation of the bulk optical properties of a medium is paramount because it directly affects the overall image quality. In this work, we exploit deep learning to propose a novel, to the best of our knowledge, convolutional neural network (CNN)-based approach to estimate the bulk optical properties of a highly scattering medium such as biological tissue in DOT. We validated the proposed method by using experimental, as well as, simulated data. For performance assessment, we compared the results of the proposed method with those of existing approaches. The results demonstrate that the proposed CNN-based approach for bulk optical property estimation outperforms existing methods in terms of estimation accuracy, with lower computation time.</t>
  </si>
  <si>
    <t>Appl Opt</t>
  </si>
  <si>
    <t>Using conditional generative adversarial networks to reduce the effects of latency in robotic telesurgery</t>
  </si>
  <si>
    <t>The introduction of surgical robots brought about advancements in surgical procedures. The applications of remote telesurgery range from building medical clinics in underprivileged areas, to placing robots abroad in military hot-spots where accessibility and diversity of medical experience may be limited. Poor wireless connectivity may result in a prolonged delay, referred to as latency, between a surgeon's input and action which a robot takes. In surgery, any micro-delay can injure a patient severely and, in some cases, result in fatality. One way to increase safety is to mitigate the effects of latency using deep learning aided computer vision. While the current surgical robots use calibrated sensors to measure the position of the arms and tools, in this work, we present a purely optical approach that provides a measurement of the tool position in relation to the patient's tissues. This research aimed to produce a neural network that allowed a robot to detect its own mechanical manipulator arms. A conditional generative adversarial network (cGAN) was trained on 1107 frames of a mock gastrointestinal robotic surgery from the 2015 EndoVis Instrument Challenge and corresponding hand-drawn labels for each frame. When run on new testing data, the network generated near-perfect labels of the input images which were visually consistent with the hand-drawn labels and was able to do this in 299 ms. These accurately generated labels can then be used as simplified identifiers for the robot to track its own controlled tools. These results show potential for conditional GANs as a reaction mechanism, such that the robot can detect when its arms move outside the operating area in a patient. This system allows for more accurate monitoring of the position of surgical instruments in relation to the patient's tissue, increasing safety measures that are integral to successful telesurgery systems.</t>
  </si>
  <si>
    <t>J Robot Surg</t>
  </si>
  <si>
    <t>Real-Time Medical Video Denoising with Deep Learning: Application to Angiography</t>
  </si>
  <si>
    <t>This paper describes the design, training, and evaluation of a deep neural network for removing noise from medical fluoroscopy videos. The method described in this work, unlike the current standard techniques for video denoising, is able to deliver a result quickly enough to be used in real-time scenarios. Furthermore, this method is able to produce results of a similar quality to the existing industry-standard denoising techniques.</t>
  </si>
  <si>
    <t>P. Sadda and T. Qarni</t>
  </si>
  <si>
    <t>Int J Appl Inf Syst</t>
  </si>
  <si>
    <t>Generative models in pathology: Synthesis of diagnostic quality pathology images</t>
  </si>
  <si>
    <t>Within artificial intelligence and machine learning, a generative model is a powerful tool for learning any kind of data distribution. With the advent of deep learning and its success in image recognition, the field of deep generative models has clearly emerged as one of the promising fields for medical imaging. In a recent issue of The Journal of Pathology, Levine et al. demonstrate the ability of generative models to synthesize high-quality pathology images. They suggested that generative models can serve as an unlimited source of images either for educating freshman pathologists or training machine-learning models for diverse image analysis tasks, especially in scarce cases, while resolving patient's privacy and confidentiality concerns. This article is protected by copyright. All rights reserved.</t>
  </si>
  <si>
    <t>Her2Net: A Deep Framework for Semantic Segmentation and Classification of Cell Membranes and Nuclei in Breast Cancer Evaluation</t>
  </si>
  <si>
    <t>We present an efficient deep learning framework for identifying, segmenting, and classifying cell membranes and nuclei from human epidermal growth factor receptor-2 (HER2)-stained breast cancer images with minimal user intervention. This is a long-standing issue for pathologists because the manual quantification of HER2 is error-prone, costly, and time-consuming. Hence, we propose a deep learning-based HER2 deep neural network (Her2Net) to solve this issue. The convolutional and deconvolutional parts of the proposed Her2Net framework consisted mainly of multiple convolution layers, max-pooling layers, spatial pyramid pooling layers, deconvolution layers, up-sampling layers, and trapezoidal long short-term memory (TLSTM). A fully connected layer and a softmax layer were also used for classification and error estimation. Finally, HER2 scores were calculated based on the classification results. The main contribution of our proposed Her2Net framework includes the implementation of TLSTM and a deep learning framework for cell membrane and nucleus detection, segmentation, and classification and HER2 scoring. Our proposed Her2Net achieved 96.64% precision, 96.79% recall, 96.71% F-score, 93.08% negative predictive value, 98.33% accuracy, and a 6.84% false-positive rate. Our results demonstrate the high accuracy and wide applicability of the proposed Her2Net in the context of HER2 scoring for breast cancer evaluation.</t>
  </si>
  <si>
    <t>M. Saha and C. Chakraborty</t>
  </si>
  <si>
    <t>Automated detection and classification of early AMD biomarkers using deep learning</t>
  </si>
  <si>
    <t>Age-related macular degeneration (AMD) affects millions of people and is a leading cause of blindness throughout the world. Ideally, affected individuals would be identified at an early stage before late sequelae such as outer retinal atrophy or exudative neovascular membranes develop, which could produce irreversible visual loss. Early identification could allow patients to be staged and appropriate monitoring intervals to be established. Accurate staging of earlier AMD stages could also facilitate the development of new preventative therapeutics. However, accurate and precise staging of AMD, particularly using newer optical coherence tomography (OCT)-based biomarkers may be time-intensive and requires expert training which may not feasible in many circumstances, particularly in screening settings. In this work we develop deep learning method for automated detection and classification of early AMD OCT biomarker. Deep convolution neural networks (CNN) were explicitly trained for performing automated detection and classification of hyperreflective foci, hyporeflective foci within the drusen, and subretinal drusenoid deposits from OCT B-scans. Numerous experiments were conducted to evaluate the performance of several state-of-the-art CNNs and different transfer learning protocols on an image dataset containing approximately 20000 OCT B-scans from 153 patients. An overall accuracy of 87% for identifying the presence of early AMD biomarkers was achieved.</t>
  </si>
  <si>
    <t>A Novel Method for Correcting Non-uniform/Poor Illumination of Color Fundus Photographs</t>
  </si>
  <si>
    <t>Retinal fundus images are often corrupted by non-uniform and/or poor illumination that occur due to overall imperfections in the image acquisition process. This unwanted variation in brightness limits the pathological information that can be gained from the image. Studies have shown that poor illumination can impede human grading in about 10~15% of retinal images. For automated grading, the effect can be even higher. In this perspective, we propose a novel method for illumination correction in the context of retinal imaging. The method splits the color image into luminosity and chroma (i.e., color) components and performs illumination correction in the luminosity channel based on a novel background estimation technique. Extensive subjective and objective experiments were conducted on publicly available DIARETDB1 and EyePACS images to justify the performance of the proposed method. The subjective experiment has confirmed that the proposed method does not create false color/artifacts and at the same time performs better than the traditional method in 84 out of 89 cases. The objective experiment shows an accuracy improvement of 4% in automated disease grading when illumination correction is performed by the proposed method than the traditional method.</t>
  </si>
  <si>
    <t>S. K. Saha, D. Xiao and Y. Kanagasingam</t>
  </si>
  <si>
    <t>10.1002/mp.13264</t>
  </si>
  <si>
    <t>Deep learning in medical imaging and radiation therapy</t>
  </si>
  <si>
    <t>The goals of this review paper on deep learning (DL) in medical imaging and radiation therapy are to (a) summarize what has been achieved to date; (b) identify common and unique challenges, and strategies that researchers have taken to address these challenges; and (c) identify some of the promising avenues for the future both in terms of applications as well as technical innovations. We introduce the general principles of DL and convolutional neural networks, survey five major areas of application of DL in medical imaging and radiation therapy, identify common themes, discuss methods for dataset expansion, and conclude by summarizing lessons learned, remaining challenges, and future directions.</t>
  </si>
  <si>
    <t>COVID-19 image classification using deep features and fractional-order marine predators algorithm</t>
  </si>
  <si>
    <t>Currently, we witness the severe spread of the pandemic of the new Corona virus, COVID-19, which causes dangerous symptoms to humans and animals, its complications may lead to death. Although convolutional neural networks (CNNs) is considered the current state-of-the-art image classification technique, it needs massive computational cost for deployment and training. In this paper, we propose an improved hybrid classification approach for COVID-19 images by combining the strengths of CNNs (using a powerful architecture called Inception) to extract features and a swarm-based feature selection algorithm (Marine Predators Algorithm) to select the most relevant features. A combination of fractional-order and marine predators algorithm (FO-MPA) is considered an integration among a robust tool in mathematics named fractional-order calculus (FO). The proposed approach was evaluated on two public COVID-19 X-ray datasets which achieves both high performance and reduction of computational complexity. The two datasets consist of X-ray COVID-19 images by international Cardiothoracic radiologist, researchers and others published on Kaggle. The proposed approach selected successfully 130 and 86 out of 51 K features extracted by inception from dataset 1 and dataset 2, while improving classification accuracy at the same time. The results are the best achieved on these datasets when compared to a set of recent feature selection algorithms. By achieving 98.7%, 98.2% and 99.6%, 99% of classification accuracy and F-Score for dataset 1 and dataset 2, respectively, the proposed approach outperforms several CNNs and all recent works on COVID-19 images.</t>
  </si>
  <si>
    <t>Deep Learning Fundus Image Analysis for Diabetic Retinopathy and Macular Edema Grading</t>
  </si>
  <si>
    <t>Diabetes is a globally prevalent disease that can cause visible microvascular complications such as diabetic retinopathy and macular edema in the human eye retina, the images of which are today used for manual disease screening and diagnosis. This labor-intensive task could greatly benefit from automatic detection using deep learning technique. Here we present a deep learning system that identifies referable diabetic retinopathy comparably or better than presented in the previous studies, although we use only a small fraction of images (&lt;1/4) in training but are aided with higher image resolutions. We also provide novel results for five different screening and clinical grading systems for diabetic retinopathy and macular edema classification, including state-of-the-art results for accurately classifying images according to clinical five-grade diabetic retinopathy and for the first time for the four-grade diabetic macular edema scales. These results suggest, that a deep learning system could increase the cost-effectiveness of screening and diagnosis, while attaining higher than recommended performance, and that the system could be applied in clinical examinations requiring finer grading.</t>
  </si>
  <si>
    <t>Comparative assessment of CNN architectures for classification of breast FNAC images</t>
  </si>
  <si>
    <t>Fine needle aspiration cytology (FNAC) entails using a narrow gauge (25-22 G) needle to collect a sample of a lesion for microscopic examination. It allows a minimally invasive, rapid diagnosis of tissue but does not preserve its histological architecture. FNAC is commonly used for diagnosis of breast cancer, with traditional practice being based on the subjective visual assessment of the breast cytopathology cell samples under a microscope to evaluate the state of various cytological features. Therefore, there are many challenges in maintaining consistency and reproducibility of findings. However, the advent of digital imaging and computational aid in diagnosis can improve the diagnostic accuracy and reduce the effective workload of pathologists. This paper presents a comparison of various deep convolutional neural network (CNN) based fine-tuned transfer learned classification approach for the diagnosis of the cell samples. The proposed approach has been tested using VGG16, VGG19, ResNet-50 and GoogLeNet-V3 (aka Inception V3) architectures of CNN on an image dataset of 212 images (99 benign and 113 malignant), later augmented and cleansed to 2120 images (990 benign and 1130 malignant), where the network was trained using images of 80% cell samples and tested on the rest. This paper presents a comparative assessment of the models giving a new dimension to FNAC study where GoogLeNet-V3 (fine-tuned) achieved an accuracy of 96.25% which is highly satisfactory.</t>
  </si>
  <si>
    <t>A. R. Saikia, K. Bora, L. B. Mahanta and A. K. Das</t>
  </si>
  <si>
    <t>Age Prediction Based on Brain MRI Image: A Survey</t>
  </si>
  <si>
    <t>Human age prediction is an interesting and applicable issue in different fields. It can be based on various criteria such as face image, DNA methylation, chest plate radiographs, knee radiographs, dental images and etc. Most of the age prediction researches have mainly been based on images. Since the image processing and Machine Learning (ML) techniques have grown up, the investigations were led to use them in age prediction problem. The implementations would be used in different fields, especially in medical applications. Brain Age Estimation (BAE) has attracted more attention in recent years and it would be so helpful in early diagnosis of some neurodegenerative diseases such as Alzheimer, Parkinson, Huntington, etc. BAE is performed on Magnetic Resonance Imaging (MRI) images to compute the brain ages. Studies based on brain MRI shows that there is a relation between accelerated aging and accelerated brain atrophy. This refers to the effects of neurodegenerative diseases on brain structure while making the whole of it older. This paper reviews and summarizes the main approaches for age prediction based on brain MRI images including preprocessing methods, useful tools used in different research works and the estimation algorithms. We categorize the BAE methods based on two factors, first the way of processing MRI images, which includes pixel-based, surface-based, or voxel-based methods and second, the generation of ML algorithms that includes traditional or Deep Learning (DL) methods. The modern techniques as DL methods help MRI based age prediction to get results that are more accurate. In recent years, more precise and statistical ML approaches have been utilized with the help of related tools for simplifying computations and getting accurate results. Pros and cons of each research and the challenges in each work are expressed and some guidelines and deliberations for future research are suggested.</t>
  </si>
  <si>
    <t>Setting up an Easy-to-Use Machine Learning Pipeline for Medical Decision Support: A Case Study for COVID-19 Diagnosis Based on Deep Learning with CT Scans</t>
  </si>
  <si>
    <t>Coronavirus disease (COVID-19) constitutes an ongoing global health problem with significant morbidity and mortality. It usually presents characteristic findings on a chest CT scan, which may lead to early detection of the disease. A timely and accurate diagnosis of COVID-19 is the cornerstone for the prompt management of the patients. The aim of the present study was to evaluate the performance of an automated machine learning algorithm in the diagnosis of Covid-19 pneumonia using chest CT scans. Diagnostic performance was assessed by the area under the receiver operating characteristic curve (AUC), sensitivity, and positive predictive value. The method's average precision was 0.932. We suggest that auto-ML platforms help users with limited ML expertise train image recognition models by only uploading the examined dataset and performing some basic settings. Such methods could deliver significant potential benefits for patients in the future by allowing for earlier disease detection and care.</t>
  </si>
  <si>
    <t>A fully convolutional neural network for new T2-w lesion detection in multiple sclerosis</t>
  </si>
  <si>
    <t>INTRODUCTION: Longitudinal magnetic resonance imaging (MRI) has an important role in multiple sclerosis (MS) diagnosis and follow-up. Specifically, the presence of new T2-w lesions on brain MR scans is considered a predictive biomarker for the disease. In this study, we propose a fully convolutional neural network (FCNN) to detect new T2-w lesions in longitudinal brain MR images. METHODS: One year apart, multichannel brain MR scans (T1-w, T2-w, PD-w, and FLAIR) were obtained for 60 patients, 36 of them with new T2-w lesions. Modalities from both temporal points were preprocessed and linearly coregistered. Afterwards, an FCNN, whose inputs were from the baseline and follow-up images, was trained to detect new MS lesions. The first part of the network consisted of U-Net blocks that learned the deformation fields (DFs) and nonlinearly registered the baseline image to the follow-up image for each input modality. The learned DFs together with the baseline and follow-up images were then fed to the second part, another U-Net that performed the final detection and segmentation of new T2-w lesions. The model was trained end-to-end, simultaneously learning both the DFs and the new T2-w lesions, using a combined loss function. We evaluated the performance of the model following a leave-one-out cross-validation scheme. RESULTS: In terms of the detection of new lesions, we obtained a mean Dice similarity coefficient of 0.83 with a true positive rate of 83.09% and a false positive detection rate of 9.36%. In terms of segmentation, we obtained a mean Dice similarity coefficient of 0.55. The performance of our model was significantly better compared to the state-of-the-art methods (p &lt; 0.05). CONCLUSIONS: Our proposal shows the benefits of combining a learning-based registration network with a segmentation network. Compared to other methods, the proposed model decreases the number of false positives. During testing, the proposed model operates faster than the other two state-of-the-art methods based on the DF obtained by Demons.</t>
  </si>
  <si>
    <t>Spatial Organization and Molecular Correlation of Tumor-Infiltrating Lymphocytes Using Deep Learning on Pathology Images</t>
  </si>
  <si>
    <t>Beyond sample curation and basic pathologic characterization, the digitized H&amp;E-stained images of TCGA samples remain underutilized. To highlight this resource, we present mappings of tumor-infiltrating lymphocytes (TILs) based on H&amp;E images from 13 TCGA tumor types. These TIL maps are derived through computational staining using a convolutional neural network trained to classify patches of images. Affinity propagation revealed local spatial structure in TIL patterns and correlation with overall survival. TIL map structural patterns were grouped using standard histopathological parameters. These patterns are enriched in particular T cell subpopulations derived from molecular measures. TIL densities and spatial structure were differentially enriched among tumor types, immune subtypes, and tumor molecular subtypes, implying that spatial infiltrate state could reflect particular tumor cell aberration states. Obtaining spatial lymphocytic patterns linked to the rich genomic characterization of TCGA samples demonstrates one use for the TCGA image archives with insights into the tumor-immune microenvironment.</t>
  </si>
  <si>
    <t>J. Saltz, R. Gupta, L. Hou, T. Kurc, P. Singh, V. Nguyen, D. Samaras, K. R. Shroyer, T. Zhao, R. Batiste, J. Van Arnam, I. Shmulevich, A. U. K. Rao, A. J. Lazar, A. Sharma and V. Thorsson</t>
  </si>
  <si>
    <t>Cell Rep</t>
  </si>
  <si>
    <t>10.1016/j.compbiomed.2020.104129</t>
  </si>
  <si>
    <t>The impact of pre- and post-image processing techniques on deep learning frameworks: A comprehensive review for digital pathology image analysis</t>
  </si>
  <si>
    <t>Recently, deep learning frameworks have rapidly become the main methodology for analyzing medical images. Due to their powerful learning ability and advantages in dealing with complex patterns, deep learning algorithms are ideal for image analysis challenges, particularly in the field of digital pathology. The variety of image analysis tasks in the context of deep learning includes classification (e.g., healthy vs. cancerous tissue), detection (e.g., lymphocytes and mitosis counting), and segmentation (e.g., nuclei and glands segmentation). The majority of recent machine learning methods in digital pathology have a pre- and/or post-processing stage which is integrated with a deep neural network. These stages, based on traditional image processing methods, are employed to make the subsequent classification, detection, or segmentation problem easier to solve. Several studies have shown how the integration of pre- and post-processing methods within a deep learning pipeline can further increase the model's performance when compared to the network by itself. The aim of this review is to provide an overview on the types of methods that are used within deep learning frameworks either to optimally prepare the input (pre-processing) or to improve the results of the network output (post-processing), focusing on digital pathology image analysis. Many of the techniques presented here, especially the post-processing methods, are not limited to digital pathology but can be extended to almost any image analysis field.</t>
  </si>
  <si>
    <t>Risks of Feature Leakage and Sample Size Dependencies in Deep Feature Extraction for Breast Mass Classification</t>
  </si>
  <si>
    <t>PURPOSE: Transfer learning is commonly used in deep learning for medical imaging to alleviate the problem of limited available data. In this work we studied the risk of feature leakage and its dependence on sample size when using pre-trained deep convolutional neural network (DCNN) as feature extractor for classification breast masses in mammography. METHODS: Feature leakage occurs when the training set is used for feature selection and classifier modeling while the cost function is guided by the validation performance or informed by the test performance. The high-dimensional feature space extracted from pre-trained DCNN suffers from the curse of dimensionality; feature subsets that can provide excessively optimistic performance can be found for the validation set or test set if the latter is allowed for unlimited reuse during algorithm development. We designed a simulation study to examine feature leakage when using DCNN as feature extractor for mass classification in mammography. 4,577 unique mass lesions were partitioned by patient into three sets: 3,222 for training, 508 for validation and 847 for independent testing. Three pre-trained DCNNs, AlexNet, GoogLeNet, and VGG16, were first compared using a training set in four-fold cross validation and one was selected as the feature extractor. To assess generalization errors, the independent test set was sequestered as truly unseen cases. A training set of a range of sizes from 10% to 75% was simulated by random drawing from the available training set in addition to 100% of the training set. Three commonly used feature classifiers, the linear discriminant, the support vector machine, and the random forest were evaluated. A sequential feature selection method was used to find feature subsets that could achieve high classification performance in terms of the area under the receiver operating characteristic curve (AUC) in the validation set. The extent of feature leakage and the impact of training set size were analyzed by comparison to the performance in the unseen test set. RESULTS: All three classifiers showed large generalization error between the validation set and the independent sequestered test set at all sample sizes. The generalization error decreased as the sample size increased. At 100% of the sample size, one classifier achieved an AUC as high as 0.91 on the validation set while the corresponding performance on the unseen test set only reached an AUC of 0.72. CONCLUSIONS: Our results demonstrate that large generalization errors can occur in AI tools due to feature leakage. Without evaluation on unseen test cases, optimistically biased performance may be reported inadvertently, and can lead to unrealistic expectations and reduce confidence for clinical implementation.</t>
  </si>
  <si>
    <t>Evolutionary pruning of transfer learned deep convolutional neural network for breast cancer diagnosis in digital breast tomosynthesis</t>
  </si>
  <si>
    <t>Deep learning models are highly parameterized, resulting in difficulty in inference and transfer learning for image recognition tasks. In this work, we propose a layered pathway evolution method to compress a deep convolutional neural network (DCNN) for classification of masses in digital breast tomosynthesis (DBT). The objective is to prune the number of tunable parameters while preserving the classification accuracy. In the first stage transfer learning, 19 632 augmented regions-of-interest (ROIs) from 2454 mass lesions on mammograms were used to train a pre-trained DCNN on ImageNet. In the second stage transfer learning, the DCNN was used as a feature extractor followed by feature selection and random forest classification. The pathway evolution was performed using genetic algorithm in an iterative approach with tournament selection driven by count-preserving crossover and mutation. The second stage was trained with 9120 DBT ROIs from 228 mass lesions using leave-one-case-out cross-validation. The DCNN was reduced by 87% in the number of neurons, 34% in the number of parameters, and 95% in the number of multiply-and-add operations required in the convolutional layers. The test AUC on 89 mass lesions from 94 independent DBT cases before and after pruning were 0.88 and 0.90, respectively, and the difference was not statistically significant (p  &gt;  0.05). The proposed DCNN compression approach can reduce the number of required operations by 95% while maintaining the classification performance. The approach can be extended to other deep neural networks and imaging tasks where transfer learning is appropriate.</t>
  </si>
  <si>
    <t>R. K. Samala, H. P. Chan, L. M. Hadjiiski, M. A. Helvie, C. Richter and K. Cha</t>
  </si>
  <si>
    <t>Generalization error analysis for deep convolutional neural network with transfer learning in breast cancer diagnosis</t>
  </si>
  <si>
    <t>Deep convolutional neural network (DCNN), now popularly called artificial intelligence (AI), has shown the potential to improve over previous computer-assisted tools in medical imaging developed in the past decades. A DCNN has millions of free parameters that need to be trained, but the training sample set is limited in size for most medical imaging tasks so that transfer learning is typically used. Automatic data mining may be an efficient way to enlarge the collected data set but the data can be noisy such as incorrect labels or even a wrong type of image. In this work we studied the generalization error of DCNN with transfer learning in medical imaging for the task of classifying malignant and benign masses on mammograms. With a finite available data set, we simulated a training set containing corrupted data or noisy labels. The balance between learning and memorization of the DCNN was manipulated by varying the proportion of corrupted data in the training set. The generalization error of DCNN was analyzed by the area under the receiver operating characteristic curve for the training and test sets and the weight changes after transfer learning. The study demonstrates that the transfer learning strategy of DCNN for such tasks needs to be designed properly, taking into consideration the constraints of the available training set having limited size and quality for the classification task at hand, to minimize memorization and improve generalizability.</t>
  </si>
  <si>
    <t>OBJECTIVE: To develop and test a deep learning algorithm to automatically detect cortical tubers in magnetic resonance imaging (MRI), to explore the utility of deep learning in rare disorders with limited data, and to generate an open-access deep learning standalone application. METHODS: T2 and FLAIR axial images with and without tubers were extracted from MRIs of patients with tuberous sclerosis complex (TSC) and controls, respectively. We trained three different convolutional neural network (CNN) architectures on a training dataset and selected the one with the lowest binary cross-entropy loss in the validation dataset, which was evaluated on the testing dataset. We visualized image regions most relevant for classification with gradient-weighted class activation maps (Grad-CAM) and saliency maps. RESULTS: 114 patients with TSC and 114 controls were divided into a training set, a validation set, and a testing set. The InceptionV3 CNN architecture performed best in the validation set and was evaluated in the testing set with the following results: sensitivity: 0.95, specificity: 0.95, positive predictive value: 0.94, negative predictive value: 0.95, F1-score: 0.95, accuracy: 0.95, and area under the curve: 0.99. Grad-CAM and saliency maps showed that tubers resided in regions most relevant for image classification within each image. A stand-alone trained deep learning App was able to classify images using local computers with various operating systems. CONCLUSION: This study shows that deep learning algorithms are able to detect tubers in selected MRI images, and deep learning can be prudently applied clinically to manually selected data in a rare neurological disorder.</t>
  </si>
  <si>
    <t>Unravelling the effect of data augmentation transformations in polyp segmentation</t>
  </si>
  <si>
    <t>PURPOSE: Data augmentation is a common technique to overcome the lack of large annotated databases, a usual situation when applying deep learning to medical imaging problems. Nevertheless, there is no consensus on which transformations to apply for a particular field. This work aims at identifying the effect of different transformations on polyp segmentation using deep learning. METHODS: A set of transformations and ranges have been selected, considering image-based (width and height shift, rotation, shear, zooming, horizontal and vertical flip and elastic deformation), pixel-based (changes in brightness and contrast) and application-based (specular lights and blurry frames) transformations. A model has been trained under the same conditions without data augmentation transformations (baseline) and for each of the transformation and ranges, using CVC-EndoSceneStill and Kvasir-SEG, independently. Statistical analysis is performed to compare the baseline performance against results of each range of each transformation on the same test set for each dataset. RESULTS: This basic method identifies the most adequate transformations for each dataset. For CVC-EndoSceneStill, changes in brightness and contrast significantly improve the model performance. On the contrary, Kvasir-SEG benefits to a greater extent from the image-based transformations, especially rotation and shear. Augmentation with synthetic specular lights also improves the performance. CONCLUSION: Despite being infrequently used, pixel-based transformations show a great potential to improve polyp segmentation in CVC-EndoSceneStill. On the other hand, image-based transformations are more suitable for Kvasir-SEG. Problem-based transformations behave similarly in both datasets. Polyp area, brightness and contrast of the dataset have an influence on these differences.</t>
  </si>
  <si>
    <t>Accurate, rapid and reliable, fully automated MRI brainstem segmentation for application in multiple sclerosis and neurodegenerative diseases</t>
  </si>
  <si>
    <t>Neurodegenerative disorders, such as Alzheimer's disease (AD) and progressive forms of multiple sclerosis (MS), can affect the brainstem and are associated with atrophy that can be visualized by MRI. Anatomically accurate, large-scale assessments of brainstem atrophy are challenging due to lack of automated, accurate segmentation methods. We present a novel method for brainstem volumetry using a fully-automated segmentation approach based on multi-dimensional gated recurrent units (MD-GRU), a deep learning based semantic segmentation approach employing a convolutional adaptation of gated recurrent units. The neural network was trained on 67 3D-high resolution T1-weighted MRI scans from MS patients and healthy controls (HC) and refined using segmentations of 20 independent MS patients' scans. Reproducibility was assessed in MR test-retest experiments in 33 HC. Accuracy and robustness were examined by Dice scores comparing MD-GRU to FreeSurfer and manual brainstem segmentations in independent MS and AD datasets. The mean %-change/SD between test-retest brainstem volumes were 0.45%/0.005 (MD-GRU), 0.95%/0.009 (FreeSurfer), 0.86%/0.007 (manually edited segmentations). Comparing MD-GRU to manually edited segmentations the mean Dice scores/SD were: 0.97/0.005 (brainstem), 0.95/0.013 (mesencephalon), 0.98/0.006 (pons), 0.95/0.015 (medulla oblongata). Compared to the manual gold standard, MD-GRU brainstem segmentations were more accurate than FreeSurfer segmentations (p &lt; .001). In the multi-centric acquired AD data, the mean Dice score/SD for the MD-GRU-manual segmentation comparison was 0.97/0.006. The fully automated brainstem segmentation method MD-GRU provides accurate, highly reproducible, and robust segmentations in HC and patients with MS and AD in 200 s/scan on an Nvidia GeForce GTX 1080 GPU and shows potential for application in large and longitudinal datasets.</t>
  </si>
  <si>
    <t>Reliable segmentation of 2D cardiac magnetic resonance perfusion image sequences using time as the 3rd dimension</t>
  </si>
  <si>
    <t>OBJECTIVES: Cardiac magnetic resonance (CMR) first-pass perfusion is an established noninvasive diagnostic imaging modality for detecting myocardial ischemia. A CMR perfusion sequence provides a time series of 2D images for dynamic contrast enhancement of the heart. Accurate myocardial segmentation of the perfusion images is essential for quantitative analysis and it can facilitate automated pixel-wise myocardial perfusion quantification. METHODS: In this study, we compared different deep learning methodologies for CMR perfusion image segmentation. We evaluated the performance of several image segmentation methods using convolutional neural networks, such as the U-Net in 2D and 3D (2D plus time) implementations, with and without additional motion correction image processing step. We also present a modified U-Net architecture with a novel type of temporal pooling layer which results in improved performance. RESULTS: The best DICE scores were 0.86 and 0.90 for LV myocardium and LV cavity, while the best Hausdorff distances were 2.3 and 2.1 pixels for LV myocardium and LV cavity using 5-fold cross-validation. The methods were corroborated in a second independent test set of 20 patients with similar performance (best DICE scores 0.84 for LV myocardium). CONCLUSIONS: Our results showed that the LV myocardial segmentation of CMR perfusion images is best performed using a combination of motion correction and 3D convolutional networks which significantly outperformed all tested 2D approaches. Reliable frame-by-frame segmentation will facilitate new and improved quantification methods for CMR perfusion imaging. KEY POINTS: • Reliable segmentation of the myocardium offers the potential to perform pixel level perfusion assessment. • A deep learning approach in combination with motion correction, 3D (2D + time) methods, and a deep temporal connection module produced reliable segmentation results.</t>
  </si>
  <si>
    <t>Data augmentation using generative adversarial networks (CycleGAN) to improve generalizability in CT segmentation tasks</t>
  </si>
  <si>
    <t>Labeled medical imaging data is scarce and expensive to generate. To achieve generalizable deep learning models large amounts of data are needed. Standard data augmentation is a method to increase generalizability and is routinely performed. Generative adversarial networks offer a novel method for data augmentation. We evaluate the use of CycleGAN for data augmentation in CT segmentation tasks. Using a large image database we trained a CycleGAN to transform contrast CT images into non-contrast images. We then used the trained CycleGAN to augment our training using these synthetic non-contrast images. We compared the segmentation performance of a U-Net trained on the original dataset compared to a U-Net trained on the combined dataset of original data and synthetic non-contrast images. We further evaluated the U-Net segmentation performance on two separate datasets: The original contrast CT dataset on which segmentations were created and a second dataset from a different hospital containing only non-contrast CTs. We refer to these 2 separate datasets as the in-distribution and out-of-distribution datasets, respectively. We show that in several CT segmentation tasks performance is improved significantly, especially in out-of-distribution (noncontrast CT) data. For example, when training the model with standard augmentation techniques, performance of segmentation of the kidneys on out-of-distribution non-contrast images was dramatically lower than for in-distribution data (Dice score of 0.09 vs. 0.94 for out-of-distribution vs. in-distribution data, respectively, p &lt; 0.001). When the kidney model was trained with CycleGAN augmentation techniques, the out-of-distribution (non-contrast) performance increased dramatically (from a Dice score of 0.09 to 0.66, p &lt; 0.001). Improvements for the liver and spleen were smaller, from 0.86 to 0.89 and 0.65 to 0.69, respectively. We believe this method will be valuable to medical imaging researchers to reduce manual segmentation effort and cost in CT imaging.</t>
  </si>
  <si>
    <t>V. Sandfort, K. Yan, P. J. Pickhardt and R. M. Summers</t>
  </si>
  <si>
    <t>Performance of an artificial intelligence algorithm for reporting urine cytopathology</t>
  </si>
  <si>
    <t>BACKGROUND: Unlike Papanicolaou tests, there are no commercially available computer-assisted automated screening systems for urine specimens. Despite The Paris System for Reporting Urinary Cytology, there still is poor interobserver agreement with urine cytology and many cases in which a definitive diagnosis cannot be made. In the current study, the authors have reported on the development of an image algorithm that applies computational methods to digitized liquid-based urine cytology slides. METHODS: A total of 2405 archival ThinPrep glass slides, including voided and instrumented urine cytology cases, were digitized. A deep learning computational pipeline with multiple tiers of convolutional neural network models was developed for processing whole slide images (WSIs) and predicting diagnoses. The algorithm was validated using a separate test data set comprised of consecutive cases encountered in routine clinical practice. RESULTS: There were 1.9 million urothelial cells analyzed. An average of 5400 urothelial cells were identified in each WSI. The algorithm achieved an area under the curve of 0.88 (95% CI, 0.83-0.93). Using the optimal operating point, the algorithm's sensitivity was 79.5% (95% CI, 64.7%-90.2%) and the specificity was 84.5% (95% CI, 81.6%-87.1%) for high-grade urothelial carcinoma. CONCLUSIONS: The authors successfully developed a computational algorithm capable of accurately analyzing WSIs of urine cytology cases. Compared with prior studies, this effort used a much larger data set, exploited whole slide-level and not just cell-level features, and used a cell gallery to display the algorithm's output for easy end-user review. This algorithm provides computer-assisted interpretation of urine cytology cases, akin to the machine learning technology currently used for automated Papanicolaou test screening.</t>
  </si>
  <si>
    <t>Cancer Cytopathol</t>
  </si>
  <si>
    <t>Detecting abnormal thyroid cartilages on CT using deep learning</t>
  </si>
  <si>
    <t>PURPOSE: The purpose of this study was to evaluate the performance of a deep learning algorithm in detecting abnormalities of thyroid cartilage from computed tomography (CT) examination. MATERIALS AND METHODS: A database of 515 harmonized thyroid CT examinations was used, of which information regarding cartilage abnormality was provided for 326. The process consisted of determining image abnormality and, from these preprocessed images, finding the best learning algorithm to appropriately characterize thyroid cartilage as normal or abnormal. CT images were cropped to be centered around the cartilage in order to focus on the relevant area. New images were generated from the originals by applying simple transformations in order to augment the database. Characterizations of cartilage abnormalities were made using transfer learning, by using the architecture of a pre-trained neural network called VGG16 and adapting the final layers to a binary classification problem. RESULTS: The best algorithm yielded an area under the receiving operator characteristic curve (AUC) of 0.72 on a sample of 82 thyroid test images. The sensitivity and specificity of the abnormality detection were 83% and 64% at the best threshold, respectively. Applying the model on another independent sample of 189 new thyroid images resulted in an AUC of 0.70. CONCLUSION: This study demonstrates the feasibility of using a deep learning-based abnormality detection system to evaluate thyroid cartilage from CT examinations. However, although promising results, the model is not yet able to match an expert's diagnosis.</t>
  </si>
  <si>
    <t>M. Santin, C. Brama, H. Théro, E. Ketheeswaran, I. El-Karoui, F. Bidault, R. Gillet, P. Gondim Teixeira and A. Blum</t>
  </si>
  <si>
    <t>Assessment of CNN-Based Methods for Individual Tree Detection on Images Captured by RGB Cameras Attached to UAVs</t>
  </si>
  <si>
    <t>Detection and classification of tree species from remote sensing data were performed using mainly multispectral and hyperspectral images and Light Detection And Ranging (LiDAR) data. Despite the comparatively lower cost and higher spatial resolution, few studies focused on images captured by Red-Green-Blue (RGB) sensors. Besides, the recent years have witnessed an impressive progress of deep learning methods for object detection. Motivated by this scenario, we proposed and evaluated the usage of Convolutional Neural Network (CNN)-based methods combined with Unmanned Aerial Vehicle (UAV) high spatial resolution RGB imagery for the detection of law protected tree species. Three state-of-the-art object detection methods were evaluated: Faster Region-based Convolutional Neural Network (Faster R-CNN), YOLOv3 and RetinaNet. A dataset was built to assess the selected methods, comprising 392 RBG images captured from August 2018 to February 2019, over a forested urban area in midwest Brazil. The target object is an important tree species threatened by extinction known as Dipteryx alata Vogel (Fabaceae). The experimental analysis delivered average precision around 92% with an associated processing times below 30 miliseconds.</t>
  </si>
  <si>
    <t>10.1016/j.jcin.2019.04.048</t>
  </si>
  <si>
    <t>Impact of Artificial Intelligence on Interventional Cardiology: From Decision-Making Aid to Advanced Interventional Procedure Assistance</t>
  </si>
  <si>
    <t>Access to big data analyzed by supercomputers using advanced mathematical algorithms (i.e., deep machine learning) has allowed for enhancement of cognitive output (i.e., visual imaging interpretation) to previously unseen levels and promises to fundamentally change the practice of medicine. This field, known as artificial intelligence (AI), is making significant progress in areas such as automated clinical decision making, medical imaging analysis, and interventional procedures, and has the potential to dramatically influence the practice of interventional cardiology. The unique nature of interventional cardiology makes it an ideal target for the development of AI-based technologies designed to improve real-time clinical decision making, streamline workflow in the catheterization laboratory, and standardize catheter-based procedures through advanced robotics. This review provides an introduction to AI by highlighting its scope, potential applications, and limitations in interventional cardiology.</t>
  </si>
  <si>
    <t>JACC Cardiovasc Interv</t>
  </si>
  <si>
    <t>Machine Learning Techniques for Ophthalmic Data Processing: A Review</t>
  </si>
  <si>
    <t>Machine learning and especially deep learning techniques are dominating medical image and data analysis. This article reviews machine learning approaches proposed for diagnosing ophthalmic diseases during the last four years. Three diseases are addressed in this survey, namely diabetic retinopathy, age-related macular degeneration, and glaucoma. The review covers over 60 publications and 25 public datasets and challenges related to the detection, grading, and lesion segmentation of the three considered diseases. Each section provides a summary of the public datasets and challenges related to each pathology and the current methods that have been applied to the problem. Furthermore, the recent machine learning approaches used for retinal vessels segmentation, and methods of retinal layers and fluid segmentation are reviewed. Two main imaging modalities are considered in this survey, namely color fundus imaging, and optical coherence tomography. Machine learning approaches that use eye measurements and visual field data for glaucoma detection are also included in the survey. Finally, the authors provide their views, expectations and the limitations of the future of these techniques in the clinical practice.</t>
  </si>
  <si>
    <t>Unsupervised Feature Extraction via Deep Learning for Histopathological Classification of Colon Tissue Images</t>
  </si>
  <si>
    <t>Histopathological examination is today's gold standard for cancer diagnosis. However, this task is time consuming and prone to errors as it requires a detailed visual inspection and interpretation of a pathologist. Digital pathology aims at alleviating these problems by providing computerized methods that quantitatively analyze digitized histopathological tissue images. The performance of these methods mainly relies on the features that they use, and thus, their success strictly depends on the ability of these features by successfully quantifying the histopathology domain. With this motivation, this paper presents a new unsupervised feature extractor for effective representation and classification of histopathological tissue images. This feature extractor has three main contributions: First, it proposes to identify salient subregions in an image, based on domain-specific prior knowledge, and to quantify the image by employing only the characteristics of these subregions instead of considering the characteristics of all image locations. Second, it introduces a new deep learning-based technique that quantizes the salient subregions by extracting a set of features directly learned on image data and uses the distribution of these quantizations for image representation and classification. To this end, the proposed deep learning-based technique constructs a deep belief network of the restricted Boltzmann machines (RBMs), defines the activation values of the hidden unit nodes in the final RBM as the features, and learns the quantizations by clustering these features in an unsupervised way. Third, this extractor is the first example for successfully using the restricted Boltzmann machines in the domain of histopathological image analysis. Our experiments on microscopic colon tissue images reveal that the proposed feature extractor is effective to obtain more accurate classification results compared to its counterparts.</t>
  </si>
  <si>
    <t>Detection and Localization of Robotic Tools in Robot-Assisted Surgery Videos Using Deep Neural Networks for Region Proposal and Detection</t>
  </si>
  <si>
    <t>Video understanding of robot-assisted surgery (RAS) videos is an active research area. Modeling the gestures and skill level of surgeons presents an interesting problem. The insights drawn may be applied in effective skill acquisition, objective skill assessment, real-time feedback, and human-robot collaborative surgeries. We propose a solution to the tool detection and localization open problem in RAS video understanding, using a strictly computer vision approach and the recent advances of deep learning. We propose an architecture using multimodal convolutional neural networks for fast detection and localization of tools in RAS videos. To the best of our knowledge, this approach will be the first to incorporate deep neural networks for tool detection and localization in RAS videos. Our architecture applies a region proposal network (RPN) and a multimodal two stream convolutional network for object detection to jointly predict objectness and localization on a fusion of image and temporal motion cues. Our results with an average precision of 91% and a mean computation time of 0.1 s per test frame detection indicate that our study is superior to conventionally used methods for medical imaging while also emphasizing the benefits of using RPN for precision and efficiency. We also introduce a new data set, ATLAS Dione, for RAS video understanding. Our data set provides video data of ten surgeons from Roswell Park Cancer Institute, Buffalo, NY, USA, performing six different surgical tasks on the daVinci Surgical System (dVSS) with annotations of robotic tools per frame.</t>
  </si>
  <si>
    <t>D. Sarikaya, J. J. Corso and K. A. Guru</t>
  </si>
  <si>
    <t>Arthroscopic Determination of Cartilage Proteoglycan Content and Collagen Network Structure with Near-Infrared Spectroscopy</t>
  </si>
  <si>
    <t>Conventional arthroscopic evaluation of articular cartilage is subjective and insufficient for assessing early compositional and structural changes during the progression of post-traumatic osteoarthritis. Therefore, in this study, arthroscopic near-infrared (NIR) spectroscopy is introduced, for the first time, for in vivo evaluation of articular cartilage thickness, proteoglycan (PG) content, and collagen orientation angle. NIR spectra were acquired in vivo and in vitro from equine cartilage adjacent to experimental cartilage repair sites. As reference, digital densitometry and polarized light microscopy were used to evaluate superficial and full-thickness PG content and collagen orientation angle. To relate NIR spectra and cartilage properties, ensemble neural networks, each with two different architectures, were trained and evaluated by using Spearman's correlation analysis (ρ). The ensemble networks enabled accurate predictions for full-thickness reference properties (PG content: ρ(in vitro, Val)= 0.691, ρ(in vivo)= 0.676; collagen orientation angle: ρ(in vitro, Val)= 0.626, ρ(in vivo)= 0.574) from NIR spectral data. In addition, the networks enabled reliable prediction of PG content in superficial (25%) cartilage (ρ(in vitro, Val)= 0.650, ρ(in vivo)= 0.613) and cartilage thickness (ρ(in vitro, Val)= 0.797, ρ(in vivo)= 0.596). To conclude, NIR spectroscopy could enhance the detection of initial cartilage degeneration and thus enable demarcation of the boundary between healthy and compromised cartilage tissue during arthroscopic surgery.</t>
  </si>
  <si>
    <t>J. K. Sarin, O. Nykänen, V. Tiitu, I. A. D. Mancini, H. Brommer, J. Visser, J. Malda, P. R. van Weeren, I. O. Afara and J. Töyräs</t>
  </si>
  <si>
    <t>Quantifying normal and parkinsonian gait features from home movies: Practical application of a deep learning-based 2D pose estimator</t>
  </si>
  <si>
    <t>OBJECTIVE: Gait movies recorded in daily clinical practice are usually not filmed with specific devices, which prevents neurologists benefitting from leveraging gait analysis technologies. Here we propose a novel unsupervised approach to quantifying gait features and to extract cadence from normal and parkinsonian gait movies recorded with a home video camera by applying OpenPose, a deep learning-based 2D-pose estimator that can obtain joint coordinates from pictures or videos recorded with a monocular camera. METHODS: Our proposed method consisted of two distinct phases: obtaining sequential gait features from movies by extracting body joint coordinates with OpenPose; and estimating cadence of periodic gait steps from the sequential gait features using the short-time pitch detection approach. RESULTS: The cadence estimation of gait in its coronal plane (frontally viewed gait) as is frequently filmed in the daily clinical setting was successfully conducted in normal gait movies using the short-time autocorrelation function (ST-ACF). In cases of parkinsonian gait with prominent freezing of gait and involuntary oscillations, using ACF-based statistical distance metrics, we quantified the periodicity of each gait sequence; this metric clearly corresponded with the subjects' baseline disease statuses. CONCLUSION: The proposed method allows us to analyze gait movies that have been underutilized to date in a completely data-driven manner, and might broaden the range of movies for which gait analyses can be conducted.</t>
  </si>
  <si>
    <t>10.1007/s00330-019-06169-w</t>
  </si>
  <si>
    <t>Image-based biomarkers for solid tumor quantification</t>
  </si>
  <si>
    <t>The last few decades have witnessed tremendous technological developments in image-based biomarkers for tumor quantification and characterization. Initially limited to manual one- and two-dimensional size measurements, image biomarkers have evolved to harness developments not only in image acquisition technology but also in image processing and analysis algorithms. At the same time, clinical validation remains a major challenge for the vast majority of these novel techniques, and there is still a major gap between the latest technological developments and image biomarkers used in everyday clinical practice. Currently, the imaging biomarker field is attracting increasing attention not only because of the tremendous interest in cutting-edge therapeutic developments and personalized medicine but also because of the recent progress in the application of artificial intelligence (AI) algorithms to large-scale datasets. Thus, the goal of the present article is to review the current state of the art for image biomarkers and their use for characterization and predictive quantification of solid tumors. Beginning with an overview of validated imaging biomarkers in current clinical practice, we proceed to a review of AI-based methods for tumor characterization, such as radiomics-based approaches and deep learning.Key Points• Recent years have seen tremendous technological developments in image-based biomarkers for tumor quantification and characterization.• Image-based biomarkers can be used on an ongoing basis, in a non-invasive (or mildly invasive) way, to monitor the development and progression of the disease or its response to therapy.• We review the current state of the art for image biomarkers, as well as the recent developments in artificial intelligence (AI) algorithms for image processing and analysis.</t>
  </si>
  <si>
    <t>10.1007/s00330-018-5674-x</t>
  </si>
  <si>
    <t>Demystification of AI-driven medical image interpretation: past, present and future</t>
  </si>
  <si>
    <t>The recent explosion of 'big data' has ushered in a new era of artificial intelligence (AI) algorithms in every sphere of technological activity, including medicine, and in particular radiology. However, the recent success of AI in certain flagship applications has, to some extent, masked decades-long advances in computational technology development for medical image analysis. In this article, we provide an overview of the history of AI methods for radiological image analysis in order to provide a context for the latest developments. We review the functioning, strengths and limitations of more classical methods as well as of the more recent deep learning techniques. We discuss the unique characteristics of medical data and medical science that set medicine apart from other technological domains in order to highlight not only the potential of AI in radiology but also the very real and often overlooked constraints that may limit the applicability of certain AI methods. Finally, we provide a comprehensive perspective on the potential impact of AI on radiology and on how to evaluate it not only from a technical point of view but also from a clinical one, so that patients can ultimately benefit from it. KEY POINTS: • Artificial intelligence (AI) research in medical imaging has a long history • The functioning, strengths and limitations of more classical AI methods is reviewed, together with that of more recent deep learning methods. • A perspective is provided on the potential impact of AI on radiology and on its evaluation from both technical and clinical points of view.</t>
  </si>
  <si>
    <t>10.1016/j.nic.2020.06.002</t>
  </si>
  <si>
    <t>Knowledge Based Versus Data Based: A Historical Perspective on a Continuum of Methodologies for Medical Image Analysis</t>
  </si>
  <si>
    <t>The advent of big data and deep learning algorithms has promoted a major shift toward data-driven methods in medical image analysis recently. However, the medical image analysis field has a long and rich history inclusive of both knowledge-driven and data-driven methodologies. In the present article, we provide a historical review of an illustrative sample of medical image analysis methods and locate them along a knowledge-driven versus data-driven continuum. In doing so, we highlight the historical importance as well as current-day relevance of more traditional, knowledge-based artificial intelligence approaches and their complementarity with fully data-driven techniques such as deep learning.</t>
  </si>
  <si>
    <t>Classification of Carotid Artery Intima Media Thickness Ultrasound Images with Deep Learning</t>
  </si>
  <si>
    <t>Cerebrovascular accident due to carotid artery disease is the most common cause of death in developed countries following heart disease and cancer. For a reliable early detection of atherosclerosis, Intima Media Thickness (IMT) measurement and classification are important. A new method for decision support purpose for the classification of IMT was proposed in this study. Ultrasound images are used for IMT measurements. Images are classified and evaluated by experts. This is a manual procedure, so it causes subjectivity and variability in the IMT classification. Instead, this article proposes a methodology based on artificial intelligence methods for IMT classification. For this purpose, a deep learning strategy with multiple hidden layers has been developed. In order to create the proposed model, convolutional neural network algorithm, which is frequently used in image classification problems, is used. 501 ultrasound images from 153 patients were used to test the model. The images are classified by two specialists, then the model is trained and tested on the images, and the results are explained. The deep learning model in the study achieved an accuracy of 89.1% in the IMT classification with 89% sensitivity and 88% specificity. Thus, the assessments in this paper have shown that this methodology performs reasonable results for IMT classification.</t>
  </si>
  <si>
    <t>S. Savaş, N. Topaloğlu, Ö. Kazcı and P. N. Koşar</t>
  </si>
  <si>
    <t>A multi-context CNN ensemble for small lesion detection</t>
  </si>
  <si>
    <t>In this paper, we propose a novel method for the detection of small lesions in digital medical images. Our approach is based on a multi-context ensemble of convolutional neural networks (CNNs), aiming at learning different levels of image spatial context and improving detection performance. The main innovation behind the proposed method is the use of multiple-depth CNNs, individually trained on image patches of different dimensions and then combined together. In this way, the final ensemble is able to find and locate abnormalities on the images by exploiting both the local features and the surrounding context of a lesion. Experiments were focused on two well-known medical detection problems that have been recently faced with CNNs: microcalcification detection on full-field digital mammograms and microaneurysm detection on ocular fundus images. To this end, we used two publicly available datasets, INbreast and E-ophtha. Statistically significantly better detection performance were obtained by the proposed ensemble with respect to other approaches in the literature, demonstrating its effectiveness in the detection of small abnormalities.</t>
  </si>
  <si>
    <t>Usefulness of Denoising Process to Depict Myopic Choroidal Neovascularisation Using a Single Optical Coherence Tomography Angiography Image</t>
  </si>
  <si>
    <t>Quality of single optical coherence tomography angiography (OCTA) images of myopic choroidal neovascularisation (mCNV) is poorer than in averaged images, although obtaining averaged images takes much time. This study evaluated the clinical usefulness of novel denoising process for depicting mCNV. This study included 20 eyes of 20 patients with mCNV. Ten en face images taken in a 3 × 3 mm macular cube were obtained from outer-retina-to-choriocapillaris layer. Three image types were prepared for analysis; single images before and after the denoising process accomplished deep learning (single and denoising groups, respectively) and up to 10 images were averaged (averaging group). Pairwise comparisons showed vessel density, vessel length density, and fractal dimension (FD) were higher; whereas, vessel density index (VDI) was lower in single group than in denoising and averaging groups. Detectable CNV indices, contrast-to-nose ratio, and CNV diagnostic scores were higher in denoising and averaging groups than in single group. No significant differences were detected in VDI, FD, or CNV diagnostic scores between denoising and averaging groups. The denoising process can utilise single OCTA images to provide results comparable to averaged OCTA images, which is clinically useful for shortening examination times with quality similar to averaging.</t>
  </si>
  <si>
    <t>Comparison of segmentation-free and segmentation-dependent computer-aided diagnosis of breast masses on a public mammography dataset</t>
  </si>
  <si>
    <t>PURPOSE: To compare machine learning methods for classifying mass lesions on mammography images that use predefined image features computed over lesion segmentations to those that leverage segmentation-free representation learning on a standard, public evaluation dataset. METHODS: We apply several classification algorithms to the public Curated Breast Imaging Subset of the Digital Database for Screening Mammography (CBIS-DDSM), in which each image contains a mass lesion. Segmentation-free representation learning techniques for classifying lesions as benign or malignant include both a Bag-of-Visual-Words (BoVW) method and a Convolutional Neural Network (CNN). We compare classification performance of these techniques to that obtained using two different segmentation-dependent approaches from the literature that rely on specific combinations of end classifiers (e.g. linear discriminant analysis, neural networks) and predefined features computed over the lesion segmentation (e.g. spiculation measure, morphological characteristics, intensity metrics). RESULTS: We report area under the receiver operating characteristic curve (A(Z)) values for malignancy classification on CBIS-DDSM for each technique. We find average A(Z) values of 0.73 for a segmentation-free BoVW method, 0.86 for a segmentation-free CNN method, 0.75 for a segmentation-dependent linear discriminant analysis of Rubber-Band Straightening Transform features, and 0.58 for a hybrid rule-based neural network classification using a small number of hand-designed features. CONCLUSIONS: We find that malignancy classification performance on the CBIS-DDSM dataset using segmentation-free BoVW features is comparable to that of the best segmentation-dependent methods we study, but also observe that a common segmentation-free CNN model substantially and significantly outperforms each of these (p &lt; 0.05). These results reinforce recent findings suggesting that representation learning techniques such as BoVW and CNNs are advantageous for mammogram analysis because they do not require lesion segmentation, the quality and specific characteristics of which can vary substantially across datasets. We further observe that segmentation-dependent methods achieve performance levels on CBIS-DDSM inferior to those achieved on the original evaluation datasets reported in the literature. Each of these findings reinforces the need for standardization of datasets, segmentation techniques, and model implementations in performance assessments of automated classifiers for medical imaging.</t>
  </si>
  <si>
    <t>Using a Deep Learning Algorithm and Integrated Gradients Explanation to Assist Grading for Diabetic Retinopathy</t>
  </si>
  <si>
    <t>PURPOSE: To understand the impact of deep learning diabetic retinopathy (DR) algorithms on physician readers in computer-assisted settings. DESIGN: Evaluation of diagnostic technology. PARTICIPANTS: One thousand seven hundred ninety-six retinal fundus images from 1612 diabetic patients. METHODS: Ten ophthalmologists (5 general ophthalmologists, 4 retina specialists, 1 retina fellow) read images for DR severity based on the International Clinical Diabetic Retinopathy disease severity scale in each of 3 conditions: unassisted, grades only, or grades plus heatmap. Grades-only assistance comprised a histogram of DR predictions (grades) from a trained deep-learning model. For grades plus heatmap, we additionally showed explanatory heatmaps. MAIN OUTCOME MEASURES: For each experiment arm, we computed sensitivity and specificity of each reader and the algorithm for different levels of DR severity against an adjudicated reference standard. We also measured accuracy (exact 5-class level agreement and Cohen's quadratically weighted κ), reader-reported confidence (5-point Likert scale), and grading time. RESULTS: Readers graded more accurately with model assistance than without for the grades-only condition (P &lt; 0.001). Grades plus heatmaps improved accuracy for patients with DR (P &lt; 0.001), but reduced accuracy for patients without DR (P = 0.006). Both forms of assistance increased readers' sensitivity moderate-or-worse DR: unassisted: mean, 79.4% [95% confidence interval (CI), 72.3%-86.5%]; grades only: mean, 87.5% [95% CI, 85.1%-89.9%]; grades plus heatmap: mean, 88.7% [95% CI, 84.9%-92.5%] without a corresponding drop in specificity (unassisted: mean, 96.6% [95% CI, 95.9%-97.4%]; grades only: mean, 96.1% [95% CI, 95.5%-96.7%]; grades plus heatmap: mean, 95.5% [95% CI, 94.8%-96.1%]). Algorithmic assistance increased the accuracy of retina specialists above that of the unassisted reader or model alone; and increased grading confidence and grading time across all readers. For most cases, grades plus heatmap was only as effective as grades only. Over the course of the experiment, grading time decreased across all conditions, although most sharply for grades plus heatmap. CONCLUSIONS: Deep learning algorithms can improve the accuracy of, and confidence in, DR diagnosis in an assisted read setting. They also may increase grading time, although these effects may be ameliorated with experience.</t>
  </si>
  <si>
    <t>R. Sayres, A. Taly, E. Rahimy, K. Blumer, D. Coz, N. Hammel, J. Krause, A. Narayanaswamy, Z. Rastegar, D. Wu, S. Xu, S. Barb, A. Joseph, M. Shumski, J. Smith, A. B. Sood, G. S. Corrado, L. Peng and D. R. Webster</t>
  </si>
  <si>
    <t>Generic Isolated Cell Image Generator</t>
  </si>
  <si>
    <t>Building automated cancer screening systems based on image analysis is currently a hot topic in computer vision and medical imaging community. One of the biggest challenges of such systems, especially those using state-of-the-art deep learning techniques, is that they usually require a large amount of training data to be accurate. However, in the medical field, the confidentiality of the data and the need for medical expertise to label them significantly reduce the amount of training data available. A common practice to overcome this problem is to apply data set augmentation techniques to artificially increase the size of the training data set. Classical data set augmentation methods such as geometrical or color transformations are efficient but still produce a limited amount of new data. Hence, there has been interest in data set augmentation methods using generative models able to synthesize a wider variety of new data. VitaDX is actually developing an automated bladder cancer screening system based on the analysis of cell images contained in urinary cytology digital slides. Currently, the number of available labeled cell images is limited and therefore exploitation of the full potential of deep learning techniques is not possible. In an attempt to increase the number of labeled cell images, a new generic generator for 2D cell images has been developed and is described in this article. This framework combines previous works on cell image generation and a recent style transfer method referred to as doodle-style transfer in this article. To the best of our knowledge, we are the first to use a doodle-style transfer method for synthetic cell image generation. This framework is quite modular and could be applied to other cell image generation problems. A statistical evaluation has shown that features of real and synthetic cell images followed roughly the same distribution. Finally, the realism of the synthetic cell images has been assessed through a visual evaluation performed with the help of medical experts. © 2019 The Authors. Cytometry Part A published by Wiley Periodicals, Inc. on behalf of International Society for Advancement of Cytometry.</t>
  </si>
  <si>
    <t>M. Scalbert, F. Couzinie-Devy and R. Fezzani</t>
  </si>
  <si>
    <t>Multiple-Image Deep Learning Analysis for Neuropathy Detection in Corneal Nerve Images</t>
  </si>
  <si>
    <t>PURPOSE: Automated classification of corneal confocal images from healthy subjects and diabetic subjects with neuropathy. METHODS: Over the years, in vivo confocal microscopy has established itself as a rapid and noninvasive method for clinical assessment of the cornea. In particular, images of the subbasal nerve plexus are useful to detect pathological conditions. Currently, clinical information is derived through a manual or semiautomated process that traces corneal nerves and achieves their descriptors (eg, density and tortuosity). This is tedious and subjective. To overcome this limitation, a method based on a convolutional neural network (CNN) for the classification of images from healthy subjects and diabetic subjects with neuropathy is proposed. The CNN simultaneously analyzes 3 nonoverlapping images, from the central region of the cornea. The algorithm automatically extracts features, without the need for neither nerve tracing nor parameter extraction nor montage/mosaicking, and provides an overall classification for each image trio. RESULTS: On a dataset composed by images from 50 healthy subjects and 50 subjects with neuropathy, the algorithm achieves a classification accuracy of 96%. The proposed method improves the results obtained using a traditional method that traces nerves and evaluates their density and tortuosity. CONCLUSIONS: The proposed method provides a completely automated analysis of corneal confocal images. Results demonstrate the potentiality of the CNN in identifying clinically useful features for corneal nerves by analysis of multiple images.</t>
  </si>
  <si>
    <t>Cornea</t>
  </si>
  <si>
    <t>Evaluation of Combined Artificial Intelligence and Radiologist Assessment to Interpret Screening Mammograms</t>
  </si>
  <si>
    <t>IMPORTANCE: Mammography screening currently relies on subjective human interpretation. Artificial intelligence (AI) advances could be used to increase mammography screening accuracy by reducing missed cancers and false positives. OBJECTIVE: To evaluate whether AI can overcome human mammography interpretation limitations with a rigorous, unbiased evaluation of machine learning algorithms. DESIGN, SETTING, AND PARTICIPANTS: In this diagnostic accuracy study conducted between September 2016 and November 2017, an international, crowdsourced challenge was hosted to foster AI algorithm development focused on interpreting screening mammography. More than 1100 participants comprising 126 teams from 44 countries participated. Analysis began November 18, 2016. MAIN OUTCOMES AND MEASUREMENTS: Algorithms used images alone (challenge 1) or combined images, previous examinations (if available), and clinical and demographic risk factor data (challenge 2) and output a score that translated to cancer yes/no within 12 months. Algorithm accuracy for breast cancer detection was evaluated using area under the curve and algorithm specificity compared with radiologists' specificity with radiologists' sensitivity set at 85.9% (United States) and 83.9% (Sweden). An ensemble method aggregating top-performing AI algorithms and radiologists' recall assessment was developed and evaluated. RESULTS: Overall, 144 231 screening mammograms from 85 580 US women (952 cancer positive ≤12 months from screening) were used for algorithm training and validation. A second independent validation cohort included 166 578 examinations from 68 008 Swedish women (780 cancer positive). The top-performing algorithm achieved an area under the curve of 0.858 (United States) and 0.903 (Sweden) and 66.2% (United States) and 81.2% (Sweden) specificity at the radiologists' sensitivity, lower than community-practice radiologists' specificity of 90.5% (United States) and 98.5% (Sweden). Combining top-performing algorithms and US radiologist assessments resulted in a higher area under the curve of 0.942 and achieved a significantly improved specificity (92.0%) at the same sensitivity. CONCLUSIONS AND RELEVANCE: While no single AI algorithm outperformed radiologists, an ensemble of AI algorithms combined with radiologist assessment in a single-reader screening environment improved overall accuracy. This study underscores the potential of using machine learning methods for enhancing mammography screening interpretation.</t>
  </si>
  <si>
    <t>Deep learning predicts function of live retinal pigment epithelium from quantitative microscopy</t>
  </si>
  <si>
    <t>Increases in the number of cell therapies in the preclinical and clinical phases have prompted the need for reliable and noninvasive assays to validate transplant function in clinical biomanufacturing. We developed a robust characterization methodology composed of quantitative bright-field absorbance microscopy (QBAM) and deep neural networks (DNNs) to noninvasively predict tissue function and cellular donor identity. The methodology was validated using clinical-grade induced pluripotent stem cell-derived retinal pigment epithelial cells (iPSC-RPE). QBAM images of iPSC-RPE were used to train DNNs that predicted iPSC-RPE monolayer transepithelial resistance, predicted polarized vascular endothelial growth factor (VEGF) secretion, and matched iPSC-RPE monolayers to the stem cell donors. DNN predictions were supplemented with traditional machine-learning algorithms that identified shape and texture features of single cells that were used to predict tissue function and iPSC donor identity. These results demonstrate noninvasive cell therapy characterization can be achieved with QBAM and machine learning.</t>
  </si>
  <si>
    <t>J Clin Invest</t>
  </si>
  <si>
    <t>Classification of Cancer at Prostate MRI: Deep Learning versus Clinical PI-RADS Assessment</t>
  </si>
  <si>
    <t>Background Men suspected of having clinically significant prostate cancer (sPC) increasingly undergo prostate MRI. The potential of deep learning to provide diagnostic support for human interpretation requires further evaluation. Purpose To compare the performance of clinical assessment to a deep learning system optimized for segmentation trained with T2-weighted and diffusion MRI in the task of detection and segmentation of lesions suspicious for sPC. Materials and Methods In this retrospective study, T2-weighted and diffusion prostate MRI sequences from consecutive men examined with a single 3.0-T MRI system between 2015 and 2016 were manually segmented. Ground truth was provided by combined targeted and extended systematic MRI-transrectal US fusion biopsy, with sPC defined as International Society of Urological Pathology Gleason grade group greater than or equal to 2. By using split-sample validation, U-Net was internally validated on the training set (80% of the data) through cross validation and subsequently externally validated on the test set (20% of the data). U-Net-derived sPC probability maps were calibrated by matching sextant-based cross-validation performance to clinical performance of Prostate Imaging Reporting and Data System (PI-RADS). Performance of PI-RADS and U-Net were compared by using sensitivities, specificities, predictive values, and Dice coefficient. Results A total of 312 men (median age, 64 years; interquartile range [IQR], 58-71 years) were evaluated. The training set consisted of 250 men (median age, 64 years; IQR, 58-71 years) and the test set of 62 men (median age, 64 years; IQR, 60-69 years). In the test set, PI-RADS cutoffs greater than or equal to 3 versus cutoffs greater than or equal to 4 on a per-patient basis had sensitivity of 96% (25 of 26) versus 88% (23 of 26) at specificity of 22% (eight of 36) versus 50% (18 of 36). U-Net at probability thresholds of greater than or equal to 0.22 versus greater than or equal to 0.33 had sensitivity of 96% (25 of 26) versus 92% (24 of 26) (both P &gt; .99) with specificity of 31% (11 of 36) versus 47% (17 of 36) (both P &gt; .99), not statistically different from PI-RADS. Dice coefficients were 0.89 for prostate and 0.35 for MRI lesion segmentation. In the test set, coincidence of PI-RADS greater than or equal to 4 with U-Net lesions improved the positive predictive value from 48% (28 of 58) to 67% (24 of 36) for U-Net probability thresholds greater than or equal to 0.33 (P = .01), while the negative predictive value remained unchanged (83% [25 of 30] vs 83% [43 of 52]; P &gt; .99). Conclusion U-Net trained with T2-weighted and diffusion MRI achieves similar performance to clinical Prostate Imaging Reporting and Data System assessment. © RSNA, 2019 Online supplemental material is available for this article. See also the editorial by Padhani and Turkbey in this issue.</t>
  </si>
  <si>
    <t>Cell segmentation and tracking using CNN-based distance predictions and a graph-based matching strategy</t>
  </si>
  <si>
    <t>The accurate segmentation and tracking of cells in microscopy image sequences is an important task in biomedical research, e.g., for studying the development of tissues, organs or entire organisms. However, the segmentation of touching cells in images with a low signal-to-noise-ratio is still a challenging problem. In this paper, we present a method for the segmentation of touching cells in microscopy images. By using a novel representation of cell borders, inspired by distance maps, our method is capable to utilize not only touching cells but also close cells in the training process. Furthermore, this representation is notably robust to annotation errors and shows promising results for the segmentation of microscopy images containing in the training data underrepresented or not included cell types. For the prediction of the proposed neighbor distances, an adapted U-Net convolutional neural network (CNN) with two decoder paths is used. In addition, we adapt a graph-based cell tracking algorithm to evaluate our proposed method on the task of cell tracking. The adapted tracking algorithm includes a movement estimation in the cost function to re-link tracks with missing segmentation masks over a short sequence of frames. Our combined tracking by detection method has proven its potential in the IEEE ISBI 2020 Cell Tracking Challenge (http://celltrackingchallenge.net/) where we achieved as team KIT-Sch-GE multiple top three rankings including two top performances using a single segmentation model for the diverse data sets.</t>
  </si>
  <si>
    <t>Distortion correction of diffusion weighted MRI without reverse phase-encoding scans or field-maps</t>
  </si>
  <si>
    <t>Diffusion magnetic resonance images may suffer from geometric distortions due to susceptibility induced off resonance fields, which cause geometric mismatch with anatomical images and ultimately affect subsequent quantification of microstructural or connectivity indices. State-of-the art diffusion distortion correction methods typically require data acquired with reverse phase encoding directions, resulting in varying magnitudes and orientations of distortion, which allow estimation of an undistorted volume. Alternatively, additional field maps acquisitions can be used along with sequence information to determine warping fields. However, not all imaging protocols include these additional scans and cannot take advantage of state-of-the art distortion correction. To avoid additional acquisitions, structural MRI (undistorted scans) can be used as registration targets for intensity driven correction. In this study, we aim to (1) enable susceptibility distortion correction with historical and/or limited diffusion datasets that do not include specific sequences for distortion correction and (2) avoid the computationally intensive registration procedure typically required for distortion correction using structural scans. To achieve these aims, we use deep learning (3D U-nets) to synthesize an undistorted b0 image that matches geometry of structural T1w images and intensity contrasts from diffusion images. Importantly, the training dataset is heterogenous, consisting of varying acquisitions of both structural and diffusion. We apply our approach to a withheld test set and show that distortions are successfully corrected after processing. We quantitatively evaluate the proposed distortion correction and intensity-based registration against state-of-the-art distortion correction (FSL topup). The results illustrate that the proposed pipeline results in b0 images that are geometrically similar to non-distorted structural images, and more closely match state-of-the-art correction with additional acquisitions. In addition, we show generalizability of the proposed approach to datasets that were not in the original training / validation / testing datasets. These datasets included varying populations, contrasts, resolutions, and magnitudes and orientations of distortion and show efficacious distortion correction. The method is available as a Singularity container, source code, and an executable trained model to facilitate evaluation.</t>
  </si>
  <si>
    <t>Synthesized b0 for diffusion distortion correction (Synb0-DisCo)</t>
  </si>
  <si>
    <t>Diffusion magnetic resonance images typically suffer from spatial distortions due to susceptibility induced off-resonance fields, which may affect the geometric fidelity of the reconstructed volume and cause mismatches with anatomical images. State-of-the art susceptibility correction (for example, FSL's TOPUP algorithm) typically requires data acquired twice with reverse phase encoding directions, referred to as blip-up blip-down acquisitions, in order to estimate an undistorted volume. Unfortunately, not all imaging protocols include a blip-up blip-down acquisition, and cannot take advantage of the state-of-the art susceptibility and motion correction capabilities. In this study, we aim to enable TOPUP-like processing with historical and/or limited diffusion imaging data that include only a structural image and single blip diffusion image. We utilize deep learning to synthesize an undistorted non-diffusion weighted image from the structural image, and use the non-distorted synthetic image as an anatomical target for distortion correction. We evaluate the efficacy of this approach (named Synb0-DisCo) and show that our distortion correction process results in better matching of the geometry of undistorted anatomical images, reduces variation in diffusion modeling, and is practically equivalent to having both blip-up and blip-down non-diffusion weighted images.</t>
  </si>
  <si>
    <t>White matter hyperintensity quantification in large-scale clinical acute ischemic stroke cohorts - The MRI-GENIE study</t>
  </si>
  <si>
    <t>White matter hyperintensity (WMH) burden is a critically important cerebrovascular phenotype linked to prediction of diagnosis and prognosis of diseases, such as acute ischemic stroke (AIS). However, current approaches to its quantification on clinical MRI often rely on time intensive manual delineation of the disease on T2 fluid attenuated inverse recovery (FLAIR), which hinders high-throughput analyses such as genetic discovery. In this work, we present a fully automated pipeline for quantification of WMH in clinical large-scale studies of AIS. The pipeline incorporates automated brain extraction, intensity normalization and WMH segmentation using spatial priors. We first propose a brain extraction algorithm based on a fully convolutional deep learning architecture, specifically designed for clinical FLAIR images. We demonstrate that our method for brain extraction outperforms two commonly used and publicly available methods on clinical quality images in a set of 144 subject scans across 12 acquisition centers, based on dice coefficient (median 0.95; inter-quartile range 0.94-0.95; p &lt; 0.01) and Pearson correlation of total brain volume (r = 0.90). Subsequently, we apply it to the large-scale clinical multi-site MRI-GENIE study (N = 2783) and identify a decrease in total brain volume of -2.4 cc/year. Additionally, we show that the resulting total brain volumes can successfully be used for quality control of image preprocessing. Finally, we obtain WMH volumes by building on an existing automatic WMH segmentation algorithm that delineates and distinguishes between different cerebrovascular pathologies. The learning method mimics expert knowledge of the spatial distribution of the WMH burden using a convolutional auto-encoder. This enables successful computation of WMH volumes of 2533 clinical AIS patients. We utilize these results to demonstrate the increase of WMH burden with age (0.950 cc/year) and show that single site estimates can be biased by the number of subjects recruited.</t>
  </si>
  <si>
    <t>Deep learning with convolutional neural networks for EEG decoding and visualization</t>
  </si>
  <si>
    <t>Deep learning with convolutional neural networks (deep ConvNets) has revolutionized computer vision through end-to-end learning, that is, learning from the raw data. There is increasing interest in using deep ConvNets for end-to-end EEG analysis, but a better understanding of how to design and train ConvNets for end-to-end EEG decoding and how to visualize the informative EEG features the ConvNets learn is still needed. Here, we studied deep ConvNets with a range of different architectures, designed for decoding imagined or executed tasks from raw EEG. Our results show that recent advances from the machine learning field, including batch normalization and exponential linear units, together with a cropped training strategy, boosted the deep ConvNets decoding performance, reaching at least as good performance as the widely used filter bank common spatial patterns (FBCSP) algorithm (mean decoding accuracies 82.1% FBCSP, 84.0% deep ConvNets). While FBCSP is designed to use spectral power modulations, the features used by ConvNets are not fixed a priori. Our novel methods for visualizing the learned features demonstrated that ConvNets indeed learned to use spectral power modulations in the alpha, beta, and high gamma frequencies, and proved useful for spatially mapping the learned features by revealing the topography of the causal contributions of features in different frequency bands to the decoding decision. Our study thus shows how to design and train ConvNets to decode task-related information from the raw EEG without handcrafted features and highlights the potential of deep ConvNets combined with advanced visualization techniques for EEG-based brain mapping. Hum Brain Mapp 38:5391-5420, 2017. © 2017 Wiley Periodicals, Inc.</t>
  </si>
  <si>
    <t>R. T. Schirrmeister, J. T. Springenberg, L. D. J. Fiederer, M. Glasstetter, K. Eggensperger, M. Tangermann, F. Hutter, W. Burgard and T. Ball</t>
  </si>
  <si>
    <t>Fully Automated Detection and Quantification of Macular Fluid in OCT Using Deep Learning</t>
  </si>
  <si>
    <t>PURPOSE: Development and validation of a fully automated method to detect and quantify macular fluid in conventional OCT images. DESIGN: Development of a diagnostic modality. PARTICIPANTS: The clinical dataset for fluid detection consisted of 1200 OCT volumes of patients with neovascular age-related macular degeneration (AMD, n = 400), diabetic macular edema (DME, n = 400), or retinal vein occlusion (RVO, n = 400) acquired with Zeiss Cirrus (Carl Zeiss Meditec, Dublin, CA) (n = 600) or Heidelberg Spectralis (Heidelberg Engineering, Heidelberg, Germany) (n = 600) OCT devices. METHODS: A method based on deep learning to automatically detect and quantify intraretinal cystoid fluid (IRC) and subretinal fluid (SRF) was developed. The performance of the algorithm in accurately identifying fluid localization and extent was evaluated against a manual consensus reading of 2 masked reading center graders. MAIN OUTCOME MEASURES: Performance of a fully automated method to accurately detect, differentiate, and quantify intraretinal and SRF using area under the receiver operating characteristics curves, precision, and recall. RESULTS: The newly designed, fully automated diagnostic method based on deep learning achieved optimal accuracy for the detection and quantification of IRC for all 3 macular pathologies with a mean accuracy (AUC) of 0.94 (range, 0.91-0.97), a mean precision of 0.91, and a mean recall of 0.84. The detection and measurement of SRF were also highly accurate with an AUC of 0.92 (range, 0.86-0.98), a mean precision of 0.61, and a mean recall of 0.81, with superior performance in neovascular AMD and RVO compared with DME, which was represented rarely in the population studied. High linear correlation was confirmed between automated and manual fluid localization and quantification, yielding an average Pearson's correlation coefficient of 0.90 for IRC and of 0.96 for SRF. CONCLUSIONS: Deep learning in retinal image analysis achieves excellent accuracy for the differential detection of retinal fluid types across the most prevalent exudative macular diseases and OCT devices. Furthermore, quantification of fluid achieves a high level of concordance with manual expert assessment. Fully automated analysis of retinal OCT images from clinical routine provides a promising horizon in improving accuracy and reliability of retinal diagnosis for research and clinical practice in ophthalmology.</t>
  </si>
  <si>
    <t>T. Schlegl, S. M. Waldstein, H. Bogunovic, F. Endstraßer, A. Sadeghipour, A. M. Philip, D. Podkowinski, B. S. Gerendas, G. Langs and U. Schmidt-Erfurth</t>
  </si>
  <si>
    <t>A Deep Cascade of Convolutional Neural Networks for Dynamic MR Image Reconstruction</t>
  </si>
  <si>
    <t>Inspired by recent advances in deep learning, we propose a framework for reconstructing dynamic sequences of 2-D cardiac magnetic resonance (MR) images from undersampled data using a deep cascade of convolutional neural networks (CNNs) to accelerate the data acquisition process. In particular, we address the case where data are acquired using aggressive Cartesian undersampling. First, we show that when each 2-D image frame is reconstructed independently, the proposed method outperforms state-of-the-art 2-D compressed sensing approaches, such as dictionary learning-based MR image reconstruction, in terms of reconstruction error and reconstruction speed. Second, when reconstructing the frames of the sequences jointly, we demonstrate that CNNs can learn spatio-temporal correlations efficiently by combining convolution and data sharing approaches. We show that the proposed method consistently outperforms state-of-the-art methods and is capable of preserving anatomical structure more faithfully up to 11-fold undersampling. Moreover, reconstruction is very fast: each complete dynamic sequence can be reconstructed in less than 10 s and, for the 2-D case, each image frame can be reconstructed in 23 ms, enabling real-time applications.</t>
  </si>
  <si>
    <t>J. Schlemper, J. Caballero, J. V. Hajnal, A. N. Price and D. Rueckert</t>
  </si>
  <si>
    <t>Automatic MRI-based Three-dimensional Models of Hip Cartilage Provide Improved Morphologic and Biochemical Analysis</t>
  </si>
  <si>
    <t>BACKGROUND: The time-consuming and user-dependent postprocessing of biochemical cartilage MRI has limited the use of delayed gadolinium-enhanced MRI of cartilage (dGEMRIC). An automated analysis of biochemical three-dimensional (3-D) images could deliver a more time-efficient and objective evaluation of cartilage composition, and provide comprehensive information about cartilage thickness, surface area, and volume compared with manual two-dimensional (2-D) analysis. QUESTIONS/PURPOSES: (1) How does the 3-D analysis of cartilage thickness and dGEMRIC index using both a manual and a new automated method compare with the manual 2-D analysis (gold standard)? (2) How does the manual 3-D analysis of regional patterns of dGEMRIC index, cartilage thickness, surface area and volume compare with a new automatic method? (3) What is the interobserver reliability and intraobserver reproducibility of software-assisted manual 3-D and automated 3-D analysis of dGEMRIC indices, thickness, surface, and volume for two readers on two time points? METHODS: In this IRB-approved, retrospective, diagnostic study, we identified the first 25 symptomatic hips (23 patients) who underwent a contrast-enhanced MRI at 3T including a 3-D dGEMRIC sequence for intraarticular pathology assessment due to structural hip deformities. Of the 23 patients, 10 (43%) were male, 16 (64%) hips had a cam deformity and 16 (64%) hips had either a pincer deformity or acetabular dysplasia. The development of an automated deep-learning-based approach for 3-D segmentation of hip cartilage models was based on two steps: First, one reader (FS) provided a manual 3-D segmentation of hip cartilage, which served as training data for the neural network and was used as input data for the manual 3-D analysis. Next, we developed the deep convolutional neural network to obtain an automated 3-D cartilage segmentation that we used as input data for the automated 3-D analysis. For actual analysis of the manually and automatically generated 3-D cartilage models, a dedicated software was developed. Manual 2-D analysis of dGEMRIC indices and cartilage thickness was performed at each full-hour position on radial images and served as the gold standard for comparison with the corresponding measurements of the manual and the automated 3-D analysis. We measured dGEMRIC index, cartilage thickness, surface area, and volume for each of the four joint quadrants and compared the manual and the automated 3-D analyses using mean differences. Agreement between the techniques was assessed using intraclass correlation coefficients (ICC). The overlap between 3-D cartilage volumes was assessed using dice coefficients and means of all distances between surface points of the models were calculated as average surface distance. The interobserver reliability and intraobserver reproducibility of the software-assisted manual 3-D and the automated 3-D analysis of dGEMRIC indices, thickness, surface and volume was assessed for two readers on two different time points using ICCs. RESULTS: Comparable mean overall difference and almost-perfect agreement in dGEMRIC indices was found between the manual 3-D analysis (8 ± 44 ms, p = 0.005; ICC = 0.980), the automated 3-D analysis (7 ± 43 ms, p = 0.015; ICC = 0.982), and the manual 2-D analysis.Agreement for measuring overall cartilage thickness was almost perfect for both 3-D methods (ICC = 0.855 and 0.881) versus the manual 2-D analysis. A mean difference of -0.2 ± 0.5 mm (p &lt; 0.001) was observed for overall cartilage thickness between the automated 3-D analysis and the manual 2-D analysis; no such difference was observed between the manual 3-D and the manual 2-D analysis.Regional patterns were comparable for both 3-D methods. The highest dGEMRIC indices were found posterosuperiorly (manual: 602 ± 158 ms; p = 0.013, automated: 602 ± 158 ms; p = 0.012). The thickest cartilage was found anteroinferiorly (manual: 5.3 ± 0.8 mm, p &lt; 0.001; automated: 4.3 ± 0.6 mm; p &lt; 0.001). The smallest surface area was found anteroinferiorly (manual: 134 ± 60 mm; p &lt; 0.001, automated: 155 ± 60 mm; p &lt; 0.001). The largest volume was found anterosuperiorly (manual: 2343 ± 492 mm; p &lt; 0.001, automated: 2294 ± 467 mm; p &lt; 0.001). Mean average surface distance was 0.26 ± 0.13 mm and mean Dice coefficient was 86% ± 3%. Intraobserver reproducibility and interobserver reliability was near perfect for overall analysis of dGEMRIC indices, thickness, surface area, and volume (ICC range, 0.962-1). CONCLUSIONS: The presented deep learning approach for a fully automatic segmentation of hip cartilage enables an accurate, reliable and reproducible analysis of dGEMRIC indices, thickness, surface area, and volume. This time-efficient and objective analysis of biochemical cartilage composition and morphology yields the potential to improve patient selection in femoroacetabular impingement (FAI) surgery and to aid surgeons with planning of acetabuloplasty and periacetabular osteotomies in pincer FAI and hip dysplasia. In addition, this validation paves way to the large-scale use of this method for prospective trials which longitudinally monitor the effect of reconstructive hip surgery and the natural course of osteoarthritis. LEVEL OF EVIDENCE: Level III, diagnostic study.</t>
  </si>
  <si>
    <t>Clin Orthop Relat Res</t>
  </si>
  <si>
    <t>Diagnosis of focal liver lesions from ultrasound using deep learning</t>
  </si>
  <si>
    <t>PURPOSE: The purpose of this study was to create an algorithm that simultaneously detects and characterizes (benign vs. malignant) focal liver lesion (FLL) using deep learning. MATERIALS AND METHODS: We trained our algorithm on a dataset proposed during a data challenge organized at the 2018 Journées Francophones de Radiologie. The dataset was composed of 367 two-dimensional ultrasound images from 367 individual livers, captured at various institutions. The algorithm was guided using an attention mechanism with annotations made by a radiologist. The algorithm was then tested on a new data set from 177 patients. RESULTS: The models reached mean ROC-AUC scores of 0.935 for FLL detection and 0.916 for FLL characterization over three shuffled three-fold cross-validations performed with the training data. On the new dataset of 177 patients, our models reached a weighted mean ROC-AUC scores of 0.891 for seven different tasks. CONCLUSION: This study that uses a supervised-attention mechanism focused on FLL detection and characterization from liver ultrasound images. This method could prove to be highly relevant for medical imaging once validated on a larger independent cohort.</t>
  </si>
  <si>
    <t>B. Schmauch, P. Herent, P. Jehanno, O. Dehaene, C. Saillard, C. Aubé, A. Luciani, N. Lassau and S. Jégou</t>
  </si>
  <si>
    <t>Role of Deep Learning-Quantified Hyperreflective Foci for the Prediction of Geographic Atrophy Progression</t>
  </si>
  <si>
    <t>PURPOSE: To quantitatively measure hyperreflective foci (HRF) during the progression of geographic atrophy (GA) secondary to age-related macular degeneration (AMD) using deep learning (DL) and investigate the association with local and global growth of GA. METHODS: Eyes with GA were prospectively included. Spectral-domain optical coherence tomography (SDOCT) and fundus autofluorescence images were acquired every 6 months. A 500-μm-wide junctional zone adjacent to the GA border was delineated and HRF were quantified using a validated DL algorithm. HRF concentrations in progressing and nonprogressing areas, as well as correlations between HRF quantifications and global and local GA progression, were assessed. RESULTS: A total of 491 SDOCT volumes from 87 eyes of 54 patients were assessed with a median follow-up of 28 months. Two-thirds of HRF were localized within a millimeter adjacent to the GA border. HRF concentration was positively correlated with GA progression in unifocal and multifocal GA (all P &lt; .001) and de novo GA development (P = .037). Local progression speed correlated positively with local increase of HRF (P value range &lt;.001-.004). Global progression speed, however, did not correlate with HRF concentrations (P &gt; .05). Changes in HRF over time did not have an impact on the growth in GA (P &gt; .05). CONCLUSION: Advanced artificial intelligence (AI) methods in high-resolution retinal imaging allows to identify, localize, and quantify biomarkers such as HRF. Increased HRF concentrations in the junctional zone and future macular atrophy may represent progressive migration and loss of retinal pigment epithelium. AI-based biomarker monitoring may pave the way into the era of individualized risk assessment and objective decision-making processes. NOTE: Publication of this article is sponsored by the American Ophthalmological Society.</t>
  </si>
  <si>
    <t>Application of Automated Quantification of Fluid Volumes to Anti-VEGF Therapy of Neovascular Age-Related Macular Degeneration</t>
  </si>
  <si>
    <t>PURPOSE: Anti-vascular endothelial growth factor (VEGF) treatment of neovascular age-related macular degeneration (AMD) is a highly effective advance in the retinal armentarium. OCT offering 3-dimensional imaging of the retina is widely used to guide treatment. Although poor outcomes reported from clinical practice are multifactorial, availability of reliable, reproducible, and quantitative evaluation tools to accurately measure the fluid response, that is, a VEGF meter, may be a better means of monitoring and treating than the current purely qualitative evaluation used in clinical practice. DESIGN: Post hoc analysis of a phase III, randomized, multicenter study. PARTICIPANTS: Study eyes of 1095 treatment-naive subjects receiving pro re nata (PRN) or monthly ranibizumab therapy according to protocol-specified criteria in the HARBOR study. METHODS: A deep learning method for localization and quantification of fluid in all retinal compartments was applied for automated segmentation of fluid with every voxel classified by a convolutional neural network (CNN). Three-dimensional volumes (nanoliters) for intraretinal fluid (IRF), subretinal fluid (SRF), and pigment epithelial detachment (PED) were determined in 24 362 volume scans obtained from 1095 patients treated over 24 months in a phase III clinical trial with randomization to 2 drug dosages (0.5 mg and 2.0 mg ranibizumab) and 2 regimens (monthly and PRN). A multivariable mixed-effects regression model was used to test for differences in fluid between the arms and for fluid/function correlation. MAIN OUTCOME MEASURES: Fluid volume in nanoliters, structure-function as Pearson's correlation coefficient, and as a coefficient of determination (R(2)). RESULTS: Fluid volumes were quantified in all visits of all patients. Automated segmentation demonstrated characteristic response patterns for each fluid compartment individually: Intraretinal fluid showed the greatest and most rapid resolution, followed by SRF and PED the least. The loading dose treatment achieved resolution of all fluid types close to the lowest levels attainable. Dosage and regimen parameters correlated directly with resulting fluid volumes. Fluid/function correlation showed a volume-dependent negative impact of IRF on vision and weak positive prognostic effect of SRF. CONCLUSIONS: Automated quantification of the fluid response may improve therapeutic management of neovascular AMD, avoid discrepancies between clinicians/investigators, and establish structure/function correlations.</t>
  </si>
  <si>
    <t>Simulation-based deep artifact correction with Convolutional Neural Networks for limited angle artifacts</t>
  </si>
  <si>
    <t>Non-conventional scan trajectories for interventional three-dimensional imaging promise low-dose interventions and a better radiation protection to the personnel. Circular tomosynthesis (cTS) scan trajectories yield an anisotropical image quality distribution. In contrast to conventional Computed Tomographies (CT), the reconstructions have a preferred focus plane. In the other two perpendicular planes, limited angle artifacts are introduced. A reduction of these artifacts leads to enhanced image quality while maintaining the low dose. We apply Deep Artifact Correction (DAC) to this task. cTS simulations of a digital phantom are used to generate training data. Three U-Net-based networks and a 3D-ResNet are trained to estimate the correction map between the cTS and the phantom. We show that limited angle artifacts can be mitigated using simulation-based DAC. The U-Net-corrected cTS achieved a Root Mean Squared Error (RMSE) of 124.24 Hounsfield Units (HU) on 60 simulated test scans in comparison to the digital phantoms. This equals an error reduction of 59.35% from the cTS. The achieved image quality is similar to a simulated cone beam CT (CBCT). Our network was also able to mitigate artifacts in scans of objects which strongly differ from the training data. Application to real cTS test scans showed an error reduction of 45.18% and 26.4% with the 3D-ResNet in reference to a high-dose CBCT.</t>
  </si>
  <si>
    <t>A. K. Schnurr, K. Chung, T. Russ, L. R. Schad and F. G. Zöllner</t>
  </si>
  <si>
    <t>Deep learning-enabled multi-organ segmentation in whole-body mouse scans</t>
  </si>
  <si>
    <t>Whole-body imaging of mice is a key source of information for research. Organ segmentation is a prerequisite for quantitative analysis but is a tedious and error-prone task if done manually. Here, we present a deep learning solution called AIMOS that automatically segments major organs (brain, lungs, heart, liver, kidneys, spleen, bladder, stomach, intestine) and the skeleton in less than a second, orders of magnitude faster than prior algorithms. AIMOS matches or exceeds the segmentation quality of state-of-the-art approaches and of human experts. We exemplify direct applicability for biomedical research for localizing cancer metastases. Furthermore, we show that expert annotations are subject to human error and bias. As a consequence, we show that at least two independently created annotations are needed to assess model performance. Importantly, AIMOS addresses the issue of human bias by identifying the regions where humans are most likely to disagree, and thereby localizes and quantifies this uncertainty for improved downstream analysis. In summary, AIMOS is a powerful open-source tool to increase scalability, reduce bias, and foster reproducibility in many areas of biomedical research.</t>
  </si>
  <si>
    <t>Different scaling of linear models and deep learning in UKBiobank brain images versus machine-learning datasets</t>
  </si>
  <si>
    <t>Recently, deep learning has unlocked unprecedented success in various domains, especially using images, text, and speech. However, deep learning is only beneficial if the data have nonlinear relationships and if they are exploitable at available sample sizes. We systematically profiled the performance of deep, kernel, and linear models as a function of sample size on UKBiobank brain images against established machine learning references. On MNIST and Zalando Fashion, prediction accuracy consistently improves when escalating from linear models to shallow-nonlinear models, and further improves with deep-nonlinear models. In contrast, using structural or functional brain scans, simple linear models perform on par with more complex, highly parameterized models in age/sex prediction across increasing sample sizes. In sum, linear models keep improving as the sample size approaches ~10,000 subjects. Yet, nonlinearities for predicting common phenotypes from typical brain scans remain largely inaccessible to the examined kernel and deep learning methods.</t>
  </si>
  <si>
    <t>Deep learning for caries lesion detection in near-infrared light transillumination images: A pilot study</t>
  </si>
  <si>
    <t>OBJECTIVES: In this pilot study, we applied deep convolutional neural networks (CNNs) to detect caries lesions in Near-Infrared-Light Transillumination (NILT) images. METHODS: 226 extracted posterior permanent human teeth (113 premolars, 113 molars) were allocated to groups of 2 + 2 teeth, and mounted in a pilot-tested diagnostic model in a dummy head. NILT images of single-tooth-segments were generated using DIAGNOcam (KaVo, Biberach). For each segment (on average 435 × 407 × 3 pixels), occlusal and/or proximal caries lesions were annotated by two experienced dentists using an in-house developed digital annotation tool. The pixel-based annotations were translated into binary class levels. We trained two state-of-the-art CNNs (Resnet18, Resnext50) and validated them via 10-fold cross validation. During the training process, we applied data augmentation (random resizing, rotations and flipping) and one-cycle-learning rate policy, setting the minimum and maximum learning rates to 10(-5) and 10(-3), respectively. Metrics for model performance were the area-under-the-receiver-operating-characteristics-curve (AUC), sensitivity, specificity, and positive/negative predictive values (PPV/NPV). Feature visualization was additionally applied to assess if the CNNs built on features dentists would also use. RESULTS: The tooth-level prevalence of caries lesions was 41%. The two models performed similar on predicting caries on tooth segments of NILT images. The marginal better model with respect to AUC was Resnext50, where we retrained the last 9 network layers, using the Adam optimizer, a learning rate of 0.5 × 10(-4), and a batch size of 10. The mean (95% CI) AUC was 0.74 (0.66-0.82). Sensitivity and specificity were 0.59 (0.47-0.70) and 0.76 (0.68-0.84) respectively. The resulting PPV was 0.63 (0.51-0.74), the NPV 0.73 (0.65-0.80). Visual inspection of model predictions found the model to be sensitive to areas affected by caries lesions. CONCLUSIONS: A moderately deep CNN trained on a limited amount of NILT image data showed satisfying discriminatory ability to detect caries lesions. CLINICAL SIGNIFICANCE: CNNs may be useful to assist NILT-based caries detection. This could be especially relevant in non-conventional dental settings, like schools, care homes or rural outpost centers.</t>
  </si>
  <si>
    <t>J Dent</t>
  </si>
  <si>
    <t>EVICAN-a balanced dataset for algorithm development in cell and nucleus segmentation</t>
  </si>
  <si>
    <t>MOTIVATION: Deep learning use for quantitative image analysis is exponentially increasing. However, training accurate, widely deployable deep learning algorithms requires a plethora of annotated (ground truth) data. Image collections must contain not only thousands of images to provide sufficient example objects (i.e. cells), but also contain an adequate degree of image heterogeneity. RESULTS: We present a new dataset, EVICAN-Expert visual cell annotation, comprising partially annotated grayscale images of 30 different cell lines from multiple microscopes, contrast mechanisms and magnifications that is readily usable as training data for computer vision applications. With 4600 images and ∼26 000 segmented cells, our collection offers an unparalleled heterogeneous training dataset for cell biology deep learning application development. AVAILABILITY AND IMPLEMENTATION: The dataset is freely available (https://edmond.mpdl.mpg.de/imeji/collection/l45s16atmi6Aa4sI?q=). Using a Mask R-CNN implementation, we demonstrate automated segmentation of cells and nuclei from brightfield images with a mean average precision of 61.6 % at a Jaccard Index above 0.5.</t>
  </si>
  <si>
    <t>Automated detection of lung cancer at ultralow dose PET/CT by deep neural networks - Initial results</t>
  </si>
  <si>
    <t>OBJECTIVES: We evaluated whether machine learning may be helpful for the detection of lung cancer in FDG-PET imaging in the setting of ultralow dose PET scans. MATERIALS AND METHODS: We studied the performance of an artificial neural network discriminating lung cancer patients (n = 50) from controls (n = 50) without pulmonary malignancies. A total of 3936 PET slices including images in which the lung tumor is visually present and image slices of patients with no lung cancer were exported. The diagnostic performance of the artificial neural network based on clinical standard dose PET images (PET(100%)) as well as with a tenfold (PET(10%)) and thirtyfold (PET(3.3%)) reduced radiation dose (∼0.11 mSv) was assessed. RESULTS: The area under the curve of the deep learning algorithm for lung cancer detection was 0.989, 0.983 and 0.970 for standard dose images (PET(100%)), and reduced dose PET(10%), and PET(3.3%) reconstruction, respectively. The artificial neural network achieved a sensitivity of 95.9% and 91.5% and a specificity of 98.1% and 94.2%, at standard dose and ultralow dose PET(3.3%), respectively. CONCLUSION: Our results suggest that machine learning algorithms may aid fully automated lung cancer detection even at very low effective radiation doses of 0.11 mSv. Further improvement of this technology might improve the specificity of lung cancer screening efforts and could lead to new applications of FDG-PET.</t>
  </si>
  <si>
    <t>M. Schwyzer, D. A. Ferraro, U. J. Muehlematter, A. Curioni-Fontecedro, M. W. Huellner, G. K. von Schulthess, P. A. Kaufmann, I. A. Burger and M. Messerli</t>
  </si>
  <si>
    <t>Artificial intelligence for detecting small FDG-positive lung nodules in digital PET/CT: impact of image reconstructions on diagnostic performance</t>
  </si>
  <si>
    <t>OBJECTIVES: To evaluate the diagnostic performance of a deep learning algorithm for automated detection of small (18)F-FDG-avid pulmonary nodules in PET scans, and to assess whether novel block sequential regularized expectation maximization (BSREM) reconstruction affects detection accuracy as compared to ordered subset expectation maximization (OSEM) reconstruction. METHODS: Fifty-seven patients with 92 (18)F-FDG-avid pulmonary nodules (all ≤ 2 cm) undergoing PET/CT for oncological (re-)staging were retrospectively included and a total of 8824 PET images of the lungs were extracted using OSEM and BSREM reconstruction. Per-slice and per-nodule sensitivity of a deep learning algorithm was assessed, with an expert readout by a radiologist/nuclear medicine physician serving as standard of reference. Receiver-operator characteristic (ROC) curve of OSEM and BSREM were assessed and the areas under the ROC curve (AUC) were compared. A maximum standardized uptake value (SUV(max))-based sensitivity analysis and a size-based sensitivity analysis with subgroups defined by nodule size was performed. RESULTS: The AUC of the deep learning algorithm for nodule detection using OSEM reconstruction was 0.796 (CI 95%; 0.772-0.869), and 0.848 (CI 95%; 0.828-0.869) using BSREM reconstruction. The AUC was significantly higher for BSREM compared to OSEM (p = 0.001). On a per-slice analysis, sensitivity and specificity were 66.7% and 79.0% for OSEM, and 69.2% and 84.5% for BSREM. On a per-nodule analysis, the overall sensitivity of OSEM was 81.5% compared to 87.0% for BSREM. CONCLUSIONS: Our results suggest that machine learning algorithms may aid detection of small (18)F-FDG-avid pulmonary nodules in clinical PET/CT. AI performed significantly better on images with BSREM than OSEM. KEY POINTS: • The diagnostic value of deep learning for detecting small lung nodules (≤ 2 cm) in PET images using BSREM and OSEM reconstruction was assessed. • BSREM yields higher SUV(max)of small pulmonary nodules as compared to OSEM reconstruction. • The use of BSREM translates into a higher detectability of small pulmonary nodules in PET images as assessed with artificial intelligence.</t>
  </si>
  <si>
    <t>M. Schwyzer, K. Martini, D. C. Benz, I. A. Burger, D. A. Ferraro, K. Kudura, V. Treyer, G. K. von Schulthess, P. A. Kaufmann, M. W. Huellner and M. Messerli</t>
  </si>
  <si>
    <t>Stand-alone artificial intelligence - The future of breast cancer screening?</t>
  </si>
  <si>
    <t>Although computers have had a role in interpretation of mammograms for at least two decades, their impact on performance has not lived up to expectations. However, in the last five years, the field of medical image analysis has undergone a revolution due to the introduction of deep learning convolutional neural networks - a form of artificial intelligence (AI). Because of their considerably higher performance compared to conventional computer aided detection methods, these AI algorithms have resulted in renewed interest in their potential for interpreting breast images in stand-alone mode. For this, first the actual capability of the algorithms, compared to breast radiologists, needs to be well understood. Although early studies have pointed to the comparable performance between AI systems and breast radiologists in interpreting mammograms, these comparisons have been performed in laboratory conditions with limited, enriched datasets. AI algorithms with performance comparable to breast radiologists could be used in a number of different ways, the most impactful being pre-selection, or triaging, of normal screening mammograms that would not need human interpretation. Initial studies evaluating this proposed use have shown very promising results, with the resulting accuracy of the complete screening process not being affected, but with a significant reduction in workload. There is a need to perform additional studies, especially prospective ones, with large screening data sets, to both gauge the actual stand-alone performance of these new algorithms, and the impact of the different implementation possibilities on screening programs.</t>
  </si>
  <si>
    <t>Improving detection of prostate cancer foci via information fusion of MRI and temporal enhanced ultrasound</t>
  </si>
  <si>
    <t>PURPOSE: The detection of clinically significant prostate cancer (PCa) is shown to greatly benefit from MRI-ultrasound fusion biopsy, which involves overlaying pre-biopsy MRI volumes (or targets) with real-time ultrasound images. In previous literature, machine learning models trained on either MRI or ultrasound data have been proposed to improve biopsy guidance and PCa detection. However, quantitative fusion of information from MRI and ultrasound has not been explored in depth in a large study. This paper investigates information fusion approaches between MRI and ultrasound to improve targeting of PCa foci in biopsies. METHODS: We build models of fully convolutional networks (FCN) using data from a newly proposed ultrasound modality, temporal enhanced ultrasound (TeUS), and apparent diffusion coefficient (ADC) from 107 patients with 145 biopsy cores. The architecture of our models is based on U-Net and U-Net with attention gates. Models are built using joint training through intermediate and late fusion of the data. We also build models with data from each modality, separately, to use as baseline. The performance is evaluated based on the area under the curve (AUC) for predicting clinically significant PCa. RESULTS: Using our proposed deep learning framework and intermediate fusion, integration of TeUS and ADC outperforms the individual modalities for cancer detection. We achieve an AUC of 0.76 for detection of all PCa foci, and 0.89 for PCa with larger foci. Results indicate a shared representation between multiple modalities outperforms the average unimodal predictions. CONCLUSION: We demonstrate the significant potential of multimodality integration of information from MRI and TeUS to improve PCa detection, which is essential for accurate targeting of cancer foci during biopsy. By using FCNs as the architecture of choice, we are able to predict the presence of clinically significant PCa in entire imaging planes immediately, without the need for region-based analysis. This reduces the overall computational time and enables future intra-operative deployment of this technology.</t>
  </si>
  <si>
    <t>Deep neural maps for unsupervised visualization of high-grade cancer in prostate biopsies</t>
  </si>
  <si>
    <t>Prostate cancer (PCa) is the most frequent noncutaneous cancer in men. Early detection of PCa is essential for clinical decision making, and reducing metastasis and mortality rates. The current approach for PCa diagnosis is histopathologic analysis of core biopsies taken under transrectal ultrasound guidance (TRUS-guided). Both TRUS-guided systematic biopsy and MR-TRUS-guided fusion biopsy have limitations in accurately identifying PCa, intraoperatively. There is a need to augment this process by visualizing highly probable areas of PCa. Temporal enhanced ultrasound (TeUS) has emerged as a promising modality for PCa detection. Prior work focused on supervised classification of PCa verified by gold standard pathology. Pathology labels are noisy, and data from an entire core have a single label even when significantly heterogeneous. Additionally, supervised methods are limited by data from cores with known pathology, and a significant portion of prostate data is discarded without being used. We provide an end-to-end unsupervised solution to map PCa distribution from TeUS data using an innovative representation learning method, deep neural maps. TeUS data are transformed to a topologically arranged hyper-lattice, where similar samples are closer together in the lattice. Therefore, similar regions of malignant and benign tissue in the prostate are clustered together. Our proposed method increases the number of training samples by several orders of magnitude. Data from biopsy cores with known labels are used to associate the clusters with PCa. Cancer probability maps generated using the unsupervised clustering of TeUS data help intuitively visualize the distribution of abnormal tissue for augmenting TRUS-guided biopsies.</t>
  </si>
  <si>
    <t>A. Sedghi, M. Pesteie, G. Javadi, S. Azizi, P. Yan, J. T. Kwak, S. Xu, B. Turkbey, P. Choyke, P. Pinto, B. Wood, R. Rohling, P. Abolmaesumi and P. Mousavi</t>
  </si>
  <si>
    <t>Deploying Machine and Deep Learning Models for Efficient Data-Augmented Detection of COVID-19 Infections</t>
  </si>
  <si>
    <t>This generation faces existential threats because of the global assault of the novel Corona virus 2019 (i.e., COVID-19). With more than thirteen million infected and nearly 600000 fatalities in 188 countries/regions, COVID-19 is the worst calamity since the World War II. These misfortunes are traced to various reasons, including late detection of latent or asymptomatic carriers, migration, and inadequate isolation of infected people. This makes detection, containment, and mitigation global priorities to contain exposure via quarantine, lockdowns, work/stay at home, and social distancing that are focused on flattening the curve. While medical and healthcare givers are at the frontline in the battle against COVID-19, it is a crusade for all of humanity. Meanwhile, machine and deep learning models have been revolutionary across numerous domains and applications whose potency have been exploited to birth numerous state-of-the-art technologies utilised in disease detection, diagnoses, and treatment. Despite these potentials, machine and, particularly, deep learning models are data sensitive, because their effectiveness depends on availability and reliability of data. The unavailability of such data hinders efforts of engineers and computer scientists to fully contribute to the ongoing assault against COVID-19. Faced with a calamity on one side and absence of reliable data on the other, this study presents two data-augmentation models to enhance learnability of the Convolutional Neural Network (CNN) and the Convolutional Long Short-Term Memory (ConvLSTM)-based deep learning models (DADLMs) and, by doing so, boost the accuracy of COVID-19 detection. Experimental results reveal improvement in terms of accuracy of detection, logarithmic loss, and testing time relative to DLMs devoid of such data augmentation. Furthermore, average increases of 4% to 11% in COVID-19 detection accuracy are reported in favour of the proposed data-augmented deep learning models relative to the machine learning techniques. Therefore, the proposed algorithm is effective in performing a rapid and consistent Corona virus diagnosis that is primarily aimed at assisting clinicians in making accurate identification of the virus.</t>
  </si>
  <si>
    <t>Viruses</t>
  </si>
  <si>
    <t>Exploiting Epistemic Uncertainty of Anatomy Segmentation for Anomaly Detection in Retinal OCT</t>
  </si>
  <si>
    <t>Diagnosis and treatment guidance are aided by detecting relevant biomarkers in medical images. Although supervised deep learning can perform accurate segmentation of pathological areas, it is limited by requiring a priori definitions of these regions, large-scale annotations, and a representative patient cohort in the training set. In contrast, anomaly detection is not limited to specific definitions of pathologies and allows for training on healthy samples without annotation. Anomalous regions can then serve as candidates for biomarker discovery. Knowledge about normal anatomical structure brings implicit information for detecting anomalies. We propose to take advantage of this property using Bayesian deep learning, based on the assumption that epistemic uncertainties will correlate with anatomical deviations from a normal training set. A Bayesian U-Net is trained on a well-defined healthy environment using weak labels of healthy anatomy produced by existing methods. At test time, we capture epistemic uncertainty estimates of our model using Monte Carlo dropout. A novel post-processing technique is then applied to exploit these estimates and transfer their layered appearance to smooth blob-shaped segmentations of the anomalies. We experimentally validated this approach in retinal optical coherence tomography (OCT) images, using weak labels of retinal layers. Our method achieved a Dice index of 0.789 in an independent anomaly test set of age-related macular degeneration (AMD) cases. The resulting segmentations allowed very high accuracy for separating healthy and diseased cases with late wet AMD, dry geographic atrophy (GA), diabetic macular edema (DME) and retinal vein occlusion (RVO). Finally, we qualitatively observed that our approach can also detect other deviations in normal scans such as cut edge artifacts.</t>
  </si>
  <si>
    <t>P. Seebock, J. I. Orlando, T. Schlegl, S. M. Waldstein, H. Bogunovic, S. Klimscha, G. Langs and U. Schmidt-Erfurth</t>
  </si>
  <si>
    <t>10.14797/mdcj-16-4-263</t>
  </si>
  <si>
    <t>Artificial Intelligence and Machine Learning in Cardiovascular Imaging</t>
  </si>
  <si>
    <t>Cardiovascular disease is the leading cause of mortality in Western countries and leads to a spectrum of complications that can complicate patient management. The emergence of artificial intelligence (AI) has garnered significant interest in many industries, and the field of cardiovascular imaging is no exception. Machine learning (ML) especially is showing significant promise in various diagnostic imaging modalities. As conventional statistics are reaching their apex in computational capabilities, ML can explore new possibilities and unravel hidden relationships. This will have a positive impact on diagnosis and prognosis for cardiovascular imaging. In this in-depth review, we highlight the role of AI and ML for various cardiovascular imaging modalities.</t>
  </si>
  <si>
    <t>Methodist Debakey Cardiovasc J</t>
  </si>
  <si>
    <t>Detection of COVID-19 from Chest X-Ray Images Using Convolutional Neural Networks</t>
  </si>
  <si>
    <t>The detection of severe acute respiratory syndrome coronavirus 2 (SARS CoV-2), which is responsible for coronavirus disease 2019 (COVID-19), using chest X-ray images has life-saving importance for both patients and doctors. In addition, in countries that are unable to purchase laboratory kits for testing, this becomes even more vital. In this study, we aimed to present the use of deep learning for the high-accuracy detection of COVID-19 using chest X-ray images. Publicly available X-ray images (1583 healthy, 4292 pneumonia, and 225 confirmed COVID-19) were used in the experiments, which involved the training of deep learning and machine learning classifiers. Thirty-eight experiments were performed using convolutional neural networks, 10 experiments were performed using five machine learning models, and 14 experiments were performed using the state-of-the-art pre-trained networks for transfer learning. Images and statistical data were considered separately in the experiments to evaluate the performances of models, and eightfold cross-validation was used. A mean sensitivity of 93.84%, mean specificity of 99.18%, mean accuracy of 98.50%, and mean receiver operating characteristics-area under the curve scores of 96.51% are achieved. A convolutional neural network without pre-processing and with minimized layers is capable of detecting COVID-19 in a limited number of, and in imbalanced, chest X-ray images.</t>
  </si>
  <si>
    <t>Artificial intelligence and the radiologist: the future in the Armed Forces Medical Services</t>
  </si>
  <si>
    <t>Artificial intelligence (AI) involves computational networks (neural networks) that simulate human intelligence. The incorporation of AI in radiology will help in dealing with the tedious, repetitive, time-consuming job of detecting relevant findings in diagnostic imaging and segmenting the detected images into smaller data. It would also help in identifying details that are oblivious to the human eye. AI will have an immense impact in populations with deficiency of radiologists and in screening programmes. By correlating imaging data from millions of patients and their clinico-demographic-therapy-morbidity-mortality profiles, AI could lead to identification of new imaging biomarkers. This would change therapy and direct new research. However, issues of standardisation, transparency, ethics, regulations, training, accreditation and safety are the challenges ahead. The Armed Forces Medical Services has widely dispersed units, medical echelons and roles ranging from small field units to large static tertiary care centres. They can incorporate AI-enabled radiological services to subserve small remotely located hospitals and detachments without posted radiologists and ease the load of radiologists in larger hospitals. Early widespread incorporation of information technology and enabled services in our hospitals, adequate funding, regular upgradation of software and hardware, dedicated trained manpower to manage the information technology services and train staff, and cyber security are issues that need to be addressed.</t>
  </si>
  <si>
    <t>BMJ Mil Health</t>
  </si>
  <si>
    <t>Deep learning techniques for detecting preneoplastic and neoplastic lesions in human colorectal histological images</t>
  </si>
  <si>
    <t>Trained pathologists base colorectal cancer identification on the visual interpretation of microscope images. However, image labeling is not always straightforward and this repetitive task is prone to mistakes due to human distraction. Significant efforts are underway to develop informative tools to assist pathologists and decrease the burden and frequency of errors. The present study proposes a deep learning approach to recognize four different stages of cancerous tissue development, including normal mucosa, early preneoplastic lesion, adenoma and cancer. A dataset of human colon tissue images collected and labeled over a 10-year period by a team of pathologists was partitioned into three sets. These were used to train, validate and test the neural network, comprising several convolutional and a few linear layers. The approach used in the present study is 'direct'; it labels raw images and bypasses the segmentation step. An overall accuracy of &gt;95% was achieved, with the majority of mislabeling referring to a near category. Tests on an external dataset with a different resolution yielded accuracies &gt;80%. The present study demonstrated that the neural network, when properly trained, can provide fast, accurate and reproducible labeling for colon cancer images, with the potential to significantly improve the quality and speed of medical diagnoses.</t>
  </si>
  <si>
    <t>P. Sena, R. Fioresi, F. Faglioni, L. Losi, G. Faglioni and L. Roncucci</t>
  </si>
  <si>
    <t>Oncol Lett</t>
  </si>
  <si>
    <t>Natural Language Processing for Automated Quantification of Brain Metastases Reported in Free-Text Radiology Reports</t>
  </si>
  <si>
    <t>PURPOSE: Although the bulk of patient-generated health data are increasing exponentially, their use is impeded because most data come in unstructured format, namely as free-text clinical reports. A variety of natural language processing (NLP) methods have emerged to automate the processing of free text ranging from statistical to deep learning-based models; however, the optimal approach for medical text analysis remains to be determined. The aim of this study was to provide a head-to-head comparison of novel NLP techniques and inform future studies about their utility for automated medical text analysis. PATIENTS AND METHODS: Magnetic resonance imaging reports of patients with brain metastases treated in two tertiary centers were retrieved and manually annotated using a binary classification (single metastasis v two or more metastases). Multiple bag-of-words and sequence-based NLP models were developed and compared after randomly splitting the annotated reports into training and test sets in an 80:20 ratio. RESULTS: A total of 1,479 radiology reports of patients diagnosed with brain metastases were retrieved. The least absolute shrinkage and selection operator (LASSO) regression model demonstrated the best overall performance on the hold-out test set with an area under the receiver operating characteristic curve of 0.92 (95% CI, 0.89 to 0.94), accuracy of 83% (95% CI, 80% to 87%), calibration intercept of -0.06 (95% CI, -0.14 to 0.01), and calibration slope of 1.06 (95% CI, 0.95 to 1.17). CONCLUSION: Among various NLP techniques, the bag-of-words approach combined with a LASSO regression model demonstrated the best overall performance in extracting binary outcomes from free-text clinical reports. This study provides a framework for the development of machine learning-based NLP models as well as a clinical vignette of patients diagnosed with brain metastases.</t>
  </si>
  <si>
    <t>10.1016/j.artmed.2019.101758</t>
  </si>
  <si>
    <t>Ophthalmic diagnosis using deep learning with fundus images - A critical review</t>
  </si>
  <si>
    <t>An overview of the applications of deep learning for ophthalmic diagnosis using retinal fundus images is presented. We describe various retinal image datasets that can be used for deep learning purposes. Applications of deep learning for segmentation of optic disk, optic cup, blood vessels as well as detection of lesions are reviewed. Recent deep learning models for classification of diseases such as age-related macular degeneration, glaucoma, and diabetic retinopathy are also discussed. Important critical insights and future research directions are given.</t>
  </si>
  <si>
    <t>In recent years, significant progress has been made in developing more accurate and efficient machine learning algorithms for segmentation of medical and natural images. In this review article, we highlight the imperative role of machine learning algorithms in enabling efficient and accurate segmentation in the field of medical imaging. We specifically focus on several key studies pertaining to the application of machine learning methods to biomedical image segmentation. We review classical machine learning algorithms such as Markov random fields, k-means clustering, random forest, etc. Although such classical learning models are often less accurate compared to the deep-learning techniques, they are often more sample efficient and have a less complex structure. We also review different deep-learning architectures, such as the artificial neural networks (ANNs), the convolutional neural networks (CNNs), and the recurrent neural networks (RNNs), and present the segmentation results attained by those learning models that were published in the past 3 yr. We highlight the successes and limitations of each machine learning paradigm. In addition, we discuss several challenges related to the training of different machine learning models, and we present some heuristics to address those challenges.</t>
  </si>
  <si>
    <t>Differentiation of the Follicular Neoplasm on the Gray-Scale US by Image Selection Subsampling along with the Marginal Outline Using Convolutional Neural Network</t>
  </si>
  <si>
    <t>We conducted differentiations between thyroid follicular adenoma and carcinoma for 8-bit bitmap ultrasonography (US) images utilizing a deep-learning approach. For the data sets, we gathered small-boxed selected images adjacent to the marginal outline of nodules and applied a convolutional neural network (CNN) to have differentiation, based on a statistical aggregation, that is, a decision by majority. From the implementation of the method, introducing a newly devised, scalable, parameterized normalization treatment, we observed meaningful aspects in various experiments, collecting evidence regarding the existence of features retained on the margin of thyroid nodules, such as 89.51% of the overall differentiation accuracy for the test data, with 93.19% of accuracy for benign adenoma and 71.05% for carcinoma, from 230 benign adenoma and 77 carcinoma US images, where we used only 39 benign adenomas and 39 carcinomas to train the CNN model, and, with these extremely small training data sets and their model, we tested 191 benign adenomas and 38 carcinomas. We present numerical results including area under receiver operating characteristic (AUROC).</t>
  </si>
  <si>
    <t>J. K. Seo, Y. J. Kim, K. G. Kim, I. Shin, J. H. Shin and J. Y. Kwak</t>
  </si>
  <si>
    <t>A new approach for brain tumor diagnosis system: Single image super resolution based maximum fuzzy entropy segmentation and convolutional neural network</t>
  </si>
  <si>
    <t>Magnetic resonance imaging (MRI) images can be used to diagnose brain tumors. Thanks to these images, some methods have so far been proposed in order to distinguish between benign and malignant brain tumors. Many systems attempting to define these tumors are based on tissue analysis methods. However, various factors such as the quality of an MRI device, noisy images and low image resolution may decrease the quality of MRI images. To eliminate these problems, super resolution approaches are preferred as a complementary source for brain tumor images. The proposed method benefits from single image super resolution (SISR) and maximum fuzzy entropy segmentation (MFES) for brain tumor segmentation on an MRI image. Later, pre-trained ResNet architecture, which is a convolutional neural network (CNN) architecture, and support vector machine (SVM) are used to perform feature extraction and classification, respectively. It was observed in experimental studies that SISR displayed a higher performance in terms of brain tumor segmentation. Similarly, it displayed a higher performance in terms of classifying brain tumor regions as well as benign and malignant brain tumors. As a result, the present study indicated that SISR yielded an accuracy rate of 95% in the diagnosis of segmented brain tumors, which exceeds brain tumor segmentation using MFES without SISR by 7.5%.</t>
  </si>
  <si>
    <t>Gabor wavelet-based deep learning for skin lesion classification</t>
  </si>
  <si>
    <t>Skin cancer cases are increasing and becoming one of the main problems worldwide. Skin cancer is known as a malignant type of skin lesion, and early detection and treatment are necessary. Malignant melanoma and seborrheic keratosis are known as common skin lesion types. A fast and accurate medical diagnosis of these lesions is crucial. In this study, a novel Gabor wavelet-based deep convolutional neural network is proposed for the detection of malignant melanoma and seborrheic keratosis. The proposed method is based on the decomposition of input images into seven directional sub-bands. Seven sub-band images and the input image are used as inputs to eight parallel CNNs to generate eight probabilistic predictions. Decision fusion based on the sum rule is utilized to classify the skin lesion. Gabor based approach provides directional decomposition where each sub-band gives isolated decisions that can be fused for improved overall performance. The results show that the proposed method outperforms alternative methods in the literature developed for skin cancer detection.</t>
  </si>
  <si>
    <t>Validation, comparison, and combination of algorithms for automatic detection of pulmonary nodules in computed tomography images: The LUNA16 challenge</t>
  </si>
  <si>
    <t>Automatic detection of pulmonary nodules in thoracic computed tomography (CT) scans has been an active area of research for the last two decades. However, there have only been few studies that provide a comparative performance evaluation of different systems on a common database. We have therefore set up the LUNA16 challenge, an objective evaluation framework for automatic nodule detection algorithms using the largest publicly available reference database of chest CT scans, the LIDC-IDRI data set. In LUNA16, participants develop their algorithm and upload their predictions on 888 CT scans in one of the two tracks: 1) the complete nodule detection track where a complete CAD system should be developed, or 2) the false positive reduction track where a provided set of nodule candidates should be classified. This paper describes the setup of LUNA16 and presents the results of the challenge so far. Moreover, the impact of combining individual systems on the detection performance was also investigated. It was observed that the leading solutions employed convolutional networks and used the provided set of nodule candidates. The combination of these solutions achieved an excellent sensitivity of over 95% at fewer than 1.0 false positives per scan. This highlights the potential of combining algorithms to improve the detection performance. Our observer study with four expert readers has shown that the best system detects nodules that were missed by expert readers who originally annotated the LIDC-IDRI data. We released this set of additional nodules for further development of CAD systems.</t>
  </si>
  <si>
    <t>A. A. A. Setio, A. Traverso, T. de Bel, M. S. N. Berens, C. V. D. Bogaard, P. Cerello, H. Chen, Q. Dou, M. E. Fantacci, B. Geurts, R. V. Gugten, P. A. Heng, B. Jansen, M. M. J. de Kaste, V. Kotov, J. Y. Lin, J. Manders, A. Sóñora-Mengana, J. C. García-Naranjo, E. Papavasileiou, M. Prokop, M. Saletta, C. M. Schaefer-Prokop, E. T. Scholten, L. Scholten, M. M. Snoeren, E. L. Torres, J. Vandemeulebroucke, N. Walasek, G. C. A. Zuidhof, B. V. Ginneken and C. Jacobs</t>
  </si>
  <si>
    <t>Artificial Intelligence for the Computer-aided Detection of Periapical Lesions in Cone-beam Computed Tomographic Images</t>
  </si>
  <si>
    <t>INTRODUCTION: The aim of this study was to use a Deep Learning (DL) algorithm for the automated segmentation of cone-beam computed tomographic (CBCT) images and the detection of periapical lesions. METHODS: Limited field of view CBCT volumes (n = 20) containing 61 roots with and without lesions were segmented clinician dependent versus using the DL approach based on a U-Net architecture. Segmentation labeled each voxel as 1 of 5 categories: lesion (periapical lesion), tooth structure, bone, restorative materials, and background. Repeated splits of all images into a training set and a validation set based on 5-fold cross validation were performed using Deep Learning segmentation (DLS), and the results were averaged. DLS versus clinical-dependent segmentation was assessed by dichotomized lesion detection accuracy evaluating sensitivity, specificity, positive predictive value, negative predictive value, and voxel-matching accuracy using the DICE index for each of the 5 labels. RESULTS: DLS lesion detection accuracy was 0.93 with specificity of 0.88, positive predictive value of 0.87, and negative predictive value of 0.93. The overall cumulative DICE indexes for the individual labels were lesion = 0.52, tooth structure = 0.74, bone = 0.78, restorative materials = 0.58, and background = 0.95. The cumulative DICE index for all actual true lesions was 0.67. CONCLUSIONS: This DL algorithm trained in a limited CBCT environment showed excellent results in lesion detection accuracy. Overall voxel-matching accuracy may be benefited by enhanced versions of artificial intelligence.</t>
  </si>
  <si>
    <t>J Endod</t>
  </si>
  <si>
    <t>Joint Weakly and Semi-Supervised Deep Learning for Localization and Classification of Masses in Breast Ultrasound Images</t>
  </si>
  <si>
    <t>We propose a framework for localization and classification of masses in breast ultrasound images. We have experimentally found that training convolutional neural network-based mass detectors with large, weakly annotated datasets presents a non-trivial problem, while overfitting may occur with those trained with small, strongly annotated datasets. To overcome these problems, we use a weakly annotated dataset together with a smaller strongly annotated dataset in a hybrid manner. We propose a systematic weakly and semi-supervised training scenario with appropriate training loss selection. Experimental results show that the proposed method can successfully localize and classify masses with less annotation effort. The results trained with only 10 strongly annotated images along with weakly annotated images were comparable to results trained from 800 strongly annotated images, with the 95% confidence interval (CI) of difference -3%-5%, in terms of the correct localization (CorLoc) measure, which is the ratio of images with intersection over union with ground truth higher than 0.5. With the same number of strongly annotated images, additional weakly annotated images can be incorporated to give a 4.5% point increase in CorLoc, from 80% to 84.50% (with 95% CIs 76%-83.75% and 81%-88%). The effects of different algorithmic details and varied amount of data are presented through ablative analysis.</t>
  </si>
  <si>
    <t>A convolutional neural network for the screening and staging of diabetic retinopathy</t>
  </si>
  <si>
    <t>Diabetic retinopathy (DR) is a serious retinal disease and is considered as a leading cause of blindness in the world. Ophthalmologists use optical coherence tomography (OCT) and fundus photography for the purpose of assessing the retinal thickness, and structure, in addition to detecting edema, hemorrhage, and scars. Deep learning models are mainly used to analyze OCT or fundus images, extract unique features for each stage of DR and therefore classify images and stage the disease. Throughout this paper, a deep Convolutional Neural Network (CNN) with 18 convolutional layers and 3 fully connected layers is proposed to analyze fundus images and automatically distinguish between controls (i.e. no DR), moderate DR (i.e. a combination of mild and moderate Non Proliferative DR (NPDR)) and severe DR (i.e. a group of severe NPDR, and Proliferative DR (PDR)) with a validation accuracy of 88%-89%, a sensitivity of 87%-89%, a specificity of 94%-95%, and a Quadratic Weighted Kappa Score of 0.91-0.92 when both 5-fold, and 10-fold cross validation methods were used respectively. A prior pre-processing stage was deployed where image resizing and a class-specific data augmentation were used. The proposed approach is considerably accurate in objectively diagnosing and grading diabetic retinopathy, which obviates the need for a retina specialist and expands access to retinal care. This technology enables both early diagnosis and objective tracking of disease progression which may help optimize medical therapy to minimize vision loss.</t>
  </si>
  <si>
    <t>A Generalized Deep Learning-Based Diagnostic System for Early Diagnosis of Various Types of Pulmonary Nodules</t>
  </si>
  <si>
    <t>A novel framework for the classification of lung nodules using computed tomography scans is proposed in this article. To get an accurate diagnosis of the detected lung nodules, the proposed framework integrates the following 2 groups of features: (1) appearance features modeled using the higher order Markov Gibbs random field model that has the ability to describe the spatial inhomogeneities inside the lung nodule and (2) geometric features that describe the shape geometry of the lung nodules. The novelty of this article is to accurately model the appearance of the detected lung nodules using a new developed seventh-order Markov Gibbs random field model that has the ability to model the existing spatial inhomogeneities for both small and large detected lung nodules, in addition to the integration with the extracted geometric features. Finally, a deep autoencoder classifier is fed by the above 2 feature groups to distinguish between the malignant and benign nodules. To evaluate the proposed framework, we used the publicly available data from the Lung Image Database Consortium. We used a total of 727 nodules that were collected from 467 patients. The proposed system demonstrates the promise to be a valuable tool for the detection of lung cancer evidenced by achieving a nodule classification accuracy of 91.20%.</t>
  </si>
  <si>
    <t>A. Shaffie, A. Soliman, L. Fraiwan, M. Ghazal, F. Taher, N. Dunlap, B. Wang, V. van Berkel, R. Keynton, A. Elmaghraby and A. El-Baz</t>
  </si>
  <si>
    <t>Optimal surface segmentation with convex priors in irregularly sampled space</t>
  </si>
  <si>
    <t>Optimal surface segmentation is a state-of-the-art method used for segmentation of multiple globally optimal surfaces in volumetric datasets. The method is widely used in numerous medical image segmentation applications. However, nodes in the graph based optimal surface segmentation method typically encode uniformly distributed orthogonal voxels of the volume. Thus the segmentation cannot attain an accuracy greater than a single unit voxel, i.e. the distance between two adjoining nodes in graph space. Segmentation accuracy higher than a unit voxel is achievable by exploiting partial volume information in the voxels which shall result in non-equidistant spacing between adjoining graph nodes. This paper reports a generalized graph based multiple surface segmentation method with convex priors which can optimally segment the target surfaces in an irregularly sampled space. The proposed method allows non-equidistant spacing between the adjoining graph nodes to achieve subvoxel segmentation accuracy by utilizing the partial volume information in the voxels. The partial volume information in the voxels is exploited by computing a displacement field from the original volume data to identify the subvoxel-accurate centers within each voxel resulting in non-equidistant spacing between the adjoining graph nodes. The smoothness of each surface modeled as a convex constraint governs the connectivity and regularity of the surface. We employ an edge-based graph representation to incorporate the necessary constraints and the globally optimal solution is obtained by computing a minimum s-t cut. The proposed method was validated on 10 intravascular multi-frame ultrasound image datasets for subvoxel segmentation accuracy. In all cases, the approach yielded highly accurate results. Our approach can be readily extended to higher-dimensional segmentations.</t>
  </si>
  <si>
    <t>An Efficient Method to Predict Pneumonia from Chest X-Rays Using Deep Learning Approach</t>
  </si>
  <si>
    <t>Pneumonia is a severe health problem causing millions of deaths every year. The aim of this study was to develop an advanced deep learning-based architecture to detect pneumonia using chest X-ray images. We utilized a convolutional neural network (CNN) based on VGG16 architecture consisting of 16 fully connected convolutional layers. A total of 5856 high-resolution frontal view chest X-ray images were used for training, validating, and testing the model. The model achieved an accuracy of 96.6%, sensitivity of 98.1%, specificity of 92.4%, precision of 97.2%, and a F1 Score of 97.6%. This indicates that the model has an excellent performance in classifying pneumonia cases and normal cases. We believe, the proposed model will reduce physician workload, expand the performance of pneumonia screening programs, and improve healthcare service.</t>
  </si>
  <si>
    <t>Brain MRI analysis using a deep learning based evolutionary approach</t>
  </si>
  <si>
    <t>Convolutional neural network (CNN) models have recently demonstrated impressive performance in medical image analysis. However, there is no clear understanding of why they perform so well, or what they have learned. In this paper, a three-dimensional convolutional neural network (3D-CNN) is employed to classify brain MRI scans into two predefined groups. In addition, a genetic algorithm based brain masking (GABM) method is proposed as a visualization technique that provides new insights into the function of the 3D-CNN. The proposed GABM method consists of two main steps. In the first step, a set of brain MRI scans is used to train the 3D-CNN. In the second step, a genetic algorithm (GA) is applied to discover knowledgeable brain regions in the MRI scans. The knowledgeable regions are those areas of the brain which the 3D-CNN has mostly used to extract important and discriminative features from them. For applying GA on the brain MRI scans, a new chromosome encoding approach is proposed. The proposed framework has been evaluated using ADNI (including 140 subjects for Alzheimer's disease classification) and ABIDE (including 1000 subjects for Autism classification) brain MRI datasets. Experimental results show a 5-fold classification accuracy of 0.85 for the ADNI dataset and 0.70 for the ABIDE dataset. The proposed GABM method has extracted 6 to 65 knowledgeable brain regions in ADNI dataset (and 15 to 75 knowledgeable brain regions in ABIDE dataset). These regions are interpreted as the segments of the brain which are mostly used by the 3D-CNN to extract features for brain disease classification. Experimental results show that besides the model interpretability, the proposed GABM method has increased final performance of the classification model in some cases with respect to model parameters.</t>
  </si>
  <si>
    <t>Prediction of Lymph Node Maximum Standardized Uptake Value in Patients With Cancer Using a 3D Convolutional Neural Network: A Proof-of-Concept Study</t>
  </si>
  <si>
    <t>OBJECTIVE: The purpose of this study is to determine whether a convolutional neural network (CNN) can predict the maximum standardized uptake value (SUV(max)) of lymph nodes in patients with cancer using the unenhanced CT images from a PET/CT examination, thus providing a proof of concept for potentially using deep learning to diagnose nodal involvement. MATERIALS AND METHODS: Consecutive initial staging PET/CT scans obtained in 2017 for patients with pathologically proven malignancy were collected. Two blinded radiologists selected one to 10 lymph nodes from the unenhanced CT portion of each PET/CT examination. The SUV(max) of the lymph nodes was recorded. Lymph nodes were cropped and used with the primary tumor histology type as input for a novel 3D CNN with predicted SUV(max) as the output. The CNN was trained using one cohort and tested using a separate cohort. An SUV(max) of 2.5 or greater was defined as FDG avid. Two blinded radiologists separately classified lymph nodes as FDG avid or not FDG avid on the basis of unenhanced CT images and separately using a short-axis measurement cutoff of 1 cm. Logistic regression analysis was performed. RESULTS: A total of 400 lymph nodes (median SUV(max), 6.8 [interquartile range {IQR}, 2.7-11.6]; median short-axis, 1.1 cm [IQR, 0.9-1.6 cm]) in 136 patients were used for training. A total of 164 lymph nodes (median SUV(max), 3.5 [IQR, 1.9-8.6]; median short-axis, 1.0 cm [IQR, 0.7-1.4 cm]) in 49 patients were used for testing. The predicted SUV(max) was associated with the real SUV(max) (β estimate = 0.83, p &lt; 0.0001). The predicted SUV(max) was associated with FDG avidity (p &lt; 0.0001), with an ROC AUC value of 0.85, and it improved when combined with radiologist qualitative assessment and short-axis criteria. CONCLUSION: A CNN is able to predict with moderate accuracy the SUV(max) of lymph nodes, as determined from the unenhanced CT images and tumor histology subtype for patients with cancer.</t>
  </si>
  <si>
    <t>H. Shaish, S. Mutasa, J. Makkar, P. Chang, L. Schwartz and F. Ahmed</t>
  </si>
  <si>
    <t>10.1136/heartjnl-2017-311198</t>
  </si>
  <si>
    <t>Machine learning in cardiovascular medicine: are we there yet?</t>
  </si>
  <si>
    <t>Artificial intelligence (AI) broadly refers to analytical algorithms that iteratively learn from data, allowing computers to find hidden insights without being explicitly programmed where to look. These include a family of operations encompassing several terms like machine learning, cognitive learning, deep learning and reinforcement learning-based methods that can be used to integrate and interpret complex biomedical and healthcare data in scenarios where traditional statistical methods may not be able to perform. In this review article, we discuss the basics of machine learning algorithms and what potential data sources exist; evaluate the need for machine learning; and examine the potential limitations and challenges of implementing machine in the context of cardiovascular medicine. The most promising avenues for AI in medicine are the development of automated risk prediction algorithms which can be used to guide clinical care; use of unsupervised learning techniques to more precisely phenotype complex disease; and the implementation of reinforcement learning algorithms to intelligently augment healthcare providers. The utility of a machine learning-based predictive model will depend on factors including data heterogeneity, data depth, data breadth, nature of modelling task, choice of machine learning and feature selection algorithms, and orthogonal evidence. A critical understanding of the strength and limitations of various methods and tasks amenable to machine learning is vital. By leveraging the growing corpus of big data in medicine, we detail pathways by which machine learning may facilitate optimal development of patient-specific models for improving diagnoses, intervention and outcome in cardiovascular medicine.</t>
  </si>
  <si>
    <t>Heart</t>
  </si>
  <si>
    <t>3-D Convolutional Encoder-Decoder Network for Low-Dose CT via Transfer Learning From a 2-D Trained Network</t>
  </si>
  <si>
    <t>Low-dose computed tomography (LDCT) has attracted major attention in the medical imaging field, since CT-associated X-ray radiation carries health risks for patients. The reduction of the CT radiation dose, however, compromises the signal-to-noise ratio, which affects image quality and diagnostic performance. Recently, deep-learning-based algorithms have achieved promising results in LDCT denoising, especially convolutional neural network (CNN) and generative adversarial network (GAN) architectures. This paper introduces a conveying path-based convolutional encoder-decoder (CPCE) network in 2-D and 3-D configurations within the GAN framework for LDCT denoising. A novel feature of this approach is that an initial 3-D CPCE denoising model can be directly obtained by extending a trained 2-D CNN, which is then fine-tuned to incorporate 3-D spatial information from adjacent slices. Based on the transfer learning from 2-D to 3-D, the 3-D network converges faster and achieves a better denoising performance when compared with a training from scratch. By comparing the CPCE network with recently published work based on the simulated Mayo data set and the real MGH data set, we demonstrate that the 3-D CPCE denoising model has a better performance in that it suppresses image noise and preserves subtle structures.</t>
  </si>
  <si>
    <t>H. Shan, Y. Zhang, Q. Yang, U. Kruger, M. K. Kalra, L. Sun, W. Cong and G. Wang</t>
  </si>
  <si>
    <t>Glaucoma is a serious ocular disorder for which the screening and diagnosis are carried out by the examination of the optic nerve head (ONH). The color fundus image (CFI) is the most common modality used for ocular screening. In CFI, the central region which is the optic disc and the optic cup region within the disc are examined to determine one of the important cues for glaucoma diagnosis called the optic cup-to-disc ratio (CDR). CDR calculation requires accurate segmentation of optic disc and cup. Another important cue for glaucoma progression is the variation of depth in ONH region. In this paper, we first propose a deep learning framework to estimate depth from a single fundus image. For the case of monocular retinal depth estimation, we are also plagued by the labeled data insufficiency. To overcome this problem we adopt the technique of pretraining the deep network where, instead of using a denoising autoencoder, we propose a new pretraining scheme called pseudo-depth reconstruction, which serves as a proxy task for retinal depth estimation. Empirically, we show pseudo-depth reconstruction to be a better proxy task than denoising. Our results outperform the existing techniques for depth estimation on the INSPIRE dataset. To extend the use of depth map for optic disc and cup segmentation, we propose a novel fully convolutional guided network, where, along with the color fundus image the network uses the depth map as a guide. We propose a convolutional block called multimodal feature extraction block to extract and fuse the features of the color image and the guide image. We extensively evaluate the proposed segmentation scheme on three datasets- ORIGA, RIMONEr3, and DRISHTI-GS. The performance of the method is comparable and in many cases, outperforms the most recent state of the art.</t>
  </si>
  <si>
    <t>Numerous brain disorders are associated with ventriculomegaly, including both neuro-degenerative diseases and cerebrospinal fluid disorders. Detailed evaluation of the ventricular system is important for these conditions to help understand the pathogenesis of ventricular enlargement and elucidate novel patterns of ventriculomegaly that can be associated with different diseases. One such disease is normal pressure hydrocephalus (NPH), a chronic form of hydrocephalus in older adults that causes dementia. Automatic parcellation of the ventricular system into its sub-compartments in patients with ventriculomegaly is quite challenging due to the large variation of the ventricle shape and size. Conventional brain labeling methods are time-consuming and often fail to identify the boundaries of the enlarged ventricles. We propose a modified 3D U-Net method to perform accurate ventricular parcellation, even with grossly enlarged ventricles, from magnetic resonance images (MRIs). We validated our method on a data set of healthy controls as well as a cohort of 95 patients with NPH with mild to severe ventriculomegaly and compared with several state-of-the-art segmentation methods. On the healthy data set, the proposed network achieved mean Dice similarity coefficient (DSC) of 0.895 ± 0.03 for the ventricular system. On the NPH data set, we achieved mean DSC of 0.973 ± 0.02, which is significantly (p &lt; 0.005) higher than four state-of-the-art segmentation methods we compared with. Furthermore, the typical processing time on CPU-base implementation of the proposed method is 2 min, which is much lower than the several hours required by the other methods. Results indicate that our method provides: 1) highly robust parcellation of the ventricular system that is comparable in accuracy to state-of-the-art methods on healthy controls; 2) greater robustness and significantly more accurate results on cases of ventricular enlargement; and 3) a tool that enables computation of novel imaging biomarkers for dilated ventricular spaces that characterize the ventricular system.</t>
  </si>
  <si>
    <t>Automatic Segmentation of Kidneys using Deep Learning for Total Kidney Volume Quantification in Autosomal Dominant Polycystic Kidney Disease</t>
  </si>
  <si>
    <t>Autosomal Dominant Polycystic Kidney Disease (ADPKD) is the most common inherited disorder of the kidneys. It is characterized by enlargement of the kidneys caused by progressive development of renal cysts, and thus assessment of total kidney volume (TKV) is crucial for studying disease progression in ADPKD. However, automatic segmentation of polycystic kidneys is a challenging task due to severe alteration in the morphology caused by non-uniform cyst formation and presence of adjacent liver cysts. In this study, an automated segmentation method based on deep learning has been proposed for TKV computation on computed tomography (CT) dataset of ADPKD patients exhibiting mild to moderate or severe renal insufficiency. The proposed method has been trained (n = 165) and tested (n = 79) on a wide range of TKV (321.2-14,670.7 mL) achieving an overall mean Dice Similarity Coefficient of 0.86 ± 0.07 (mean ± SD) between automated and manual segmentations from clinical experts and a mean correlation coefficient (ρ) of 0.98 (p &lt; 0.001) for segmented kidney volume measurements in the entire test set. Our method facilitates fast and reproducible measurements of kidney volumes in agreement with manual segmentations from clinical experts.</t>
  </si>
  <si>
    <t>K. Sharma, C. Rupprecht, A. Caroli, M. C. Aparicio, A. Remuzzi, M. Baust and N. Navab</t>
  </si>
  <si>
    <t>10.3390/cancers11060829</t>
  </si>
  <si>
    <t>Optimizing Neuro-Oncology Imaging: A Review of Deep Learning Approaches for Glioma Imaging</t>
  </si>
  <si>
    <t>Radiographic assessment with magnetic resonance imaging (MRI) is widely used to characterize gliomas, which represent 80% of all primary malignant brain tumors. Unfortunately, glioma biology is marked by heterogeneous angiogenesis, cellular proliferation, cellular invasion, and apoptosis. This translates into varying degrees of enhancement, edema, and necrosis, making reliable imaging assessment challenging. Deep learning, a subset of machine learning artificial intelligence, has gained traction as a method, which has seen effective employment in solving image-based problems, including those in medical imaging. This review seeks to summarize current deep learning applications used in the field of glioma detection and outcome prediction and will focus on (1) pre- and post-operative tumor segmentation, (2) genetic characterization of tissue, and (3) prognostication. We demonstrate that deep learning methods of segmenting, characterizing, grading, and predicting survival in gliomas are promising opportunities that may enhance both research and clinical activities.</t>
  </si>
  <si>
    <t>Computer-Aided Diagnostic System for Early Detection of Acute Renal Transplant Rejection Using Diffusion-Weighted MRI</t>
  </si>
  <si>
    <t>OBJECTIVE: Early diagnosis of acute renal transplant rejection (ARTR) is critical for accurate treatment. Although the current gold standard, diagnostic technique is renal biopsy, it is not preferred due to its invasiveness, long recovery time (1-2 weeks), and potential for complications, e.g., bleeding and/or infection. METHODS: This paper presents a computer-aided diagnostic (CAD) system for early ARTR detection using (3D + b-value) diffusion-weighted (DW) magnetic resonance imaging (MRI) data. The CAD process starts from kidney tissue segmentation with an evolving geometric (level-set-based) deformable model. The evolution is guided by a voxel-wise stochastic speed function, which follows from a joint kidney-background Markov-Gibbs random field model accounting for an adaptive kidney shape prior and on-going kidney-background visual appearances. A B-spline-based three-dimensional data alignment is employed to handle local deviations due to breathing and heart beating. Then, empirical cumulative distribution functions of apparent diffusion coefficients of the segmented DW-MRI at different b-values are collected as discriminatory transplant status features. Finally, a deep-learning-based classifier with stacked nonnegative constrained autoencoders is employed to distinguish between rejected and nonrejected renal transplants. RESULTS: In our initial leave-one-subject-out experiment on 100 subjects, [Formula: see text] of the subjects were correctly classified. The subsequent four-fold and ten-fold cross-validations gave the average accuracy of [Formula: see text] and [Formula: see text], respectively. CONCLUSION: These results demonstrate the promise of this new CAD system to reliably diagnose renal transplant rejection. SIGNIFICANCE: The technology presented here can significantly impact the quality of care of renal transplant patients since it has the potential to replace the gold standard in kidney diagnosis, biopsy.</t>
  </si>
  <si>
    <t>Multi-Institutional Deep Learning Modeling Without Sharing Patient Data: A Feasibility Study on Brain Tumor Segmentation</t>
  </si>
  <si>
    <t>Deep learning models for semantic segmentation of images require large amounts of data. In the medical imaging domain, acquiring sufficient data is a significant challenge. Labeling medical image data requires expert knowledge. Collaboration between institutions could address this challenge, but sharing medical data to a centralized location faces various legal, privacy, technical, and data-ownership challenges, especially among international institutions. In this study, we introduce the first use of federated learning for multi-institutional collaboration, enabling deep learning modeling without sharing patient data. Our quantitative results demonstrate that the performance of federated semantic segmentation models (Dice=0.852) on multimodal brain scans is similar to that of models trained by sharing data (Dice=0.862). We compare federated learning with two alternative collaborative learning methods and find that they fail to match the performance of federated learning.</t>
  </si>
  <si>
    <t>M. J. Sheller, G. A. Reina, B. Edwards, J. Martin and S. Bakas</t>
  </si>
  <si>
    <t>Brainlesion</t>
  </si>
  <si>
    <t>Intelligent Parameter Tuning in Optimization-Based Iterative CT Reconstruction via Deep Reinforcement Learning</t>
  </si>
  <si>
    <t>A number of image-processing problems can be formulated as optimization problems. The objective function typically contains several terms specifically designed for different purposes. Parameters in front of these terms are used to control the relative importance among them. It is of critical importance to adjust these parameters, as quality of the solution depends on their values. Tuning parameters are a relatively straight forward task for a human, as one can intuitively determine the direction of parameter adjustment based on the solution quality. Yet manual parameter tuning is not only tedious in many cases, but also becomes impractical when a number of parameters exist in a problem. Aiming at solving this problem, this paper proposes an approach that employs deep reinforcement learning to train a system that can automatically adjust parameters in a human-like manner. We demonstrate our idea in an example problem of optimization-based iterative computed tomography (CT) reconstruction with a pixel-wise total-variation regularization term. We set up a parameter-tuning policy network (PTPN), which maps a CT image patch to an output that specifies the direction and amplitude by which the parameter at the patch center is adjusted. We train the PTPN via an end-to-end reinforcement learning procedure. We demonstrate that under the guidance of the trained PTPN, reconstructed CT images attain quality similar or better than those reconstructed with manually tuned parameters.</t>
  </si>
  <si>
    <t>C. Shen, Y. Gonzalez, L. Chen, S. B. Jiang and X. Jia</t>
  </si>
  <si>
    <t>10.1088/1361-6560/ab6f51</t>
  </si>
  <si>
    <t>An introduction to deep learning in medical physics: advantages, potential, and challenges</t>
  </si>
  <si>
    <t>As one of the most popular approaches in artificial intelligence, deep learning (DL) has attracted a lot of attention in the medical physics field over the past few years. The goals of this topical review article are twofold. First, we will provide an overview of the method to medical physics researchers interested in DL to help them start the endeavor. Second, we will give in-depth discussions on the DL technology to make researchers aware of its potential challenges and possible solutions. As such, we divide the article into two major parts. The first part introduces general concepts and principles of DL and summarizes major research resources, such as computational tools and databases. The second part discusses challenges faced by DL, present available methods to mitigate some of these challenges, as well as our recommendations.</t>
  </si>
  <si>
    <t>On the robustness of deep learning based lung nodule classification for CT images with respect to image noise</t>
  </si>
  <si>
    <t>Robustness is an important aspect when evaluating a method of medical image analysis. In this study, we investigated robustness of a deep learning-based lung nodule classification model for CT images with respect to noise perturbations. A deep neural network (DNN) was established to classify 3D CT images of lung nodules into malignant or benign groups. The established DNN was able to predict malignancy rate of lung nodules based on CT images, achieving the area under the curve (AUC) of 0.91 for the testing dataset in a 10-fold cross validation as compared to radiologists' prediction. We then evaluated its robustness against noise perturbations. We added to the input CT images noise signals generated randomly or via an optimization scheme using a realistic noise model based on a noise power spectrum for a given mAs level, and monitored the DNN's output. The results showed that the CT noise was able to affect the prediction results of the established DNN model. With random noise perturbations at 100 mAs, DNN's predictions for 11.2% of training data and 17.4% of testing data were successfully altered by at least once. The percentage increased to 23.4% and 34.3%, respectively, for optimization-based perturbations. We further evaluated robustness of models with different architectures, parameters, number of output labels etc., and robustness concern was found in these models to different degrees. To improve model robustness, we empirically proposed an adaptive training scheme. It fine-tuned the DNN model by including perturbations in the training dataset that successfully altered the DNN's perturbations. The adaptive scheme was repeatedly performed to gradually improve DNN's robustness. The numbers of perturbations at 100 mAs affecting DNN's predictions were reduced to 10.8% for training and 21.1% for testing by the adaptive training scheme after two iterations. Our study illustrated that robustness may potentially be a concern for an exemplary deep learning-based lung nodule classification model for CT images, indicating the needs for evaluating and ensuring model robustness when developing similar models. The proposed adaptive training scheme may be able to improve model robustness.</t>
  </si>
  <si>
    <t>10.1146/annurev-bioeng-071516-044442</t>
  </si>
  <si>
    <t>This review covers computer-assisted analysis of images in the field of medical imaging. Recent advances in machine learning, especially with regard to deep learning, are helping to identify, classify, and quantify patterns in medical images. At the core of these advances is the ability to exploit hierarchical feature representations learned solely from data, instead of features designed by hand according to domain-specific knowledge. Deep learning is rapidly becoming the state of the art, leading to enhanced performance in various medical applications. We introduce the fundamentals of deep learning methods and review their successes in image registration, detection of anatomical and cellular structures, tissue segmentation, computer-aided disease diagnosis and prognosis, and so on. We conclude by discussing research issues and suggesting future directions for further improvement.</t>
  </si>
  <si>
    <t>Deep image reconstruction from human brain activity</t>
  </si>
  <si>
    <t>The mental contents of perception and imagery are thought to be encoded in hierarchical representations in the brain, but previous attempts to visualize perceptual contents have failed to capitalize on multiple levels of the hierarchy, leaving it challenging to reconstruct internal imagery. Recent work showed that visual cortical activity measured by functional magnetic resonance imaging (fMRI) can be decoded (translated) into the hierarchical features of a pre-trained deep neural network (DNN) for the same input image, providing a way to make use of the information from hierarchical visual features. Here, we present a novel image reconstruction method, in which the pixel values of an image are optimized to make its DNN features similar to those decoded from human brain activity at multiple layers. We found that our method was able to reliably produce reconstructions that resembled the viewed natural images. A natural image prior introduced by a deep generator neural network effectively rendered semantically meaningful details to the reconstructions. Human judgment of the reconstructions supported the effectiveness of combining multiple DNN layers to enhance the visual quality of generated images. While our model was solely trained with natural images, it successfully generalized to artificial shapes, indicating that our model was not simply matching to exemplars. The same analysis applied to mental imagery demonstrated rudimentary reconstructions of the subjective content. Our results suggest that our method can effectively combine hierarchical neural representations to reconstruct perceptual and subjective images, providing a new window into the internal contents of the brain.</t>
  </si>
  <si>
    <t>G. Shen, T. Horikawa, K. Majima and Y. Kamitani</t>
  </si>
  <si>
    <t>10.2196/10010</t>
  </si>
  <si>
    <t>Artificial Intelligence Versus Clinicians in Disease Diagnosis: Systematic Review</t>
  </si>
  <si>
    <t>BACKGROUND: Artificial intelligence (AI) has been extensively used in a range of medical fields to promote therapeutic development. The development of diverse AI techniques has also contributed to early detections, disease diagnoses, and referral management. However, concerns about the value of advanced AI in disease diagnosis have been raised by health care professionals, medical service providers, and health policy decision makers. OBJECTIVE: This review aimed to systematically examine the literature, in particular, focusing on the performance comparison between advanced AI and human clinicians to provide an up-to-date summary regarding the extent of the application of AI to disease diagnoses. By doing so, this review discussed the relationship between the current advanced AI development and clinicians with respect to disease diagnosis and thus therapeutic development in the long run. METHODS: We systematically searched articles published between January 2000 and March 2019 following the Preferred Reporting Items for Systematic reviews and Meta-Analysis in the following databases: Scopus, PubMed, CINAHL, Web of Science, and the Cochrane Library. According to the preset inclusion and exclusion criteria, only articles comparing the medical performance between advanced AI and human experts were considered. RESULTS: A total of 9 articles were identified. A convolutional neural network was the commonly applied advanced AI technology. Owing to the variation in medical fields, there is a distinction between individual studies in terms of classification, labeling, training process, dataset size, and algorithm validation of AI. Performance indices reported in articles included diagnostic accuracy, weighted errors, false-positive rate, sensitivity, specificity, and the area under the receiver operating characteristic curve. The results showed that the performance of AI was at par with that of clinicians and exceeded that of clinicians with less experience. CONCLUSIONS: Current AI development has a diagnostic performance that is comparable with medical experts, especially in image recognition-related fields. Further studies can be extended to other types of medical imaging such as magnetic resonance imaging and other medical practices unrelated to images. With the continued development of AI-assisted technologies, the clinical implications underpinned by clinicians' experience and guided by patient-centered health care principle should be constantly considered in future AI-related and other technology-based medical research.</t>
  </si>
  <si>
    <t>Deep Learning to Improve Breast Cancer Detection on Screening Mammography</t>
  </si>
  <si>
    <t>The rapid development of deep learning, a family of machine learning techniques, has spurred much interest in its application to medical imaging problems. Here, we develop a deep learning algorithm that can accurately detect breast cancer on screening mammograms using an end-to-end training approach that efficiently leverages training datasets with either complete clinical annotation or only the cancer status (label) of the whole image. In this approach, lesion annotations are required only in the initial training stage, and subsequent stages require only image-level labels, eliminating the reliance on rarely available lesion annotations. Our all convolutional network method for classifying screening mammograms attained excellent performance in comparison with previous methods. On an independent test set of digitized film mammograms from the Digital Database for Screening Mammography (CBIS-DDSM), the best single model achieved a per-image AUC of 0.88, and four-model averaging improved the AUC to 0.91 (sensitivity: 86.1%, specificity: 80.1%). On an independent test set of full-field digital mammography (FFDM) images from the INbreast database, the best single model achieved a per-image AUC of 0.95, and four-model averaging improved the AUC to 0.98 (sensitivity: 86.7%, specificity: 96.1%). We also demonstrate that a whole image classifier trained using our end-to-end approach on the CBIS-DDSM digitized film mammograms can be transferred to INbreast FFDM images using only a subset of the INbreast data for fine-tuning and without further reliance on the availability of lesion annotations. These findings show that automatic deep learning methods can be readily trained to attain high accuracy on heterogeneous mammography platforms, and hold tremendous promise for improving clinical tools to reduce false positive and false negative screening mammography results. Code and model available at: https://github.com/lishen/end2end-all-conv .</t>
  </si>
  <si>
    <t>L. Shen, L. R. Margolies, J. H. Rothstein, E. Fluder, R. McBride and W. Sieh</t>
  </si>
  <si>
    <t>[Single-modal neuroimaging computer aided diagnosis for schizophrenia based on ensemble learning using privileged information]</t>
  </si>
  <si>
    <t>Neuroimaging technologies have been applied to the diagnosis of schizophrenia. In order to improve the performance of the single-modal neuroimaging-based computer-aided diagnosis (CAD) for schizophrenia, an ensemble learning algorithm based on learning using privileged information (LUPI) was proposed in this work. Specifically, the extreme learning machine based auto-encoder (ELM-AE) was first adopted to learn new feature representation for the single-modal neuroimaging data. Random project algorithm was then performed on the learned high-dimensional features to generate several new feature subspaces. After that, multiple feature pairs were built among these subspaces to work as source domain and target domain, respectively, which were used to train multiple support vector machine plus (SVM+) classifier. Finally, a strong classifier is learned by combining these SVM+ classifiers for classification. The proposed algorithm was evaluated on a public schizophrenia neuroimaging dataset, including the data of structural magnetic resonance imaging (sMRI) and functional MRI (fMRI). The results showed that the proposed algorithm achieved the best diagnosis performance. In particular, the classification accuracy, sensitivity and specificity of the proposed algorithm were 72.12% ± 8.20%, 73.50% ± 15.44% and 70.93% ± 12.93%, respectively, on the sMRI data, and it also achieved the classification accuracy of 72.33% ± 8.95%, sensitivity of 68.50% ± 16.58% and specificity of 75.73% ± 16.10% on the fMRI data. The proposed algorithm overcomes the problem that the traditional LUPI methods need the additional privileged information modality as source domain. It can be directly applied to the single-modal data for classification, and also can improve the classification performance. Therefore, it suggests that the proposed algorithm will have wider applications.</t>
  </si>
  <si>
    <t>Patient-specific reconstruction of volumetric computed tomography images from a single projection view via deep learning</t>
  </si>
  <si>
    <t>Tomographic imaging using penetrating waves generates cross-sectional views of the internal anatomy of a living subject. For artefact-free volumetric imaging, projection views from a large number of angular positions are required. Here we show that a deep-learning model trained to map projection radiographs of a patient to the corresponding 3D anatomy can subsequently generate volumetric tomographic X-ray images of the patient from a single projection view. We demonstrate the feasibility of the approach with upper-abdomen, lung, and head-and-neck computed tomography scans from three patients. Volumetric reconstruction via deep learning could be useful in image-guided interventional procedures such as radiation therapy and needle biopsy, and might help simplify the hardware of tomographic imaging systems.</t>
  </si>
  <si>
    <t>Multicontext multitask learning networks for mass detection in mammogram</t>
  </si>
  <si>
    <t>PURPOSE: In this paper, for the purpose of accurate and efficient mass detection, we propose a new deep learning framework, including two major stages: Suspicious region localization (SRL) and Multicontext Multitask Learning (MCMTL). METHODS: In the first stage, SRL focuses on finding suspicious regions [regions of interest (ROIs)] and extracting multisize patches of these suspicious regions. A set of bounding boxes with different size is used to extract multisize patches, which aim to capture diverse context information. In the second stage, MCMTL networks integrate features from multisize patches of suspicious regions for classification and segmentation simultaneously, where the purpose of this stage is to keep the true positive suspicious regions and to reduce the false positive suspicious regions. RESULTS: According to the experimental results on two public datasets (i.e., CBIS-DDSM and INBreast), our method achieves the overall performance of 0.812 TPR@2.53 FPI and 0.919 TPR@0.12 FPI on test sets, respectively. CONCLUSIONS: Our proposed method suggests comparable performance to the state-of-the-art methods.</t>
  </si>
  <si>
    <t>Learning from adversarial medical images for X-ray breast mass segmentation</t>
  </si>
  <si>
    <t>BACKGROUND AND OBJECTIVE: Simulation of diverse lesions in images is proposed and applied to overcome the scarcity of labeled data, which has hindered the application of deep learning in medical imaging. However, most of current studies focus on generating samples with class labels for classification and detection rather than segmentation, because generating images with precise masks remains a challenge. Therefore, we aim to generate realistic medical images with precise masks for improving lesion segmentation in mammagrams. METHODS: In this paper, we propose a new framework for improving X-ray breast mass segmentation performance aided by generated adversarial lesion images with precise masks. Firstly, we introduce a conditional generative adversarial network (cGAN) to learn the distribution of real mass images as well as a mapping between images and corresponding segmentation masks. Subsequently, a number of lesion images are generated from various binary input masks using the generator in the trained cGAN. Then the generated adversarial samples are concatenated with original samples to produce a dataset with increased diversity. Furthermore, we introduce an improved U-net and train it on the previous augmented dataset for breast mass segmentation. RESULTS: To demonstrate the effectiveness of our proposed method, we conduct experiments on publicly available mammogram database of INbreast and a private database provided by Nanfang Hospital in China. Experimental results show that an improvement up to 7% in Jaccard index can be achieved over the same model trained on original real lesion images. CONCLUSIONS: Our proposed method can be viewed as one of the first steps toward generating realistic X-ray breast mass images with masks for precise segmentation.</t>
  </si>
  <si>
    <t>T. Shen, C. Gou, F. Y. Wang, Z. He and W. Chen</t>
  </si>
  <si>
    <t>Decision Supporting Model for One-year Conversion Probability from MCI to AD using CNN and SVM</t>
  </si>
  <si>
    <t>Prediction of Alzheimer's disease (AD) from Mild Cognitive Impairment (MCI) has become popular in recent years. Especially, deep learning technique has been used to extract high-quality features and for classification in this topic. Whether the patient would converse from MCI into AD is a particular evaluation criteria in clinics. However, there is no such a conversion prediction model in literature. Therefore, the purpose of this study is to propose a decision supporting model based on deep learning and machine learning to predict the conversion probability from MCI into AD within one year. We analyzed 165 samples with MRI scans from Alzheimer's Disease Neuroimaging Initiative (ADNI) database, in which all MCI patients were converted into AD in different time span for conversion. In this model, we first extracted image features based on convolutional neural network (CNN) method, and then we used support vector machine (SVM) classifier to classify these features. The results showed that the classification accuracy using linear, polynomial and RBF kernel could achieve 91.0%, 90.0% and 92.3%. As a result, this study indicated that the decision supporting model is potential to be applied into predicting the conversion probability from MCI into AD within one year.</t>
  </si>
  <si>
    <t>T. Shen, J. Jiang, Y. Li, P. Wu, C. Zuo and Z. Yan</t>
  </si>
  <si>
    <t>Use of Overlapping Group LASSO Sparse Deep Belief Network to Discriminate Parkinson's Disease and Normal Control</t>
  </si>
  <si>
    <t>As a medical imaging technology which can show the metabolism of the brain, 18F-fluorodeoxyglucose (FDG)-positron emission tomography (PET) is of great value for the diagnosis of Parkinson's Disease (PD). With the development of pattern recognition technology, analysis of brain images using deep learning are becoming more and more popular. However, existing computer-aided-diagnosis technologies often over fit and have poor generalizability. Therefore, we aimed to improve a framework based on Group Lasso Sparse Deep Belief Network (GLS-DBN) for discriminating PD and normal control (NC) subjects based on FDG-PET imaging. In this study, 225 NC and 125 PD cohorts from Huashan and Wuxi 904 hospitals were selected. They were divided into the training &amp; validation dataset and 2 test datasets. First, in the training &amp; validation set, subjects were randomly partitioned 80:20, with multiple training iterations for the deep learning model. Next, Locally Linear Embedding was used as a dimension reduction algorithm. Then, GLS-DBN was used for feature learning and classification. Different sparse DBN models were used to compare datasets to evaluate the effectiveness of our framework. Accuracy, sensitivity, and specificity were examined to validate the results. Output variables of the network were also correlated with longitudinal changes of rating scales about movement disorders (UPDRS, H&amp;Y). As a result, accuracy of prediction (90% in Test 1, 86% in Test 2) for classification of PD and NC patients outperformed conventional approaches. Output scores of the network were strongly correlated with UPDRS and H&amp;Y (R = 0.705, p &lt; 0.001; R = 0.697, p &lt; 0.001 in Test 1; R = 0.592, p = 0.0018, R = 0.528, p = 0.0067 in Test 2). These results show the GLS-DBN is feasible method for early diagnosis of PD.</t>
  </si>
  <si>
    <t>T. Shen, J. Jiang, W. Lin, J. Ge, P. Wu, Y. Zhou, C. Zuo, J. Wang, Z. Yan and K. Shi</t>
  </si>
  <si>
    <t>Prediction of local relapse and distant metastasis in patients with definitive chemoradiotherapy-treated cervical cancer by deep learning from [(18)F]-fluorodeoxyglucose positron emission tomography/computed tomography</t>
  </si>
  <si>
    <t>BACKGROUND: We designed a deep learning model for assessing (18)F-FDG PET/CT for early prediction of local and distant failures for patients with locally advanced cervical cancer. METHODS: All 142 patients with cervical cancer underwent (18)F-FDG PET/CT for pretreatment staging and received allocated treatment. To augment the amount of image data, each tumor was represented as 11 slice sets each of which contains 3 2D orthogonal slices to acquire a total of 1562 slice sets. In each round of k-fold cross-validation, a well-trained proposed model and a slice-based optimal threshold were derived from a training set and used to classify each slice set in the test set into the categories of with or without local or distant failure. The classification results of each tumor were aggregated to summarize a tumor-based prediction result. RESULTS: In total, 21 and 26 patients experienced local and distant failures, respectively. Regarding local recurrence, the tumor-based prediction result summarized from all test sets demonstrated that the sensitivity, specificity, positive predictive value, negative predictive value, and accuracy were 71%, 93%, 63%, 95%, and 89%, respectively. The corresponding values for distant metastasis were 77%, 90%, 63%, 95%, and 87%, respectively. CONCLUSION: This is the first study to use deep learning model for assessing (18)F-FDG PET/CT images which is capable of predicting treatment outcomes in cervical cancer patients. KEY POINTS: • This is the first study to use deep learning model for assessing (18) F-FDG PET/CT images which is capable of predicting treatment outcomes in cervical cancer patients. • All 142 patients with cervical cancer underwent (18) F-FDG PET/CT for pretreatment staging and received allocated treatment. To augment the amount of image data, each tumor was represented as 11 slice sets each of which contains 3 2D orthogonal slices to acquire a total of 1562 slice sets. • For local recurrence, all test sets demonstrated that the sensitivity, specificity, positive predictive value, negative predictive value, and accuracy were 71%, 93%, 63%, 95%, and 89%, respectively. The corresponding values for distant metastasis were 77%, 90%, 63%, 95%, and 87%, respectively.</t>
  </si>
  <si>
    <t>A deep-learning-based approach for adenoid hypertrophy diagnosis</t>
  </si>
  <si>
    <t>PURPOSE: Adenoid hypertrophy is a pathological hyperplasia of adenoids and may cause snoring, apnea, and impede breathing during sleep. In clinical practice, radiologists diagnose the severity of adenoid hypertrophy by measuring the ratio of adenoid width (A) to nasopharyngeal width (N) according to the lateral cephalogram, which indicates the locations of four keypoints. The entire diagnostic process is tedious and time-consuming due to the acquisition of A and N. Thus, there is an urgent need to develop computer-aided diagnostic tools for adenoid hypertrophy. METHODS: In this paper, we first propose the use of deep learning to solve the problem of adenoid hypertrophy classification. Deep learning driven by big data has developed greatly in the image processing field. However, obtaining a large amount of training data is hard, making the application of deep learning to medical images more difficult. This paper proposes a keypoint localization method to incorporate more prior information to improve the performance of the model under limited data. Furthermore, we design a novel regularized term called VerticalLoss to capture the vertical relationship between keypoints to provide prior information to strengthen the network performance. RESULTS: To evaluate the performance of our proposed method, we conducted experiments with a clinical dataset from the First Affiliated Hospital of Anhui Medical University consisting of a total of 688 patients. As our results show, we obtained a classification accuracy of 95.6%, a macro F1-score of 0.957, and an average AN ratio error of 0.026. Furthermore, we obtained a macro F1-score of 0.89, a classification accuracy of 94%, and an average AN ratio error of 0.027 while using only half of the data for training. CONCLUSIONS: The study shows that our proposed method can achieve satisfactory results in the task of adenoid hypertrophy classification. Our approach incorporates more prior information, which is especially important in the field of medical imaging, where it is difficult to obtain large amounts of training data.</t>
  </si>
  <si>
    <t>Globally-Aware Multiple Instance Classifier for Breast Cancer Screening</t>
  </si>
  <si>
    <t>Deep learning models designed for visual classification tasks on natural images have become prevalent in medical image analysis. However, medical images differ from typical natural images in many ways, such as significantly higher resolutions and smaller regions of interest. Moreover, both the global structure and local details play important roles in medical image analysis tasks. To address these unique properties of medical images, we propose a neural network that is able to classify breast cancer lesions utilizing information from both a global saliency map and multiple local patches. The proposed model outperforms the ResNet-based baseline and achieves radiologist-level performance in the interpretation of screening mammography. Although our model is trained only with image-level labels, it is able to generate pixel-level saliency maps that provide localization of possible malignant findings.</t>
  </si>
  <si>
    <t>An interpretable classifier for high-resolution breast cancer screening images utilizing weakly supervised localization</t>
  </si>
  <si>
    <t>Medical images differ from natural images in significantly higher resolutions and smaller regions of interest. Because of these differences, neural network architectures that work well for natural images might not be applicable to medical image analysis. In this work, we propose a novel neural network model to address these unique properties of medical images. This model first uses a low-capacity, yet memory-efficient, network on the whole image to identify the most informative regions. It then applies another higher-capacity network to collect details from chosen regions. Finally, it employs a fusion module that aggregates global and local information to make a prediction. While existing methods often require lesion segmentation during training, our model is trained with only image-level labels and can generate pixel-level saliency maps indicating possible malignant findings. We apply the model to screening mammography interpretation: predicting the presence or absence of benign and malignant lesions. On the NYU Breast Cancer Screening Dataset, our model outperforms (AUC = 0.93) ResNet-34 and Faster R-CNN in classifying breasts with malignant findings. On the CBIS-DDSM dataset, our model achieves performance (AUC = 0.858) on par with state-of-the-art approaches. Compared to ResNet-34, our model is 4.1x faster for inference while using 78.4% less GPU memory. Furthermore, we demonstrate, in a reader study, that our model surpasses radiologist-level AUC by a margin of 0.11.</t>
  </si>
  <si>
    <t>Networks for Joint Affine and Non-parametric Image Registration</t>
  </si>
  <si>
    <t>We introduce an end-to-end deep-learning framework for 3D medical image registration. In contrast to existing approaches, our framework combines two registration methods: an affine registration and a vector momentum-parameterized stationary velocity field (vSVF) model. Specifically, it consists of three stages. In the first stage, a multi-step affine network predicts affine transform parameters. In the second stage, we use a U-Net-like network to generate a momentum, from which a velocity field can be computed via smoothing. Finally, in the third stage, we employ a self-iterable map-based vSVF component to provide a non-parametric refinement based on the current estimate of the transformation map. Once the model is trained, a registration is completed in one forward pass. To evaluate the performance, we conducted longitudinal and cross-subject experiments on 3D magnetic resonance images (MRI) of the knee of the Osteoarthritis Initiative (OAI) dataset. Results show that our framework achieves comparable performance to state-of-the-art medical image registration approaches, but it is much faster, with a better control of transformation regularity including the ability to produce approximately symmetric transformations, and combining affine as well as non-parametric registration.</t>
  </si>
  <si>
    <t>10.1007/s11684-020-0761-1</t>
  </si>
  <si>
    <t>Artificial intelligence in radiotherapy: a technological review</t>
  </si>
  <si>
    <t>Radiation therapy (RT) is widely used to treat cancer. Technological advances in RT have occurred in the past 30 years. These advances, such as three-dimensional image guidance, intensity modulation, and robotics, created challenges and opportunities for the next breakthrough, in which artificial intelligence (AI) will possibly play important roles. AI will replace certain repetitive and labor-intensive tasks and improve the accuracy and consistency of others, particularly those with increased complexity because of technological advances. The improvement in efficiency and consistency is important to manage the increasing cancer patient burden to the society. Furthermore, AI may provide new functionalities that facilitate satisfactory RT. The functionalities include superior images for real-time intervention and adaptive and personalized RT. AI may effectively synthesize and analyze big data for such purposes. This review describes the RT workflow and identifies areas, including imaging, treatment planning, quality assurance, and outcome prediction, that benefit from AI. This review primarily focuses on deep-learning techniques, although conventional machine-learning techniques are also mentioned.</t>
  </si>
  <si>
    <t>K. Sheng</t>
  </si>
  <si>
    <t>Automatic detection and diagnosis of sacroiliitis in CT scans as incidental findings</t>
  </si>
  <si>
    <t>Early diagnosis of sacroiliitis may lead to preventive treatment which can significantly improve the patient's quality of life in the long run. Oftentimes, a CT scan of the lower back or abdomen is acquired for suspected back pain. However, since the differences between a healthy and an inflamed sacroiliac joint in the early stages are subtle, the condition may be missed. We have developed a new automatic algorithm for the diagnosis and grading of sacroiliitis CT scans as incidental findings, for patients who underwent CT scanning as part of their lower back pain workout. The method is based on supervised machine and deep learning techniques. The input is a CT scan that includes the patient's pelvis. The output is a diagnosis for each sacroiliac joint. The algorithm consists of four steps: (1) computation of an initial region of interest (ROI) that includes the pelvic joints region using heuristics and a U-Net classifier; (2) refinement of the ROI to detect both sacroiliiac joints using a four-tree random forest; (3) individual sacroiliitis grading of each sacroiliiac joint in each CT slice with a custom slice CNN classifier, and; (4) sacroiliitis diagnosis and grading by combining the individual slice grades using a random forest. Experimental results on 484 sacroiliiac joints yield a binary and a 3-class case classification accuracy of 91.9% and 86%, a sensitivity of 95% and 82%, and an Area-Under-the-Curve of 0.97 and 0.57, respectively. Automatic computer-based analysis of CT scans has the potential of being a useful method for the diagnosis and grading of sacroiliitis as an incidental finding.</t>
  </si>
  <si>
    <t>Machine Learning-Enabled Automated Determination of Acute Ischemic Core From Computed Tomography Angiography</t>
  </si>
  <si>
    <t>Background and Purpose- The availability of and expertise to interpret advanced neuroimaging recommended in the guideline-based endovascular stroke therapy (EST) evaluation are limited. Here, we develop and validate an automated machine learning-based method that evaluates for large vessel occlusion (LVO) and ischemic core volume in patients using a widely available modality, computed tomography angiogram (CTA). Methods- From our prospectively maintained stroke registry and electronic medical record, we identified patients with acute ischemic stroke and stroke mimics with contemporaneous CTA and computed tomography perfusion (CTP) with RAPID (IschemaView) post-processing as a part of the emergent stroke workup. A novel convolutional neural network named DeepSymNet was created and trained to identify LVO as well as infarct core from CTA source images, against CTP-RAPID definitions. Model performance was measured using 10-fold cross validation and receiver-operative curve area under the curve (AUC) statistics. Results- Among the 297 included patients, 224 (75%) had acute ischemic stroke of which 179 (60%) had LVO. Mean CTP-RAPID ischemic core volume was 23±42 mL. LVO locations included internal carotid artery (13%), M1 (44%), and M2 (21%). The DeepSymNet algorithm autonomously learned to identify the intracerebral vasculature on CTA and detected LVO with AUC 0.88. The method was also able to determine infarct core as defined by CTP-RAPID from the CTA source images with AUC 0.88 and 0.90 (ischemic core ≤30 mL and ≤50 mL). These findings were maintained in patients presenting in early (0-6 hours) and late (6-24 hours) time windows (AUCs 0.90 and 0.91, ischemic core ≤50 mL). DeepSymNet probabilities from CTA images corresponded with CTP-RAPID ischemic core volumes as a continuous variable with r=0.7 (Pearson correlation, P&lt;0.001). Conclusions- These results demonstrate that the information needed to perform the neuroimaging evaluation for endovascular therapy with comparable accuracy to advanced imaging modalities may be present in CTA, and the ability of machine learning to automate the analysis.</t>
  </si>
  <si>
    <t>Prediction of Occult Invasive Disease in Ductal Carcinoma in Situ Using Deep Learning Features</t>
  </si>
  <si>
    <t>PURPOSE: The aim of this study was to determine whether deep features extracted from digital mammograms using a pretrained deep convolutional neural network are prognostic of occult invasive disease for patients with ductal carcinoma in situ (DCIS) on core needle biopsy. METHODS: In this retrospective study, digital mammographic magnification views were collected for 99 subjects with DCIS at biopsy, 25 of which were subsequently upstaged to invasive cancer. A deep convolutional neural network model that was pretrained on nonmedical images (eg, animals, plants, instruments) was used as the feature extractor. Through a statistical pooling strategy, deep features were extracted at different levels of convolutional layers from the lesion areas, without sacrificing the original resolution or distorting the underlying topology. A multivariate classifier was then trained to predict which tumors contain occult invasive disease. This was compared with the performance of traditional handcrafted computer vision (CV) features previously developed specifically to assess mammographic calcifications. The generalization performance was assessed using Monte Carlo cross-validation and receiver operating characteristic curve analysis. RESULTS: Deep features were able to distinguish DCIS with occult invasion from pure DCIS, with an area under the receiver operating characteristic curve of 0.70 (95% confidence interval, 0.68-0.73). This performance was comparable with the handcrafted CV features (area under the curve = 0.68; 95% confidence interval, 0.66-0.71) that were designed with prior domain knowledge. CONCLUSIONS: Despite being pretrained on only nonmedical images, the deep features extracted from digital mammograms demonstrated comparable performance with handcrafted CV features for the challenging task of predicting DCIS upstaging.</t>
  </si>
  <si>
    <t>B. Shi, L. J. Grimm, M. A. Mazurowski, J. A. Baker, J. R. Marks, L. M. King, C. C. Maley, E. S. Hwang and J. Y. Lo</t>
  </si>
  <si>
    <t>Gastroscopic Panoramic View: Application to Automatic Polyps Detection under Gastroscopy</t>
  </si>
  <si>
    <t>Endoscopic diagnosis is an important means for gastric polyp detection. In this paper, a panoramic image of gastroscopy is developed, which can display the inner surface of the stomach intuitively and comprehensively. Moreover, the proposed automatic detection solution can help doctors locate the polyps automatically and reduce missed diagnosis. The main contributions of this paper are firstly, a gastroscopic panorama reconstruction method is developed. The reconstruction does not require additional hardware devices and can solve the problem of texture dislocation and illumination imbalance properly; secondly, an end-to-end multiobject detection for gastroscopic panorama is trained based on a deep learning framework. Compared with traditional solutions, the automatic polyp detection system can locate all polyps in the inner wall of the stomach in real time and assist doctors to find the lesions. Thirdly, the system was evaluated in the Affiliated Hospital of Zhejiang University. The results show that the average error of the panorama is less than 2 mm, the accuracy of the polyp detection is 95%, and the recall rate is 99%. In addition, the research roadmap of this paper has guiding significance for endoscopy-assisted detection of other human soft cavities.</t>
  </si>
  <si>
    <t>DeSpecNet: a CNN-based method for speckle reduction in retinal optical coherence tomography images</t>
  </si>
  <si>
    <t>Speckle is a major quality degrading factor in optical coherence tomography (OCT) images. In this work we propose a new deep learning network for speckle reduction in retinal OCT images, termed DeSpecNet. Unlike traditional algorithms, the model can learn from training data instead of manually selecting parameters such as noise level. The proposed deep convolutional neural network (CNN) applies strategies including residual learning, shortcut connection, batch normalization and leaky rectified linear units to achieve good despeckling performance. Application of the proposed method to the OCT images shows great improvement in both visual quality and quantitative indices. The proposed method provides good generalization ability for different types of retinal OCT images. It outperforms state-of-the-art methods in suppressing speckles and revealing subtle features while preserving edges.</t>
  </si>
  <si>
    <t>Knowledge-guided synthetic medical image adversarial augmentation for ultrasonography thyroid nodule classification</t>
  </si>
  <si>
    <t>BACKGROUND AND OBJECTIVE: Image classification is an important task in many medical applications. Methods based on deep learning have made great achievements in the computer vision domain. However, they typically rely on large-scale datasets which are annotated. How to obtain such great datasets is still a serious problem in medical domain. METHODS: In this paper, we propose a knowledge-guided adversarial augmentation method for synthesizing medical images. First, we design Term and Image Encoders to extract domain knowledge from radiologists, then we use domain knowledge as novel condition to constrain the Auxiliary Classifier Generative Adversarial Network (ACGAN) framework for the synthesis of high-quality thyroid nodule images. Finally, we demonstrate our method on the task of classifying ultrasonography thyroid nodule. Our method can make effective use of the high-quality diagnostic experience of advanced radiologists. In addition, we creatively choose to extract domain knowledge from standardized terms rather than ultrasound images. RESULTS: Our novel method is demonstrated on a limited dataset of 1937 clinical thyroid ultrasound images and corresponding standardized terms. The accuracy of the proposed model for thyroid nodules is 91.46%, the sensitivity is 90.63%, the specificity is 92.65%, and the AUC is 95.32%, which is better than the current classification methods for thyroid nodules. The experimental results show the model has better generalization and robustness. CONCLUSIONS: We believe that the proposed method can alleviate the problem of insufficient data in the medical domain, and other medical problems can benefit from using synthetic augmentation.</t>
  </si>
  <si>
    <t>Deep recurrent neural network reveals a hierarchy of process memory during dynamic natural vision</t>
  </si>
  <si>
    <t>The human visual cortex extracts both spatial and temporal visual features to support perception and guide behavior. Deep convolutional neural networks (CNNs) provide a computational framework to model cortical representation and organization for spatial visual processing, but unable to explain how the brain processes temporal information. To overcome this limitation, we extended a CNN by adding recurrent connections to different layers of the CNN to allow spatial representations to be remembered and accumulated over time. The extended model, or the recurrent neural network (RNN), embodied a hierarchical and distributed model of process memory as an integral part of visual processing. Unlike the CNN, the RNN learned spatiotemporal features from videos to enable action recognition. The RNN better predicted cortical responses to natural movie stimuli than the CNN, at all visual areas, especially those along the dorsal stream. As a fully observable model of visual processing, the RNN also revealed a cortical hierarchy of temporal receptive window, dynamics of process memory, and spatiotemporal representations. These results support the hypothesis of process memory, and demonstrate the potential of using the RNN for in-depth computational understanding of dynamic natural vision.</t>
  </si>
  <si>
    <t>J. Shi, H. Wen, Y. Zhang, K. Han and Z. Liu</t>
  </si>
  <si>
    <t>Histopathological Image Classification With Color Pattern Random Binary Hashing-Based PCANet and Matrix-Form Classifier</t>
  </si>
  <si>
    <t>The computer-aided diagnosis for histopathological images has attracted considerable attention. Principal component analysis network (PCANet) is a novel deep learning algorithm for feature learning with the simple network architecture and parameters. In this study, a color pattern random binary hashing-based PCANet (C-RBH-PCANet) algorithm is proposed to learn an effective feature representation from color histopathological images. The color norm pattern and angular pattern are extracted from the principal component images of R, G, and B color channels after cascaded PCA networks. The random binary encoding is then performed on both color norm pattern images and angular pattern images to generate multiple binary images. Moreover, we rearrange the pooled local histogram features by spatial pyramid pooling to a matrix-form for reducing the dimension of feature and preserving spatial information. Therefore, a C-RBH-PCANet and matrix-form classifier-based feature learning and classification framework is proposed for diagnosis of color histopathological images. The experimental results on three color histopathological image datasets show that the proposed C-RBH-PCANet algorithm is superior to the original PCANet and other conventional unsupervised deep learning algorithms, while the best performance is achieved by the proposed feature learning and classification framework that combines C-RBH-PCANet and matrix-form classifier.</t>
  </si>
  <si>
    <t>J. Shi, J. Wu, Y. Li, Q. Zhang and S. Ying</t>
  </si>
  <si>
    <t>Multimodal Neuroimaging Feature Learning With Multimodal Stacked Deep Polynomial Networks for Diagnosis of Alzheimer's Disease</t>
  </si>
  <si>
    <t>The accurate diagnosis of Alzheimer's disease (AD) and its early stage, i.e., mild cognitive impairment, is essential for timely treatment and possible delay of AD. Fusion of multimodal neuroimaging data, such as magnetic resonance imaging (MRI) and positron emission tomography (PET), has shown its effectiveness for AD diagnosis. The deep polynomial networks (DPN) is a recently proposed deep learning algorithm, which performs well on both large-scale and small-size datasets. In this study, a multimodal stacked DPN (MM-SDPN) algorithm, which MM-SDPN consists of two-stage SDPNs, is proposed to fuse and learn feature representation from multimodal neuroimaging data for AD diagnosis. Specifically speaking, two SDPNs are first used to learn high-level features of MRI and PET, respectively, which are then fed to another SDPN to fuse multimodal neuroimaging information. The proposed MM-SDPN algorithm is applied to the ADNI dataset to conduct both binary classification and multiclass classification tasks. Experimental results indicate that MM-SDPN is superior over the state-of-the-art multimodal feature-learning-based algorithms for AD diagnosis.</t>
  </si>
  <si>
    <t>J. Shi, X. Zheng, Y. Li, Q. Zhang and S. Ying</t>
  </si>
  <si>
    <t>Machine learning for prediction of chemoradiation therapy response in rectal cancer using pre-treatment and mid-radiation multi-parametric MRI</t>
  </si>
  <si>
    <t>PURPOSE: To predict the neoadjuvant chemoradiation therapy (CRT) response in patients with locally advanced rectal cancer (LARC) using radiomics and deep learning based on pre-treatment MRI and a mid-radiation follow-up MRI taken 3-4 weeks after the start of CRT. METHODS: A total of 51 patients were included, 45 with pre-treatment, 41 with mid-radiation therapy (RT), and 35 with both MRI sets. The multi-parametric MRI protocol included T2, diffusion weighted imaging (DWI) with b-values of 0 and 800 s/mm(2), and dynamic-contrast-enhanced (DCE) MRI. After completing CRT and surgery, the specimen was examined to determine the pathological response based on the tumor regression grade. The tumor ROI was manually drawn on the post-contrast image and mapped to other sequences. The total tumor volume and mean apparent diffusion coefficient (ADC) were measured. Radiomics using GLCM texture and histogram parameters, and deep learning using a convolutional neural network (CNN), were performed to differentiate pathologic complete response (pCR) vs. non-pCR, and good response (GR) vs. non-GR. RESULTS: Tumor volume decreased and ADC increased significantly in the mid-RT MRI compared to the pre-treatment MRI. For predicting pCR vs. non-pCR, combining ROI and radiomics features achieved an AUC of 0.80 for pre-treatment, 0.82 for mid-RT, and 0.86 for both MRI together. For predicting GR vs. non-GR, the AUC was 0.91 for pre-treatment, 0.92 for mid-RT, and 0.93 for both MRI together. In deep learning using CNN, combining pre-treatment and mid-RT MRI achieved a higher accuracy compared to using either dataset alone, with AUC of 0.83 for predicting pCR vs. non-pCR. CONCLUSION: Radiomics based on pre-treatment and early follow-up multi-parametric MRI in LARC patients receiving CRT could extract comprehensive quantitative information to predict final pathologic response.</t>
  </si>
  <si>
    <t>L. Shi, Y. Zhang, K. Nie, X. Sun, T. Niu, N. Yue, T. Kwong, P. Chang, D. Chow, J. H. Chen and M. Y. Su</t>
  </si>
  <si>
    <t>A clinically applicable deep-learning model for detecting intracranial aneurysm in computed tomography angiography images</t>
  </si>
  <si>
    <t>Intracranial aneurysm is a common life-threatening disease. Computed tomography angiography is recommended as the standard diagnosis tool; yet, interpretation can be time-consuming and challenging. We present a specific deep-learning-based model trained on 1,177 digital subtraction angiography verified bone-removal computed tomography angiography cases. The model has good tolerance to image quality and is tested with different manufacturers. Simulated real-world studies are conducted in consecutive internal and external cohorts, in which it achieves an improved patient-level sensitivity and lesion-level sensitivity compared to that of radiologists and expert neurosurgeons. A specific cohort of suspected acute ischemic stroke is employed and it is found that 99.0% predicted-negative cases can be trusted with high confidence, leading to a potential reduction in human workload. A prospective study is warranted to determine whether the algorithm could improve patients' care in comparison to clinicians' assessment.</t>
  </si>
  <si>
    <t>Development of a deep residual learning algorithm to screen for glaucoma from fundus photography</t>
  </si>
  <si>
    <t>The Purpose of the study was to develop a deep residual learning algorithm to screen for glaucoma from fundus photography and measure its diagnostic performance compared to Residents in Ophthalmology. A training dataset consisted of 1,364 color fundus photographs with glaucomatous indications and 1,768 color fundus photographs without glaucomatous features. A testing dataset consisted of 60 eyes of 60 glaucoma patients and 50 eyes of 50 normal subjects. Using the training dataset, a deep learning algorithm known as Deep Residual Learning for Image Recognition (ResNet) was developed to discriminate glaucoma, and its diagnostic accuracy was validated in the testing dataset, using the area under the receiver operating characteristic curve (AROC). The Deep Residual Learning for Image Recognition was constructed using the training dataset and validated using the testing dataset. The presence of glaucoma in the testing dataset was also confirmed by three Residents in Ophthalmology. The deep learning algorithm achieved significantly higher diagnostic performance compared to Residents in Ophthalmology; with ResNet, the AROC from all testing data was 96.5 (95% confidence interval [CI]: 93.5 to 99.6)% while the AROCs obtained by the three Residents were between 72.6% and 91.2%.</t>
  </si>
  <si>
    <t>N. Shibata, M. Tanito, K. Mitsuhashi, Y. Fujino, M. Matsuura, H. Murata and R. Asaoka</t>
  </si>
  <si>
    <t>Automated rotator cuff tear classification using 3D convolutional neural network</t>
  </si>
  <si>
    <t>Rotator cuff tear (RCT) is one of the most common shoulder injuries. When diagnosing RCT, skilled orthopedists visually interpret magnetic resonance imaging (MRI) scan data. For automated and accurate diagnosis of RCT, we propose a full 3D convolutional neural network (CNN) based method using deep learning. This 3D CNN automatically diagnoses the presence or absence of an RCT, classifies the tear size, and provides 3D visualization of the tear location. To train the 3D CNN, the Voxception-ResNet (VRN) structure was used. This architecture uses 3D convolution filters, so it is advantageous in extracting information from 3D data compared with 2D-based CNNs or traditional diagnosis methods. MRI data from 2,124 patients were used to train and test the VRN-based 3D CNN. The network is trained to classify RCT into five classes (None, Partial, Small, Medium, Large-to-Massive). A 3D class activation map (CAM) was visualized by volume rendering to show the localization and size information of RCT in 3D. A comparative experiment was performed for the proposed method and clinical experts by using randomly selected 200 test set data, which had been separated from training set. The VRN-based 3D CNN outperformed orthopedists specialized in shoulder and general orthopedists in binary accuracy (92.5% vs. 76.4% and 68.2%), top-1 accuracy (69.0% vs. 45.8% and 30.5%), top-1±1 accuracy (87.5% vs. 79.8% and 71.0%), sensitivity (0.94 vs. 0.86 and 0.90), and specificity (0.90 vs. 0.58 and 0.29). The generated 3D CAM provided effective information regarding the 3D location and size of the tear. Given these results, the proposed method demonstrates the feasibility of artificial intelligence that can assist in clinical RCT diagnosis.</t>
  </si>
  <si>
    <t>Automated measurement of bone scan index from a whole-body bone scintigram</t>
  </si>
  <si>
    <t>PURPOSE: We propose a deep learning-based image interpretation system for skeleton segmentation and extraction of hot spots of bone metastatic lesion from a whole-body bone scintigram followed by automated measurement of a bone scan index (BSI), which will be clinically useful. METHODS: The proposed system employs butterfly-type networks (BtrflyNets) for skeleton segmentation and extraction of hot spots of bone metastatic lesions, in which a pair of anterior and posterior images are processed simultaneously. BSI is then measured using the segmented bones and extracted hot spots. To further improve the networks, deep supervision (DSV) and residual learning technologies were introduced. RESULTS: We evaluated the performance of the proposed system using 246 bone scintigrams of prostate cancer in terms of accuracy of skeleton segmentation, hot spot extraction, and BSI measurement, as well as computational cost. In a threefold cross-validation experiment, the best performance was achieved by BtrflyNet with DSV for skeleton segmentation and BtrflyNet with residual blocks. The cross-correlation between the measured and true BSI was 0.9337, and the computational time for a case was 112.0 s. CONCLUSION: We proposed a deep learning-based BSI measurement system for a whole-body bone scintigram and proved its effectiveness by threefold cross-validation study using 246 whole-body bone scintigrams. The automatically measured BSI and computational time for a case are deemed clinically acceptable and reliable.</t>
  </si>
  <si>
    <t>Stacked autoencoders for unsupervised feature learning and multiple organ detection in a pilot study using 4D patient data</t>
  </si>
  <si>
    <t>Medical image analysis remains a challenging application area for artificial intelligence. When applying machine learning, obtaining ground-truth labels for supervised learning is more difficult than in many more common applications of machine learning. This is especially so for datasets with abnormalities, as tissue types and the shapes of the organs in these datasets differ widely. However, organ detection in such an abnormal dataset may have many promising potential real-world applications, such as automatic diagnosis, automated radiotherapy planning, and medical image retrieval, where new multimodal medical images provide more information about the imaged tissues for diagnosis. Here, we test the application of deep learning methods to organ identification in magnetic resonance medical images, with visual and temporal hierarchical features learned to categorize object classes from an unlabeled multimodal DCE-MRI dataset so that only a weakly supervised training is required for a classifier. A probabilistic patch-based method was employed for multiple organ detection, with the features learned from the deep learning model. This shows the potential of the deep learning model for application to medical images, despite the difficulty of obtaining libraries of correctly labeled training datasets and despite the intrinsic abnormalities present in patient datasets.</t>
  </si>
  <si>
    <t>H. C. Shin, M. R. Orton, D. J. Collins, S. J. Doran and M. O. Leach</t>
  </si>
  <si>
    <t>Style transfer strategy for developing a generalizable deep learning application in digital pathology</t>
  </si>
  <si>
    <t>BACKGROUND AND OBJECTIVES: Despite recent advances in artificial intelligence for medical images, the development of a robust deep learning model for identifying malignancy on pathology slides has been limited by problems related to substantial inter- and intra-institutional heterogeneity attributable to tissue preparation. The paucity of available data aggravates this limitation for relatively rare cancers. Here, using ovarian cancer pathology images, we explored the effect of image-to-image style transfer approaches on diagnostic performance. METHODS: We leveraged a relatively large public image set for 142 patients with ovarian cancer from The Cancer Image Archive (TCIA) to fine-tune the renowned deep learning model Inception V3 for identifying malignancy on tissue slides. As an external validation, the performance of the developed classifier was tested using a relatively small institutional pathology image set for 32 patients. To reduce deterioration of the performance associated with the inter-institutional heterogeneity of pathology slides, we translated the style of the small image set of the local institution into the large image set style of the TCIA using cycle-consistent generative adversarial networks. RESULTS: Without style transfer, the performance of the classifier was as follows: area under the receiver operating characteristic curve (AUROC) = 0.737 and area under the precision recall curve (AUPRC) = 0.710. After style transfer, AUROC and AUPRC improved to 0.916 and 0.898, respectively. CONCLUSIONS: This study provides a case of the successful application of style transfer technology to generalize a deep learning model into small image sets in the field of digital pathology. Researchers at local institutions can select this collaborative system to make their small image sets acceptable to the deep learning model.</t>
  </si>
  <si>
    <t>Deep vessel segmentation by learning graphical connectivity</t>
  </si>
  <si>
    <t>We propose a novel deep learning based system for vessel segmentation. Existing methods using CNNs have mostly relied on local appearances learned on the regular image grid, without consideration of the graphical structure of vessel shape. Effective use of the strong relationship that exists between vessel neighborhoods can help improve the vessel segmentation accuracy. To this end, we incorporate a graph neural network into a unified CNN architecture to jointly exploit both local appearances and global vessel structures. We extensively perform comparative evaluations on four retinal image datasets and a coronary artery X-ray angiography dataset, showing that the proposed method outperforms or is on par with current state-of-the-art methods in terms of the average precision and the area under the receiver operating characteristic curve. Statistical significance on the performance difference between the proposed method and each comparable method is suggested by conducting a paired t-test. In addition, ablation studies support the particular choices of algorithmic detail and hyperparameter values of the proposed method. The proposed architecture is widely applicable since it can be applied to expand any type of CNN-based vessel segmentation method to enhance the performance.</t>
  </si>
  <si>
    <t>Automatic polyp frame screening using patch based combined feature and dictionary learning</t>
  </si>
  <si>
    <t>Polyps in the colon can potentially become malignant cancer tissues where early detection and removal lead to high survival rate. Certain types of polyps can be difficult to detect even for highly trained physicians. Inspired by aforementioned problem our study aims to improve the human detection performance by developing an automatic polyp screening framework as a decision support tool. We use a small image patch based combined feature method. Features include shape and color information and are extracted using histogram of oriented gradient and hue histogram methods. Dictionary learning based training is used to learn features and final feature vector is formed using sparse coding. For classification, we use patch image classification based on linear support vector machine and whole image thresholding. The proposed framework is evaluated using three public polyp databases. Our experimental results show that the proposed scheme successfully classified polyps and normal images with over 95% of classification accuracy, sensitivity, specificity and precision. In addition, we compare performance of the proposed scheme with conventional feature based methods and the convolutional neural network (CNN) based deep learning approach which is the state of the art technique in many image classification applications.</t>
  </si>
  <si>
    <t>Y. Shin and I. Balasingham</t>
  </si>
  <si>
    <t>Low-Dose Abdominal CT Using a Deep Learning-Based Denoising Algorithm: A Comparison with CT Reconstructed with Filtered Back Projection or Iterative Reconstruction Algorithm</t>
  </si>
  <si>
    <t>OBJECTIVE: To compare the image quality of low-dose (LD) computed tomography (CT) obtained using a deep learning-based denoising algorithm (DLA) with LD CT images reconstructed with a filtered back projection (FBP) and advanced modeled iterative reconstruction (ADMIRE). MATERIALS AND METHODS: One hundred routine-dose (RD) abdominal CT studies reconstructed using FBP were used to train the DLA. Simulated CT images were made at dose levels of 13%, 25%, and 50% of the RD (DLA-1, -2, and -3) and reconstructed using FBP. We trained DLAs using the simulated CT images as input data and the RD CT images as ground truth. To test the DLA, the American College of Radiology CT phantom was used together with 18 patients who underwent abdominal LD CT. LD CT images of the phantom and patients were processed using FBP, ADMIRE, and DLAs (LD-FBP, LD-ADMIRE, and LD-DLA images, respectively). To compare the image quality, we measured the noise power spectrum and modulation transfer function (MTF) of phantom images. For patient data, we measured the mean image noise and performed qualitative image analysis. We evaluated the presence of additional artifacts in the LD-DLA images. RESULTS: LD-DLAs achieved lower noise levels than LD-FBP and LD-ADMIRE for both phantom and patient data (all p &lt; 0.001). LD-DLAs trained with a lower radiation dose showed less image noise. However, the MTFs of the LD-DLAs were lower than those of LD-ADMIRE and LD-FBP (all p &lt; 0.001) and decreased with decreasing training image dose. In the qualitative image analysis, the overall image quality of LD-DLAs was best for DLA-3 (50% simulated radiation dose) and not significantly different from LD-ADMIRE. There were no additional artifacts in LD-DLA images. CONCLUSION: DLAs achieved less noise than FBP and ADMIRE in LD CT images, but did not maintain spatial resolution. The DLA trained with 50% simulated radiation dose showed the best overall image quality.</t>
  </si>
  <si>
    <t>Predictive markers for Parkinson's disease using deep neural nets on neuromelanin sensitive MRI</t>
  </si>
  <si>
    <t>Neuromelanin sensitive magnetic resonance imaging (NMS-MRI) has been crucial in identifying abnormalities in the substantia nigra pars compacta (SNc) in Parkinson's disease (PD) as PD is characterized by loss of dopaminergic neurons in the SNc. Current techniques employ estimation of contrast ratios of the SNc, visualized on NMS-MRI, to discern PD patients from the healthy controls. However, the extraction of these features is time-consuming and laborious and moreover provides lower prediction accuracies. Furthermore, these do not account for patterns of subtle changes in PD in the SNc. To mitigate this, our work establishes a computer-based analysis technique that uses convolutional neural networks (CNNs) to create prognostic and diagnostic biomarkers of PD from NMS-MRI. Our technique not only performs with a superior testing accuracy (80%) as compared to contrast ratio-based classification (56.5% testing accuracy) and radiomics classifier (60.3% testing accuracy), but also supports discriminating PD from atypical parkinsonian syndromes (85.7% test accuracy). Moreover, it has the capability to locate the most discriminative regions on the neuromelanin contrast images. These discriminative activations demonstrate that the left SNc plays a key role in the classification in comparison to the right SNc, and are in agreement with the concept of asymmetry in PD. Overall, the proposed technique has the potential to support radiological diagnosis of PD while facilitating deeper understanding into the abnormalities in SNc.</t>
  </si>
  <si>
    <t>Development of a deep learning model to identify hyperdense MCA sign in patients with acute ischemic stroke</t>
  </si>
  <si>
    <t>PURPOSE: The aim of this study was to develop an interactive deep learning-assisted identification of the hyperdense middle cerebral artery (MCA) sign (HMCAS) on non-contrast computed tomography (CT) among patients with acute ischemic stroke. MATERIALS AND METHODS: 35 HMCAS-positive and 39 HMCAS-negative samples extracted by 50-pixel-diameter circular regions of interest were obtained as training and validation datasets according to the consensus decisions of two experienced neuroradiologists. Data augmentation was performed to increase the number of training samples. A deep convolutional neural network (DCNN) (Xception) was used to classify input images as HMCAS-positive or -negative. Leave-one-case-out cross-validation was achieved to estimate sensitivity, specificity, and accuracy of the deep learning-based training model for identifying HMCAS. RESULTS: In terms of diagnostic performance, DCNN for HMCAS offered 82.9% sensitivity, 89.7% specificity, and 86.5% accuracy in leave-one-case-out cross-validation. Area under the receiver operating characteristic curve for HMCAS was 0.947 (95% confidence interval 0.895-0.998; P &lt; 0.05). CONCLUSION: The deep learning method appears potentially beneficial for identifying HMCAS on non-contrast CT in patients with acute ischemic stroke.</t>
  </si>
  <si>
    <t>Feasibility study for use of angiographic parametric imaging and deep neural networks for intracranial aneurysm occlusion prediction</t>
  </si>
  <si>
    <t>BACKGROUND: Angiographic parametric imaging (API), based on digital subtraction angiography (DSA), is a quantitative imaging tool that may be used to extract contrast flow parameters related to hemodynamic conditions in abnormal pathologies such as intracranial aneurysms (IAs). OBJECTIVE: To investigate the feasibility of using deep neural networks (DNNs) and API to predict IA occlusion using pre- and post-intervention DSAs. METHODS: We analyzed DSA images of IAs pre- and post-treatment to extract API parameters in the IA dome and the corresponding main artery (un-normalized data). We implemented a two-step correction to account for injection variability (normalized data) and projection foreshortening (relative data). A DNN was trained to predict a binary IA occlusion outcome: occluded/unoccluded. Network performance was assessed with area under the receiver operating characteristic curve (AUROC) and classification accuracy. To evaluate the effect of the proposed corrections, prediction accuracy analysis was performed after each normalization step. RESULTS: The study included 190 IAs. The mean and median duration between treatment and follow-up was 9.8 and 8.0 months, respectively. For the un-normalized, normalized, and relative subgroups, the DNN average prediction accuracies for IA occlusion were 62.5% (95% CI 60.5% to 64.4%), 70.8% (95% CI 68.2% to 73.4%), and 77.9% (95% CI 76.2% to 79.6%). The average AUROCs for the same subgroups were 0.48 (0.44-0.52), 0.67 (0.61-0.73), and 0.77 (0.74-0.80). CONCLUSIONS: The study demonstrated the feasibility of using API and DNNs to predict IA occlusion using only pre- and post-intervention angiographic information.</t>
  </si>
  <si>
    <t>Direct attenuation correction of brain PET images using only emission data via a deep convolutional encoder-decoder (Deep-DAC)</t>
  </si>
  <si>
    <t>OBJECTIVE: To obtain attenuation-corrected PET images directly from non-attenuation-corrected images using a convolutional encoder-decoder network. METHODS: Brain PET images from 129 patients were evaluated. The network was designed to map non-attenuation-corrected (NAC) images to pixel-wise continuously valued measured attenuation-corrected (MAC) PET images via an encoder-decoder architecture. Image quality was evaluated using various evaluation metrics. Image quantification was assessed for 19 radiomic features in 83 brain regions as delineated using the Hammersmith atlas (n30r83). Reliability of measurements was determined using pixel-wise relative errors (RE; %) for radiomic feature values in reference MAC PET images. RESULTS: Peak signal-to-noise ratio (PSNR) and structural similarity index metric (SSIM) values were 39.2 ± 3.65 and 0.989 ± 0.006 for the external validation set, respectively. RE (%) of SUV(mean) was - 0.10 ± 2.14 for all regions, and only 3 of 83 regions depicted significant differences. However, the mean RE (%) of this region was 0.02 (range, - 0.83 to 1.18). SUV(max) had mean RE (%) of - 3.87 ± 2.84 for all brain regions, and 17 regions in the brain depicted significant differences with respect to MAC images with a mean RE of - 3.99 ± 2.11 (range, - 8.46 to 0.76). Homogeneity amongst Haralick-based radiomic features had the highest number (20) of regions with significant differences with a mean RE (%) of 7.22 ± 2.99. CONCLUSIONS: Direct AC of PET images using deep convolutional encoder-decoder networks is a promising technique for brain PET images. The proposed deep learning method shows significant potential for emission-based AC in PET images with applications in PET/MRI and dedicated brain PET scanners. KEY POINTS: • We demonstrate direct emission-based attenuation correction of PET images without using anatomical information. • We performed radiomics analysis of 83 brain regions to show robustness of direct attenuation correction of PET images. • Deep learning methods have significant promise for emission-based attenuation correction in PET images with potential applications in PET/MRI and dedicated brain PET scanners.</t>
  </si>
  <si>
    <t>Potentials and caveats of AI in hybrid imaging</t>
  </si>
  <si>
    <t>State-of-the-art patient management frequently mandates the investigation of both anatomy and physiology of the patients. Hybrid imaging modalities such as the PET/MRI, PET/CT and SPECT/CT have the ability to provide both structural and functional information of the investigated tissues in a single examination. With the introduction of such advanced hardware fusion, new problems arise such as the exceedingly large amount of multi-modality data that requires novel approaches of how to extract a maximum of clinical information from large sets of multi-dimensional imaging data. Artificial intelligence (AI) has emerged as one of the leading technologies that has shown promise in facilitating highly integrative analysis of multi-parametric data. Specifically, the usefulness of AI algorithms in the medical imaging field has been heavily investigated in the realms of (1) image acquisition and reconstruction, (2) post-processing and (3) data mining and modelling. Here, we aim to provide an overview of the challenges encountered in hybrid imaging and discuss how AI algorithms can facilitate potential solutions. In addition, we highlight the pitfalls and challenges in using advanced AI algorithms in the context of hybrid imaging and provide suggestions for building robust AI solutions that enable reproducible and transparent research.</t>
  </si>
  <si>
    <t>Augmented Bladder Tumor Detection Using Deep Learning</t>
  </si>
  <si>
    <t>Adequate tumor detection is critical in complete transurethral resection of bladder tumor (TURBT) to reduce cancer recurrence, but up to 20% of bladder tumors are missed by standard white light cystoscopy. Deep learning augmented cystoscopy may improve tumor localization, intraoperative navigation, and surgical resection of bladder cancer. We aimed to develop a deep learning algorithm for augmented cystoscopic detection of bladder cancer. Patients undergoing cystoscopy/TURBT were recruited and white light videos were recorded. Video frames containing histologically confirmed papillary urothelial carcinoma were selected and manually annotated. We constructed CystoNet, an image analysis platform based on convolutional neural networks, for automated bladder tumor detection using a development dataset of 95 patients for algorithm training and five patients for testing. Diagnostic performance of CystoNet was validated prospectively in an additional 54 patients. In the validation dataset, per-frame sensitivity and specificity were 90.9% (95% confidence interval [CI], 90.3-91.6%) and 98.6% (95% CI, 98.5-98.8%), respectively. Per-tumor sensitivity was 90.9% (95% CI, 90.3-91.6%). CystoNet detected 39 of 41 papillary and three of three flat bladder cancers. With high sensitivity and specificity, CystoNet may improve the diagnostic yield of cystoscopy and efficacy of TURBT. PATIENT SUMMARY: Conventional cystoscopy has recognized shortcomings in bladder cancer detection, with implications for recurrence. Cystoscopy augmented with artificial intelligence may improve cancer detection and resection.</t>
  </si>
  <si>
    <t>E. Shkolyar, X. Jia, T. C. Chang, D. Trivedi, K. E. Mach, M. Q. Meng, L. Xing and J. C. Liao</t>
  </si>
  <si>
    <t>Eur Urol</t>
  </si>
  <si>
    <t>Enhanced Point-of-Care Ultrasound Applications by Integrating Automated Feature-Learning Systems Using Deep Learning</t>
  </si>
  <si>
    <t>Recent applications of artificial intelligence (AI) and deep learning (DL) in health care include enhanced diagnostic imaging modalities to support clinical decisions and improve patients' outcomes. Focused on using automated DL-based systems to improve point-of-care ultrasound (POCUS), we look at DL-based automation as a key field in expanding and improving POCUS applications in various clinical settings. A promising additional value would be the ability to automate training model selections for teaching POCUS to medical trainees and novice sonologists. The diversity of POCUS applications and ultrasound equipment, each requiring specialized AI models and domain expertise, limits the use of DL as a generic solution. In this article, we highlight the most advanced potential applications of AI in POCUS tailored to high-yield models in automated image interpretations, with the premise of improving the accuracy and efficacy of POCUS scans.</t>
  </si>
  <si>
    <t>H. Shokoohi, M. A. LeSaux, Y. H. Roohani, A. Liteplo, C. Huang and M. Blaivas</t>
  </si>
  <si>
    <t>Comprehensive Word-Level Classification of Screening Mammography Reports Using a Neural Network Sequence Labeling Approach</t>
  </si>
  <si>
    <t>Radiology reports contain a large amount of potentially valuable unstructured data. Recently, neural networks have been employed to perform classification of radiology reports over a few classes at the document level. The success of neural networks in sequence-labeling problems such as named entity recognition and part of speech tagging suggests that they could be used to classify radiology report text with greater granularity. We employed a neural network architecture to comprehensively classify mammography report text at the word level using a sequence labeling approach. Two radiologists devised a comprehensive classification system for screening mammography reports. Each word in each report was manually categorized by a radiologist into one of 33 categories according to the classification system. Tagged words referencing the same finding were grouped into unique sets. We pre-labeled reports with a rule-based algorithm and then manually edited these annotations for 6705 screening mammography reports (25.1%, 66.8%, and 8.1% BI-RADS 0, 1, and 2, respectively). A combined convolutional and recurrent neural network model was used to label words in each sentence of the individual reports. A siamese recurrent neural network was then used to group findings into sets. Performance of the neural network-based method was compared to a rule-based algorithm and a conditional random field (CRF) model. Global accuracy (percentage of documents where all word tags were predicted correctly) and keyword accuracy (percentage of all words that were labeled correctly, excluding words tagged as unimportant) were calculated on an unseen 519 report test set. Two-tailed t tests were used to assess differences between algorithm performance, and p &lt; 0.05 was used to determine statistical significance. The neural network-based approach showed significantly higher global accuracy compared to both the rule-based algorithm (88.3 vs 57.0%, p &lt; 0.001) and the CRF model (88.3% vs. 75.8%, p &lt; 0.001). The neural network also showed significantly higher keyword level accuracy compared to the rule-based algorithm (95.5% vs. 80.9% p &lt; 0.001) and CRF model (95.5% vs. 76.9%, p &lt; 0.001). We demonstrate the potential of neural networks to accurately perform word-level multilabel classification of free text radiology reports across 33 classes, thus showing the utility of a sequence labeling approach to NLP of radiology reports. We found that a neural network classifier outperforms a rule-based algorithm and a CRF classifier for comprehensive multilabel classification of free text screening mammography reports at the word level. By approaching radiology report classification as a sequence-labeling problem, we demonstrate the ability of neural networks to extract data from free text radiology reports at a level of granularity not previously reported.</t>
  </si>
  <si>
    <t>Model-Agnostic Method for Thoracic Wall Segmentation in Fetal Ultrasound Videos</t>
  </si>
  <si>
    <t>The application of segmentation methods to medical imaging has the potential to create novel diagnostic support models. With respect to fetal ultrasound, the thoracic wall is a key structure on the assessment of the chest region for examiners to recognize the relative orientation and size of structures inside the thorax, which are critical components in neonatal prognosis. In this study, to improve the segmentation performance of the thoracic wall in fetal ultrasound videos, we proposed a novel model-agnostic method using deep learning techniques: the Multi-Frame + Cylinder method (MFCY). The Multi-frame method (MF) uses time-series information of ultrasound videos, and the Cylinder method (CY) utilizes the shape of the thoracic wall. To evaluate the achieved improvement, we performed segmentation using five-fold cross-validation on 538 ultrasound frames in the four-chamber view (4CV) of 256 normal cases using U-net and DeepLabv3+. MFCY increased the mean values of the intersection over union (IoU) of thoracic wall segmentation from 0.448 to 0.493 for U-net and from 0.417 to 0.470 for DeepLabv3+. These results demonstrated that MFCY improved the segmentation performance of the thoracic wall in fetal ultrasound videos without altering the network structure. MFCY is expected to facilitate the development of diagnostic support models in fetal ultrasound by providing further accurate segmentation of the thoracic wall.</t>
  </si>
  <si>
    <t>A Step-by-Step Implementation of DeepBehavior, Deep Learning Toolbox for Automated Behavior Analysis</t>
  </si>
  <si>
    <t>Understanding behavior is the first step to truly understanding neural mechanisms in the brain that drive it. Traditional behavioral analysis methods often do not capture the richness inherent to the natural behavior. Here, we provide detailed step-by-step instructions with visualizations of our recent methodology, DeepBehavior. The DeepBehavior toolbox uses deep learning frameworks built with convolutional neural networks to rapidly process and analyze behavioral videos. This protocol demonstrates three different frameworks for single object detection, multiple object detection, and three-dimensional (3D) human joint pose tracking. These frameworks return cartesian coordinates of the object of interest for each frame of the behavior video. Data collected from the DeepBehavior toolbox contain much more detail than traditional behavior analysis methods and provides detailed insights to the behavior dynamics. DeepBehavior quantifies behavior tasks in a robust, automated, and precise way. Following the identification of behavior, post-processing code is provided to extract information and visualizations from the behavioral videos.</t>
  </si>
  <si>
    <t>J Vis Exp</t>
  </si>
  <si>
    <t>Deep Learning to Predict Protein Backbone Structure from High-Resolution Cryo-EM Density Maps</t>
  </si>
  <si>
    <t>Cryo-electron microscopy (cryo-EM) has become a leading technology for determining protein structures. Recent advances in this field have allowed for atomic resolution. However, predicting the backbone trace of a protein has remained a challenge on all but the most pristine density maps (&lt;2.5 Å resolution). Here we introduce a deep learning model that uses a set of cascaded convolutional neural networks (CNNs) to predict Cα atoms along a protein's backbone structure. The cascaded-CNN (C-CNN) is a novel deep learning architecture comprised of multiple CNNs, each predicting a specific aspect of a protein's structure. This model predicts secondary structure elements (SSEs), backbone structure, and Cα atoms, combining the results of each to produce a complete prediction map. The cascaded-CNN is a semantic segmentation image classifier and was trained using thousands of simulated density maps. This method is largely automatic and only requires a recommended threshold value for each protein density map. A specialized tabu-search path walking algorithm was used to produce an initial backbone trace with Cα placements. A helix-refinement algorithm made further improvements to the α-helix SSEs of the backbone trace. Finally, a novel quality assessment-based combinatorial algorithm was used to effectively map protein sequences onto Cα traces to obtain full-atom protein structures. This method was tested on 50 experimental maps between 2.6 Å and 4.4 Å resolution. It outperformed several state-of-the-art prediction methods including Rosetta de-novo, MAINMAST, and a Phenix based method by producing the most complete predicted protein structures, as measured by percentage of found Cα atoms. This method accurately predicted 88.9% (mean) of the Cα atoms within 3 Å of a protein's backbone structure surpassing the 66.8% mark achieved by the leading alternate method (Phenix based fully automatic method) on the same set of density maps. The C-CNN also achieved an average root-mean-square deviation (RMSD) of 1.24 Å on a set of 50 experimental density maps which was tested by the Phenix based fully automatic method. The source code and demo of this research has been published at https://github.com/DrDongSi/Ca-Backbone-Prediction.</t>
  </si>
  <si>
    <t>Deep Learning-Based Detection of Intracranial Aneurysms in 3D TOF-MRA</t>
  </si>
  <si>
    <t>BACKGROUND AND PURPOSE: The rupture of an intracranial aneurysm is a serious incident, causing subarachnoid hemorrhage associated with high fatality and morbidity rates. Because the demand for radiologic examinations is steadily growing, physician fatigue due to an increased workload is a real concern and may lead to mistaken diagnoses of potentially relevant findings. Our aim was to develop a sufficient system for automated detection of intracranial aneurysms. MATERIALS AND METHODS: In a retrospective study, we established a system for the detection of intracranial aneurysms from 3D TOF-MRA data. The system is based on an open-source neural network, originally developed for segmentation of anatomic structures in medical images. Eighty-five datasets of patients with a total of 115 intracranial aneurysms were used to train the system and evaluate its performance. Manual annotation of aneurysms based on radiologic reports and critical revision of image data served as the reference standard. Sensitivity, false-positives per case, and positive predictive value were determined for different pipelines with modified pre- and postprocessing. RESULTS: The highest overall sensitivity of our system for the detection of intracranial aneurysms was 90% with a sensitivity of 96% for aneurysms with a diameter of 3-7 mm and 100% for aneurysms of &gt;7 mm. The best location-dependent performance was in the posterior circulation. Pre- and postprocessing sufficiently reduced the number of false-positives. CONCLUSIONS: Our system, based on a deep learning convolutional network, can detect intracranial aneurysms with a high sensitivity from 3D TOF-MRA data.</t>
  </si>
  <si>
    <t>T. Sichtermann, A. Faron, R. Sijben, N. Teichert, J. Freiherr and M. Wiesmann</t>
  </si>
  <si>
    <t>Re: Classification of Cancer at Prostate MRI: Deep Learning versus Clinical PI-RADS Assessment</t>
  </si>
  <si>
    <t>C. Siegel</t>
  </si>
  <si>
    <t>J Urol</t>
  </si>
  <si>
    <t>Past and present of computer-assisted dermoscopic diagnosis: performance of a conventional image analyser versus a convolutional neural network in a prospective data set of 1,981 skin lesions</t>
  </si>
  <si>
    <t>BACKGROUND: Convolutional neural networks (CNNs) have shown a dermatologist-level performance in the classification of skin lesions. We aimed to deliver a head-to-head comparison of a conventional image analyser (CIA), which depends on segmentation and weighting of handcrafted features, to a CNN trained by deep learning. METHODS: Cross-sectional study using a real-world, prospectively acquired, dermoscopic dataset of 1981 skin lesions to compare the diagnostic performance of a market-approved CNN (Moleanalyzer-Pro™, developed in 2018) to a CIA (Moleanalyzer-3™/Dynamole™; developed in 2004, all FotoFinder Systems Inc, Germany). As a reference standard, we used histopathological diagnoses (n = 785) or, in non-excised benign lesions (n = 1196), expert consensus plus an uneventful follow-up by sequential digital dermoscopy for at least 2 years. RESULTS: A total of 281 malignant lesions and 1700 benign lesions from 435 patients (62.2% male, mean age: 52 years) were prospectively imaged. The CNN showed a sensitivity of 77.6% (95% confidence interval [CI]: [72.4%-82.1%]), specificity of 95.3% (95% CI: [94.2%-96.2%]), and receiver operating characteristic (ROC)-area under the curve (AUC) of 0.945 (95% CI: [0.930-0.961]). In contrast, the CIA achieved a sensitivity of 53.4% (95% CI: [47.5%-59.1%]), specificity of 86.6% (95% CI: [84.9%-88.1%]) and ROC-AUC of 0.738 (95% CI: [0.701-0.774]). The data set included melanomas originally diagnosed by dynamic changes during sequential digital dermoscopy (52 of 201, 20.6%), which reduced the sensitivities of both classifiers. Pairwise comparisons of sensitivities, specificities, and ROC-AUCs indicated a clear outperformance by the CNN (all p &lt; 0.001). CONCLUSIONS: The superior diagnostic performance of the CNN argues against a continued application of former CIAs as an aide to physicians' clinical management decisions.</t>
  </si>
  <si>
    <t>Iron-Sequestering Nanocompartments as Multiplexed Electron Microscopy Gene Reporters</t>
  </si>
  <si>
    <t>Multicolored gene reporters for light microscopy are indispensable for biomedical research, but equivalent genetic tools for electron microscopy (EM) are still rare despite the increasing importance of nanometer resolution for reverse engineering of molecular machinery and reliable mapping of cellular circuits. We here introduce the fully genetic encapsulin/cargo system of Quasibacillus thermotolerans (Qt), which in combination with the recently characterized encapsulin system from Myxococcus xanthus (Mx) enables multiplexed gene reporter imaging via conventional transmission electron microscopy (TEM) in mammalian cells. Cryo-electron reconstructions revealed that the Qt encapsulin shell self-assembles to nanospheres with T = 4 icosahedral symmetry and a diameter of ∼43 nm harboring two putative pore regions at the 5-fold and 3-fold axes. We also found that upon heterologous expression in mammalian cells, the native cargo is autotargeted to the inner surface of the shell and exhibits ferroxidase activity leading to efficient intraluminal iron biomineralization, which enhances cellular TEM contrast. We furthermore demonstrate that the two differently sized encapsulins of Qt and Mx do not intermix and can be robustly differentiated by conventional TEM via a deep learning classifier to enable automated multiplexed EM gene reporter imaging.</t>
  </si>
  <si>
    <t>ACS Nano</t>
  </si>
  <si>
    <t>Automatic Scoring of Multiple Semantic Attributes With Multi-Task Feature Leverage: A Study on Pulmonary Nodules in CT Images</t>
  </si>
  <si>
    <t>The gap between the computational and semantic features is the one of major factors that bottlenecks the computer-aided diagnosis (CAD) performance from clinical usage. To bridge this gap, we exploit three multi-task learning (MTL) schemes to leverage heterogeneous computational features derived from deep learning models of stacked denoising autoencoder (SDAE) and convolutional neural network (CNN), as well as hand-crafted Haar-like and HoG features, for the description of 9 semantic features for lung nodules in CT images. We regard that there may exist relations among the semantic features of spiculation, texture, margin, etc., that can be explored with the MTL. The Lung Image Database Consortium (LIDC) data is adopted in this study for the rich annotation resources. The LIDC nodules were quantitatively scored w.r.t. 9 semantic features from 12 radiologists of several institutes in U.S.A. By treating each semantic feature as an individual task, the MTL schemes select and map the heterogeneous computational features toward the radiologists' ratings with cross validation evaluation schemes on the randomly selected 2400 nodules from the LIDC dataset. The experimental results suggest that the predicted semantic scores from the three MTL schemes are closer to the radiologists' ratings than the scores from single-task LASSO and elastic net regression methods. The proposed semantic attribute scoring scheme may provide richer quantitative assessments of nodules for better support of diagnostic decision and management. Meanwhile, the capability of the automatic association of medical image contents with the clinical semantic terms by our method may also assist the development of medical search engine.</t>
  </si>
  <si>
    <t>C. Sihong, Q. Jing, J. Xing, L. Baiying, W. Tianfu, N. Dong and C. Jie-Zhi</t>
  </si>
  <si>
    <t>Automatic measurement of pressure ulcers using Support Vector Machines and GrabCut</t>
  </si>
  <si>
    <t>BACKGROUND AND OBJECTIVE: Pressure ulcers are regions of trauma caused by a continuous pressure applied to soft tissues between a bony prominence and a hard surface. The manual monitoring of their healing evolution can be achieved by area assessment techniques that include the use of rulers and adhesive labels in direct contact with the injury, being highly inaccurate and subjective. In this paper we present a Support Vector Machine classifier in combination with a modified version of the GrabCut method for the automatic measurement of the area affected by pressure ulcers in digital images. METHODS: Three methods of region segmentation using the superpixel strategy were evaluated from which color and texture descriptors were extracted. After the superpixel classification, the GrabCut segmentation method was applied in order to delineate the region affected by the ulcer from the rest of the image. RESULTS: Experiments on a set of 105 pressure ulcer images from a public data set resulted in an average accuracy of 96%, sensitivity of 94%, specificity of 97% and precision of 94%. CONCLUSIONS: The association of support vector machines with superpixel segmentation outperformed current methods based on deep learning and may be extended to tissue classification.</t>
  </si>
  <si>
    <t>Deep Convolutional Neural Network-based Software Improves Radiologist Detection of Malignant Lung Nodules on Chest Radiographs</t>
  </si>
  <si>
    <t>Background Multicenter studies are required to validate the added benefit of using deep convolutional neural network (DCNN) software for detecting malignant pulmonary nodules on chest radiographs. Purpose To compare the performance of radiologists in detecting malignant pulmonary nodules on chest radiographs when assisted by deep learning-based DCNN software with that of radiologists or DCNN software alone in a multicenter setting. Materials and Methods Investigators at four medical centers retrospectively identified 600 lung cancer-containing chest radiographs and 200 normal chest radiographs. Each radiograph with a lung cancer had at least one malignant nodule confirmed by CT and pathologic examination. Twelve radiologists from the four centers independently analyzed the chest radiographs and marked regions of interest. Commercially available deep learning-based computer-aided detection software separately trained, tested, and validated with 19 330 radiographs was used to find suspicious nodules. The radiologists then reviewed the images with the assistance of DCNN software. The sensitivity and number of false-positive findings per image of DCNN software, radiologists alone, and radiologists with the use of DCNN software were analyzed by using logistic regression and Poisson regression. Results The average sensitivity of radiologists improved (from 65.1% [1375 of 2112; 95% confidence interval {CI}: 62.0%, 68.1%] to 70.3% [1484 of 2112; 95% CI: 67.2%, 73.1%], P &lt; .001) and the number of false-positive findings per radiograph declined (from 0.2 [488 of 2400; 95% CI: 0.18, 0.22] to 0.18 [422 of 2400; 95% CI: 0.16, 0.2], P &lt; .001) when the radiologists re-reviewed radiographs with the DCNN software. For the 12 radiologists in this study, 104 of 2400 radiographs were positively changed (from false-negative to true-positive or from false-positive to true-negative) using the DCNN, while 56 of 2400 radiographs were changed negatively. Conclusion Radiologists had better performance with deep convolutional network software for the detection of malignant pulmonary nodules on chest radiographs than without. © RSNA, 2019 Online supplemental material is available for this article. See also the editorial by Jacobson in this issue.</t>
  </si>
  <si>
    <t>Multi-radial LBP Features as a Tool for Rapid Glomerular Detection and Assessment in Whole Slide Histopathology Images</t>
  </si>
  <si>
    <t>We demonstrate a simple and effective automated method for the localization of glomeruli in large (~1 gigapixel) histopathological whole-slide images (WSIs) of thin renal tissue sections and biopsies, using an adaptation of the well-known local binary patterns (LBP) image feature vector to train a support vector machine (SVM) model. Our method offers high precision (&gt;90%) and reasonable recall (&gt;70%) for glomeruli from WSIs, is readily adaptable to glomeruli from multiple species, including mouse, rat, and human, and is robust to diverse slide staining methods. Using 5 Intel(R) Core(TM) i7-4790 CPUs with 40 GB RAM, our method typically requires ~15 sec for training and ~2 min to extract glomeruli reproducibly from a WSI. Deploying a deep convolutional neural network trained for glomerular recognition in tandem with the SVM suffices to reduce false positives to below 3%. We also apply our LBP-based descriptor to successfully detect pathologic changes in a mouse model of diabetic nephropathy. We envision potential clinical and laboratory applications for this approach in the study and diagnosis of glomerular disease, and as a means of greatly accelerating the construction of feature sets to fuel deep learning studies into tissue structure and pathology.</t>
  </si>
  <si>
    <t>O. Simon, R. Yacoub, S. Jain, J. E. Tomaszewski and P. Sarder</t>
  </si>
  <si>
    <t>Deep learning 3D structures</t>
  </si>
  <si>
    <t>A. Singh</t>
  </si>
  <si>
    <t>Classification of COVID-19 patients from chest CT images using multi-objective differential evolution-based convolutional neural networks</t>
  </si>
  <si>
    <t>Early classification of 2019 novel coronavirus disease (COVID-19) is essential for disease cure and control. Compared with reverse-transcription polymerase chain reaction (RT-PCR), chest computed tomography (CT) imaging may be a significantly more trustworthy, useful, and rapid technique to classify and evaluate COVID-19, specifically in the epidemic region. Almost all hospitals have CT imaging machines; therefore, the chest CT images can be utilized for early classification of COVID-19 patients. However, the chest CT-based COVID-19 classification involves a radiology expert and considerable time, which is valuable when COVID-19 infection is growing at rapid rate. Therefore, an automated analysis of chest CT images is desirable to save the medical professionals' precious time. In this paper, a convolutional neural networks (CNN) is used to classify the COVID-19-infected patients as infected (+ve) or not (-ve). Additionally, the initial parameters of CNN are tuned using multi-objective differential evolution (MODE). Extensive experiments are performed by considering the proposed and the competitive machine learning techniques on the chest CT images. Extensive analysis shows that the proposed model can classify the chest CT images at a good accuracy rate.</t>
  </si>
  <si>
    <t>Eur J Clin Microbiol Infect Dis</t>
  </si>
  <si>
    <t>Image Quality and Lesion Detection on Deep Learning Reconstruction and Iterative Reconstruction of Submillisievert Chest and Abdominal CT</t>
  </si>
  <si>
    <t>OBJECTIVE. The objective of this study was to compare image quality and clinically significant lesion detection on deep learning reconstruction (DLR) and iterative reconstruction (IR) images of submillisievert chest and abdominopelvic CT. MATERIALS AND METHODS. Our prospective multiinstitutional study included 59 adult patients (33 women, 26 men; mean age ± SD, 65 ± 12 years old; mean body mass index [weight in kilograms divided by the square of height in meters] = 27 ± 5) who underwent routine chest (n = 22; 16 women, six men) and abdominopelvic (n = 37; 17 women, 20 men) CT on a 640-MDCT scanner (Aquilion ONE, Canon Medical Systems). All patients gave written informed consent for the acquisition of low-dose (LD) CT (LDCT) after a clinically indicated standard-dose (SD) CT (SDCT). The SDCT series (120 kVp, 164-644 mA) were reconstructed with interactive reconstruction (IR) (adaptive iterative dose reduction [AIDR] 3D, Canon Medical Systems), and the LDCT (100 kVp, 120 kVp; 30-50 mA) were reconstructed with filtered back-projection (FBP), IR (AIDR 3D and forward-projected model-based iterative reconstruction solution [FIRST], Canon Medical Systems), and deep learning reconstruction (DLR) (Advanced Intelligent Clear-IQ Engine [AiCE], Canon Medical Systems). Four subspecialty-trained radiologists first read all LD image sets and then compared them side-by-side with SD AIDR 3D images in an independent, randomized, and blinded fashion. Subspecialty radiologists assessed image quality of LDCT images on a 3-point scale (1 = unacceptable, 2 = suboptimal, 3 = optimal). Descriptive statistics were obtained, and the Wilcoxon sign rank test was performed. RESULTS. Mean volume CT dose index and dose-length product for LDCT (2.1 ± 0.8 mGy, 49 ± 13mGy·cm) were lower than those for SDCT (13 ± 4.4 mGy, 567 ± 249 mGy·cm) (p &lt; 0.0001). All 31 clinically significant abdominal lesions were seen on SD AIDR 3D and LD DLR images. Twenty-five, 18, and seven lesions were detected on LD AIDR 3D, LD FIRST, and LD FBP images, respectively. All 39 pulmonary nodules detected on SD AIDR 3D images were also noted on LD DLR images. LD DLR images were deemed acceptable for interpretation in 97% (35/37) of abdominal and 95-100% (21-22/22) of chest LDCT studies (p = 0.2-0.99). The LD FIRST, LD AIDR 3D, and LD FBP images had inferior image quality compared with SD AIDR 3D images (p &lt; 0.0001). CONCLUSION. At submillisievert chest and abdominopelvic CT doses, DLR enables image quality and lesion detection superior to commercial IR and FBP images.</t>
  </si>
  <si>
    <t>Deep learning in chest radiography: Detection of findings and presence of change</t>
  </si>
  <si>
    <t>BACKGROUND: Deep learning (DL) based solutions have been proposed for interpretation of several imaging modalities including radiography, CT, and MR. For chest radiographs, DL algorithms have found success in the evaluation of abnormalities such as lung nodules, pulmonary tuberculosis, cystic fibrosis, pneumoconiosis, and location of peripherally inserted central catheters. Chest radiography represents the most commonly performed radiological test for a multitude of non-emergent and emergent clinical indications. This study aims to assess accuracy of deep learning (DL) algorithm for detection of abnormalities on routine frontal chest radiographs (CXR), and assessment of stability or change in findings over serial radiographs. METHODS AND FINDINGS: We processed 874 de-identified frontal CXR from 724 adult patients (&gt; 18 years) with DL (Qure AI). Scores and prediction statistics from DL were generated and recorded for the presence of pulmonary opacities, pleural effusions, hilar prominence, and enlarged cardiac silhouette. To establish a standard of reference (SOR), two thoracic radiologists assessed all CXR for these abnormalities. Four other radiologists (test radiologists), unaware of SOR and DL findings, independently assessed the presence of radiographic abnormalities. A total 724 radiographs were assessed for detection of findings. A subset of 150 radiographs with follow up examinations was used to asses change over time. Data were analyzed with receiver operating characteristics analyses and post-hoc power analysis. RESULTS: About 42% (305/ 724) CXR had no findings according to SOR; single and multiple abnormalities were seen in 23% (168/724) and 35% (251/724) of CXR. There was no statistical difference between DL and SOR for all abnormalities (p = 0.2-0.8). The area under the curve (AUC) for DL and test radiologists ranged between 0.837-0.929 and 0.693-0.923, respectively. DL had lowest AUC (0.758) for assessing changes in pulmonary opacities over follow up CXR. Presence of chest wall implanted devices negatively affected the accuracy of DL algorithm for evaluation of pulmonary and hilar abnormalities. CONCLUSIONS: DL algorithm can aid in interpretation of CXR findings and their stability over follow up CXR. However, in its present version, it is unlikely to replace radiologists due to its limited specificity for categorizing specific findings.</t>
  </si>
  <si>
    <t>R. Singh, M. K. Kalra, C. Nitiwarangkul, J. A. Patti, F. Homayounieh, A. Padole, P. Rao, P. Putha, V. V. Muse, A. Sharma and S. R. Digumarthy</t>
  </si>
  <si>
    <t>Quantitative lobar pulmonary perfusion assessment on dual-energy CT pulmonary angiography: applications in pulmonary embolism</t>
  </si>
  <si>
    <t>PURPOSE: To assess quantitative lobar pulmonary perfusion on DECT-PA in patients with and without pulmonary embolism (PE). MATERIALS AND METHODS: Our retrospective study included 88 adult patients (mean age 56 ± 19 years; 38 men, 50 women) who underwent DECT-PA (40 PE present; 48 PE absent) on a 384-slice, third-generation, dual-source CT. All DECT-PA examinations were reviewed to record the presence and location of occlusive and non-occlusive PE. Transverse thin (1 mm) DECT images (80/150 kV) were de-identified and exported offline for processing on a stand-alone deep learning-based prototype for automatic lung lobe segmentation and to obtain the mean attenuation numbers (in HU), contrast amount (in mg), and normalized iodine concentration per lung and lobe. The zonal volumes and mean enhancement were obtained from the Lung Analysis™ application. Data were analyzed with receiver operating characteristics (ROC) and analysis of variance (ANOVA). RESULTS: The automatic lung lobe segmentation was accurate in all DECT-PA (88; 100%). Both lobar and zonal perfusions were significantly lower in patients with PE compared with those without PE (p &lt; 0.0001). The mean attenuation numbers, contrast amounts, and normalized iodine concentrations in different lobes were significantly lower in the patients with PE compared with those in the patients without PE (AUC 0.70-0.78; p &lt; 0.0001). Patients with occlusive PE had significantly lower quantitative perfusion compared with those without occlusive PE (p &lt; 0.0001). CONCLUSION: The deep learning-based prototype enables accurate lung lobe segmentation and assessment of quantitative lobar perfusion from DECT-PA. KEY POINTS: • Deep learning-based prototype enables accurate lung lobe segmentation and assessment of quantitative lobar perfusion from DECT-PA. • Quantitative lobar perfusion parameters (AUC up to 0.78) have a higher predicting presence of PE on DECT-PA examinations compared with the zonal perfusion parameters (AUC up to 0.72). • The lobar-normalized iodine concentration has the highest AUC for both presence of PE and for differentiating occlusive and non-occlusive PE.</t>
  </si>
  <si>
    <t>10.3390/s20185097</t>
  </si>
  <si>
    <t>3D Deep Learning on Medical Images: A Review</t>
  </si>
  <si>
    <t>The rapid advancements in machine learning, graphics processing technologies and the availability of medical imaging data have led to a rapid increase in the use of deep learning models in the medical domain. This was exacerbated by the rapid advancements in convolutional neural network (CNN) based architectures, which were adopted by the medical imaging community to assist clinicians in disease diagnosis. Since the grand success of AlexNet in 2012, CNNs have been increasingly used in medical image analysis to improve the efficiency of human clinicians. In recent years, three-dimensional (3D) CNNs have been employed for the analysis of medical images. In this paper, we trace the history of how the 3D CNN was developed from its machine learning roots, we provide a brief mathematical description of 3D CNN and provide the preprocessing steps required for medical images before feeding them to 3D CNNs. We review the significant research in the field of 3D medical imaging analysis using 3D CNNs (and its variants) in different medical areas such as classification, segmentation, detection and localization. We conclude by discussing the challenges associated with the use of 3D CNNs in the medical imaging domain (and the use of deep learning models in general) and possible future trends in the field.</t>
  </si>
  <si>
    <t>Assessment of Critical Feeding Tube Malpositions on Radiographs Using Deep Learning</t>
  </si>
  <si>
    <t>Assess the efficacy of deep convolutional neural networks (DCNNs) in detection of critical enteric feeding tube malpositions on radiographs. 5475 de-identified HIPAA compliant frontal view chest and abdominal radiographs were obtained, consisting of 174 x-rays of bronchial insertions and 5301 non-critical radiographs, including normal course, normal chest, and normal abdominal x-rays. The ground-truth classification for enteric feeding tube placement was performed by two board-certified radiologists. Untrained and pretrained deep convolutional neural network models for Inception V3, ResNet50, and DenseNet 121 were each employed. The radiographs were fed into each deep convolutional neural network, which included untrained and pretrained models. The Tensorflow framework was used for Inception V3, ResNet50, and DenseNet. Images were split into training (4745), validation (630), and test (100). Both real-time and preprocessing image augmentation strategies were performed. Receiver operating characteristic (ROC) and area under the curve (AUC) on the test data were used to assess the models. Statistical differences among the AUCs were obtained. p &lt; 0.05 was considered statistically significant. The pretrained Inception V3, which had an AUC of 0.87 (95 CI; 0.80-0.94), performed statistically significantly better (p &lt; .001) than the untrained Inception V3, with an AUC of 0.60 (95 CI; 0.52-0.68). The pretrained Inception V3 also had the highest AUC overall, as compared with ResNet50 and DenseNet121, with AUC values ranging from 0.82 to 0.85. Each pretrained network outperformed its untrained counterpart. (p &lt; 0.05). Deep learning demonstrates promise in differentiating critical vs. non-critical placement with an AUC of 0.87. Pretrained networks outperformed untrained ones in all cases. DCNNs may allow for more rapid identification and communication of critical feeding tube malpositions.</t>
  </si>
  <si>
    <t>Deep Learning Based Junctional Zone Quantification using 3D Transvaginal Ultrasound in Assisted Reproduction</t>
  </si>
  <si>
    <t>The Uterine Junctional Zone (JZ) is identified as an important anatomical region in the implantation process during assisted reproduction. The JZ changes throughout the hormone stimulation cycle and has predictive value for implantation success. Despite advances in imaging technique, the assessment of JZ remains an enigma. The state-of-the-art method to assess the JZ is largely manual, which is time consuming, depends on operator experience, and often introduces subjective bias in assessment. In this paper, we present methods for automated visualization and quantification of the JZ in three-dimensional transvaginal ultrasound imaging (3D-TVUS). JZ is best visualized in the midcoronal plane of the 3D-TVUS uterus acquisition. We propose an algorithm pipeline, which uses a deep learning model to generate a point cloud representing the surface of the endometrium. A regularized midcoronal surface passing through the point cloud is rendered to obtain the midcoronal plane. The automated solution is designed to accommodate multiple structural deformations and pathologies in the uterus. An expert assisted reproduction clinician on 136 3D-TVUS volumes evaluated the results, and reliable performance was observed in more than 89% cases where the automated solution is able to reproduce, and sometimes even outperform the manual workflow. Automation speeds up the clinical workflow approximately by a factor of ten and reduces operator bias.</t>
  </si>
  <si>
    <t>Subject2Vec: Generative-Discriminative Approach from a Set of Image Patches to a Vector</t>
  </si>
  <si>
    <t>We propose an attention-based method that aggregates local image features to a subject-level representation for predicting disease severity. In contrast to classical deep learning that requires a fixed dimensional input, our method operates on a set of image patches; hence it can accommodate variable length input image without image resizing. The model learns a clinically interpretable subject-level representation that is reflective of the disease severity. Our model consists of three mutually dependent modules which regulate each other: (1) a discriminative network that learns a fixed-length representation from local features and maps them to disease severity; (2) an attention mechanism that provides interpretability by focusing on the areas of the anatomy that contribute the most to the prediction task; and (3) a generative network that encourages the diversity of the local latent features. The generative term ensures that the attention weights are non-degenerate while maintaining the relevance of the local regions to the disease severity. We train our model end-to-end in the context of a large-scale lung CT study of Chronic Obstructive Pulmonary Disease (COPD). Our model gives state-of-the art performance in predicting clinical measures of severity for COPD.The distribution of the attention provides the regional relevance of lung tissue to the clinical measurements.</t>
  </si>
  <si>
    <t>S. Singla, M. Gong, S. Ravanbakhsh, F. Sciurba, B. Poczos and K. N. Batmanghelich</t>
  </si>
  <si>
    <t>Locality Sensitive Deep Learning for Detection and Classification of Nuclei in Routine Colon Cancer Histology Images</t>
  </si>
  <si>
    <t>Detection and classification of cell nuclei in histopathology images of cancerous tissue stained with the standard hematoxylin and eosin stain is a challenging task due to cellular heterogeneity. Deep learning approaches have been shown to produce encouraging results on histopathology images in various studies. In this paper, we propose a Spatially Constrained Convolutional Neural Network (SC-CNN) to perform nucleus detection. SC-CNN regresses the likelihood of a pixel being the center of a nucleus, where high probability values are spatially constrained to locate in the vicinity of the centers of nuclei. For classification of nuclei, we propose a novel Neighboring Ensemble Predictor (NEP) coupled with CNN to more accurately predict the class label of detected cell nuclei. The proposed approaches for detection and classification do not require segmentation of nuclei. We have evaluated them on a large dataset of colorectal adenocarcinoma images, consisting of more than 20,000 annotated nuclei belonging to four different classes. Our results show that the joint detection and classification of the proposed SC-CNN and NEP produces the highest average F1 score as compared to other recently published approaches. Prospectively, the proposed methods could offer benefit to pathology practice in terms of quantitative analysis of tissue constituents in whole-slide images, and potentially lead to a better understanding of cancer.</t>
  </si>
  <si>
    <t>K. Sirinukunwattana, S. E. Ahmed Raza, T. Yee-Wah, D. R. Snead, I. A. Cree and N. M. Rajpoot</t>
  </si>
  <si>
    <t>fNIRS improves seizure detection in multimodal EEG-fNIRS recordings</t>
  </si>
  <si>
    <t>In the context of epilepsy monitoring, electroencephalography (EEG) remains the modality of choice. Functional near-infrared spectroscopy (fNIRS) is a relatively innovative modality that cannot only characterize hemodynamic profiles of seizures but also allow for long-term recordings. We employ deep learning methods to investigate the benefits of integrating fNIRS measures for seizure detection. We designed a deep recurrent neural network with long short-term memory units and subsequently validated it using the CHBMIT scalp EEG database-a compendium of 896 h of surface EEG seizure recordings. After validating our network using EEG, fNIRS, and multimodal data comprising a corpus of 89 seizures from 40 refractory epileptic patients was used as model input to evaluate the integration of fNIRS measures. Following heuristic hyperparameter optimization, multimodal EEG-fNIRS data provide superior performance metrics (sensitivity and specificity of 89.7% and 95.5%, respectively) in a seizure detection task, with low generalization errors and loss. False detection rates are generally low, with 11.8% and 5.6% for EEG and multimodal data, respectively. Employing multimodal neuroimaging, particularly EEG-fNIRS, in epileptic patients, can enhance seizure detection performance. Furthermore, the neural network model proposed and characterized herein offers a promising framework for future multimodal investigations in seizure detection and prediction.</t>
  </si>
  <si>
    <t>10.1016/j.jstrokecerebrovasdis.2020.105162</t>
  </si>
  <si>
    <t>Machine Learning for Brain Stroke: A Review</t>
  </si>
  <si>
    <t>Machine Learning (ML) delivers an accurate and quick prediction outcome and it has become a powerful tool in health settings, offering personalized clinical care for stroke patients. An application of ML and Deep Learning in health care is growing however, some research areas do not catch enough attention for scientific investigation though there is real need of research. Therefore, the aim of this work is to classify state-of-arts on ML techniques for brain stroke into 4 categories based on their functionalities or similarity, and then review studies of each category systematically. A total of 39 studies were identified from the results of ScienceDirect web scientific database on ML for brain stroke from the year 2007 to 2019. Support Vector Machine (SVM) is obtained as optimal models in 10 studies for stroke problems. Besides, maximum studies are found in stroke diagnosis although number for stroke treatment is least thus, it identifies a research gap for further investigation. Similarly, CT images are a frequently used dataset in stroke. Finally SVM and Random Forests are efficient techniques used under each category. The present study showcases the contribution of various ML approaches applied to brain stroke.</t>
  </si>
  <si>
    <t>Assessing Cancer Risk from Mammograms: Deep Learning Is Superior to Conventional Risk Models</t>
  </si>
  <si>
    <t>A. Sitek and J. M. Wolfe</t>
  </si>
  <si>
    <t>10.1080/17434440.2017.1300057</t>
  </si>
  <si>
    <t>Cardiac imaging: working towards fully-automated machine analysis &amp; interpretation</t>
  </si>
  <si>
    <t>Non-invasive imaging plays a critical role in managing patients with cardiovascular disease. Although subjective visual interpretation remains the clinical mainstay, quantitative analysis facilitates objective, evidence-based management, and advances in clinical research. This has driven developments in computing and software tools aimed at achieving fully automated image processing and quantitative analysis. In parallel, machine learning techniques have been used to rapidly integrate large amounts of clinical and quantitative imaging data to provide highly personalized individual patient-based conclusions. Areas covered: This review summarizes recent advances in automated quantitative imaging in cardiology and describes the latest techniques which incorporate machine learning principles. The review focuses on the cardiac imaging techniques which are in wide clinical use. It also discusses key issues and obstacles for these tools to become utilized in mainstream clinical practice. Expert commentary: Fully-automated processing and high-level computer interpretation of cardiac imaging are becoming a reality. Application of machine learning to the vast amounts of quantitative data generated per scan and integration with clinical data also facilitates a move to more patient-specific interpretation. These developments are unlikely to replace interpreting physicians but will provide them with highly accurate tools to detect disease, risk-stratify, and optimize patient-specific treatment. However, with each technological advance, we move further from human dependence and closer to fully-automated machine interpretation.</t>
  </si>
  <si>
    <t>Using Deep Learning Algorithms to Grade Hydronephrosis Severity: Toward a Clinical Adjunct</t>
  </si>
  <si>
    <t>Grading hydronephrosis severity relies on subjective interpretation of renal ultrasound images. Deep learning is a data-driven algorithmic approach to classifying data, including images, presenting a promising option for grading hydronephrosis. The current study explored the potential of deep convolutional neural networks (CNN), a type of deep learning algorithm, to grade hydronephrosis ultrasound images according to the 5-point Society for Fetal Urology (SFU) classification system, and discusses its potential applications in developing decision and teaching aids for clinical practice. We developed a five-layer CNN to grade 2,420 sagittal hydronephrosis ultrasound images [191 SFU 0 (8%), 407 SFU I (17%), 666 SFU II (28%), 833 SFU III (34%), and 323 SFU IV (13%)], from 673 patients ranging from 0 to 116.29 months old (M (age) = 16.53, SD = 17.80). Five-way (all grades) and two-way classification problems [i.e., II vs. III, and low (0-II) vs. high (III-IV)] were explored. The CNN classified 94% (95% CI, 93-95%) of the images correctly or within one grade of the provided label in the five-way classification problem. Fifty-one percent of these images (95% CI, 49-53%) were correctly predicted, with an average weighted F1 score of 0.49 (95% CI, 0.47-0.51). The CNN achieved an average accuracy of 78% (95% CI, 75-82%) with an average weighted F1 of 0.78 (95% CI, 0.74-0.82) when classifying low vs. high grades, and an average accuracy of 71% (95% CI, 68-74%) with an average weighted F1 score of 0.71 (95% CI, 0.68-0.75) when discriminating between grades II vs. III. Our model performs well above chance level, and classifies almost all images either correctly or within one grade of the provided label. We have demonstrated the applicability of a CNN approach to hydronephrosis ultrasound image classification. Further investigation into a deep learning-based clinical adjunct for hydronephrosis is warranted.</t>
  </si>
  <si>
    <t>Front Pediatr</t>
  </si>
  <si>
    <t>Fast fit-free analysis of fluorescence lifetime imaging via deep learning</t>
  </si>
  <si>
    <t>Fluorescence lifetime imaging (FLI) provides unique quantitative information in biomedical and molecular biology studies but relies on complex data-fitting techniques to derive the quantities of interest. Herein, we propose a fit-free approach in FLI image formation that is based on deep learning (DL) to quantify fluorescence decays simultaneously over a whole image and at fast speeds. We report on a deep neural network (DNN) architecture, named fluorescence lifetime imaging network (FLI-Net) that is designed and trained for different classes of experiments, including visible FLI and near-infrared (NIR) FLI microscopy (FLIM) and NIR gated macroscopy FLI (MFLI). FLI-Net outputs quantitatively the spatially resolved lifetime-based parameters that are typically employed in the field. We validate the utility of the FLI-Net framework by performing quantitative microscopic and preclinical lifetime-based studies across the visible and NIR spectra, as well as across the 2 main data acquisition technologies. These results demonstrate that FLI-Net is well suited to accurately quantify complex fluorescence lifetimes in cells and, in real time, in intact animals without any parameter settings. Hence, FLI-Net paves the way to reproducible and quantitative lifetime studies at unprecedented speeds, for improved dissemination and impact of FLI in many important biomedical applications ranging from fundamental discoveries in molecular and cellular biology to clinical translation.</t>
  </si>
  <si>
    <t>Automated Interpretation of Blood Culture Gram Stains by Use of a Deep Convolutional Neural Network</t>
  </si>
  <si>
    <t>Microscopic interpretation of stained smears is one of the most operator-dependent and time-intensive activities in the clinical microbiology laboratory. Here, we investigated application of an automated image acquisition and convolutional neural network (CNN)-based approach for automated Gram stain classification. Using an automated microscopy platform, uncoverslipped slides were scanned with a 40× dry objective, generating images of sufficient resolution for interpretation. We collected 25,488 images from positive blood culture Gram stains prepared during routine clinical workup. These images were used to generate 100,213 crops containing Gram-positive cocci in clusters, Gram-positive cocci in chains/pairs, Gram-negative rods, or background (no cells). These categories were targeted for proof-of-concept development as they are associated with the majority of bloodstream infections. Our CNN model achieved a classification accuracy of 94.9% on a test set of image crops. Receiver operating characteristic (ROC) curve analysis indicated a robust ability to differentiate between categories with an area under the curve of &gt;0.98 for each. After training and validation, we applied the classification algorithm to new images collected from 189 whole slides without human intervention. Sensitivity and specificity were 98.4% and 75.0% for Gram-positive cocci in chains and pairs, 93.2% and 97.2% for Gram-positive cocci in clusters, and 96.3% and 98.1% for Gram-negative rods. Taken together, our data support a proof of concept for a fully automated classification methodology for blood-culture Gram stains. Importantly, the algorithm was highly adept at identifying image crops with organisms and could be used to present prescreened, classified crops to technologists to accelerate smear review. This concept could potentially be extended to all Gram stain interpretive activities in the clinical laboratory.</t>
  </si>
  <si>
    <t>K. P. Smith, A. D. Kang and J. E. Kirby</t>
  </si>
  <si>
    <t>J Clin Microbiol</t>
  </si>
  <si>
    <t>Development of MAST: A Microscopy-Based Antimicrobial Susceptibility Testing Platform</t>
  </si>
  <si>
    <t>Antibiotic resistance is compromising our ability to treat bacterial infections. Clinical microbiology laboratories guide appropriate treatment through antimicrobial susceptibility testing (AST) of patient bacterial isolates. However, increasingly, pathogens are developing resistance to a broad range of antimicrobials, requiring AST of alternative agents for which no commercially available testing methods are available. Therefore, there exists a significant AST testing gap in which current methodologies cannot adequately address the need for rapid results in the face of unpredictable susceptibility profiles. To address this gap, we developed a multicomponent, microscopy-based AST (MAST) platform capable of AST determinations after only a 2 h incubation. MAST consists of a solid-phase microwell growth surface in a 384-well plate format, inkjet printing-based application of both antimicrobials and bacteria at any desired concentrations, automated microscopic imaging of bacterial replication, and a deep learning approach for automated image classification and determination of antimicrobial minimal inhibitory concentrations (MICs). In evaluating a susceptible strain set, 95.8% were within ±1 and 99.4% were within ±2, twofold dilutions, respectively, of reference broth microdilution MIC values. Most (98.3%) of the results were in categorical agreement. We conclude that MAST offers promise for rapid, accurate, and flexible AST to help address the antimicrobial testing gap.</t>
  </si>
  <si>
    <t>K. P. Smith, D. L. Richmond, T. Brennan-Krohn, H. L. Elliott and J. E. Kirby</t>
  </si>
  <si>
    <t>10.3171/2019.9.Focus19652</t>
  </si>
  <si>
    <t>Advanced neuroimaging in traumatic brain injury: an overview</t>
  </si>
  <si>
    <t>Traumatic brain injury (TBI) is a common condition with many potential acute and chronic neurological consequences. Standard initial radiographic evaluation includes noncontrast head CT scanning to rapidly evaluate for pathology that might require intervention. The availability of fast, relatively inexpensive CT imaging has fundamentally changed the clinician's ability to noninvasively visualize neuroanatomy. However, in the context of TBI, limitations of head CT without contrast include poor prognostic ability, inability to analyze cerebral perfusion status, and poor visualization of underlying posttraumatic changes to brain parenchyma. Here, the authors review emerging advanced imaging for evaluation of both acute and chronic TBI and include QuickBrain MRI as an initial imaging modality. Dynamic susceptibility-weighted contrast-enhanced perfusion MRI, MR arterial spin labeling, and perfusion CT are reviewed as methods for examining cerebral blood flow following TBI. The authors evaluate MR-based diffusion tensor imaging and functional MRI for prognostication of recovery post-TBI. Finally, MR elastography, MR spectroscopy, and convolutional neural networks are examined as future tools in TBI management. Many imaging technologies are being developed and studied in TBI, and some of these may hold promise in improving the understanding and management of TBI. ABBREVIATIONS ASL = arterial spin labeling; CNN = convolutional neural network; CTP = perfusion CT; DAI = diffuse axonal injury; DMN = default mode network; DOC = disorders of consciousness; DTI = diffusion tensor imaging; FA = fractional anisotropy; fMRI = functional MRI; GCS = Glasgow Coma Scale; MD = mean diffusivity; MRE = MR elastography; MRS = MR spectroscopy; mTBI = mild TBI; NAA = N-acetylaspartate; SWI = susceptibility-weighted imaging; TBI = traumatic brain injury; UHF = ultra-high field.</t>
  </si>
  <si>
    <t>Neurosurg Focus</t>
  </si>
  <si>
    <t>Deep Learning for Alzheimer's Disease Classification using Texture Features</t>
  </si>
  <si>
    <t>BACKGROUND: We propose a classification method for Alzheimer's disease (AD) based on the texture of the hippocampus, which is the organ that is most affected by the onset of AD. METHODS: We obtained magnetic resonance images (MRIs) of Alzheimer's patients from the Alzheimer's Disease Neuroimaging Initiative (ADNI) dataset. This dataset consists of image data for AD, mild cognitive impairment (MCI), and normal controls (NCs), classified according to the cognitive condition. In this study, the research methods included image processing, texture analyses, and deep learning. Firstly, images were acquired for texture analyses, which were then re-spaced, registered, and cropped with Gabor filters applied to the resulting image data. In the texture analyses, we applied the 3-dimensional (3D) gray-level co-occurrence (GLCM) method to evaluate the textural features of the image, and used Fisher's coefficient to select the appropriate features for classification. In the last stage, we implemented a deep learning multi-layer perceptron (MLP) model, which we divided into three types, namely, AD-MCI, AD-NC, and MCI-NC. RESULTS: We used this model to assess the accuracy of the proposed method. The classification accuracy of the proposed deep learning model was confirmed in the cases of AD-MCI (72.5%), ADNC (85%), and MCI-NC (75%). We also evaluated the results obtained using a confusion matrix, support vector machine (SVM), and K-nearest neighbor (KNN) classifier and analyzed the results to objectively verify our model. We obtained the highest accuracy of 85% in the AD-NC. CONCLUSION: The proposed model was at least 6-19% more accurate than the SVM and KNN classifiers, respectively. Hence, this study confirms the validity and superiority of the proposed method, which can be used as a diagnostic tool for early Alzheimer's diagnosis.</t>
  </si>
  <si>
    <t>Fetal Ultrasound Image Segmentation for Measuring Biometric Parameters Using Multi-Task Deep Learning</t>
  </si>
  <si>
    <t>Ultrasound imaging is a standard examination during pregnancy that can be used for measuring specific biometric parameters towards prenatal diagnosis and estimating gestational age. Fetal head circumference (HC) is one of the significant factors to determine the fetus growth and health. In this paper, a multi-task deep convolutional neural network is proposed for automatic segmentation and estimation of HC ellipse by minimizing a compound cost function composed of segmentation dice score and MSE of ellipse parameters. Experimental results on fetus ultrasound dataset in different trimesters of pregnancy show that the segmentation results and the extracted HC match well with the radiologist annotations. The obtained dice scores of the fetal head segmentation and the accuracy of HC evaluations are comparable to the state-of-the-art.</t>
  </si>
  <si>
    <t>Accuracy of a deep convolutional neural network in the detection of myopic macular diseases using swept-source optical coherence tomography</t>
  </si>
  <si>
    <t>This study examined and compared outcomes of deep learning (DL) in identifying swept-source optical coherence tomography (OCT) images without myopic macular lesions [i.e., no high myopia (nHM) vs. high myopia (HM)], and OCT images with myopic macular lesions [e.g., myopic choroidal neovascularization (mCNV) and retinoschisis (RS)]. A total of 910 SS-OCT images were included in the study as follows and analyzed by k-fold cross-validation (k = 5) using DL's renowned model, Visual Geometry Group-16: nHM, 146 images; HM, 531 images; mCNV, 122 images; and RS, 111 images (n = 910). The binary classification of OCT images with or without myopic macular lesions; the binary classification of HM images and images with myopic macular lesions (i.e., mCNV and RS images); and the ternary classification of HM, mCNV, and RS images were examined. Additionally, sensitivity, specificity, and the area under the curve (AUC) for the binary classifications as well as the correct answer rate for ternary classification were examined. The classification results of OCT images with or without myopic macular lesions were as follows: AUC, 0.970; sensitivity, 90.6%; specificity, 94.2%. The classification results of HM images and images with myopic macular lesions were as follows: AUC, 1.000; sensitivity, 100.0%; specificity, 100.0%. The correct answer rate in the ternary classification of HM images, mCNV images, and RS images were as follows: HM images, 96.5%; mCNV images, 77.9%; and RS, 67.6% with mean, 88.9%.Using noninvasive, easy-to-obtain swept-source OCT images, the DL model was able to classify OCT images without myopic macular lesions and OCT images with myopic macular lesions such as mCNV and RS with high accuracy. The study results suggest the possibility of conducting highly accurate screening of ocular diseases using artificial intelligence, which may improve the prevention of blindness and reduce workloads for ophthalmologists.</t>
  </si>
  <si>
    <t>Fast and robust active neuron segmentation in two-photon calcium imaging using spatiotemporal deep learning</t>
  </si>
  <si>
    <t>Calcium imaging records large-scale neuronal activity with cellular resolution in vivo. Automated, fast, and reliable active neuron segmentation is a critical step in the analysis workflow of utilizing neuronal signals in real-time behavioral studies for discovery of neuronal coding properties. Here, to exploit the full spatiotemporal information in two-photon calcium imaging movies, we propose a 3D convolutional neural network to identify and segment active neurons. By utilizing a variety of two-photon microscopy datasets, we show that our method outperforms state-of-the-art techniques and is on a par with manual segmentation. Furthermore, we demonstrate that the network trained on data recorded at a specific cortical layer can be used to accurately segment active neurons from another layer with different neuron density. Finally, our work documents significant tabulation flaws in one of the most cited and active online scientific challenges in neuron segmentation. As our computationally fast method is an invaluable tool for a large spectrum of real-time optogenetic experiments, we have made our open-source software and carefully annotated dataset freely available online.</t>
  </si>
  <si>
    <t>10.1055/s-0044-101827</t>
  </si>
  <si>
    <t>The Use of Optical Coherence Tomography for the Detection of Early Diabetic Retinopathy</t>
  </si>
  <si>
    <t>Diabetic retinopathy (DR) is one of the leading causes of vision loss globally with a severe burden on all societies due to its high treatment and rehabilitation costs. The early diagnosis of DR may provide preventive steps (including retinal laser therapy and tight carbohydrate, blood pressure, and cholesterol control) that could in turn help to avoid progression of the pathology with the resultant vision loss. Optical coherence tomography (OCT) enables the in vivo structural imaging of the retina, providing both qualitative (structure) and quantitative (thickness) information. In the past decades, extensive OCT research has been done in the field of DR. In the present review, we are focusing on those that were aiming at detection of the earliest retinal changes before DR could be diagnosed funduscopically. The latest, widely available technology of spectral-domain (SD-)OCT comes with a fast and reliable retinal imaging, which, together with the most recent developments in image processing and artificial intelligence, holds the promise of developing a quick and efficient, state-of-the-art screening tool for DR.</t>
  </si>
  <si>
    <t>Development and Validation of Deep Learning Models for Screening Multiple Abnormal Findings in Retinal Fundus Images</t>
  </si>
  <si>
    <t>PURPOSE: To develop and evaluate deep learning models that screen multiple abnormal findings in retinal fundus images. DESIGN: Cross-sectional study. PARTICIPANTS: For the development and testing of deep learning models, 309 786 readings from 103 262 images were used. Two additional external datasets (the Indian Diabetic Retinopathy Image Dataset and e-ophtha) were used for testing. A third external dataset (Messidor) was used for comparison of the models with human experts. METHODS: Macula-centered retinal fundus images from the Seoul National University Bundang Hospital Retina Image Archive, obtained at the health screening center and ophthalmology outpatient clinic at Seoul National University Bundang Hospital, were assessed for 12 major findings (hemorrhage, hard exudate, cotton-wool patch, drusen, membrane, macular hole, myelinated nerve fiber, chorioretinal atrophy or scar, any vascular abnormality, retinal nerve fiber layer defect, glaucomatous disc change, and nonglaucomatous disc change) with their regional information using deep learning algorithms. MAIN OUTCOME MEASURES: Area under the receiver operating characteristic curve and sensitivity and specificity of the deep learning algorithms at the highest harmonic mean were evaluated and compared with the performance of retina specialists, and visualization of the lesions was qualitatively analyzed. RESULTS: Areas under the receiver operating characteristic curves for all findings were high at 96.2% to 99.9% when tested in the in-house dataset. Lesion heatmaps highlight salient regions effectively in various findings. Areas under the receiver operating characteristic curves for diabetic retinopathy-related findings tested in the Indian Diabetic Retinopathy Image Dataset and e-ophtha dataset were 94.7% to 98.0%. The model demonstrated a performance that rivaled that of human experts, especially in the detection of hemorrhage, hard exudate, membrane, macular hole, myelinated nerve fiber, and glaucomatous disc change. CONCLUSIONS: Our deep learning algorithms with region guidance showed reliable performance for detection of multiple findings in macula-centered retinal fundus images. These interpretable, as well as reliable, classification outputs open the possibility for clinical use as an automated screening system for retinal fundus images.</t>
  </si>
  <si>
    <t>Assessment of liver fibrosis severity using computed tomography-based liver and spleen volumetric indices in patients with chronic liver disease</t>
  </si>
  <si>
    <t>OBJECTIVES: To evaluate whether the liver and spleen volumetric indices, measured on portal venous phase CT images, could be used to assess liver fibrosis severity in chronic liver disease. METHODS: From 2007 to 2017, 558 patients (mean age 48.7 ± 13.1 years; 284 men and 274 women) with chronic liver disease (n = 513) or healthy liver (n = 45) were retrospectively enrolled. The liver volume (sVol(L)) and spleen volume (sVol(S)), normalized to body surface area and liver-to-spleen volume ratio (Vol(L)/Vol(S)), were measured on CT images using a deep learning algorithm. The correlation between the volumetric indices and the pathologic liver fibrosis stages combined with the presence of decompensation (F0, F1, F2, F3, F4C [compensated cirrhosis], and F4D [decompensated cirrhosis]) were assessed using Spearman's correlation coefficient. The performance of the volumetric indices in the diagnosis of advanced fibrosis, cirrhosis, and decompensated cirrhosis were evaluated using the area under the receiver operating characteristic curve (AUC). RESULTS: The sVol(S) (ρ = 0.47-0.73; p &lt; .001) and Vol(L)/Vol(S) (ρ = -0.77-- 0.48; p &lt; .001) showed significant correlation with liver fibrosis stage in all etiological subgroups (i.e., viral hepatitis, alcoholic and non-alcoholic fatty liver, and autoimmune diseases), while the significant correlation of sVol(L) was noted only in the viral hepatitis subgroup (ρ = - 0.55; p &lt; .001). To diagnose advanced fibrosis, cirrhosis, and decompensated cirrhosis, the Vol(L)/Vol(S) (AUC 0.82-0.88) and sVol(S) (AUC 0.82-0.87) significantly outperformed the sVol(L) (AUC 0.63-0.72; p &lt; .001). CONCLUSION: The Vol(L)/Vol(S) and sVol(S) may be used for assessing liver fibrosis severity in chronic liver disease. KEY POINTS: • Volumetric indices of liver and spleen measured on computed tomography images may allow liver fibrosis severity to be assessed in patients with chronic liver disease.</t>
  </si>
  <si>
    <t>Synthesizing diffusion tensor imaging from functional MRI using fully convolutional networks</t>
  </si>
  <si>
    <t>PURPOSE: Medical image synthesis can simulate a target modality of interest based on existing modalities and has the potential to save scanning time while contributing to efficient data collection. This study proposed a three-dimensional (3D) deep learning architecture based on a fully convolutional network (FCN) to synthesize diffusion-tensor imaging (DTI) from resting-state functional magnetic resonance imaging (fMRI). METHODS: fMRI signals derived from white matter (WM) exist and can be used for assessing WM alterations. We constructed an initial functional correlation tensor image using the correlation patterns of adjacent fMRI voxels as one input to the FCN. We considered T1-weighted images as an additional input to provide an algorithm with the structural information needed to synthesize DTI. Our architecture was trained and tested using a large-scale open database dataset (training n = 648; testing n = 293). RESULTS: The average correlation value between synthesized and actual diffusion tensors for 38 WM regions was 0.808, which significantly improves upon an existing study (r = 0.480). We also validated our approach using two open databases. Our proposed method showed a higher correlation with the actual diffusion tensor than the conventional machine-learning method for many WM regions. CONCLUSIONS: Our method synthesized DTI images from fMRI images using a 3D FCN architecture. We hope to expand our method of synthesizing various other imaging modalities from a single image source.</t>
  </si>
  <si>
    <t>S. J. Son, B. Y. Park, K. Byeon and H. Park</t>
  </si>
  <si>
    <t>Prediction of melanoma evolution in melanocytic nevi via artificial intelligence: A call for prospective data</t>
  </si>
  <si>
    <t>Recent research revealed the superiority of artificial intelligence over dermatologists to diagnose melanoma from images. However, 30-50% of all melanomas and more than half of those in young patients evolve from initially benign lesions. Despite its high relevance for melanoma screening, neither clinicians nor computers are yet able to reliably predict a nevus' oncologic transformation. The cause of this lies in the static nature of lesion presentation in the current standard of care, both for clinicians and algorithms. The status quo makes it difficult to train algorithms (and clinicians) to precisely assess the likelihood of a benign skin lesion to transform into melanoma. In addition, it inhibits the precision of current algorithms since 'evolution' image features may not be part of their decision. The current literature reveals certain types of melanocytic nevi (i.e. 'spitzoid' or 'dysplastic' nevi) and criteria (i.e. visible vasculature) that, in general, appear to have a higher chance to transform into melanoma. However, owing to the cumulative nature of oncogenic mutations in melanoma, a more fine-grained early morphologic footprint is likely to be detectable by an algorithm. In this perspective article, the concept of melanoma prediction is further explored by the discussion of the evolution of melanoma, the concept for training of such a nevi classifier and the implications of early melanoma prediction for clinical practice. In conclusion, the authors believe that artificial intelligence trained on prospective image data could be transformative for skin cancer diagnostics by (a) predicting melanoma before it occurs (i.e. pre-in situ) and (b) further enhancing the accuracy of current melanoma classifiers. Necessary prospective images for this research are obtained via free mole-monitoring mobile apps.</t>
  </si>
  <si>
    <t>Endoscopic diagnosis and treatment planning for colorectal polyps using a deep-learning model</t>
  </si>
  <si>
    <t>We aimed to develop a computer-aided diagnostic system (CAD) for predicting colorectal polyp histology using deep-learning technology and to validate its performance. Near-focus narrow-band imaging (NBI) pictures of colorectal polyps were retrieved from the database of our institution. Of these, 12480 image patches of 624 polyps were used as a training set to develop the CAD. The CAD performance was validated with two test datasets of 545 polyps. Polyps were classified into three histological groups: serrated polyp (SP), benign adenoma (BA)/mucosal or superficial submucosal cancer (MSMC), and deep submucosal cancer (DSMC). The overall kappa value measuring the agreement between the true polyp histology and the expected histology by the CAD was 0.614-0.642, which was higher than that of trainees (n = 6, endoscopists with experience of 100 NBI colonoscopies in &lt;6 months; 0.368-0.401) and almost comparable with that of the experts (n = 3, endoscopists with experience of 2,500 NBI colonoscopies in ≥5 years) (0.649-0.735). The areas under the receiver operating curves for CAD were 0.93-0.95, 0.86-0.89, and 0.89-0.91 for SP, BA/MSMC, and DSMC, respectively. The overall diagnostic accuracy of the CAD was 81.3-82.4%, which was significantly higher than that of the trainees (63.8-71.8%, P &lt; 0.01) and comparable with that of experts (82.4-87.3%). The kappa value and diagnostic accuracies of the trainees improved with CAD assistance: that is, the kappa value increased from 0.368 to 0.655, and the overall diagnostic accuracy increased from 63.8-71.8% to 82.7-84.2%. CAD using a deep-learning model can accurately assess polyp histology and may facilitate the diagnosis of colorectal polyps by endoscopists.</t>
  </si>
  <si>
    <t>Ultrasound image analysis using deep learning algorithm for the diagnosis of thyroid nodules</t>
  </si>
  <si>
    <t>Fine needle aspiration (FNA) is the procedure of choice for evaluating thyroid nodules. It is indicated for nodules &gt;2 cm, even in cases of very low suspicion of malignancy. FNA has associated risks and expenses. In this study, we developed an image analysis model using a deep learning algorithm and evaluated if the algorithm could predict thyroid nodules with benign FNA results.Ultrasonographic images of thyroid nodules with cytologic or histologic results were retrospectively collected. For algorithm training, 1358 (670 benign, 688 malignant) thyroid nodule images were input into the Inception-V3 network model. The model was pretrained to classify nodules as benign or malignant using the ImageNet database. The diagnostic performance of the algorithm was tested with the prospectively collected internal (n = 55) and external test sets (n = 100).For the internal test set, 20 of the 21 FNA malignant nodules were correctly classified as malignant by the algorithm (sensitivity, 95.2%); and of the 22 nodules algorithm classified as benign, 21 were FNA benign (negative predictive value [NPV], 95.5%). For the external test set, 47 of the 50 FNA malignant nodules were correctly classified by the algorithm (sensitivity, 94.0%); and of the 31 nodules the algorithm classified as benign, 28 were FNA benign (NPV, 90.3%).The sensitivity and NPV of the deep learning algorithm shown in this study are promising. Artificial intelligence may assist clinicians to recognize nodules that are likely to be benign and avoid unnecessary FNA.</t>
  </si>
  <si>
    <t>J. Song, Y. J. Chai, H. Masuoka, S. W. Park, S. J. Kim, J. Y. Choi, H. J. Kong, K. E. Lee, J. Lee, N. Kwak, K. H. Yi and A. Miyauchi</t>
  </si>
  <si>
    <t>End-to-end automatic differentiation of the coronavirus disease 2019 (COVID-19) from viral pneumonia based on chest CT</t>
  </si>
  <si>
    <t>PURPOSE: In the absence of a virus nucleic acid real-time reverse transcriptase-polymerase chain reaction (RT-PCR) test and experienced radiologists, clinical diagnosis is challenging for viral pneumonia with clinical symptoms and CT signs similar to that of coronavirus disease 2019 (COVID-19). We developed an end-to-end automatic differentiation method based on CT images to identify COVID-19 pneumonia patients in real time. METHODS: From January 18 to February 23, 2020, we conducted a retrospective study and enrolled 201 patients from two hospitals in China who underwent chest CT and RT-PCR tests, of which 98 patients tested positive for COVID-19 (118 males and 83 females, with an average age of 42 years). Patient CT images from one hospital were divided among training, validation and test datasets with an 80%:10%:10% ratio. An end-to-end representation learning method using a large-scale bi-directional generative adversarial network (BigBiGAN) architecture was designed to extract semantic features from the CT images. The semantic feature matrix was input for linear classifier construction. Patients from the other hospital were used for external validation. Differentiation accuracy was evaluated using a receiver operating characteristic curve. RESULTS: Based on the 120-dimensional semantic features extracted by BigBiGAN from each image, the linear classifier results indicated that the area under the curve (AUC) in the training, validation and test datasets were 0.979, 0.968 and 0.972, respectively, with an average sensitivity of 92% and specificity of 91%. The AUC for external validation was 0.850, with a sensitivity of 80% and specificity of 75%. Publicly available architecture and computing resources were used throughout the study to ensure reproducibility. CONCLUSION: This study provides an efficient recognition method for coronavirus disease 2019 pneumonia, using an end-to-end design to implement targeted and effective isolation for the containment of this communicable disease.</t>
  </si>
  <si>
    <t>An End-to-End Multi-Task Deep Learning Framework for Skin Lesion Analysis</t>
  </si>
  <si>
    <t>Automatic skin lesion analysis of dermoscopy images remains a challenging topic. In this paper, we propose an end-to-end multi-task deep learning framework for automatic skin lesion analysis. The proposed framework can perform skin lesion detection, classification, and segmentation tasks simultaneously. To address the class imbalance issue in the dataset (as often observed in medical image datasets) and meanwhile to improve the segmentation performance, a loss function based on the focal loss and the jaccard distance is proposed. During the framework training, we employ a three-phase joint training strategy to ensure the efficiency of feature learning. The proposed framework outperforms state-of-the-art methods on the benchmarks ISBI 2016 challenge dataset towards melanoma classification and ISIC 2017 challenge dataset towards melanoma segmentation, especially for the segmentation task. The proposed framework should be a promising computer-aided tool for melanoma diagnosis.</t>
  </si>
  <si>
    <t>HYDRA: Hybrid deep magnetic resonance fingerprinting</t>
  </si>
  <si>
    <t>PURPOSE: Magnetic resonance fingerprinting (MRF) methods typically rely on dictionary matching to map the temporal MRF signals to quantitative tissue parameters. Such approaches suffer from inherent discretization errors, as well as high computational complexity as the dictionary size grows. To alleviate these issues, we propose a HYbrid Deep magnetic ResonAnce fingerprinting (HYDRA) approach, referred to as HYDRA. METHODS: HYDRA involves two stages: a model-based signature restoration phase and a learning-based parameter restoration phase. Signal restoration is implemented using low-rank based de-aliasing techniques while parameter restoration is performed using a deep nonlocal residual convolutional neural network. The designed network is trained on synthesized MRF data simulated with the Bloch equations and fast imaging with steady-state precession (FISP) sequences. In test mode, it takes a temporal MRF signal as input and produces the corresponding tissue parameters. RESULTS: We validated our approach on both synthetic data and anatomical data generated from a healthy subject. The results demonstrate that, in contrast to conventional dictionary matching-based MRF techniques, our approach significantly improves inference speed by eliminating the time-consuming dictionary matching operation, and alleviates discretization errors by outputting continuous-valued parameters. We further avoid the need to store a large dictionary, thus reducing memory requirements. CONCLUSIONS: Our approach demonstrates advantages in terms of inference speed, accuracy, and storage requirements over competing MRF methods.</t>
  </si>
  <si>
    <t>Using Deep Learning for Classification of Lung Nodules on Computed Tomography Images</t>
  </si>
  <si>
    <t>Lung cancer is the most common cancer that cannot be ignored and cause death with late health care. Currently, CT can be used to help doctors detect the lung cancer in the early stages. In many cases, the diagnosis of identifying the lung cancer depends on the experience of doctors, which may ignore some patients and cause some problems. Deep learning has been proved as a popular and powerful method in many medical imaging diagnosis areas. In this paper, three types of deep neural networks (e.g., CNN, DNN, and SAE) are designed for lung cancer calcification. Those networks are applied to the CT image classification task with some modification for the benign and malignant lung nodules. Those networks were evaluated on the LIDC-IDRI database. The experimental results show that the CNN network archived the best performance with an accuracy of 84.15%, sensitivity of 83.96%, and specificity of 84.32%, which has the best result among the three networks.</t>
  </si>
  <si>
    <t>Q. Song, L. Zhao, X. Luo and X. Dou</t>
  </si>
  <si>
    <t>Simultaneous Cell Detection and Classification in Bone Marrow Histology Images</t>
  </si>
  <si>
    <t>Recently, deep learning frameworks have been shown to be successful and efficient in processing digital histology images for various detection and classification tasks. Among these tasks, cell detection and classification are key steps in many computer-assisted diagnosis systems. Traditionally, cell detection and classification is performed as a sequence of two consecutive steps by using two separate deep learning networks: one for detection and the other for classification. This strategy inevitably increases the computational complexity of the training stage. In this paper, we propose a synchronized deep autoencoder network for simultaneous detection and classification of cells in bone marrow histology images. The proposed network uses a single architecture to detect the positions of cells and classify the detected cells, in parallel. It uses a curve-support Gaussian model to compute probability maps that allow detecting irregularly shape cells precisely. Moreover, the network includes a novel neighborhood selection mechanism to boost the classification accuracy. We show that the performance of the proposed network is superior than traditional deep learning detection methods and very competitive compared to traditional deep learning classification networks. Runtime comparison also shows that our network requires less time to be trained.</t>
  </si>
  <si>
    <t>Accurate Segmentation of Cervical Cytoplasm and Nuclei Based on Multiscale Convolutional Network and Graph Partitioning</t>
  </si>
  <si>
    <t>In this paper, a multiscale convolutional network (MSCN) and graph-partitioning-based method is proposed for accurate segmentation of cervical cytoplasm and nuclei. Specifically, deep learning via the MSCN is explored to extract scale invariant features, and then, segment regions centered at each pixel. The coarse segmentation is refined by an automated graph partitioning method based on the pretrained feature. The texture, shape, and contextual information of the target objects are learned to localize the appearance of distinctive boundary, which is also explored to generate markers to split the touching nuclei. For further refinement of the segmentation, a coarse-to-fine nucleus segmentation framework is developed. The computational complexity of the segmentation is reduced by using superpixel instead of raw pixels. Extensive experimental results demonstrate that the proposed cervical nucleus cell segmentation delivers promising results and outperforms existing methods.</t>
  </si>
  <si>
    <t>Y. Song, L. Zhang, S. Chen, D. Ni, B. Lei and T. Wang</t>
  </si>
  <si>
    <t>A deep learning based framework for accurate segmentation of cervical cytoplasm and nuclei</t>
  </si>
  <si>
    <t>In this paper, a superpixel and convolution neural network (CNN) based segmentation method is proposed for cervical cancer cell segmentation. Since the background and cytoplasm contrast is not relatively obvious, cytoplasm segmentation is first performed. Deep learning based on CNN is explored for region of interest detection. A coarse-to-fine nucleus segmentation for cervical cancer cell segmentation and further refinement is also developed. Experimental results show that an accuracy of 94.50% is achieved for nucleus region detection and a precision of 0.9143±0.0202 and a recall of 0.8726±0.0008 are achieved for nucleus cell segmentation. Furthermore, our comparative analysis also shows that the proposed method outperforms the related methods.</t>
  </si>
  <si>
    <t>Y. Song, L. Zhang, S. Chen, D. Ni, B. Li, Y. Zhou, B. Lei and T. Wang</t>
  </si>
  <si>
    <t>Computer-aided diagnosis of prostate cancer using a deep convolutional neural network from multiparametric MRI</t>
  </si>
  <si>
    <t>BACKGROUND: Deep learning is the most promising methodology for automatic computer-aided diagnosis of prostate cancer (PCa) with multiparametric MRI (mp-MRI). PURPOSE: To develop an automatic approach based on deep convolutional neural network (DCNN) to classify PCa and noncancerous tissues (NC) with mp-MRI. STUDY TYPE: Retrospective. SUBJECTS: In all, 195 patients with localized PCa were collected from a PROSTATEx database. In total, 159/17/19 patients with 444/48/55 observations (215/23/23 PCas and 229/25/32 NCs) were randomly selected for training/validation/testing, respectively. SEQUENCE: T(2) -weighted, diffusion-weighted, and apparent diffusion coefficient images. ASSESSMENT: A radiologist manually labeled the regions of interest of PCas and NCs and estimated the Prostate Imaging Reporting and Data System (PI-RADS) scores for each region. Inspired by VGG-Net, we designed a patch-based DCNN model to distinguish between PCa and NCs based on a combination of mp-MRI data. Additionally, an enhanced prediction method was used to improve the prediction accuracy. The performance of DCNN prediction was tested using a receiver operating characteristic (ROC) curve, and the area under the ROC curve (AUC), sensitivity, specificity, positive predictive value (PPV), and negative predictive value (NPV) were calculated. Moreover, the predicted result was compared with the PI-RADS score to evaluate its clinical value using decision curve analysis. STATISTICAL TEST: Two-sided Wilcoxon signed-rank test with statistical significance set at 0.05. RESULTS: The DCNN produced excellent diagnostic performance in distinguishing between PCa and NC for testing datasets with an AUC of 0.944 (95% confidence interval: 0.876-0.994), sensitivity of 87.0%, specificity of 90.6%, PPV of 87.0%, and NPV of 90.6%. The decision curve analysis revealed that the joint model of PI-RADS and DCNN provided additional net benefits compared with the DCNN model and the PI-RADS scheme. DATA CONCLUSION: The proposed DCNN-based model with enhanced prediction yielded high performance in statistical analysis, suggesting that DCNN could be used in computer-aided diagnosis (CAD) for PCa classification. LEVEL OF EVIDENCE: 3 Technical Efficacy: Stage 2 J. Magn. Reson. Imaging 2018;48:1570-1577.</t>
  </si>
  <si>
    <t>Y. Song, Y. D. Zhang, X. Yan, H. Liu, M. Zhou, B. Hu and G. Yang</t>
  </si>
  <si>
    <t>Lightweight Learning-Based Automatic Segmentation of Subretinal Blebs on Microscope-Integrated Optical Coherence Tomography Images</t>
  </si>
  <si>
    <t>PURPOSE: Subretinal injections of therapeutics are commonly used to treat ocular diseases. Accurate dosing of therapeutics at target locations is crucial but difficult to achieve using subretinal injections due to leakage, and there is no method available to measure the volume of therapeutics successfully administered to the subretinal location during surgery. Here, we introduce the first automatic method for quantifying the volume of subretinal blebs, using porcine eyes injected with Ringer's lactate solution as samples. DESIGN: Ex vivo animal study. METHODS: Microscope-integrated optical coherence tomography was used to obtain 3D visualization of subretinal blebs in porcine eyes at Duke Eye Center. Two different injection phases were imaged and analyzed in 15 eyes (30 volumes), selected from a total of 37 eyes. The inclusion/exclusion criteria were set independently from the algorithm-development and testing team. A novel lightweight, deep learning-based algorithm was designed to segment subretinal bleb boundaries. A cross-validation method was used to avoid selection bias. An ensemble-classifier strategy was applied to generate final results for the test dataset. RESULTS: The algorithm performs notably better than 4 other state-of-the-art deep learning-based segmentation methods, achieving an F1 score of 93.86 ± 1.17% and 96.90 ± 0.59% on the independent test data for entry and full blebs, respectively. CONCLUSION: The proposed algorithm accurately segmented the volumetric boundaries of Ringer's lactate solution delivered into the subretinal space of porcine eyes with robust performance and real-time speed. This is the first step for future applications in computer-guided delivery of therapeutics into the subretinal space in human subjects.</t>
  </si>
  <si>
    <t>Detecting changes in facial temperature induced by a sudden auditory stimulus based on deep learning-assisted face tracking</t>
  </si>
  <si>
    <t>Thermal Imaging (Infrared-Imaging-IRI) is a promising new technique for psychophysiological research and application. Unlike traditional physiological measures (like skin conductance and heart rate), it is uniquely contact-free, substantially enhancing its ecological validity. Investigating facial regions and subsequent reliable signal extraction from IRI data is challenging due to head motion artefacts. Exploiting its potential thus depends on advances in analytical methods. Here, we developed a novel semi-automated thermal signal extraction method employing deep learning algorithms for facial landmark identification. We applied this method to physiological responses elicited by a sudden auditory stimulus, to determine if facial temperature changes induced by a stimulus of a loud sound can be detected. We compared thermal responses with psycho-physiological sensor-based tools of galvanic skin response (GSR) and electrocardiography (ECG). We found that the temperatures of selected facial regions, particularly the nose tip, significantly decreased after the auditory stimulus. Additionally, this response was quite rapid at around 4-5 seconds, starting less than 2 seconds following the GSR changes. These results demonstrate that our methodology offers a sensitive and robust tool to capture facial physiological changes with minimal manual intervention and manual pre-processing of signals. Newer methodological developments for reliable temperature extraction promise to boost IRI use as an ecologically-valid technique in social and affective neuroscience.</t>
  </si>
  <si>
    <t>Comparison between support vector machine and deep learning, machine-learning technologies for detecting epiretinal membrane using 3D-OCT</t>
  </si>
  <si>
    <t>PURPOSE: In this study, we compared deep learning (DL) with support vector machine (SVM), both of which use three-dimensional optical coherence tomography (3D-OCT) images for detecting epiretinal membrane (ERM). METHODS: In total, 529 3D-OCT images from the Tsukazaki hospital ophthalmology database (184 non-ERM subjects and 205 ERM patients) were assessed; 80% of the images were divided for training, and 20% for test as follows: 423 training (non-ERM 245, ERM 178) and 106 test (non-ERM 59, ERM 47) images. Using the 423 training images, a model was created with deep convolutional neural network and SVM, and the test data were evaluated. RESULTS: The DL model's sensitivity was 97.6% [95% confidence interval (CI), 87.7-99.9%] and specificity was 98.0% (95% CI, 89.7-99.9%), and the area under the curve (AUC) was 0.993 (95% CI, 0.993-0.994). In contrast, the SVM model's sensitivity was 97.6% (95% CI, 87.7-99.9%), specificity was 94.2% (95% CI, 84.0-98.7%), and AUC was 0.988 (95% CI, 0.987-0.988). CONCLUSION: DL model is better than SVM model in detecting ERM by using 3D-OCT images.</t>
  </si>
  <si>
    <t>T. Sonobe, H. Tabuchi, H. Ohsugi, H. Masumoto, N. Ishitobi, S. Morita, H. Enno and D. Nagasato</t>
  </si>
  <si>
    <t>Int Ophthalmol</t>
  </si>
  <si>
    <t>Automated Segmentation of Colorectal Tumor in 3D MRI Using 3D Multiscale Densely Connected Convolutional Neural Network</t>
  </si>
  <si>
    <t>The main goal of this work is to automatically segment colorectal tumors in 3D T2-weighted (T2w) MRI with reasonable accuracy. For such a purpose, a novel deep learning-based algorithm suited for volumetric colorectal tumor segmentation is proposed. The proposed CNN architecture, based on densely connected neural network, contains multiscale dense interconnectivity between layers of fine and coarse scales, thus leveraging multiscale contextual information in the network to get better flow of information throughout the network. Additionally, the 3D level-set algorithm was incorporated as a postprocessing task to refine contours of the network predicted segmentation. The method was assessed on T2-weighted 3D MRI of 43 patients diagnosed with locally advanced colorectal tumor (cT3/T4). Cross validation was performed in 100 rounds by partitioning the dataset into 30 volumes for training and 13 for testing. Three performance metrics were computed to assess the similarity between predicted segmentation and the ground truth (i.e., manual segmentation by an expert radiologist/oncologist), including Dice similarity coefficient (DSC), recall rate (RR), and average surface distance (ASD). The above performance metrics were computed in terms of mean and standard deviation (mean ± standard deviation). The DSC, RR, and ASD were 0.8406 ± 0.0191, 0.8513 ± 0.0201, and 2.6407 ± 2.7975 before postprocessing, and these performance metrics became 0.8585 ± 0.0184, 0.8719 ± 0.0195, and 2.5401 ± 2.402 after postprocessing, respectively. We compared our proposed method to other existing volumetric medical image segmentation baseline methods (particularly 3D U-net and DenseVoxNet) in our segmentation tasks. The experimental results reveal that the proposed method has achieved better performance in colorectal tumor segmentation in volumetric MRI than the other baseline techniques.</t>
  </si>
  <si>
    <t>M. H. Soomro, M. Coppotelli, S. Conforto, M. Schmid, G. Giunta, L. Del Secco, E. Neri, D. Caruso, M. Rengo and A. Laghi</t>
  </si>
  <si>
    <t>10.1016/j.acra.2019.12.024</t>
  </si>
  <si>
    <t>Creating Artificial Images for Radiology Applications Using Generative Adversarial Networks (GANs) - A Systematic Review</t>
  </si>
  <si>
    <t>RATIONALE AND OBJECTIVES: Generative adversarial networks (GANs) are deep learning models aimed at generating fake realistic looking images. These novel models made a great impact on the computer vision field. Our study aims to review the literature on GANs applications in radiology. MATERIALS AND METHODS: This systematic review followed the PRISMA guidelines. Electronic datasets were searched for studies describing applications of GANs in radiology. We included studies published up-to September 2019. RESULTS: Data were extracted from 33 studies published between 2017 and 2019. Eighteen studies focused on CT images generation, ten on MRI, three on PET/MRI and PET/CT, one on ultrasound and one on X-ray. Applications in radiology included image reconstruction and denoising for dose and scan time reduction (fourteen studies), data augmentation (six studies), transfer between modalities (eight studies) and image segmentation (five studies). All studies reported that generated images improved the performance of the developed algorithms. CONCLUSION: GANs are increasingly studied for various radiology applications. They enable the creation of new data, which can be used to improve clinical care, education and research.</t>
  </si>
  <si>
    <t>Application of Artificial Intelligence in Targeting Retinal Diseases</t>
  </si>
  <si>
    <t>Retinal diseases affect an increasing number of patients worldwide because of the aging population. Request for diagnostic imaging in ophthalmology is ramping up, while the number of specialists keeps shrinking. Cutting-edge technology embedding artificial intelligence (AI) algorithms are thus advocated to help ophthalmologists perform their clinical tasks as well as to provide a source for the advancement of novel biomarkers. In particular, optical coherence tomography (OCT) evaluation of the retina can be augmented by algorithms based on machine learning and deep learning to early detect, qualitatively localize and quantitatively measure epi/intra/subretinal abnormalities or pathological features of macular or neural diseases. In this paper, we discuss the use of AI to facilitate efficacy and accuracy of retinal imaging in those diseases increasingly treated by intravitreal vascular endothelial growth factor (VEGF) inhibitors (i.e. anti-VEGF drugs), also including integration and interpretation features in the process. We review recent advances by AI in diabetic retinopathy, age-related macular degeneration, and retinopathy of prematurity that envision a potentially key role of highly automated systems in screening, early diagnosis, grading and individualized therapy. We discuss benefits and critical aspects of automating the evaluation of disease activity, recurrences, the timing of retreatment and therapeutically potential novel targets in ophthalmology. The impact of massive employment of AI to optimize clinical assistance and encourage tailored therapies for distinct patterns of retinal diseases is also discussed.</t>
  </si>
  <si>
    <t>Curr Drug Targets</t>
  </si>
  <si>
    <t>Intelligent Labeling Based on Fisher Information for Medical Image Segmentation Using Deep Learning</t>
  </si>
  <si>
    <t>Deep convolutional neural networks (CNN) have recently achieved superior performance at the task of medical image segmentation compared to classic models. However, training a generalizable CNN requires a large amount of training data, which is difficult, expensive, and time-consuming to obtain in medical settings. Active Learning (AL) algorithms can facilitate training CNN models by proposing a small number of the most informative data samples to be annotated to achieve a rapid increase in performance. We proposed a new active learning method based on Fisher information (FI) for CNNs for the first time. Using efficient backpropagation methods for computing gradients together with a novel low-dimensional approximation of FI enabled us to compute FI for CNNs with a large number of parameters. We evaluated the proposed method for brain extraction with a patch-wise segmentation CNN model in two different learning scenarios: universal active learning and active semi-automatic segmentation. In both scenarios, an initial model was obtained using labeled training subjects of a source data set and the goal was to annotate a small subset of new samples to build a model that performs well on the target subject(s). The target data sets included images that differed from the source data by either age group (e.g. newborns with different image contrast) or underlying pathology that was not available in the source data. In comparison to several recently proposed AL methods and brain extraction baselines, the results showed that FI-based AL outperformed the competing methods in improving the performance of the model after labeling a very small portion of target data set (&lt;0.25%).</t>
  </si>
  <si>
    <t>Dual-domain cascade of U-nets for multi-channel magnetic resonance image reconstruction</t>
  </si>
  <si>
    <t>The U-net is a deep-learning network model that has been used to solve a number of inverse problems. In this work, the concatenation of two-element U-nets, termed the W-net, operating in k-space (K) and image (I) domains, were evaluated for multi-channel magnetic resonance (MR) image reconstruction. The two-element network combinations were evaluated for the four possible image-k-space domain configurations: a) W-net II, b) W-net KK, c) W-net IK, and d) W-net KI. Selected four element (WW-nets) and six element (WWW-nets) networks were also examined. Two configurations of each network were compared: 1) each coil channel was processed independently, and 2) all channels were processed simultaneously. One hundred and eleven volumetric, T1-weighted, 12-channel coil k-space datasets were used in the experiments. Normalized root mean squared error, peak signal-to-noise ratio and visual information fidelity were used to assess the reconstructed images against the fully sampled reference images. Our results indicated that networks that operate solely in the image domain were better when independently processing individual channels of multi-channel data. Dual-domain methods were better when simultaneously reconstructing all channels of multi-channel data. In addition, the best cascade of U-nets performed better (p &lt; 0.01) than the previously published, state-of-the-art Deep Cascade and Hybrid Cascade models in three out of four experiments.</t>
  </si>
  <si>
    <t>10.1016/j.neuroimage.2017.08.021</t>
  </si>
  <si>
    <t>An open, multi-vendor, multi-field-strength brain MR dataset and analysis of publicly available skull stripping methods agreement</t>
  </si>
  <si>
    <t>This paper presents an open, multi-vendor, multi-field strength magnetic resonance (MR) T1-weighted volumetric brain imaging dataset, named Calgary-Campinas-359 (CC-359). The dataset is composed of images of older healthy adults (29-80 years) acquired on scanners from three vendors (Siemens, Philips and General Electric) at both 1.5 T and 3 T. CC-359 is comprised of 359 datasets, approximately 60 subjects per vendor and magnetic field strength. The dataset is approximately age and gender balanced, subject to the constraints of the available images. It provides consensus brain extraction masks for all volumes generated using supervised classification. Manual segmentation results for twelve randomly selected subjects performed by an expert are also provided. The CC-359 dataset allows investigation of 1) the influences of both vendor and magnetic field strength on quantitative analysis of brain MR; 2) parameter optimization for automatic segmentation methods; and potentially 3) machine learning classifiers with big data, specifically those based on deep learning methods, as these approaches require a large amount of data. To illustrate the utility of this dataset, we compared to the results of a supervised classifier, the results of eight publicly available skull stripping methods and one publicly available consensus algorithm. A linear mixed effects model analysis indicated that vendor (p-value&lt;0.001) and magnetic field strength (p-value&lt;0.001) have statistically significant impacts on skull stripping results.</t>
  </si>
  <si>
    <t>R. Souza, O. Lucena, J. Garrafa, D. Gobbi, M. Saluzzi, S. Appenzeller, L. Rittner, R. Frayne and R. Lotufo</t>
  </si>
  <si>
    <t>Deep learning for automated skeletal bone age assessment in X-ray images</t>
  </si>
  <si>
    <t>Skeletal bone age assessment is a common clinical practice to investigate endocrinology, genetic and growth disorders in children. It is generally performed by radiological examination of the left hand by using either the Greulich and Pyle (G&amp;P) method or the Tanner-Whitehouse (TW) one. However, both clinical procedures show several limitations, from the examination effort of radiologists to (most importantly) significant intra- and inter-operator variability. To address these problems, several automated approaches (especially relying on the TW method) have been proposed; nevertheless, none of them has been proved able to generalize to different races, age ranges and genders. In this paper, we propose and test several deep learning approaches to assess skeletal bone age automatically; the results showed an average discrepancy between manual and automatic evaluation of about 0.8 years, which is state-of-the-art performance. Furthermore, this is the first automated skeletal bone age assessment work tested on a public dataset and for all age ranges, races and genders, for which the source code is available, thus representing an exhaustive baseline for future research in the field. Beside the specific application scenario, this paper aims at providing answers to more general questions about deep learning on medical images: from the comparison between deep-learned features and manually-crafted ones, to the usage of deep-learning methods trained on general imagery for medical problems, to how to train a CNN with few images.</t>
  </si>
  <si>
    <t>C. Spampinato, S. Palazzo, D. Giordano, M. Aldinucci and R. Leonardi</t>
  </si>
  <si>
    <t>Deep learning to convert unstructured CT pulmonary angiography reports into structured reports</t>
  </si>
  <si>
    <t>BACKGROUND: Structured reports have been shown to improve communication between radiologists and providers. However, some radiologists are concerned about resultant decreased workflow efficiency. We tested a machine learning-based algorithm designed to convert unstructured computed tomography pulmonary angiography (CTPA) reports into structured reports. METHODS: A self-supervised convolutional neural network-based algorithm was trained on a dataset of 475 manually structured CTPA reports. Labels for individual statements included pulmonary arteries, lungs and airways, pleura, mediastinum and lymph nodes, cardiovascular, soft tissues and bones, upper abdomen, and lines/tubes. The algorithm was applied to a test set of 400 unstructured CTPA reports, generating a predicted label for each statement, which was evaluated by two independent observers. Per-statement accuracy was calculated based on strict criteria (algorithm label counted as correct if the statement unequivocally contained content only related to that particular label) and a modified criteria, accounting for problematic statements, including typographical errors, statements that did not fit well into the classification scheme, statements containing content for multiple labels, etc. RESULTS: Of the 4,157 statements, 3,806 (91.6%) and 3,986 (95.9%) were correctly labeled by the algorithm using strict and modified criteria, respectively, while 274 (6.6%) were problematic for the manual observers to label, the majority of which (n = 173) were due to more than one section being included in one statement. CONCLUSION: This algorithm showed high accuracy in converting free-text findings into structured reports, which could improve communication between radiologists and clinicians without loss of productivity and provide more structured data for research/data mining applications.</t>
  </si>
  <si>
    <t>A parameter-efficient deep learning approach to predict conversion from mild cognitive impairment to Alzheimer's disease</t>
  </si>
  <si>
    <t>Some forms of mild cognitive impairment (MCI) are the clinical precursors of Alzheimer's disease (AD), while other MCI types tend to remain stable over-time and do not progress to AD. To identify and choose effective and personalized strategies to prevent or slow the progression of AD, we need to develop objective measures that are able to discriminate the MCI patients who are at risk of AD from those MCI patients who have less risk to develop AD. Here, we present a novel deep learning architecture, based on dual learning and an ad hoc layer for 3D separable convolutions, which aims at identifying MCI patients who have a high likelihood of developing AD within 3 years. Our deep learning procedures combine structural magnetic resonance imaging (MRI), demographic, neuropsychological, and APOe4 genetic data as input measures. The most novel characteristics of our machine learning model compared to previous ones are the following: 1) our deep learning model is multi-tasking, in the sense that it jointly learns to simultaneously predict both MCI to AD conversion as well as AD vs. healthy controls classification, which facilitates relevant feature extraction for AD prognostication; 2) the neural network classifier employs fewer parameters than other deep learning architectures which significantly limits data-overfitting (we use ∼550,000 network parameters, which is orders of magnitude lower than other network designs); 3) both structural MRI images and their warp field characteristics, which quantify local volumetric changes in relation to the MRI template, were used as separate input streams to extract as much information as possible from the MRI data. All analyses were performed on a subset of the database made publicly available via the Alzheimer's Disease Neuroimaging Initiative (ADNI), (n = 785 participants, n = 192 AD patients, n = 409 MCI patients (including both MCI patients who convert to AD and MCI patients who do not covert to AD), and n = 184 healthy controls). The most predictive combination of inputs were the structural MRI images and the demographic, neuropsychological, and APOe4 data. In contrast, the warp field metrics were of little added predictive value. The algorithm was able to distinguish the MCI patients developing AD within 3 years from those patients with stable MCI over the same time-period with an area under the curve (AUC) of 0.925 and a 10-fold cross-validated accuracy of 86%, a sensitivity of 87.5%, and specificity of 85%. To our knowledge, this is the highest performance achieved so far using similar datasets. The same network provided an AUC of 1 and 100% accuracy, sensitivity, and specificity when classifying patients with AD from healthy controls. Our classification framework was also robust to the use of different co-registration templates and potentially irrelevant features/image portions. Our approach is flexible and can in principle integrate other imaging modalities, such as PET, and diverse other sets of clinical data. The convolutional framework is potentially applicable to any 3D image dataset and gives the flexibility to design a computer-aided diagnosis system targeting the prediction of several medical conditions and neuropsychiatric disorders via multi-modal imaging and tabular clinical data.</t>
  </si>
  <si>
    <t>Justifying diagnosis decisions by deep neural networks</t>
  </si>
  <si>
    <t>An integrated approach is proposed across visual and textual data to both determine and justify a medical diagnosis by a neural network. As deep learning techniques improve, interest grows to apply them in medical applications. To enable a transition to workflows in a medical context that are aided by machine learning, the need exists for such algorithms to help justify the obtained outcome so human clinicians can judge their validity. In this work, deep learning methods are used to map a frontal X-ray image to a continuous textual representation. This textual representation is decoded into a diagnosis and the associated textual justification that will help a clinician evaluate the outcome. Additionally, more explanatory data is provided for the diagnosis by generating a realistic X-ray that belongs to the nearest alternative diagnosis. We demonstrate in a clinical expert opinion study on a subset of the X-ray data set from the Indiana University hospital network that our justification mechanism significantly outperforms existing methods that use saliency maps. While performing multi-task training with multiple loss functions, our method achieves excellent diagnosis accuracy and captioning quality when compared to current state-of-the-art single-task methods.</t>
  </si>
  <si>
    <t>Task-based assessment of a convolutional neural network for segmenting breast lesions for radiomic analysis</t>
  </si>
  <si>
    <t>PURPOSE: Radiomics allows for powerful data-mining and feature extraction techniques to guide clinical decision making. Image segmentation is a necessary step in such pipelines and different techniques can significantly affect results. We demonstrate that a convolutional neural network (CNN) segmentation method performs comparably to expert manual segmentations in an established radiomics pipeline. METHODS: Using the manual regions of interest (ROIs) of an expert radiologist (R1), a CNN was trained to segment breast lesions from dynamic contrast-enhanced MRI (DCE-MRI). Following network training, we segmented lesions for the testing set of a previously established radiomics pipeline for predicting lymph node metastases using DCE-MRI of breast cancer. Prediction accuracy of CNN segmentations relative to manual segmentations by R1 from the original study, a resident (R2), and another expert radiologist (R3) were determined. We then retrained the CNN and radiomics model using R3's manual segmentations to determine the effects of different expert observers on end-to-end prediction. RESULTS: Using R1's ROIs, the CNN achieved a mean Dice coefficient of 0.71 ± 0.16 in the testing set. When input to our previously published radiomics pipeline, these CNN segmentations achieved comparable prediction performance to R1's manual ROIs, and superior performance to those of the other radiologists. Similar results were seen when training the CNN and radiomics model using R3's ROIs. CONCLUSION: A CNN architecture is able to provide DCE-MRI breast lesion segmentations which are suitable for input to our radiomics model. Moreover, the previously established radiomics model and CNN can be accurately trained end-to-end using ground truth data provided by distinct experts.</t>
  </si>
  <si>
    <t>Synthesis of Patient-Specific Transmission Data for PET Attenuation Correction for PET/MRI Neuroimaging Using a Convolutional Neural Network</t>
  </si>
  <si>
    <t>Attenuation correction is a notable challenge associated with simultaneous PET/MRI, particularly in neuroimaging, where sharp boundaries between air and bone volumes exist. This challenge leads to concerns about the visual and, more specifically, quantitative accuracy of PET reconstructions for data obtained with PET/MRI. Recently developed techniques can synthesize attenuation maps using only MRI data and are likely adequate for clinical use; however, little work has been conducted to assess their suitability for the dynamic PET studies frequently used in research to derive physiologic information such as the binding potential of neuroreceptors in a region. At the same time, existing PET/MRI attenuation correction methods are predicated on synthesizing CT data, which is not ideal, as CT data are acquired with much lower-energy photons than PET data and thus do not optimally reflect the PET attenuation map. Methods: We trained a convolutional neural network to generate patient-specific transmission data from T1-weighted MRI. Using the trained network, we generated transmission data for a testing set comprising 11 subjects scanned with (11)C-labeled N-[2-]4-(2-methoxyphenyl)-1-piperazinyl]ethyl]-N-(2-pyridinyl)cyclohexanecarboxamide) ((11)C-WAY-100635) and 10 subjects scanned with (11)C-labeled 3-amino-4-(2-dimethylaminomethyl-phenylsulfanyl)benzonitrile ((11)C-DASB). We assessed both static and dynamic reconstructions. For dynamic PET data, we report differences in both the nondisplaceable and the free binding potential for (11)C-WAY-100635 and distribution volume for (11)C-DASB. Results: The mean bias for generated transmission data was -1.06% ± 0.81%. Global biases in static PET uptake were -0.49% ± 1.7%, and -1.52% ± 0.73% for (11)C-WAY-100635 and (11)C-DASB, respectively. Conclusion: Our neural network approach is capable of synthesizing patient-specific transmission data with sufficient accuracy for both static and dynamic PET studies.</t>
  </si>
  <si>
    <t>A Deep Learning-Based Approach to Reduce Rescan and Recall Rates in Clinical MRI Examinations</t>
  </si>
  <si>
    <t>BACKGROUND AND PURPOSE: MR imaging rescans and recalls can create large hospital revenue loss. The purpose of this study was to develop a fast, automated method for assessing rescan need in motion-corrupted brain series. MATERIALS AND METHODS: A deep learning-based approach was developed, outputting a probability for a series to be clinically useful. Comparison of this per-series probability with a threshold, which can depend on scan indication and reading radiologist, determines whether a series needs to be rescanned. The deep learning classification performance was compared with that of 4 technologists and 5 radiologists in 49 test series with low and moderate motion artifacts. These series were assumed to be scanned for 2 scan indications: screening for multiple sclerosis and stroke. RESULTS: The image-quality rating was found to be scan indication- and reading radiologist-dependent. Of the 49 test datasets, technologists created a mean ratio of rescans/recalls of (4.7 ± 5.1)/(9.5 ± 6.8) for MS and (8.6 ± 7.7)/(1.6 ± 1.9) for stroke. With thresholds adapted for scan indication and reading radiologist, deep learning created a rescan/recall ratio of (7.3 ± 2.2)/(3.2 ± 2.5) for MS, and (3.6 ± 1.5)/(2.8 ± 1.6) for stroke. Due to the large variability in the technologists' assessments, it was only the decrease in the recall rate for MS, for which the deep learning algorithm was trained, that was statistically significant (P = .03). CONCLUSIONS: Fast, automated deep learning-based image-quality rating can decrease rescan and recall rates, while rendering them technologist-independent. It was estimated that decreasing rescans and recalls from the technologists' values to the values of deep learning could save hospitals $24,000/scanner/year.</t>
  </si>
  <si>
    <t>Role of the Choroid in Automated Age-related Macular Degeneration Detection from Optical Coherence Tomography Images</t>
  </si>
  <si>
    <t>Automatic detection of age-related macular degeneration (AMD) from optical coherence tomography (OCT) images is often performed using the retinal layers only and choroid is excluded from the analysis. This is because symptoms of AMD manifest in the choroid only in the later stages and clinical literature is divided over the role of the choroid in detecting earlier stages of AMD. However, more recent clinical research suggests that choroid is affected at a much earlier stage. In the proposed work, we experimentally verify the effect of including the choroid in detecting AMD from OCT images at an intermediate stage. We propose a deep learning framework for AMD detection and compare its accuracies with and without including the choroid. Results suggest that including the choroid improves the AMD detection accuracy. In addition, the proposed method achieves an accuracy of 96.78% which is comparable to the state-of-the-art works.</t>
  </si>
  <si>
    <t>2D and 3D convolutional neural networks for outcome modelling of locally advanced head and neck squamous cell carcinoma</t>
  </si>
  <si>
    <t>For treatment individualisation of patients with locally advanced head and neck squamous cell carcinoma (HNSCC) treated with primary radiochemotherapy, we explored the capabilities of different deep learning approaches for predicting loco-regional tumour control (LRC) from treatment-planning computed tomography images. Based on multicentre cohorts for exploration (206 patients) and independent validation (85 patients), multiple deep learning strategies including training of 3D- and 2D-convolutional neural networks (CNN) from scratch, transfer learning and extraction of deep autoencoder features were assessed and compared to a clinical model. Analyses were based on Cox proportional hazards regression and model performances were assessed by the concordance index (C-index) and the model's ability to stratify patients based on predicted hazards of LRC. Among all models, an ensemble of 3D-CNNs achieved the best performance (C-index 0.31) with a significant association to LRC on the independent validation cohort. It performed better than the clinical model including the tumour volume (C-index 0.39). Significant differences in LRC were observed between patient groups at low or high risk of tumour recurrence as predicted by the model ([Formula: see text]). This 3D-CNN ensemble will be further evaluated in a currently ongoing prospective validation study once follow-up is complete.</t>
  </si>
  <si>
    <t>Rapid whole-heart CMR with single volume super-resolution</t>
  </si>
  <si>
    <t>BACKGROUND: Three-dimensional, whole heart, balanced steady state free precession (WH-bSSFP) sequences provide delineation of intra-cardiac and vascular anatomy. However, they have long acquisition times. Here, we propose significant speed-ups using a deep-learning single volume super-resolution reconstruction, to recover high-resolution features from rapidly acquired low-resolution WH-bSSFP images. METHODS: A 3D residual U-Net was trained using synthetic data, created from a library of 500 high-resolution WH-bSSFP images by simulating 50% slice resolution and 50% phase resolution. The trained network was validated with 25 synthetic test data sets. Additionally, prospective low-resolution data and high-resolution data were acquired in 40 patients. In the prospective data, vessel diameters, quantitative and qualitative image quality, and diagnostic scoring was compared between the low-resolution, super-resolution and reference high-resolution WH-bSSFP data. RESULTS: The synthetic test data showed a significant increase in image quality of the low-resolution images after super-resolution reconstruction. Prospectively acquired low-resolution data was acquired ~× 3 faster than the prospective high-resolution data (173 s vs 488 s). Super-resolution reconstruction of the low-resolution data took &lt; 1 s per volume. Qualitative image scores showed super-resolved images had better edge sharpness, fewer residual artefacts and less image distortion than low-resolution images, with similar scores to high-resolution data. Quantitative image scores showed super-resolved images had significantly better edge sharpness than low-resolution or high-resolution images, with significantly better signal-to-noise ratio than high-resolution data. Vessel diameters measurements showed over-estimation in the low-resolution measurements, compared to the high-resolution data. No significant differences and no bias was found in the super-resolution measurements in any of the great vessels. However, a small but significant for the underestimation was found in the proximal left coronary artery diameter measurement from super-resolution data. Diagnostic scoring showed that although super-resolution did not improve accuracy of diagnosis, it did improve diagnostic confidence compared to low-resolution imaging. CONCLUSION: This paper demonstrates the potential of using a residual U-Net for super-resolution reconstruction of rapidly acquired low-resolution whole heart bSSFP data within a clinical setting. We were able to train the network using synthetic training data from retrospective high-resolution whole heart data. The resulting network can be applied very quickly, making these techniques particularly appealing within busy clinical workflow. Thus, we believe that this technique may help speed up whole heart CMR in clinical practice.</t>
  </si>
  <si>
    <t>Impact of Deep Learning Assistance on the Histopathologic Review of Lymph Nodes for Metastatic Breast Cancer</t>
  </si>
  <si>
    <t>Advances in the quality of whole-slide images have set the stage for the clinical use of digital images in anatomic pathology. Along with advances in computer image analysis, this raises the possibility for computer-assisted diagnostics in pathology to improve histopathologic interpretation and clinical care. To evaluate the potential impact of digital assistance on interpretation of digitized slides, we conducted a multireader multicase study utilizing our deep learning algorithm for the detection of breast cancer metastasis in lymph nodes. Six pathologists reviewed 70 digitized slides from lymph node sections in 2 reader modes, unassisted and assisted, with a wash-out period between sessions. In the assisted mode, the deep learning algorithm was used to identify and outline regions with high likelihood of containing tumor. Algorithm-assisted pathologists demonstrated higher accuracy than either the algorithm or the pathologist alone. In particular, algorithm assistance significantly increased the sensitivity of detection for micrometastases (91% vs. 83%, P=0.02). In addition, average review time per image was significantly shorter with assistance than without assistance for both micrometastases (61 vs. 116 s, P=0.002) and negative images (111 vs. 137 s, P=0.018). Lastly, pathologists were asked to provide a numeric score regarding the difficulty of each image classification. On the basis of this score, pathologists considered the image review of micrometastases to be significantly easier when interpreted with assistance (P=0.0005). Utilizing a proof of concept assistant tool, this study demonstrates the potential of a deep learning algorithm to improve pathologist accuracy and efficiency in a digital pathology workflow.</t>
  </si>
  <si>
    <t>D. F. Steiner, R. MacDonald, Y. Liu, P. Truszkowski, J. D. Hipp, C. Gammage, F. Thng, L. Peng and M. C. Stumpe</t>
  </si>
  <si>
    <t>Am J Surg Pathol</t>
  </si>
  <si>
    <t>Eye Tracking for Deep Learning Segmentation Using Convolutional Neural Networks</t>
  </si>
  <si>
    <t>Deep learning with convolutional neural networks (CNNs) has experienced tremendous growth in multiple healthcare applications and has been shown to have high accuracy in semantic segmentation of medical (e.g., radiology and pathology) images. However, a key barrier in the required training of CNNs is obtaining large-scale and precisely annotated imaging data. We sought to address the lack of annotated data with eye tracking technology. As a proof of principle, our hypothesis was that segmentation masks generated with the help of eye tracking (ET) would be very similar to those rendered by hand annotation (HA). Additionally, our goal was to show that a CNN trained on ET masks would be equivalent to one trained on HA masks, the latter being the current standard approach. Step 1: Screen captures of 19 publicly available radiologic images of assorted structures within various modalities were analyzed. ET and HA masks for all regions of interest (ROIs) were generated from these image datasets. Step 2: Utilizing a similar approach, ET and HA masks for 356 publicly available T1-weighted postcontrast meningioma images were generated. Three hundred six of these image + mask pairs were used to train a CNN with U-net-based architecture. The remaining 50 images were used as the independent test set. Step 1: ET and HA masks for the nonneurological images had an average Dice similarity coefficient (DSC) of 0.86 between each other. Step 2: Meningioma ET and HA masks had an average DSC of 0.85 between each other. After separate training using both approaches, the ET approach performed virtually identically to HA on the test set of 50 images. The former had an area under the curve (AUC) of 0.88, while the latter had AUC of 0.87. ET and HA predictions had trimmed mean DSCs compared to the original HA maps of 0.73 and 0.74, respectively. These trimmed DSCs between ET and HA were found to be statistically equivalent with a p value of 0.015. We have demonstrated that ET can create segmentation masks suitable for deep learning semantic segmentation. Future work will integrate ET to produce masks in a faster, more natural manner that distracts less from typical radiology clinical workflow.</t>
  </si>
  <si>
    <t>Convolutional Neural Networks for the Detection and Measurement of Cerebral Aneurysms on Magnetic Resonance Angiography</t>
  </si>
  <si>
    <t>Aneurysm size correlates with rupture risk and is important for treatment planning. User annotation of aneurysm size is slow and tedious, particularly for large data sets. Geometric shortcuts to compute size have been shown to be inaccurate, particularly for nonstandard aneurysm geometries. To develop and train a convolutional neural network (CNN) to detect and measure cerebral aneurysms from magnetic resonance angiography (MRA) automatically and without geometric shortcuts. In step 1, a CNN based on the U-net architecture was trained on 250 MRA maximum intensity projection (MIP) images, then applied to a testing set. In step 2, the trained CNN was applied to a separate set of 14 basilar tip aneurysms for size prediction. Step 1-the CNN successfully identified aneurysms in 85/86 (98.8% of) testing set cases, with a receiver operating characteristic (ROC) area-under-the-curve of 0.87. Step 2-automated basilar tip aneurysm linear size differed from radiologist-traced aneurysm size on average by 2.01 mm, or 30%. The CNN aneurysm area differed from radiologist-derived area on average by 8.1 mm(2) or 27%. CNN correctly predicted the area trend for the set of aneurysms. This approach is to our knowledge the first using CNNs to derive aneurysm size. In particular, we demonstrate the clinically pertinent application of computing maximal aneurysm one-dimensional size and two-dimensional area. We propose that future work can apply this to facilitate pre-treatment planning and possibly identify previously missed aneurysms in retrospective assessment.</t>
  </si>
  <si>
    <t>An Efficient Deep Learning Approach to Pneumonia Classification in Healthcare</t>
  </si>
  <si>
    <t>This study proposes a convolutional neural network model trained from scratch to classify and detect the presence of pneumonia from a collection of chest X-ray image samples. Unlike other methods that rely solely on transfer learning approaches or traditional handcrafted techniques to achieve a remarkable classification performance, we constructed a convolutional neural network model from scratch to extract features from a given chest X-ray image and classify it to determine if a person is infected with pneumonia. This model could help mitigate the reliability and interpretability challenges often faced when dealing with medical imagery. Unlike other deep learning classification tasks with sufficient image repository, it is difficult to obtain a large amount of pneumonia dataset for this classification task; therefore, we deployed several data augmentation algorithms to improve the validation and classification accuracy of the CNN model and achieved remarkable validation accuracy.</t>
  </si>
  <si>
    <t>O. Stephen, M. Sain, U. J. Maduh and D. U. Jeong</t>
  </si>
  <si>
    <t>Influence of a novel deep-learning based reconstruction software on the objective and subjective image quality in low-dose abdominal computed tomography</t>
  </si>
  <si>
    <t>OBJECTIVES: Modern reconstruction and post-processing software aims at reducing image noise in CT images, potentially allowing for a reduction of the employed radiation exposure. This study aimed at assessing the influence of a novel deep-learning based software on the subjective and objective image quality compared to two traditional methods [filtered back-projection (FBP), iterative reconstruction (IR)]. METHODS: In this institutional review board-approved retrospective study, abdominal low-dose CT images of 27 patients (mean age 38 ± 12 years, volumetric CT dose index 2.9 ± 1.8 mGy) were reconstructed with IR, FBP and, furthermore, post-processed using a novel software. For the three reconstructions, qualitative and quantitative image quality was evaluated by means of CT numbers, noise, signal-to-noise ratio (SNR), and contrast-to-noise ratio (CNR) in six different ROIs. Additionally, the reconstructions were compared using SNR, peak SNR, root mean square error and mean absolute error to assess structural differences. RESULTS: On average, CT numbers varied within 1 Hounsfield unit (HU) for the three assessed methods in the assessed ROIs. In soft tissue, image noise was up to 42% lower compared to FBP and up to 27% lower to IR when applying the novel software. Consequently, SNR and CNR were highest with the novel software. For both IR and the novel software, subjective image quality was equal but higher than the image quality of FBP-images. CONCLUSION: The assessed software reduces image noise while maintaining image information, even in comparison to IR, allowing for a potential dose reduction of approximately 20% in abdominal CT imaging. ADVANCES IN KNOWLEDGE: The assessed software reduces image noise by up to 27% compared to IR and 48% compared to FBP while maintaining the image information.The reduced image noise allows for a potential dose reduction of approximately 20% in abdominal imaging.</t>
  </si>
  <si>
    <t>Detecting Large Vessel Occlusion at Multiphase CT Angiography by Using a Deep Convolutional Neural Network</t>
  </si>
  <si>
    <t>Background Large vessel occlusion (LVO) stroke is one of the most time-sensitive diagnoses in medicine and requires emergent endovascular therapy to reduce morbidity and mortality. Leveraging recent advances in deep learning may facilitate rapid detection and reduce time to treatment. Purpose To develop a convolutional neural network to detect LVOs at multiphase CT angiography. Materials and Methods This multicenter retrospective study evaluated 540 adults with CT angiography examinations for suspected acute ischemic stroke from February 2017 to June 2018. Examinations positive for LVO (n = 270) were confirmed by catheter angiography and LVO-negative examinations (n = 270) were confirmed through review of clinical and radiology reports. Preprocessing of the CT angiography examinations included vasculature segmentation and the creation of maximum intensity projection images to emphasize the contrast agent-enhanced vasculature. Seven experiments were performed by using combinations of the three phases (arterial, phase 1; peak venous, phase 2; and late venous, phase 3) of the CT angiography. Model performance was evaluated on the held-out test set. Metrics included area under the receiver operating characteristic curve (AUC), sensitivity, and specificity. Results The test set included 62 patients (mean age, 69.5 years; 48% women). Single-phase CT angiography achieved an AUC of 0.74 (95% confidence interval [CI]: 0.63, 0.85) with sensitivity of 77% (24 of 31; 95% CI: 59%, 89%) and specificity of 71% (22 of 31; 95% CI: 53%, 84%). Phases 1, 2, and 3 together achieved an AUC of 0.89 (95% CI: 0.81, 0.96), sensitivity of 100% (31 of 31; 95% CI: 99%, 100%), and specificity of 77% (24 of 31; 95% CI: 59%, 89%), a statistically significant improvement relative to single-phase CT angiography (P = .01). Likewise, phases 1 and 3 and phases 2 and 3 also demonstrated improved fit relative to single phase (P = .03). Conclusion This deep learning model was able to detect the presence of large vessel occlusion and its diagnostic performance was enhanced by using delayed phases at multiphase CT angiography examinations. © RSNA, 2020 Online supplemental material is available for this article. See also the editorial by Ospel and Goyal in this issue.</t>
  </si>
  <si>
    <t>Multi-Modal Deep Guided Filtering for Comprehensible Medical Image Processing</t>
  </si>
  <si>
    <t>Deep learning-based image processing is capable of creating highly appealing results. However, it is still widely considered as a blackbox transformation. In medical imaging, this lack of comprehensibility of the results is a sensitive issue. The integration of known operators into the deep learning environment has proven to be advantageous for the comprehensibility and reliability of the computations. Consequently, we propose the use of the locally linear guided filter in combination with a learned guidance map for general purpose medical image processing. The output images are only processed by the guided filter while the guidance map can be trained to be task-optimal in an end-to-end fashion. We investigate the performance based on two popular tasks: image super resolution and denoising. The evaluation is conducted based on pairs of multi-modal magnetic resonance imaging and cross-modal computed tomography and magnetic resonance imaging datasets. For both tasks, the proposed approach is on par with state-of-the-art approaches. Additionally, we can show that the input image's content is almost unchanged after the processing which is not the case for conventional deep learning approaches. On top, the proposed pipeline offers increased robustness against degraded input as well as adversarial attacks.</t>
  </si>
  <si>
    <t>10.1136/rmdopen-2019-001063</t>
  </si>
  <si>
    <t>Use of artificial intelligence in imaging in rheumatology - current status and future perspectives</t>
  </si>
  <si>
    <t>After decades of basic research with many setbacks, artificial intelligence (AI) has recently obtained significant breakthroughs, enabling computer programs to outperform human interpretation of medical images in very specific areas. After this shock wave that probably exceeds the impact of the first AI victory of defeating the world chess champion in 1997, some reflection may be appropriate on the consequences for clinical imaging in rheumatology. In this narrative review, a short explanation is given about the various AI techniques, including 'deep learning', and how these have been applied to rheumatological imaging, focussing on rheumatoid arthritis and systemic sclerosis as examples. By discussing the principle limitations of AI and deep learning, this review aims to give insight into possible future perspectives of AI applications in rheumatology.</t>
  </si>
  <si>
    <t>B. Stoel</t>
  </si>
  <si>
    <t>10.1016/j.semarthrit.2019.09.020</t>
  </si>
  <si>
    <t>Artificial intelligence in detecting early RA</t>
  </si>
  <si>
    <t>To prevent chronicity of Rheumatoid Arthritis (RA) by early treatment, detecting inflammatory signs in an early phase is essential. Since Magnetic Resonance Imaging (MRI) of the wrist, hand and foot can detect inflammation before it is clinically detectable, this modality may play an important role in achieving very early diagnoses. By collecting large amounts of MRI data from healthy controls and patients with arthralgia suspicious for progression to RA, patterns can be studied that are most specific for early development of RA. Furthermore, MRI can be used as outcome parameter for randomized placebo-controlled trials on early RA treatment, by detecting subtle changes in image intensities originating from natural progression or treatment effects. Very large amounts of MRI data, however, make manual quantification impractical and the coarse scale used in visual scoring systems (i.e. whole values between 0 and 3) limits its sensitivity to detect changes that are likely to be very subtle in such an early phase. In recent years, advances in artificial intelligence and especially 'deep learning' in interpreting medical images have shown that -in specific areas- a computerized analysis can outperform human observers. Therefore, research has been initiated into applying these artificial intelligence techniques to the quantification of early RA from MRI data. In this paper, an overview is given on the background and history of artificial intelligence, with a special focus on recent developments in 'deep learning', and how these techniques could be applied to detect subtle inflammatory changes in MRI data.</t>
  </si>
  <si>
    <t>B. C. Stoel</t>
  </si>
  <si>
    <t>Semin Arthritis Rheum</t>
  </si>
  <si>
    <t>A survey on medical image analysis in diabetic retinopathy</t>
  </si>
  <si>
    <t>Diabetic Retinopathy (DR) represents a highly-prevalent complication of diabetes in which individuals suffer from damage to the blood vessels in the retina. The disease manifests itself through lesion presence, starting with microaneurysms, at the nonproliferative stage before being characterized by neovascularization in the proliferative stage. Retinal specialists strive to detect DR early so that the disease can be treated before substantial, irreversible vision loss occurs. The level of DR severity indicates the extent of treatment necessary - vision loss may be preventable by effective diabetes management in mild (early) stages, rather than subjecting the patient to invasive laser surgery. Using artificial intelligence (AI), highly accurate and efficient systems can be developed to help assist medical professionals in screening and diagnosing DR earlier and without the full resources that are available in specialty clinics. In particular, deep learning facilitates diagnosis earlier and with higher sensitivity and specificity. Such systems make decisions based on minimally handcrafted features and pave the way for personalized therapies. Thus, this survey provides a comprehensive description of the current technology used in each step of DR diagnosis. First, it begins with an introduction to the disease and the current technologies and resources available in this space. It proceeds to discuss the frameworks that different teams have used to detect and classify DR. Ultimately, we conclude that deep learning systems offer revolutionary potential to DR identification and prevention of vision loss.</t>
  </si>
  <si>
    <t>Supervised learning technique for the automated identification of white matter hyperintensities in traumatic brain injury</t>
  </si>
  <si>
    <t>BACKGROUND: White matter hyperintensities (WMHs) are foci of abnormal signal intensity in white matter regions seen with magnetic resonance imaging (MRI). WMHs are associated with normal ageing and have shown prognostic value in neurological conditions such as traumatic brain injury (TBI). The impracticality of manually quantifying these lesions limits their clinical utility and motivates the utilization of machine learning techniques for automated segmentation workflows. METHODS: This study develops a concatenated random forest framework with image features for segmenting WMHs in a TBI cohort. The framework is built upon the Advanced Normalization Tools (ANTs) and ANTsR toolkits. MR (3D FLAIR, T2- and T1-weighted) images from 24 service members and veterans scanned in the Chronic Effects of Neurotrauma Consortium's (CENC) observational study were acquired. Manual annotations were employed for both training and evaluation using a leave-one-out strategy. Performance measures include sensitivity, positive predictive value, [Formula: see text] score and relative volume difference. RESULTS: Final average results were: sensitivity = 0.68 ± 0.38, positive predictive value = 0.51 ± 0.40, [Formula: see text] = 0.52 ± 0.36, relative volume difference = 43 ± 26%. In addition, three lesion size ranges are selected to illustrate the variation in performance with lesion size. CONCLUSION: Paired with correlative outcome data, supervised learning methods may allow for identification of imaging features predictive of diagnosis and prognosis in individual TBI patients.</t>
  </si>
  <si>
    <t>J. R. Stone, E. A. Wilde, B. A. Taylor, D. F. Tate, H. Levin, E. D. Bigler, R. S. Scheibel, M. R. Newsome, A. R. Mayer, T. Abildskov, G. M. Black, M. J. Lennon, G. E. York, R. Agarwal, J. DeVillasante, J. L. Ritter, P. B. Walker, S. T. Ahlers and N. J. Tustison</t>
  </si>
  <si>
    <t>Brain Inj</t>
  </si>
  <si>
    <t>10.1007/s00117-020-00646-w</t>
  </si>
  <si>
    <t>[Artificial intelligence in hybrid imaging]</t>
  </si>
  <si>
    <t>CLINICAL ISSUE: Hybrid imaging enables the precise visualization of cellular metabolism by combining anatomical and metabolic information. Advances in artificial intelligence (AI) offer new methods for processing and evaluating this data. METHODOLOGICAL INNOVATIONS: This review summarizes current developments and applications of AI methods in hybrid imaging. Applications in image processing as well as methods for disease-related evaluation are presented and discussed. MATERIALS AND METHODS: This article is based on a selective literature search with the search engines PubMed and arXiv. ASSESSMENT: Currently, there are only a few AI applications using hybrid imaging data and no applications are established in clinical routine yet. Although the first promising approaches are emerging, they still need to be evaluated prospectively. In the future, AI applications will support radiologists and nuclear medicine radiologists in diagnosis and therapy.</t>
  </si>
  <si>
    <t>Deep learning advances super-resolution imaging</t>
  </si>
  <si>
    <t>R. Strack</t>
  </si>
  <si>
    <t>Deep learning in imaging</t>
  </si>
  <si>
    <t>Deep learning-based reconstruction of ultrasound images from raw channel data</t>
  </si>
  <si>
    <t>PURPOSE: We investigate the feasibility of reconstructing ultrasound images directly from raw channel data using a deep learning network. Starting from the raw data, we present the network the full measurement information, allowing for a more generic reconstruction to form, as compared to common reconstructions constrained by physical models using fixed speed of sound assumptions. METHODS: We propose a U-Net-like architecture for the given task. Additional layers with strided convolutions downsample the raw data. Hyperparameter optimization was used to find a suitable learning rate. We train and test our deep learning approach on plane wave ultrasound images with a single insonification angle. The dataset includes phantom as well as in vivo data. RESULTS: The images produced by our method are visually comparable to ones reconstructed with the conventional delay and sum algorithm. Deviations between prediction and ground truth are likely to be related to speckle noise. For the test set, the mean absolute error is [Formula: see text] for the phantom images and [Formula: see text] for the in vivo data. CONCLUSION: The result shows the feasibility of our approach and opens up new research directions regarding information retrieval from raw channel data. As the networks reconstruction performance is limited by the quality of the ground truth images, using other ultrasound reconstruction technique or image types as target data would be of interest.</t>
  </si>
  <si>
    <t>10.1155/2018/1753480</t>
  </si>
  <si>
    <t>Classification of Computed Tomography Images in Different Slice Positions Using Deep Learning</t>
  </si>
  <si>
    <t>This study aimed at elucidating the relationship between the number of computed tomography (CT) images, including data concerning the accuracy of models and contrast enhancement for classifying the images. We enrolled 1539 patients who underwent contrast or noncontrast CT imaging, followed by dividing the CT imaging dataset for creating classification models into 10 classes for brain, neck, chest, abdomen, and pelvis with contrast-enhanced and plain imaging. The number of images prepared in each class were 100, 500, 1000, 2000, 3000, 4000, 5000, 6000, 7000, 8000, 9000, and 10,000. Accordingly, the names of datasets were defined as 0.1K, 0.5K, 1K, 2K, 3K, 4K, 5K, 6K, 7K, 8K, 9K, and 10K, respectively. We subsequently created and evaluated the models and compared the convolutional neural network (CNN) architecture between AlexNet and GoogLeNet. The time required for training models of AlexNet was lesser than that for GoogLeNet. The best overall accuracy for the classification of 10 classes was 0.721 with the 10K dataset of GoogLeNet. Furthermore, the best overall accuracy for the classification of the slice position without contrast media was 0.862 with the 2K dataset of AlexNet.</t>
  </si>
  <si>
    <t>H. Sugimori</t>
  </si>
  <si>
    <t>Automated Breast Cancer Detection in Digital Mammograms of Various Densities via Deep Learning</t>
  </si>
  <si>
    <t>Mammography plays an important role in screening breast cancer among females, and artificial intelligence has enabled the automated detection of diseases on medical images. This study aimed to develop a deep learning model detecting breast cancer in digital mammograms of various densities and to evaluate the model performance compared to previous studies. From 1501 subjects who underwent digital mammography between February 2007 and May 2015, craniocaudal and mediolateral view mammograms were included and concatenated for each breast, ultimately producing 3002 merged images. Two convolutional neural networks were trained to detect any malignant lesion on the merged images. The performances were tested using 301 merged images from 284 subjects and compared to a meta-analysis including 12 previous deep learning studies. The mean area under the receiver-operating characteristic curve (AUC) for detecting breast cancer in each merged mammogram was 0.952 ± 0.005 by DenseNet-169 and 0.954 ± 0.020 by EfficientNet-B5, respectively. The performance for malignancy detection decreased as breast density increased (density A, mean AUC = 0.984 vs. density D, mean AUC = 0.902 by DenseNet-169). When patients' age was used as a covariate for malignancy detection, the performance showed little change (mean AUC, 0.953 ± 0.005). The mean sensitivity and specificity of the DenseNet-169 (87 and 88%, respectively) surpassed the mean values (81 and 82%, respectively) obtained in a meta-analysis. Deep learning would work efficiently in screening breast cancer in digital mammograms of various densities, which could be maximized in breasts with lower parenchyma density.</t>
  </si>
  <si>
    <t>Automated image quality evaluation of structural brain MRI using an ensemble of deep learning networks</t>
  </si>
  <si>
    <t>BACKGROUND: Deep learning (DL) is a promising methodology for automatic detection of abnormalities in brain MRI. PURPOSE: To automatically evaluate the quality of multicenter structural brain MRI images using an ensemble DL model based on deep convolutional neural networks (DCNNs). STUDY TYPE: Retrospective. POPULATION: The study included 1064 brain images of autism patients and healthy controls from the Autism Brain Imaging Data Exchange (ABIDE) database. MRI data from 110 multiple sclerosis patients from the CombiRx study were included for independent testing. SEQUENCE: T(1) -weighted MR brain images acquired at 3T. ASSESSMENT: The ABIDE data were separated into training (60%), validation (20%), and testing (20%) sets. The ensemble DL model combined the results from three cascaded networks trained separately on the three MRI image planes (axial, coronal, and sagittal). Each cascaded network consists of a DCNN followed by a fully connected network. The quality of image slices from each plane was evaluated by the DCNN and the resultant image scores were combined into a volumewise quality rating using the fully connected network. The DL predicted ratings were compared with manual quality evaluation by two experts. STATISTICAL TESTS: Receiver operating characteristic (ROC) curve, area under ROC curve (AUC), sensitivity, specificity, accuracy, and positive (PPV) and negative (NPV) predictive values. RESULTS: The AUC, sensitivity, specificity, accuracy, PPV, and NPV for image quality evaluation of the ABIDE test set using the ensemble model were 0.90, 0.77, 0.85, 0.84, 0.42, and 0.96, respectively. On the CombiRx set the same model achieved performance of 0.71, 0.41, 0.84, 0.73, 0.48, and 0.80. DATA CONCLUSION: This study demonstrated the high accuracy of DL in evaluating image quality of structural brain MRI in multicenter studies. LEVEL OF EVIDENCE: 3 Technical Efficacy: Stage 2 J. Magn. Reson. Imaging 2019;50:1260-1267.</t>
  </si>
  <si>
    <t>Hierarchical feature representation and multimodal fusion with deep learning for AD/MCI diagnosis</t>
  </si>
  <si>
    <t>For the last decade, it has been shown that neuroimaging can be a potential tool for the diagnosis of Alzheimer's Disease (AD) and its prodromal stage, Mild Cognitive Impairment (MCI), and also fusion of different modalities can further provide the complementary information to enhance diagnostic accuracy. Here, we focus on the problems of both feature representation and fusion of multimodal information from Magnetic Resonance Imaging (MRI) and Positron Emission Tomography (PET). To our best knowledge, the previous methods in the literature mostly used hand-crafted features such as cortical thickness, gray matter densities from MRI, or voxel intensities from PET, and then combined these multimodal features by simply concatenating into a long vector or transforming into a higher-dimensional kernel space. In this paper, we propose a novel method for a high-level latent and shared feature representation from neuroimaging modalities via deep learning. Specifically, we use Deep Boltzmann Machine (DBM)(2), a deep network with a restricted Boltzmann machine as a building block, to find a latent hierarchical feature representation from a 3D patch, and then devise a systematic method for a joint feature representation from the paired patches of MRI and PET with a multimodal DBM. To validate the effectiveness of the proposed method, we performed experiments on ADNI dataset and compared with the state-of-the-art methods. In three binary classification problems of AD vs. healthy Normal Control (NC), MCI vs. NC, and MCI converter vs. MCI non-converter, we obtained the maximal accuracies of 95.35%, 85.67%, and 74.58%, respectively, outperforming the competing methods. By visual inspection of the trained model, we observed that the proposed method could hierarchically discover the complex latent patterns inherent in both MRI and PET.</t>
  </si>
  <si>
    <t>H. I. Suk, S. W. Lee and D. Shen</t>
  </si>
  <si>
    <t>Deep ensemble learning of sparse regression models for brain disease diagnosis</t>
  </si>
  <si>
    <t>Recent studies on brain imaging analysis witnessed the core roles of machine learning techniques in computer-assisted intervention for brain disease diagnosis. Of various machine-learning techniques, sparse regression models have proved their effectiveness in handling high-dimensional data but with a small number of training samples, especially in medical problems. In the meantime, deep learning methods have been making great successes by outperforming the state-of-the-art performances in various applications. In this paper, we propose a novel framework that combines the two conceptually different methods of sparse regression and deep learning for Alzheimer's disease/mild cognitive impairment diagnosis and prognosis. Specifically, we first train multiple sparse regression models, each of which is trained with different values of a regularization control parameter. Thus, our multiple sparse regression models potentially select different feature subsets from the original feature set; thereby they have different powers to predict the response values, i.e., clinical label and clinical scores in our work. By regarding the response values from our sparse regression models as target-level representations, we then build a deep convolutional neural network for clinical decision making, which thus we call 'Deep Ensemble Sparse Regression Network.' To our best knowledge, this is the first work that combines sparse regression models with deep neural network. In our experiments with the ADNI cohort, we validated the effectiveness of the proposed method by achieving the highest diagnostic accuracies in three classification tasks. We also rigorously analyzed our results and compared with the previous studies on the ADNI cohort in the literature.</t>
  </si>
  <si>
    <t>Deep learning-based feature representation for AD/MCI classification</t>
  </si>
  <si>
    <t>In recent years, there has been a great interest in computer-aided diagnosis of Alzheimer's Disease (AD) and its prodromal stage, Mild Cognitive Impairment (MCI). Unlike the previous methods that consider simple low-level features such as gray matter tissue volumes from MRI, mean signal intensities from PET, in this paper, we propose a deep learning-based feature representation with a stacked auto-encoder. We believe that there exist latent complicated patterns, e.g., non-linear relations, inherent in the low-level features. Combining latent information with the original low-level features helps build a robust model for AD/MCI classification with high diagnostic accuracy. Using the ADNI dataset, we conducted experiments showing that the proposed method is 95.9%, 85.0%, and 75.8% accurate for AD, MCI, and MCI-converter diagnosis, respectively.</t>
  </si>
  <si>
    <t>H. I. Suk and D. Shen</t>
  </si>
  <si>
    <t>State-space model with deep learning for functional dynamics estimation in resting-state fMRI</t>
  </si>
  <si>
    <t>Studies on resting-state functional Magnetic Resonance Imaging (rs-fMRI) have shown that different brain regions still actively interact with each other while a subject is at rest, and such functional interaction is not stationary but changes over time. In terms of a large-scale brain network, in this paper, we focus on time-varying patterns of functional networks, i.e., functional dynamics, inherent in rs-fMRI, which is one of the emerging issues along with the network modelling. Specifically, we propose a novel methodological architecture that combines deep learning and state-space modelling, and apply it to rs-fMRI based Mild Cognitive Impairment (MCI) diagnosis. We first devise a Deep Auto-Encoder (DAE) to discover hierarchical non-linear functional relations among regions, by which we transform the regional features into an embedding space, whose bases are complex functional networks. Given the embedded functional features, we then use a Hidden Markov Model (HMM) to estimate dynamic characteristics of functional networks inherent in rs-fMRI via internal states, which are unobservable but can be inferred from observations statistically. By building a generative model with an HMM, we estimate the likelihood of the input features of rs-fMRI as belonging to the corresponding status, i.e., MCI or normal healthy control, based on which we identify the clinical label of a testing subject. In order to validate the effectiveness of the proposed method, we performed experiments on two different datasets and compared with state-of-the-art methods in the literature. We also analyzed the functional networks learned by DAE, estimated the functional connectivities by decoding hidden states in HMM, and investigated the estimated functional connectivities by means of a graph-theoretic approach.</t>
  </si>
  <si>
    <t>H. I. Suk, C. Y. Wee, S. W. Lee and D. Shen</t>
  </si>
  <si>
    <t>Seeing More: A Future of Augmented Microscopy</t>
  </si>
  <si>
    <t>Microscope images are information rich. In this issue of Cell, Christiansen et al. show that label-free images of cells can be used to predict fluorescent labels representing cell type, state, and organelle distribution using a deep-learning framework. This paves the way for computationally multiplexed assays derived from inexpensive label-free microscopy.</t>
  </si>
  <si>
    <t>Deep learning is combined with massive-scale citizen science to improve large-scale image classification</t>
  </si>
  <si>
    <t>Pattern recognition and classification of images are key challenges throughout the life sciences. We combined two approaches for large-scale classification of fluorescence microscopy images. First, using the publicly available data set from the Cell Atlas of the Human Protein Atlas (HPA), we integrated an image-classification task into a mainstream video game (EVE Online) as a mini-game, named Project Discovery. Participation by 322,006 gamers over 1 year provided nearly 33 million classifications of subcellular localization patterns, including patterns that were not previously annotated by the HPA. Second, we used deep learning to build an automated Localization Cellular Annotation Tool (Loc-CAT). This tool classifies proteins into 29 subcellular localization patterns and can deal efficiently with multi-localization proteins, performing robustly across different cell types. Combining the annotations of gamers and deep learning, we applied transfer learning to create a boosted learner that can characterize subcellular protein distribution with F1 score of 0.72. We found that engaging players of commercial computer games provided data that augmented deep learning and enabled scalable and readily improved image classification.</t>
  </si>
  <si>
    <t>D. P. Sullivan, C. F. Winsnes, L. Åkesson, M. Hjelmare, M. Wiking, R. Schutten, L. Campbell, H. Leifsson, S. Rhodes, A. Nordgren, K. Smith, B. Revaz, B. Finnbogason, A. Szantner and E. Lundberg</t>
  </si>
  <si>
    <t>Development of a volumetric pancreas segmentation CT dataset for AI applications through trained technologists: a study during the COVID 19 containment phase</t>
  </si>
  <si>
    <t>PURPOSE: To evaluate the performance of trained technologists vis-à-vis radiologists for volumetric pancreas segmentation and to assess the impact of supplementary training on their performance. METHODS: In this IRB-approved study, 22 technologists were trained in pancreas segmentation on portal venous phase CT through radiologist-led interactive videoconferencing sessions based on an image-rich curriculum. Technologists segmented pancreas in 188 CTs using freehand tools on custom image-viewing software. Subsequent supplementary training included multimedia videos focused on common errors, which were followed by second batch of 159 segmentations. Two radiologists reviewed all cases and corrected inaccurate segmentations. Technologists' segmentations were compared against radiologists' segmentations using Dice-Sorenson coefficient (DSC), Jaccard coefficient (JC), and Bland-Altman analysis. RESULTS: Corrections were made in 71 (38%) cases from first batch [26 (37%) oversegmentations and 45 (63%) undersegmentations] and in 77 (48%) cases from second batch [12 (16%) oversegmentations and 65 (84%) undersegmentations]. DSC, JC, false positive (FP), and false negative (FN) [mean (SD)] in first versus second batches were 0.63 (0.15) versus 0.63 (0.16), 0.48 (0.15) versus 0.48 (0.15), 0.29 (0.21) versus 0.21 (0.10), and 0.36 (0.20) versus 0.43 (0.19), respectively. Differences were not significant (p &gt; 0.05). However, range of mean pancreatic volume difference reduced in the second batch [- 2.74 cc (min - 92.96 cc, max 87.47 cc) versus - 23.57 cc (min - 77.32, max 30.19)]. CONCLUSION: Trained technologists could perform volumetric pancreas segmentation with reasonable accuracy despite its complexity. Supplementary training further reduced range of volume difference in segmentations. Investment into training technologists could augment and accelerate development of body imaging datasets for AI applications.</t>
  </si>
  <si>
    <t>Deep convolutional neural network for reduction of contrast-enhanced region on CT images</t>
  </si>
  <si>
    <t>This study aims to produce non-contrast computed tomography (CT) images using a deep convolutional neural network (CNN) for imaging. Twenty-nine patients were selected. CT images were acquired without and with a contrast enhancement medium. The transverse images were divided into 64 × 64 pixels. This resulted in 14 723 patches in total for both non-contrast and contrast-enhanced CT image pairs. The proposed CNN model comprises five two-dimensional (2D) convolution layers with one shortcut path. For comparison, the U-net model, which comprises five 2D convolution layers interleaved with pooling and unpooling layers, was used. Training was performed in 24 patients and, for testing of trained models, another 5 patients were used. For quantitative evaluation, 50 regions of interest (ROIs) were selected on the reference contrast-enhanced image of the test data, and the mean pixel value of the ROIs was calculated. The mean pixel values of the ROIs at the same location on the reference non-contrast image and the predicted non-contrast image were calculated and those values were compared. Regarding the quantitative analysis, the difference in mean pixel value between the reference contrast-enhanced image and the predicted non-contrast image was significant (P &lt; 0.0001) for both models. Significant differences in pixels (P &lt; 0.0001) were found using the U-net model; in contrast, there was no significant difference using the proposed CNN model when comparing the reference non-contrast images and the predicted non-contrast images. Using the proposed CNN model, the contrast-enhanced region was satisfactorily reduced.</t>
  </si>
  <si>
    <t>Segmentation of 4D images via space-time neural networks</t>
  </si>
  <si>
    <t>Medical imaging techniques currently produce 4D images that portray the dynamic behaviors and phenomena associated with internal structures. The segmentation of 4D images poses challenges different from those arising in segmenting 3D static images due to different patterns of variation of object shape and appearance in the space and time dimensions. In this paper, different network models are designed to learn the pattern of slice-to-slice change in the space and time dimensions independently. The two models then allow a gamut of strategies to actually segment the 4D image, such as segmentation following just the space or time dimension only, or following first the space dimension for one time instance and then following all time instances, or vice versa, etc. This paper investigates these strategies in the context of the obstructive sleep apnea (OSA) application and presents a unified deep learning framework to segment 4D images. Because of the sparse tubular nature of the upper airway and the surrounding low-contrast structures, inadequate contrast resolution obtainable in the magnetic resonance (MR) images leaves many challenges for effective segmentation of the dynamic airway in 4D MR images. Given that these upper airway structures are sparse, a Dice coefficient (DC) of ~0.88 for their segmentation based on our preferred strategy is similar to a DC of &gt;0.95 for large non-sparse objects like liver, lungs, etc., constituting excellent accuracy.</t>
  </si>
  <si>
    <t>Deep Learning-Based Classification of Liver Cancer Histopathology Images Using Only Global Labels</t>
  </si>
  <si>
    <t>Liver cancer is a leading cause of cancer deaths worldwide due to its high morbidity and mortality. Histopathological image analysis (HIA) is a crucial step in the early diagnosis of liver cancer and is routinely performed manually. However, this process is time-consuming, error-prone, and easily affected by the expertise of pathologists. Recently, computer-aided methods have been widely applied to medical image analysis; however, the current medical image analysis studies have not yet focused on the histopathological morphology of liver cancer due to its complex features and the insufficiency of training images with detailed annotations. This paper proposes a deep learning method for liver cancer histopathological image classification using only global labels. To compensate for the lack of detailed cancer region annotations in those images, patch features are extracted and fully utilized. Transfer learning is used to obtain the patch-level features and then combined with multiple-instance learning to acquire the image-level features for classification. The method proposed here solves the processing of large-scale images and training sample insufficiency in liver cancer histopathological images for image classification. The proposed method can distinguish and classify liver histopathological images as abnormal or normal with high accuracy, thus providing support for the early diagnosis of liver cancer.</t>
  </si>
  <si>
    <t>C. Sun, A. Xu, D. Liu, Z. Xiong, F. Zhao and W. Ding</t>
  </si>
  <si>
    <t>Time-Series Chlorophyll Fluorescence Imaging Reveals Dynamic Photosynthetic Fingerprints of sos Mutants to Drought Stress</t>
  </si>
  <si>
    <t>Resistance to drought stress is one of the most favorable traits in breeding programs yet drought stress is one of the most poorly addressed biological processes for both phenomics and genetics. In this study, we investigated the potential of using a time-series chlorophyll fluorescence (ChlF) analysis to dissect the ChlF fingerprints of salt overly sensitive (SOS) mutants under drought stress. Principle component analysis (PCA) was used to identify a shifting pattern of different genotypes including sos mutants and wild type (WT) Col-0. A time-series deep-learning algorithm, sparse auto encoders (SAEs) neural network, was applied to extract time-series ChlF features which were used in four classification models including linear discriminant analysis (LDA), k-nearest neighbor classifier (KNN), Gaussian naive Bayes (NB) and support vector machine (SVM). The results showed that the discrimination accuracy of sos mutants SOS1-1, SOS2-3, and wild type Col-0 reached 95% with LDA classification model. Sequential forward selection (SFS) algorithm was used to obtain ChlF fingerprints of the shifting pattern, which could address the response of sos mutants and Col-0 to drought stress over time. Parameters including QY, NPQ and Fm, etc. were significantly different between sos mutants and WT. This research proved the potential of ChlF imaging for gene function analysis and the study of drought stress using ChlF in a time-series manner.</t>
  </si>
  <si>
    <t>DRRNet: Dense Residual Refine Networks for Automatic Brain Tumor Segmentation</t>
  </si>
  <si>
    <t>Glioma is one of the most common and aggressive brain tumors. Segmentation and subsequent quantitative analysis of brain tumor MRI are routine and crucial for treatment. Due to the time-consuming and tedious manual segmentation, automatic segmentation methods are required for accurate and timely treatment. Recently, segmentation methods based on deep learning are popular because of their self-learning and generalization ability. Therefore, we propose a novel automatic 3D CNN-based method for brain tumor segmentation. In order to better capture the contextual information, we design the network architecture based on u-net and replace the simple skip connection with encoder adaptation blocks. To further improve the performance and reduce computational burden at the same time, we also use dense connected fusion blocks in decoder. We train our model with generalised dice loss function to alleviate the problem of class imbalance. The proposed model is evaluated on the BRATS 2015 testing dataset and obtains dice scores of 0.84, 0.72 and 0.62 for whole tumor, tumor core and enhancing tumor, respectively. Our model is accurate and efficient, achieving results that comparable to the reported state-of-the-art results.</t>
  </si>
  <si>
    <t>J. Sun, W. Chen, S. Peng and B. Liu</t>
  </si>
  <si>
    <t>A Deep Information Sharing Network for Multi-Contrast Compressed Sensing MRI Reconstruction</t>
  </si>
  <si>
    <t>Compressed sensing (CS) theory can accelerate multi-contrast magnetic resonance imaging (MRI) by sampling fewer measurements within each contrast. However, conventional optimization-based reconstruction models suffer several limitations, including a strict assumption of shared sparse support, time-consuming optimization, and shallow models with difficulties in encoding the patterns contained in massive MRI data. In this paper, we propose the first deep learning model for multi-contrast CS-MRI reconstruction. We achieve information sharing through feature sharing units, which significantly reduces the number of model parameters. The feature sharing unit combines with a data fidelity unit to comprise an inference block, which are then cascaded with dense connections, allowing for efficient information transmission across different depths of the network. Experiments on various multi-contrast MRI datasets show that the proposed model outperforms both state-of-the-art single-contrast and multi-contrast MRI methods in accuracy and efficiency. We demonstrate that improved reconstruction quality can bring benefits to subsequent medical image analysis. Furthermore, the robustness of the proposed model to misregistration shows its potential in real MRI applications.</t>
  </si>
  <si>
    <t>Adaptive Feature Selection Guided Deep Forest for COVID-19 Classification With Chest CT</t>
  </si>
  <si>
    <t>Chest computed tomography (CT) becomes an effective tool to assist the diagnosis of coronavirus disease-19 (COVID-19). Due to the outbreak of COVID-19 worldwide, using the computed-aided diagnosis technique for COVID-19 classification based on CT images could largely alleviate the burden of clinicians. In this paper, we propose an Adaptive Feature Selection guided Deep Forest (AFS-DF) for COVID-19 classification based on chest CT images. Specifically, we first extract location-specific features from CT images. Then, in order to capture the high-level representation of these features with the relatively small-scale data, we leverage a deep forest model to learn high-level representation of the features. Moreover, we propose a feature selection method based on the trained deep forest model to reduce the redundancy of features, where the feature selection could be adaptively incorporated with the COVID-19 classification model. We evaluated our proposed AFS-DF on COVID-19 dataset with 1495 patients of COVID-19 and 1027 patients of community acquired pneumonia (CAP). The accuracy (ACC), sensitivity (SEN), specificity (SPE), AUC, precision and F1-score achieved by our method are 91.79%, 93.05%, 89.95%, 96.35%, 93.10% and 93.07%, respectively. Experimental results on the COVID-19 dataset suggest that the proposed AFS-DF achieves superior performance in COVID-19 vs. CAP classification, compared with 4 widely used machine learning methods.</t>
  </si>
  <si>
    <t>Anatomical Attention Guided Deep Networks for ROI Segmentation of Brain MR Images</t>
  </si>
  <si>
    <t>Brain region-of-interest (ROI) segmentation based on structural magnetic resonance imaging (MRI) scans is an essential step for many computer-aid medical image analysis applications. Due to low intensity contrast around ROI boundary and large inter-subject variance, it has been remaining a challenging task to effectively segment brain ROIs from structural MR images. Even though several deep learning methods for brain MR image segmentation have been developed, most of them do not incorporate shape priors to take advantage of the regularity of brain structures, thus leading to sub-optimal performance. To address this issue, we propose an anatomical attention guided deep learning framework for brain ROI segmentation of structural MR images, containing two subnetworks. The first one is a segmentation subnetwork, used to simultaneously extract discriminative image representation and segment ROIs for each input MR image. The second one is an anatomical attention subnetwork, designed to capture the anatomical structure information of the brain from a set of labeled atlases. To utilize the anatomical attention knowledge learned from atlases, we develop an anatomical gate architecture to fuse feature maps derived from a set of atlas label maps and those from the to-be-segmented image for brain ROI segmentation. In this way, the anatomical prior learned from atlases can be explicitly employed to guide the segmentation process for performance improvement. Within this framework, we develop two anatomical attention guided segmentation models, denoted as anatomical gated fully convolutional network (AG-FCN) and anatomical gated U-Net (AG-UNet), respectively. Experimental results on both ADNI and LONI-LPBA40 datasets suggest that the proposed AG-FCN and AG-UNet methods achieve superior performance in ROI segmentation of brain MR images, compared with several state-of-the-art methods.</t>
  </si>
  <si>
    <t>L. Sun, W. Shao, D. Zhang and M. Liu</t>
  </si>
  <si>
    <t>Topological correction of infant white matter surfaces using anatomically constrained convolutional neural network</t>
  </si>
  <si>
    <t>Reconstruction of accurate cortical surfaces without topological errors (i.e., handles and holes) from infant brain MR images is very important in early brain development studies. However, infant brain MR images typically suffer extremely low tissue contrast and dynamic imaging appearance patterns. Thus, it is inevitable to have large amounts of topological errors in the segmented infant brain tissue images, which lead to inaccurately reconstructed cortical surfaces with topological errors. To address this issue, inspired by recent advances in deep learning, we propose an anatomically constrained network for topological correction on infant cortical surfaces. Specifically, in our method, we first locate regions of potential topological defects by leveraging a topology-preserving level set method. Then, we propose an anatomically constrained network to correct those candidate voxels in the located regions. Since infant cortical surfaces often contain large and complex handles or holes, it is difficult to completely correct all errors using one-shot correction. Therefore, we further enroll these two steps into an iterative framework to gradually correct large topological errors. To the best of our knowledge, this is the first work to introduce deep learning approach for topological correction of infant cortical surfaces. We compare our method with the state-of-the-art methods on both simulated topological errors and real topological errors in human infant brain MR images. Moreover, we also validate our method on the infant brain MR images of macaques. All experimental results show the superior performance of the proposed method.</t>
  </si>
  <si>
    <t>Multi-Atlas Based Methods in Brain MR Image Segmentation</t>
  </si>
  <si>
    <t>Brain region-of-interesting (ROI) segmentation is an important prerequisite step for many computer-aid brain disease analyses. However, the human brain has the complicated anatomical structure. Meanwhile, the brain MR images often suffer from the low intensity contrast around the boundary of ROIs, large inter-subject variance and large inner-subject variance. To address these issues, many multi-atlas based segmentation methods are proposed for brain ROI segmentation in the last decade. In this paper, multi-atlas based methods for brain MR image segmentation were reviewed regarding several registration toolboxes which are widely used in the multi-atlas methods, conventional methods for label fusion, datasets that have been used for evaluating the multi-atlas methods, as well as the applications of multi-atlas based segmentation in clinical researches. We propose that incorporating the anatomical prior into the end-to-end deep learning architectures for brain ROI segmentation is an important direction in the future.</t>
  </si>
  <si>
    <t>Chin Med Sci J</t>
  </si>
  <si>
    <t>Baseball Player Behavior Classification System Using Long Short-Term Memory with Multimodal Features</t>
  </si>
  <si>
    <t>In this paper, a preliminary baseball player behavior classification system is proposed. By using multiple IoT sensors and cameras, the proposed method accurately recognizes many of baseball players' behaviors by analyzing signals from heterogeneous sensors. The contribution of this paper is threefold: (i) signals from a depth camera and from multiple inertial sensors are obtained and segmented, (ii) the time-variant skeleton vector projection from the depth camera and the statistical features extracted from the inertial sensors are used as features, and (iii) a deep learning-based scheme is proposed for training behavior classifiers. The experimental results demonstrate that the proposed deep learning behavior system achieves an accuracy of greater than 95% compared to the proposed dataset.</t>
  </si>
  <si>
    <t>S. W. Sun, T. C. Mou, C. C. Fang, P. C. Chang, K. L. Hua and H. C. Shih</t>
  </si>
  <si>
    <t>Enhancing deep convolutional neural network scheme for breast cancer diagnosis with unlabeled data</t>
  </si>
  <si>
    <t>In this study we developed a graph based semi-supervised learning (SSL) scheme using deep convolutional neural network (CNN) for breast cancer diagnosis. CNN usually needs a large amount of labeled data for training and fine tuning the parameters, and our proposed scheme only requires a small portion of labeled data in training set. Four modules were included in the diagnosis system: data weighing, feature selection, dividing co-training data labeling, and CNN. 3158 region of interests (ROIs) with each containing a mass extracted from 1874 pairs of mammogram images were used for this study. Among them 100 ROIs were treated as labeled data while the rest were treated as unlabeled. The area under the curve (AUC) observed in our study was 0.8818, and the accuracy of CNN is 0.8243 using the mixed labeled and unlabeled data.</t>
  </si>
  <si>
    <t>W. Sun, T. B. Tseng, J. Zhang and W. Qian</t>
  </si>
  <si>
    <t>Automatic feature learning using multichannel ROI based on deep structured algorithms for computerized lung cancer diagnosis</t>
  </si>
  <si>
    <t>This study aimed to analyze the ability of extracting automatically generated features using deep structured algorithms in lung nodule CT image diagnosis, and compare its performance with traditional computer aided diagnosis (CADx) systems using hand-crafted features. All of the 1018 cases were acquired from Lung Image Database Consortium (LIDC) public lung cancer database. The nodules were segmented according to four radiologists' markings, and 13,668 samples were generated by rotating every slice of nodule images. Three multichannel ROI based deep structured algorithms were designed and implemented in this study: convolutional neural network (CNN), deep belief network (DBN), and stacked denoising autoencoder (SDAE). For the comparison purpose, we also implemented a CADx system using hand-crafted features including density features, texture features and morphological features. The performance of every scheme was evaluated by using a 10-fold cross-validation method and an assessment index of the area under the receiver operating characteristic curve (AUC). The observed highest area under the curve (AUC) was 0.899±0.018 achieved by CNN, which was significantly higher than traditional CADx with the AUC=0.848±0.026. The results from DBN was also slightly higher than CADx, while SDAE was slightly lower. By visualizing the automatic generated features, we found some meaningful detectors like curvy stroke detectors from deep structured schemes. The study results showed the deep structured algorithms with automatically generated features can achieve desirable performance in lung nodule diagnosis. With well-tuned parameters and large enough dataset, the deep learning algorithms can have better performance than current popular CADx. We believe the deep learning algorithms with similar data preprocessing procedure can be used in other medical image analysis areas as well.</t>
  </si>
  <si>
    <t>W. Sun, B. Zheng and W. Qian</t>
  </si>
  <si>
    <t>Deep Learning for Plant Identification in Natural Environment</t>
  </si>
  <si>
    <t>Plant image identification has become an interdisciplinary focus in both botanical taxonomy and computer vision. The first plant image dataset collected by mobile phone in natural scene is presented, which contains 10,000 images of 100 ornamental plant species in Beijing Forestry University campus. A 26-layer deep learning model consisting of 8 residual building blocks is designed for large-scale plant classification in natural environment. The proposed model achieves a recognition rate of 91.78% on the BJFU100 dataset, demonstrating that deep learning is a promising technology for smart forestry.</t>
  </si>
  <si>
    <t>Deep Belief CNN Feature Representation Based Content Based Image Retrieval for Medical Images</t>
  </si>
  <si>
    <t>Avascular Necrosis (AN) is a cause of muscular-skeletal disability. As it is common amongst the younger people, early intervention and prompt diagnosis is requisite. This disease normally affects the femoral bones, in order that the bones' shape gets altered due to the fracture. Other common sites encompass knees, humerus, shoulders, jaw, and ankles. The retrieval of the AN affected bone images is challenging due to its varied fracture locations. This work proposes an effectual methodology for retrieval of AN images utilizing Deep Belief CNN Feature Representation. Initially, the input dataset undergoes preprocessing. The image noise is eradicated utilizing Median Filter (MF) and is resized in the preprocessing stage. Features are represented using Deep Belief Convolutional Neural Network (DB-CNN). Now, the image feature representations are transmuted to binary codes. Then, the similarity measurement is computed utilizing Modified-Hamming Distance. Finally, the images are retrieved centered on the similarity values. The test outcomes evinced that the proposed work is better than the other existent techniques.</t>
  </si>
  <si>
    <t>S. K. Sundararajan, B. Sankaragomathi and D. S. Priya</t>
  </si>
  <si>
    <t>10.1016/j.compbiomed.2020.103960</t>
  </si>
  <si>
    <t>COVID-19 pathways for brain and heart injury in comorbidity patients: A role of medical imaging and artificial intelligence-based COVID severity classification: A review</t>
  </si>
  <si>
    <t>Artificial intelligence (AI) has penetrated the field of medicine, particularly the field of radiology. Since its emergence, the highly virulent coronavirus disease 2019 (COVID-19) has infected over 10 million people, leading to over 500,000 deaths as of July 1st, 2020. Since the outbreak began, almost 28,000 articles about COVID-19 have been published (https://pubmed.ncbi.nlm.nih.gov); however, few have explored the role of imaging and artificial intelligence in COVID-19 patients-specifically, those with comorbidities. This paper begins by presenting the four pathways that can lead to heart and brain injuries following a COVID-19 infection. Our survey also offers insights into the role that imaging can play in the treatment of comorbid patients, based on probabilities derived from COVID-19 symptom statistics. Such symptoms include myocardial injury, hypoxia, plaque rupture, arrhythmias, venous thromboembolism, coronary thrombosis, encephalitis, ischemia, inflammation, and lung injury. At its core, this study considers the role of image-based AI, which can be used to characterize the tissues of a COVID-19 patient and classify the severity of their infection. Image-based AI is more important than ever as the pandemic surges and countries worldwide grapple with limited medical resources for detection and diagnosis.</t>
  </si>
  <si>
    <t>10.1007/s12194-017-0406-5</t>
  </si>
  <si>
    <t>Overview of deep learning in medical imaging</t>
  </si>
  <si>
    <t>The use of machine learning (ML) has been increasing rapidly in the medical imaging field, including computer-aided diagnosis (CAD), radiomics, and medical image analysis. Recently, an ML area called deep learning emerged in the computer vision field and became very popular in many fields. It started from an event in late 2012, when a deep-learning approach based on a convolutional neural network (CNN) won an overwhelming victory in the best-known worldwide computer vision competition, ImageNet Classification. Since then, researchers in virtually all fields, including medical imaging, have started actively participating in the explosively growing field of deep learning. In this paper, the area of deep learning in medical imaging is overviewed, including (1) what was changed in machine learning before and after the introduction of deep learning, (2) what is the source of the power of deep learning, (3) two major deep-learning models: a massive-training artificial neural network (MTANN) and a convolutional neural network (CNN), (4) similarities and differences between the two models, and (5) their applications to medical imaging. This review shows that ML with feature input (or feature-based ML) was dominant before the introduction of deep learning, and that the major and essential difference between ML before and after deep learning is the learning of image data directly without object segmentation or feature extraction; thus, it is the source of the power of deep learning, although the depth of the model is an important attribute. The class of ML with image input (or image-based ML) including deep learning has a long history, but recently gained popularity due to the use of the new terminology, deep learning. There are two major models in this class of ML in medical imaging, MTANN and CNN, which have similarities as well as several differences. In our experience, MTANNs were substantially more efficient in their development, had a higher performance, and required a lesser number of training cases than did CNNs. Deep learning, or ML with image input, in medical imaging is an explosively growing, promising field. It is expected that ML with image input will be the mainstream area in the field of medical imaging in the next few decades.</t>
  </si>
  <si>
    <t>K. Suzuki</t>
  </si>
  <si>
    <t>Label-free chemical imaging flow cytometry by high-speed multicolor stimulated Raman scattering</t>
  </si>
  <si>
    <t>Combining the strength of flow cytometry with fluorescence imaging and digital image analysis, imaging flow cytometry is a powerful tool in diverse fields including cancer biology, immunology, drug discovery, microbiology, and metabolic engineering. It enables measurements and statistical analyses of chemical, structural, and morphological phenotypes of numerous living cells to provide systematic insights into biological processes. However, its utility is constrained by its requirement of fluorescent labeling for phenotyping. Here we present label-free chemical imaging flow cytometry to overcome the issue. It builds on a pulse pair-resolved wavelength-switchable Stokes laser for the fastest-to-date multicolor stimulated Raman scattering (SRS) microscopy of fast-flowing cells on a 3D acoustic focusing microfluidic chip, enabling an unprecedented throughput of up to ∼140 cells/s. To show its broad utility, we use the SRS imaging flow cytometry with the aid of deep learning to study the metabolic heterogeneity of microalgal cells and perform marker-free cancer detection in blood.</t>
  </si>
  <si>
    <t>Transfer learning of deep neural network representations for fMRI decoding</t>
  </si>
  <si>
    <t>BACKGROUND: Deep neural networks have revolutionised machine learning, with unparalleled performance in object classification. However, in brain imaging (e.g., fMRI), the direct application of Convolutional Neural Networks (CNN) to decoding subject states or perception from imaging data seems impractical given the scarcity of available data. NEW METHOD: In this work we propose a robust method to transfer information from deep learning (DL) features to brain fMRI data with the goal of decoding. By adopting Reduced Rank Regression with Ridge Regularisation we establish a multivariate link between imaging data and the fully connected layer (fc7) of a CNN. We exploit the reconstructed fc7 features by performing an object image classification task on two datasets: one of the largest fMRI databases, taken from different scanners from more than two hundred subjects watching different movie clips, and another with fMRI data taken while watching static images. RESULTS: The fc7 features could be significantly reconstructed from the imaging data, and led to significant decoding performance. COMPARISON WITH EXISTING METHODS: The decoding based on reconstructed fc7 outperformed the decoding based on imaging data alone. CONCLUSION: In this work we show how to improve fMRI-based decoding benefiting from the mapping between functional data and CNN features. The potential advantage of the proposed method is twofold: the extraction of stimuli representations by means of an automatic procedure (unsupervised) and the embedding of high-dimensional neuroimaging data onto a space designed for visual object discrimination, leading to a more manageable space from dimensionality point of view.</t>
  </si>
  <si>
    <t>Brain tumor classification for MR images using transfer learning and fine-tuning</t>
  </si>
  <si>
    <t>Accurate and precise brain tumor MR images classification plays important role in clinical diagnosis and decision making for patient treatment. The key challenge in MR images classification is the semantic gap between the low-level visual information captured by the MRI machine and the high-level information perceived by the human evaluator. The traditional machine learning techniques for classification focus only on low-level or high-level features, use some handcrafted features to reduce this gap and require good feature extraction and classification methods. Recent development on deep learning has shown great progress and deep convolution neural networks (CNNs) have succeeded in the images classification task. Deep learning is very powerful for feature representation that can depict low-level and high-level information completely and embed the phase of feature extraction and classification into self-learning but require large training dataset in general. For most of the medical imaging scenario, the training datasets are small, therefore, it is a challenging task to apply the deep learning and train CNN from scratch on the small dataset. Aiming this problem, we use pre-trained deep CNN model and propose a block-wise fine-tuning strategy based on transfer learning. The proposed method is evaluated on T1-weighted contrast-enhanced magnetic resonance images (CE-MRI) benchmark dataset. Our method is more generic as it does not use any handcrafted features, requires minimal preprocessing and can achieve average accuracy of 94.82% under five-fold cross-validation. We compare our results not only with the traditional machine learning but also with deep learning methods using CNNs. Experimental results show that our proposed method outperforms state-of-the-art classification on the CE-MRI dataset.</t>
  </si>
  <si>
    <t>Z. N. K. Swati, Q. Zhao, M. Kabir, F. Ali, Z. Ali, S. Ahmed and J. Lu</t>
  </si>
  <si>
    <t>Technical Note: PYRO-NN: Python reconstruction operators in neural networks</t>
  </si>
  <si>
    <t>PURPOSE: Recently, several attempts were conducted to transfer deep learning to medical image reconstruction. An increasingly number of publications follow the concept of embedding the computed tomography (CT) reconstruction as a known operator into a neural network. However, most of the approaches presented lack an efficient CT reconstruction framework fully integrated into deep learning environments. As a result, many approaches use workarounds for mathematically unambiguously solvable problems. METHODS: PYRO-NN is a generalized framework to embed known operators into the prevalent deep learning framework Tensorflow. The current status includes state-of-the-art parallel-, fan-, and cone-beam projectors, and back-projectors accelerated with CUDA provided as Tensorflow layers. On top, the framework provides a high-level Python API to conduct FBP and iterative reconstruction experiments with data from real CT systems. RESULTS: The framework provides all necessary algorithms and tools to design end-to-end neural network pipelines with integrated CT reconstruction algorithms. The high-level Python API allows a simple use of the layers as known from Tensorflow. All algorithms and tools are referenced to a scientific publication and are compared to existing non-deep learning reconstruction frameworks. To demonstrate the capabilities of the layers, the framework comes with baseline experiments, which are described in the supplementary material. The framework is available as open-source software under the Apache 2.0 licence at https://github.com/csyben/PYRO-NN. CONCLUSIONS: PYRO-NN comes with the prevalent deep learning framework Tensorflow and allows to setup end-to-end trainable neural networks in the medical image reconstruction context. We believe that the framework will be a step toward reproducible research and give the medical physics community a toolkit to elevate medical image reconstruction with new deep learning techniques.</t>
  </si>
  <si>
    <t>10.1007/s10620-020-06643-2</t>
  </si>
  <si>
    <t>Artificial Intelligence and Its Role in Identifying Esophageal Neoplasia</t>
  </si>
  <si>
    <t>Randomized trials have demonstrated that ablation of dysplastic Barrett's esophagus can reduce the risk of progression to cancer. Endoscopic resection for early stage esophageal adenocarcinoma and squamous cell carcinoma can significantly reduce postoperative morbidity compared to esophagectomy. Unfortunately, current endoscopic surveillance technologies (e.g., high-definition white light, electronic, and dye-based chromoendoscopy) lack sensitivity at identifying subtle areas of dysplasia and cancer. Random biopsies sample only approximately 5% of the esophageal mucosa at risk, and there is poor agreement among pathologists in identifying low-grade dysplasia. Machine-based deep learning medical image and video assessment technologies have progressed significantly in recent years, enabled in large part by advances in computer processing capabilities. In deep learning, sequential layers allow models to transform input data (e.g., pixels for imaging data) into a composite representation that allows for classification and feature identification. Several publications have attempted to use this technology to help identify dysplasia and early esophageal cancer. The aims of this reviews are as follows: (a) discussing limitations in our current strategies to identify esophageal dysplasia and cancer, (b) explaining the concepts behind deep learning and convolutional neural networks using language appropriate for clinicians without an engineering background, (c) systematically reviewing the literature for studies that have used deep learning to identify esophageal neoplasia, and (d) based on the systemic review, outlining strategies on further work necessary before these technologies are ready for prime-time, i.e., use in routine clinical care.</t>
  </si>
  <si>
    <t>Dig Dis Sci</t>
  </si>
  <si>
    <t>Role of Big Data and Machine Learning in Diagnostic Decision Support in Radiology</t>
  </si>
  <si>
    <t>The field of diagnostic decision support in radiology is undergoing rapid transformation with the availability of large amounts of patient data and the development of new artificial intelligence methods of machine learning such as deep learning. They hold the promise of providing imaging specialists with tools for improving the accuracy and efficiency of diagnosis and treatment. In this article, we will describe the growth of this field for radiology and outline general trends highlighting progress in the field of diagnostic decision support from the early days of rule-based expert systems to cognitive assistants of the modern era.</t>
  </si>
  <si>
    <t>T. Syeda-Mahmood</t>
  </si>
  <si>
    <t>Learning from irregularly sampled data for endomicroscopy super-resolution: a comparative study of sparse and dense approaches</t>
  </si>
  <si>
    <t>PURPOSE: Probe-based confocal laser endomicroscopy (pCLE) enables performing an optical biopsy via a probe. pCLE probes consist of multiple optical fibres arranged in a bundle, which taken together generate signals in an irregularly sampled pattern. Current pCLE reconstruction is based on interpolating irregular signals onto an over-sampled Cartesian grid, using a naive linear interpolation. It was shown that convolutional neural networks (CNNs) could improve pCLE image quality. Yet classical CNNs may be suboptimal in regard to irregular data. METHODS: We compare pCLE reconstruction and super-resolution (SR) methods taking irregularly sampled or reconstructed pCLE images as input. We also propose to embed a Nadaraya-Watson (NW) kernel regression into the CNN framework as a novel trainable CNN layer. We design deep learning architectures allowing for reconstructing high-quality pCLE images directly from the irregularly sampled input data. We created synthetic sparse pCLE images to evaluate our methodology. RESULTS: The results were validated through an image quality assessment based on a combination of the following metrics: peak signal-to-noise ratio and the structural similarity index. Our analysis indicates that both dense and sparse CNNs outperform the reconstruction method currently used in the clinic. CONCLUSION: The main contributions of our study are a comparison of sparse and dense approach in pCLE image reconstruction. We also implement trainable generalised NW kernel regression as a novel sparse approach. We also generated synthetic data for training pCLE SR.</t>
  </si>
  <si>
    <t>10.1148/rg.2018170173</t>
  </si>
  <si>
    <t>Deep Learning Electronic Cleansing for Single- and Dual-Energy CT Colonography</t>
  </si>
  <si>
    <t>Electronic cleansing (EC) is used for computational removal of residual feces and fluid tagged with an orally administered contrast agent on CT colonographic images to improve the visibility of polyps during virtual endoscopic fly-through reading. A recent trend in CT colonography is to perform a low-dose CT scanning protocol with the patient having undergone reduced- or noncathartic bowel preparation. Although several EC schemes exist, they have been developed for use with cathartic bowel preparation and high-radiation-dose CT, and thus, at a low dose with noncathartic bowel preparation, they tend to generate cleansing artifacts that distract and mislead readers. Deep learning can be used for improvement of the image quality with EC at CT colonography. Deep learning EC can produce substantially fewer cleansing artifacts at dual-energy than at single-energy CT colonography, because the dual-energy information can be used to identify relevant material in the colon more precisely than is possible with the single x-ray attenuation value. Because the number of annotated training images is limited at CT colonography, transfer learning can be used for appropriate training of deep learning algorithms. The purposes of this article are to review the causes of cleansing artifacts that distract and mislead readers in conventional EC schemes, to describe the applications of deep learning and dual-energy CT colonography to EC of the colon, and to demonstrate the improvements in image quality with EC and deep learning at single-energy and dual-energy CT colonography with noncathartic bowel preparation. (©)RSNA, 2018.</t>
  </si>
  <si>
    <t>R. Tachibana, J. J. Näppi, J. Ota, N. Kohlhase, T. Hironaka, S. H. Kim, D. Regge and H. Yoshida</t>
  </si>
  <si>
    <t>The Utility of Applying Various Image Preprocessing Strategies to Reduce the Ambiguity in Deep Learning-based Clinical Image Diagnosis</t>
  </si>
  <si>
    <t>PURPOSE: A general problem of machine-learning algorithms based on the convolutional neural network (CNN) technique is that the reason for the output judgement is unclear. The purpose of this study was to introduce a strategy that may facilitate better understanding of how and why a specific judgement was made by the algorithm. The strategy is to preprocess the input image data in different ways to highlight the most important aspects of the images for reaching the output judgement. MATERIALS AND METHODS: T(2)-weighted brain image series falling into two age-ranges were used. Classifying each series into one of the two age-ranges was the given task for the CNN model. The images from each series were preprocessed in five different ways to generate five different image sets: (1) subimages from the inner area of the brain, (2) subimages from the periphery of the brain, (3-5) subimages of brain parenchyma, gray matter area, and white matter area, respectively, extracted from the subimages of (2). The CNN model was trained and tested in five different ways using one of these image sets. The network architecture and all the parameters for training and testing remained unchanged. RESULTS: The judgement accuracy achieved by training was different when the image set used for training was different. Some of the differences was statistically significant. The judgement accuracy decreased significantly when either extra-parenchymal or gray matter area was removed from the periphery of the brain (P &lt; 0.05). CONCLUSION: The proposed strategy may help visualize what features of the images were important for the algorithm to reach correct judgement, helping humans to understand how and why a particular judgement was made by a CNN.</t>
  </si>
  <si>
    <t>10.1016/j.joca.2018.02.907</t>
  </si>
  <si>
    <t>Knee menisci segmentation using convolutional neural networks: data from the Osteoarthritis Initiative</t>
  </si>
  <si>
    <t>OBJECTIVE: To present a novel method for automated segmentation of knee menisci from MRIs. To evaluate quantitative meniscal biomarkers for osteoarthritis (OA) estimated thereof. METHOD: A segmentation method employing convolutional neural networks in combination with statistical shape models was developed. Accuracy was evaluated on 88 manual segmentations. Meniscal volume, tibial coverage, and meniscal extrusion were computed and tested for differences between groups of OA, joint space narrowing (JSN), and WOMAC pain. Correlation between computed meniscal extrusion and MRI Osteoarthritis Knee Score (MOAKS) experts' readings was evaluated for 600 subjects. Suitability of biomarkers for predicting incident radiographic OA from baseline to 24 months was tested on a group of 552 patients (184 incident OA, 386 controls) by performing conditional logistic regression. RESULTS: Segmentation accuracy measured as dice similarity coefficient was 83.8% for medial menisci (MM) and 88.9% for lateral menisci (LM) at baseline, and 83.1% and 88.3% at 12-month follow-up. Medial tibial coverage was significantly lower for arthritic cases compared to non-arthritic ones. Medial meniscal extrusion was significantly higher for arthritic knees. A moderate correlation between automatically computed medial meniscal extrusion and experts' readings was found (ρ = 0.44). Mean medial meniscal extrusion was significantly greater for incident OA cases compared to controls (1.16 ± 0.93 mm vs 0.83 ± 0.92 mm; P &lt; 0.05). CONCLUSION: Especially for medial menisci an excellent segmentation accuracy was achieved. Our meniscal biomarkers were validated by comparison to experts' readings as well as analysis of differences w.r.t groups of OA, JSN, and WOMAC pain. It was confirmed that medial meniscal extrusion is a predictor for incident OA.</t>
  </si>
  <si>
    <t>Combo loss: Handling input and output imbalance in multi-organ segmentation</t>
  </si>
  <si>
    <t>Simultaneous segmentation of multiple organs from different medical imaging modalities is a crucial task as it can be utilized for computer-aided diagnosis, computer-assisted surgery, and therapy planning. Thanks to the recent advances in deep learning, several deep neural networks for medical image segmentation have been introduced successfully for this purpose. In this paper, we focus on learning a deep multi-organ segmentation network that labels voxels. In particular, we examine the critical choice of a loss function in order to handle the notorious imbalance problem that plagues both the input and output of a learning model. The input imbalance refers to the class-imbalance in the input training samples (i.e., small foreground objects embedded in an abundance of background voxels, as well as organs of varying sizes). The output imbalance refers to the imbalance between the false positives and false negatives of the inference model. In order to tackle both types of imbalance during training and inference, we introduce a new curriculum learning based loss function. Specifically, we leverage Dice similarity coefficient to deter model parameters from being held at bad local minima and at the same time gradually learn better model parameters by penalizing for false positives/negatives using a cross entropy term. We evaluated the proposed loss function on three datasets: whole body positron emission tomography (PET) scans with 5 target organs, magnetic resonance imaging (MRI) prostate scans, and ultrasound echocardigraphy images with a single target organ i.e., left ventricular. We show that a simple network architecture with the proposed integrative loss function can outperform state-of-the-art methods and results of the competing methods can be improved when our proposed loss is used.</t>
  </si>
  <si>
    <t>S. A. Taghanaki, Y. Zheng, S. Kevin Zhou, B. Georgescu, P. Sharma, D. Xu, D. Comaniciu and G. Hamarneh</t>
  </si>
  <si>
    <t>Peripheral Nerves: Not Only Cross-sectional Area in the Era of Radiomics</t>
  </si>
  <si>
    <t>The peripheral nervous system is increasingly being investigated using medical imaging as a complement or in association with electrodiagnostics tests. The application of imaging techniques, such as ultrasound (US) and magnetic resonance imaging (MRI), allows detailed visualization of the peripheral nervous system. According to the European Society of Musculoskeletal Radiology, the use of US for nerve evaluation is strongly encouraged. In addition, the role of US is further enhanced by the wide application of US-guided techniques to diagnose or to treat peripheral nerve disorders.Standard evaluation of peripheral nerves on US usually relies on cross-sectional area evaluation with different cutoff values in the osteofibrous tunnels and outside them. In several anatomical areas, side-to-side comparison is highly recommended because it helps distinguish subtle variations by using the unaffected limb as an internal control.US is widely used to perform US-guided interventional procedures on peripheral nerves. The recent development of radiomics and machine and deep learning applied to peripheral nerves may reveal new insights beyond the capabilities of the human eye. Radiomics may have a role in expanding the diagnostic capabilities of US and MRI in the study of peripheral nerve pathology, especially when the cross-sectional area is not markedly increased.</t>
  </si>
  <si>
    <t>Cardiac Phase Detection in Echocardiograms With Densely Gated Recurrent Neural Networks and Global Extrema Loss</t>
  </si>
  <si>
    <t>Accurate detection of end-systolic (ES) and end-diastolic (ED) frames in an echocardiographic cine series can be difficult but necessary pre-processing step for the development of automatic systems to measure cardiac parameters. The detection task is challenging due to variations in cardiac anatomy and heart rate often associated with pathological conditions. We formulate this problem as a regression problem and propose several deep learning-based architectures that minimize a novel global extrema structured loss function to localize the ED and ES frames. The proposed architectures integrate convolution neural networks (CNNs)-based image feature extraction model and recurrent neural networks (RNNs) to model temporal dependencies between each frame in a sequence. We explore two CNN architectures: DenseNet and ResNet, and four RNN architectures: long short-term memory, bi-directional LSTM, gated recurrent unit (GRU), and Bi-GRU, and compare the performance of these models. The optimal deep learning model consists of a DenseNet and GRU trained with the proposed loss function. On average, we achieved 0.20 and 1.43 frame mismatch for the ED and ES frames, respectively, which are within reported inter-observer variability for the manual detection of these frames.</t>
  </si>
  <si>
    <t>A Fungus Spores Dataset and a Convolutional Neural Network Based Approach for Fungus Detection</t>
  </si>
  <si>
    <t>Fungus is enormously notorious for food, human health, and archives. Fungus sign and symptoms in medical science are non-specific and asymmetrical for extremely large areas resulting into a challenging task of fungal detection. Various traditional and computer vision techniques were applied to meet the challenge of early fungus detection. On the other hand, features learned through the convolutional neural network (CNN) provided state-of-the-art results in many other applications of object detection and classification. However, the large amount of data is an essential prerequisite for its effective application. In pursuing this idea, we present a novel fungus dataset of its kind, with the goal of advancing the state of the art in fungus classification by placing the question of fungus detection. This is achieved by gathering various images of complex fungal spores by extracting samples from contaminated fruits, archives, and laboratory-incubated fungus colonies. These images primarily consisted of five different types of fungus spores and dirt. An optical sensor system was utilized to obtain these images, which were further annotated to mark fungal spores as a region of interest using specially designed graphical user interface. As a result, 40,800 labeled images were used to develop the fungus dataset to aid in precise fungus detection and classification. The other main objective of this research was to develop a CNN-based approach for the detection of fungus and distinguish different types of fungus. A CNN architecture was designed, and it showed the promising results with an accuracy of 94.8%. The obtained results proved the possibility of early detection of several types of fungus spores using CNN and could estimate all possible threats due to fungus.</t>
  </si>
  <si>
    <t>M. W. Tahir, N. A. Zaidi, A. A. Rao, R. Blank, M. J. Vellekoop and W. Lang</t>
  </si>
  <si>
    <t>Embracing imperfect datasets: A review of deep learning solutions for medical image segmentation</t>
  </si>
  <si>
    <t>The medical imaging literature has witnessed remarkable progress in high-performing segmentation models based on convolutional neural networks. Despite the new performance highs, the recent advanced segmentation models still require large, representative, and high quality annotated datasets. However, rarely do we have a perfect training dataset, particularly in the field of medical imaging, where data and annotations are both expensive to acquire. Recently, a large body of research has studied the problem of medical image segmentation with imperfect datasets, tackling two major dataset limitations: scarce annotations where only limited annotated data is available for training, and weak annotations where the training data has only sparse annotations, noisy annotations, or image-level annotations. In this article, we provide a detailed review of the solutions above, summarizing both the technical novelties and empirical results. We further compare the benefits and requirements of the surveyed methodologies and provide our recommended solutions. We hope this survey article increases the community awareness of the techniques that are available to handle imperfect medical image segmentation datasets.</t>
  </si>
  <si>
    <t>Artificial intelligence-assisted interpretation of bone age radiographs improves accuracy and decreases variability</t>
  </si>
  <si>
    <t>OBJECTIVE: Radiographic bone age assessment (BAA) is used in the evaluation of pediatric endocrine and metabolic disorders. We previously developed an automated artificial intelligence (AI) deep learning algorithm to perform BAA using convolutional neural networks. We compared the BAA performance of a cohort of pediatric radiologists with and without AI assistance. MATERIALS AND METHODS: Six board-certified, subspecialty trained pediatric radiologists interpreted 280 age- and gender-matched bone age radiographs ranging from 5 to 18 years. Three of those radiologists then performed BAA with AI assistance. Bone age accuracy and root mean squared error (RMSE) were used as measures of accuracy. Intraclass correlation coefficient evaluated inter-rater variation. RESULTS: AI BAA accuracy was 68.2% overall and 98.6% within 1 year, and the mean six-reader cohort accuracy was 63.6 and 97.4% within 1 year. AI RMSE was 0.601 years, while mean single-reader RMSE was 0.661 years. Pooled RMSE decreased from 0.661 to 0.508 years, all individually decreasing with AI assistance. ICC without AI was 0.9914 and with AI was 0.9951. CONCLUSIONS: AI improves radiologist's bone age assessment by increasing accuracy and decreasing variability and RMSE. The utilization of AI by radiologists improves performance compared to AI alone, a radiologist alone, or a pooled cohort of experts. This suggests that AI may optimally be utilized as an adjunct to radiologist interpretation of imaging studies to improve performance.</t>
  </si>
  <si>
    <t>S. H. Tajmir, H. Lee, R. Shailam, H. I. Gale, J. C. Nguyen, S. J. Westra, R. Lim, S. Yune, M. S. Gee and S. Do</t>
  </si>
  <si>
    <t>Applying artificial intelligence to disease staging: Deep learning for improved staging of diabetic retinopathy</t>
  </si>
  <si>
    <t>PURPOSE: Disease staging involves the assessment of disease severity or progression and is used for treatment selection. In diabetic retinopathy, disease staging using a wide area is more desirable than that using a limited area. We investigated if deep learning artificial intelligence (AI) could be used to grade diabetic retinopathy and determine treatment and prognosis. METHODS: The retrospective study analyzed 9,939 posterior pole photographs of 2,740 patients with diabetes. Nonmydriatic 45° field color fundus photographs were taken of four fields in each eye annually at Jichi Medical University between May 2011 and June 2015. A modified fully randomly initialized GoogLeNet deep learning neural network was trained on 95% of the photographs using manual modified Davis grading of three additional adjacent photographs. We graded 4,709 of the 9,939 posterior pole fundus photographs using real prognoses. In addition, 95% of the photographs were learned by the modified GoogLeNet. Main outcome measures were prevalence and bias-adjusted Fleiss' kappa (PABAK) of AI staging of the remaining 5% of the photographs. RESULTS: The PABAK to modified Davis grading was 0.64 (accuracy, 81%; correct answer in 402 of 496 photographs). The PABAK to real prognosis grading was 0.37 (accuracy, 96%). CONCLUSIONS: We propose a novel AI disease-staging system for grading diabetic retinopathy that involves a retinal area not typically visualized on fundoscopy and another AI that directly suggests treatments and determines prognoses.</t>
  </si>
  <si>
    <t>H. Takahashi, H. Tampo, Y. Arai, Y. Inoue and H. Kawashima</t>
  </si>
  <si>
    <t>Real-time markerless tumour tracking with patient-specific deep learning using a personalised data generation strategy: proof of concept by phantom study</t>
  </si>
  <si>
    <t>OBJECTIVE: For real-time markerless tumour tracking in stereotactic lung radiotherapy, we propose a different approach which uses patient-specific deep learning (DL) using a personalised data generation strategy, avoiding the need for collection of a large patient data set. We validated our strategy with digital phantom simulation and epoxy phantom studies. METHODS: We developed lung tumour tracking for radiotherapy using a convolutional neural network trained for each phantom's lesion by using multiple digitally reconstructed radiographs (DRRs) generated from each phantom's treatment planning four-dimensional CT. We trained tumour-bone differentiation using large numbers of training DRRs generated with various projection geometries to simulate tumour motion. We solved the problem of using DRRs for training and X-ray images for tracking using the training DRRs with random contrast transformation and random noise addition. RESULTS: We defined adequate tracking accuracy as the percentage frames satisfying &lt;1 mm tracking error of the isocentre. In the simulation study, we achieved 100% tracking accuracy in 3 cm spherical and 1.5×2.25×3 cm ovoid masses. In the phantom study, we achieved 100 and 94.7% tracking accuracy in 3 cm and 2 cm spherical masses, respectively. This required 32.5 ms/frame (30.8 fps) real-time processing. CONCLUSIONS: We proved the potential feasibility of a real-time markerless tumour tracking framework for stereotactic lung radiotherapy based on patient-specific DL with personalised data generation with digital phantom and epoxy phantom studies. ADVANCES IN KNOWLEDGE: Using DL with personalised data generation is an efficient strategy for real-time lung tumour tracking.</t>
  </si>
  <si>
    <t>Calculating the target exposure index using a deep convolutional neural network and a rule base</t>
  </si>
  <si>
    <t>PURPOSE: The objective of this study is to determine the quality of chest X-ray images using a deep convolutional neural network (DCNN) and a rule base without performing any visual assessment. A method is proposed for determining the minimum diagnosable exposure index (EI) and the target exposure index (EIt). METHODS: The proposed method involves transfer learning to assess the lung fields, mediastinum, and spine using GoogLeNet, which is a type of DCNN that has been trained using conventional images. Three detectors were created, and the image quality of local regions was rated. Subsequently, the results were used to determine the overall quality of chest X-ray images using a rule-based technique that was in turn based on expert assessment. The minimum EI required for diagnosis was calculated based on the distribution of the EI values, which were classified as either suitable or non-suitable and then used to ascertain the EIt. RESULTS: The accuracy rate using the DCNN and the rule base was 81%. The minimum EI required for diagnosis was 230, and the EIt was 288. CONCLUSION: The results indicated that the proposed method using the DCNN and the rule base could discriminate different image qualities without any visual assessment; moreover, it could determine both the minimum EI required for diagnosis and the EIt.</t>
  </si>
  <si>
    <t>Automatic anatomical classification of esophagogastroduodenoscopy images using deep convolutional neural networks</t>
  </si>
  <si>
    <t>The use of convolutional neural networks (CNNs) has dramatically advanced our ability to recognize images with machine learning methods. We aimed to construct a CNN that could recognize the anatomical location of esophagogastroduodenoscopy (EGD) images in an appropriate manner. A CNN-based diagnostic program was constructed based on GoogLeNet architecture, and was trained with 27,335 EGD images that were categorized into four major anatomical locations (larynx, esophagus, stomach and duodenum) and three subsequent sub-classifications for stomach images (upper, middle, and lower regions). The performance of the CNN was evaluated in an independent validation set of 17,081 EGD images by drawing receiver operating characteristics (ROC) curves and calculating the area under the curves (AUCs). ROC curves showed high performance of the trained CNN to classify the anatomical location of EGD images with AUCs of 1.00 for larynx and esophagus images, and 0.99 for stomach and duodenum images. Furthermore, the trained CNN could recognize specific anatomical locations within the stomach, with AUCs of 0.99 for the upper, middle, and lower stomach. In conclusion, the trained CNN showed robust performance in its ability to recognize the anatomical location of EGD images, highlighting its significant potential for future application as a computer-aided EGD diagnostic system.</t>
  </si>
  <si>
    <t>H. Takiyama, T. Ozawa, S. Ishihara, M. Fujishiro, S. Shichijo, S. Nomura, M. Miura and T. Tada</t>
  </si>
  <si>
    <t>Automated classification of histopathology images using transfer learning</t>
  </si>
  <si>
    <t>Early and accurate diagnosis of diseases can often save lives. Diagnosis of diseases from tissue samples is done manually by pathologists. Diagnostics process is usually time consuming and expensive. Hence, automated analysis of tissue samples from histopathology images has critical importance for early diagnosis and treatment. The computer aided systems can improve the quality of diagnoses and give pathologists a second opinion for critical cases. In this study, a deep learning based transfer learning approach has been proposed to classify histopathology images automatically. Two well-known and current pre-trained convolutional neural network (CNN) models, ResNet-50 and DenseNet-161, have been trained and tested using color and grayscale images. The DenseNet-161 tested on grayscale images and obtained the best classification accuracy of 97.89%. Additionally, ResNet-50 pre-trained model was tested on the color images of the Kimia Path24 dataset and achieved the highest classification accuracy of 98.87%. According to the obtained results, it may be said that the proposed pre-trained models can be used for fast and accurate classification of histopathology images and assist pathologists in their daily clinical tasks.</t>
  </si>
  <si>
    <t>M. Talo</t>
  </si>
  <si>
    <t>Convolutional neural networks for multi-class brain disease detection using MRI images</t>
  </si>
  <si>
    <t>The brain disorders may cause loss of some critical functions such as thinking, speech, and movement. So, the early detection of brain diseases may help to get the timely best treatment. One of the conventional methods used to diagnose these disorders is the magnetic resonance imaging (MRI) technique. Manual diagnosis of brain abnormalities is time-consuming and difficult to perceive the minute changes in the MRI images, especially in the early stages of abnormalities. Proper selection of the features and classifiers to obtain the highest performance is a challenging task. Hence, deep learning models have been widely used for medical image analysis over the past few years. In this study, we have employed the AlexNet, Vgg-16, ResNet-18, ResNet-34, and ResNet-50 pre-trained models to automatically classify MR images in to normal, cerebrovascular, neoplastic, degenerative, and inflammatory diseases classes. We have also compared their classification performance with pre-trained models, which are the state-of-art architectures. We have obtained the best classification accuracy of 95.23% ± 0.6 with the ResNet-50 model among the five pre-trained models. Our model is ready to be tested with huge MRI images of brain abnormalities. The outcome of the model will also help the clinicians to validate their findings after manual reading of the MRI images.</t>
  </si>
  <si>
    <t>M. Talo, O. Yildirim, U. B. Baloglu, G. Aydin and U. R. Acharya</t>
  </si>
  <si>
    <t>Holistic multitask regression network for multiapplication shape regression segmentation</t>
  </si>
  <si>
    <t>A holistic multitask regression approach was implemented to tackle the limitations of clinical image analysis. Standard practice requires identifying multiple anatomic structures in multiple planes from multiple anatomic regions using multiple modalities. The proposed novel holistic multitask regression network (HMR-Net) formulates organ segmentation as a multitask learning problem. Multitask learning leverages the strength of joint task problem solving from capturing task correlations. HMR-Net performs multitask regression by estimating an organ's class, regional location, and precise contour coordinates. The estimation of each coordinate point also corresponds to another regression task. HMR-Net leverages hierarchical multiscale and fused organ features to handle nonlinear relationships between image appearance and distinct organ properties. Simultaneously, holistic shape information is captured by encoding coordinate correlations. The multitask pipeline enables the capturing of holistic organ information (e.g. class, location, shape) to perform shape regression for medical image segmentation. HMR-Net was validated on eight representative datasets obtained from a total of 222 subjects. A mean average precision and dice score reaching up to 0.81 and 0.93, respectively, was achieved on the representative multiapplication database. The generalized model demonstrates comparable or superior performance compared to state-of-the-art algorithms. The high-performance accuracy demonstrates our model as an effective general framework to perform organ shape regression in multiple applications. This method was proven to provide high-contrast sensitivity to delineate even the smallest and oddly shaped organs. HMR-Net's flexible framework holds great potential in providing a fully automatic preliminary analysis for multiple types of medical images.</t>
  </si>
  <si>
    <t>10.21053/ceo.2020.00654</t>
  </si>
  <si>
    <t>Recent Advances in the Application of Artificial Intelligence in Otorhinolaryngology-Head and Neck Surgery</t>
  </si>
  <si>
    <t>This study presents an up-to-date survey of the use of artificial intelligence (AI) in the field of otorhinolaryngology, considering opportunities, research challenges, and research directions. We searched PubMed, the Cochrane Central Register of Controlled Trials, Embase, and the Web of Science. We initially retrieved 458 articles. The exclusion of non-English publications and duplicates yielded a total of 90 remaining studies. These 90 studies were divided into those analyzing medical images, voice, medical devices, and clinical diagnoses and treatments. Most studies (42.2%, 38/90) used AI for image-based analysis, followed by clinical diagnoses and treatments (24 studies). Each of the remaining two subcategories included 14 studies. Machine learning and deep learning have been extensively applied in the field of otorhinolaryngology. However, the performance of AI models varies and research challenges remain.</t>
  </si>
  <si>
    <t>Clin Exp Otorhinolaryngol</t>
  </si>
  <si>
    <t>Motion Artifact Reduction Using a Convolutional Neural Network for Dynamic Contrast Enhanced MR Imaging of the Liver</t>
  </si>
  <si>
    <t>PURPOSE: To improve the quality of images obtained via dynamic contrast enhanced MRI (DCE-MRI), which contain motion artifacts and blurring using a deep learning approach. MATERIALS AND METHODS: A multi-channel convolutional neural network-based method is proposed for reducing the motion artifacts and blurring caused by respiratory motion in images obtained via DCE-MRI of the liver. The training datasets for the neural network included images with and without respiration-induced motion artifacts or blurring, and the distortions were generated by simulating the phase error in k-space. Patient studies were conducted using a multi-phase T(1)-weighted spoiled gradient echo sequence for the liver, which contained breath-hold failures occurring during data acquisition. The trained network was applied to the acquired images to analyze the filtering performance, and the intensities and contrast ratios before and after denoising were compared via Bland-Altman plots. RESULTS: The proposed network was found to be significantly reducing the magnitude of the artifacts and blurring induced by respiratory motion, and the contrast ratios of the images after processing via the network were consistent with those of the unprocessed images. CONCLUSION: A deep learning-based method for removing motion artifacts in images obtained via DCE-MRI of the liver was demonstrated and validated.</t>
  </si>
  <si>
    <t>[Application of Deep Learning in Early Diagnosis Assistant System of Keratoconus]</t>
  </si>
  <si>
    <t>In view of the problem that there is no standard diagnosis for early stage keratoconus disease,at the same time to assist the special examiner and ophthalmologist to make the early diagnosis effectively,the advantages and disadvantages of each testing instrument were analyzed.In order to construct an assistant system for early diagnosis of keratoconus,a deep learning technique was applied in corneal OCT examination.The system used improved VGG-16 to realize the recognition accuracy of about 68% keratoconus keratopathy,and the clinical results showed that the system can help doctors to give diagnosis confidence to a certain extent.At the same time,the physician's re-marking of OCT can help train the system for more accurate judgment.</t>
  </si>
  <si>
    <t>A. Tan, M. Yu, X. Chen and L. Hu</t>
  </si>
  <si>
    <t>Expert knowledge-infused deep learning for automatic lung nodule detection</t>
  </si>
  <si>
    <t>BACKGROUND: Computer aided detection (CADe) of pulmonary nodules from computed tomography (CT) is crucial for early diagnosis of lung cancer. Self-learned features obtained by training datasets via deep learning have facilitated CADe of the nodules. However, the complexity of CT lung images renders a challenge of extracting effective features by self-learning only. This condition is exacerbated for limited size of datasets. On the other hand, the engineered features have been widely studied. OBJECTIVE: We proposed a novel nodule CADe which aims to relieve the challenge by the use of available engineered features to prevent convolution neural networks (CNN) from overfitting under dataset limitation and reduce the running-time complexity of self-learning. METHODS: The CADe methodology infuses adequately the engineered features, particularly texture features, into the deep learning process. RESULTS: The methodology was validated on 208 patients with at least one juxta-pleural nodule from the public LIDC-IDRI database. Results demonstrated that the methodology achieves a sensitivity of 88% with 1.9 false positives per scan and a sensitivity of 94.01% with 4.01 false positives per scan. CONCLUSIONS: The methodology shows high performance compared with the state-of-the-art results, in terms of accuracy and efficiency, from both existing CNN-based approaches and engineered feature-based classifications.</t>
  </si>
  <si>
    <t>LGAN: Lung segmentation in CT scans using generative adversarial network</t>
  </si>
  <si>
    <t>Lung segmentation in Computerized Tomography (CT) images plays an important role in various lung disease diagnosis. Most of the current lung segmentation approaches are performed through a series of procedures with manually empirical parameter adjustments in each step. Pursuing an automatic segmentation method with fewer steps, we propose a novel deep learning Generative Adversarial Network (GAN)-based lung segmentation schema, which we denote as LGAN. The proposed schema can be generalized to different kinds of neural networks for lung segmentation in CT images. We evaluated the proposed LGAN schema on datasets including Lung Image Database Consortium image collection (LIDC-IDRI) and Quantitative Imaging Network (QIN) collection with two metrics: segmentation quality and shape similarity. Also, we compared our work with current state-of-the-art methods. The experimental results demonstrated that the proposed LGAN schema can be used as a promising tool for automatic lung segmentation due to its simplified procedure as well as its improved performance and efficiency.</t>
  </si>
  <si>
    <t>Convolutional neural network regression for short-axis left ventricle segmentation in cardiac cine MR sequences</t>
  </si>
  <si>
    <t>Automated left ventricular (LV) segmentation is crucial for efficient quantification of cardiac function and morphology to aid subsequent management of cardiac pathologies. In this paper, we parameterize the complete (all short axis slices and phases) LV segmentation task in terms of the radial distances between the LV centerpoint and the endo- and epicardial contours in polar space. We then utilize convolutional neural network regression to infer these parameters. Utilizing parameter regression, as opposed to conventional pixel classification, allows the network to inherently reflect domain-specific physical constraints. We have benchmarked our approach primarily against the publicly-available left ventricle segmentation challenge (LVSC) dataset, which consists of 100 training and 100 validation cardiac MRI cases representing a heterogeneous mix of cardiac pathologies and imaging parameters across multiple centers. Our approach attained a .77 Jaccard index, which is the highest published overall result in comparison to other automated algorithms. To test general applicability, we also evaluated against the Kaggle Second Annual Data Science Bowl, where the evaluation metric was the indirect clinical measures of LV volume rather than direct myocardial contours. Our approach attained a Continuous Ranked Probability Score (CRPS) of .0124, which would have ranked tenth in the original challenge. With this we demonstrate the effectiveness of convolutional neural network regression paired with domain-specific features in clinical segmentation.</t>
  </si>
  <si>
    <t>L. K. Tan, Y. M. Liew, E. Lim and R. A. McLaughlin</t>
  </si>
  <si>
    <t>Fully automated segmentation of the left ventricle in cine cardiac MRI using neural network regression</t>
  </si>
  <si>
    <t>BACKGROUND: Left ventricle (LV) structure and functions are the primary assessment performed in most clinical cardiac MRI protocols. Fully automated LV segmentation might improve the efficiency and reproducibility of clinical assessment. PURPOSE: To develop and validate a fully automated neural network regression-based algorithm for segmentation of the LV in cardiac MRI, with full coverage from apex to base across all cardiac phases, utilizing both short axis (SA) and long axis (LA) scans. STUDY TYPE: Cross-sectional survey; diagnostic accuracy. SUBJECTS: In all, 200 subjects with coronary artery diseases and regional wall motion abnormalities from the public 2011 Left Ventricle Segmentation Challenge (LVSC) database; 1140 subjects with a mix of normal and abnormal cardiac functions from the public Kaggle Second Annual Data Science Bowl database. FIELD STRENGTH/SEQUENCE: 1.5T, steady-state free precession. ASSESSMENT: Reference standard data generated by experienced cardiac radiologists. Quantitative measurement and comparison via Jaccard and Dice index, modified Hausdorff distance (MHD), and blood volume. STATISTICAL TESTS: Paired t-tests compared to previous work. RESULTS: Tested against the LVSC database, we obtained 0.77 ± 0.11 (Jaccard index) and 1.33 ± 0.71 mm (MHD), both metrics demonstrating statistically significant improvement (P &lt; 0.001) compared to previous work. Tested against the Kaggle database, the signed difference in evaluated blood volume was +7.2 ± 13.0 mL and -19.8 ± 18.8 mL for the end-systolic (ES) and end-diastolic (ED) phases, respectively, with a statistically significant improvement (P &lt; 0.001) for the ED phase. DATA CONCLUSION: A fully automated LV segmentation algorithm was developed and validated against a diverse set of cardiac cine MRI data sourced from multiple imaging centers and scanner types. The strong performance overall is suggestive of practical clinical utility. LEVEL OF EVIDENCE: 3 Technical Efficacy: Stage 2 J. Magn. Reson. Imaging 2018.</t>
  </si>
  <si>
    <t>L. K. Tan, R. A. McLaughlin, E. Lim, Y. F. Abdul Aziz and Y. M. Liew</t>
  </si>
  <si>
    <t>10.1097/icu.0000000000000649</t>
  </si>
  <si>
    <t>Glaucoma screening: where are we and where do we need to go?</t>
  </si>
  <si>
    <t>PURPOSE OF REVIEW: Current recommendations for glaucoma screening are decidedly neutral. No studies have yet documented improved long-term outcomes for individuals who undergo glaucoma screening versus those who do not. Given the long duration that would be required to detect a benefit, future studies that may answer this question definitively are unlikely. Nevertheless, advances in artificial intelligence and telemedicine will lead to more effective screening at lower cost. With these new technologies, additional research is needed to determine the costs and benefits of screening for glaucoma. RECENT FINDINGS: Using optic disc photographs and/or optical coherence tomography, deep learning systems appear capable of diagnosing glaucoma more accurately than human graders. Eliminating the need for expert graders along with better technologies for remote imaging of the ocular fundus will allow for less expensive screening, which could enable screening of individuals with otherwise limited healthcare access. In India and China, where most glaucoma remains undiagnosed, glaucoma screening was recently found to be cost-effective. SUMMARY: Recent advances in artificial intelligence and telemedicine have the potential to increase the accuracy, reduce the costs, and extend the reach of screening. Further research into implementing these technologies in glaucoma screening is required.</t>
  </si>
  <si>
    <t>Current Advances and Limitations of Deep Learning in Anticancer Drug Sensitivity Prediction</t>
  </si>
  <si>
    <t>Anticancer drug screening can accelerate drug discovery to save the lives of cancer patients, but cancer heterogeneity makes this screening challenging. The prediction of anticancer drug sensitivity is useful for anticancer drug development and the identification of biomarkers of drug sensitivity. Deep learning, as a branch of machine learning, is an important aspect of in silico research. Its outstanding computational performance means that it has been used for many biomedical purposes, such as medical image interpretation, biological sequence analysis, and drug discovery. Several studies have predicted anticancer drug sensitivity based on deep learning algorithms. The field of deep learning has made progress regarding model performance and multi-omics data integration. However, deep learning is limited by the number of studies performed and data sources available, so it is not perfect as a pre-clinical approach for use in the anticancer drug screening process. Improving the performance of deep learning models is a pressing issue for researchers. In this review, we introduce the research of anticancer drug sensitivity prediction and the use of deep learning in this research area. To provide a reference for future research, we also review some common data sources and machine learning methods. Lastly, we discuss the advantages and disadvantages of deep learning, as well as the limitations and future perspectives regarding this approach.</t>
  </si>
  <si>
    <t>Curr Top Med Chem</t>
  </si>
  <si>
    <t>Computer-aided diagnosis system for breast ultrasound images using deep learning</t>
  </si>
  <si>
    <t>The purpose of this study was to develop a computer-aided diagnosis (CAD) system for the classification of malignant and benign masses in the breast using ultrasonography based on a convolutional neural network (CNN), a state-of-the-art deep learning technique. We explored the regions for the correct classification by generating a heat map that presented the important regions used by the CNN for human malignancy/benign classification. Clinical data was obtained from a large-scale clinical trial previously conducted by the Japan Association of Breast and Thyroid Sonology. Images of 1536 breast masses (897 malignant and 639 benign) confirmed by pathological examinations were collected, with each breast mass captured from various angles using an ultrasound (US) imaging probe. We constructed an ensemble network by combining two CNN models (VGG19 and ResNet152) fine-tuned on balanced training data with augmentation and used the mass-level classification method to enable the CNN to classify a given mass using all views. For an independent test set consisting of 154 masses (77 malignant and 77 benign), our network showed outstanding classification performance with a sensitivity of 90.9% (95% confidence interval 84.5-97.3), a specificity of 87.0% (79.5-94.5), and area under the curve (AUC) of 0.951 (0.916-0.987) compared to that of the two CNN models. In addition, our study indicated that the breast masses themselves were not detected by the CNN as important regions for correct mass classification. Collectively, this CNN-based CAD system is expected to assist doctors by improving the diagnosis of breast cancer in clinical practice.</t>
  </si>
  <si>
    <t>Differentiation of Small (≤ 4 cm) Renal Masses on Multiphase Contrast-Enhanced CT by Deep Learning</t>
  </si>
  <si>
    <t>OBJECTIVE. This study evaluated the utility of a deep learning method for determining whether a small (≤ 4 cm) solid renal mass was benign or malignant on multiphase contrast-enhanced CT. MATERIALS AND METHODS. This retrospective study included 1807 image sets from 168 pathologically diagnosed small (≤ 4 cm) solid renal masses with four CT phases (unenhanced, corticomedullary, nephrogenic, and excretory) in 159 patients between 2012 and 2016. Masses were classified as malignant (n = 136) or benign (n = 32). The dataset was randomly divided into five subsets: four were used for augmentation and supervised training (48,832 images), and one was used for testing (281 images). The Inception-v3 architecture convolutional neural network (CNN) model was used. The AUC for malignancy and accuracy at optimal cutoff values of output data were evaluated in six different CNN models. Multivariate logistic regression analysis was also performed. RESULTS. Malignant and benign lesions showed no significant difference of size. The AUC value of corticomedullary phase was higher than that of other phases (corticomedullary vs excretory, p = 0.022). The highest accuracy (88%) was achieved in corticomedullary phase images. Multivariate analysis revealed that the CNN model of corticomedullary phase was a significant predictor for malignancy compared with other CNN models, age, sex, and lesion size. CONCLUSION. A deep learning method with a CNN allowed acceptable differentiation of small (≤ 4 cm) solid renal masses in dynamic CT images, especially in the corticomedullary image model.</t>
  </si>
  <si>
    <t>Unpaired Low-Dose CT Denoising Network Based on Cycle-Consistent Generative Adversarial Network with Prior Image Information</t>
  </si>
  <si>
    <t>The widespread application of X-ray computed tomography (CT) in clinical diagnosis has led to increasing public concern regarding excessive radiation dose administered to patients. However, reducing the radiation dose will inevitably cause server noise and affect radiologists' judgment and confidence. Hence, progressive low-dose CT (LDCT) image reconstruction methods must be developed to improve image quality. Over the past two years, deep learning-based approaches have shown impressive performance in noise reduction for LDCT images. Most existing deep learning-based approaches usually require the paired training dataset which the LDCT images correspond to the normal-dose CT (NDCT) images one-to-one, but the acquisition of well-paired datasets requires multiple scans, resulting the increase of radiation dose. Therefore, well-paired datasets are not readily available. To resolve this problem, this paper proposes an unpaired LDCT image denoising network based on cycle generative adversarial networks (CycleGAN) with prior image information which does not require a one-to-one training dataset. In this method, cyclic loss, an important trick in unpaired image-to-image translation, promises to map the distribution from LDCT to NDCT by using unpaired training data. Furthermore, to guarantee the accurate correspondence of the image content between the output and NDCT, the prior information obtained from the result preprocessed using the LDCT image is integrated into the network to supervise the generation of content. Given the map of distribution through the cyclic loss and the supervision of content through the prior image loss, our proposed method can not only reduce the image noise but also retain critical information. Real-data experiments were carried out to test the performance of the proposed method. The peak signal-to-noise ratio (PSNR) improves by more than 3 dB, and the structural similarity (SSIM) increases when compared with the original CycleGAN without prior information. The real LDCT data experiment demonstrates the superiority of the proposed method according to both visual inspection and quantitative evaluation.</t>
  </si>
  <si>
    <t>10.1007/s11886-020-01306-0</t>
  </si>
  <si>
    <t>Artificial Intelligence and Myocardial Contrast Enhancement Pattern</t>
  </si>
  <si>
    <t>PURPOSE OF REVIEW: Machine learning (ML) and deep learning (DL) are two important categories of AI algorithms. Nowadays, AI technology has been gradually applied to cardiac magnetic resonance imaging (CMRI), covering the fields of myocardial contrast enhancement (MCE) pattern and automatic ventricular segmentation. This paper mainly discusses the relationship between machine learning and deep learning based on AI and pattern of MCE in CMRI. RECENT FINDINGS: It found that some histogram and GLCM parameters in ML algorithm had significant statistical differences in diagnosis of cardiomyopathy and differentiation of fibrosis and normal myocardial tissue. In the DL algorithm, there was no significant difference between CNN and observers in measuring myocardial fibrosis. The rapid development of texture parameter analysis methods would promote the medical imaging based on AI into a new era. Histogram and GLCM parameters are the research hotspot of unsupervised learning of MCE images. CNN has a great advantage in automatically identifying and quantifying myocardial fibrosis reflected by LGE images.</t>
  </si>
  <si>
    <t>Postoperative glioma segmentation in CT image using deep feature fusion model guided by multi-sequence MRIs</t>
  </si>
  <si>
    <t>OBJECTIVES: Computed tomography (CT) and magnetic resonance imaging (MRI) are the most commonly selected methods for imaging gliomas. Clinically, radiotherapists always delineate the CT glioma region with reference to multi-modal MR image information. On this basis, we develop a deep feature fusion model (DFFM) guided by multi-sequence MRIs for postoperative glioma segmentation in CT images. METHODS: DFFM is a multi-sequence MRI-guided convolutional neural network (CNN) that iteratively learns the deep features from CT images and multi-sequence MR images simultaneously by utilizing a multi-channel CNN architecture, and then combines these two deep features together to produce the segmentation result. The whole network is optimized together via a standard back-propagation. A total of 59 CT and MRI datasets (T1/T2-weighted FLAIR, T1-weighted contrast-enhanced, T2-weighted) of postoperative gliomas as tumor grade II (n = 24), grade III (n = 18), or grade IV (n = 17) were included. Dice coefficient (DSC), precision, and recall were used to measure the overlap between automated segmentation results and manual segmentation. The Wilcoxon signed-rank test was used for statistical analysis. RESULTS: DFFM showed a significantly (p &lt; 0.01) higher DSC of 0.836 than U-Net trained by single CT images and U-Net trained by stacking the CT and multi-sequence MR images, which yielded 0.713 DSC and 0.818 DSC, respectively. The precision values showed similar behavior as DSC. Moreover, DSC and precision values have no significant statistical difference (p &gt; 0.01) with difference grades. CONCLUSIONS: DFFM enables the accurate automated segmentation of CT postoperative gliomas of profit guided by multi-sequence MR images and may thus improve and facilitate radiotherapy planning. KEY POINTS: • A fully automated deep learning method was developed to segment postoperative gliomas on CT images guided by multi-sequence MRIs. • CT and multi-sequence MR image integration allows for improvements in deep learning postoperative glioma segmentation method. • This deep feature fusion model produces reliable segmentation results and could be useful in delineating GTV in postoperative glioma radiotherapy planning.</t>
  </si>
  <si>
    <t>[Radiological evaluation of advanced gastric cancer: from image to big data radiomics]</t>
  </si>
  <si>
    <t>Following the increased demand of personalized medicine to precise radiology in advanced gastric cancer, there is particular need for objective and powerful surrogate to help the gastro-radiology to break through the bottleneck of imaging resolution and the defect of subjective diagnosis, which can further improve the efficacy of staging and response evaluation. On the basis of the existing imaging resolution, the radiomics can perform massive data mining through texture analysis and big data, using artificial intelligence deep learning and other algorithms to screen and integrate images and clinical features for modeling and diagnosis, which may further improve the efficacy of staging and response evaluation theoretically. In this paper, we focused on gastro-radiology and radiomics, and reviewed five dimensions progressively: (1) As the first choice for staging and response evaluation, CT application is limited by radiologists' ability to excavate image features and information integration, which needs more powerful image processing method. (2) Radiomics texture analysis can provide massive objective image information that can not be identified by the radiologists' naked eye. It is more detailed and provides quantitative evaluation of the characteristics of tumors better than the radiologists' subjective vision analysis, which can dig potential microscopic information. In the recent two years, the research on the application has been progressing rapidly, covering almost all the solid tumors, and solving the various clinical focuses using entropy, skewness, heterogeneity and other texture analysis indicators. (3) The research progress of radiomics in gastric cancer from the following three directions was summarized: differential diagnosis and biological behavior analysis, staging, and response prediction and evaluation. The current research confirmed the high efficiency of radiomics and texture analysis in differentiating different types, stages and responders of gastric cancer, which can act at least as an important supplement for the subjective evaluation of the radiologists.(4) The congenital defects of radiomics and the current problems on research were summarized, in order to avoid misuse and pitfalls. (5) The radiologists need not to worry about being replaced in the expectation of the future AI radiomics; on the contrary, AI radiomics will be a good assistant. The radiologist should actively take part in the MDT and cooperate with multi-center colleagues to promote the development of large data radiomics in gastric cancer.</t>
  </si>
  <si>
    <t>L. Tang</t>
  </si>
  <si>
    <t>Towards large-scale case-finding: training and validation of residual networks for detection of chronic obstructive pulmonary disease using low-dose CT</t>
  </si>
  <si>
    <t>BACKGROUND: Chronic obstructive pulmonary disease (COPD) is underdiagnosed in the community. Thoracic CT scans are widely used for diagnostic and screening purposes for lung cancer. In this proof-of-concept study, we aimed to evaluate a software pipeline for the automated detection of COPD, based on deep learning and a dataset of low-dose CTs that were performed for early detection of lung cancer. METHODS: We examined the use of deep residual networks, a type of artificial residual network, for the automated detection of COPD. Three versions of the residual networks were independently trained to perform COPD diagnosis using random subsets of CT scans collected from the PanCan study, which enrolled ex-smokers and current smokers at high risk of lung cancer, and evaluated the networks using three-fold cross-validation experiments. External validation was performed using 2153 CT scans acquired from a separate cohort of individuals with COPD in the ECLIPSE study. Spirometric data were used to define COPD, with stages defined according to the GOLD criteria. FINDINGS: The best performing networks achieved an area under the receiver operating characteristic curve (AUC) of 0·889 (SD 0·017) in three-fold cross-validation experiments. When the same set of networks was applied to the ECLIPSE cohort without any modifications to the trained models, they achieved an AUC of 0·886 (0·017), a positive predictive value of 0·847 (0·056), and a negative predictive value of 0·755 (0·097), which is a greater performance than the best quantitative CT measure, the percentage of lung volumes of less than or equal to -950 Hounsfield units (AUC 0·742). INTERPRETATION: Our proposed approach could identify patients with COPD among ex-smokers and current smokers without a previous diagnosis of COPD, with clinically acceptable performance. The use of deep residual networks on chest CT scans could be an effective case-finding tool for COPD detection and diagnosis, particularly in ex-smokers and current smokers who are being screened for lung cancer. FUNDING: Data Science Institute, University of British Columbia; Canadian Institutes of Health Research.</t>
  </si>
  <si>
    <t>Multi-proportion channel ensemble model for retinal vessel segmentation</t>
  </si>
  <si>
    <t>OBJECTIVE: A novel supervised method that is based on the Multi-Proportion Channel Ensemble Model (MPC-EM) is proposed to obtain more vessel details with reduced computational complexity. METHODS: Existing Retinal Vessel Segmentation (RVS) algorithms only work using the single G channel (Green Channel) of fundus images because that channel normally contains the most details with the least noise, while the red and blue channels are usually saturated and noisy. However, we find that the images that are composed of the αG-channel and (1-α) R-channel (Red Channel) with different values of α produce multiple particular global features. This enables the model to detect more local vessel details in fundus images. Therefore, we provide a detailed description and evaluation of the segmentation approach based on the MPC-EM for the RVS. The segmentation approach consists of five identical submodels. Each submodel can capture various vessel details by being trained using different composition images. These probabilistic maps that are produced by five submodels are averaged to achieve the final refined segmentation results. RESULTS: The proposed approach is evaluated using 4 well-established datasets, i.e., DRIVE, STARE, HRF and CHASE_DB1, with accuracies of 95.74%, 96.95%, 96.31%, and 96.54%, respectively. Additionally, quantitative comparisons with other existing methods and cross-training results are included. CONCLUSION: The segmentation results showed that the proposed algorithm based on the MPC-EM with simple submodels can achieve state-of-the-art accuracy with reduced computational complexity. SIGNIFICANCE: Compared with other existing methods that are trained using only the G channel and raw images, the proposed approach based on the MPC-EM, submodels of which are trained using different proportional compositions of R and G channels, obtains better segmentation accuracy and robustness. Additionally, the experimental results show that the R channel of fundus images can also produce performance gains for RVS.</t>
  </si>
  <si>
    <t>Green Fluorescent Protein and Phase-Contrast Image Fusion via Generative Adversarial Networks</t>
  </si>
  <si>
    <t>In the field of cell and molecular biology, green fluorescent protein (GFP) images provide functional information embodying the molecular distribution of biological cells while phase-contrast images maintain structural information with high resolution. Fusion of GFP and phase-contrast images is of high significance to the study of subcellular localization, protein functional analysis, and genetic expression. This paper proposes a novel algorithm to fuse these two types of biological images via generative adversarial networks (GANs) by carefully taking their own characteristics into account. The fusion problem is modelled as an adversarial game between a generator and a discriminator. The generator aims to create a fused image that well extracts the functional information from the GFP image and the structural information from the phase-contrast image at the same time. The target of the discriminator is to further improve the overall similarity between the fused image and the phase-contrast image. Experimental results demonstrate that the proposed method can outperform several representative and state-of-the-art image fusion methods in terms of both visual quality and objective evaluation.</t>
  </si>
  <si>
    <t>Learning from dispersed manual annotations with an optimized data weighting policy</t>
  </si>
  <si>
    <t>Purpose: Deep learning methods have become essential tools for quantitative interpretation of medical imaging data, but training these approaches is highly sensitive to biases and class imbalance in the available data. There is an opportunity to increase the available training data by combining across different data sources (e.g., distinct public projects); however, data collected under different scopes tend to have differences in class balance, label availability, and subject demographics. Recent work has shown that importance sampling can be used to guide training selection. To date, these approaches have not considered imbalanced data sources with distinct labeling protocols. Approach: We propose a sampling policy, known as adaptive stochastic policy (ASP), inspired by reinforcement learning to adapt training based on subject, data source, and dynamic use criteria. We apply ASP in the context of multiorgan abdominal computed tomography segmentation. Training was performed with cross validation on 840 subjects from 10 data sources. External validation was performed with 20 subjects from 1 data source. Results: Four alternative strategies were evaluated with the state-of-the-art baseline as upper confident bound (UCB). ASP achieves average Dice of 0.8261 compared to 0.8135 UCB ( p &lt; 0.01 , paired t -test) across fivefold cross validation. On withheld testing datasets, the proposed ASP achieved 0.8265 mean Dice versus 0.8077 UCB ( p &lt; 0.01 , paired t -test). Conclusions: ASP provides a flexible reweighting technique for training deep learning models. We conclude that the proposed method adapts the sample importance, which leverages the performance on a challenging multisite, multiorgan, and multisize segmentation task.</t>
  </si>
  <si>
    <t>Uncertainty modelling in deep learning for safer neuroimage enhancement: Demonstration in diffusion MRI</t>
  </si>
  <si>
    <t>Deep learning (DL) has shown great potential in medical image enhancement problems, such as super-resolution or image synthesis. However, to date, most existing approaches are based on deterministic models, neglecting the presence of different sources of uncertainty in such problems. Here we introduce methods to characterise different components of uncertainty, and demonstrate the ideas using diffusion MRI super-resolution. Specifically, we propose to account for intrinsic uncertainty through a heteroscedastic noise model and for parameter uncertainty through approximate Bayesian inference, and integrate the two to quantify predictive uncertainty over the output image. Moreover, we introduce a method to propagate the predictive uncertainty on a multi-channelled image to derived scalar parameters, and separately quantify the effects of intrinsic and parameter uncertainty therein. The methods are evaluated for super-resolution of two different signal representations of diffusion MR images-Diffusion Tensor images and Mean Apparent Propagator MRI-and their derived quantities such as mean diffusivity and fractional anisotropy, on multiple datasets of both healthy and pathological human brains. Results highlight three key potential benefits of modelling uncertainty for improving the safety of DL-based image enhancement systems. Firstly, modelling uncertainty improves the predictive performance even when test data departs from training data (out-of-distribution datasets). Secondly, the predictive uncertainty highly correlates with reconstruction errors, and is therefore capable of detecting predictive failures. Results on both healthy subjects and patients with brain glioma or multiple sclerosis demonstrate that such an uncertainty measure enables subject-specific and voxel-wise risk assessment of the super-resolved images that can be accounted for in subsequent analysis. Thirdly, we show that the method for decomposing predictive uncertainty into its independent sources provides high-level explanations for the model performance by separately quantifying how much uncertainty arises from the inherent difficulty of the task or the limited training examples. The introduced concepts of uncertainty modelling extend naturally to many other imaging modalities and data enhancement applications.</t>
  </si>
  <si>
    <t>New one-step model of breast tumor locating based on deep learning</t>
  </si>
  <si>
    <t>BACKGROUND: Breast cancer has the highest cancer prevalence rate among the women worldwide. Early detection of breast cancer is crucial for successful treatment and reducing cancer mortality rate. However, tumor detection of breast ultrasound (US) image is still a challenging work in computer-aided diagnosis (CAD). OBJECTIVE: This study aims to develop a novel automated algorithm for breast tumor detection based on deep learning. METHODS: We proposed a new deep learning network named One-step model which have one input and two outputs, the first one was the segmentation result and the other one was used for false-positive reduction. The proposed One-step model includes three key components: Base-net, Seg-net, and Cls-net based on Anchor Box. The model chose DenseNet to construct Base-net, the decoder part of RefineNet as Seg-net, and connected several middle layers of Base-net and Seg-net to Cls-net. From the first output acquired by Base-net and Seg-net, the model detected a series of suspicious lesion regions. Then the second output from the Cls-net was used to recognize and reduce the false-positive regions. RESULTS: Experimental results showed that the new model achieved competitive detection result with 90.78% F1 score, which was 8.55% higher than Single Shot MultiBox Detector (SSD) method. In addition, running new model is also computational efficient and has comparative cost effect as SSD. CONCLUSIONS: We established a novel One-step model which improves location accuracy by generating more precise bounding box via Seg-net and removing false targets by another object detection network (Cls-net). On the other hand, a real-time detection of tumor is achieved by sharing the common Base-net. The experimental results showed that the new model performed well on various irregular and blurred ultrasound images. As a result, this study demonstrated feasibility of applying deep learning scheme to detect breast lesions depicting on US image.</t>
  </si>
  <si>
    <t>[Medical computer-aided detection method based on deep learning]</t>
  </si>
  <si>
    <t>This paper performs a comprehensive study on the computer-aided detection for the medical diagnosis with deep learning. Based on the region convolution neural network and the prior knowledge of target, this algorithm uses the region proposal network, the region of interest pooling strategy, introduces the multi-task loss function: classification loss, bounding box localization loss and object rotation loss, and optimizes it by end-to-end. For medical image it locates the target automatically, and provides the localization result for the next stage task of segmentation. For the detection of left ventricular in echocardiography, proposed additional landmarks such as mitral annulus, endocardial pad and apical position, were used to estimate the left ventricular posture effectively. In order to verify the robustness and effectiveness of the algorithm, the experimental data of ultrasonic and nuclear magnetic resonance images are selected. Experimental results show that the algorithm is fast, accurate and effective.</t>
  </si>
  <si>
    <t>P. Tao, Z. Fu, K. Zhu and L. Wang</t>
  </si>
  <si>
    <t>10.2214/ajr.19.21927</t>
  </si>
  <si>
    <t>Deep Learning for Quantitative Cardiac MRI</t>
  </si>
  <si>
    <t>OBJECTIVE. The recent advancement of deep learning techniques has profoundly impacted research on quantitative cardiac MRI analysis. The purpose of this article is to introduce the concept of deep learning, review its current applications on quantitative cardiac MRI, and discuss its limitations and challenges. CONCLUSION. Deep learning has shown state-of-the-art performance on quantitative analysis of multiple cardiac MRI sequences and holds great promise for future use in clinical practice and scientific research.</t>
  </si>
  <si>
    <t>Deep Learning-based Method for Fully Automatic Quantification of Left Ventricle Function from Cine MR Images: A Multivendor, Multicenter Study</t>
  </si>
  <si>
    <t>Purpose To develop a deep learning-based method for fully automated quantification of left ventricular (LV) function from short-axis cine MR images and to evaluate its performance in a multivendor and multicenter setting. Materials and Methods This retrospective study included cine MRI data sets obtained from three major MRI vendors in four medical centers from 2008 to 2016. Three convolutional neural networks (CNNs) with the U-NET architecture were trained on data sets of increasing variability: (a) a single-vendor, single-center, homogeneous cohort of 100 patients (CNN1); (b) a single-vendor, multicenter, heterogeneous cohort of 200 patients (CNN2); and (c) a multivendor, multicenter, heterogeneous cohort of 400 patients (CNN3). All CNNs were tested on an independent multivendor, multicenter data set of 196 patients. CNN performance was evaluated with respect to the manual annotations from three experienced observers in terms of (a) LV detection accuracy, (b) LV segmentation accuracy, and (c) LV functional parameter accuracy. Automatic and manual results were compared with the paired Wilcoxon test, Pearson correlation, and Bland-Altman analysis. Results CNN3 achieved the highest performance on the independent testing data set. The average perpendicular distance compared with manual analysis was 1.1 mm ± 0.3 for CNN3, compared with 1.5 mm ± 1.0 for CNN1 (P &lt; .05) and 1.3 mm ± 0.6 for CNN2 (P &lt; .05). The LV function parameters derived from CNN3 showed a high correlation (r(2) ≥ 0.98) and agreement with those obtained by experts for data sets from different vendors and centers. Conclusion A deep learning-based method trained on a data set with high variability can achieve fully automated and accurate cine MRI analysis on multivendor, multicenter cine MRI data. © RSNA, 2018 See also the editorial by Colletti in this issue.</t>
  </si>
  <si>
    <t>Q. Tao, W. Yan, Y. Wang, E. H. M. Paiman, D. P. Shamonin, P. Garg, S. Plein, L. Huang, L. Xia, M. Sramko, J. Tintera, A. de Roos, H. J. Lamb and R. J. van der Geest</t>
  </si>
  <si>
    <t>[Prediction of Pathological Subtypes of Lung Adenocarcinoma with Pure Ground Glass Nodules by Deep Learning Model]</t>
  </si>
  <si>
    <t>Objective To make a preliminary pathological classification of lung adenocarcinoma with pure ground glass nodules(pGGN)on CT by using a deep learning model. Methods CT images and pathological data of 219 patients(240 lesions in total)with pGGN on CT and pathologically confirmed adenocarcinoma were collected.According to pathological subtypes,the lesions were divided into non-invasive lung adenocarcinoma group(which included atypical adenomatous hyperplasia and adenocarcinoma in situ and micro-invasive adenocarcinoma)and invasive lung adenocarcinoma group.First,the lesions were outlined and labeled by two young radiologists,and then the labeled data were randomly divided into two datasets:the training set(80%)and the test set(20%).The prediction Results of deep learning were compared with those of two experienced radiologists by using the test dataset. Results The deep learning model achieved high performance in predicting the pathological types(non-invasive and invasive)of pGGN lung adenocarcinoma.The accuracy rate in pGGN diagnosis was 0.8330(95% CI=0.7016-0.9157)for of deep learning model,0.5000(95% CI=0.3639-0.6361)for expert 1,0.5625(95% CI=0.4227-0.6931)for expert 2,and 0.5417(95% CI=0.4029-0.6743)for both two experts.Thus,the accuracy of the deep learning model was significantly higher than those of the experienced radiologists(P=0.002).The intra-observer agreements were good(Kappa values:0.939 and 0.799,respectively).The inter-observer agreement was general(Kappa value:0.667)(P=0.000). Conclusion The deep learning model showed better performance in predicting the pathological types of pGGN lung adenocarcinoma compared with experienced radiologists.</t>
  </si>
  <si>
    <t>Training of head and neck segmentation networks with shape prior on small datasets</t>
  </si>
  <si>
    <t>PURPOSE: Cancer in the head and neck area is commonly treated with radiotherapy. A key step for low-risk treatment is the accurate delineation of organs at risk in the planning imagery. The success of deep learning in image segmentation led to automated algorithms achieving human expert performance on certain datasets. However, such algorithms require large datasets for training and fail to segment previously unseen pathologies, where human experts still succeed. As pathologies are rare and large datasets costly to generate, we investigate the effect of: reduced training data, batch sizes and incorporation of prior knowledge. METHODS: The small data problem is studied by training a full-volume segmentation network with the reduced amount of data from the MICCAI 2015 head and neck segmentation challenge. To improve the segmentation, we evaluate the batch size as a hyper-parameter and first study and then incorporate a stacked autoencoder as shape prior into the training process. RESULTS: We found that using half of the training data (12 images of 25) results in an accuracy drop of only 3% for the segmentation of organs at risk. Also, the batch size turns out to be relevant for the quality of the segmentation when trained with less than half of the data. By applying PCA on the autoencoder's latent space we achieve a compact and accurate shape model, which is used as a regularizer and significantly improves the segmentation results. CONCLUSION: Small training data of up to 12 training images is enough to train accurate head and neck segmentation models. By using a shape prior for regularization, the performance of the segmentation can be improved significantly on the full dataset. When training on fewer than 12 images, the batch size is relevant and models have to be trained much longer until convergence.</t>
  </si>
  <si>
    <t>Multi-organ segmentation of the head and neck area: an efficient hierarchical neural networks approach</t>
  </si>
  <si>
    <t>PURPOSE: In radiation therapy, a key step for a successful cancer treatment is image-based treatment planning. One objective of the planning phase is the fast and accurate segmentation of organs at risk and target structures from medical images. However, manual delineation of organs, which is still the gold standard in many clinical environments, is time-consuming and prone to inter-observer variations. Consequently, many automated segmentation methods have been developed. METHODS: In this work, we train two hierarchical 3D neural networks to segment multiple organs at risk in the head and neck area. First, we train a coarse network on size-reduced medical images to locate the organs of interest. Second, a subsequent fine network on full-resolution images is trained for a final accurate segmentation. The proposed method is purely deep learning based; accordingly, no pre-registration or post-processing is required. RESULTS: The approach has been applied on a publicly available computed tomography dataset, created for the MICCAI 2015 Auto-Segmentation challenge. In an extensive evaluation process, the best configurations for the trained networks have been determined. Compared to the existing methods, the presented approach shows state-of-the-art performance for the segmentation of seven different structures in the head and neck area. CONCLUSION: We conclude that 3D neural networks outperform the most existing model- and atlas-based methods for the segmentation of organs at risk in the head and neck area. The ease of use, high accuracy and the test time efficiency of the method make it promising for image-based treatment planning in clinical practice.</t>
  </si>
  <si>
    <t>E. Tappeiner, S. Pröll, M. Hönig, P. F. Raudaschl, P. Zaffino, M. F. Spadea, G. C. Sharp, R. Schubert and K. Fritscher</t>
  </si>
  <si>
    <t>Current Clinical Applications of Artificial Intelligence in Radiology and Their Best Supporting Evidence</t>
  </si>
  <si>
    <t>PURPOSE: Despite tremendous gains from deep learning and the promise of artificial intelligence (AI) in medicine to improve diagnosis and save costs, there exists a large translational gap to implement and use AI products in real-world clinical situations. Adoption of standards such as Transparent Reporting of a Multivariable Prediction Model for Individual Prognosis or Diagnosis, Consolidated Standards of Reporting Trials, and the Checklist for Artificial Intelligence in Medical Imaging is increasing to improve the peer-review process and reporting of AI tools. However, no such standards exist for product-level review. METHODS: A review of clinical trials showed a paucity of evidence for radiology AI products; thus, the authors developed a 10-question assessment tool for reviewing AI products with an emphasis on their validation and result dissemination. The assessment tool was applied to commercial and open-source algorithms used for diagnosis to extract evidence on the clinical utility of the tools. RESULTS: There is limited technical information on methodologies for FDA-approved algorithms compared with open-source products, likely because of intellectual property concerns. Furthermore, FDA-approved products use much smaller data sets compared with open-source AI tools, because the terms of use of public data sets are limited to academic and noncommercial entities, which precludes their use in commercial products. CONCLUSIONS: Overall, this study reveals a broad spectrum of maturity and clinical use of AI products, but a large gap exists in exploring actual performance of AI tools in clinical practice.</t>
  </si>
  <si>
    <t>Unveiling COVID-19 from CHEST X-Ray with Deep Learning: A Hurdles Race with Small Data</t>
  </si>
  <si>
    <t>The possibility to use widespread and simple chest X-ray (CXR) imaging for early screening of COVID-19 patients is attracting much interest from both the clinical and the AI community. In this study we provide insights and also raise warnings on what is reasonable to expect by applying deep learning to COVID classification of CXR images. We provide a methodological guide and critical reading of an extensive set of statistical results that can be obtained using currently available datasets. In particular, we take the challenge posed by current small size COVID data and show how significant can be the bias introduced by transfer-learning using larger public non-COVID CXR datasets. We also contribute by providing results on a medium size COVID CXR dataset, just collected by one of the major emergency hospitals in Northern Italy during the peak of the COVID pandemic. These novel data allow us to contribute to validate the generalization capacity of preliminary results circulating in the scientific community. Our conclusions shed some light into the possibility to effectively discriminate COVID using CXR.</t>
  </si>
  <si>
    <t>3D-Cell-Annotator: an open-source active surface tool for single-cell segmentation in 3D microscopy images</t>
  </si>
  <si>
    <t>SUMMARY: Segmentation of single cells in microscopy images is one of the major challenges in computational biology. It is the first step of most bioimage analysis tasks, and essential to create training sets for more advanced deep learning approaches. Here, we propose 3D-Cell-Annotator to solve this task using 3D active surfaces together with shape descriptors as prior information in a semi-automated fashion. The software uses the convenient 3D interface of the widely used Medical Imaging Interaction Toolkit (MITK). Results on 3D biological structures (e.g. spheroids, organoids and embryos) show that the precision of the segmentation reaches the level of a human expert. AVAILABILITY AND IMPLEMENTATION: 3D-Cell-Annotator is implemented in CUDA/C++ as a patch for the segmentation module of MITK. The 3D-Cell-Annotator enabled MITK distribution can be downloaded at: www.3D-cell-annotator.org. It works under Windows 64-bit systems and recent Linux distributions even on a consumer level laptop with a CUDA-enabled video card using recent NVIDIA drivers. SUPPLEMENTARY INFORMATION: Supplementary data are available at Bioinformatics online.</t>
  </si>
  <si>
    <t>Deep learning-based image restoration algorithm for coronary CT angiography</t>
  </si>
  <si>
    <t>OBJECTIVES: The purpose of this study was to compare the image quality of coronary computed tomography angiography (CTA) subjected to deep learning-based image restoration (DLR) method with images subjected to hybrid iterative reconstruction (IR). METHODS: We enrolled 30 patients (22 men, 8 women) who underwent coronary CTA on a 320-slice CT scanner. The images were reconstructed with hybrid IR and with DLR. The image noise in the ascending aorta, left atrium, and septal wall of the ventricle was measured on all images and the contrast-to-noise ratio (CNR) in the proximal coronary arteries was calculated. We also generated CT attenuation profiles across the proximal coronary arteries and measured the width of the edge rise distance (ERD) and the edge rise slope (ERS). Two observers visually evaluated the overall image quality using a 4-point scale (1 = poor, 4 = excellent). RESULTS: On DLR images, the mean image noise was lower than that on hybrid IR images (18.5 ± 2.8 HU vs. 23.0 ± 4.6 HU, p &lt; 0.01) and the CNR was significantly higher (p &lt; 0.01). The mean ERD was significantly shorter on DLR than on hybrid IR images, whereas the mean ERS was steeper on DLR than on hybrid IR images. The mean image quality score for hybrid IR and DLR images was 2.96 and 3.58, respectively (p &lt; 0.01). CONCLUSIONS: DLR reduces the image noise and improves the image quality at coronary CTA. KEY POINTS: • Deep learning-based image restoration is a new technique that employs the deep convolutional neural network for image quality improvement. • Deep learning-based restoration reduces the image noise and improves image quality at coronary CT angiography. • This method may allow for a reduction in radiation exposure.</t>
  </si>
  <si>
    <t>F. Tatsugami, T. Higaki, Y. Nakamura, Z. Yu, J. Zhou, Y. Lu, C. Fujioka, T. Kitagawa, Y. Kihara, M. Iida and K. Awai</t>
  </si>
  <si>
    <t>A novel deep learning conditional generative adversarial network for producing angiography images from retinal fundus photographs</t>
  </si>
  <si>
    <t>Fluorescein angiography (FA) is a procedure used to image the vascular structure of the retina and requires the insertion of an exogenous dye with potential adverse side effects. Currently, there is only one alternative non-invasive system based on Optical coherence tomography (OCT) technology, called OCT angiography (OCTA), capable of visualizing retina vasculature. However, due to its cost and limited view, OCTA technology is not widely used. Retinal fundus photography is a safe imaging technique used for capturing the overall structure of the retina. In order to visualize retinal vasculature without the need for FA and in a cost-effective, non-invasive, and accurate manner, we propose a deep learning conditional generative adversarial network (GAN) capable of producing FA images from fundus photographs. The proposed GAN produces anatomically accurate angiograms, with similar fidelity to FA images, and significantly outperforms two other state-of-the-art generative algorithms ([Formula: see text] and [Formula: see text]). Furthermore, evaluations by experts shows that our proposed model produces such high quality FA images that are indistinguishable from real angiograms. Our model as the first application of artificial intelligence and deep learning to medical image translation, by employing a theoretical framework capable of establishing a shared feature-space between two domains (i.e. funduscopy and fluorescein angiography) provides an unrivaled way for the translation of images from one domain to the other.</t>
  </si>
  <si>
    <t>Automated detection of moderate and large pneumothorax on frontal chest X-rays using deep convolutional neural networks: A retrospective study</t>
  </si>
  <si>
    <t>BACKGROUND: Pneumothorax can precipitate a life-threatening emergency due to lung collapse and respiratory or circulatory distress. Pneumothorax is typically detected on chest X-ray; however, treatment is reliant on timely review of radiographs. Since current imaging volumes may result in long worklists of radiographs awaiting review, an automated method of prioritizing X-rays with pneumothorax may reduce time to treatment. Our objective was to create a large human-annotated dataset of chest X-rays containing pneumothorax and to train deep convolutional networks to screen for potentially emergent moderate or large pneumothorax at the time of image acquisition. METHODS AND FINDINGS: In all, 13,292 frontal chest X-rays (3,107 with pneumothorax) were visually annotated by radiologists. This dataset was used to train and evaluate multiple network architectures. Images showing large- or moderate-sized pneumothorax were considered positive, and those with trace or no pneumothorax were considered negative. Images showing small pneumothorax were excluded from training. Using an internal validation set (n = 1,993), we selected the 2 top-performing models; these models were then evaluated on a held-out internal test set based on area under the receiver operating characteristic curve (AUC), sensitivity, specificity, and positive predictive value (PPV). The final internal test was performed initially on a subset with small pneumothorax excluded (as in training; n = 1,701), then on the full test set (n = 1,990), with small pneumothorax included as positive. External evaluation was performed using the National Institutes of Health (NIH) ChestX-ray14 set, a public dataset labeled for chest pathology based on text reports. All images labeled with pneumothorax were considered positive, because the NIH set does not classify pneumothorax by size. In internal testing, our high sensitivity model produced a sensitivity of 0.84 (95% CI 0.78-0.90), specificity of 0.90 (95% CI 0.89-0.92), and AUC of 0.94 for the test subset with small pneumothorax excluded. Our high specificity model showed sensitivity of 0.80 (95% CI 0.72-0.86), specificity of 0.97 (95% CI 0.96-0.98), and AUC of 0.96 for this set. PPVs were 0.45 (95% CI 0.39-0.51) and 0.71 (95% CI 0.63-0.77), respectively. Internal testing on the full set showed expected decreased performance (sensitivity 0.55, specificity 0.90, and AUC 0.82 for high sensitivity model and sensitivity 0.45, specificity 0.97, and AUC 0.86 for high specificity model). External testing using the NIH dataset showed some further performance decline (sensitivity 0.28-0.49, specificity 0.85-0.97, and AUC 0.75 for both). Due to labeling differences between internal and external datasets, these findings represent a preliminary step towards external validation. CONCLUSIONS: We trained automated classifiers to detect moderate and large pneumothorax in frontal chest X-rays at high levels of performance on held-out test data. These models may provide a high specificity screening solution to detect moderate or large pneumothorax on images collected when human review might be delayed, such as overnight. They are not intended for unsupervised diagnosis of all pneumothoraces, as many small pneumothoraces (and some larger ones) are not detected by the algorithm. Implementation studies are warranted to develop appropriate, effective clinician alerts for the potentially critical finding of pneumothorax, and to assess their impact on reducing time to treatment.</t>
  </si>
  <si>
    <t>A. G. Taylor, C. Mielke and J. Mongan</t>
  </si>
  <si>
    <t>Malignancy Detection on Mammography Using Dual Deep Convolutional Neural Networks and Genetically Discovered False Color Input Enhancement</t>
  </si>
  <si>
    <t>Breast cancer is the most prevalent malignancy in the US and the third highest cause of cancer-related mortality worldwide. Regular mammography screening has been attributed with doubling the rate of early cancer detection over the past three decades, yet estimates of mammographic accuracy in the hands of experienced radiologists remain suboptimal with sensitivity ranging from 62 to 87% and specificity from 75 to 91%. Advances in machine learning (ML) in recent years have demonstrated capabilities of image analysis which often surpass those of human observers. Here we present two novel techniques to address inherent challenges in the application of ML to the domain of mammography. We describe the use of genetic search of image enhancement methods, leading us to the use of a novel form of false color enhancement through contrast limited adaptive histogram equalization (CLAHE), as a method to optimize mammographic feature representation. We also utilize dual deep convolutional neural networks at different scales, for classification of full mammogram images and derivative patches combined with a random forest gating network as a novel architectural solution capable of discerning malignancy with a specificity of 0.91 and a specificity of 0.80. To our knowledge, this represents the first automatic stand-alone mammography malignancy detection algorithm with sensitivity and specificity performance similar to that of expert radiologists.</t>
  </si>
  <si>
    <t>P. Teare, M. Fishman, O. Benzaquen, E. Toledano and E. Elnekave</t>
  </si>
  <si>
    <t>Real-time cryo-electron microscopy data preprocessing with Warp</t>
  </si>
  <si>
    <t>The acquisition of cryo-electron microscopy (cryo-EM) data from biological specimens must be tightly coupled to data preprocessing to ensure the best data quality and microscope usage. Here we describe Warp, a software that automates all preprocessing steps of cryo-EM data acquisition and enables real-time evaluation. Warp corrects micrographs for global and local motion, estimates the local defocus and monitors key parameters for each recorded micrograph or tomographic tilt series in real time. The software further includes deep-learning-based models for accurate particle picking and image denoising. The output from Warp can be fed into established programs for particle classification and 3D-map refinement. Our benchmarks show improvement in the nominal resolution, which went from 3.9 Å to 3.2 Å, of a published cryo-EM data set for influenza virus hemagglutinin. Warp is easy to install from http://github.com/cramerlab/warp and computationally inexpensive, and has an intuitive, streamlined user interface.</t>
  </si>
  <si>
    <t>DMCNN: A Deep Multiscale Convolutional Neural Network Model for Medical Image Segmentation</t>
  </si>
  <si>
    <t>Medical image segmentation is one of the hot issues in the related area of image processing. Precise segmentation for medical images is a vital guarantee for follow-up treatment. At present, however, low gray contrast and blurred tissue boundaries are common in medical images, and the segmentation accuracy of medical images cannot be effectively improved. Especially, deep learning methods need more training samples, which lead to time-consuming process. Therefore, we propose a novelty model for medical image segmentation based on deep multiscale convolutional neural network (CNN) in this article. First, we extract the region of interest from the raw medical images. Then, data augmentation is operated to acquire more training datasets. Our proposed method contains three models: encoder, U-net, and decoder. Encoder is mainly responsible for feature extraction of 2D image slice. The U-net cascades the features of each block of the encoder with those obtained by deconvolution in the decoder under different scales. The decoding is mainly responsible for the upsampling of the feature graph after feature extraction of each group. Simulation results show that the new method can boost the segmentation accuracy. And, it has strong robustness compared with other segmentation methods.</t>
  </si>
  <si>
    <t>[Application of Artificial Intelligence in Radiology]</t>
  </si>
  <si>
    <t>Artificial intelligence has attracted attention in the various field as an advanced information technology. Regarding to the radiology, many artificial intelligence technologies have been introduced to the computer aided diagnosis technologies such as lesion detection and analysis. Particularly, deep learning shows significant performance compared to the conventional technologies. In this paper, basic terms related to artificial intelligence technology are first defined, and briefly introduce the research activities of domestic and overseas research. And then, decision support system for lung cancer diagnosis developed by us are introduced.</t>
  </si>
  <si>
    <t>A. Teramoto</t>
  </si>
  <si>
    <t>Deep learning approach to classification of lung cytological images: Two-step training using actual and synthesized images by progressive growing of generative adversarial networks</t>
  </si>
  <si>
    <t>Cytology is the first pathological examination performed in the diagnosis of lung cancer. In our previous study, we introduced a deep convolutional neural network (DCNN) to automatically classify cytological images as images with benign or malignant features and achieved an accuracy of 81.0%. To further improve the DCNN's performance, it is necessary to train the network using more images. However, it is difficult to acquire cell images which contain a various cytological features with the use of many manual operations with a microscope. Therefore, in this study, we aim to improve the classification accuracy of a DCNN with the use of actual and synthesized cytological images with a generative adversarial network (GAN). Based on the proposed method, patch images were obtained from a microscopy image. Accordingly, these generated many additional similar images using a GAN. In this study, we introduce progressive growing of GANs (PGGAN), which enables the generation of high-resolution images. The use of these images allowed us to pretrain a DCNN. The DCNN was then fine-tuned using actual patch images. To confirm the effectiveness of the proposed method, we first evaluated the quality of the images which were generated by PGGAN and by a conventional deep convolutional GAN. We then evaluated the classification performance of benign and malignant cells, and confirmed that the generated images had characteristics similar to those of the actual images. Accordingly, we determined that the overall classification accuracy of lung cells was 85.3% which was improved by approximately 4.3% compared to a previously conducted study without pretraining using GAN-generated images. Based on these results, we confirmed that our proposed method will be effective for the classification of cytological images in cases at which only limited data are acquired.</t>
  </si>
  <si>
    <t>10.1007/978-3-030-33128-3_5</t>
  </si>
  <si>
    <t>Decision Support System for Lung Cancer Using PET/CT and Microscopic Images</t>
  </si>
  <si>
    <t>Lung cancer is the most common cancer among men and the third most common among women in the world. Many diagnostic techniques have been introduced to diagnose lung cancer. Positron emission tomography (PET)/computed tomography (CT) examination is an image diagnostic method that performs automatic detection and distinction of lung lesions. In addition, pathological examination by biopsy is performed for lesions that are suspected of being malignant, and appropriate treatment methods are applied according to the diagnosis results. Currently, lung cancer diagnosis is performed through coordination between respiratory, radiation, and pathological diagnosis experts, but there are some tasks, such as image diagnosis, that require a large amount of time and effort to complete. Therefore, we developed a decision support system using PET/CT and microscopic images at the time of image diagnosis, which leads to appropriate treatment. In this chapter, we introduce the proposed system using deep learning and radiomic techniques.</t>
  </si>
  <si>
    <t>Deep learning-based image reconstruction and motion estimation from undersampled radial k-space for real-time MRI-guided radiotherapy</t>
  </si>
  <si>
    <t>To enable magnetic resonance imaging (MRI)-guided radiotherapy with real-time adaptation, motion must be quickly estimated with low latency. The motion estimate is used to adapt the radiation beam to the current anatomy, yielding a more conformal dose distribution. As the MR acquisition is the largest component of latency, deep learning (DL) may reduce the total latency by enabling much higher undersampling factors compared to conventional reconstruction and motion estimation methods. The benefit of DL on image reconstruction and motion estimation was investigated for obtaining accurate deformation vector fields (DVFs) with high temporal resolution and minimal latency. 2D cine MRI acquired at 1.5 T from 135 abdominal cancer patients were retrospectively included in this study. Undersampled radial golden angle acquisitions were retrospectively simulated. DVFs were computed using different combinations of conventional- and DL-based methods for image reconstruction and motion estimation, allowing a comparison of four approaches to achieve real-time motion estimation. The four approaches were evaluated based on the end-point-error and root-mean-square error compared to a ground-truth optical flow estimate on fully-sampled images, the structural similarity (SSIM) after registration and time necessary to acquire k-space, reconstruct an image and estimate motion. The lowest DVF error and highest SSIM were obtained using conventional methods up to [Formula: see text]. For undersampling factors [Formula: see text], the lowest DVF error and highest SSIM were obtained using conventional image reconstruction and DL-based motion estimation. We have found that, with this combination, accurate DVFs can be obtained up to [Formula: see text] with an average root-mean-square error up to 1 millimeter and an SSIM greater than 0.8 after registration, taking 60 milliseconds. High-quality 2D DVFs from highly undersampled k-space can be obtained with a high temporal resolution with conventional image reconstruction and a deep learning-based motion estimation approach for real-time adaptive MRI-guided radiotherapy.</t>
  </si>
  <si>
    <t>Novel real-time tumor-contouring method using deep learning to prevent mistracking in X-ray fluoroscopy</t>
  </si>
  <si>
    <t>Robustness to obstacles is the most important factor necessary to achieve accurate tumor tracking without fiducial markers. Some high-density structures, such as bone, are enhanced on X-ray fluoroscopic images, which cause tumor mistracking. Tumor tracking should be performed by controlling importance recognition: the understanding that soft-tissue is an important tracking feature and bone structure is unimportant. We propose a new real-time tumor-contouring method that uses deep learning with importance recognition control. The novelty of the proposed method is the combination of the devised random overlay method and supervised deep learning to induce the recognition of structures in tumor contouring as important or unimportant. This method can be used for tumor contouring because it uses deep learning to perform image segmentation. Our results from a simulated fluoroscopy model showed accurate tracking of a low-visibility tumor with an error of approximately 1 mm, even if enhanced bone structure acted as an obstacle. A high similarity of approximately 0.95 on the Jaccard index was observed between the segmented and ground truth tumor regions. A short processing time of 25 ms was achieved. The results of this simulated fluoroscopy model support the feasibility of robust real-time tumor contouring with fluoroscopy. Further studies using clinical fluoroscopy are highly anticipated.</t>
  </si>
  <si>
    <t>T. Terunuma, A. Tokui and T. Sakae</t>
  </si>
  <si>
    <t>High-Fidelity Monocular Face Reconstruction Based on an Unsupervised Model-Based Face Autoencoder</t>
  </si>
  <si>
    <t>In this work, we propose a novel model-based deep convolutional autoencoder that addresses the highly challenging problem of reconstructing a 3D human face from a single in-the-wild color image. To this end, we combine a convolutional encoder network with an expert-designed generative model that serves as decoder. The core innovation is the differentiable parametric decoder that encapsulates image formation analytically based on a generative model. Our decoder takes as input a code vector with exactly defined semantic meaning that encodes detailed face pose, shape, expression, skin reflectance, and scene illumination. Due to this new way of combining CNN-based with model-based face reconstruction, the CNN-based encoder learns to extract semantically meaningful parameters from a single monocular input image. For the first time, a CNN encoder and an expert-designed generative model can be trained end-to-end in an unsupervised manner, which renders training on very large (unlabeled) real world datasets feasible. The obtained reconstructions compare favorably to current state-of-the-art approaches in terms of quality and richness of representation. This work is an extended version of [1] , where we additionally present a stochastic vertex sampling technique for faster training of our networks, and moreover, we propose and evaluate analysis-by-synthesis and shape-from-shading refinement approaches to achieve a high-fidelity reconstruction.</t>
  </si>
  <si>
    <t>MR Image Reconstruction Using Deep Density Priors</t>
  </si>
  <si>
    <t>Algorithms for magnetic resonance (MR) image reconstruction from undersampled measurements exploit prior information to compensate for missing k-space data. Deep learning (DL) provides a powerful framework for extracting such information from existing image datasets, through learning, and then using it for reconstruction. Leveraging this, recent methods employed DL to learn mappings from undersampled to fully sampled images using paired datasets, including undersampled and corresponding fully sampled images, integrating prior knowledge implicitly. In this letter, we propose an alternative approach that learns the probability distribution of fully sampled MR images using unsupervised DL, specifically variational autoencoders (VAE), and use this as an explicit prior term in reconstruction, completely decoupling the encoding operation from the prior. The resulting reconstruction algorithm enjoys a powerful image prior to compensate for missing k-space data without requiring paired datasets for training nor being prone to associated sensitivities, such as deviations in undersampling patterns used in training and test time or coil settings. We evaluated the proposed method with T1 weighted images from a publicly available dataset, multi-coil complex images acquired from healthy volunteers ( N=8 ), and images with white matter lesions. The proposed algorithm, using the VAE prior, produced visually high quality reconstructions and achieved low RMSE values, outperforming most of the alternative methods on the same dataset. On multi-coil complex data, the algorithm yielded accurate magnitude and phase reconstruction results. In the experiments on images with white matter lesions, the method faithfully reconstructed the lesions.</t>
  </si>
  <si>
    <t>Use of Artificial Intelligence-Based Analytics From Live Colonoscopies to Optimize the Quality of the Colonoscopy Examination in Real Time: Proof of Concept</t>
  </si>
  <si>
    <t>S. Thakkar, N. M. Carleton, B. Rao and A. Syed</t>
  </si>
  <si>
    <t>10.1007/s00117-020-00696-0</t>
  </si>
  <si>
    <t>Emerging methods in radiology</t>
  </si>
  <si>
    <t>Imaging modalities have developed rapidly in recent decades. In addition to improved resolution as well as whole-body and faster image acquisition, the possibilities of functional and molecular examination of tissue pathophysiology have had a decisive influence on imaging diagnostics and provided ground-breaking knowledge. Many promising approaches are currently being pursued to increase the application area of devices and contrast media and to improve their sensitivity and quantitative informative value. These are complemented by new methods of data processing, multiparametric data analysis, and integrated diagnostics. The aim of this article is to provide an overview of technological innovations that will enrich clinical imaging in the future, and to highlight the resultant diagnostic options. These relate to the established imaging methods such as CT, MRI, ultrasound, PET, and SPECT but also to new methods such as magnetic particle imaging (MPI), optical imaging, and photoacoustics. In addition, approaches to radiomic image evaluation are explained and the chances and difficulties for their broad clinical introduction are discussed. The potential of imaging to describe pathophysiological relationships in ever increasing detail, both at whole-body and tissue level, can in future be used to better understand the mechanistic effect of drugs, to preselect patients to therapies, and to improve monitoring of therapy success. Consequently, the use of interdisciplinary integrated diagnostics will greatly change and enrich the profession of radiologists.</t>
  </si>
  <si>
    <t>An Enhancement of Deep Learning Algorithm for Brain Tumor Segmentation Using Kernel Based CNN with M-SVM</t>
  </si>
  <si>
    <t>The brain tumor can be created by uncontrollable increase of abnormal cells in tissue of brain and it has two kinds of tumors: one is benign and another one is malignant tumor. The benign brain tumor does not affect the adjacent normal and healthy tissue but the malignant tumor can affect the neighboring tissues of brain that can lead to the death of person. An early detection of brain tumor can be required to protect the survival of patients. Usually, the brain tumor is detected using MRI scanning method. However, the radiologists are not providing the effective tumor segmentation in MRI image due to the irregular shape of tumors and position of tumor in the brain. Accurate brain tumor segmentation is needed to locate the tumor and it is used to give the correct treatment for a patient and it provides the key to the doctor who must execute the surgery for patient. In this paper, a novel deep learning algorithm (kernel based CNN) with M-SVM is presented to segment the tumor automatically and efficiently. This presented work contains several steps that are preprocessing, feature extraction, image classification and tumor segmentation of brain. The MRI image is smoothed and enhanced by Laplacian of Gaussian filtering method (LoG) with Contrast Limited Adaptive Histrogram Equalization (CLAHE) and feature can be extracted from it based on tumor shape position, shape and surface features in brain. Consequently, the image classification is done using M-SVM depending on the selected features. From MRI image, the tumor is segmented with help of kernel based CNN method.. Experimental results of proposed method can show that this presented technique can executes brain tumor segmentation accurately reaching almost 84% in evaluation with existing algorithms.</t>
  </si>
  <si>
    <t>R. Thillaikkarasi and S. Saravanan</t>
  </si>
  <si>
    <t>Computer-assisted intra-operative verification of surgical outcome for the treatment of syndesmotic injuries through contralateral side comparison</t>
  </si>
  <si>
    <t>PURPOSE: Fracture reduction and fixation of syndesmotic injuries is a common procedure in trauma surgery. An intra-operative evaluation of the surgical outcome is challenging due to high inter-individual anatomical variation. A comparison to the contralateral uninjured ankle would be highly beneficial but would also incur additional radiation and time consumption. In this work, we pioneer automatic contralateral side comparison while avoiding an additional 3D scan. METHODS: We reconstruct an accurate 3D surface of the uninjured ankle joint from three low-dose 2D fluoroscopic projections. Through CNN complemented 3D shape model segmentation, we create a reference model of the injured ankle while addressing the issues of metal artifacts and initialization. Following 2D-3D multiple bone reconstruction, a final reference contour can be created and matched to the uninjured ankle for contralateral side comparison without any user interaction. RESULTS: The accuracy and robustness of individual workflow steps were assessed using 81 C-arm datasets, with 2D and 3D images available for injured and uninjured ankles. Furthermore, the entire workflow was tested on eleven clinical cases. These experiments showed an overall average Hausdorff distance of [Formula: see text] mm measured at clinical evaluation level. CONCLUSION: Reference contours of the contralateral side reconstructed from three projection images can assist surgeons in optimizing reduction results, reducing the duration of radiation exposure and potentially improving postoperative outcomes in the long term.</t>
  </si>
  <si>
    <t>Assessment of a Segmentation-Free Deep Learning Algorithm for Diagnosing Glaucoma From Optical Coherence Tomography Scans</t>
  </si>
  <si>
    <t>IMPORTANCE: Conventional segmentation of the retinal nerve fiber layer (RNFL) is prone to errors that may affect the accuracy of spectral-domain optical coherence tomography (SD-OCT) scans in detecting glaucomatous damage. OBJECTIVE: To develop a segmentation-free deep learning (DL) algorithm for assessment of glaucomatous damage using the entire circle B-scan image from SD-OCT. DESIGN, SETTING, AND PARTICIPANTS: This cross-sectional study at a single institution used data from SD-OCT images of eyes with glaucoma (perimetric and preperimetric) and normal eyes. The data set was randomly split at the patient level into a training (50%), validation (20%), and test data set (30%). Data were collected from March 2008 to April 2019, and analysis began April 2018. EXPOSURES: A convolutional neural network was trained to discriminate glaucomatous from normal eyes using the SD-OCT circle B-scan without segmentation lines. MAIN OUTCOMES AND MEASURES: The ability to discriminate glaucoma from healthy eyes was evaluated by comparing the area under the receiver operating characteristic curve and sensitivity at 80% or 95% specificity for the DL algorithm's predicted probability of glaucoma vs conventional RNFL thickness parameters given by SD-OCT software. The performance was also assessed in preperimetric glaucoma, as well as by visual field severity using Hodapp-Parrish-Anderson criteria. RESULTS: A total of 20 806 SD-OCT images from 1154 eyes of 635 individuals (612 [53%] with glaucoma and 542 normal eyes [47%]) were included. The mean (SD) age at SD-OCT scan was 70.8 (10.4) years in individuals with glaucoma and 55.8 (14.1) years in controls. There were 187 women (53.3%) in the glaucoma group and 165 (59.8%) in the control group. Of 612 eyes with glaucoma, 432 (70.4%) had perimetric and 180 (29.6%) had preperimetric glaucoma. The DL algorithm had a significantly higher area under the receiver operating characteristic curve than global RNFL thickness (0.96 vs 0.87; difference = 0.08 [95% CI, 0.04-0.12]) and each RNFL thickness sector for discriminating between glaucoma and controls (all P &lt; .001). At 95% specificity, the DL algorithm (81%; 95% CI, 64%-97%) was more sensitive than global RNFL thickness (67%; 95% CI, 58%-76%). The areas under the receiver operating characteristic curve were also significantly greater for the DL algorithm compared with RNFL thickness at each stage of disease, especially preperimetric and mild perimetric glaucoma. CONCLUSIONS AND RELEVANCE: A segmentation-free DL algorithm performed better than conventional RNFL thickness parameters for diagnosing glaucomatous damage on OCT scans, especially in early disease. Future studies should investigate how such an approach contributes to diagnostic decisions when combined with other relevant clinical information, such as risk factors and perimetry results.</t>
  </si>
  <si>
    <t>A Deep Learning Algorithm to Quantify Neuroretinal Rim Loss From Optic Disc Photographs</t>
  </si>
  <si>
    <t>PURPOSE: To train a deep learning (DL) algorithm that quantifies glaucomatous neuroretinal damage on fundus photographs using the minimum rim width relative to Bruch membrane opening (BMO-MRW) from spectral-domain optical coherence tomography (SDOCT). DESIGN: Cross-sectional study. METHODS: A total of 9282 pairs of optic disc photographs and SDOCT optic nerve head scans from 927 eyes of 490 subjects were randomly divided into the validation plus training (80%) and test sets (20%). A DL convolutional neural network was trained to predict the SDOCT BMO-MRW global and sector values when evaluating optic disc photographs. The predictions of the DL network were compared to the actual SDOCT measurements. The area under the receiver operating curve (AUC) was used to evaluate the ability of the network to discriminate glaucomatous visual field loss from normal eyes. RESULTS: The DL predictions of global BMO-MRW from all optic disc photographs in the test set (mean ± standard deviation [SD]: 228.8 ± 63.1 μm) were highly correlated with the observed values from SDOCT (mean ± SD: 226.0 ± 73.8 μm) (Pearson's r = 0.88; R(2) = 77%; P &lt; .001), with mean absolute error of the predictions of 27.8 μm. The AUCs for discriminating glaucomatous from healthy eyes with the DL predictions and actual SDOCT global BMO-MRW measurements were 0.945 (95% confidence interval [CI]: 0.874-0.980) and 0.933 (95% CI: 0.856-0.975), respectively (P = .587). CONCLUSIONS: A DL network can be trained to quantify the amount of neuroretinal damage on optic disc photographs using SDOCT BMO-MRW as a reference. This algorithm showed high accuracy for glaucoma detection, and may potentially eliminate the need for human gradings of disc photographs.</t>
  </si>
  <si>
    <t>10.1016/j.radonc.2018.05.030</t>
  </si>
  <si>
    <t>Artificial intelligence in radiation oncology: A specialty-wide disruptive transformation?</t>
  </si>
  <si>
    <t>Artificial intelligence (AI) is emerging as a technology with the power to transform established industries, and with applications from automated manufacturing to advertising and facial recognition to fully autonomous transportation. Advances in each of these domains have led some to call AI the fourth industrial revolution [1]. In healthcare, AI is emerging as both a productive and disruptive force across many disciplines. This is perhaps most evident in Diagnostic Radiology and Pathology, specialties largely built around the processing and complex interpretation of medical images, where the role of AI is increasingly seen as both a boon and a threat. In Radiation Oncology as well, AI seems poised to reshape the specialty in significant ways, though the impact of AI has been relatively limited at present, and may rightly seem more distant to many, given the predominantly interpersonal and complex interventional nature of the specialty. In this overview, we will explore the current state and anticipated future impact of AI on Radiation Oncology, in detail, focusing on key topics from multiple stakeholder perspectives, as well as the role our specialty may play in helping to shape the future of AI within the larger spectrum of medicine.</t>
  </si>
  <si>
    <t>Potential value of the PixelShine deep learning algorithm for increasing quality of 70 kVp+ASiR-V reconstruction pelvic arterial phase CT images</t>
  </si>
  <si>
    <t>OBJECTIVE: To investigate the effect of a deep learning-based denoising algorithm, PixelShine (PS), on the quality of 70 kVp pelvic arterial phase CT images. MATERIALS AND METHODS: A retrospective analysis was performed on arterial phase pelvic CT images from 33 patients (body-mass index ≤ 20 kg/m(2)) obtained with a GE Revolution CT (70 kVp tube voltage; adaptive statistical iterative reconstruction-Veo-filtered back projection, 50% blending) and designated group A. Group B images were then obtained by applying PS to group A image datasets. Subjective image quality was evaluated by two radiologists with a 5-point scoring system; the scores of the groups were compared. Image signal was assessed using CT values of the urinary bladder. CT and standard deviation (SD) values of the gluteus maximus were measured, and SD values of the gluteus maximus were used to represent image noise. The signal-to-noise ratio (SNR) and contrast-to-noise ratio (CNR) of the bladder were calculated. Image noise, SNR, and CNR of two groups were compared using paired t-tests. RESULTS: The subjective visual image quality scores of groups A and B, respectively, were 3.11 ± 0.30 vs. 3.82 ± 0.57; image noise was 15.79 ± 2.05 Hounsfield units (HU) vs. 11.06 ± 2.22 HU; SNRs of bladder were 0.50 ± 0.23 vs. 0.79 ± 0.39; and CNRs of bladder were 3.72 ± 0.85 vs. 5.14 ± 1.27. Group B showed better subjective image quality, lower image noise, and improved SNR and CNR, compared to group A; these differences were statistically significant (P &lt; 0.05). The noise of group B was approximately 30% lower than that of group A; the SNR and CNR values of group B were improved by approximately 58% and 38%, respectively. CONCLUSION: Using 70 kVp +ASiR-V, PS can improve the image quality of pelvic arterial phase CT images, significantly reduce the image noise, and improve the SNR and CNR.</t>
  </si>
  <si>
    <t>Pseudo-CT generation from multi-parametric MRI using a novel multi-channel multi-path conditional generative adversarial network for nasopharyngeal carcinoma patients</t>
  </si>
  <si>
    <t>PURPOSE: To develop and evaluate a novel method for pseudo-CT generation from multi-parametric MR images using multi-channel multi-path generative adversarial network (MCMP-GAN). METHODS: Pre- and post-contrast T1-weighted (T1-w), T2-weighted (T2-w) MRI, and treatment planning CT images of 32 nasopharyngeal carcinoma (NPC) patients were employed to train a pixel-to-pixel MCMP-GAN. The network was developed based on a 5-level Residual U-Net (ResU-Net) with the channel-based independent feature extraction network to generate pseudo-CT images from multi-parametric MR images. The discriminator with five convolutional layers was added to distinguish between the real CT and pseudo-CT images, improving the nonlinearity and prediction accuracy of the model. Eightfold cross validation was implemented to validate the proposed MCMP-GAN. The pseudo-CT images were evaluated against the corresponding planning CT images based on mean absolute error (MAE), peak signal-to-noise ratio (PSNR), Dice similarity coefficient (DSC), and Structural similarity index (SSIM). Similar comparisons were also performed against the multi-channel single-path GAN (MCSP-GAN), the single-channel single-path GAN (SCSP-GAN). RESULTS: It took approximately 20 h to train the MCMP-GAN model on a Quadro P6000, and less than 10 s to generate all pseudo-CT images for the subjects in the test set. The average head MAE between pseudo-CT and planning CT was 75.7 ± 14.6 Hounsfield Units (HU) for MCMP-GAN, significantly (P-values &lt; 0.05) lower than that for MCSP-GAN (79.2 ± 13.0 HU) and SCSP-GAN (85.8 ± 14.3 HU). For bone only, the MCMP-GAN yielded a smaller mean MAE (194.6 ± 38.9 HU) than MCSP-GAN (203.7 ± 33.1 HU), SCSP-GAN (227.0 ± 36.7 HU). The average PSNR of MCMP-GAN (29.1 ± 1.6) was found to be higher than that of MCSP-GAN (28.8 ± 1.2) and SCSP-GAN (28.2 ± 1.3). In terms of metrics for image similarity, MCMP-GAN achieved the highest SSIM (0.92 ± 0.02) but did not show significantly improved bone DSC results in comparison with MCSP-GAN. CONCLUSIONS: We developed a novel multi-channel GAN approach for generating pseudo-CT from multi-parametric MR images. Our preliminary results in NPC patients showed that the MCMP-GAN method performed apparently superior to the U-Net-GAN and SCSP-GAN, and slightly better than MCSP-GAN.</t>
  </si>
  <si>
    <t>AI for medical imaging goes deep</t>
  </si>
  <si>
    <t>D. S. W. Ting, Y. Liu, P. Burlina, X. Xu, N. M. Bressler and T. Y. Wong</t>
  </si>
  <si>
    <t>Eyeing cardiovascular risk factors</t>
  </si>
  <si>
    <t>D. S. W. Ting and T. Y. Wong</t>
  </si>
  <si>
    <t>Clinical Applicability of Deep Learning System in Detecting Tuberculosis with Chest Radiography</t>
  </si>
  <si>
    <t>D. S. W. Ting, P. H. Yi and F. Hui</t>
  </si>
  <si>
    <t>Automatic Knee Osteoarthritis Diagnosis from Plain Radiographs: A Deep Learning-Based Approach</t>
  </si>
  <si>
    <t>Knee osteoarthritis (OA) is the most common musculoskeletal disorder. OA diagnosis is currently conducted by assessing symptoms and evaluating plain radiographs, but this process suffers from subjectivity. In this study, we present a new transparent computer-aided diagnosis method based on the Deep Siamese Convolutional Neural Network to automatically score knee OA severity according to the Kellgren-Lawrence grading scale. We trained our method using the data solely from the Multicenter Osteoarthritis Study and validated it on randomly selected 3,000 subjects (5,960 knees) from Osteoarthritis Initiative dataset. Our method yielded a quadratic Kappa coefficient of 0.83 and average multiclass accuracy of 66.71% compared to the annotations given by a committee of clinical experts. Here, we also report a radiological OA diagnosis area under the ROC curve of 0.93. Besides this, we present attention maps highlighting the radiological features affecting the network decision. Such information makes the decision process transparent for the practitioner, which builds better trust toward automatic methods. We believe that our model is useful for clinical decision making and for OA research; therefore, we openly release our training codes and the data set created in this study.</t>
  </si>
  <si>
    <t>A. Tiulpin, J. Thevenot, E. Rahtu, P. Lehenkari and S. Saarakkala</t>
  </si>
  <si>
    <t>Representing Medical Images With Encoded Local Projections</t>
  </si>
  <si>
    <t>This paper introduces the encoded local projections (ELP) as a new dense-sampling image descriptor for search and classification problems. The gradient changes of multiple projections in local windows of gray-level images are encoded to build a histogram that captures spatial projection patterns. Using projections is a conventional technique in both medical imaging and computer vision. Furthermore, powerful dense-sampling methods, such as local binary patterns and the histogram of oriented gradients, are widely used for image classification and recognition. Inspired by many achievements of such existing descriptors, we explore the design of a new class of histogram-based descriptors with particular applications in medical imaging. We experiment with three public datasets (IRMA, Kimia Path24, and CT Emphysema) to comparatively evaluate the performance of ELP histograms. In light of the tremendous success of deep architectures, we also compare the results with deep features generated by pretrained networks. The results are quite encouraging as the ELP descriptor can surpass both conventional and deep descriptors in performance in several experimental settings.</t>
  </si>
  <si>
    <t>H. R. Tizhoosh and M. Babaie</t>
  </si>
  <si>
    <t>CycleGAN for style transfer in X-ray angiography</t>
  </si>
  <si>
    <t>PURPOSE: We aim to perform generation of angiograms for various vascular structures as a mean of data augmentation in learning tasks. The task is to enhance the realism of vessels images generated from an anatomically realistic cardiorespiratory simulator to make them look like real angiographies. METHODS: The enhancement is performed by applying the CycleGAN deep network for transferring the style of real angiograms acquired during percutaneous interventions into a data set composed of realistically simulated arteries. RESULTS: The cycle consistency was evaluated by comparing an input simulated image with the one obtained after two cycles of image translation. An average structural similarity (SSIM) of 0.948 on our data sets has been obtained. The vessel preservation was measured by comparing segmentations of an input image and its corresponding enhanced image using Dice coefficient. CONCLUSIONS: We proposed an application of the CycleGAN deep network for enhancing the artificial data as an alternative to classical data augmentation techniques for medical applications, particularly focused on angiogram generation. We discussed success and failure cases, explaining conditions for the realistic data augmentation which respects both the complex physiology of arteries and the various patterns and textures generated by X-ray angiography.</t>
  </si>
  <si>
    <t>Deep regression neural networks for collateral imaging from dynamic susceptibility contrast-enhanced magnetic resonance perfusion in acute ischemic stroke</t>
  </si>
  <si>
    <t>PURPOSE: Acute ischemic stroke is one of the primary causes of death worldwide. Recent studies have shown that the assessment of collateral status could aid in improving the treatment for patients with acute ischemic stroke. We present a 3D deep regression neural network to automatically generate the collateral images from dynamic susceptibility contrast-enhanced magnetic resonance perfusion (DSC-MRP) in acute ischemic stroke. METHODS: This retrospective study includes 144 subjects with acute ischemic stroke (stroke cases) and 201 subjects without acute ischemic stroke (controls). DSC-MRP images of these subjects were manually inspected for collateral assessment in arterial, capillary, early and late venous, and delay phases. The proposed network was trained on 205 subjects, and the optimal model was chosen using the validation set of 64 subjects. The predictive power of the network was assessed on the test set of 76 subjects using the squared correlation coefficient (R-squared), mean absolute error (MAE), Tanimoto measure (TM), and structural similarity index (SSIM). RESULTS: The proposed network was able to predict the five phase maps with high accuracy. On average, 0.897 R-squared, 0.581 × 10(-1) MAE, 0.946 TM, and 0.846 SSIM were achieved for the five phase maps. No statistically significant difference was, in general, found between controls and stroke cases. The performance of the proposed network was lower in the arterial and venous phases than the other three phases. CONCLUSION: The results suggested that the proposed network performs equally well for both control and acute ischemic stroke groups. The proposed network could help automate the assessment of collateral status in an efficient and effective manner and improve the quality and yield of diagnosis of acute ischemic stroke. The follow-up study will entail the clinical evaluation of the collateral images that are generated by the proposed network.</t>
  </si>
  <si>
    <t>Deep dense multi-path neural network for prostate segmentation in magnetic resonance imaging</t>
  </si>
  <si>
    <t>PURPOSE: We propose an approach of 3D convolutional neural network to segment the prostate in MR images. METHODS: A 3D deep dense multi-path convolutional neural network that follows the framework of the encoder-decoder design is proposed. The encoder is built based upon densely connected layers that learn the high-level feature representation of the prostate. The decoder interprets the features and predicts the whole prostate volume by utilizing a residual layout and grouped convolution. A set of sub-volumes of MR images, centered at the prostate, is generated and fed into the proposed network for training purpose. The performance of the proposed network is compared to previously reported approaches. RESULTS: Two independent datasets were employed to assess the proposed network. In quantitative evaluations, the proposed network achieved 95.11 and 89.01 Dice coefficients for the two datasets. The segmentation results were robust to variations in MR images. In comparison experiments, the segmentation performance of the proposed network was comparable to the previously reported approaches. In qualitative evaluations, the segmentation results by the proposed network were well matched to the ground truth provided by human experts. CONCLUSIONS: The proposed network is capable of segmenting the prostate in an accurate and robust manner. This approach can be applied to other types of medical images.</t>
  </si>
  <si>
    <t>M. N. N. To, D. Q. Vu, B. Turkbey, P. L. Choyke and J. T. Kwak</t>
  </si>
  <si>
    <t>Prediction of Pulmonary to Systemic Flow Ratio in Patients With Congenital Heart Disease Using Deep Learning-Based Analysis of Chest Radiographs</t>
  </si>
  <si>
    <t>IMPORTANCE: Chest radiography is a useful noninvasive modality to evaluate pulmonary blood flow status in patients with congenital heart disease. However, the predictive value of chest radiography is limited by the subjective and qualitive nature of the interpretation. Recently, deep learning has been used to analyze various images, but it has not been applied to analyzing chest radiographs in such patients. OBJECTIVE: To develop and validate a quantitative method to predict the pulmonary to systemic flow ratio from chest radiographs using deep learning. DESIGN, SETTING, AND PARTICIPANTS: This retrospective observational study included 1031 cardiac catheterizations performed for 657 patients from January 1, 2005, to April 30, 2019, at a tertiary center. Catheterizations without the Fick-derived pulmonary to systemic flow ratio or chest radiography performed within 1 month before catheterization were excluded. Seventy-eight patients (100 catheterizations) were randomly assigned for evaluation. A deep learning model that predicts the pulmonary to systemic flow ratio from chest radiographs was developed using the method of transfer learning. MAIN OUTCOMES AND MEASURES: Whether the model can predict the pulmonary to systemic flow ratio from chest radiographs was evaluated using the intraclass correlation coefficient and Bland-Altman analysis. The diagnostic concordance rate was compared with 3 certified pediatric cardiologists. The diagnostic performance for a high pulmonary to systemic flow ratio of 2.0 or more was evaluated using cross tabulation and a receiver operating characteristic curve. RESULTS: The study included 1031 catheterizations in 657 patients (522 males [51%]; median age, 3.4 years [interquartile range, 1.2-8.6 years]), in whom the mean (SD) Fick-derived pulmonary to systemic flow ratio was 1.43 (0.95). Diagnosis included congenital heart disease in 1008 catheterizations (98%). The intraclass correlation coefficient for the Fick-derived and deep learning-derived pulmonary to systemic flow ratio was 0.68, the log-transformed bias was 0.02, and the log-transformed precision was 0.12. The diagnostic concordance rate of the deep learning model was significantly higher than that of the experts (correctly classified 64 of 100 vs 49 of 100 chest radiographs; P = .02 [McNemar test]). For detecting a high pulmonary to systemic flow ratio, the sensitivity of the deep learning model was 0.47, the specificity was 0.95, and the area under the receiver operating curve was 0.88. CONCLUSIONS AND RELEVANCE: The present investigation demonstrated that deep learning-based analysis of chest radiographs predicted the pulmonary to systemic flow ratio in patients with congenital heart disease. These findings suggest that the deep learning-based approach may confer an objective and quantitative evaluation of chest radiographs in the congenital heart disease clinic.</t>
  </si>
  <si>
    <t>JAMA Cardiol</t>
  </si>
  <si>
    <t>Deep Learning Intervention for Health Care Challenges: Some Biomedical Domain Considerations</t>
  </si>
  <si>
    <t>The use of deep learning (DL) for the analysis and diagnosis of biomedical and health care problems has received unprecedented attention in the last decade. The technique has recorded a number of achievements for unearthing meaningful features and accomplishing tasks that were hitherto difficult to solve by other methods and human experts. Currently, biological and medical devices, treatment, and applications are capable of generating large volumes of data in the form of images, sounds, text, graphs, and signals creating the concept of big data. The innovation of DL is a developing trend in the wake of big data for data representation and analysis. DL is a type of machine learning algorithm that has deeper (or more) hidden layers of similar function cascaded into the network and has the capability to make meaning from medical big data. Current transformation drivers to achieve personalized health care delivery will be possible with the use of mobile health (mHealth). DL can provide the analysis for the deluge of data generated from mHealth apps. This paper reviews the fundamentals of DL methods and presents a general view of the trends in DL by capturing literature from PubMed and the Institute of Electrical and Electronics Engineers database publications that implement different variants of DL. We highlight the implementation of DL in health care, which we categorize into biological system, electronic health record, medical image, and physiological signals. In addition, we discuss some inherent challenges of DL affecting biomedical and health domain, as well as prospective research directions that focus on improving health management by promoting the application of physiological signals and modern internet technology.</t>
  </si>
  <si>
    <t>JMIR Mhealth Uhealth</t>
  </si>
  <si>
    <t>Machine learning analysis of whole mouse brain vasculature</t>
  </si>
  <si>
    <t>Tissue clearing methods enable the imaging of biological specimens without sectioning. However, reliable and scalable analysis of large imaging datasets in three dimensions remains a challenge. Here we developed a deep learning-based framework to quantify and analyze brain vasculature, named Vessel Segmentation &amp; Analysis Pipeline (VesSAP). Our pipeline uses a convolutional neural network (CNN) with a transfer learning approach for segmentation and achieves human-level accuracy. By using VesSAP, we analyzed the vascular features of whole C57BL/6J, CD1 and BALB/c mouse brains at the micrometer scale after registering them to the Allen mouse brain atlas. We report evidence of secondary intracranial collateral vascularization in CD1 mice and find reduced vascularization of the brainstem in comparison to the cerebrum. Thus, VesSAP enables unbiased and scalable quantifications of the angioarchitecture of cleared mouse brains and yields biological insights into the vascular function of the brain.</t>
  </si>
  <si>
    <t>BrainMRNet: Brain tumor detection using magnetic resonance images with a novel convolutional neural network model</t>
  </si>
  <si>
    <t>A brain tumor is a mass that grows unevenly in the brain and directly affects human life. This mass occurs spontaneously because of the tissues surrounding the brain or the skull. Surgical methods are generally preferred for the treatment of the brain tumor. Recently, models of deep learning in the diagnosis and treatment of diseases in the biomedical field have gained intense interest. In this study, we propose a new convolutional neural network model named BrainMRNet. This architecture is built on attention modules and hypercolumn technique; it has a residual network. Firstly, image is preprocessed in BrainMRNet. Then, this step is transferred to attention modules using image augmentation techniques for each image. Attention modules select important areas of the image and the image is transferred to convolutional layers. One of the most important techniques that the BrainMRNet model uses in the convolutional layers is hypercolumn. With the help of this technique, the features extracted from each layer of the BrainMRNet model are retained by the array structure in the last layer. The aim is to select the best and the most efficient features among the features maintained in the array. Accessible magnetic resonance images were used to detect brain tumor with the BrainMRNet model. BrainMRNet model is more successful than the pre-trained convolutional neural network models (AlexNet, GoogleNet, VGG-16) used in this study. The classification success achieved with the BrainMRNet model was 96.05%.</t>
  </si>
  <si>
    <t>COVID-19 detection using deep learning models to exploit Social Mimic Optimization and structured chest X-ray images using fuzzy color and stacking approaches</t>
  </si>
  <si>
    <t>Coronavirus causes a wide variety of respiratory infections and it is an RNA-type virus that can infect both humans and animal species. It often causes pneumonia in humans. Artificial intelligence models have been helpful for successful analyses in the biomedical field. In this study, Coronavirus was detected using a deep learning model, which is a sub-branch of artificial intelligence. Our dataset consists of three classes namely: coronavirus, pneumonia, and normal X-ray imagery. In this study, the data classes were restructured using the Fuzzy Color technique as a preprocessing step and the images that were structured with the original images were stacked. In the next step, the stacked dataset was trained with deep learning models (MobileNetV2, SqueezeNet) and the feature sets obtained by the models were processed using the Social Mimic optimization method. Thereafter, efficient features were combined and classified using Support Vector Machines (SVM). The overall classification rate obtained with the proposed approach was 99.27%. With the proposed approach in this study, it is evident that the model can efficiently contribute to the detection of COVID-19 disease.</t>
  </si>
  <si>
    <t>Cardiac sarcoidosis classification with deep convolutional neural network-based features using polar maps</t>
  </si>
  <si>
    <t>AIMS: The aim of this study was to determine whether deep convolutional neural network (DCNN)-based features can represent the difference between cardiac sarcoidosis (CS) and non-CS using polar maps. METHODS: A total of 85 patients (33 CS patients and 52 non-CS patients) were analyzed as our study subjects. One radiologist reviewed PET/CT images and defined the left ventricle region for the construction of polar maps. We extracted high-level features from the polar maps through the Inception-v3 network and evaluated their effectiveness by applying them to a CS classification task. Then we introduced the ReliefF algorithm in our method. The standardized uptake value (SUV)-based classification method and the coefficient of variance (CoV)-based classification method were used as comparative methods. RESULTS: Sensitivity, specificity and the harmonic mean of sensitivity and specificity of our method with the ReliefF algorithm were 0.839, 0.870 and 0.854, respectively. Those of the SUVmax-based classification method were 0.468, 0.710 and 0.564, respectively, and those of the CoV-based classification method were 0.655, 0.750 and 0.699, respectively. CONCLUSION: The DCNN-based high-level features may be more effective than low-level features used in conventional quantitative analysis methods for CS classification.</t>
  </si>
  <si>
    <t>Deep convolutional neural network-based anomaly detection for organ classification in gastric X-ray examination</t>
  </si>
  <si>
    <t>AIM: The aim of this study was to determine whether our deep convolutional neural network-based anomaly detection model can distinguish differences in esophagus images and stomach images obtained from gastric X-ray examinations. METHODS: A total of 6012 subjects were analyzed as our study subjects. Since the number of esophagus X-ray images is much smaller than the number of gastric X-ray images taken in X-ray examinations, we took an anomaly detection approach to realize the task of organ classification. We constructed a deep autoencoding gaussian mixture model (DAGMM) with a convolutional autoencoder architecture. The trained model can produce an anomaly score for a given test X-ray image. For comparison, the original DAGMM, AnoGAN, and a One-Class Support Vector Machine (OCSVM) that were trained with features obtained by a pre-trained Inception-v3 network were used. RESULTS: Sensitivity, specificity, and the calculated harmonic mean of the proposed method were 0.956, 0.980, and 0.968, respectively. Those of the original DAGMM were 0.932, 0.883, and 0.907, respectively. Those of AnoGAN were 0.835, 0.833, and 0.834, respectively, and those of OCSVM were 0.932, 0.935, and 0.934, respectively. Experimental results showed the effectiveness of the proposed method for an organ classification task. CONCLUSION: Our deep convolutional neural network-based anomaly detection model has shown the potential for clinical use in organ classification.</t>
  </si>
  <si>
    <t>Detection of gastritis by a deep convolutional neural network from double-contrast upper gastrointestinal barium X-ray radiography</t>
  </si>
  <si>
    <t>BACKGROUND: Deep learning has become a new trend of image recognition tasks in the field of medicine. We developed an automated gastritis detection system using double-contrast upper gastrointestinal barium X-ray radiography. METHODS: A total of 6520 gastric X-ray images obtained from 815 subjects were analyzed. We designed a deep convolutional neural network (DCNN)-based gastritis detection scheme and evaluated the effectiveness of our method. The detection performance of our method was compared with that of ABC (D) stratification. RESULTS: Sensitivity, specificity, and harmonic mean of sensitivity and specificity of our method were 0.962, 0.983, and 0.972, respectively, and those of ABC (D) stratification were 0.925, 0.998, and 0.960, respectively. Although there were 18 false negative cases in ABC (D) stratification, 14 of those 18 cases were correctly classified into the positive group by our method. CONCLUSIONS: Deep learning techniques may be effective for evaluation of gastritis/non-gastritis. Collaborative use of DCNN-based gastritis detection systems and ABC (D) stratification will provide more reliable gastric cancer risk information.</t>
  </si>
  <si>
    <t>J Gastroenterol</t>
  </si>
  <si>
    <t>Deep Learning Predicts Total Knee Replacement from Magnetic Resonance Images</t>
  </si>
  <si>
    <t>Knee Osteoarthritis (OA) is a common musculoskeletal disorder in the United States. When diagnosed at early stages, lifestyle interventions such as exercise and weight loss can slow OA progression, but at later stages, only an invasive option is available: total knee replacement (TKR). Though a generally successful procedure, only 2/3 of patients who undergo the procedure report their knees feeling normal post-operation, and complications can arise that require revision. This necessitates a model to identify a population at higher risk of TKR, particularly at less advanced stages of OA, such that appropriate treatments can be implemented that slow OA progression and delay TKR. Here, we present a deep learning pipeline that leverages MRI images and clinical and demographic information to predict TKR with AUC 0.834 ± 0.036 (p &lt; 0.05). Most notably, the pipeline predicts TKR with AUC 0.943 ± 0.057 (p &lt; 0.05) for patients without OA. Furthermore, we develop occlusion maps for case-control pairs in test data and compare regions used by the model in both, thereby identifying TKR imaging biomarkers. As such, this work takes strides towards a pipeline with clinical utility, and the biomarkers identified further our understanding of OA progression and eventual TKR onset.</t>
  </si>
  <si>
    <t>Attention-Based Deep Neural Networks for Detection of Cancerous and Precancerous Esophagus Tissue on Histopathological Slides</t>
  </si>
  <si>
    <t>IMPORTANCE: Deep learning-based methods, such as the sliding window approach for cropped-image classification and heuristic aggregation for whole-slide inference, for analyzing histological patterns in high-resolution microscopy images have shown promising results. These approaches, however, require a laborious annotation process and are fragmented. OBJECTIVE: To evaluate a novel deep learning method that uses tissue-level annotations for high-resolution histological image analysis for Barrett esophagus (BE) and esophageal adenocarcinoma detection. DESIGN, SETTING, AND PARTICIPANTS: This diagnostic study collected deidentified high-resolution histological images (N = 379) for training a new model composed of a convolutional neural network and a grid-based attention network. Histological images of patients who underwent endoscopic esophagus and gastroesophageal junction mucosal biopsy between January 1, 2016, and December 31, 2018, at Dartmouth-Hitchcock Medical Center (Lebanon, New Hampshire) were collected. MAIN OUTCOMES AND MEASURES: The model was evaluated on an independent testing set of 123 histological images with 4 classes: normal, BE-no-dysplasia, BE-with-dysplasia, and adenocarcinoma. Performance of this model was measured and compared with that of the current state-of-the-art sliding window approach using the following standard machine learning metrics: accuracy, recall, precision, and F1 score. RESULTS: Of the independent testing set of 123 histological images, 30 (24.4%) were in the BE-no-dysplasia class, 14 (11.4%) in the BE-with-dysplasia class, 21 (17.1%) in the adenocarcinoma class, and 58 (47.2%) in the normal class. Classification accuracies of the proposed model were 0.85 (95% CI, 0.81-0.90) for the BE-no-dysplasia class, 0.89 (95% CI, 0.84-0.92) for the BE-with-dysplasia class, and 0.88 (95% CI, 0.84-0.92) for the adenocarcinoma class. The proposed model achieved a mean accuracy of 0.83 (95% CI, 0.80-0.86) and marginally outperformed the sliding window approach on the same testing set. The F1 scores of the attention-based model were at least 8% higher for each class compared with the sliding window approach: 0.68 (95% CI, 0.61-0.75) vs 0.61 (95% CI, 0.53-0.68) for the normal class, 0.72 (95% CI, 0.63-0.80) vs 0.58 (95% CI, 0.45-0.69) for the BE-no-dysplasia class, 0.30 (95% CI, 0.11-0.48) vs 0.22 (95% CI, 0.11-0.33) for the BE-with-dysplasia class, and 0.67 (95% CI, 0.54-0.77) vs 0.58 (95% CI, 0.44-0.70) for the adenocarcinoma class. However, this outperformance was not statistically significant. CONCLUSIONS AND RELEVANCE: Results of this study suggest that the proposed attention-based deep neural network framework for BE and esophageal adenocarcinoma detection is important because it is based solely on tissue-level annotations, unlike existing methods that are based on regions of interest. This new model is expected to open avenues for applying deep learning to digital pathology.</t>
  </si>
  <si>
    <t>A Deep Automated Skeletal Bone Age Assessment Model with Heterogeneous Features Learning</t>
  </si>
  <si>
    <t>Skeletal bone age assessment is a widely used standard procedure in both disease detection and growth prediction for children in endocrinology. Conventional manual assessment methods mainly rely on personal experience in observing X-ray images of left hand and wrist to calculate bone age, which show some intrinsic limitations from low efficiency to unstable accuracy. To address these problems, some automated methods based on image processing or machine learning have been proposed, while their performances are not satisfying enough yet in assessment accuracy. Motivated by the remarkable success of deep learning (DL) techniques in the fields of image classification and speech recognition, we develop a deep automated skeletal bone age assessment model based on convolutional neural networks (CNNs) and support vector regression (SVR) using multiple kernel learning (MKL) algorithm to process heterogeneous features in this paper. This deep framework has been constructed, not only exploring the X-ray images of hand and twist but also some other heterogeneous information like race and gender. The experiment results prove its better performance with higher bone age assessment accuracy on two different data sets compared with the state of the art, indicating that the fused heterogeneous features provide a better description of the degree of bones' maturation.</t>
  </si>
  <si>
    <t>C. Tong, B. Liang, J. Li and Z. Zheng</t>
  </si>
  <si>
    <t>X-ray2Shape: Reconstruction of 3D Liver Shape from a Single 2D Projection Image</t>
  </si>
  <si>
    <t>Computed tomography (CT) and magnetic resonance imaging (MRI) scanners measure three-dimensional (3D) images of patients. However, only low-dimensional local two-dimensional (2D) images may be obtained during surgery or radiotherapy. Although computer vision techniques have shown that 3D shapes can be estimated from multiple 2D images, shape reconstruction from a single 2D image such as an endoscopic image or an X-ray image remains a challenge. In this study, we propose X-ray2Shape, which permits a deep learning-based 3D organ mesh to be reconstructed from a single 2D projection image. The method learns the mesh deformation from a mean template and deep features computed from the individual projection images. Experiments with organ meshes and digitally reconstructed radiograph (DRR) images of abdominal regions were performed to confirm the estimation performance of the methods.</t>
  </si>
  <si>
    <t>Fully automatic multi-organ segmentation for head and neck cancer radiotherapy using shape representation model constrained fully convolutional neural networks</t>
  </si>
  <si>
    <t>PURPOSE: Intensity modulated radiation therapy (IMRT) is commonly employed for treating head and neck (H&amp;N) cancer with uniform tumor dose and conformal critical organ sparing. Accurate delineation of organs-at-risk (OARs) on H&amp;N CT images is thus essential to treatment quality. Manual contouring used in current clinical practice is tedious, time-consuming, and can produce inconsistent results. Existing automated segmentation methods are challenged by the substantial inter-patient anatomical variation and low CT soft tissue contrast. To overcome the challenges, we developed a novel automated H&amp;N OARs segmentation method that combines a fully convolutional neural network (FCNN) with a shape representation model (SRM). METHODS: Based on manually segmented H&amp;N CT, the SRM and FCNN were trained in two steps: (a) SRM learned the latent shape representation of H&amp;N OARs from the training dataset; (b) the pre-trained SRM with fixed parameters were used to constrain the FCNN training. The combined segmentation network was then used to delineate nine OARs including the brainstem, optic chiasm, mandible, optical nerves, parotids, and submandibular glands on unseen H&amp;N CT images. Twenty-two and 10 H&amp;N CT scans provided by the Public Domain Database for Computational Anatomy (PDDCA) were utilized for training and validation, respectively. Dice similarity coefficient (DSC), positive predictive value (PPV), sensitivity (SEN), average surface distance (ASD), and 95% maximum surface distance (95%SD) were calculated to quantitatively evaluate the segmentation accuracy of the proposed method. The proposed method was compared with an active appearance model that won the 2015 MICCAI H&amp;N Segmentation Grand Challenge based on the same dataset, an atlas method and a deep learning method based on different patient datasets. RESULTS: An average DSC = 0.870 (brainstem), DSC = 0.583 (optic chiasm), DSC = 0.937 (mandible), DSC = 0.653 (left optic nerve), DSC = 0.689 (right optic nerve), DSC = 0.835 (left parotid), DSC = 0.832 (right parotid), DSC = 0.755 (left submandibular), and DSC = 0.813 (right submandibular) were achieved. The segmentation results are consistently superior to the results of atlas and statistical shape based methods as well as a patch-wise convolutional neural network method. Once the networks are trained off-line, the average time to segment all 9 OARs for an unseen CT scan is 9.5 s. CONCLUSION: Experiments on clinical datasets of H&amp;N patients demonstrated the effectiveness of the proposed deep neural network segmentation method for multi-organ segmentation on volumetric CT scans. The accuracy and robustness of the segmentation were further increased by incorporating shape priors using SMR. The proposed method showed competitive performance and took shorter time to segment multiple organs in comparison to state of the art methods.</t>
  </si>
  <si>
    <t>N. Tong, S. Gou, S. Yang, D. Ruan and K. Sheng</t>
  </si>
  <si>
    <t>A deep learning-based method for improving reliability of multicenter diffusion kurtosis imaging with varied acquisition protocols</t>
  </si>
  <si>
    <t>Multicenter magnetic resonance imaging is gaining more popularity in large-sample projects. Since both varying hardware and software across different centers cause unavoidable data heterogeneity across centers, its impact on reliability in study outcomes has also drawn much attention recently. One fundamental issue arises in how to derive model parameters reliably from image data of varying quality. This issue is even more challenging for advanced diffusion methods such as diffusion kurtosis imaging (DKI). Recently, deep learning-based methods have been demonstrated with their potential for robust and efficient computation of diffusion-derived measures. Inspired by these approaches, the current study specifically designed a framework based on a three-dimensional hierarchical convolutional neural network, to jointly reconstruct and harmonize DKI measures from multicenter acquisition to reformulate these to a state-of-the-art hardware using data from traveling subjects. The results from the harmonized data acquired with different protocols show that: 1) the inter-scanner variation of DKI measures within white matter was reduced by 51.5% in mean kurtosis, 65.9% in axial kurtosis, 53.7% in radial kurtosis, and 61.5% in kurtosis fractional anisotropy, respectively; 2) data reliability of each single scanner was enhanced and brought to the level of the reference scanner; and 3) the harmonization network was able to reconstruct reliable DKI values from high data variability. Overall the results demonstrate the feasibility of the proposed deep learning-based method for DKI harmonization and help to simplify the protocol setup procedure for multicenter scanners with different hardware and software configurations.</t>
  </si>
  <si>
    <t>Domain Transform Network for Photoacoustic Tomography from Limited-view and Sparsely Sampled Data</t>
  </si>
  <si>
    <t>Medical image reconstruction methods based on deep learning have recently demonstrated powerful performance in photoacoustic tomography (PAT) from limited-view and sparse data. However, because most of these methods must utilize conventional linear reconstruction methods to implement signal-to-image transformations, their performance is restricted. In this paper, we propose a novel deep learning reconstruction approach that integrates appropriate data pre-processing and training strategies. The Feature Projection Network (FPnet) presented herein is designed to learn this signal-to-image transformation through data-driven learning rather than through direct use of linear reconstruction. To further improve reconstruction results, our method integrates an image post-processing network (U-net). Experiments show that the proposed method can achieve high reconstruction quality from limited-view data with sparse measurements. When employing GPU acceleration, this method can achieve a reconstruction speed of 15 frames per second.</t>
  </si>
  <si>
    <t>10.1186/s40662-020-00183-6</t>
  </si>
  <si>
    <t>Application of machine learning in ophthalmic imaging modalities</t>
  </si>
  <si>
    <t>In clinical ophthalmology, a variety of image-related diagnostic techniques have begun to offer unprecedented insights into eye diseases based on morphological datasets with millions of data points. Artificial intelligence (AI), inspired by the human multilayered neuronal system, has shown astonishing success within some visual and auditory recognition tasks. In these tasks, AI can analyze digital data in a comprehensive, rapid and non-invasive manner. Bioinformatics has become a focus particularly in the field of medical imaging, where it is driven by enhanced computing power and cloud storage, as well as utilization of novel algorithms and generation of data in massive quantities. Machine learning (ML) is an important branch in the field of AI. The overall potential of ML to automatically pinpoint, identify and grade pathological features in ocular diseases will empower ophthalmologists to provide high-quality diagnosis and facilitate personalized health care in the near future. This review offers perspectives on the origin, development, and applications of ML technology, particularly regarding its applications in ophthalmic imaging modalities.</t>
  </si>
  <si>
    <t>Eye Vis (Lond)</t>
  </si>
  <si>
    <t>Deep learning analysis for the detection of pancreatic cancer on endosonographic images: a pilot study</t>
  </si>
  <si>
    <t>BACKGROUND/PURPOSE: The application of artificial intelligence to clinical diagnostics using deep learning has been developed in recent years. In this study, we developed an original computer-assisted diagnosis (CAD) system using deep learning analysis of EUS images (EUS-CAD), and assessed its ability to detect pancreatic ductal carcinoma (PDAC), using control images from patients with chronic pancreatitis (CP) and those with a normal pancreas (NP). METHODS: A total of 920 endosonographic images were used for the training and 10-fold cross-validation, and another 470 images were independently tested. The detection abilities in both the validation and test setting were assessed, and independent factors associated with misdetection were identified among participants' characteristics and endosonographic image features. RESULTS: Regarding the detection ability of EUS-CAD, the areas under the receiver operating characteristic curve were found to be 0.924 and 0.940 in the validation and test setting, respectively. In the analysis of misdetection, no factors were identified on univariate analysis in PDAC cases. On multivariate analysis of non-PDAC cases, only mass formation was associated with overdiagnosis of tumors. CONCLUSIONS: Our pilot study demonstrated the efficacy of EUS-CAD for the detection of PDAC.</t>
  </si>
  <si>
    <t>J Hepatobiliary Pancreat Sci</t>
  </si>
  <si>
    <t>10.3390/diagnostics11010018</t>
  </si>
  <si>
    <t>The Role of Artificial Intelligence in Endoscopic Ultrasound for Pancreatic Disorders</t>
  </si>
  <si>
    <t>The use of artificial intelligence (AI) in various medical imaging applications has expanded remarkably, and several reports have focused on endoscopic ultrasound (EUS) images of the pancreas. This review briefly summarizes each report in order to help endoscopists better understand and utilize the potential of this rapidly developing AI, after a description of the fundamentals of the AI involved, as is necessary for understanding each study. At first, conventional computer-aided diagnosis (CAD) was used, which extracts and selects features from imaging data using various methods and introduces them into machine learning algorithms as inputs. Deep learning-based CAD utilizing convolutional neural networks has been used; in these approaches, the images themselves are used as inputs, and more information can be analyzed in less time and with higher accuracy. In the field of EUS imaging, although AI is still in its infancy, further research and development of AI applications is expected to contribute to the role of optical biopsy as an alternative to EUS-guided tissue sampling while also improving diagnostic accuracy through double reading with humans and contributing to EUS education.</t>
  </si>
  <si>
    <t>Deep Geodesic Learning for Segmentation and Anatomical Landmarking</t>
  </si>
  <si>
    <t>In this paper, we propose a novel deep learning framework for anatomy segmentation and automatic landmarking. Specifically, we focus on the challenging problem of mandible segmentation from cone-beam computed tomography (CBCT) scans and identification of 9 anatomical landmarks of the mandible on the geodesic space. The overall approach employs three inter-related steps. In the first step, we propose a deep neural network architecture with carefully designed regularization, and network hyper-parameters to perform image segmentation without the need for data augmentation and complex post-processing refinement. In the second step, we formulate the landmark localization problem directly on the geodesic space for sparsely-spaced anatomical landmarks. In the third step, we utilize a long short-term memory network to identify the closely-spaced landmarks, which is rather difficult to obtain using other standard networks. The proposed fully automated method showed superior efficacy compared to the state-of-the-art mandible segmentation and landmarking approaches in craniofacial anomalies and diseased states. We used a very challenging CBCT data set of 50 patients with a high-degree of craniomaxillofacial variability that is realistic in clinical practice. The qualitative visual inspection was conducted for distinct CBCT scans from 250 patients with high anatomical variability. We have also shown the state-of-the-art performance in an independent data set from the MICCAI Head-Neck Challenge (2015).</t>
  </si>
  <si>
    <t>Dixon-VIBE Deep Learning (DIVIDE) Pseudo-CT Synthesis for Pelvis PET/MR Attenuation Correction</t>
  </si>
  <si>
    <t>Whole-body attenuation correction (AC) is still challenging in combined PET/MR scanners. We describe Dixon-VIBE Deep Learning (DIVIDE), a deep-learning network that allows synthesizing pelvis pseudo-CT maps based only on the standard Dixon volumetric interpolated breath-hold examination (Dixon-VIBE) images currently acquired for AC in some commercial scanners. Methods: We propose a network that maps between the four 2-dimensional (2D) Dixon MR images (water, fat, in-phase, and out-of-phase) and their corresponding 2D CT image. In contrast to previous methods, we used transposed convolutions to learn the up-sampling parameters, we used whole 2D slices to provide context information, and we pretrained the network with brain images. Twenty-eight datasets obtained from 19 patients who underwent PET/CT and PET/MR examinations were used to evaluate the proposed method. We assessed the accuracy of the μ-maps and reconstructed PET images by performing voxel- and region-based analysis comparing the SUVs (in g/mL) obtained after AC using the Dixon-VIBE (PET(Dixon)), DIVIDE (PET(DIVIDE)), and CT-based (PET(CT)) methods. Additionally, the bias in quantification was estimated in synthetic lesions defined in the prostate, rectum, pelvis, and spine. Results: Absolute mean relative change values relative to CT AC were lower than 2% on average for the DIVIDE method in every region of interest except for bone tissue, where it was lower than 4% and 6.75 times smaller than the relative change of the Dixon method. There was an excellent voxel-by-voxel correlation between PET(CT) and PET(DIVIDE) (R (2) = 0.9998, P &lt; 0.01). The Bland-Altman plot between PET(CT) and PET(DIVIDE) showed that the average of the differences and the variability were lower (mean PET(CT)-PET(DIVIDE) SUV, 0.0003; PET(CT)-PET(DIVIDE) SD, 0.0094; 95% confidence interval, [-0.0180,0.0188]) than the average of differences between PET(CT) and PET(Dixon) (mean PET(CT)-PET(Dixon) SUV, 0.0006; PET(CT)-PET(Dixon) SD, 0.0264; 95% confidence interval, [-0.0510,0.0524]). Statistically significant changes in PET data quantification were observed between the 2 methods in the synthetic lesions, with the largest improvement in femur and spine lesions. Conclusion: The DIVIDE method can accurately synthesize a pelvis pseudo-CT scan from standard Dixon-VIBE images, allowing for accurate AC in combined PET/MR scanners. Additionally, our implementation allows rapid pseudo-CT synthesis, making it suitable for routine applications and even allowing retrospective processing of Dixon-VIBE data.</t>
  </si>
  <si>
    <t>A. Torrado-Carvajal, J. Vera-Olmos, D. Izquierdo-Garcia, O. A. Catalano, M. A. Morales, J. Margolin, A. Soricelli, M. Salvatore, N. Malpica and C. Catana</t>
  </si>
  <si>
    <t>TTTS-GPS: Patient-specific preoperative planning and simulation platform for twin-to-twin transfusion syndrome fetal surgery</t>
  </si>
  <si>
    <t>Twin-to-twin transfusion syndrome (TTTS) is a serious condition that may occur in pregnancies when two or more fetuses share the same placenta. It is characterized by abnormal vascular connections in the placenta that cause blood to flow unevenly between the babies. If left untreated, perinatal mortality occurs in 90% of cases, whilst neurological injuries are still present in TTTS survivors. Minimally invasive fetoscopic laser surgery is the standard and optimal treatment for this condition, but is technically challenging and can lead to complications. Acquiring and maintaining the required surgical skills need consistent practice, and a steep learning curve. An accurate preoperative planning is thus vital for complex TTTS cases. To this end, we propose the first TTTS fetal surgery planning and simulation platform. The soft tissue of the mother, the uterus, the umbilical cords, the placenta and its vascular tree are segmented and registered automatically from magnetic resonance imaging and 3D ultrasound using computer vision and deep learning techniques. The proposed state-of-the-art technology is integrated into a flexible C++ and MITK-based application to provide a full exploration of the intrauterine environment by simulating the fetoscope camera as well as the laser ablation, determining the correct entry point, training doctors' movements and trajectory ahead of operation, which allows improving upon current practice. A comprehensive usability study is reported. Experienced surgeons rated highly our TTTS planner and simulator, thus being a potential tool to be implemented in real and complex TTTS surgeries.</t>
  </si>
  <si>
    <t>3D/2D model-to-image registration by imitation learning for cardiac procedures</t>
  </si>
  <si>
    <t>PURPOSE: In cardiac interventions, such as cardiac resynchronization therapy (CRT), image guidance can be enhanced by involving preoperative models. Multimodality 3D/2D registration for image guidance, however, remains a significant research challenge for fundamentally different image data, i.e., MR to X-ray. Registration methods must account for differences in intensity, contrast levels, resolution, dimensionality, field of view. Furthermore, same anatomical structures may not be visible in both modalities. Current approaches have focused on developing modality-specific solutions for individual clinical use cases, by introducing constraints, or identifying cross-modality information manually. Machine learning approaches have the potential to create more general registration platforms. However, training image to image methods would require large multimodal datasets and ground truth for each target application. METHODS: This paper proposes a model-to-image registration approach instead, because it is common in image-guided interventions to create anatomical models for diagnosis, planning or guidance prior to procedures. An imitation learning-based method, trained on 702 datasets, is used to register preoperative models to intraoperative X-ray images. RESULTS: Accuracy is demonstrated on cardiac models and artificial X-rays generated from CTs. The registration error was [Formula: see text] on 1000 test cases, superior to that of manual ([Formula: see text]) and gradient-based ([Formula: see text]) registration. High robustness is shown in 19 clinical CRT cases. CONCLUSION: Besides the proposed methods feasibility in a clinical environment, evaluation has shown good accuracy and high robustness indicating that it could be applied in image-guided interventions.</t>
  </si>
  <si>
    <t>D. Toth, S. Miao, T. Kurzendorfer, C. A. Rinaldi, R. Liao, T. Mansi, K. Rhode and P. Mountney</t>
  </si>
  <si>
    <t>RECOMIA-a cloud-based platform for artificial intelligence research in nuclear medicine and radiology</t>
  </si>
  <si>
    <t>BACKGROUND: Artificial intelligence (AI) is about to transform medical imaging. The Research Consortium for Medical Image Analysis (RECOMIA), a not-for-profit organisation, has developed an online platform to facilitate collaboration between medical researchers and AI researchers. The aim is to minimise the time and effort researchers need to spend on technical aspects, such as transfer, display, and annotation of images, as well as legal aspects, such as de-identification. The purpose of this article is to present the RECOMIA platform and its AI-based tools for organ segmentation in computed tomography (CT), which can be used for extraction of standardised uptake values from the corresponding positron emission tomography (PET) image. RESULTS: The RECOMIA platform includes modules for (1) local de-identification of medical images, (2) secure transfer of images to the cloud-based platform, (3) display functions available using a standard web browser, (4) tools for manual annotation of organs or pathology in the images, (5) deep learning-based tools for organ segmentation or other customised analyses, (6) tools for quantification of segmented volumes, and (7) an export function for the quantitative results. The AI-based tool for organ segmentation in CT currently handles 100 organs (77 bones and 23 soft tissue organs). The segmentation is based on two convolutional neural networks (CNNs): one network to handle organs with multiple similar instances, such as vertebrae and ribs, and one network for all other organs. The CNNs have been trained using CT studies from 339 patients. Experienced radiologists annotated organs in the CT studies. The performance of the segmentation tool, measured as mean Dice index on a manually annotated test set, with 10 representative organs, was 0.93 for all foreground voxels, and the mean Dice index over the organs were 0.86 (0.82 for the soft tissue organs and 0.90 for the bones). CONCLUSION: The paper presents a platform that provides deep learning-based tools that can perform basic organ segmentations in CT, which can then be used to automatically obtain the different measurement in the corresponding PET image. The RECOMIA platform is available on request at www.recomia.org for research purposes.</t>
  </si>
  <si>
    <t>EJNMMI Phys</t>
  </si>
  <si>
    <t>Deep learning as a predictive tool for fetal heart pregnancy following time-lapse incubation and blastocyst transfer</t>
  </si>
  <si>
    <t>STUDY QUESTION: Can a deep learning model predict the probability of pregnancy with fetal heart (FH) from time-lapse videos? SUMMARY ANSWER: We created a deep learning model named IVY, which was an objective and fully automated system that predicts the probability of FH pregnancy directly from raw time-lapse videos without the need for any manual morphokinetic annotation or blastocyst morphology assessment. WHAT IS KNOWN ALREADY: The contribution of time-lapse imaging in effective embryo selection is promising. Existing algorithms for the analysis of time-lapse imaging are based on morphology and morphokinetic parameters that require subjective human annotation and thus have intrinsic inter-reader and intra-reader variability. Deep learning offers promise for the automation and standardization of embryo selection. STUDY DESIGN, SIZE, DURATION: A retrospective analysis of time-lapse videos and clinical outcomes of 10 638 embryos from eight different IVF clinics, across four different countries, between January 2014 and December 2018. PARTICIPANTS/MATERIALS, SETTING, METHODS: The deep learning model was trained using time-lapse videos with known FH pregnancy outcome to perform a binary classification task of predicting the probability of pregnancy with FH given time-lapse video sequence. The predictive power of the model was measured using the average area under the curve (AUC) of the receiver operating characteristic curve over 5-fold stratified cross-validation. MAIN RESULTS AND THE ROLE OF CHANCE: The deep learning model was able to predict FH pregnancy from time-lapse videos with an AUC of 0.93 [95% CI 0.92-0.94] in 5-fold stratified cross-validation. A hold-out validation test across eight laboratories showed that the AUC was reproducible, ranging from 0.95 to 0.90 across different laboratories with different culture and laboratory processes. LIMITATIONS, REASONS FOR CAUTION: This study is a retrospective analysis demonstrating that the deep learning model has a high level of predictability of the likelihood that an embryo will implant. The clinical impacts of these findings are still uncertain. Further studies, including prospective randomized controlled trials, are required to evaluate the clinical significance of this deep learning model. The time-lapse videos collected for training and validation are Day 5 embryos; hence, additional adjustment would need to be made for the model to be used in the context of Day 3 transfer. WIDER IMPLICATIONS OF THE FINDINGS: The high predictive value for embryo implantation obtained by the deep learning model may improve the effectiveness of previous approaches used for time-lapse imaging in embryo selection. This may improve the prioritization of the most viable embryo for a single embryo transfer. The deep learning model may also prove to be useful in providing the optimal order for subsequent transfers of cryopreserved embryos. STUDY FUNDING/COMPETING INTEREST(S): D.T. is the co-owner of Harrison AI that has patented this methodology in association with Virtus Health. P.I. is a shareholder in Virtus Health. S.C., P.I. and D.G. are all either employees or contracted with Virtus Health. D.G. has received grant support from Vitrolife, the manufacturer of the Embryoscope time-lapse imaging used in this study. The equipment and time for this study have been jointly provided by Harrison AI and Virtus Health.</t>
  </si>
  <si>
    <t>Hum Reprod</t>
  </si>
  <si>
    <t>OrgaNet: A Robust Network for Subcellular Organelles Classification in Fluorescence Microscopy Images</t>
  </si>
  <si>
    <t>Automatic identification of subcellular compartments of proteins in fluorescence microscopy images is an important task to quantitatively evaluate cellular processes. A common problem for the development of deep learning based classifiers is that there is only a limited number of labeled images available for training. To address this challenge, we propose a new approach for subcellular organelles classification combining an effective and efficient architecture based on a compact Convolutional Neural Network and deep embedded clustering algorithm. We validate our approach on a benchmark of HeLa cell microscopy images. The network both yields high accuracy that outperforms state of the art methods and has significantly small number of parameters. More interestingly, experimental results show that our method is strongly robust against limited labeled data for training, requiring four times less annotated data than usual while maintaining the high accuracy of 93.9%.</t>
  </si>
  <si>
    <t>Improving Accuracy of Lung Nodule Classification Using Deep Learning with Focal Loss</t>
  </si>
  <si>
    <t>Early detection and classification of pulmonary nodules using computer-aided diagnosis (CAD) systems is useful in reducing mortality rates of lung cancer. In this paper, we propose a new deep learning method to improve classification accuracy of pulmonary nodules in computed tomography (CT) scans. Our method uses a novel 15-layer 2D deep convolutional neural network architecture for automatic feature extraction and classification of pulmonary candidates as nodule or nonnodule. Focal loss function is then applied to the training process to boost classification accuracy of the model. We evaluated our method on the LIDC/IDRI dataset extracted by the LUNA16 challenge. The experiments showed that our deep learning method with focal loss is a high-quality classifier with an accuracy of 97.2%, sensitivity of 96.0%, and specificity of 97.3%.</t>
  </si>
  <si>
    <t>Evaluating Deep Learning Algorithms in Pulmonary Nodule Detection()</t>
  </si>
  <si>
    <t>Lung cancer is considered the deadliest cancer worldwide. In order to detect it, radiologists need to inspect multiple Computed Tomography (CT) scans. This task is tedious and time consuming. In recent years, promising methods based on deep learning object detection algorithms were proposed for the automatic nodule detection and classification. With those techniques, Computed Aided Detection (CAD) software can be developed to alleviate radiologist's burden and help speed-up the screening process. However, among available object detection frameworks, there are just a limited number that have been used for this purpose. Moreover, it can be challenging to know which one to choose as a baseline for the development of a new application for this task. Hence, in this work we propose a benchmark of recent state-of-the-art deep learning detectors such as Faster-RCNN, YOLO, SSD, RetinaNet and EfficientDet in the challenging task of pulmonary nodule detection. Evaluation is done using automatically segmented 2D images extracted from volumetric chest CT scans.</t>
  </si>
  <si>
    <t>Deep Learning for Fully-Automated Localization and Segmentation of Rectal Cancer on Multiparametric MR</t>
  </si>
  <si>
    <t>Multiparametric Magnetic Resonance Imaging (MRI) can provide detailed information of the physical characteristics of rectum tumours. Several investigations suggest that volumetric analyses on anatomical and functional MRI contain clinically valuable information. However, manual delineation of tumours is a time consuming procedure, as it requires a high level of expertise. Here, we evaluate deep learning methods for automatic localization and segmentation of rectal cancers on multiparametric MR imaging. MRI scans (1.5T, T2-weighted, and DWI) of 140 patients with locally advanced rectal cancer were included in our analysis, equally divided between discovery and validation datasets. Two expert radiologists segmented each tumor. A convolutional neural network (CNN) was trained on the multiparametric MRIs of the discovery set to classify each voxel into tumour or non-tumour. On the independent validation dataset, the CNN showed high segmentation accuracy for reader1 (Dice Similarity Coefficient (DSC = 0.68) and reader2 (DSC = 0.70). The area under the curve (AUC) of the resulting probability maps was very high for both readers, AUC = 0.99 (SD = 0.05). Our results demonstrate that deep learning can perform accurate localization and segmentation of rectal cancer in MR imaging in the majority of patients. Deep learning technologies have the potential to improve the speed and accuracy of MRI-based rectum segmentations.</t>
  </si>
  <si>
    <t>S. Trebeschi, J. J. M. van Griethuysen, D. M. J. Lambregts, M. J. Lahaye, C. Parmar, F. C. H. Bakers, N. Peters, R. G. H. Beets-Tan and H. Aerts</t>
  </si>
  <si>
    <t>10.1007/s00347-018-0706-0</t>
  </si>
  <si>
    <t>[Deep learning and neuronal networks in ophthalmology : Applications in the field of optical coherence tomography]</t>
  </si>
  <si>
    <t>Deep learning is increasingly becoming the focus of various imaging methods in medicine. Due to the large number of different imaging modalities, ophthalmology is particularly suitable for this field of application. This article gives a general overview on the topic of deep learning and its current applications in the field of optical coherence tomography. For the benefit of the reader it focuses on the clinical rather than the technical aspects.</t>
  </si>
  <si>
    <t>Using Deep Learning in Automated Detection of Graft Detachment in Descemet Membrane Endothelial Keratoplasty: A Pilot Study</t>
  </si>
  <si>
    <t>PURPOSE: To evaluate a deep learning-based method to automatically detect graft detachment (GD) after Descemet membrane endothelial keratoplasty (DMEK) in anterior segment optical coherence tomography (AS-OCT). METHODS: In this study, a total of 1172 AS-OCT images (609: attached graft; 563: detached graft) were used to train and test a deep convolutional neural network to automatically detect GD after DMEK surgery in AS-OCT images. GD was defined as a not completely attached graft. After training with 1072 of these images (559: attached graft; 513: detached graft), the created classifier was tested with the remaining 100 AS-OCT scans (50: attached graft; 50 detached: graft). Hereby, a probability score for GD (GD score) was determined for each of the tested OCT images. RESULTS: The mean GD score was 0.88 ± 0.2 in the GD group and 0.08 ± 0.13 in the group with an attached graft. The differences between both groups were highly significant (P &lt; 0.001). The sensitivity of the classifier was 98%, the specificity 94%, and the accuracy 96%. The coefficient of variation was 3.28 ± 6.90% for the GD group and 2.82 ± 3.81% for the graft attachment group. CONCLUSIONS: With the presented deep learning-based classifier, reliable automated detection of GD after DMEK is possible. Further work is needed to incorporate information about the size and position of GD and to develop a standardized approach regarding when rebubbling may be needed.</t>
  </si>
  <si>
    <t>M. Treder, J. L. Lauermann, M. Alnawaiseh and N. Eter</t>
  </si>
  <si>
    <t>Automated detection of exudative age-related macular degeneration in spectral domain optical coherence tomography using deep learning</t>
  </si>
  <si>
    <t>PURPOSE: Our purpose was to use deep learning for the automated detection of age-related macular degeneration (AMD) in spectral domain optical coherence tomography (SD-OCT). METHODS: A total of 1112 cross-section SD-OCT images of patients with exudative AMD and a healthy control group were used for this study. In the first step, an open-source multi-layer deep convolutional neural network (DCNN), which was pretrained with 1.2 million images from ImageNet, was trained and validated with 1012 cross-section SD-OCT scans (AMD: 701; healthy: 311). During this procedure training accuracy, validation accuracy and cross-entropy were computed. The open-source deep learning framework TensorFlow™ (Google Inc., Mountain View, CA, USA) was used to accelerate the deep learning process. In the last step, a created DCNN classifier, using the information of the above mentioned deep learning process, was tested in detecting 100 untrained cross-section SD-OCT images (AMD: 50; healthy: 50). Therefore, an AMD testing score was computed: 0.98 or higher was presumed for AMD. RESULTS: After an iteration of 500 training steps, the training accuracy and validation accuracies were 100%, and the cross-entropy was 0.005. The average AMD scores were 0.997 ± 0.003 in the AMD testing group and 0.9203 ± 0.085 in the healthy comparison group. The difference between the two groups was highly significant (p &lt; 0.001). CONCLUSIONS: With a deep learning-based approach using TensorFlow™, it is possible to detect AMD in SD-OCT with high sensitivity and specificity. With more image data, an expansion of this classifier for other macular diseases or further details in AMD is possible, suggesting an application for this model as a support in clinical decisions. Another possible future application would involve the individual prediction of the progress and success of therapy for different diseases by automatically detecting hidden image information.</t>
  </si>
  <si>
    <t>M. Treder, J. L. Lauermann and N. Eter</t>
  </si>
  <si>
    <t>Deep learning-based detection and classification of geographic atrophy using a deep convolutional neural network classifier</t>
  </si>
  <si>
    <t>PURPOSE: To automatically detect and classify geographic atrophy (GA) in fundus autofluorescence (FAF) images using a deep learning algorithm. METHODS: In this study, FAF images of patients with GA, a healthy comparable group and a comparable group with other retinal diseases (ORDs) were used to train a multi-layer deep convolutional neural network (DCNN) (1) to detect GA and (2) to differentiate in GA between a diffuse-trickling pattern (dt-GA) and other GA FAF patterns (ndt-GA) in FAF images. 1. For the automated detection of GA in FAF images, two classifiers were built (GA vs. healthy/GA vs. ORD). The DCNN was trained and validated with 400 FAF images in each case (GA 200, healthy 200, or ORD 200). For the subsequent testing, the built classifiers were then tested with 60 untrained FAF images in each case (AMD 30, healthy 30, or ORD 30). Hereby, both classifiers automatically determined a GA probability score and a normal FAF probability score or an ORD probability score. 2. To automatically differentiate between dt-GA and ndt-GA, the DCNN was trained and validated with 200 FAF images (dt-GA 72; ndt-GA 138). Afterwards, the built classifier was tested with 20 untrained FAF images (dt-GA 10; ndt-GA 10) and a dt-GA probability score and an ndt-GA probability score was calculated. For both classifiers, the performance of the training and validation procedure after 500 training steps was measured by determining training accuracy, validation accuracy, and cross entropy. RESULTS: For the GA classifiers (GA vs. healthy/GA vs. ORD), the achieved training accuracy was 99/98%, the validation accuracy 96/91%, and the cross entropy 0.062/0.100. For the dt-GA classifier, the training accuracy was 99%, the validation accuracy 77%, and the cross entropy 0.166. The mean GA probability score was 0.981 ± 0.048 (GA vs. healthy)/0.972 ± 0.439 (GA vs. ORD) in the GA image group and 0.01 ± 0.016 (healthy)/0.061 ± 0.072 (ORD) in the comparison groups (p &lt; 0.001). The mean dt-GA probability score was 0.807 ± 0.116 in the dt-GA image group and 0.180 ± 0.100 in the ndt-GA image group (p &lt; 0.001). CONCLUSION: For the first time, this study describes the use of a deep learning-based algorithm to automatically detect and classify GA in FAF. Hereby, the created classifiers showed excellent results. With further developments, this model may be a tool to predict the individual progression risk of GA and give relevant information for future therapeutic approaches.</t>
  </si>
  <si>
    <t>Identifying incidental findings from radiology reports of trauma patients: An evaluation of automated feature representation methods</t>
  </si>
  <si>
    <t>BACKGROUND: Radiologic imaging of trauma patients often uncovers findings that are unrelated to the trauma. These are termed as incidental findings and identifying them in radiology examination reports is necessary for appropriate follow-up. We developed and evaluated an automated pipeline to identify incidental findings at sentence and section levels in radiology reports of trauma patients. METHODS: We created an annotated dataset of 4,181 reports and investigated automated feature representations including traditional word and clinical concept (such as SNOMED CT) representations, as well as word and concept embeddings. We evaluated these representations by using them with traditional classifiers such as logistic regression and with deep learning methods such as convolutional neural networks (CNNs). RESULTS: The best performance was observed using word embeddings with CNNs with F(1) scores of 0.66 and 0.52 at section and sentence levels respectively. The F(1) score was statistically significantly higher for sections compared to sentences (Wilcoxon; Z &lt; 0.001, p &lt; 0.05). Compared to using words alone, the addition of SNOMED CT concepts did not improve performance. At the sentence level, the F(1) score improved significantly from 0.46 to 0.52 when using pre-trained embeddings (Wilcoxon; Z &lt; 0.001, p &lt; 0.05). CONCLUSION: The results show that the best performance was achieved by using embeddings with CNNs at both sentence and section levels. This provides evidence that such a pipeline is capable of accurately identifying incidental findings in radiology reports in an automated manner.</t>
  </si>
  <si>
    <t>G. Trivedi, C. Hong, E. R. Dadashzadeh, R. M. Handzel, H. Hochheiser and S. Visweswaran</t>
  </si>
  <si>
    <t>Automatic Determination of the Need for Intravenous Contrast in Musculoskeletal MRI Examinations Using IBM Watson's Natural Language Processing Algorithm</t>
  </si>
  <si>
    <t>Magnetic resonance imaging (MRI) protocoling can be time- and resource-intensive, and protocols can often be suboptimal dependent upon the expertise or preferences of the protocoling radiologist. Providing a best-practice recommendation for an MRI protocol has the potential to improve efficiency and decrease the likelihood of a suboptimal or erroneous study. The goal of this study was to develop and validate a machine learning-based natural language classifier that can automatically assign the use of intravenous contrast for musculoskeletal MRI protocols based upon the free-text clinical indication of the study, thereby improving efficiency of the protocoling radiologist and potentially decreasing errors. We utilized a deep learning-based natural language classification system from IBM Watson, a question-answering supercomputer that gained fame after challenging the best human players on Jeopardy! in 2011. We compared this solution to a series of traditional machine learning-based natural language processing techniques that utilize a term-document frequency matrix. Each classifier was trained with 1240 MRI protocols plus their respective clinical indications and validated with a test set of 280. Ground truth of contrast assignment was obtained from the clinical record. For evaluation of inter-reader agreement, a blinded second reader radiologist analyzed all cases and determined contrast assignment based on only the free-text clinical indication. In the test set, Watson demonstrated overall accuracy of 83.2% when compared to the original protocol. This was similar to the overall accuracy of 80.2% achieved by an ensemble of eight traditional machine learning algorithms based on a term-document matrix. When compared to the second reader's contrast assignment, Watson achieved 88.6% agreement. When evaluating only the subset of cases where the original protocol and second reader were concordant (n = 251), agreement climbed further to 90.0%. The classifier was relatively robust to spelling and grammatical errors, which were frequent. Implementation of this automated MR contrast determination system as a clinical decision support tool may save considerable time and effort of the radiologist while potentially decreasing error rates, and require no change in order entry or workflow.</t>
  </si>
  <si>
    <t>H. Trivedi, J. Mesterhazy, B. Laguna, T. Vu and J. H. Sohn</t>
  </si>
  <si>
    <t>Large Scale Semi-Automated Labeling of Routine Free-Text Clinical Records for Deep Learning</t>
  </si>
  <si>
    <t>Breast cancer is a leading cause of cancer death among women in the USA. Screening mammography is effective in reducing mortality, but has a high rate of unnecessary recalls and biopsies. While deep learning can be applied to mammography, large-scale labeled datasets, which are difficult to obtain, are required. We aim to remove many barriers of dataset development by automatically harvesting data from existing clinical records using a hybrid framework combining traditional NLP and IBM Watson. An expert reviewer manually annotated 3521 breast pathology reports with one of four outcomes: left positive, right positive, bilateral positive, negative. Traditional NLP techniques using seven different machine learning classifiers were compared to IBM Watson's automated natural language classifier. Techniques were evaluated using precision, recall, and F-measure. Logistic regression outperformed all other traditional machine learning classifiers and was used for subsequent comparisons. Both traditional NLP and Watson's NLC performed well for cases under 1024 characters with weighted average F-measures above 0.96 across all classes. Performance of traditional NLP was lower for cases over 1024 characters with an F-measure of 0.83. We demonstrate a hybrid framework using traditional NLP techniques combined with IBM Watson to annotate over 10,000 breast pathology reports for development of a large-scale database to be used for deep learning in mammography. Our work shows that traditional NLP and IBM Watson perform extremely well for cases under 1024 characters and can accelerate the rate of data annotation.</t>
  </si>
  <si>
    <t>A novel deep learning architecture outperforming 'off‑the‑shelf' transfer learning and feature‑based methods in the automated assessment of mammographic breast density</t>
  </si>
  <si>
    <t>Potentially suspicious breast neoplasms could be masked by high tissue density, thus increasing the probability of a false‑negative diagnosis. Furthermore, differentiating breast tissue type enables patient pre‑screening stratification and risk assessment. In this study, we propose and evaluate advanced machine learning methodologies aiming at an objective and reliable method for breast density scoring from routine mammographic images. The proposed image analysis pipeline incorporates texture [Gabor filters and local binary pattern (LBP)] and gradient‑based features [histogram of oriented gradients (HOG) as well as speeded‑up robust features (SURF)]. Additionally, transfer learning approaches with ImageNet trained weights were also used for comparison, as well as a convolutional neural network (CNN). The proposed CNN model was fully trained on two open mammography datasets and was found to be the optimal performing methodology (AUC up to 87.3%). Thus, the findings of this study indicate that automated density scoring in mammograms can aid clinical diagnosis by introducing artificial intelligence‑powered decision‑support systems and contribute to the 'democratization' of healthcare by overcoming limitations, such as the geographic location of patients or the lack of expert radiologists.</t>
  </si>
  <si>
    <t>Oncol Rep</t>
  </si>
  <si>
    <t>Extending 2-D Convolutional Neural Networks to 3-D for Advancing Deep Learning Cancer Classification With Application to MRI Liver Tumor Differentiation</t>
  </si>
  <si>
    <t>Deep learning (DL) architectures have opened new horizons in medical image analysis attaining unprecedented performance in tasks such as tissue classification and segmentation as well as prediction of several clinical outcomes. In this paper, we propose and evaluate a novel three-dimensional (3-D) convolutional neural network (CNN) designed for tissue classification in medical imaging and applied for discriminating between primary and metastatic liver tumors from diffusion weighted MRI (DW-MRI) data. The proposed network consists of four consecutive strided 3-D convolutional layers with 3 × 3 × 3 kernel size and rectified linear unit (ReLU) as activation function, followed by a fully connected layer with 2048 neurons and a Softmax layer for binary classification. A dataset comprising 130 DW-MRI scans was used for the training and validation of the network. To the best of our knowledge this is the first DL solution for the specific clinical problem and the first 3-D CNN for cancer classification operating directly on whole 3-D tomographic data without the need of any preprocessing step such as region cropping, annotating, or detecting regions of interest. The classification performance results, 83% (3-D) versus 69.6% and 65.2% (2-D), demonstrated significant tissue classification accuracy improvement compared to two 2-D CNNs of different architectures also designed for the specific clinical problem with the same dataset. These results suggest that the proposed 3-D CNN architecture can bring significant benefit in DW-MRI liver discrimination and potentially, in numerous other tissue classification problems based on tomographic data, especially in size-limited, disease-specific clinical datasets.</t>
  </si>
  <si>
    <t>E. Trivizakis, G. C. Manikis, K. Nikiforaki, K. Drevelegas, M. Constantinides, A. Drevelegas and K. Marias</t>
  </si>
  <si>
    <t>Artificial intelligence radiogenomics for advancing precision and effectiveness in oncologic care (Review)</t>
  </si>
  <si>
    <t>The new era of artificial intelligence (AI) has introduced revolutionary data‑driven analysis paradigms that have led to significant advancements in information processing techniques in the context of clinical decision‑support systems. These advances have created unprecedented momentum in computational medical imaging applications and have given rise to new precision medicine research areas. Radiogenomics is a novel research field focusing on establishing associations between radiological features and genomic or molecular expression in order to shed light on the underlying disease mechanisms and enhance diagnostic procedures towards personalized medicine. The aim of the current review was to elucidate recent advances in radiogenomics research, focusing on deep learning with emphasis on radiology and oncology applications. The main deep learning radiogenomics architectures, together with the clinical questions addressed, and the achieved genetic or molecular correlations are presented, while a performance comparison of the proposed methodologies is conducted. Finally, current limitations, potentially understudied topics and future research directions are discussed.</t>
  </si>
  <si>
    <t>Int J Oncol</t>
  </si>
  <si>
    <t>Advancing COVID-19 differentiation with a robust preprocessing and integration of multi-institutional open-repository computer tomography datasets for deep learning analysis</t>
  </si>
  <si>
    <t>The coronavirus pandemic and its unprecedented consequences globally has spurred the interest of the artificial intelligence research community. A plethora of published studies have investigated the role of imaging such as chest X-rays and computer tomography in coronavirus disease 2019 (COVID-19) automated diagnosis. Οpen repositories of medical imaging data can play a significant role by promoting cooperation among institutes in a world-wide scale. However, they may induce limitations related to variable data quality and intrinsic differences due to the wide variety of scanner vendors and imaging parameters. In this study, a state-of-the-art custom U-Net model is presented with a dice similarity coefficient performance of 99.6% along with a transfer learning VGG-19 based model for COVID-19 versus pneumonia differentiation exhibiting an area under curve of 96.1%. The above was significantly improved over the baseline model trained with no segmentation in selected tomographic slices of the same dataset. The presented study highlights the importance of a robust preprocessing protocol for image analysis within a heterogeneous imaging dataset and assesses the potential diagnostic value of the presented COVID-19 model by comparing its performance to the state of the art.</t>
  </si>
  <si>
    <t>Exp Ther Med</t>
  </si>
  <si>
    <t>Multiorgan segmentation using distance-aware adversarial networks</t>
  </si>
  <si>
    <t>Segmentation of organs at risk (OAR) in computed tomography (CT) is of vital importance in radiotherapy treatment. This task is time consuming and for some organs, it is very challenging due to low-intensity contrast in CT. We propose a framework to perform the automatic segmentation of multiple OAR: esophagus, heart, trachea, and aorta. Different from previous works using deep learning techniques, we make use of global localization information, based on an original distance map that yields not only the localization of each organ, but also the spatial relationship between them. Instead of segmenting directly the organs, we first generate the localization map by minimizing a reconstruction error within an adversarial framework. This map that includes localization information of all organs is then used to guide the segmentation task in a fully convolutional setting. Experimental results show encouraging performance on CT scans of 60 patients totaling 11,084 slices in comparison with other state-of-the-art methods.</t>
  </si>
  <si>
    <t>R. Trullo, C. Petitjean, B. Dubray and S. Ruan</t>
  </si>
  <si>
    <t>A deep learning oriented method for automated 3D reconstruction of carotid arterial trees from MR imaging</t>
  </si>
  <si>
    <t>The scope of this paper is to present a new carotid vessel segmentation algorithm implementing the U-net based convolutional neural network architecture. With carotid atherosclerosis being the major cause of stroke in Europe, new methods that can provide more accurate image segmentation of the carotid arterial tree and plaque tissue can help improve early diagnosis, prevention and treatment of carotid disease. Herein, we present a novel methodology combining the U-net model and morphological active contours in an iterative framework that accurately segments the carotid lumen and outer wall. The method automatically produces a 3D meshed model of the carotid bifurcation and smaller branches, using multispectral MR image series obtained from two clinical centres of the TAXINOMISIS study. As indicated by a validation study, the algorithm succeeds high accuracy (99.1% for lumen area and 92.6% for the perimeter) for lumen segmentation. The proposed algorithm will be used in the TAXINOMISIS study to obtain more accurate 3D vessel models for improved computational fluid dynamics simulations and the development of models of atherosclerotic plaque progression.</t>
  </si>
  <si>
    <t>10.1109/rbme.2019.2904488</t>
  </si>
  <si>
    <t>Harnessing the Power of Machine Learning in Dementia Informatics Research: Issues, Opportunities, and Challenges</t>
  </si>
  <si>
    <t>Dementia is a chronic and degenerative condition affecting millions globally. The care of patients with dementia presents an ever-continuing challenge to healthcare systems in the 21st century. Medical and health sciences have generated unprecedented volumes of data related to health and wellbeing for patients with dementia due to advances in information technology, such as genetics, neuroimaging, cognitive assessment, free texts, routine electronic health records, etc. Making the best use of these diverse and strategic resources will lead to high-quality care of patients with dementia. As such, machine learning becomes a crucial factor in achieving this objective. The aim of this paper is to provide a state-of-the-art review of machine learning methods applied to health informatics for dementia care. We collate and review the existing scientific methodologies and identify the relevant issues and challenges when faced with big health data. Machine learning has demonstrated promising applications to neuroimaging data analysis for dementia care, while relatively less effort has been made to make use of integrated heterogeneous data via advanced machine learning approaches. We further indicate future potential and research directions in applying advanced machine learning, such as deep learning, to dementia informatics.</t>
  </si>
  <si>
    <t>Diagnostic accuracy of content-based dermatoscopic image retrieval with deep classification features</t>
  </si>
  <si>
    <t>BACKGROUND: Automated classification of medical images through neural networks can reach high accuracy rates but lacks interpretability. OBJECTIVES: To compare the diagnostic accuracy obtained by using content-based image retrieval (CBIR) to retrieve visually similar dermatoscopic images with corresponding disease labels against predictions made by a neural network. METHODS: A neural network was trained to predict disease classes on dermatoscopic images from three retrospectively collected image datasets containing 888, 2750 and 16 691 images, respectively. Diagnosis predictions were made based on the most commonly occurring diagnosis in visually similar images, or based on the top-1 class prediction of the softmax output from the network. Outcome measures were area under the receiver operating characteristic curve (AUC) for predicting a malignant lesion, multiclass-accuracy and mean average precision (mAP), measured on unseen test images of the corresponding dataset. RESULTS: In all three datasets the skin cancer predictions from CBIR (evaluating the 16 most similar images) showed AUC values similar to softmax predictions (0·842, 0·806 and 0·852 vs. 0·830, 0·810 and 0·847, respectively; P &gt; 0·99 for all). Similarly, the multiclass-accuracy of CBIR was comparable with softmax predictions. Compared with softmax predictions, networks trained for detecting only three classes performed better on a dataset with eight classes when using CBIR (mAP 0·184 vs. 0·368 and 0·198 vs. 0·403, respectively). CONCLUSIONS: Presenting visually similar images based on features from a neural network shows comparable accuracy with the softmax probability-based diagnoses of convolutional neural networks. CBIR may be more helpful than a softmax classifier in improving diagnostic accuracy of clinicians in a routine clinical setting.</t>
  </si>
  <si>
    <t>Differential diagnosis of multiple system atrophy with predominant parkinsonism and Parkinson's disease using neural networks</t>
  </si>
  <si>
    <t>Differential diagnosis between Parkinson's disease (PD) and atypical parkinsonism, such as multiple system atrophy (MSA), can be difficult, especially in the early stages of the disease. Deep learning using neural networks (NNs) makes possible the prediction of the diagnosis using various types of biomarkers, unlike conventional linear statistics. We aimed to differentiate the Parkinson's variant of MSA (MSA-P) from PD both in the early stages by clinical utilization of NN analyses before the hot cross-bun and putaminal rim imaging features of MSA appeared. Analysis by NN involved the data of voxel-based morphometry (VBM) that indicate morphological changes and magnetic resonance spectroscopy (MRS) that indicate qualitative changes. VBM analysis showed that compared with PD patients, MSA-P patients showed atrophy in the superior cerebellar peduncle, middle cerebellar peduncle, cerebellar hemisphere, pons, midbrain, and putamen, but not in the globus pallidus. Proton MRS on the globus pallidus in the diseased hemisphere, lacking atrophy as observed with VBM, revealed decreased neurons and gliosis in both groups. Clinical differentiation of MSA-P from PD using NN analysis, involved measuring the prediction potential using the area under the receiver operator characteristic (ROC) curves (AUC). Using both VBM and MRS data, NNs contributed adequately to the clinical diagnosis.</t>
  </si>
  <si>
    <t>J Neurol Sci</t>
  </si>
  <si>
    <t>Semantic Segmentation of the Choroid in Swept Source Optical Coherence Tomography Images for Volumetrics</t>
  </si>
  <si>
    <t>The choroid is a complex vascular tissue that is covered with the retinal pigment epithelium. Ultra high speed swept source optical coherence tomography (SS-OCT) provides us with high-resolution cube scan images of the choroid. Robust segmentation techniques are required to reconstruct choroidal volume using SS-OCT images. For automated segmentation, the delineation of the choroidal-scleral (C-S) boundary is key to accurate segmentation. Low contrast of the boundary, scleral canals formed by the vessel and the nerve, and the posterior stromal layer, may cause segmentation errors. Semantic segmentation is one of the applications of deep learning used to classify the parts of images related to the meanings of the subjects. We applied semantic segmentation to choroidal segmentation and measured the volume of the choroid. The measurement results were validated through comparison with those of other segmentation methods. As a result, semantic segmentation was able to segment the C-S boundary and choroidal volume adequately.</t>
  </si>
  <si>
    <t>Classification of optical coherence tomography images using a capsule network</t>
  </si>
  <si>
    <t>BACKGROUND: Classification of optical coherence tomography (OCT) images can be achieved with high accuracy using classical convolution neural networks (CNN), a commonly used deep learning network for computer-aided diagnosis. Classical CNN has often been criticized for suppressing positional relations in a pooling layer. Therefore, because capsule networks can learn positional information from images, we attempted application of a capsule network to OCT images to overcome that shortcoming. This study is our attempt to improve classification accuracy by replacing CNN with a capsule network. METHODS: From an OCT dataset, we produced a training dataset of 83,484 images and a test dataset of 1000 images. For training, the dataset comprises 37,205 images with choroidal neovascularization (CNV), 11,348 with diabetic macular edema (DME), 8616 with drusen, and 26,315 normal images. The test dataset has 250 images from each category. The proposed model was constructed based on a capsule network for improving classification accuracy. It was trained using the training dataset. Subsequently, the test dataset was used to evaluate the trained model. RESULTS: Classification of OCT images using our method achieved accuracy of 99.6%, which is 3.2 percentage points higher than that of other methods described in the literature. CONCLUSION: The proposed method achieved classification accuracy results equivalent to those reported for other methods for CNV, DME, drusen, and normal images.</t>
  </si>
  <si>
    <t>Alzheimer's diagnosis using deep learning in segmenting and classifying 3D brain MR images</t>
  </si>
  <si>
    <t>BACKGROUND AND OBJECTIVES: Dementia is one of the brain diseases with serious symptoms such as memory loss, and thinking problems. According to the World Alzheimer Report 2016, in the world, there are 47 million people having dementia and it can be 131 million by 2050. There is no standard method to diagnose dementia, and consequently unable to access the treatment effectively. Hence, the computational diagnosis of the disease from brain Magnetic Resonance Image (MRI) scans plays an important role in supporting the early diagnosis. Alzheimer's Disease (AD), a common type of Dementia, includes problems related to disorientation, mood swings, not managing self-care, and behavioral issues. In this article, we present a new computational method to diagnosis Alzheimer's disease from 3D brain MR images. METHODS: An efficient approach to diagnosis Alzheimer's disease from brain MRI scans is proposed comprising two phases: I) segmentation and II) classification, both based on deep learning. After the brain tissues are segmented by a model that combines Gaussian Mixture Model (GMM) and Convolutional Neural Network (CNN), a new model combining Extreme Gradient Boosting (XGBoost) and Support Vector Machine (SVM) is used to classify Alzheimer's disease based on the segmented tissues. RESULTS: We present two evaluations for segmentation and classification. For comparison, the new method was evaluated using the AD-86 and AD-126 datasets leading to Dice 0.96 for segmentation in both datasets and accuracies 0.88, and 0.80 for classification, respectively. CONCLUSION: Deep learning gives prominent results for segmentation and feature extraction in medical image processing. The combination of XGboost and SVM improves the results obtained.</t>
  </si>
  <si>
    <t>Autologous cell replacement: a noninvasive AI approach to clinical release testing</t>
  </si>
  <si>
    <t>The advent of human induced pluripotent stem cells (iPSCs) provided a means for avoiding ethical concerns associated with the use of cells isolated from human embryos. The number of labs now using iPSCs to generate photoreceptor, retinal pigmented epithelial (RPE), and-more recently-choroidal endothelial cells has grown exponentially. However, for autologous cell replacement to be effective, manufacturing strategies will need to change. Many tasks carried out by hand will need simplifying and automating. In this issue of the JCI, Schaub and colleagues combined quantitative bright-field microscopy and artificial intelligence (deep neural networks and traditional machine learning) to noninvasively monitor iPSC-derived graft maturation, predict donor cell identity, and evaluate graft function prior to transplantation. This approach allowed the authors to preemptively identify and remove abnormal grafts. Notably, the method is (a) transferable, (b) cost and time effective, (c) high throughput, and (d) useful for primary product validation.</t>
  </si>
  <si>
    <t>Machine learning transforms how microstates are sampled</t>
  </si>
  <si>
    <t>M. E. Tuckerman</t>
  </si>
  <si>
    <t>Science</t>
  </si>
  <si>
    <t>Binary Classification of Alzheimer's Disease Using sMRI Imaging Modality and Deep Learning</t>
  </si>
  <si>
    <t>Alzheimer's disease (AD) is an irreversible devastative neurodegenerative disorder associated with progressive impairment of memory and cognitive functions. Its early diagnosis is crucial for the development of possible future treatment option(s). Structural magnetic resonance images (sMRI) play an important role to help in understanding the anatomical changes related to AD especially in its early stages. Conventional methods require the expertise of domain experts and extract hand-picked features such as gray matter substructures and train a classifier to distinguish AD subjects from healthy subjects. Different from these methods, this paper proposes to construct multiple deep 2D convolutional neural networks (2D-CNNs) to learn the various features from local brain images which are combined to make the final classification for AD diagnosis. The whole brain image was passed through two transfer learning architectures; Inception version 3 and Xception, as well as a custom Convolutional Neural Network (CNN) built with the help of separable convolutional layers which can automatically learn the generic features from imaging data for classification. Our study is conducted using cross-sectional T1-weighted structural MRI brain images from Open Access Series of Imaging Studies (OASIS) database to maintain the size and contrast over different MRI scans. Experimental results show that the transfer learning approaches exceed the performance of non-transfer learning-based approaches demonstrating the effectiveness of these approaches for the binary AD classification task.</t>
  </si>
  <si>
    <t>Improving CT Image Tumor Segmentation Through Deep Supervision and Attentional Gates</t>
  </si>
  <si>
    <t>Computer Tomography (CT) is an imaging procedure that combines many X-ray measurements taken from different angles. The segmentation of areas in the CT images provides a valuable aid to physicians and radiologists in order to better provide a patient diagnose. The CT scans of a body torso usually include different neighboring internal body organs. Deep learning has become the state-of-the-art in medical image segmentation. For such techniques, in order to perform a successful segmentation, it is of great importance that the network learns to focus on the organ of interest and surrounding structures and also that the network can detect target regions of different sizes. In this paper, we propose the extension of a popular deep learning methodology, Convolutional Neural Networks (CNN), by including deep supervision and attention gates. Our experimental evaluation shows that the inclusion of attention and deep supervision results in consistent improvement of the tumor prediction accuracy across the different datasets and training sizes while adding minimal computational overhead.</t>
  </si>
  <si>
    <t>Breast cancer outcome prediction with tumour tissue images and machine learning</t>
  </si>
  <si>
    <t>PURPOSE: Recent advances in machine learning have enabled better understanding of large and complex visual data. Here, we aim to investigate patient outcome prediction with a machine learning method using only an image of tumour sample as an input. METHODS: Utilising tissue microarray (TMA) samples obtained from the primary tumour of patients (N = 1299) within a nationwide breast cancer series with long-term-follow-up, we train and validate a machine learning method for patient outcome prediction. The prediction is performed by classifying samples into low or high digital risk score (DRS) groups. The outcome classifier is trained using sample images of 868 patients and evaluated and compared with human expert classification in a test set of 431 patients. RESULTS: In univariate survival analysis, the DRS classification resulted in a hazard ratio of 2.10 (95% CI 1.33-3.32, p = 0.001) for breast cancer-specific survival. The DRS classification remained as an independent predictor of breast cancer-specific survival in a multivariate Cox model with a hazard ratio of 2.04 (95% CI 1.20-3.44, p = 0.007). The accuracy (C-index) of the DRS grouping was 0.60 (95% CI 0.55-0.65), as compared to 0.58 (95% CI 0.53-0.63) for human expert predictions based on the same TMA samples. CONCLUSIONS: Our findings demonstrate the feasibility of learning prognostic signals in tumour tissue images without domain knowledge. Although further validation is needed, our study suggests that machine learning algorithms can extract prognostically relevant information from tumour histology complementing the currently used prognostic factors in breast cancer.</t>
  </si>
  <si>
    <t>R. Turkki, D. Byckhov, M. Lundin, J. Isola, S. Nordling, P. E. Kovanen, C. Verrill, K. von Smitten, H. Joensuu, J. Lundin and N. Linder</t>
  </si>
  <si>
    <t>Breast Cancer Res Treat</t>
  </si>
  <si>
    <t>10.1016/j.mri.2019.05.037</t>
  </si>
  <si>
    <t>Learning image-based spatial transformations via convolutional neural networks: A review</t>
  </si>
  <si>
    <t>Recent methodological innovations in deep learning and associated advancements in computational hardware have significantly impacted the various core subfields of quantitative medical image analysis. The generalizability, computational efficiency and open-source availability of deep learning algorithms and related software, particularly those utilizing convolutional neural networks, have produced paradigm shifts within the field. This impact is evident from topical prevalence in the literature, conference and workshop themes and winning methodologies in relevant competitions. In this work, we review the various state-of-the-art approaches to learning and prediction and/or optimizing image transformations using convolutional neural networks. Although of primary importance within the quantitative imaging domain, image registration algorithmic development, in the context of these deep learning strategies, has received comparatively less attention than its counterparts (e.g., image segmentation). Nevertheless, significant progress has been made in this particular subfield which has been presented in various research venues. We contextualize these contributions within the broader scope of deep learning advancements and, in so doing, attempt to facilitate the leveraging and further development of such techniques within the medical imaging research community.</t>
  </si>
  <si>
    <t>Convolutional Neural Networks with Template-Based Data Augmentation for Functional Lung Image Quantification</t>
  </si>
  <si>
    <t>RATIONALE AND OBJECTIVES: We propose an automated segmentation pipeline based on deep learning for proton lung MRI segmentation and ventilation-based quantification which improves on our previously reported methodologies in terms of computational efficiency while demonstrating accuracy and robustness. The large data requirement for the proposed framework is made possible by a novel template-based data augmentation strategy. Supporting this work is the open-source ANTsRNet-a growing repository of well-known deep learning architectures first introduced here. MATERIALS AND METHODS: Deep convolutional neural network (CNN) models were constructed and trained using a custom multilabel Dice metric loss function and a novel template-based data augmentation strategy. Training (including template generation and data augmentation) employed 205 proton MR images and 73 functional lung MRI. Evaluation was performed using data sets of size 63 and 40 images, respectively. RESULTS: Accuracy for CNN-based proton lung MRI segmentation (in terms of Dice overlap) was left lung: 0.93 ± 0.03, right lung: 0.94 ± 0.02, and whole lung: 0.94 ± 0.02. Although slightly less accurate than our previously reported joint label fusion approach (left lung: 0.95 ± 0.02, right lung: 0.96 ± 0.01, and whole lung: 0.96 ± 0.01), processing time is &lt;1 second per subject for the proposed approach versus ∼30 minutes per subject using joint label fusion. Accuracy for quantifying ventilation defects was determined based on a consensus labeling where average accuracy (Dice multilabel overlap of ventilation defect regions plus normal region) was 0.94 for the CNN method; 0.92 for our previously reported method; and 0.90, 0.92, and 0.94 for expert readers. CONCLUSION: The proposed framework yields accurate automated quantification in near real time. CNNs drastically reduce processing time after offline model construction and demonstrate significant future potential for facilitating quantitative analysis of functional lung MRI.</t>
  </si>
  <si>
    <t>COVIDiagnosis-Net: Deep Bayes-SqueezeNet based diagnosis of the coronavirus disease 2019 (COVID-19) from X-ray images</t>
  </si>
  <si>
    <t>The Coronavirus Disease 2019 (COVID-19) outbreak has a tremendous impact on global health and the daily life of people still living in more than two hundred countries. The crucial action to gain the force in the fight of COVID-19 is to have powerful monitoring of the site forming infected patients. Most of the initial tests rely on detecting the genetic material of the coronavirus, and they have a poor detection rate with the time-consuming operation. In the ongoing process, radiological imaging is also preferred where chest X-rays are highlighted in the diagnosis. Early studies express the patients with an abnormality in chest X-rays pointing to the presence of the COVID-19. On this motivation, there are several studies cover the deep learning-based solutions to detect the COVID-19 using chest X-rays. A part of the existing studies use non-public datasets, others perform on complicated Artificial Intelligent (AI) structures. In our study, we demonstrate an AI-based structure to outperform the existing studies. The SqueezeNet that comes forward with its light network design is tuned for the COVID-19 diagnosis with Bayesian optimization additive. Fine-tuned hyperparameters and augmented dataset make the proposed network perform much better than existing network designs and to obtain a higher COVID-19 diagnosis accuracy.</t>
  </si>
  <si>
    <t>Due to the high incidence of skin tumors, the development of computer aided-diagnosis methods will become a very powerful diagnosis tool for dermatologists. The skin diseases are initially diagnosed visually, through clinical screening and followed in some cases by dermoscopic analysis, biopsy and histopathological examination. Automatic classification of dermatoscopic images is a challenge due to fine-grained variations in lesions. The convolutional neural network (CNN), one of the most powerful deep learning techniques proved to be superior to traditional algorithms. These networks provide the flexibility of extracting discriminatory features from images that preserve the spatial structure and could be developed for region recognition and medical image classification. In this paper we proposed an architecture of CNN to classify skin lesions using only image pixels and diagnosis labels as inputs. We trained and validated the CNN model using a public dataset of 10015 images consisting of 7 types of skin lesions: actinic keratoses and intraepithelial carcinoma/Bowen disease (akiec), basal cell carcinoma (bcc), benign lesions of the keratosis type (solar lentigine/seborrheic keratoses and lichen-planus like keratosis, bkl), dermatofibroma (df), melanoma (mel), melanocytic nevi (nv) and vascular lesions (angiomas, angiokeratomas, pyogenic granulomas and hemorrhages, vasc).</t>
  </si>
  <si>
    <t>Curr Health Sci J</t>
  </si>
  <si>
    <t>Deep Learning for MR Angiography: Automated Detection of Cerebral Aneurysms</t>
  </si>
  <si>
    <t>Purpose To develop and evaluate a supportive algorithm using deep learning for detecting cerebral aneurysms at time-of-flight MR angiography to provide a second assessment of images already interpreted by radiologists. Materials and Methods MR images reported by radiologists to contain aneurysms were extracted from four institutions for the period from November 2006 through October 2017. The images were divided into three data sets: training data set, internal test data set, and external test data set. The algorithm was constructed by deep learning with the training data set, and its sensitivity to detect aneurysms in the test data sets was evaluated. To find aneurysms that had been overlooked in the initial reports, two radiologists independently performed a blinded interpretation of aneurysm candidates detected by the algorithm. When there was disagreement, the final diagnosis was made in consensus. The number of newly detected aneurysms was also evaluated. Results The training data set, which provided training and validation data, included 748 aneurysms (mean size, 3.1 mm ± 2.0 [standard deviation]) from 683 examinations; 318 of these examinations were on male patients (mean age, 63 years ± 13) and 365 were on female patients (mean age, 64 years ± 13). Test data were provided by the internal test data set (649 aneurysms [mean size, 4.1 mm ± 3.2] in 521 examinations, including 177 male patients and 344 female patients with mean age of 66 years ± 12 and 67 years ± 13, respectively) and the external test data set (80 aneurysms [mean size, 4.1 mm ± 2.1] in 67 examinations, including 19 male patients and 48 female patients with mean age of 63 years ± 12 and 68 years ± 12, respectively). The sensitivity was 91% (592 of 649) and 93% (74 of 80) for the internal and external test data sets, respectively. The algorithm improved aneurysm detection in the internal and external test data sets by 4.8% (31 of 649) and 13% (10 of 80), respectively, compared with the initial reports. Conclusion A deep learning algorithm detected cerebral aneurysms in radiologic reports with high sensitivity and improved aneurysm detection compared with the initial reports. © RSNA, 2018 See also the editorial by Flanders in this issue.</t>
  </si>
  <si>
    <t>D. Ueda, A. Yamamoto, M. Nishimori, T. Shimono, S. Doishita, A. Shimazaki, Y. Katayama, S. Fukumoto, A. Choppin, Y. Shimahara and Y. Miki</t>
  </si>
  <si>
    <t>A generative flow-based model for volumetric data augmentation in 3D deep learning for computed tomographic colonography</t>
  </si>
  <si>
    <t>PURPOSE: Deep learning can be used for improving the performance of computer-aided detection (CADe) in various medical imaging tasks. However, in computed tomographic (CT) colonography, the performance is limited by the relatively small size and the variety of the available training datasets. Our purpose in this study was to develop and evaluate a flow-based generative model for performing 3D data augmentation of colorectal polyps for effective training of deep learning in CADe for CT colonography. METHODS: We developed a 3D-convolutional neural network (3D CNN) based on a flow-based generative model (3D Glow) for generating synthetic volumes of interest (VOIs) that has characteristics similar to those of the VOIs of its training dataset. The 3D Glow was trained to generate synthetic VOIs of polyps by use of our clinical CT colonography case collection. The evaluation was performed by use of a human observer study with three observers and by use of a CADe-based polyp classification study with a 3D DenseNet. RESULTS: The area-under-the-curve values of the receiver operating characteristic analysis of the three observers were not statistically significantly different in distinguishing between real polyps and synthetic polyps. When trained with data augmentation by 3D Glow, the 3D DenseNet yielded a statistically significantly higher polyp classification performance than when it was trained with alternative augmentation methods. CONCLUSION: The 3D Glow-generated synthetic polyps are visually indistinguishable from real colorectal polyps. Their application to data augmentation can substantially improve the performance of 3D CNNs in CADe for CT colonography. Thus, 3D Glow is a promising method for improving the performance of deep learning in CADe for CT colonography.</t>
  </si>
  <si>
    <t>Uncertainty Assisted Robust Tuberculosis Identification With Bayesian Convolutional Neural Networks</t>
  </si>
  <si>
    <t>Tuberculosis (TB) is an infectious disease that can lead towards death if left untreated. TB detection involves extraction of complex TB manifestation features such as lung cavity, air space consolidation, endobronchial spread, and pleural effusions from chest x-rays (CXRs). Deep learning based approach named convolutional neural network (CNN) has the ability to learn complex features from CXR images. The main problem is that CNN does not consider uncertainty to classify CXRs using softmax layer. It lacks in presenting the true probability of CXRs by differentiating confusing cases during TB detection. This paper presents the solution for TB identification by using Bayesian-based convolutional neural network (B-CNN). It deals with the uncertain cases that have low discernibility among the TB and non-TB manifested CXRs. The proposed TB identification methodology based on B-CNN is evaluated on two TB benchmark datasets, i.e., Montgomery and Shenzhen. For training and testing of proposed scheme we have utilized Google Colab platform which provides NVidia Tesla K80 with 12 GB of VRAM, single core of 2.3 GHz Xeon Processor, 12 GB RAM and 320 GB of disk. B-CNN achieves 96.42% and 86.46% accuracy on both dataset, respectively as compared to the state-of-the-art machine learning and CNN approaches. Moreover, B-CNN validates its results by filtering the CXRs as confusion cases where the variance of B-CNN predicted outputs is more than a certain threshold. Results prove the supremacy of B-CNN for the identification of TB and non-TB sample CXRs as compared to counterparts in terms of accuracy, variance in the predicted probabilities and model uncertainty.</t>
  </si>
  <si>
    <t>Fully Automated Segmentation of Globes for Volume Quantification in CT Images of Orbits using Deep Learning</t>
  </si>
  <si>
    <t>BACKGROUND AND PURPOSE: Fast and accurate quantification of globe volumes in the event of an ocular trauma can provide clinicians with valuable diagnostic information. In this work, an automated workflow using a deep learning-based convolutional neural network is proposed for prediction of globe contours and their subsequent volume quantification in CT images of the orbits. MATERIALS AND METHODS: An automated workflow using a deep learning -based convolutional neural network is proposed for prediction of globe contours in CT images of the orbits. The network, 2D Modified Residual UNET (MRes-UNET2D), was trained on axial CT images from 80 subjects with no imaging or clinical findings of globe injuries. The predicted globe contours and volume estimates were compared with manual annotations by experienced observers on 2 different test cohorts. RESULTS: On the first test cohort (n = 18), the average Dice, precision, and recall scores were 0.95, 96%, and 95%, respectively. The average 95% Hausdorff distance was only 1.5 mm, with a 5.3% error in globe volume estimates. No statistically significant differences (P = .72) were observed in the median globe volume estimates from our model and the ground truth. On the second test cohort (n = 9) in which a neuroradiologist and 2 residents independently marked the globe contours, MRes-UNET2D (Dice = 0.95) approached human interobserver variability (Dice = 0.94). We also demonstrated the utility of inter-globe volume difference as a quantitative marker for trauma in 3 subjects with known globe injuries. CONCLUSIONS: We showed that with fast prediction times, we can reliably detect and quantify globe volumes in CT images of the orbits across a variety of acquisition parameters.</t>
  </si>
  <si>
    <t>K. Umehara</t>
  </si>
  <si>
    <t>Application of Super-Resolution Convolutional Neural Network for Enhancing Image Resolution in Chest CT</t>
  </si>
  <si>
    <t>In this study, the super-resolution convolutional neural network (SRCNN) scheme, which is the emerging deep-learning-based super-resolution method for enhancing image resolution in chest CT images, was applied and evaluated using the post-processing approach. For evaluation, 89 chest CT cases were sampled from The Cancer Imaging Archive. The 89 CT cases were divided randomly into 45 training cases and 44 external test cases. The SRCNN was trained using the training dataset. With the trained SRCNN, a high-resolution image was reconstructed from a low-resolution image, which was down-sampled from an original test image. For quantitative evaluation, two image quality metrics were measured and compared to those of the conventional linear interpolation methods. The image restoration quality of the SRCNN scheme was significantly higher than that of the linear interpolation methods (p &lt; 0.001 or p &lt; 0.05). The high-resolution image reconstructed by the SRCNN scheme was highly restored and comparable to the original reference image, in particular, for a ×2 magnification. These results indicate that the SRCNN scheme significantly outperforms the linear interpolation methods for enhancing image resolution in chest CT images. The results also suggest that SRCNN may become a potential solution for generating high-resolution CT images from standard CT images.</t>
  </si>
  <si>
    <t>K. Umehara, J. Ota and T. Ishida</t>
  </si>
  <si>
    <t>Enabling machine learning in X-ray-based procedures via realistic simulation of image formation</t>
  </si>
  <si>
    <t>PURPOSE: Machine learning-based approaches now outperform competing methods in most disciplines relevant to diagnostic radiology. Image-guided procedures, however, have not yet benefited substantially from the advent of deep learning, in particular because images for procedural guidance are not archived and thus unavailable for learning, and even if they were available, annotations would be a severe challenge due to the vast amounts of data. In silico simulation of X-ray images from 3D CT is an interesting alternative to using true clinical radiographs since labeling is comparably easy and potentially readily available. METHODS: We extend our framework for fast and realistic simulation of fluoroscopy from high-resolution CT, called DeepDRR, with tool modeling capabilities. The framework is publicly available, open source, and tightly integrated with the software platforms native to deep learning, i.e., Python, PyTorch, and PyCuda. DeepDRR relies on machine learning for material decomposition and scatter estimation in 3D and 2D, respectively, but uses analytic forward projection and noise injection to ensure acceptable computation times. On two X-ray image analysis tasks, namely (1) anatomical landmark detection and (2) segmentation and localization of robot end-effectors, we demonstrate that convolutional neural networks (ConvNets) trained on DeepDRRs generalize well to real data without re-training or domain adaptation. To this end, we use the exact same training protocol to train ConvNets on naïve and DeepDRRs and compare their performance on data of cadaveric specimens acquired using a clinical C-arm X-ray system. RESULTS: Our findings are consistent across both considered tasks. All ConvNets performed similarly well when evaluated on the respective synthetic testing set. However, when applied to real radiographs of cadaveric anatomy, ConvNets trained on DeepDRRs significantly outperformed ConvNets trained on naïve DRRs ([Formula: see text]). CONCLUSION: Our findings for both tasks are positive and promising. Combined with complementary approaches, such as image style transfer, the proposed framework for fast and realistic simulation of fluoroscopy from CT contributes to promoting the implementation of machine learning in X-ray-guided procedures. This paradigm shift has the potential to revolutionize intra-operative image analysis to simplify surgical workflows.</t>
  </si>
  <si>
    <t>M. Unberath, J. N. Zaech, C. Gao, B. Bier, F. Goldmann, S. C. Lee, J. Fotouhi, R. Taylor, M. Armand and N. Navab</t>
  </si>
  <si>
    <t>An Adversarial Network Architecture Using 2D U-Net Models for Segmentation of Left Ventricle from Cine Cardiac MRI</t>
  </si>
  <si>
    <t>Cardiac magnetic resonance imaging (CMRI) provides high resolution images ideal for assessing cardiac function and diagnosis of cardiovascular diseases. To assess cardiac function, estimation of ejection fraction, ventricular volume, mass and stroke volume are crucial, and the segmentation of left ventricle from CMRI is the first critical step. Fully convolutional neural network architectures have proved to be very efficient for medical image segmentation, with U-Net inspired architecture as the current state-of-the-art. Generative adversarial networks (GAN) inspired architectures have recently gained popularity in medical image segmentation with one of them being SegAN, a novel end-to-end adversarial neural network architecture. In this paper, we investigate SegAN with three different types of U-Net inspired architectures for left ventricle segmentation from cardiac MRI data. We performed our experiments on the 2017 ACDC segmentation challenge dataset. Our results show that the performance of U-Net architectures is better when trained in the SegAN framework than when trained stand-alone. The mean Dice scores achieved for three different U-Net architectures trained in the SegAN framework was on the order of 93.62%, 92.49% and 94.57%, showing a significant improvement over their Dice scores following stand-alone training - 92.58%), 91.46% and 93.81%, respectively.</t>
  </si>
  <si>
    <t>Funct Imaging Model Heart</t>
  </si>
  <si>
    <t>Automated Segmentation of Cardiac Chambers from Cine Cardiac MRI Using an Adversarial Network Architecture</t>
  </si>
  <si>
    <t>Cine cardiac magnetic resonance imaging (CMRI), the current gold standard for cardiac function analysis, provides images with high spatio-temporal resolution. Computing clinical cardiac parameters like ventricular blood-pool volumes, ejection fraction and myocardial mass from these high resolution images is an important step in cardiac disease diagnosis, therapy planning and monitoring cardiac health. An accurate segmentation of left ventricle blood-pool, myocardium and right ventricle blood-pool is crucial for computing these clinical cardiac parameters. U-Net inspired models are the current state-of-the-art for medical image segmentation. SegAN, a novel adversarial network architecture with multi-scale loss function, has shown superior segmentation performance over U-Net models with single-scale loss function. In this paper, we compare the performance of stand-alone U-Net models and U-Net models in SegAN framework for segmentation of left ventricle blood-pool, myocardium and right ventricle blood-pool from the 2017 ACDC segmentation challenge dataset. The mean Dice scores achieved by training U-Net models was on the order of 89.03%, 89.32% and 88.71% for left ventricle blood-pool, myocardium and right ventricle blood-pool, respectively. The mean Dice scores achieved by training the U-Net models in SegAN framework are 91.31%, 88.68% and 90.93% for left ventricle blood-pool, myocardium and right ventricle blood-pool, respectively.</t>
  </si>
  <si>
    <t>Deep Learning for Drug Discovery and Cancer Research: Automated Analysis of Vascularization Images</t>
  </si>
  <si>
    <t>Likely drug candidates which are identified in traditional pre-clinical drug screens often fail in patient trials, increasing the societal burden of drug discovery. A major contributing factor to this phenomenon is the failure of traditional in vitro models of drug response to accurately mimic many of the more complex properties of human biology. We have recently introduced a new microphysiological system for growing vascularized, perfused microtissues that more accurately models human physiology and is suitable for large drug screens. In this work, we develop a machine learning model that can quickly and accurately flag compounds which effectively disrupt vascular networks from images taken before and after drug application in vitro. The system is based on a convolutional neural network and achieves near perfect accuracy while committing potentially no expensive false negatives.</t>
  </si>
  <si>
    <t>Deep Learning Localizes and Identifies Polyps in Real Time With 96% Accuracy in Screening Colonoscopy</t>
  </si>
  <si>
    <t>BACKGROUND &amp; AIMS: The benefit of colonoscopy for colorectal cancer prevention depends on the adenoma detection rate (ADR). The ADR should reflect the adenoma prevalence rate, which is estimated to be higher than 50% in the screening-age population. However, the ADR by colonoscopists varies from 7% to 53%. It is estimated that every 1% increase in ADR lowers the risk of interval colorectal cancers by 3%-6%. New strategies are needed to increase the ADR during colonoscopy. We tested the ability of computer-assisted image analysis using convolutional neural networks (CNNs; a deep learning model for image analysis) to improve polyp detection, a surrogate of ADR. METHODS: We designed and trained deep CNNs to detect polyps using a diverse and representative set of 8,641 hand-labeled images from screening colonoscopies collected from more than 2000 patients. We tested the models on 20 colonoscopy videos with a total duration of 5 hours. Expert colonoscopists were asked to identify all polyps in 9 de-identified colonoscopy videos, which were selected from archived video studies, with or without benefit of the CNN overlay. Their findings were compared with those of the CNN using CNN-assisted expert review as the reference. RESULTS: When tested on manually labeled images, the CNN identified polyps with an area under the receiver operating characteristic curve of 0.991 and an accuracy of 96.4%. In the analysis of colonoscopy videos in which 28 polyps were removed, 4 expert reviewers identified 8 additional polyps without CNN assistance that had not been removed and identified an additional 17 polyps with CNN assistance (45 in total). All polyps removed and identified by expert review were detected by the CNN. The CNN had a false-positive rate of 7%. CONCLUSION: In a set of 8,641 colonoscopy images containing 4,088 unique polyps, the CNN identified polyps with a cross-validation accuracy of 96.4% and an area under the receiver operating characteristic curve of 0.991. The CNN system detected and localized polyps well within real-time constraints using an ordinary desktop machine with a contemporary graphics processing unit. This system could increase the ADR and decrease interval colorectal cancers but requires validation in large multicenter trials.</t>
  </si>
  <si>
    <t>G. Urban, P. Tripathi, T. Alkayali, M. Mittal, F. Jalali, W. Karnes and P. Baldi</t>
  </si>
  <si>
    <t>Detection of rheumatoid arthritis from hand radiographs using a convolutional neural network</t>
  </si>
  <si>
    <t>INTRODUCTION: Plain hand radiographs are the first-line and most commonly used imaging methods for diagnosis or differential diagnosis of rheumatoid arthritis (RA) and for monitoring disease activity. In this study, we used plain hand radiographs and tried to develop an automated diagnostic method using the convolutional neural networks to help physicians while diagnosing rheumatoid arthritis. METHODS: A convolutional neural network (CNN) is a deep learning method based on a multilayer neural network structure. The network was trained on a dataset containing 135 radiographs of the right hands, of which 61 were normal and 74 RA, and tested it on 45 radiographs, of which 20 were normal and 25 RA. RESULTS: The accuracy of the network was 73.33% and the error rate 0.0167. The sensitivity of the network was 0.6818; the specificity was 0.7826 and the precision 0.7500. CONCLUSION: Using only pixel information on hand radiographs, a multi-layer CNN architecture with online data augmentation was designed. The performance metrics such as accuracy, error rate, sensitivity, specificity, and precision state shows that the network is promising in diagnosing rheumatoid arthritis.</t>
  </si>
  <si>
    <t>Clin Rheumatol</t>
  </si>
  <si>
    <t>End-to-End Deep Diagnosis of X-ray Images</t>
  </si>
  <si>
    <t>We present an end-to-end deep learning frame-work for X-ray image diagnosis. As the first step, our system determines whether a submitted image is an X-ray or not. After it classifies the type of the X-ray, it runs the dedicated abnormality classification network. In this work, we only focus on the chest X-rays for abnormality classification. However, the system can be extended to other X-ray types easily. Our deep learning classifiers are based on DenseNet-121 architecture. The test set accuracy obtained for 'X-ray or Not', 'X-ray Type Classification', and 'Chest Abnormality Classification' tasks are 0.987, 0.976, and 0.947, respectively, resulting into an end-to-end accuracy of 0.91. For achieving better results than the state-of-the-art in the 'Chest Abnormality Classification', we utilize the new RAdam optimizer. We also use Gradient-weighted Class Activation Mapping for visual explanation of the results. Our results show the feasibility of a generalized online projectional radiography diagnosis system.</t>
  </si>
  <si>
    <t>A 3D-2D Hybrid U-Net Convolutional Neural Network Approach to Prostate Organ Segmentation of Multiparametric MRI</t>
  </si>
  <si>
    <t>OBJECTIVE: Prostate cancer is the most commonly diagnosed cancer in men in the United States with more than 200,000 new cases in 2018. Multiparametric MRI (mpMRI) is increasingly used for prostate cancer evaluation. Prostate organ segmentation is an essential step of surgical planning for prostate fusion biopsies. Deep learning convolutional neural networks (CNNs) are the predominant method of machine learning for medical image recognition. In this study, we describe a deep learning approach, a subset of artificial intelligence, for automatic localization and segmentation of prostates from mpMRI. MATERIALS AND METHODS: This retrospective study included patients who underwent prostate MRI and ultrasound-MRI fusion transrectal biopsy between September 2014 and December 2016. Axial T2-weighted images were manually segmented by two abdominal radiologists, which served as ground truth. These manually segmented images were used for training on a customized hybrid 3D-2D U-Net CNN architecture in a fivefold cross-validation paradigm for neural network training and validation. The Dice score, a measure of overlap between manually segmented and automatically derived segmentations, and Pearson linear correlation coefficient of prostate volume were used for statistical evaluation. RESULTS: The CNN was trained on 299 MRI examinations (total number of MR images = 7774) of 287 patients. The customized hybrid 3D-2D U-Net had a mean Dice score of 0.898 (range, 0.890-0.908) and a Pearson correlation coefficient for prostate volume of 0.974. CONCLUSION: A deep learning CNN can automatically segment the prostate organ from clinical MR images. Further studies should examine developing pattern recognition for lesion localization and quantification.</t>
  </si>
  <si>
    <t>10.1007/s40291-018-0366-4</t>
  </si>
  <si>
    <t>The Continuing Evolution of Molecular Functional Imaging in Clinical Oncology: The Road to Precision Medicine and Radiogenomics (Part I)</t>
  </si>
  <si>
    <t>The present era of precision medicine sees 'cancer' as a consequence of molecular derangements occurring at the commencement of the disease process, with morphologic changes happening much later in the process of tumorigenesis. Conventional imaging techniques, such as computed tomography (CT), ultrasound, and magnetic resonance imaging (MRI), play an integral role in the detection of disease at a macroscopic level. However, molecular functional imaging (MFI) techniques entail the visualisation and quantification of biochemical and physiological processes occurring during tumorigenesis, and thus has the potential to play a key role in heralding the transition from the concept of 'one size fits all' to 'precision medicine'. Integration of MFI with other fields of tumour biology such as genomics has spawned a novel concept called 'radiogenomics', which could serve as an indispensable tool in translational cancer research. With recent advances in medical image processing, such as texture analysis, deep learning, and artificial intelligence (AI), the future seems promising; however, their clinical utility remains unproven at present. Despite the emergence of novel imaging biomarkers, a majority of these require validation before clinical translation is possible. In this two-part review, we discuss the systematic collaboration across structural, anatomical, and molecular imaging techniques that constitute MFI. Part I reviews positron emission tomography, radiogenomics, AI, and optical imaging, while part II reviews MRI, CT and ultrasound, their current status, and recent advances in the field of precision oncology.</t>
  </si>
  <si>
    <t>T. Vaidya, A. Agrawal, S. Mahajan, M. H. Thakur and A. Mahajan</t>
  </si>
  <si>
    <t>Mol Diagn Ther</t>
  </si>
  <si>
    <t>10.1007/s40291-018-0367-3</t>
  </si>
  <si>
    <t>The Continuing Evolution of Molecular Functional Imaging in Clinical Oncology: The Road to Precision Medicine and Radiogenomics (Part II)</t>
  </si>
  <si>
    <t>The present era of precision medicine sees cancer as a consequence of molecular derangements occurring at the commencement of the disease process, with morphological changes happening much later in the process of tumourigenesis. Conventional imaging techniques, such as computed tomography (CT), ultrasound (US) and magnetic resonance imaging (MRI) play an integral role in the detection of disease at the macroscopic level. However, molecular functional imaging (MFI) techniques entail the visualisation and quantification of biochemical and physiological processes occurring during tumourigenesis. MFI has the potential to play a key role in heralding the transition from the concept of one-size-fits-all treatment to precision medicine. Integration of MFI with other fields of tumour biology such as genomics has spawned a novel concept called radiogenomics, which could serve as an indispensable tool in translational cancer research. With recent advances in medical image processing, such as texture analysis, deep learning and artificial intelligence, the future seems promising; however, their clinical utility remains unproven at present. Despite the emergence of novel imaging biomarkers, the majority of these require validation before clinical translation is possible. In this two part review, we discuss the systematic collaboration across structural, anatomical and molecular imaging techniques that constitute MFI. Part I reviews positron emission tomography, radiogenomics, AI, and optical imaging, while part II reviews MRI, CT and ultrasound, their current status, and recent advances in the field of precision oncology.</t>
  </si>
  <si>
    <t>Attention-Enriched Deep Learning Model for Breast Tumor Segmentation in Ultrasound Images</t>
  </si>
  <si>
    <t>Incorporating human domain knowledge for breast tumor diagnosis is challenging because shape, boundary, curvature, intensity or other common medical priors vary significantly across patients and cannot be employed. This work proposes a new approach to integrating visual saliency into a deep learning model for breast tumor segmentation in ultrasound images. Visual saliency refers to image maps containing regions that are more likely to attract radiologists' visual attention. The proposed approach introduces attention blocks into a U-Net architecture and learns feature representations that prioritize spatial regions with high saliency levels. The validation results indicate increased accuracy for tumor segmentation relative to models without salient attention layers. The approach achieved a Dice similarity coefficient (DSC) of 90.5% on a data set of 510 images. The salient attention model has the potential to enhance accuracy and robustness in processing medical images of other organs, by providing a means to incorporate task-specific knowledge into deep learning architectures.</t>
  </si>
  <si>
    <t>Transfer learning improves resting-state functional connectivity pattern analysis using convolutional neural networks</t>
  </si>
  <si>
    <t>BACKGROUND: Deep learning is gaining importance in the prediction of cognitive states and brain pathology based on neuroimaging data. Including multiple hidden layers in artificial neural networks enables unprecedented predictive power; however, the proper training of deep neural networks requires thousands of exemplars. Collecting this amount of data is not feasible in typical neuroimaging experiments. A handy solution to this problem, which has largely fallen outside the scope of deep learning applications in neuroimaging, is to repurpose deep networks that have already been trained on large datasets by fine-tuning them to target datasets/tasks with fewer exemplars. Here, we investigated how this method, called transfer learning, can aid age category classification and regression based on brain functional connectivity patterns derived from resting-state functional magnetic resonance imaging. We trained a connectome-convolutional neural network on a larger public dataset and then examined how the knowledge learned can be used effectively to perform these tasks on smaller target datasets collected with a different type of scanner and/or imaging protocol and pre-processing pipeline. RESULTS: Age classification on the target datasets benefitted from transfer learning. Significant improvement (∼9%-13% increase in accuracy) was observed when the convolutional layers' weights were initialized based on the values learned on the public dataset and then fine-tuned to the target datasets. Transfer learning also appeared promising in improving the otherwise poor prediction of chronological age. CONCLUSIONS: Transfer learning is a plausible solution to adapt convolutional neural networks to neuroimaging data with few exemplars and different data acquisition and pre-processing protocols.</t>
  </si>
  <si>
    <t>P. Vakli, R. J. Deák-Meszlényi, P. Hermann and Z. Vidnyánszky</t>
  </si>
  <si>
    <t>A microstructural neural network biomarker for dystonia diagnosis identified by a DystoniaNet deep learning platform</t>
  </si>
  <si>
    <t>Isolated dystonia is a neurological disorder of heterogeneous pathophysiology, which causes involuntary muscle contractions leading to abnormal movements and postures. Its diagnosis is remarkably challenging due to the absence of a biomarker or gold standard diagnostic test. This leads to a low agreement between clinicians, with up to 50% of cases being misdiagnosed and diagnostic delays extending up to 10.1 y. We developed a deep learning algorithmic platform, DystoniaNet, to automatically identify and validate a microstructural neural network biomarker for dystonia diagnosis from raw structural brain MRIs of 612 subjects, including 392 patients with three different forms of isolated focal dystonia and 220 healthy controls. DystoniaNet identified clusters in corpus callosum, anterior and posterior thalamic radiations, inferior fronto-occipital fasciculus, and inferior temporal and superior orbital gyri as the biomarker components. These regions are known to contribute to abnormal interhemispheric information transfer, heteromodal sensorimotor processing, and executive control of motor commands in dystonia pathophysiology. The DystoniaNet-based biomarker showed an overall accuracy of 98.8% in diagnosing dystonia, with a referral of 3.5% of cases due to diagnostic uncertainty. The diagnostic decision by DystoniaNet was computed in 0.36 s per subject. DystoniaNet significantly outperformed shallow machine-learning algorithms in benchmark comparisons, showing nearly a 20% increase in its diagnostic performance. Importantly, the microstructural neural network biomarker and its DystoniaNet platform showed substantial improvement over the current 34% agreement on dystonia diagnosis between clinicians. The translational potential of this biomarker is in its highly accurate, interpretable, and generalizable performance for enhanced clinical decision-making.</t>
  </si>
  <si>
    <t>Cytokeratin-Supervised Deep Learning for Automatic Recognition of Epithelial Cells in Breast Cancers Stained for ER, PR, and Ki-67</t>
  </si>
  <si>
    <t>Immunohistochemistry (IHC) of ER, PR, and Ki-67 are routinely used assays in breast cancer diagnostics. Determination of the proportion of stained cells (labeling index) should be restricted on malignant epithelial cells, carefully avoiding tumor infiltrating stroma and inflammatory cells. Here, we developed a deep learning based digital mask for automated epithelial cell detection using fluoro-chromogenic cytokeratin-Ki-67 double staining and sequential hematoxylin-IHC staining as training material. A partially pre-trained deep convolutional neural network was fine-tuned using image batches from 152 patient samples of invasive breast tumors. Validity of the trained digital epithelial cell masks was studied with 366 images captured from 98 unseen samples, by comparing the epithelial cell masks to cytokeratin images and by visual evaluation of the brightfield images performed by two pathologists. A good discrimination of epithelial cells was achieved (AUC of mean ROC = 0.93; defined as the area under mean receiver operating characteristics), and well in concordance with pathologists' visual assessment (4.01/5 and 4.67/5). The effect of epithelial cell masking on the Ki-67 labeling index was substantial. 52 tumor images initially classified as low proliferation (Ki-67 &lt; 14%) without epithelial cell masking were re-classified as high proliferation (Ki-67 ≥ 14%) after applying the deep learning based epithelial cell mask. The digital epithelial cell masks were found applicable also to IHC of ER and PR. We conclude that deep learning can be applied to detect carcinoma cells in breast cancer samples stained with conventional brightfield IHC.</t>
  </si>
  <si>
    <t>10.1007/s40120-019-00153-8</t>
  </si>
  <si>
    <t>Deep Learning and Neurology: A Systematic Review</t>
  </si>
  <si>
    <t>Deciphering the massive volume of complex electronic data that has been compiled by hospital systems over the past decades has the potential to revolutionize modern medicine, as well as present significant challenges. Deep learning is uniquely suited to address these challenges, and recent advances in techniques and hardware have poised the field of medical machine learning for transformational growth. The clinical neurosciences are particularly well positioned to benefit from these advances given the subtle presentation of symptoms typical of neurologic disease. Here we review the various domains in which deep learning algorithms have already provided impetus for change-areas such as medical image analysis for the improved diagnosis of Alzheimer's disease and the early detection of acute neurologic events; medical image segmentation for quantitative evaluation of neuroanatomy and vasculature; connectome mapping for the diagnosis of Alzheimer's, autism spectrum disorder, and attention deficit hyperactivity disorder; and mining of microscopic electroencephalogram signals and granular genetic signatures. We additionally note important challenges in the integration of deep learning tools in the clinical setting and discuss the barriers to tackling the challenges that currently exist.</t>
  </si>
  <si>
    <t>Neurol Ther</t>
  </si>
  <si>
    <t>Convolutional Neural Networks for the Segmentation of Microcalcification in Mammography Imaging</t>
  </si>
  <si>
    <t>Cluster of microcalcifications can be an early sign of breast cancer. In this paper, we propose a novel approach based on convolutional neural networks for the detection and segmentation of microcalcification clusters. In this work, we used 283 mammograms to train and validate our model, obtaining an accuracy of 99.99% on microcalcification detection and a false positive rate of 0.005%. Our results show how deep learning could be an effective tool to effectively support radiologists during mammograms examination.</t>
  </si>
  <si>
    <t>RatLesNetv2: A Fully Convolutional Network for Rodent Brain Lesion Segmentation</t>
  </si>
  <si>
    <t>We present a fully convolutional neural network (ConvNet), named RatLesNetv2, for segmenting lesions in rodent magnetic resonance (MR) brain images. RatLesNetv2 architecture resembles an autoencoder and it incorporates residual blocks that facilitate its optimization. RatLesNetv2 is trained end to end on three-dimensional images and it requires no preprocessing. We evaluated RatLesNetv2 on an exceptionally large dataset composed of 916 T2-weighted rat brain MRI scans of 671 rats at nine different lesion stages that were used to study focal cerebral ischemia for drug development. In addition, we compared its performance with three other ConvNets specifically designed for medical image segmentation. RatLesNetv2 obtained similar to higher Dice coefficient values than the other ConvNets and it produced much more realistic and compact segmentations with notably fewer holes and lower Hausdorff distance. The Dice scores of RatLesNetv2 segmentations also exceeded inter-rater agreement of manual segmentations. In conclusion, RatLesNetv2 could be used for automated lesion segmentation, reducing human workload and improving reproducibility. RatLesNetv2 is publicly available at https://github.com/jmlipman/RatLesNetv2.</t>
  </si>
  <si>
    <t>10.1097/wco.0000000000000589</t>
  </si>
  <si>
    <t>How useful is muscle ultrasound in the diagnostic workup of neuromuscular diseases?</t>
  </si>
  <si>
    <t>PURPOSE OF REVIEW: This review focuses on developments in muscle ultrasound as a noninvasive and accurate tool for the diagnosis and follow-up of neuromuscular disease. It discusses current muscle ultrasound applications with already proven clinical value, and highlights recent technical developments that may further advance muscle ultrasounds' diagnostic qualities. RECENT FINDINGS: The sensitivity and specificity of muscle ultrasound for detecting a neuromuscular disorder are high (90-95%), and quantitative ultrasound is well suited to monitor disease progression in several disorders. Adding ultrasound to electromyography significantly improves diagnostic certainty in patients with suspected motor neuron disease, and ultrasound increases the detection of fasciculations with 30-50%. New developments include speckle tracking of tissue motion to quantify diaphragm excursions and diminished muscle contractility in dystrophy, and strain elastography to detect changes in muscle stiffness and anisotropy during contraction and in disease states. Deep learning algorithms are being developed to predict the presence of a muscle disease and differentiate between disorders. SUMMARY: Muscle ultrasound is excellent for screening, diagnosing, and follow-up of neuromuscular disease. New developments are underway to automate and objectify the diagnostic process, and to quantify tissue motion that can provide new insights in pathophysiology and serve as a biomarker.</t>
  </si>
  <si>
    <t>Eliminating biasing signals in lung cancer images for prognosis predictions with deep learning</t>
  </si>
  <si>
    <t>Deep learning has shown remarkable results for image analysis and is expected to aid individual treatment decisions in health care. Treatment recommendations are predictions with an inherently causal interpretation. To use deep learning for these applications in the setting of observational data, deep learning methods must be made compatible with the required causal assumptions. We present a scenario with real-world medical images (CT-scans of lung cancer) and simulated outcome data. Through the data simulation scheme, the images contain two distinct factors of variation that are associated with survival, but represent a collider (tumor size) and a prognostic factor (tumor heterogeneity), respectively. When a deep network would use all the information available in the image to predict survival, it would condition on the collider and thereby introduce bias in the estimation of the treatment effect. We show that when this collider can be quantified, unbiased individual prognosis predictions are attainable with deep learning. This is achieved by (1) setting a dual task for the network to predict both the outcome and the collider and (2) enforcing a form of linear independence of the activation distributions of the last layer. Our method provides an example of combining deep learning and structural causal models to achieve unbiased individual prognosis predictions. Extensions of machine learning methods for applications to causal questions are required to attain the long-standing goal of personalized medicine supported by artificial intelligence.</t>
  </si>
  <si>
    <t>W. A. C. van Amsterdam, J. J. C. Verhoeff, P. A. de Jong, T. Leiner and M. J. C. Eijkemans</t>
  </si>
  <si>
    <t>Systematic Comparison of Heatmapping Techniques in Deep Learning in the Context of Diabetic Retinopathy Lesion Detection</t>
  </si>
  <si>
    <t>PURPOSE: Heatmapping techniques can support explainability of deep learning (DL) predictions in medical image analysis. However, individual techniques have been mainly applied in a descriptive way without an objective and systematic evaluation. We investigated comparative performances using diabetic retinopathy lesion detection as a benchmark task. METHODS: The Indian Diabetic Retinopathy Image Dataset (IDRiD) publicly available database contains fundus images of diabetes patients with pixel level annotations of diabetic retinopathy (DR) lesions, the ground truth for this study. Three in advance trained DL models (ResNet50, VGG16 or InceptionV3) were used for DR detection in these images. Next, explainability was visualized with each of the 10 most used heatmapping techniques. The quantitative correspondence between the output of a heatmap and the ground truth was evaluated with the Explainability Consistency Score (ECS), a metric between 0 and 1, developed for this comparative task. RESULTS: In case of the overall DR lesions detection, the ECS ranged from 0.21 to 0.51 for all model/heatmapping combinations. The highest score was for VGG16+Grad-CAM (ECS = 0.51; 95% confidence interval [CI]: [0.46; 0.55]). For individual lesions, VGG16+Grad-CAM performed best on hemorrhages and hard exudates. ResNet50+SmoothGrad performed best for soft exudates and ResNet50+Guided Backpropagation performed best for microaneurysms. CONCLUSIONS: Our empirical evaluation on the IDRiD database demonstrated that the combination DL model/heatmapping affects explainability when considering common DR lesions. Our approach found considerable disagreement between regions highlighted by heatmaps and expert annotations. TRANSLATIONAL RELEVANCE: We warrant a more systematic investigation and analysis of heatmaps for reliable explanation of image-based predictions of deep learning models.</t>
  </si>
  <si>
    <t>Transl Vis Sci Technol</t>
  </si>
  <si>
    <t>Stacked Bidirectional Convolutional LSTMs for Deriving 3D Non-Contrast CT From Spatiotemporal 4D CT</t>
  </si>
  <si>
    <t>The imaging workup in acute stroke can be simplified by deriving non-contrast CT (NCCT) from CT perfusion (CTP) images. This results in reduced workup time and radiation dose. To achieve this, we present a stacked bidirectional convolutional LSTM (C-LSTM) network to predict 3D volumes from 4D spatiotemporal data. Several parameterizations of the C-LSTM network were trained on a set of 17 CTP-NCCT pairs to learn to derive a NCCT from CTP and were subsequently quantitatively evaluated on a separate cohort of 16 cases. The results show that the C-LSTM network clearly outperforms the baseline and competitive convolutional neural network methods. We show good scalability and performance of the method by continued training and testing on an independent dataset which includes pathology of 80 and 83 CTP-NCCT pairs, respectively. C-LSTM is, therefore, a promising general deep learning approach to learn from high-dimensional spatiotemporal medical images.</t>
  </si>
  <si>
    <t>S. C. van de Leemput, M. Prokop, B. van Ginneken and R. Manniesing</t>
  </si>
  <si>
    <t>Advanced X-ray CT scanning can boost tree ring research for earth system sciences</t>
  </si>
  <si>
    <t>BACKGROUND AND AIMS: Tree rings, as archives of the past and biosensors of the present, offer unique opportunities to study influences of the fluctuating environment over decades to centuries. As such, tree-ring-based wood traits are capital input for global vegetation models. To contribute to earth system sciences, however, sufficient spatial coverage is required of detailed individual-based measurements, necessitating large amounts of data. X-ray computed tomography (CT) scanning is one of the few techniques that can deliver such data sets. METHODS: Increment cores of four different temperate tree species were scanned with a state-of-the-art X-ray CT system at resolutions ranging from 60 μm down to 4.5 μm, with an additional scan at a resolution of 0.8 μm of a splinter-sized sample using a second X-ray CT system to highlight the potential of cell-level scanning. Calibration-free densitometry, based on full scanner simulation of a third X-ray CT system, is illustrated on increment cores of a tropical tree species. KEY RESULTS: We show how multiscale scanning offers unprecedented potential for mapping tree rings and wood traits without sample manipulation and with limited operator intervention. Custom-designed sample holders enable simultaneous scanning of multiple increment cores at resolutions sufficient for tree ring analysis and densitometry as well as single core scanning enabling quantitative wood anatomy, thereby approaching the conventional thin section approach. Standardized X-ray CT volumes are, furthermore, ideal input imagery for automated pipelines with neural-based learning for tree ring detection and measurements of wood traits. CONCLUSIONS: Advanced X-ray CT scanning for high-throughput processing of increment cores is within reach, generating pith-to-bark ring width series, density profiles and wood trait data. This would allow contribution to large-scale monitoring and modelling efforts with sufficient global coverage.</t>
  </si>
  <si>
    <t>Ann Bot</t>
  </si>
  <si>
    <t>Automated Fetal Head Detection and Circumference Estimation from Free-Hand Ultrasound Sweeps Using Deep Learning in Resource-Limited Countries</t>
  </si>
  <si>
    <t>Ultrasound imaging remains out of reach for most pregnant women in developing countries because it requires a trained sonographer to acquire and interpret the images. We address this problem by presenting a system that can automatically estimate the fetal head circumference (HC) from data obtained with use of the obstetric sweep protocol (OSP). The OSP consists of multiple pre-defined sweeps with the ultrasound transducer over the abdomen of the pregnant woman. The OSP can be taught within a day to any health care worker without prior knowledge of ultrasound. An experienced sonographer acquired both the standard plane-to obtain the reference HC-and the OSP from 183 pregnant women in St. Luke's Hospital, Wolisso, Ethiopia. The OSP data, which will most likely not contain the standard plane, was used to automatically estimate HC using two fully convolutional neural networks. First, a VGG-Net-inspired network was trained to automatically detect the frames that contained the fetal head. Second, a U-net-inspired network was trained to automatically measure the HC for all frames in which the first network detected a fetal head. The HC was estimated from these frame measurements, and the curve of Hadlock was used to determine gestational age (GA). The results indicated that most automatically estimated GAs fell within the P2.5-P97.5 interval of the Hadlock curve compared with the GAs obtained from the reference HC, so it is possible to automatically estimate GA from OSP data. Our method therefore has potential application for providing maternal care in resource-constrained countries.</t>
  </si>
  <si>
    <t>T. L. A. van den Heuvel, H. Petros, S. Santini, C. L. de Korte and B. van Ginneken</t>
  </si>
  <si>
    <t>Deep learning enables automatic quantitative assessment of puborectalis muscle and urogenital hiatus in plane of minimal hiatal dimensions</t>
  </si>
  <si>
    <t>OBJECTIVES: To measure the length, width and area of the urogenital hiatus (UH), and the length and mean echogenicity (MEP) of the puborectalis muscle (PRM), automatically and observer-independently, in the plane of minimal hiatal dimensions on transperineal ultrasound (TPUS) images, by automatic segmentation of the UH and the PRM using deep learning. METHODS: In 1318 three- and four-dimensional (3D/4D) TPUS volume datasets from 253 nulliparae at 12 and 36 weeks' gestation, two-dimensional (2D) images in the plane of minimal hiatal dimensions with the PRM at rest, on maximum contraction and on maximum Valsalva maneuver, were obtained manually and the UH and PRM were segmented manually. In total, 713 of the images were used to train a convolutional neural network (CNN) to segment automatically the UH and PRM in the plane of minimal hiatal dimensions. In the remainder of the dataset (test set 1 (TS1); 601 images, four having been excluded), the performance of the CNN was evaluated by comparing automatic and manual segmentations. The performance of the CNN was also tested on 117 images from an independent dataset (test set 2 (TS2); two images having been excluded) from 40 nulliparae at 12 weeks' gestation, which were acquired and segmented manually by a different observer. The success of automatic segmentation was assessed visually. Based on the CNN segmentations, the following clinically relevant parameters were measured: the length, width and area of the UH, the length of the PRM and MEP. The overlap (Dice similarity index (DSI)) and surface distance (mean absolute distance (MAD) and Hausdorff distance (HDD)) between manual and CNN segmentations were measured to investigate their similarity. For the measured clinically relevant parameters, the intraclass correlation coefficients (ICCs) between manual and CNN results were determined. RESULTS: Fully automatic CNN segmentation was successful in 99.0% and 93.2% of images in TS1 and TS2, respectively. DSI, MAD and HDD showed good overlap and distance between manual and CNN segmentations in both test sets. This was reflected in the respective ICC values in TS1 and TS2 for the length (0.96 and 0.95), width (0.77 and 0.87) and area (0.96 and 0.91) of the UH, the length of the PRM (0.87 and 0.73) and MEP (0.95 and 0.97), which showed good to very good agreement. CONCLUSION: Deep learning can be used to segment automatically and reliably the PRM and UH on 2D ultrasound images of the nulliparous pelvic floor in the plane of minimal hiatal dimensions. These segmentations can be used to measure reliably UH dimensions as well as PRM length and MEP. © 2018 The Authors. Ultrasound in Obstetrics &amp; Gynecology published by John Wiley &amp; Sons Ltd on behalf of the International Society of Ultrasound in Obstetrics and Gynecology.</t>
  </si>
  <si>
    <t>Deep learning for automated exclusion of cardiac CT examinations negative for coronary artery calcium</t>
  </si>
  <si>
    <t>PURPOSE: Coronary artery calcium (CAC) score has shown to be an accurate predictor of future cardiovascular events. Early detection by CAC scoring might reduce the number of deaths by cardiovascular disease (CVD). Automatically excluding scans which test negative for CAC could significantly reduce the workload of radiologists. We propose an algorithm that both excludes negative scans and segments the CAC. METHOD: The training and internal validation data were collected from the ROBINSCA study. The external validation data were collected from the ImaLife study. Both contain annotated low-dose non-contrast cardiac CT scans. 60 scans of participants were used for training and 2 sets of 50 CT scans of participants without CAC and 50 CT scans of participants with an Agatston score between 10 and 20 were collected for both internal and external validation. The effect of dilated convolutional layers was tested by using 2 CNN architectures. We used the patient-level accuracy as metric for assessing the accuracy of our pipeline for detection of CAC and the Dice coefficient score as metric for the segmentation of CAC. RESULTS: Of the 50 negative cases in the internal and external validation set, 62 % and 86 % were classified correctly, respectively. There were no false negative predictions. For the segmentation task, Dice Coefficient scores of 0.63 and 0.84 were achieved for the internal and external validation datasets, respectively. CONCLUSIONS: Our algorithm excluded 86 % of all scans without CAC. Radiologists might need to spend less time on participants without CAC and could spend more time on participants that need their attention.</t>
  </si>
  <si>
    <t>Deep learning predictions of survival based on MRI in amyotrophic lateral sclerosis</t>
  </si>
  <si>
    <t>Amyotrophic lateral sclerosis (ALS) is a progressive neuromuscular disease, with large variation in survival between patients. Currently, it remains rather difficult to predict survival based on clinical parameters alone. Here, we set out to use clinical characteristics in combination with MRI data to predict survival of ALS patients using deep learning, a machine learning technique highly effective in a broad range of big-data analyses. A group of 135 ALS patients was included from whom high-resolution diffusion-weighted and T1-weighted images were acquired at the first visit to the outpatient clinic. Next, each of the patients was monitored carefully and survival time to death was recorded. Patients were labeled as short, medium or long survivors, based on their recorded time to death as measured from the time of disease onset. In the deep learning procedure, the total group of 135 patients was split into a training set for deep learning (n = 83 patients), a validation set (n = 20) and an independent evaluation set (n = 32) to evaluate the performance of the obtained deep learning networks. Deep learning based on clinical characteristics predicted survival category correctly in 68.8% of the cases. Deep learning based on MRI predicted 62.5% correctly using structural connectivity and 62.5% using brain morphology data. Notably, when we combined the three sources of information, deep learning prediction accuracy increased to 84.4%. Taken together, our findings show the added value of MRI with respect to predicting survival in ALS, demonstrating the advantage of deep learning in disease prognostication.</t>
  </si>
  <si>
    <t>H. K. van der Burgh, R. Schmidt, H. J. Westeneng, M. A. de Reus, L. H. van den Berg and M. P. van den Heuvel</t>
  </si>
  <si>
    <t>Dual-energy CT for automatic organs-at-risk segmentation in brain-tumor patients using a multi-atlas and deep-learning approach</t>
  </si>
  <si>
    <t>In radiotherapy, computed tomography (CT) datasets are mostly used for radiation treatment planning to achieve a high-conformal tumor coverage while optimally sparing healthy tissue surrounding the tumor, referred to as organs-at-risk (OARs). Based on CT scan and/or magnetic resonance images, OARs have to be manually delineated by clinicians, which is one of the most time-consuming tasks in the clinical workflow. Recent multi-atlas (MA) or deep-learning (DL) based methods aim to improve the clinical routine by an automatic segmentation of OARs on a CT dataset. However, so far no studies investigated the performance of these MA or DL methods on dual-energy CT (DECT) datasets, which have been shown to improve the image quality compared to conventional 120 kVp single-energy CT. In this study, the performance of an in-house developed MA and a DL method (two-step three-dimensional U-net) was quantitatively and qualitatively evaluated on various DECT-derived pseudo-monoenergetic CT datasets ranging from 40 keV to 170 keV. At lower energies, the MA method resulted in more accurate OAR segmentations. Both the qualitative and quantitative metric analysis showed that the DL approach often performed better than the MA method.</t>
  </si>
  <si>
    <t>Segmentation of glandular epithelium in colorectal tumours to automatically compartmentalise IHC biomarker quantification: A deep learning approach</t>
  </si>
  <si>
    <t>In this paper, we propose a method for automatically annotating slide images from colorectal tissue samples. Our objective is to segment glandular epithelium in histological images from tissue slides submitted to different staining techniques, including usual haematoxylin-eosin (H&amp;E) as well as immunohistochemistry (IHC). The proposed method makes use of Deep Learning and is based on a new convolutional network architecture. Our method achieves better performances than the state of the art on the H&amp;E images of the GlaS challenge contest, whereas it uses only the haematoxylin colour channel extracted by colour deconvolution from the RGB images in order to extend its applicability to IHC. The network only needs to be fine-tuned on a small number of additional examples to be accurate on a new IHC dataset. Our approach also includes a new method of data augmentation to achieve good generalisation when working with different experimental conditions and different IHC markers. We show that our methodology enables to automate the compartmentalisation of the IHC biomarker analysis, results concurring highly with manual annotations.</t>
  </si>
  <si>
    <t>Y. R. Van Eycke, C. Balsat, L. Verset, O. Debeir, I. Salmon and C. Decaestecker</t>
  </si>
  <si>
    <t>Automatic Measurement of Kidney and Liver Volumes from MR Images of Patients Affected by Autosomal Dominant Polycystic Kidney Disease</t>
  </si>
  <si>
    <t>BACKGROUND: The formation and growth of cysts in kidneys, and often liver, in autosomal dominant polycystic kidney disease (ADPKD) cause progressive increases in total kidney volume (TKV) and liver volume (TLV). Laborious and time-consuming manual tracing of kidneys and liver is the current gold standard. We developed a fully automated segmentation method for TKV and TLV measurement that uses a deep learning network optimized to perform semantic segmentation of kidneys and liver. METHODS: We used 80% of a set of 440 abdominal magnetic resonance images (T2-weighted HASTE coronal sequences) from patients with ADPKD to train the network and the remaining 20% for validation. Both kidneys and liver were also segmented manually. To evaluate the method's performance, we used an additional test set of images from 100 patients, 45 of whom were also involved in longitudinal analyses. RESULTS: TKV and TLV measured by the automated approach correlated highly with manually traced TKV and TLV (intraclass correlation coefficients, 0.998 and 0.996, respectively), with low bias and high precision (&lt;0.1%±2.7% for TKV and -1.6%±3.1% for TLV); this was comparable with inter-reader variability of manual tracing (&lt;0.1%±3.5% for TKV and -1.5%±4.8% for TLV). For longitudinal analysis, bias and precision were &lt;0.1%±3.2% for TKV and 1.4%±2.9% for TLV growth. CONCLUSIONS: These findings demonstrate a fully automated segmentation method that measures TKV, TLV, and changes in these parameters as accurately as manual tracing. This technique may facilitate future studies in which automated and reproducible TKV and TLV measurements are needed to assess disease severity, disease progression, and treatment response.</t>
  </si>
  <si>
    <t>J Am Soc Nephrol</t>
  </si>
  <si>
    <t>10.1007/s12194-017-0394-5</t>
  </si>
  <si>
    <t>Fifty years of computer analysis in chest imaging: rule-based, machine learning, deep learning</t>
  </si>
  <si>
    <t>Half a century ago, the term computer-aided diagnosis (CAD) was introduced in the scientific literature. Pulmonary imaging, with chest radiography and computed tomography, has always been one of the focus areas in this field. In this study, I describe how machine learning became the dominant technology for tackling CAD in the lungs, generally producing better results than do classical rule-based approaches, and how the field is now rapidly changing: in the last few years, we have seen how even better results can be obtained with deep learning. The key differences among rule-based processing, machine learning, and deep learning are summarized and illustrated for various applications of CAD in the chest.</t>
  </si>
  <si>
    <t>B. van Ginneken</t>
  </si>
  <si>
    <t>Computational Radiomics System to Decode the Radiographic Phenotype</t>
  </si>
  <si>
    <t>Radiomics aims to quantify phenotypic characteristics on medical imaging through the use of automated algorithms. Radiomic artificial intelligence (AI) technology, either based on engineered hard-coded algorithms or deep learning methods, can be used to develop noninvasive imaging-based biomarkers. However, lack of standardized algorithm definitions and image processing severely hampers reproducibility and comparability of results. To address this issue, we developed PyRadiomics, a flexible open-source platform capable of extracting a large panel of engineered features from medical images. PyRadiomics is implemented in Python and can be used standalone or using 3D Slicer. Here, we discuss the workflow and architecture of PyRadiomics and demonstrate its application in characterizing lung lesions. Source code, documentation, and examples are publicly available at www.radiomics.io With this platform, we aim to establish a reference standard for radiomic analyses, provide a tested and maintained resource, and to grow the community of radiomic developers addressing critical needs in cancer research. Cancer Res; 77(21); e104-7. ©2017 AACR.</t>
  </si>
  <si>
    <t>J. J. M. van Griethuysen, A. Fedorov, C. Parmar, A. Hosny, N. Aucoin, V. Narayan, R. G. H. Beets-Tan, J. C. Fillion-Robin, S. Pieper and H. Aerts</t>
  </si>
  <si>
    <t>Fast Convolutional Neural Network Training Using Selective Data Sampling: Application to Hemorrhage Detection in Color Fundus Images</t>
  </si>
  <si>
    <t>Convolutional neural networks (CNNs) are deep learning network architectures that have pushed forward the state-of-the-art in a range of computer vision applications and are increasingly popular in medical image analysis. However, training of CNNs is time-consuming and challenging. In medical image analysis tasks, the majority of training examples are easy to classify and therefore contribute little to the CNN learning process. In this paper, we propose a method to improve and speed-up the CNN training for medical image analysis tasks by dynamically selecting misclassified negative samples during training. Training samples are heuristically sampled based on classification by the current status of the CNN. Weights are assigned to the training samples and informative samples are more likely to be included in the next CNN training iteration. We evaluated and compared our proposed method by training a CNN with (SeS) and without (NSeS) the selective sampling method. We focus on the detection of hemorrhages in color fundus images. A decreased training time from 170 epochs to 60 epochs with an increased performance-on par with two human experts-was achieved with areas under the receiver operating characteristics curve of 0.894 and 0.972 on two data sets. The SeS CNN statistically outperformed the NSeS CNN on an independent test set.</t>
  </si>
  <si>
    <t>M. J. van Grinsven, B. van Ginneken, C. B. Hoyng, T. Theelen and C. I. Sanchez</t>
  </si>
  <si>
    <t>Application of speCtraL computed tomogrAphy to impRove specIficity of cardiac compuTed tomographY (CLARITY study): rationale and design</t>
  </si>
  <si>
    <t>INTRODUCTION: Anatomic stenosis evaluation on coronary CT angiography (CCTA) lacks specificity in indicating the functional significance of a stenosis. Recent developments in CT techniques (including dual-layer spectral detector CT [SDCT] and static stress CT perfusion [CTP]) and image analyses (including fractional flow reserve [FFR] derived from CCTA images [FFR(CT)] and deep learning analysis [DL]) are potential strategies to increase the specificity of CCTA by combining both anatomical and functional information in one investigation. The aim of the current study is to assess the diagnostic performance of (combinations of) SDCT, CTP, FFR(CT) and DL for the identification of functionally significant coronary artery stenosis. METHODS AND ANALYSIS: Seventy-five patients aged 18 years and older with stable angina and known coronary artery disease and scheduled to undergo clinically indicated invasive FFR will be enrolled. All subjects will undergo the following SDCT scans: coronary calcium scoring, static stress CTP, rest CCTA and if indicated (history of myocardial infarction) a delayed enhancement acquisition. Invasive FFR of ≤0.80, measured within 30 days after the SDCT scans, will be used as reference to indicate a functionally significant stenosis. The primary study endpoint is the diagnostic performance of SDCT (including CTP) for the identification of functionally significant coronary artery stenosis. Secondary study endpoint is the diagnostic performance of SDCT, CTP, FFR(CT) and DL separately and combined for the identification of functionally significant coronary artery stenosis. ETHICS AND DISSEMINATION: Ethical approval was obtained. All subjects will provide written informed consent. Study findings will be disseminated through peer-reviewed conference presentations and journal publications. TRIAL REGISTRATION NUMBER: NCT03139006; Pre-results.</t>
  </si>
  <si>
    <t>Deep learning analysis of left ventricular myocardium in CT angiographic intermediate-degree coronary stenosis improves the diagnostic accuracy for identification of functionally significant stenosis</t>
  </si>
  <si>
    <t>OBJECTIVES: To evaluate the added value of deep learning (DL) analysis of the left ventricular myocardium (LVM) in resting coronary CT angiography (CCTA) over determination of coronary degree of stenosis (DS), for identification of patients with functionally significant coronary artery stenosis. METHODS: Patients who underwent CCTA prior to an invasive fractional flow reserve (FFR) measurement were retrospectively selected. Highest DS from CCTA was used to classify patients as having non-significant (≤ 24% DS), intermediate (25-69% DS), or significant stenosis (≥ 70% DS). Patients with intermediate stenosis were referred for fully automatic DL analysis of the LVM. The DL algorithm characterized the LVM, and likely encoded information regarding shape, texture, contrast enhancement, and more. Based on these encodings, features were extracted and patients classified as having a non-significant or significant stenosis. Diagnostic performance of the combined method was evaluated and compared to DS evaluation only. Functionally significant stenosis was defined as FFR ≤ 0.8 or presence of angiographic high-grade stenosis (≥ 90% DS). RESULTS: The final study population consisted of 126 patients (77% male, 59 ± 9 years). Eighty-one patients (64%) had a functionally significant stenosis. The proposed method resulted in improved discrimination (AUC = 0.76) compared to classification based on DS only (AUC = 0.68). Sensitivity and specificity were 92.6% and 31.1% for DS only (≥ 50% indicating functionally significant stenosis), and 84.6% and 48.4% for the proposed method. CONCLUSION: The combination of DS with DL analysis of the LVM in intermediate-degree coronary stenosis may result in improved diagnostic performance for identification of patients with functionally significant coronary artery stenosis. KEY POINTS: • Assessment of degree of coronary stenosis on CCTA has consistently high sensitivity and negative predictive value, but has limited specificity for identifying the functional significance of a stenosis. • Deep learning algorithms are able to learn complex patterns and relationships directly from the images without prior specification of which image features represent presence of disease, and thereby may be more sensitive to subtle changes in the LVM caused by functionally significant stenosis. • Addition of deep learning analysis of the left ventricular myocardium to the evaluation of degree of coronary artery stenosis improves diagnostic performance and increases specificity of resting CCTA. This could potentially decrease the number of patients undergoing invasive coronary angiography.</t>
  </si>
  <si>
    <t>R. W. van Hamersvelt, M. Zreik, M. Voskuil, M. A. Viergever, I. Išgum and T. Leiner</t>
  </si>
  <si>
    <t>Automated Assessment of Bone Age Using Deep Learning and Gaussian Process Regression</t>
  </si>
  <si>
    <t>Bone age is an essential measure of skeletal maturity in children with growth disorders. It is typically assessed by a trained physician using radiographs of the hand and a reference model. However, it has been described that the reference models leave room for interpretation leading to a large inter-observer and intra-observer variation. In this work, we explore a novel method for automated bone age assessment to assist physicians with their estimation. It consists of a powerful combination of deep learning and Gaussian process regression. Using this combination, sensitivity of the deep learning model to rotations and flips of the input images can be exploited to increase overall predictive performance compared to only using the deep learning network. We validate our approach retrospectively on a set of 12611 radiographs of patients between 0 and 19 years of age.</t>
  </si>
  <si>
    <t>T. Van Steenkiste, J. Ruyssinck, O. Janssens, B. Vandersmissen, F. Vandecasteele, P. Devolder, E. Achten, S. Van Hoecke, D. Deschrijver and T. Dhaene</t>
  </si>
  <si>
    <t>Learning Cross-Modality Representations From Multi-Modal Images</t>
  </si>
  <si>
    <t>Machine learning algorithms can have difficulties adapting to data from different sources, for example from different imaging modalities. We present and analyze three techniques for unsupervised cross-modality feature learning, using a shared autoencoder-like convolutional network that learns a common representation from multi-modal data. We investigate a form of feature normalization, a learning objective that minimizes cross-modality differences, and modality dropout, in which the network is trained with varying subsets of modalities. We measure the same-modality and cross-modality classification accuracies and explore whether the models learn modality-specific or shared features. This paper presents experiments on two public data sets, with knee images from two MRI modalities, provided by the Osteoarthritis Initiative, and brain tumor segmentation on four MRI modalities from the BRATS challenge. All three approaches improved the cross-modality classification accuracy, with modality dropout and per-feature normalization giving the largest improvement. We observed that the networks tend to learn a combination of cross-modality and modality-specific features. Overall, a combination of all three methods produced the most cross-modality features and the highest cross-modality classification accuracy, while maintaining most of the same-modality accuracy.</t>
  </si>
  <si>
    <t>G. van Tulder and M. de Bruijne</t>
  </si>
  <si>
    <t>Deep Learning Automates the Quantitative Analysis of Individual Cells in Live-Cell Imaging Experiments</t>
  </si>
  <si>
    <t>Live-cell imaging has opened an exciting window into the role cellular heterogeneity plays in dynamic, living systems. A major critical challenge for this class of experiments is the problem of image segmentation, or determining which parts of a microscope image correspond to which individual cells. Current approaches require many hours of manual curation and depend on approaches that are difficult to share between labs. They are also unable to robustly segment the cytoplasms of mammalian cells. Here, we show that deep convolutional neural networks, a supervised machine learning method, can solve this challenge for multiple cell types across the domains of life. We demonstrate that this approach can robustly segment fluorescent images of cell nuclei as well as phase images of the cytoplasms of individual bacterial and mammalian cells from phase contrast images without the need for a fluorescent cytoplasmic marker. These networks also enable the simultaneous segmentation and identification of different mammalian cell types grown in co-culture. A quantitative comparison with prior methods demonstrates that convolutional neural networks have improved accuracy and lead to a significant reduction in curation time. We relay our experience in designing and optimizing deep convolutional neural networks for this task and outline several design rules that we found led to robust performance. We conclude that deep convolutional neural networks are an accurate method that require less curation time, are generalizable to a multiplicity of cell types, from bacteria to mammalian cells, and expand live-cell imaging capabilities to include multi-cell type systems.</t>
  </si>
  <si>
    <t>D. A. Van Valen, T. Kudo, K. M. Lane, D. N. Macklin, N. T. Quach, M. M. DeFelice, I. Maayan, Y. Tanouchi, E. A. Ashley and M. W. Covert</t>
  </si>
  <si>
    <t>Deep Learning for Automatic Calcium Scoring in CT: Validation Using Multiple Cardiac CT and Chest CT Protocols</t>
  </si>
  <si>
    <t>Background Although several deep learning (DL) calcium scoring methods have achieved excellent performance for specific CT protocols, their performance in a range of CT examination types is unknown. Purpose To evaluate the performance of a DL method for automatic calcium scoring across a wide range of CT examination types and to investigate whether the method can adapt to different types of CT examinations when representative images are added to the existing training data set. Materials and Methods The study included 7240 participants who underwent various types of nonenhanced CT examinations that included the heart: coronary artery calcium (CAC) scoring CT, diagnostic CT of the chest, PET attenuation correction CT, radiation therapy treatment planning CT, CAC screening CT, and low-dose CT of the chest. CAC and thoracic aorta calcification (TAC) were quantified using a convolutional neural network trained with (a) 1181 low-dose chest CT examinations (baseline), (b) a small set of examinations of the respective type supplemented to the baseline (data specific), and (c) a combination of examinations of all available types (combined). Supplemental training sets contained 199-568 CT images depending on the calcium burden of each population. The DL algorithm performance was evaluated with intraclass correlation coefficients (ICCs) between DL and manual (Agatston) CAC and (volume) TAC scoring and with linearly weighted κ values for cardiovascular risk categories (Agatston score; cardiovascular disease risk categories: 0, 1-10, 11-100, 101-400, &gt;400). Results At baseline, the DL algorithm yielded ICCs of 0.79-0.97 for CAC and 0.66-0.98 for TAC across the range of different types of CT examinations. ICCs improved to 0.84-0.99 (CAC) and 0.92-0.99 (TAC) for CT protocol-specific training and to 0.85-0.99 (CAC) and 0.96-0.99 (TAC) for combined training. For assignment of cardiovascular disease risk category, the κ value for all test CT scans was 0.90 (95% confidence interval [CI]: 0.89, 0.91) for the baseline training. It increased to 0.92 (95% CI: 0.91, 0.93) for both data-specific and combined training. Conclusion A deep learning calcium scoring algorithm for quantification of coronary and thoracic calcium was robust, despite substantial differences in CT protocol and variations in subject population. Augmenting the algorithm training with CT protocol-specific images further improved algorithm performance. © RSNA, 2020 See also the editorial by Vannier in this issue.</t>
  </si>
  <si>
    <t>10.1016/j.jmr.2019.07.034</t>
  </si>
  <si>
    <t>Over the past decades, the field of in vivo magnetic resonance (MR) has built up an impressive repertoire of data acquisition and analysis technologies for anatomical, functional, physiological, and molecular imaging, the description of which requires many book volumes. As such it is impossible for a few authors to have an authoritative overview of the field and for a brief article to be inclusive. We will therefore focus mainly on data acquisition and attempt to give some insight into the principles underlying current advanced methods in the field and the potential for further innovation. In our view, the foreseeable future is expected to show continued rapid progress, for instance in imaging of microscopic tissue properties in vivo, assessment of functional and anatomical connectivity, higher resolution physiologic and metabolic imaging, and even imaging of receptor binding. In addition, acquisition speed and information content will continue to increase due to the continuous development of approaches for parallel imaging (including simultaneous multi-slice imaging), compressed sensing, and MRI fingerprinting. Finally, artificial intelligence approaches are becoming more realistic and will have a tremendous effect on both acquisition and analysis strategies. Together, these developments will continue to provide opportunity for scientific discovery and, in combination with large data sets from other fields such as genomics, allow the ultimate realization of precision medicine in the clinic.</t>
  </si>
  <si>
    <t>J Magn Reson</t>
  </si>
  <si>
    <t>Reconstructing faces from fMRI patterns using deep generative neural networks</t>
  </si>
  <si>
    <t>Although distinct categories are reliably decoded from fMRI brain responses, it has proved more difficult to distinguish visually similar inputs, such as different faces. Here, we apply a recently developed deep learning system to reconstruct face images from human fMRI. We trained a variational auto-encoder (VAE) neural network using a GAN (Generative Adversarial Network) unsupervised procedure over a large data set of celebrity faces. The auto-encoder latent space provides a meaningful, topologically organized 1024-dimensional description of each image. We then presented several thousand faces to human subjects, and learned a simple linear mapping between the multi-voxel fMRI activation patterns and the 1024 latent dimensions. Finally, we applied this mapping to novel test images, translating fMRI patterns into VAE latent codes, and codes into face reconstructions. The system not only performed robust pairwise decoding (&gt;95% correct), but also accurate gender classification, and even decoded which face was imagined, rather than seen.</t>
  </si>
  <si>
    <t>Commun Biol</t>
  </si>
  <si>
    <t>Predicting optical coherence tomography-derived diabetic macular edema grades from fundus photographs using deep learning</t>
  </si>
  <si>
    <t>Center-involved diabetic macular edema (ci-DME) is a major cause of vision loss. Although the gold standard for diagnosis involves 3D imaging, 2D imaging by fundus photography is usually used in screening settings, resulting in high false-positive and false-negative calls. To address this, we train a deep learning model to predict ci-DME from fundus photographs, with an ROC-AUC of 0.89 (95% CI: 0.87-0.91), corresponding to 85% sensitivity at 80% specificity. In comparison, retinal specialists have similar sensitivities (82-85%), but only half the specificity (45-50%, p &lt; 0.001). Our model can also detect the presence of intraretinal fluid (AUC: 0.81; 95% CI: 0.81-0.86) and subretinal fluid (AUC 0.88; 95% CI: 0.85-0.91). Using deep learning to make predictions via simple 2D images without sophisticated 3D-imaging equipment and with better than specialist performance, has broad relevance to many other applications in medical imaging.</t>
  </si>
  <si>
    <t>Deep Learning for Predicting Refractive Error From Retinal Fundus Images</t>
  </si>
  <si>
    <t>PURPOSE: We evaluate how deep learning can be applied to extract novel information such as refractive error from retinal fundus imaging. METHODS: Retinal fundus images used in this study were 45- and 30-degree field of view images from the UK Biobank and Age-Related Eye Disease Study (AREDS) clinical trials, respectively. Refractive error was measured by autorefraction in UK Biobank and subjective refraction in AREDS. We trained a deep learning algorithm to predict refractive error from a total of 226,870 images and validated it on 24,007 UK Biobank and 15,750 AREDS images. Our model used the attention method to identify features that are correlated with refractive error. RESULTS: The resulting algorithm had a mean absolute error (MAE) of 0.56 diopters (95% confidence interval [CI]: 0.55-0.56) for estimating spherical equivalent on the UK Biobank data set and 0.91 diopters (95% CI: 0.89-0.93) for the AREDS data set. The baseline expected MAE (obtained by simply predicting the mean of this population) was 1.81 diopters (95% CI: 1.79-1.84) for UK Biobank and 1.63 (95% CI: 1.60-1.67) for AREDS. Attention maps suggested that the foveal region was one of the most important areas used by the algorithm to make this prediction, though other regions also contribute to the prediction. CONCLUSIONS: To our knowledge, the ability to estimate refractive error with high accuracy from retinal fundus photos has not been previously known and demonstrates that deep learning can be applied to make novel predictions from medical images.</t>
  </si>
  <si>
    <t>A. V. Varadarajan, R. Poplin, K. Blumer, C. Angermueller, J. Ledsam, R. Chopra, P. A. Keane, G. S. Corrado, L. Peng and D. R. Webster</t>
  </si>
  <si>
    <t>CT scan AI-aided triage for patients with COVID-19 in China</t>
  </si>
  <si>
    <t>V. Vardhanabhuti</t>
  </si>
  <si>
    <t>Automatic segmentation of hyperreflective foci in OCT images</t>
  </si>
  <si>
    <t>BACKGROUND AND OBJECTIVE: The leading cause of vision loss in the Western World is Age-related Macular Degeneration (AMD), but together with modern medicines, tracking the number of Hyperreflective Foci (HF) on Optical Coherence Tomography (OCT) images should assist the treatment of patients. Here, we developed a framework based on deep learning for the automatic segmentation of HF in OCT images. METHODS: We collected OCT images and annotated them, then these images underwent image preprocessing, and feature extraction steps. Using the prepared data we trained different types of Conventional-, Deep- and Convolutional Neural Networks to perform the task of the automatic segmentation of HF. RESULTS: We evaluated the various Neural Networks, by performing HF segmentation of clinical data belonging to patients, whose data were excluded from the training process. The results suggest that our systems can achieve reasonably high Dice Coefficient values, and they are comparable with (i.e., in most cases above 95%) the similarity between manual annotations performed by different physicians. CONCLUSION: From the results, it can be concluded that neural networks can be used to accurately segment HF in OCT images. The results are sufficiently accurate for us to incorporate them into the next phase of the research, building a decision support system for everyday clinical practice.</t>
  </si>
  <si>
    <t>Unboxing AI - Radiological Insights Into a Deep Neural Network for Lung Nodule Characterization</t>
  </si>
  <si>
    <t>RATIONALE AND OBJECTIVES: To explain predictions of a deep residual convolutional network for characterization of lung nodule by analyzing heat maps. MATERIALS AND METHODS: A 20-layer deep residual CNN was trained on 1245 Chest CTs from National Lung Screening Trial (NLST) trial to predict the malignancy risk of a nodule. We used occlusion to systematically block regions of a nodule and map drops in malignancy risk score to generate clinical attribution heatmaps on 103 nodules from Lung Image Database Consortium image collection and Image Database Resource Initiative (LIDC-IDRI) dataset, which were analyzed by a thoracic radiologist. The features were described as heat inside nodule -bright areas inside nodule, peripheral heat continuous/interrupted bright areas along nodule contours, heat in adjacent plane -brightness in scan planes juxtaposed with the nodule, satellite heat - a smaller bright spot in proximity to nodule in the same scan plane, heat map larger than nodule bright areas corresponding to the shape of the nodule seen outside the nodule margins and heat in calcification. RESULTS: These six features were assigned binary values. This feature vector was fedinto a standard J48 decision tree with 10-fold cross-validation, which gave an 85 % weighted classification accuracy with a 77.8% True Positive (TP) rate, 8% False Positive (FP) rate for benign cases and 91.8% TP and 22.2% FP rates for malignant cases. Heat Inside nodule was more frequently observed in nodules classified as malignant whereas peripheral heat, heat in adjacent plane, and satellite heat were more commonly seen in nodules classified as benign. CONCLUSION: We discuss the potential ability of a radiologist to visually parse the deep learning algorithm generated heat map to identify features aiding classification.</t>
  </si>
  <si>
    <t>Knowledge-based and deep learning-based automated chest wall segmentation in magnetic resonance images of extremely dense breasts</t>
  </si>
  <si>
    <t>PURPOSE: Segmentation of the chest wall, is an important component of methods for automated analysis of breast magnetic resonance imaging (MRI). Methods reported to date show promising results but have difficulties delineating the muscle border correctly in breasts with a large proportion of fibroglandular tissue (i.e., dense breasts). Knowledge-based methods (KBMs) as well as methods based on deep learning have been proposed, but a systematic comparison of these approaches within one cohort of images is currently lacking. Therefore, we developed a KBM and a deep learning method for segmentation of the chest wall in MRI of dense breasts and compared their performances. METHODS: Two automated methods were developed, an optimized KBM incorporating heuristics aimed at shape, location, and gradient features, and a deep learning-based method (DLM) using a dilated convolution neural network. A data set of 115 T1-weighted MR images was randomly selected from MR images of women with extremely dense breasts (ACR BI-RADS category 4) participating in a screening trial of women (mean age 56.6 yr, range 49.5-75.2 yr) with dense breasts. Manual segmentations of the chest wall, acquired under supervision of an experienced breast radiologist, were available for all data sets. Both methods were optimized using the same randomly selected 36 MRI data sets from a total of 115 data sets. Each MR data set consisted of 179 transversal images with voxel size 0.64 mm(3)  × 0.64 mm(3)  × 1.00 mm(3) . In the remaining 79 data sets, the results of both segmentation methods were qualitatively evaluated. A radiologist reviewed the segmentation results of both methods in all transversal images (n = 14 141) and determined whether the result would impact the ability to accurately determine the volume of fibroglandular and fatty tissue and whether segmentations masked breast regions that might harbor lesions. When no relevant deviation was detected, the result was considered successful. In addition, all segmentations were quantitatively assessed using the Dice similarity coefficient (DSC) and Hausdorff distance (HD), 95th percentile of the Hausdorff distance (HD95), false positive fraction (FPF), and false negative fraction (FNF) metrics. RESULTS: According to the radiologist's evaluation, the DLM had a significantly higher success rate than the KBM (81.6% vs 78.4%, P &lt; 0.01). The success rate was further improved to 92.1% by combining both methods. Similarly, the DLM had significantly lower values for FNF (0.003 ± 0.003 vs 0.009 ± 0.011, P &lt; 0.01) and HD95 (2.58 ± 1.78 mm vs 3.37 ± 2.11, P &lt; 0.01). However, the KBM resulted in a significantly lower FPF than the DLM (0.018 ± 0.009 vs 0.030 ± 0.009, P &lt; 0.01).There was no significant difference between the KBM and DLM in terms of DSC (0.982 ± 0.006 vs 0.984 ± 0.008, P = 0.08) or HD (24.14 ± 20.69 mm vs 12.81 ± 27.28 mm, P = 0.05). CONCLUSION: Both optimized knowledge-based and DLM showed good results to segment the pectoral muscle in women with dense breasts. Qualitatively assessed, the DLM was the most robust method. A quantitative comparison, however, did not indicate a preference for one method over the other.</t>
  </si>
  <si>
    <t>CAI4CAI: The Rise of Contextual Artificial Intelligence in Computer Assisted Interventions</t>
  </si>
  <si>
    <t>Data-driven computational approaches have evolved to enable extraction of information from medical images with a reliability, accuracy and speed which is already transforming their interpretation and exploitation in clinical practice. While similar benefits are longed for in the field of interventional imaging, this ambition is challenged by a much higher heterogeneity. Clinical workflows within interventional suites and operating theatres are extremely complex and typically rely on poorly integrated intra-operative devices, sensors, and support infrastructures. Taking stock of some of the most exciting developments in machine learning and artificial intelligence for computer assisted interventions, we highlight the crucial need to take context and human factors into account in order to address these challenges. Contextual artificial intelligence for computer assisted intervention, or CAI4CAI, arises as an emerging opportunity feeding into the broader field of surgical data science. Central challenges being addressed in CAI4CAI include how to integrate the ensemble of prior knowledge and instantaneous sensory information from experts, sensors and actuators; how to create and communicate a faithful and actionable shared representation of the surgery among a mixed human-AI actor team; how to design interventional systems and associated cognitive shared control schemes for online uncertainty-aware collaborative decision making ultimately producing more precise and reliable interventions.</t>
  </si>
  <si>
    <t>10.1016/j.jacr.2019.05.040</t>
  </si>
  <si>
    <t>The Role of Generative Adversarial Networks in Radiation Reduction and Artifact Correction in Medical Imaging</t>
  </si>
  <si>
    <t>Adversarial networks were developed to complete powerful image-processing tasks on the basis of example images provided to train the networks. These networks are relatively new in the field of deep learning and have proved to have unique strengths that can potentially benefit radiology. Specifically, adversarial networks have the potential to decrease radiation exposure to patients through minimizing repeat imaging due to artifact, decreasing acquisition time, and generating higher quality images from low-dose or no-dose studies. The authors provide an overview of a specific type of adversarial network called a generalized adversarial network and review its uses in current medical imaging research.</t>
  </si>
  <si>
    <t>10.1016/j.neubiorev.2017.01.002</t>
  </si>
  <si>
    <t>Using deep learning to investigate the neuroimaging correlates of psychiatric and neurological disorders: Methods and applications</t>
  </si>
  <si>
    <t>Deep learning (DL) is a family of machine learning methods that has gained considerable attention in the scientific community, breaking benchmark records in areas such as speech and visual recognition. DL differs from conventional machine learning methods by virtue of its ability to learn the optimal representation from the raw data through consecutive nonlinear transformations, achieving increasingly higher levels of abstraction and complexity. Given its ability to detect abstract and complex patterns, DL has been applied in neuroimaging studies of psychiatric and neurological disorders, which are characterised by subtle and diffuse alterations. Here we introduce the underlying concepts of DL and review studies that have used this approach to classify brain-based disorders. The results of these studies indicate that DL could be a powerful tool in the current search for biomarkers of psychiatric and neurologic disease. We conclude our review by discussing the main promises and challenges of using DL to elucidate brain-based disorders, as well as possible directions for future research.</t>
  </si>
  <si>
    <t>Neurosci Biobehav Rev</t>
  </si>
  <si>
    <t>10.1111/micc.12542</t>
  </si>
  <si>
    <t>Reconstruction of coronary circulation networks: A review of methods</t>
  </si>
  <si>
    <t>Building anatomically accurate models of the coronary vascular system enables potentially deeper understandings of coronary circulation. To achieve this, (a) images at different levels of vascular network-arteries, arterioles, capillaries, venules, and veins-need to be obtained through suitable imaging modalities; and (b) from images, morphological and topological information needs to be extracted using image processing techniques. While there are several modalities that enable the imaging of large vessels, microcirculation imaging-capturing vessels having diameter lesser than 100 μm-has to date been typically confined to small regions of the heart. This spatially limited microcirculatory information has often been used within cardiac models, with the potentially erroneous assumption that it is representative of the whole organ. However, with the recent advancements in imaging and image processing, it is rapidly becoming feasible to acquire, process, and quantify microcirculation data at the scale of whole organ. In this review, we summarize the progress toward this goal followed through a presentation of the current state-of-the-art imaging and image processing techniques in the context of coronary microcirculation extraction, prominently but not exclusively, from small animals.</t>
  </si>
  <si>
    <t>Microcirculation</t>
  </si>
  <si>
    <t>Advanced Machine Learning-Based Analytics on COVID-19 Data Using Generative Adversarial Networks</t>
  </si>
  <si>
    <t>The domain of medical diagnosis and predictive analytics is one of the key domains of research with enormous dimensions whereby the diseases of different types can be predicted. Nowadays, there is a huge panic of impact and rapid mutation of the COVID-19 virus impression. The world is getting affected by this virus to a huge extent and there is no vaccine developed so far. India is also having more than 10,000 patients with than 300 deceased. The global human community is having around 20 lacs of Coronavirus patients. The Generative Adversarial Network (GAN) is the contemporary high-performance approach in which the use of advanced neural networks is done for the cavernous analytics of the images and multimedia data. In this research work, the analytics of key points from medical images of the COVID-19 dataset is to be presented using which the diagnosis and predictions can be done for the patients. The GANs are used for the generation, transformation as well as presentation of the dataset and key points using advanced deep learning models which can analyze the patterns in the medical images including X-Ray, CT Scan, and many others. Using such approaches with the integration of GANs, the overall predictive analytics can be made high performance aware as compared to the classical neural networks with multiple layers. In this research manuscript, the inscription of work is projected on the benchmark datasets with the advanced scripting so that the predictive mining and knowledge discovery can be done effectively with more accuracy.</t>
  </si>
  <si>
    <t>Mater Today Proc</t>
  </si>
  <si>
    <t>10.1016/j.sbi.2018.11.004</t>
  </si>
  <si>
    <t>Advances in image processing for single-particle analysis by electron cryomicroscopy and challenges ahead</t>
  </si>
  <si>
    <t>Electron cryomicroscopy (cryoEM) is essential for the study and functional understanding of non-crystalline macromolecules such as proteins. These molecules cannot be imaged using X-ray crystallography or other popular methods. CryoEM has been successfully used to visualize macromolecular complexes such as ribosomes, viruses, and ion channels. Determination of structural models of these at various conformational states leads to insight on how these molecules function. Recent advances in imaging technology have given cryoEM a scientific rebirth. As a result of these technological advances image processing and analysis have yielded molecular structures at atomic resolution. Nevertheless there continue to be challenges in image processing, and in this article we will touch on the most essential in order to derive an accurate three-dimensional model from noisy projection images. Traditional approaches, such as k-means clustering for class averaging, will be provided as background. We will then highlight new approaches for each image processing subproblem, including a 3D reconstruction method for asymmetric molecules using just two projection images and deep learning algorithms for automated particle picking.</t>
  </si>
  <si>
    <t>Curr Opin Struct Biol</t>
  </si>
  <si>
    <t>Non-contact physiological monitoring of preterm infants in the Neonatal Intensive Care Unit</t>
  </si>
  <si>
    <t>The implementation of video-based non-contact technologies to monitor the vital signs of preterm infants in the hospital presents several challenges, such as the detection of the presence or the absence of a patient in the video frame, robustness to changes in lighting conditions, automated identification of suitable time periods and regions of interest from which vital signs can be estimated. We carried out a clinical study to evaluate the accuracy and the proportion of time that heart rate and respiratory rate can be estimated from preterm infants using only a video camera in a clinical environment, without interfering with regular patient care. A total of 426.6 h of video and reference vital signs were recorded for 90 sessions from 30 preterm infants in the Neonatal Intensive Care Unit (NICU) of the John Radcliffe Hospital in Oxford. Each preterm infant was recorded under regular ambient light during daytime for up to four consecutive days. We developed multi-task deep learning algorithms to automatically segment skin areas and to estimate vital signs only when the infant was present in the field of view of the video camera and no clinical interventions were undertaken. We propose signal quality assessment algorithms for both heart rate and respiratory rate to discriminate between clinically acceptable and noisy signals. The mean absolute error between the reference and camera-derived heart rates was 2.3 beats/min for over 76% of the time for which the reference and camera data were valid. The mean absolute error between the reference and camera-derived respiratory rate was 3.5 breaths/min for over 82% of the time. Accurate estimates of heart rate and respiratory rate could be derived for at least 90% of the time, if gaps of up to 30 seconds with no estimates were allowed.</t>
  </si>
  <si>
    <t>M. Villarroel, S. Chaichulee, J. Jorge, S. Davis, G. Green, C. Arteta, A. Zisserman, K. McCormick, P. Watkinson and L. Tarassenko</t>
  </si>
  <si>
    <t>Automated detection of third molars and mandibular nerve by deep learning</t>
  </si>
  <si>
    <t>The approximity of the inferior alveolar nerve (IAN) to the roots of lower third molars (M3) is a risk factor for the occurrence of nerve damage and subsequent sensory disturbances of the lower lip and chin following the removal of third molars. To assess this risk, the identification of M3 and IAN on dental panoramic radiographs (OPG) is mandatory. In this study, we developed and validated an automated approach, based on deep-learning, to detect and segment the M3 and IAN on OPGs. As a reference, M3s and IAN were segmented manually on 81 OPGs. A deep-learning approach based on U-net was applied on the reference data to train the convolutional neural network (CNN) in the detection and segmentation of the M3 and IAN. Subsequently, the trained U-net was applied onto the original OPGs to detect and segment both structures. Dice-coefficients were calculated to quantify the degree of similarity between the manually and automatically segmented M3s and IAN. The mean dice-coefficients for M3s and IAN were 0.947 ± 0.033 and 0.847 ± 0.099, respectively. Deep-learning is an encouraging approach to segment anatomical structures and later on in clinical decision making, though further enhancement of the algorithm is advised to improve the accuracy.</t>
  </si>
  <si>
    <t>Ultrafast (milliseconds), multidimensional RF pulse design with deep learning</t>
  </si>
  <si>
    <t>PURPOSE: Some advanced RF pulses, like multidimensional RF pulses, are often long and require substantial computation time because of a number of constraints and requirements, sometimes hampering clinical use. However, the pulses offer opportunities of reduced-FOV imaging, regional flip-angle homogenization, and localized spectroscopy, e.g., of hyperpolarized metabolites. Proposed herein is a novel deep learning approach to ultrafast design of multidimensional RF pulses with intention of real-time pulse updates. METHODS: The proposed neural network considers input maps of the desired excitation region of interest and outputs a single-channel, multidimensional RF pulse. The training library is, e.g., retrieved from a large image database, and the target RF pulses trained upon are calculated with a method of choice. RESULTS: A relatively simple neural network is enough to produce reliable 2D spatial-selective RF pulses of comparable performance to the teaching method. For binary regions of interest, the training library does not need to be vast; hence, reestablishment of the training library is not necessarily cumbersome. The predicted pulses were tested numerically and experimentally at 3 T. CONCLUSION: Relatively effortless training of multidimensional RF pulses, based on non-MRI-related inputs, but working in an MRI setting still, has been demonstrated. The prediction time of a few milliseconds renders real-time updates of advanced RF pulses possible.</t>
  </si>
  <si>
    <t>BACKGROUND: With the explosive growth of global data, the term Big Data describes the enormous size of dataset through the detailed analysis. The big data analytics revealed the hidden patterns and secret correlations among the values. The major challenges in Big data analysis are due to increase of volume, variety, and velocity. The capturing of images with multi-directional views initiates the image set classification which is an attractive research study in the volumetricbased medical image processing. METHODS: This paper proposes the Local N-ary Ternary Patterns (LNTP) and Modified Deep Belief Network (MDBN) to alleviate the dimensionality and robustness issues. Initially, the proposed LNTP-MDBN utilizes the filtering technique to identify and remove the dependent and independent noise from the images. Then, the application of smoothening and the normalization techniques on the filtered image improves the intensity of the images. RESULTS: The LNTP-based feature extraction categorizes the heterogeneous images into different categories and extracts the features from each category. Based on the extracted features, the modified DBN classifies the normal and abnormal categories in the image set finally. CONCLUSION: The comparative analysis of proposed LNTP-MDBN with the existing pattern extraction and DBN learning models regarding classification accuracy and runtime confirms the effectiveness in mining applications.</t>
  </si>
  <si>
    <t>Deep monocular 3D reconstruction for assisted navigation in bronchoscopy</t>
  </si>
  <si>
    <t>PURPOSE: In bronchoschopy, computer vision systems for navigation assistance are an attractive low-cost solution to guide the endoscopist to target peripheral lesions for biopsy and histological analysis. We propose a decoupled deep learning architecture that projects input frames onto the domain of CT renderings, thus allowing offline training from patient-specific CT data. METHODS: A fully convolutional network architecture is implemented on GPU and tested on a phantom dataset involving 32 video sequences and [Formula: see text]60k frames with aligned ground truth and renderings, which is made available as the first public dataset for bronchoscopy navigation. RESULTS: An average estimated depth accuracy of 1.5 mm was obtained, outperforming conventional direct depth estimation from input frames by 60%, and with a computational time of [Formula: see text]30 ms on modern GPUs. Qualitatively, the estimated depth and renderings closely resemble the ground truth. CONCLUSIONS: The proposed method shows a novel architecture to perform real-time monocular depth estimation without losing patient specificity in bronchoscopy. Future work will include integration within SLAM systems and collection of in vivo datasets.</t>
  </si>
  <si>
    <t>M. Visentini-Scarzanella, T. Sugiura, T. Kaneko and S. Koto</t>
  </si>
  <si>
    <t>10.1007/s00259-019-04373-w</t>
  </si>
  <si>
    <t>Artificial intelligence, machine (deep) learning and radio(geno)mics: definitions and nuclear medicine imaging applications</t>
  </si>
  <si>
    <t>Techniques from the field of artificial intelligence, and more specifically machine (deep) learning methods, have been core components of most recent developments in the field of medical imaging. They are already being exploited or are being considered to tackle most tasks, including image reconstruction, processing (denoising, segmentation), analysis and predictive modelling. In this review we introduce and define these key concepts and discuss how the techniques from this field can be applied to nuclear medicine imaging applications with a particular focus on radio(geno)mics.</t>
  </si>
  <si>
    <t>Improving realism in patient-specific abdominal ultrasound simulation using CycleGANs</t>
  </si>
  <si>
    <t>PURPOSE: In this paper, we propose to apply generative adversarial neural networks trained with a cycle consistency loss, or CycleGANs, to improve realism in ultrasound (US) simulation from computed tomography (CT) scans. METHODS: A ray-casting US simulation approach is used to generate intermediate synthetic images from abdominal CT scans. Then, an unpaired set of these synthetic and real US images is used to train CycleGANs with two alternative architectures for the generator, a U-Net and a ResNet. These networks are finally used to translate ray-casting based simulations into more realistic synthetic US images. RESULTS: Our approach was evaluated both qualitatively and quantitatively. A user study performed by 21 experts in US imaging shows that both networks significantly improve realism with respect to the original ray-casting algorithm ([Formula: see text]), with the ResNet model performing better than the U-Net ([Formula: see text]). CONCLUSION: Applying CycleGANs allows to obtain better synthetic US images of the abdomen. These results can contribute to reduce the gap between artificially generated and real US scans, which might positively impact in applications such as semi-supervised training of machine learning algorithms and low-cost training of medical doctors and radiologists in US image interpretation.</t>
  </si>
  <si>
    <t>Patient-specific and global convolutional neural networks for robust automatic liver tumor delineation in follow-up CT studies</t>
  </si>
  <si>
    <t>Radiological longitudinal follow-up of tumors in CT scans is essential for disease assessment and liver tumor therapy. Currently, most tumor size measurements follow the RECIST guidelines, which can be off by as much as 50%. True volumetric measurements are more accurate but require manual delineation, which is time-consuming and user-dependent. We present a convolutional neural networks (CNN) based method for robust automatic liver tumor delineation in longitudinal CT studies that uses both global and patient specific CNNs trained on a small database of delineated images. The inputs are the baseline scan and the tumor delineation, a follow-up scan, and a liver tumor global CNN voxel classifier built from radiologist-validated liver tumor delineations. The outputs are the tumor delineations in the follow-up CT scan. The baseline scan tumor delineation serves as a high-quality prior for the tumor characterization in the follow-up scans. It is used to evaluate the global CNN performance on the new case and to reliably predict failures of the global CNN on the follow-up scan. High-scoring cases are segmented with a global CNN; low-scoring cases, which are predicted to be failures of the global CNN, are segmented with a patient-specific CNN built from the baseline scan. Our experimental results on 222 tumors from 31 patients yield an average overlap error of 17% (std = 11.2) and surface distance of 2.1 mm (std = 1.8), far better than stand-alone segmentation. Importantly, the robustness of our method improved from 67% for stand-alone global CNN segmentation to 100%. Unlike other medical imaging deep learning approaches, which require large annotated training datasets, our method exploits the follow-up framework to yield accurate tumor tracking and failure detection and correction with a small training dataset. Graphical abstract Flow diagram of the proposed method. In the offline mode (orange), a global CNN is trained as a voxel classifier to segment liver tumor as in [31]. The online mode (blue) is used for each new case. The input is baseline scan with delineation and the follow-up CT scan to be segmented. The main novelty is the ability to predict failures by trying the system on the baseline scan and the ability to correct them using the patient-specific CNN.</t>
  </si>
  <si>
    <t>R. Vivanti, L. Joskowicz, N. Lev-Cohain, A. Ephrat and J. Sosna</t>
  </si>
  <si>
    <t>Automatic detection of new tumors and tumor burden evaluation in longitudinal liver CT scan studies</t>
  </si>
  <si>
    <t>PURPOSE: Radiological longitudinal follow-up of liver tumors in CT scans is the standard of care for disease progression assessment and for liver tumor therapy. Finding new tumors in the follow-up scan is essential to determine malignancy, to evaluate the total tumor burden, and to determine treatment efficacy. Since new tumors are typically small, they may be missed by examining radiologists. METHODS: We describe a new method for the automatic detection and segmentation of new tumors in longitudinal liver CT studies and for liver tumors burden quantification. Its inputs are the baseline and follow-up CT scans, the baseline tumors delineation, and a tumor appearance prior model. Its outputs are the new tumors segmentations in the follow-up scan, the tumor burden quantification in both scans, and the tumor burden change. Our method is the first comprehensive method that is explicitly designed to find new liver tumors. It integrates information from the scans, the baseline known tumors delineations, and a tumor appearance prior model in the form of a global convolutional neural network classifier. Unlike other deep learning-based methods, it does not require large tagged training sets. RESULTS: Our experimental results on 246 tumors, of which 97 were new tumors, from 37 longitudinal liver CT studies with radiologist approved ground-truth segmentations, yields a true positive new tumors detection rate of 86 versus 72% with stand-alone detection, and a tumor burden volume overlap error of 16%. CONCLUSIONS: New tumors detection and tumor burden volumetry are important for diagnosis and treatment. Our new method enables a simplified radiologist-friendly workflow that is potentially more accurate and reliable than the existing one by automatically and accurately following known tumors and detecting new tumors in the follow-up scan.</t>
  </si>
  <si>
    <t>R. Vivanti, A. Szeskin, N. Lev-Cohain, J. Sosna and L. Joskowicz</t>
  </si>
  <si>
    <t>Applying Deep Neural Networks over Homomorphic Encrypted Medical Data</t>
  </si>
  <si>
    <t>In recent years, powered by state-of-the-art achievements in a broad range of areas, machine learning has received considerable attention from the healthcare sector. Despite their ability to provide solutions within personalized medicine, strict regulations on the confidentiality of patient health information have in many cases hindered the adoption of deep learning-based solutions in clinical workflows. To allow for the processing of sensitive health information without disclosing the underlying data, we propose a solution based on fully homomorphic encryption (FHE). The considered encryption scheme, MORE (Matrix Operation for Randomization or Encryption), enables the computations within a neural network model to be directly performed on floating point data with a relatively small computational overhead. We consider the well-known MNIST digit recognition problem to evaluate the feasibility of the proposed method and show that performance does not decrease when deep learning is applied on MORE homomorphic data. To further evaluate the suitability of the method for healthcare applications, we first train a model on encrypted data to estimate the outputs of a whole-body circulation (WBC) hemodynamic model and then provide a solution for classifying encrypted X-ray coronary angiography medical images. The findings highlight the potential of the proposed privacy-preserving deep learning methods to outperform existing approaches by providing, within a reasonable amount of time, results equivalent to those achieved by unencrypted models. Lastly, we discuss the security implications of the encryption scheme and show that while the considered cryptosystem promotes efficiency and utility at a lower security level, it is still applicable in certain practical use cases.</t>
  </si>
  <si>
    <t>Reproduction study using public data of: Development and validation of a deep learning algorithm for detection of diabetic retinopathy in retinal fundus photographs</t>
  </si>
  <si>
    <t>We have attempted to reproduce the results in Development and validation of a deep learning algorithm for detection of diabetic retinopathy in retinal fundus photographs, published in JAMA 2016; 316(22), using publicly available data sets. We re-implemented the main method in the original study since the source code is not available. The original study used non-public fundus images from EyePACS and three hospitals in India for training. We used a different EyePACS data set from Kaggle. The original study used the benchmark data set Messidor-2 to evaluate the algorithm's performance. We used another distribution of the Messidor-2 data set, since the original data set is no longer available. In the original study, ophthalmologists re-graded all images for diabetic retinopathy, macular edema, and image gradability. We have one diabetic retinopathy grade per image for our data sets, and we assessed image gradability ourselves. We were not able to reproduce the original study's results with publicly available data. Our algorithm's area under the receiver operating characteristic curve (AUC) of 0.951 (95% CI, 0.947-0.956) on the Kaggle EyePACS test set and 0.853 (95% CI, 0.835-0.871) on Messidor-2 did not come close to the reported AUC of 0.99 on both test sets in the original study. This may be caused by the use of a single grade per image, or different data. This study shows the challenges of reproducing deep learning method results, and the need for more replication and reproduction studies to validate deep learning methods, especially for medical image analysis. Our source code and instructions are available at: https://github.com/mikevoets/jama16-retina-replication.</t>
  </si>
  <si>
    <t>M. Voets, K. Møllersen and L. A. Bongo</t>
  </si>
  <si>
    <t>10.1042/bst20180391</t>
  </si>
  <si>
    <t>Artificial intelligence for microscopy: what you should know</t>
  </si>
  <si>
    <t>Artificial Intelligence based on Deep Learning (DL) is opening new horizons in biomedical research and promises to revolutionize the microscopy field. It is now transitioning from the hands of experts in computer sciences to biomedical researchers. Here, we introduce recent developments in DL applied to microscopy, in a manner accessible to non-experts. We give an overview of its concepts, capabilities and limitations, presenting applications in image segmentation, classification and restoration. We discuss how DL shows an outstanding potential to push the limits of microscopy, enhancing resolution, signal and information content in acquired data. Its pitfalls are discussed, along with the future directions expected in this field.</t>
  </si>
  <si>
    <t>Biochem Soc Trans</t>
  </si>
  <si>
    <t>Development and Validation of a Multitask Deep Learning Model for Severity Grading of Hip Osteoarthritis Features on Radiographs</t>
  </si>
  <si>
    <t>Background A multitask deep learning model might be useful in large epidemiologic studies wherein detailed structural assessment of osteoarthritis still relies on expert radiologists' readings. The potential of such a model in clinical routine should be investigated. Purpose To develop a multitask deep learning model for grading radiographic hip osteoarthritis features on radiographs and compare its performance to that of attending-level radiologists. Materials and Methods This retrospective study analyzed hip joints seen on weight-bearing anterior-posterior pelvic radiographs from participants in the Osteoarthritis Initiative (OAI). Participants were recruited from February 2004 to May 2006 for baseline measurements, and follow-up was performed 48 months later. Femoral osteophytes (FOs), acetabular osteophytes (AOs), and joint-space narrowing (JSN) were graded as absent, mild, moderate, or severe according to the Osteoarthritis Research Society International atlas. Subchondral sclerosis and subchondral cysts were graded as present or absent. The participants were split at 80% (n = 3494), 10% (n = 437), and 10% (n = 437) by using split-sample validation into training, validation, and testing sets, respectively. The multitask neural network was based on DenseNet-161, a shared convolutional features extractor trained with multitask loss function. Model performance was evaluated in the internal test set from the OAI and in an external test set by using temporal and geographic validation consisting of routine clinical radiographs. Results A total of 4368 participants (mean age, 61.0 years ± 9.2 [standard deviation]; 2538 women) were evaluated (15 364 hip joints on 7738 weight-bearing anterior-posterior pelvic radiographs). The accuracy of the model for assessing these five features was 86.7% (1333 of 1538) for FOs, 69.9% (1075 of 1538) for AOs, 81.7% (1257 of 1538) for JSN, 95.8% (1473 of 1538) for subchondral sclerosis, and 97.6% (1501 of 1538) for subchondral cysts in the internal test set, and 82.7% (86 of 104) for FOS, 65.4% (68 of 104) for AOs, 80.8% (84 of 104) for JSN, 88.5% (92 of 104) for subchondral sclerosis, and 91.3% (95 of 104) for subchondral cysts in the external test set. Conclusion A multitask deep learning model is a feasible approach to reliably assess radiographic features of hip osteoarthritis. © RSNA, 2020 Online supplemental material is available for this article.</t>
  </si>
  <si>
    <t>10.3390/ijms21072323</t>
  </si>
  <si>
    <t>Detection of Rare Objects by Flow Cytometry: Imaging, Cell Sorting, and Deep Learning Approaches</t>
  </si>
  <si>
    <t>Flow cytometry nowadays is among the main working instruments in modern biology paving the way for clinics to provide early, quick, and reliable diagnostics of many blood-related diseases. The major problem for clinical applications is the detection of rare pathogenic objects in patient blood. These objects can be circulating tumor cells, very rare during the early stages of cancer development, various microorganisms and parasites in the blood during acute blood infections. All of these rare diagnostic objects can be detected and identified very rapidly to save a patient's life. This review outlines the main techniques of visualization of rare objects in the blood flow, methods for extraction of such objects from the blood flow for further investigations and new approaches to identify the objects automatically with the modern deep learning methods.</t>
  </si>
  <si>
    <t>Int J Mol Sci</t>
  </si>
  <si>
    <t>10.1016/j.diii.2019.03.012</t>
  </si>
  <si>
    <t>Three-dimensional automated breast ultrasound: Technical aspects and first results</t>
  </si>
  <si>
    <t>Three-dimensional automated breast ultrasound system (3D ABUS) is an innovation in breast ultrasound that has been developed to uncouple detection from image acquisition and to address the limitations of handheld ultrasound (HHUS). 3D ABUS provides a large field of view using high frequency transducers, producing high-resolution images and covering a large portion of the breast with one sweep. As more data become available on breast density and the impact of supplemental screening, 3D ABUS has gained wider acceptance as an adjunct tool to mammography. Computer-aided detection software significantly reduces interpretation time, improving the workflow for the utilization of 3D ABUS as a supplemental screening tool. In the diagnostic setting, 3D ABUS offers valuable impact in the detectability of breast lesions and the differentiation of malignant from benign lesions, with a high inter-observer agreement. State-of-the art technique, including uniform compression and proper positioning, tends to reduce artifactual posterior shadowing, while combined 3D ABUS-mammography interpretation improves radiologists' diagnostic performance. Promising results have supported the enhanced efficiency of 3D ABUS in detecting the extent of breast cancer and assessing response to neoadjuvant chemotherapy, whereas its correlation with molecular subtypes of breast cancer is remarkable. Future perspectives include the integration of radiomics and deep learning in the further development of 3D ABUS.</t>
  </si>
  <si>
    <t>A. Vourtsis</t>
  </si>
  <si>
    <t>Amount of fibroglandular tissue FGT and background parenchymal enhancement BPE in relation to breast cancer risk and false positives in a breast MRI screening program : A retrospective cohort study</t>
  </si>
  <si>
    <t>OBJECTIVES: The purpose of this study is to evaluate the predictive value of the amount of fibroglandular tissue (FGT) and background parenchymal enhancement (BPE), measured at baseline on breast MRI, for breast cancer development and risk of false-positive findings in women at increased risk for breast cancer. METHODS: Negative baseline MRI scans of 1533 women participating in a screening program for women at increased risk for breast cancer between January 1, 2003, and January 1, 2014, were selected. Automated tools based on deep learning were used to obtain quantitative measures of FGT and BPE. Logistic regression using forward selection was used to assess relationships between FGT, BPE, cancer detection, false-positive recall, and false-positive biopsy. RESULTS: Sixty cancers were detected in follow-up. FGT was only associated to short-term cancer risk; BPE was not associated with cancer risk. High FGT and BPE did lead to more false-positive recalls at baseline (OR 1.259, p = 0.050, and OR 1.475, p = 0.003) and to more frequent false-positive biopsies at baseline (OR 1.315, p = 0.049, and OR 1.807, p = 0.002), but were not predictive for false-positive findings in subsequent screening rounds. CONCLUSIONS: FGT and BPE, measured on baseline MRI, are not predictive for overall breast cancer development in women at increased risk. High FGT and BPE lead to more false-positive findings at baseline. KEY POINTS: • Amount of fibroglandular tissue is only predictive for short-term breast cancer risk in women at increased risk. • Background parenchymal enhancement measured on baseline MRI is not predictive for breast cancer development in women at increased risk. • High amount of fibroglandular tissue and background parenchymal enhancement lead to more false-positive findings at baseline MRI.</t>
  </si>
  <si>
    <t>S. Vreemann, M. U. Dalmis, P. Bult, N. Karssemeijer, M. J. M. Broeders, A. Gubern-Mérida and R. M. Mann</t>
  </si>
  <si>
    <t>10.1002/mp.14320</t>
  </si>
  <si>
    <t>Auto-segmentation of organs at risk for head and neck radiotherapy planning: From atlas-based to deep learning methods</t>
  </si>
  <si>
    <t>Radiotherapy (RT) is one of the basic treatment modalities for cancer of the head and neck (H&amp;N), which requires a precise spatial description of the target volumes and organs at risk (OARs) to deliver a highly conformal radiation dose to the tumor cells while sparing the healthy tissues. For this purpose, target volumes and OARs have to be delineated and segmented from medical images. As manual delineation is a tedious and time-consuming task subjected to intra/interobserver variability, computerized auto-segmentation has been developed as an alternative. The field of medical imaging and RT planning has experienced an increased interest in the past decade, with new emerging trends that shifted the field of H&amp;N OAR auto-segmentation from atlas-based to deep learning-based approaches. In this review, we systematically analyzed 78 relevant publications on auto-segmentation of OARs in the H&amp;N region from 2008 to date, and provided critical discussions and recommendations from various perspectives: image modality - both computed tomography and magnetic resonance image modalities are being exploited, but the potential of the latter should be explored more in the future; OAR - the spinal cord, brainstem, and major salivary glands are the most studied OARs, but additional experiments should be conducted for several less studied soft tissue structures; image database - several image databases with the corresponding ground truth are currently available for methodology evaluation, but should be augmented with data from multiple observers and multiple institutions; methodology - current methods have shifted from atlas-based to deep learning auto-segmentation, which is expected to become even more sophisticated; ground truth - delineation guidelines should be followed and participation of multiple experts from multiple institutions is recommended; performance metrics - the Dice coefficient as the standard volumetric overlap metrics should be accompanied with at least one distance metrics, and combined with clinical acceptability scores and risk assessments; segmentation performance - the best performing methods achieve clinically acceptable auto-segmentation for several OARs, however, the dosimetric impact should be also studied to provide clinically relevant endpoints for RT planning.</t>
  </si>
  <si>
    <t>Evaluation of multislice inputs to convolutional neural networks for medical image segmentation</t>
  </si>
  <si>
    <t>PURPOSE: When using convolutional neural networks (CNNs) for segmentation of organs and lesions in medical images, the conventional approach is to work with inputs and outputs either as single slice [two-dimensional (2D)] or whole volumes [three-dimensional (3D)]. One common alternative, in this study denoted as pseudo-3D, is to use a stack of adjacent slices as input and produce a prediction for at least the central slice. This approach gives the network the possibility to capture 3D spatial information, with only a minor additional computational cost. METHODS: In this study, we systematically evaluate the segmentation performance and computational costs of this pseudo-3D approach as a function of the number of input slices, and compare the results to conventional end-to-end 2D and 3D CNNs, and to triplanar orthogonal 2D CNNs. The standard pseudo-3D method regards the neighboring slices as multiple input image channels. We additionally design and evaluate a novel, simple approach where the input stack is a volumetric input that is repeatably convolved in 3D to obtain a 2D feature map. This 2D map is in turn fed into a standard 2D network. We conducted experiments using two different CNN backbone architectures and on eight diverse data sets covering different anatomical regions, imaging modalities, and segmentation tasks. RESULTS: We found that while both pseudo-3D methods can process a large number of slices at once and still be computationally much more efficient than fully 3D CNNs, a significant improvement over a regular 2D CNN was only observed with two of the eight data sets. triplanar networks had the poorest performance of all the evaluated models. An analysis of the structural properties of the segmentation masks revealed no relations to the segmentation performance with respect to the number of input slices. A post hoc rank sum test which combined all metrics and data sets yielded that only our newly proposed pseudo-3D method with an input size of 13 slices outperformed almost all methods. CONCLUSION: In the general case, multislice inputs appear not to improve segmentation results over using 2D or 3D CNNs. For the particular case of 13 input slices, the proposed novel pseudo-3D method does appear to have a slight advantage across all data sets compared to all other methods evaluated in this work.</t>
  </si>
  <si>
    <t>A Question-Centric Model for Visual Question Answering in Medical Imaging</t>
  </si>
  <si>
    <t>Deep learning methods have proven extremely effective at performing a variety of medical image analysis tasks. With their potential use in clinical routine, their lack of transparency has however been one of their few weak points, raising concerns regarding their behavior and failure modes. While most research to infer model behavior has focused on indirect strategies that estimate prediction uncertainties and visualize model support in the input image space, the ability to explicitly query a prediction model regarding its image content offers a more direct way to determine the behavior of trained models. To this end, we present a novel Visual Question Answering approach that allows an image to be queried by means of a written question. Experiments on a variety of medical and natural image datasets show that by fusing image and question features in a novel way, the proposed approach achieves an equal or higher accuracy compared to current methods.</t>
  </si>
  <si>
    <t>A generative adversarial network for artifact removal in photoacoustic computed tomography with a linear-array transducer</t>
  </si>
  <si>
    <t>With balanced spatial resolution, penetration depth, and imaging speed, photoacoustic computed tomography (PACT) is promising for clinical translation such as in breast cancer screening, functional brain imaging, and surgical guidance. Typically using a linear ultrasound (US) transducer array, PACT has great flexibility for hand-held applications. However, the linear US transducer array has a limited detection angle range and frequency bandwidth, resulting in limited-view and limited-bandwidth artifacts in the reconstructed PACT images. These artifacts significantly reduce the imaging quality. To address these issues, existing solutions often have to pay the price of system complexity, cost, and/or imaging speed. Here, we propose a deep-learning-based method that explores the Wasserstein generative adversarial network with gradient penalty (WGAN-GP) to reduce the limited-view and limited-bandwidth artifacts in PACT. Compared with existing reconstruction and convolutional neural network approach, our model has shown improvement in imaging quality and resolution. Our results on simulation, phantom, and in vivo data have collectively demonstrated the feasibility of applying WGAN-GP to improve PACT’s image quality without any modification to the current imaging set-up. IMPACT STATEMENT: This study has the following main impacts. It offers a promising solution for removing limited-view and limited-bandwidth artifact in PACT using a linear-array transducer and conventional image reconstruction, which have long hindered its clinical translation. Our solution shows unprecedented artifact removal ability for in vivo image, which may enable important applications such as imaging tumor angiogenesis and hypoxia. The study reports, for the first time, the use of an advanced deep-learning model based on stabilized generative adversarial network. Our results have demonstrated its superiority over other state-of-the-art deep-learning methods.</t>
  </si>
  <si>
    <t>Exp Biol Med (Maywood)</t>
  </si>
  <si>
    <t>DeepNAT: Deep convolutional neural network for segmenting neuroanatomy</t>
  </si>
  <si>
    <t>We introduce DeepNAT, a 3D Deep convolutional neural network for the automatic segmentation of NeuroAnaTomy in T1-weighted magnetic resonance images. DeepNAT is an end-to-end learning-based approach to brain segmentation that jointly learns an abstract feature representation and a multi-class classification. We propose a 3D patch-based approach, where we do not only predict the center voxel of the patch but also neighbors, which is formulated as multi-task learning. To address a class imbalance problem, we arrange two networks hierarchically, where the first one separates foreground from background, and the second one identifies 25 brain structures on the foreground. Since patches lack spatial context, we augment them with coordinates. To this end, we introduce a novel intrinsic parameterization of the brain volume, formed by eigenfunctions of the Laplace-Beltrami operator. As network architecture, we use three convolutional layers with pooling, batch normalization, and non-linearities, followed by fully connected layers with dropout. The final segmentation is inferred from the probabilistic output of the network with a 3D fully connected conditional random field, which ensures label agreement between close voxels. The roughly 2.7million parameters in the network are learned with stochastic gradient descent. Our results show that DeepNAT compares favorably to state-of-the-art methods. Finally, the purely learning-based method may have a high potential for the adaptation to young, old, or diseased brains by fine-tuning the pre-trained network with a small training sample on the target application, where the availability of larger datasets with manual annotations may boost the overall segmentation accuracy in the future.</t>
  </si>
  <si>
    <t>C. Wachinger, M. Reuter and T. Klein</t>
  </si>
  <si>
    <t>Semantic Segmentation of Smartphone Wound Images: Comparative Analysis of AHRF and CNN-Based Approaches</t>
  </si>
  <si>
    <t>Smartphone wound image analysis has recently emerged as a viable way to assess healing progress and provide actionable feedback to patients and caregivers between hospital appointments. Segmentation is a key image analysis step, after which attributes of the wound segment (e.g. wound area and tissue composition) can be analyzed. The Associated Hierarchical Random Field (AHRF) formulates the image segmentation problem as a graph optimization problem. Handcrafted features are extracted, which are then classified using machine learning classifiers. More recently deep learning approaches have emerged and demonstrated superior performance for a wide range of image analysis tasks. FCN, U-Net and DeepLabV3 are Convolutional Neural Networks used for semantic segmentation. While in separate experiments each of these methods have shown promising results, no prior work has comprehensively and systematically compared the approaches on the same large wound image dataset, or more generally compared deep learning vs non-deep learning wound image segmentation approaches. In this paper, we compare the segmentation performance of AHRF and CNN approaches (FCN, U-Net, DeepLabV3) using various metrics including segmentation accuracy (dice score), inference time, amount of training data required and performance on diverse wound sizes and tissue types. Improvements possible using various image pre- and post-processing techniques are also explored. As access to adequate medical images/data is a common constraint, we explore the sensitivity of the approaches to the size of the wound dataset. We found that for small datasets (&lt; 300 images), AHRF is more accurate than U-Net but not as accurate as FCN and DeepLabV3. AHRF is also over 1000x slower. For larger datasets (&gt; 300 images), AHRF saturates quickly, and all CNN approaches (FCN, U-Net and DeepLabV3) are significantly more accurate than AHRF.</t>
  </si>
  <si>
    <t>10.1016/j.ymeth.2020.06.008</t>
  </si>
  <si>
    <t>Artificial intelligence and radiomics in pediatric molecular imaging</t>
  </si>
  <si>
    <t>In the past decade, a new approach for quantitative analysis of medical images and prognostic modelling has emerged. Defined as the extraction and analysis of a large number of quantitative parameters from medical images, radiomics is an evolving field in precision medicine with the ultimate goal of the discovery of new imaging biomarkers for disease. Radiomics has already shown promising results in extracting diagnostic, prognostic, and molecular information latent in medical images. After acquisition of the medical images as part of the standard of care, a region of interest is defined often via a manual or semi-automatic approach. An algorithm then extracts and computes quantitative radiomics parameters from the region of interest. Whereas radiomics captures quantitative values of shape and texture based on predefined mathematical terms, neural networks have recently been used to directly learn and identify predictive features from medical images. Thereby, neural networks largely forego the need for so called hand-engineered features, which appears to result in significantly improved performance and reliability. Opportunities for radiomics and neural networks in pediatric nuclear medicine/radiology/molecular imaging are broad and can be thought of in three categories: automating well-defined administrative or clinical tasks, augmenting broader administrative or clinical tasks, and unlocking new methods of generating value. Specific applications include intelligent order sets, automated protocoling, improved image acquisition, computer aided triage and detection of abnormalities, next generation voice dictation systems, biomarker development, and therapy planning.</t>
  </si>
  <si>
    <t>SPHIRE-crYOLO is a fast and accurate fully automated particle picker for cryo-EM</t>
  </si>
  <si>
    <t>Selecting particles from digital micrographs is an essential step in single-particle electron cryomicroscopy (cryo-EM). As manual selection of complete datasets-typically comprising thousands of particles-is a tedious and time-consuming process, numerous automatic particle pickers have been developed. However, non-ideal datasets pose a challenge to particle picking. Here we present the particle picking software crYOLO which is based on the deep-learning object detection system You Only Look Once (YOLO). After training the network with 200-2500 particles per dataset it automatically recognizes particles with high recall and precision while reaching a speed of up to five micrographs per second. Further, we present a general crYOLO network able to pick from previously unseen datasets, allowing for completely automated on-the-fly cryo-EM data preprocessing during data acquisition. crYOLO is available as a standalone program under http://sphire.mpg.de/ and is distributed as part of the image processing workflow in SPHIRE.</t>
  </si>
  <si>
    <t>Planning stereoelectroencephalography using automated lesion detection: Retrospective feasibility study</t>
  </si>
  <si>
    <t>OBJECTIVE: This retrospective, cross-sectional study evaluated the feasibility and potential benefits of incorporating deep-learning on structural magnetic resonance imaging (MRI) into planning stereoelectroencephalography (sEEG) implantation in pediatric patients with diagnostically complex drug-resistant epilepsy. This study aimed to assess the degree of colocalization between automated lesion detection and the seizure onset zone (SOZ) as assessed by sEEG. METHODS: A neural network classifier was applied to cortical features from MRI data from three cohorts. (1) The network was trained and cross-validated using 34 patients with visible focal cortical dysplasias (FCDs). (2) Specificity was assessed in 20 pediatric healthy controls. (3) Feasibility of incorporation into sEEG implantation plans was evaluated in 34 sEEG patients. Coordinates of sEEG contacts were coregistered with classifier-predicted lesions. sEEG contacts in seizure onset and irritative tissue were identified by clinical neurophysiologists. A distance of &lt;10 mm between SOZ contacts and classifier-predicted lesions was considered colocalization. RESULTS: In patients with radiologically defined lesions, classifier sensitivity was 74% (25/34 lesions detected). No clusters were detected in the controls (specificity = 100%). Of the total 34 sEEG patients, 21 patients had a focal cortical SOZ, of whom eight were histopathologically confirmed as having an FCD. The algorithm correctly detected seven of eight of these FCDs (86%). In patients with histopathologically heterogeneous focal cortical lesions, there was colocalization between classifier output and SOZ contacts in 62%. In three patients, the electroclinical profile was indicative of focal epilepsy, but no SOZ was localized on sEEG. In these patients, the classifier identified additional abnormalities that had not been implanted. SIGNIFICANCE: There was a high degree of colocalization between automated lesion detection and sEEG. We have created a framework for incorporation of deep-learning-based MRI lesion detection into sEEG implantation planning. Our findings support the prospective evaluation of automated MRI analysis to plan optimal electrode trajectories.</t>
  </si>
  <si>
    <t>Two-phase deep convolutional neural network for reducing class skewness in histopathological images based breast cancer detection</t>
  </si>
  <si>
    <t>Different types of breast cancer are affecting lives of women across the world. Common types include Ductal carcinoma in situ (DCIS), Invasive ductal carcinoma (IDC), Tubular carcinoma, Medullary carcinoma, and Invasive lobular carcinoma (ILC). While detecting cancer, one important factor is mitotic count - showing how rapidly the cells are dividing. But the class imbalance problem, due to the small number of mitotic nuclei in comparison to the overwhelming number of non-mitotic nuclei, affects the performance of classification models. This work presents a two-phase model to mitigate the class biasness issue while classifying mitotic and non-mitotic nuclei in breast cancer histopathology images through a deep convolutional neural network (CNN). First, nuclei are segmented out using blue ratio and global binary thresholding. In Phase-1 a CNN is then trained on the segmented out 80×80 pixel patches based on a standard dataset. Hard non-mitotic examples are identified and augmented; mitotic examples are oversampled by rotation and flipping; whereas non-mitotic examples are undersampled by blue ratio histogram based k-means clustering. Based on this information from Phase-1, the dataset is modified for Phase-2 in order to reduce the effects of class imbalance. The proposed CNN architecture and data balancing technique yielded an F-measure of 0.79, and outperformed all the methods relying on specific handcrafted features, as well as those using a combination of handcrafted and CNN-generated features.</t>
  </si>
  <si>
    <t>N. Wahab, A. Khan and Y. S. Lee</t>
  </si>
  <si>
    <t>Deep Learning Neural Networks Highly Predict Very Early Onset of Pluripotent Stem Cell Differentiation</t>
  </si>
  <si>
    <t>Deep learning is a significant step forward for developing autonomous tasks. One of its branches, computer vision, allows image recognition with high accuracy thanks to the use of convolutional neural networks (CNNs). Our goal was to train a CNN with transmitted light microscopy images to distinguish pluripotent stem cells from early differentiating cells. We induced differentiation of mouse embryonic stem cells to epiblast-like cells and took images at several time points from the initial stimulus. We found that the networks can be trained to recognize undifferentiated cells from differentiating cells with an accuracy higher than 99%. Successful prediction started just 20 min after the onset of differentiation. Furthermore, CNNs displayed great performance in several similar pluripotent stem cell (PSC) settings, including mesoderm differentiation in human induced PSCs. Accurate cellular morphology recognition in a simple microscopic set up may have a significant impact on how cell assays are performed in the near future.</t>
  </si>
  <si>
    <t>Stem Cell Reports</t>
  </si>
  <si>
    <t>Unbiased identification of novel subclinical imaging biomarkers using unsupervised deep learning</t>
  </si>
  <si>
    <t>Artificial intelligence has recently made a disruptive impact in medical imaging by successfully automatizing expert-level diagnostic tasks. However, replicating human-made decisions may inherently be biased by the fallible and dogmatic nature of human experts, in addition to requiring prohibitive amounts of training data. In this paper, we introduce an unsupervised deep learning architecture particularly designed for OCT representations for unbiased, purely data-driven biomarker discovery. We developed artificial intelligence technology that provides biomarker candidates without any restricting input or domain knowledge beyond raw images. Analyzing 54,900 retinal optical coherence tomography (OCT) volume scans of 1094 patients with age-related macular degeneration, we generated a vocabulary of 20 local and global markers capturing characteristic retinal patterns. The resulting markers were validated by linking them with clinical outcomes (visual acuity, lesion activity and retinal morphology) using correlation and machine learning regression. The newly identified features correlated well with specific biomarkers traditionally used in clinical practice (r up to 0.73), and outperformed them in correlating with visual acuity ([Formula: see text] compared to [Formula: see text] for conventional markers), despite representing an enormous compression of OCT imaging data (67 million voxels to 20 features). In addition, our method also discovered hitherto unknown, clinically relevant biomarker candidates. The presented deep learning approach identified known as well as novel medical imaging biomarkers without any prior domain knowledge. Similar approaches may be worthwhile across other medical imaging fields.</t>
  </si>
  <si>
    <t>Review on machine and deep learning models for the detection and prediction of Coronavirus</t>
  </si>
  <si>
    <t>The novel Coronavirus disease has increased rapidly in the Wuhan city of China in December 2019. This fatal virus has spread across the whole world like a fire in different stages and affecting millions of population and thousands of deaths worldwide. Therefore, it is essential to classify the infected people, so that they can take the precaution in the earlier stages. Also, due to the increasing cases spread of Coronavirus, there are only limited numbers of polymerase change reaction kits available in the hospitals for testing Coronavirus patients. That why it is extremely important to develop artificial intelligence-based automatic diagnostic tools to classify the Coronavirus outbreak. The objective of this paper is to know the novel disease epidemiology, major prevention from spreading of Coronavirus Severe Acute Respiratory Syndrome, and to assess the machine and deep learning-based architectures performance that is proposed in the present year for classification of Coronavirus images such as, X-Ray and computed tomography. Specifically, advanced deep learning-based algorithms known as the Convolutional neural network, which plays a great effect on extracting highly essential features, mostly in terms of medical images. This technique, with using CT and X-Ray image scans, has been adopted in most of the recently published articles on the Coronavirus with remarkable results. Furthermore, according to this paper, this can be noted and said that deep learning technology has potential clinical applications.</t>
  </si>
  <si>
    <t>Dermoscopy diagnosis of cancerous lesions utilizing dual deep learning algorithms via visual and audio (sonification) outputs: Laboratory and prospective observational studies</t>
  </si>
  <si>
    <t>BACKGROUND: Early diagnosis of skin cancer lesions by dermoscopy, the gold standard in dermatological imaging, calls for a diagnostic upscale. The aim of the study was to improve the accuracy of dermoscopic skin cancer diagnosis through use of novel deep learning (DL) algorithms. An additional sonification-derived diagnostic layer was added to the visual classification to increase sensitivity. METHODS: Two parallel studies were conducted: a laboratory retrospective study (LABS, n = 482 biopsies) and a non-interventional prospective observational study (OBS, n = 63 biopsies). A training data set of biopsy-verified reports, normal and cancerous skin lesions (n = 3954), were used to develop a DL classifier exploring visual features (System A). The outputs of the classifier were sonified, i.e. data conversion into sound (System B). Derived sound files were analyzed by a second machine learning classifier, either as raw audio (LABS, OBS) or following conversion into spectrograms (LABS) and by image analysis and human heuristics (OBS). The OBS criteria outcomes were System A specificity and System B sensitivity as raw sounds, spectrogram areas or heuristics. FINDINGS: LABS employed dermoscopies, half benign half malignant, and compared the accuracy of Systems A and B. System A algorithm resulted in a ROC AUC of 0.976 (95% CI, 0.965-0.987). Secondary machine learning analysis of raw sound, FFT and Spectrogram ROC curves resulted in AUC's of 0.931 (95% CI 0.881-0.981), 0.90 (95% CI 0.838-0.963) and 0.988 (CI 95% 0.973-1.001), respectively. OBS analysis of raw sound dermoscopies by the secondary machine learning resulted in a ROC AUC of 0.819 (95% CI, 0.7956 to 0.8406). OBS image analysis of AUC for spectrograms displayed a ROC AUC of 0.808 (CI 95% 0.6945 To 0.9208). By applying a heuristic analysis of Systems A and B a sensitivity of 86% and specificity of 91% were derived in the clinical study. INTERPRETATION: Adding a second stage of processing, which includes a deep learning algorithm of sonification and heuristic inspection with machine learning, significantly improves diagnostic accuracy. A combined two-stage system is expected to assist clinical decisions and de-escalate the current trend of over-diagnosis of skin cancer lesions as pathological. FUND: Bostel Technologies. Trial Registration clinicaltrials.gov Identifier: NCT03362138.</t>
  </si>
  <si>
    <t>B. N. Walker, J. M. Rehg, A. Kalra, R. M. Winters, P. Drews, J. Dascalu, E. O. David and A. Dascalu</t>
  </si>
  <si>
    <t>How Artificial Intelligence Will Change Medicine</t>
  </si>
  <si>
    <t>C. Wallis</t>
  </si>
  <si>
    <t>Deep learning for classifying fibrotic lung disease on high-resolution computed tomography: a case-cohort study</t>
  </si>
  <si>
    <t>BACKGROUND: Based on international diagnostic guidelines, high-resolution CT plays a central part in the diagnosis of fibrotic lung disease. In the correct clinical context, when high-resolution CT appearances are those of usual interstitial pneumonia, a diagnosis of idiopathic pulmonary fibrosis can be made without surgical lung biopsy. We investigated the use of a deep learning algorithm for provision of automated classification of fibrotic lung disease on high-resolution CT according to criteria specified in two international diagnostic guideline statements: the 2011 American Thoracic Society (ATS)/European Respiratory Society (ERS)/Japanese Respiratory Society (JRS)/Latin American Thoracic Association (ALAT) guidelines for diagnosis and management of idiopathic pulmonary fibrosis and the Fleischner Society diagnostic criteria for idiopathic pulmonary fibrosis. METHODS: In this case-cohort study, for algorithm development and testing, a database of 1157 anonymised high-resolution CT scans showing evidence of diffuse fibrotic lung disease was generated from two institutions. We separated the scans into three non-overlapping cohorts (training set, n=929; validation set, n=89; and test set A, n=139) and classified them using 2011 ATS/ERS/JRS/ALAT idiopathic pulmonary fibrosis diagnostic guidelines. For each scan, the lungs were segmented and resampled to create a maximum of 500 unique four slice combinations, which we converted into image montages. The final training dataset consisted of 420 096 unique montages for algorithm training. We evaluated algorithm performance, reported as accuracy, prognostic accuracy, and weighted κ coefficient (κw) of interobserver agreement, on test set A and a cohort of 150 high-resolution CT scans (test set B) with fibrotic lung disease compared with the majority vote of 91 specialist thoracic radiologists drawn from multiple international thoracic imaging societies. We then reclassified high-resolution CT scans according to Fleischner Society diagnostic criteria for idiopathic pulmonary fibrosis. We retrained the algorithm using these criteria and evaluated its performance on 75 fibrotic lung disease specific high-resolution CT scans compared with four specialist thoracic radiologists using weighted κ coefficient of interobserver agreement. FINDINGS: The accuracy of the algorithm on test set A was 76·4%, with 92·7% of diagnoses within one category. The algorithm took 2·31 s to evaluate 150 four slice montages (each montage representing a single case from test set B). The median accuracy of the thoracic radiologists on test set B was 70·7% (IQR 65·3-74·7), and the accuracy of the algorithm was 73·3% (93·3% were within one category), outperforming 60 (66%) of 91 thoracic radiologists. Median interobserver agreement between each of the thoracic radiologists and the radiologist's majority opinion was good (κw=0·67 [IQR 0·58-0·72]). Interobserver agreement between the algorithm and the radiologist's majority opinion was good (κw=0·69), outperforming 56 (62%) of 91 thoracic radiologists. The algorithm provided equally prognostic discrimination between usual interstitial pneumonia and non-usual interstitial pneumonia diagnoses (hazard ratio 2·88, 95% CI 1·79-4·61, p&lt;0·0001) compared with the majority opinion of the thoracic radiologists (2·74, 1·67-4·48, p&lt;0·0001). For Fleischner Society high-resolution CT criteria for usual interstitial pneumonia, median interobserver agreement between the radiologists was moderate (κw=0·56 [IQR 0·55-0·58]), but was good between the algorithm and the radiologists (κw=0·64 [0·55-0·72]). INTERPRETATION: High-resolution CT evaluation by a deep learning algorithm might provide low-cost, reproducible, near-instantaneous classification of fibrotic lung disease with human-level accuracy. These methods could be of benefit to centres at which thoracic imaging expertise is scarce, as well as for stratification of patients in clinical trials. FUNDING: None.</t>
  </si>
  <si>
    <t>S. L. F. Walsh, L. Calandriello, M. Silva and N. Sverzellati</t>
  </si>
  <si>
    <t>10.1016/s2213-2600(20)30003-5</t>
  </si>
  <si>
    <t>Imaging research in fibrotic lung disease; applying deep learning to unsolved problems</t>
  </si>
  <si>
    <t>Over the past decade, there has been a groundswell of research interest in computer-based methods for objectively quantifying fibrotic lung disease on high resolution CT of the chest. In the past 5 years, the arrival of deep learning-based image analysis has created exciting new opportunities for enhancing the understanding of, and the ability to interpret, fibrotic lung disease on CT. Specific unsolved problems for which computer-based imaging analysis might provide solutions include the development of reliable methods for assisting with diagnosis, detecting early disease, and predicting disease behaviour using baseline imaging data. However, to harness this technology, technical and societal challenges must be overcome. Large CT datasets will be needed to power the training of deep learning algorithms. Open science research and collaboration between academia and industry must be encouraged. Prospective clinical utility studies will be needed to test computer algorithm performance in real-world clinical settings and demonstrate patient benefit over current best practice. Finally, ethical standards, which ensure patient confidentiality and mitigate against biases in training datasets, that can be encoded in machine-learning systems will be needed as well as bespoke data governance and accountability frameworks to encourage buy-in from health-care professionals, patients, and the public.</t>
  </si>
  <si>
    <t>10.1016/j.pnpbp.2018.09.014</t>
  </si>
  <si>
    <t>Translational machine learning for psychiatric neuroimaging</t>
  </si>
  <si>
    <t>Despite its initial promise, neuroimaging has not been widely translated into clinical psychiatry to assist in the prediction of diagnoses, prognoses, and optimal therapeutic strategies. Machine learning approaches may enhance the translational potential of neuroimaging because they specifically focus on overcoming biases by optimizing the generalizability of pipelines that measure complex brain patterns to predict targets at a single-subject level. This article introduces some fundamentals of a translational machine learning approach before selectively reviewing literature to-date. Promising initial results are then balanced by the description of limitations that should be considered in order to interpret existing research and maximize the possibility of future translation. Future directions are then presented in order to inspire further research and progress the field towards clinical translation.</t>
  </si>
  <si>
    <t>M. Walter, S. Alizadeh, H. Jamalabadi, U. Lueken, U. Dannlowski, H. Walter, S. Olbrich, L. Colic, J. Kambeitz, N. Koutsouleris, T. Hahn and D. B. Dwyer</t>
  </si>
  <si>
    <t>Prog Neuropsychopharmacol Biol Psychiatry</t>
  </si>
  <si>
    <t>The combined effect of mammographic texture and density on breast cancer risk: a cohort study</t>
  </si>
  <si>
    <t>BACKGROUND: Texture patterns have been shown to improve breast cancer risk segregation in addition to area-based mammographic density. The additional value of texture pattern scores on top of volumetric mammographic density measures in a large screening cohort has never been studied. METHODS: Volumetric mammographic density and texture pattern scores were assessed automatically for the first available digital mammography (DM) screening examination of 51,400 women (50-75 years of age) participating in the Dutch biennial breast cancer screening program between 2003 and 2011. The texture assessment method was developed in a previous study and validated in the current study. Breast cancer information was obtained from the screening registration system and through linkage with the Netherlands Cancer Registry. All screen-detected breast cancers diagnosed at the first available digital screening examination were excluded. During a median follow-up period of 4.2 (interquartile range (IQR) 2.0-6.2) years, 301 women were diagnosed with breast cancer. The associations between texture pattern scores, volumetric breast density measures and breast cancer risk were determined using Cox proportional hazard analyses. Discriminatory performance was assessed using c-indices. RESULTS: The median age of the women at the time of the first available digital mammography examination was 56 years (IQR 51-63). Texture pattern scores were positively associated with breast cancer risk (hazard ratio (HR) 3.16 (95% CI 2.16-4.62) (p value for trend &lt;0.001), for quartile (Q) 4 compared to Q1). The c-index of texture was 0.61 (95% CI 0.57-0.64). Dense volume and percentage dense volume showed positive associations with breast cancer risk (HR 1.85 (95% CI 1.32-2.59) (p value for trend &lt;0.001) and HR 2.17 (95% CI 1.51-3.12) (p value for trend &lt;0.001), respectively, for Q4 compared to Q1). When adding texture measures to models with dense volume or percentage dense volume, c-indices increased from 0.56 (95% CI 0.53-0.59) to 0.62 (95% CI 0.58-0.65) (p &lt; 0.001) and from 0.58 (95% CI 0.54-0.61) to 0.60 (95% CI 0.57-0.63) (p = 0.054), respectively. CONCLUSIONS: Deep-learning-based texture pattern scores, measured automatically on digital mammograms, are associated with breast cancer risk, independently of volumetric mammographic density, and augment the capacity to discriminate between future breast cancer and non-breast cancer cases.</t>
  </si>
  <si>
    <t>J. O. P. Wanders, C. H. van Gils, N. Karssemeijer, K. Holland, M. Kallenberg, P. H. M. Peeters, M. Nielsen and M. Lillholm</t>
  </si>
  <si>
    <t>Breast Cancer Res</t>
  </si>
  <si>
    <t>The quantization error in a Self-Organizing Map as a contrast and colour specific indicator of single-pixel change in large random patterns</t>
  </si>
  <si>
    <t>The quantization error in a fixed-size Self-Organizing Map (SOM) with unsupervised winner-take-all learning has previously been used successfully to detect, in minimal computation time, highly meaningful changes across images in medical time series and in time series of satellite images. Here, the functional properties of the quantization error in SOM are explored further to show that the metric is capable of reliably discriminating between the finest differences in local contrast intensities and contrast signs. While this capability of the QE is akin to functional characteristics of a specific class of retinal ganglion cells (the so-called Y-cells) in the visual systems of the primate and the cat, the sensitivity of the QE surpasses the capacity limits of human visual detection. Here, the quantization error in the SOM is found to reliably signal changes in contrast or colour when contrast information is removed from or added to the image, but not when the amount and relative weight of contrast information is constant and only the local spatial position of contrast elements in the pattern changes. While the RGB Mean reflects coarser changes in colour or contrast well enough, the SOM-QE is shown to outperform the RGB Mean in the detection of single-pixel changes in images with up to five million pixels. This could have important implications in the context of unsupervised image learning and computational building block approaches to large sets of image data (big data), including deep learning blocks, and automatic detection of contrast change at the nanoscale in Transmission or Scanning Electron Micrographs (TEM, SEM), or at the subpixel level in multispectral and hyper-spectral imaging data.</t>
  </si>
  <si>
    <t>J. M. Wandeto and B. Dresp-Langley</t>
  </si>
  <si>
    <t>Deeply supervised 3D fully convolutional networks with group dilated convolution for automatic MRI prostate segmentation</t>
  </si>
  <si>
    <t>PURPOSE: Reliable automated segmentation of the prostate is indispensable for image-guided prostate interventions. However, the segmentation task is challenging due to inhomogeneous intensity distributions, variation in prostate anatomy, among other problems. Manual segmentation can be time-consuming and is subject to inter- and intraobserver variation. We developed an automated deep learning-based method to address this technical challenge. METHODS: We propose a three-dimensional (3D) fully convolutional networks (FCN) with deep supervision and group dilated convolution to segment the prostate on magnetic resonance imaging (MRI). In this method, a deeply supervised mechanism was introduced into a 3D FCN to effectively alleviate the common exploding or vanishing gradients problems in training deep models, which forces the update process of the hidden layer filters to favor highly discriminative features. A group dilated convolution which aggregates multiscale contextual information for dense prediction was proposed to enlarge the effective receptive field of convolutional neural networks, which improve the prediction accuracy of prostate boundary. In addition, we introduced a combined loss function including cosine and cross entropy, which measures similarity and dissimilarity between segmented and manual contours, to further improve the segmentation accuracy. Prostate volumes manually segmented by experienced physicians were used as a gold standard against which our segmentation accuracy was measured. RESULTS: The proposed method was evaluated on an internal dataset comprising 40 T2-weighted prostate MR volumes. Our method achieved a Dice similarity coefficient (DSC) of 0.86 ± 0.04, a mean surface distance (MSD) of 1.79 ± 0.46 mm, 95% Hausdorff distance (95%HD) of 7.98 ± 2.91 mm, and absolute relative volume difference (aRVD) of 15.65 ± 10.82. A public dataset (PROMISE12) including 50 T2-weighted prostate MR volumes was also employed to evaluate our approach. Our method yielded a DSC of 0.88 ± 0.05, MSD of 1.02 ± 0.35 mm, 95% HD of 9.50 ± 5.11 mm, and aRVD of 8.93 ± 7.56. CONCLUSION: We developed a novel deeply supervised deep learning-based approach with a group dilated convolution to automatically segment the MRI prostate, demonstrated its clinical feasibility, and validated its accuracy against manual segmentation. The proposed technique could be a useful tool for image-guided interventions in prostate cancer.</t>
  </si>
  <si>
    <t>B. Wang, Y. Lei, S. Tian, T. Wang, Y. Liu, P. Patel, A. B. Jani, H. Mao, W. J. Curran, T. Liu and X. Yang</t>
  </si>
  <si>
    <t>10.1055/s-0039-3400267</t>
  </si>
  <si>
    <t>Artificial Intelligence in the Evaluation of Body Composition</t>
  </si>
  <si>
    <t>Body composition entails the measurement of muscle and fat mass in the body and has been shown to impact clinical outcomes in various aspects of human health. As a result, the need is growing for reliable and efficient noninvasive tools to measure body composition. Traditional methods of estimating body composition, anthropomorphic measurements, dual-energy X-ray absorptiometry, and bioelectrical impedance, are limited in their application. Cross-sectional imaging remains the reference standard for body composition analysis and is accomplished through segmentation of computed tomography and magnetic resonance imaging studies. However, manual segmentation of images by an expert reader is labor intensive and time consuming, limiting its implementation in large-scale studies and in routine clinical practice. In this review, novel methods to automate the process of body composition measurement are discussed including the application of artificial intelligence and deep learning to tissue segmentation.</t>
  </si>
  <si>
    <t>Automated chest screening based on a hybrid model of transfer learning and convolutional sparse denoising autoencoder</t>
  </si>
  <si>
    <t>OBJECTIVE: In this paper, we aim to investigate the effect of computer-aided triage system, which is implemented for the health checkup of lung lesions involving tens of thousands of chest X-rays (CXRs) that are required for diagnosis. Therefore, high accuracy of diagnosis by an automated system can reduce the radiologist's workload on scrutinizing the medical images. METHOD: We present a deep learning model in order to efficiently detect abnormal levels or identify normal levels during mass chest screening so as to obtain the probability confidence of the CXRs. Moreover, a convolutional sparse denoising autoencoder is designed to compute the reconstruction error. We employ four publicly available radiology datasets pertaining to CXRs, analyze their reports, and utilize their images for mining the correct disease level of the CXRs that are to be submitted to a computer aided triaging system. Based on our approach, we vote for the final decision from multi-classifiers to determine which three levels of the images (i.e. normal, abnormal, and uncertain cases) that the CXRs fall into. RESULTS: We only deal with the grade diagnosis for physical examination and propose multiple new metric indices. Combining predictors for classification by using the area under a receiver operating characteristic curve, we observe that the final decision is related to the threshold from reconstruction error and the probability value. Our method achieves promising results in terms of precision of 98.7 and 94.3% based on the normal and abnormal cases, respectively. CONCLUSION: The results achieved by the proposed framework show superiority in classifying the disease level with high accuracy. This can potentially save the radiologists time and effort, so as to allow them to focus on higher-level risk CXRs.</t>
  </si>
  <si>
    <t>C. Wang, A. Elazab, F. Jia, J. Wu and Q. Hu</t>
  </si>
  <si>
    <t>Lung nodule classification using deep feature fusion in chest radiography</t>
  </si>
  <si>
    <t>Lung nodules are small, round, or oval-shaped masses of tissue in the lung region. Early diagnosis and treatment of lung nodules can significantly improve the quality of patients' lives. Because of their small size and the interlaced nature of chest anatomy, detection of lung nodules using different medical imaging techniques becomes challenging. Recently, several methods for computer aided diagnosis (CAD) were proposed to improve the detection of lung nodules with good performances. However, the current methods are unable to achieve high sensitivity and high specificity. In this paper, we propose using deep feature fusion from the non-medical training and hand-crafted features to reduce the false positive results. Based on our experimentation of the public dataset, our results show that, the deep fusion feature can achieve promising results in terms of sensitivity and specificity (69.3% and 96.2%) at 1.19 false positive per image, which is better than the single hand-crafted features (62% and 95.4%) at 1.45 false positive per image. As it stands, fusion features that were used to classify our candidate nodules have resulted in a more promising outcome as compared to the single features from deep learning features and the hand-crafted features. This will improve the current CAD method based on the use of deep feature fusion to more effectively diagnose the presence of lung nodules.</t>
  </si>
  <si>
    <t>C. Wang, A. Elazab, J. Wu and Q. Hu</t>
  </si>
  <si>
    <t>Technical Note: 3D localization of lung tumors on cone beam CT projections via a convolutional recurrent neural network</t>
  </si>
  <si>
    <t>PURPOSE: To design a convolutional recurrent neural network (CRNN) that calculates three-dimensional (3D) positions of lung tumors from continuously acquired cone beam computed tomography (CBCT) projections, and facilitates the sorting and reconstruction of 4D-CBCT images. METHOD: Under an IRB-approved clinical lung protocol, kilovoltage (kV) projections of the setup CBCT were collected in free-breathing. Concurrently, an electromagnetic signal-guided system recorded motion traces of three transponders implanted in or near the tumor. Convolutional recurrent neural network was designed to utilize a convolutional neural network (CNN) for extracting relevant features of the kV projections around the tumor, followed by a recurrent neural network for analyzing the temporal patterns of the moving features. Convolutional recurrent neural network was trained on the simultaneously collected kV projections and motion traces, subsequently utilized to calculate motion traces solely based on the continuous feed of kV projections. To enhance performance, CRNN was also facilitated by frequent calibrations (e.g., at 10° gantry rotation intervals) derived from cross-correlation-based registrations between kV projections and templates created from the planning 4DCT. Convolutional recurrent neural network was validated on a leave-one-out strategy using data from 11 lung patients, including 5500 kV images. The root-mean-square error between the CRNN and motion traces was calculated to evaluate the localization accuracy. RESULT: Three-dimensional displacement around the simulation position shown in the Calypso traces was 3.4 ± 1.7 mm. Using motion traces as ground truth, the 3D localization error of CRNN with calibrations was 1.3 ± 1.4 mm. CRNN had a success rate of 86 ± 8% in determining whether the motion was within a 3D displacement window of 2 mm. The latency was 20 ms when CRNN ran on a high-performance computer cluster. CONCLUSIONS: CRNN is able to provide accurate localization of lung tumors with aid from frequent recalibrations using the conventional cross-correlation-based registration approach, and has the potential to remove reliance on the implanted fiducials.</t>
  </si>
  <si>
    <t>Toward predicting the evolution of lung tumors during radiotherapy observed on a longitudinal MR imaging study via a deep learning algorithm</t>
  </si>
  <si>
    <t>PURPOSE: To predict the spatial and temporal trajectories of lung tumor during radiotherapy monitored under a longitudinal magnetic resonance imaging (MRI) study via a deep learning algorithm for facilitating adaptive radiotherapy (ART). METHODS: We monitored 10 lung cancer patients by acquiring weekly MRI-T2w scans over a course of radiotherapy. Under an ART workflow, we developed a predictive neural network (P-net) to predict the spatial distributions of tumors in the coming weeks utilizing images acquired earlier in the course. The three-step P-net consisted of a convolutional neural network to extract relevant features of the tumor and its environment, followed by a recurrence neural network constructed with gated recurrent units to analyze trajectories of tumor evolution in response to radiotherapy, and finally an attention model to weight the importance of weekly observations and produce the predictions. The performance of P-net was measured with Dice and root mean square surface distance (RMSSD) between the algorithm-predicted and experts-contoured tumors under a leave-one-out scheme. RESULTS: Tumor shrinkage was 60% ± 27% (mean ± standard deviation) by the end of radiotherapy across nine patients. Using images from the first three weeks, P-net predicted tumors on future weeks (4, 5, 6) with a Dice and RMSSD of (0.78 ± 0.22, 0.69 ± 0.24, 0.69 ± 0.26), and (2.1 ± 1.1 mm, 2.3 ± 0.8 mm, 2.6 ± 1.4 mm), respectively. CONCLUSION: The proposed deep learning algorithm can capture and predict spatial and temporal patterns of tumor regression in a longitudinal imaging study. It closely follows the clinical workflow, and could facilitate the decision-making of ART. A prospective study including more patients is warranted.</t>
  </si>
  <si>
    <t>Precise estimation of renal vascular dominant regions using spatially aware fully convolutional networks, tensor-cut and Voronoi diagrams</t>
  </si>
  <si>
    <t>This paper presents a new approach for precisely estimating the renal vascular dominant region using a Voronoi diagram. To provide computer-assisted diagnostics for the pre-surgical simulation of partial nephrectomy surgery, we must obtain information on the renal arteries and the renal vascular dominant regions. We propose a fully automatic segmentation method that combines a neural network and tensor-based graph-cut methods to precisely extract the kidney and renal arteries. First, we use a convolutional neural network to localize the kidney regions and extract tiny renal arteries with a tensor-based graph-cut method. Then we generate a Voronoi diagram to estimate the renal vascular dominant regions based on the segmented kidney and renal arteries. The accuracy of kidney segmentation in 27 cases with 8-fold cross validation reached a Dice score of 95%. The accuracy of renal artery segmentation in 8 cases obtained a centerline overlap ratio of 80%. Each partition region corresponds to a renal vascular dominant region. The final dominant-region estimation accuracy achieved a Dice coefficient of 80%. A clinical application showed the potential of our proposed estimation approach in a real clinical surgical environment. Further validation using large-scale database is our future work.</t>
  </si>
  <si>
    <t>Segmenting lung tumors on longitudinal imaging studies via a patient-specific adaptive convolutional neural network</t>
  </si>
  <si>
    <t>PURPOSE: To design a deep learning algorithm that automatically delineates lung tumors seen on weekly magnetic resonance imaging (MRI) scans acquired during radiotherapy and facilitates the analysis of geometric tumor changes. METHODS: This longitudinal imaging study comprised 9 lung cancer patients who had 6-7 weekly T2-weighted MRI scans during radiotherapy. Tumors on all scans were manually contoured as the ground truth. Meanwhile, a patient-specific adaptive convolutional neural network (A-net) was developed to simulate the workflow of adaptive radiotherapy and to utilize past weekly MRI and tumor contours to segment tumors on the current weekly MRI. To augment the training data, each voxel inside the volume of interest was expanded to a 3 × 3 cm patch as the input, whereas the classification of the corresponding patch, background or tumor, was the output. Training was updated weekly to incorporate the latest MRI scan. For comparison, a population-based neural network was implemented, trained, and validated on the leave-one-out scheme. Both algorithms were evaluated by their precision, DICE coefficient, and root mean square surface distance between the manual and computerized segmentations. RESULTS: Training of A-net converged well within 2 h of computations on a computer cluster. A-net segmented the weekly MR with a precision, DICE, and root mean square surface distance of 0.81 ± 0.10, 0.82 ± 0.10, and 2.4 ± 1.4 mm, and outperformed the population-based algorithm with 0.63 ± 0.21, 0.64 ± 0.19, and 4.1 ± 3.0 mm, respectively. CONCLUSION: A-net can be feasibly integrated into the clinical workflow of a longitudinal imaging study and become a valuable tool to facilitate decision- making in adaptive radiotherapy.</t>
  </si>
  <si>
    <t>C. Wang, N. Tyagi, A. Rimner, Y. C. Hu, H. Veeraraghavan, G. Li, M. Hunt, G. Mageras and P. Zhang</t>
  </si>
  <si>
    <t>Deep learning for liver tumor diagnosis part II: convolutional neural network interpretation using radiologic imaging features</t>
  </si>
  <si>
    <t>OBJECTIVES: To develop a proof-of-concept interpretable deep learning prototype that justifies aspects of its predictions from a pre-trained hepatic lesion classifier. METHODS: A convolutional neural network (CNN) was engineered and trained to classify six hepatic tumor entities using 494 lesions on multi-phasic MRI, described in Part 1. A subset of each lesion class was labeled with up to four key imaging features per lesion. A post hoc algorithm inferred the presence of these features in a test set of 60 lesions by analyzing activation patterns of the pre-trained CNN model. Feature maps were generated that highlight regions in the original image that correspond to particular features. Additionally, relevance scores were assigned to each identified feature, denoting the relative contribution of a feature to the predicted lesion classification. RESULTS: The interpretable deep learning system achieved 76.5% positive predictive value and 82.9% sensitivity in identifying the correct radiological features present in each test lesion. The model misclassified 12% of lesions. Incorrect features were found more often in misclassified lesions than correctly identified lesions (60.4% vs. 85.6%). Feature maps were consistent with original image voxels contributing to each imaging feature. Feature relevance scores tended to reflect the most prominent imaging criteria for each class. CONCLUSIONS: This interpretable deep learning system demonstrates proof of principle for illuminating portions of a pre-trained deep neural network's decision-making, by analyzing inner layers and automatically describing features contributing to predictions. KEY POINTS: • An interpretable deep learning system prototype can explain aspects of its decision-making by identifying relevant imaging features and showing where these features are found on an image, facilitating clinical translation. • By providing feedback on the importance of various radiological features in performing differential diagnosis, interpretable deep learning systems have the potential to interface with standardized reporting systems such as LI-RADS, validating ancillary features and improving clinical practicality. • An interpretable deep learning system could potentially add quantitative data to radiologic reports and serve radiologists with evidence-based decision support.</t>
  </si>
  <si>
    <t>C. J. Wang, C. A. Hamm, L. J. Savic, M. Ferrante, I. Schobert, T. Schlachter, M. Lin, J. C. Weinreb, J. S. Duncan, J. Chapiro and B. Letzen</t>
  </si>
  <si>
    <t>Mixed-Supervised Dual-Network for Medical Image Segmentation</t>
  </si>
  <si>
    <t>Deep learning based medical image segmentation models usually require large datasets with high-quality dense segmentations to train, which are very time-consuming and expensive to prepare. One way to tackle this difficulty is using the mixed-supervised learning framework, where only a part of data is densely annotated with segmentation label and the rest is weakly labeled with bounding boxes. The model is trained jointly in a multi-task learning setting. In this paper, we propose Mixed-Supervised Dual-Network (MSDN), a novel architecture which consists of two separate networks for the detection and segmentation tasks respectively, and a series of connection modules between the layers of the two networks. These connection modules are used to transfer useful information from the auxiliary detection task to help the segmentation task. We propose to use a recent technique called 'Squeeze and Excitation' in the connection module to boost the transfer. We conduct experiments on two medical image segmentation datasets. The proposed MSDN model outperforms multiple baselines.</t>
  </si>
  <si>
    <t>An efficient mixture of deep and machine learning models for COVID-19 diagnosis in chest X-ray images</t>
  </si>
  <si>
    <t>A newly emerged coronavirus (COVID-19) seriously threatens human life and health worldwide. In coping and fighting against COVID-19, the most critical step is to effectively screen and diagnose infected patients. Among them, chest X-ray imaging technology is a valuable imaging diagnosis method. The use of computer-aided diagnosis to screen X-ray images of COVID-19 cases can provide experts with auxiliary diagnosis suggestions, which can reduce the burden of experts to a certain extent. In this study, we first used conventional transfer learning methods, using five pre-trained deep learning models, which the Xception model showed a relatively ideal effect, and the diagnostic accuracy reached 96.75%. In order to further improve the diagnostic accuracy, we propose an efficient diagnostic method that uses a combination of deep features and machine learning classification. It implements an end-to-end diagnostic model. The proposed method was tested on two datasets and performed exceptionally well on both of them. We first evaluated the model on 1102 chest X-ray images. The experimental results show that the diagnostic accuracy of Xception + SVM is as high as 99.33%. Compared with the baseline Xception model, the diagnostic accuracy is improved by 2.58%. The sensitivity, specificity and AUC of this model reached 99.27%, 99.38% and 99.32%, respectively. To further illustrate the robustness of our method, we also tested our proposed model on another dataset. Finally also achieved good results. Compared with related research, our proposed method has higher classification accuracy and efficient diagnostic performance. Overall, the proposed method substantially advances the current radiology based methodology, it can be very helpful tool for clinical practitioners and radiologists to aid them in diagnosis and follow-up of COVID-19 cases.</t>
  </si>
  <si>
    <t>Multi-Path Dilated Residual Network for Nuclei Segmentation and Detection</t>
  </si>
  <si>
    <t>As a typical biomedical detection task, nuclei detection has been widely used in human health management, disease diagnosis and other fields. However, the task of cell detection in microscopic images is still challenging because the nuclei are commonly small and dense with many overlapping nuclei in the images. In order to detect nuclei, the most important key step is to segment the cell targets accurately. Based on Mask RCNN model, we designed a multi-path dilated residual network, and realized a network structure to segment and detect dense small objects, and effectively solved the problem of information loss of small objects in deep neural network. The experimental results on two typical nuclear segmentation data sets show that our model has better recognition and segmentation capability for dense small targets.</t>
  </si>
  <si>
    <t>E. K. Wang, X. Zhang, L. Pan, C. Cheng, A. Dimitrakopoulou-Strauss, Y. Li and N. Zhe</t>
  </si>
  <si>
    <t>Cells</t>
  </si>
  <si>
    <t>DeepPicker: A deep learning approach for fully automated particle picking in cryo-EM</t>
  </si>
  <si>
    <t>Particle picking is a time-consuming step in single-particle analysis and often requires significant interventions from users, which has become a bottleneck for future automated electron cryo-microscopy (cryo-EM). Here we report a deep learning framework, called DeepPicker, to address this problem and fill the current gaps toward a fully automated cryo-EM pipeline. DeepPicker employs a novel cross-molecule training strategy to capture common features of particles from previously-analyzed micrographs, and thus does not require any human intervention during particle picking. Tests on the recently-published cryo-EM data of three complexes have demonstrated that our deep learning based scheme can successfully accomplish the human-level particle picking process and identify a sufficient number of particles that are comparable to those picked manually by human experts. These results indicate that DeepPicker can provide a practically useful tool to significantly reduce the time and manual effort spent in single-particle analysis and thus greatly facilitate high-resolution cryo-EM structure determination. DeepPicker is released as an open-source program, which can be downloaded from https://github.com/nejyeah/DeepPicker-python.</t>
  </si>
  <si>
    <t>F. Wang, H. Gong, G. Liu, M. Li, C. Yan, T. Xia, X. Li and J. Zeng</t>
  </si>
  <si>
    <t>J Struct Biol</t>
  </si>
  <si>
    <t>Convolutional neural network for automatically segmenting magnetic resonance images of the shoulder joint</t>
  </si>
  <si>
    <t>BACKGROUND: Magnetic resonance imaging (MRI) has been known to replace computed tomography (CT) for bone and skeletal joint examination. The accurate automatic segmentation of bone structure in shoulder MRI is important for the measurement and diagnosis of bone injury and disease. Existing bone segmentation algorithms cannot achieve automatic segmentation without any prior knowledge, and their versatility and accuracy are relatively low. Therefore, an automatic segmentation combining pulse coupled neural network (PCNN) and full convolutional neural networks (FCN) is proposed. METHODOLOGY: By constructing the block-based AlexNet segmentation model and U-Net-based bone segmentation module, we implemented the humeral segmentation model, articular bone segmentation model, humeral head and articular bone segmentation model synthesis model. We use this four kinds of segmentation models to obtain candidate bone regions, and accurately detect the positions of humerus and articular bone by voting. Finally, we perform an AlexNet segmentation model in the detected bone area in one step to segment accuracy at the pixel level. RESULTS: The experimental data came from 8 groups of patients in Shengjing Hospital affiliated to China Medical University. The scanning volume of each group is approximately 100 images. Five fold cross-validations and for training were recorded, and five sets of data were carefully separated. After using our technique in the three groups of patients tested, the positive predictive value of dice coefficient (PPV) and the average accuracy of sensitivity were very significant, which reached 0.96±0.02, 0.97±0.02 and 0.94±0.03, respectively. CONCLUSION: The method used in the experiment in this paper is based on a small amount of patient sample data. The deep learning required for the experiment needs to be performed through 2D medical images. The shoulder segmentation data obtained in this way can be very accurate.</t>
  </si>
  <si>
    <t>Automatic Brain Tumor Segmentation Based on Cascaded Convolutional Neural Networks With Uncertainty Estimation</t>
  </si>
  <si>
    <t>Automatic segmentation of brain tumors from medical images is important for clinical assessment and treatment planning of brain tumors. Recent years have seen an increasing use of convolutional neural networks (CNNs) for this task, but most of them use either 2D networks with relatively low memory requirement while ignoring 3D context, or 3D networks exploiting 3D features while with large memory consumption. In addition, existing methods rarely provide uncertainty information associated with the segmentation result. We propose a cascade of CNNs to segment brain tumors with hierarchical subregions from multi-modal Magnetic Resonance images (MRI), and introduce a 2.5D network that is a trade-off between memory consumption, model complexity and receptive field. In addition, we employ test-time augmentation to achieve improved segmentation accuracy, which also provides voxel-wise and structure-wise uncertainty information of the segmentation result. Experiments with BraTS 2017 dataset showed that our cascaded framework with 2.5D CNNs was one of the top performing methods (second-rank) for the BraTS challenge. We also validated our method with BraTS 2018 dataset and found that test-time augmentation improves brain tumor segmentation accuracy and that the resulting uncertainty information can indicate potential mis-segmentations and help to improve segmentation accuracy.</t>
  </si>
  <si>
    <t>G. Wang, W. Li, S. Ourselin and T. Vercauteren</t>
  </si>
  <si>
    <t>Interactive Medical Image Segmentation Using Deep Learning With Image-Specific Fine Tuning</t>
  </si>
  <si>
    <t>Convolutional neural networks (CNNs) have achieved state-of-the-art performance for automatic medical image segmentation. However, they have not demonstrated sufficiently accurate and robust results for clinical use. In addition, they are limited by the lack of image-specific adaptation and the lack of generalizability to previously unseen object classes (a.k.a. zero-shot learning). To address these problems, we propose a novel deep learning-based interactive segmentation framework by incorporating CNNs into a bounding box and scribble-based segmentation pipeline. We propose image-specific fine tuning to make a CNN model adaptive to a specific test image, which can be either unsupervised (without additional user interactions) or supervised (with additional scribbles). We also propose a weighted loss function considering network and interaction-based uncertainty for the fine tuning. We applied this framework to two applications: 2-D segmentation of multiple organs from fetal magnetic resonance (MR) slices, where only two types of these organs were annotated for training and 3-D segmentation of brain tumor core (excluding edema) and whole brain tumor (including edema) from different MR sequences, where only the tumor core in one MR sequence was annotated for training. Experimental results show that: 1) our model is more robust to segment previously unseen objects than state-of-the-art CNNs; 2) image-specific fine tuning with the proposed weighted loss function significantly improves segmentation accuracy; and 3) our method leads to accurate results with fewer user interactions and less user time than traditional interactive segmentation methods.</t>
  </si>
  <si>
    <t>G. Wang, W. Li, M. A. Zuluaga, R. Pratt, P. A. Patel, M. Aertsen, T. Doel, A. L. David, J. Deprest, S. Ourselin and T. Vercauteren</t>
  </si>
  <si>
    <t>A Noise-Robust Framework for Automatic Segmentation of COVID-19 Pneumonia Lesions From CT Images</t>
  </si>
  <si>
    <t>Segmentation of pneumonia lesions from CT scans of COVID-19 patients is important for accurate diagnosis and follow-up. Deep learning has a potential to automate this task but requires a large set of high-quality annotations that are difficult to collect. Learning from noisy training labels that are easier to obtain has a potential to alleviate this problem. To this end, we propose a novel noise-robust framework to learn from noisy labels for the segmentation task. We first introduce a noise-robust Dice loss that is a generalization of Dice loss for segmentation and Mean Absolute Error (MAE) loss for robustness against noise, then propose a novel COVID-19 Pneumonia Lesion segmentation network (COPLE-Net) to better deal with the lesions with various scales and appearances. The noise-robust Dice loss and COPLE-Net are combined with an adaptive self-ensembling framework for training, where an Exponential Moving Average (EMA) of a student model is used as a teacher model that is adaptively updated by suppressing the contribution of the student to EMA when the student has a large training loss. The student model is also adaptive by learning from the teacher only when the teacher outperforms the student. Experimental results showed that: (1) our noise-robust Dice loss outperforms existing noise-robust loss functions, (2) the proposed COPLE-Net achieves higher performance than state-of-the-art image segmentation networks, and (3) our framework with adaptive self-ensembling significantly outperforms a standard training process and surpasses other noise-robust training approaches in the scenario of learning from noisy labels for COVID-19 pneumonia lesion segmentation.</t>
  </si>
  <si>
    <t>Image Reconstruction is a New Frontier of Machine Learning</t>
  </si>
  <si>
    <t>Over past several years, machine learning, or more generally artificial intelligence, has generated overwhelming research interest and attracted unprecedented public attention. As tomographic imaging researchers, we share the excitement from our imaging perspective [item 1) in the Appendix], and organized this special issue dedicated to the theme of Machine learning for image reconstruction. This special issue is a sister issue of the special issue published in May 2016 of this journal with the theme Deep learning in medical imaging [item 2) in the Appendix]. While the previous special issue targeted medical image processing/analysis, this special issue focuses on data-driven tomographic reconstruction. These two special issues are highly complementary, since image reconstruction and image analysis are two of the main pillars for medical imaging. Together we cover the whole workflow of medical imaging: from tomographic raw data/features to reconstructed images and then extracted diagnostic features/readings.</t>
  </si>
  <si>
    <t>DeepIGeoS: A Deep Interactive Geodesic Framework for Medical Image Segmentation</t>
  </si>
  <si>
    <t>Accurate medical image segmentation is essential for diagnosis, surgical planning and many other applications. Convolutional Neural Networks (CNNs) have become the state-of-the-art automatic segmentation methods. However, fully automatic results may still need to be refined to become accurate and robust enough for clinical use. We propose a deep learning-based interactive segmentation method to improve the results obtained by an automatic CNN and to reduce user interactions during refinement for higher accuracy. We use one CNN to obtain an initial automatic segmentation, on which user interactions are added to indicate mis-segmentations. Another CNN takes as input the user interactions with the initial segmentation and gives a refined result. We propose to combine user interactions with CNNs through geodesic distance transforms, and propose a resolution-preserving network that gives a better dense prediction. In addition, we integrate user interactions as hard constraints into a back-propagatable Conditional Random Field. We validated the proposed framework in the context of 2D placenta segmentation from fetal MRI and 3D brain tumor segmentation from FLAIR images. Experimental results show our method achieves a large improvement from automatic CNNs, and obtains comparable and even higher accuracy with fewer user interventions and less time compared with traditional interactive methods.</t>
  </si>
  <si>
    <t>G. Wang, M. A. Zuluaga, W. Li, R. Pratt, P. A. Patel, M. Aertsen, T. Doel, A. L. David, J. Deprest, S. Ourselin and T. Vercauteren</t>
  </si>
  <si>
    <t>CheXLocNet: Automatic localization of pneumothorax in chest radiographs using deep convolutional neural networks</t>
  </si>
  <si>
    <t>BACKGROUND: Pneumothorax can lead to a life-threatening emergency. The experienced radiologists can offer precise diagnosis according to the chest radiographs. The localization of the pneumothorax lesions will help to quickly diagnose, which will be benefit for the patients in the underdevelopment areas lack of the experienced radiologists. In recent years, with the development of large neural network architectures and medical imaging datasets, deep learning methods have become a methodology of choice for analyzing medical images. The objective of this study was to the construct convolutional neural networks to localize the pneumothorax lesions in chest radiographs. METHODS AND FINDINGS: We developed a convolutional neural network, called CheXLocNet, for the segmentation of pneumothorax lesions. The SIIM-ACR Pneumothorax Segmentation dataset was used to train and validate CheXLocNets. The training dataset contained 2079 radiographs with the annotated lesion areas. We trained six CheXLocNets with various hyperparameters. Another 300 annotated radiographs were used to select parameters of these CheXLocNets as the validation set. We determined the optimal parameters by the AP50 (average precision at the intersection over union (IoU) equal to 0.50), a segmentation evaluation metric used by several well-known competitions. Then CheXLocNets were evaluated by a test set (1082 normal radiographs and 290 disease radiographs), based on the classification metrics: area under the receiver operating characteristic curve (AUC), sensitivity, specificity, and positive predictive value (PPV); segmentation metrics: IoU and Dice score. For the classification, CheXLocNet with best sensitivity produced an AUC of 0.87, sensitivity of 0.78 (95% CI 0.73-0.83), and specificity of 0.78 (95% CI 0.76-0.81). CheXLocNet with best specificity produced an AUC of 0.79, sensitivity of 0.46 (95% CI 0.40-0.52), and specificity of 0.92 (95% CI 0.90-0.94). For the segmentation, CheXLocNet with best sensitivity produced an IoU of 0.69 and Dice score of 0.72. CheXLocNet with best specificity produced an IoU of 0.77 and Dice score of 0.79. We combined them to form an ensemble CheXLocNet. The ensemble CheXLocNet produced an IoU of 0.81 and Dice score of 0.82. Our CheXLocNet succeeded in automatically detecting pneumothorax lesions, without any human guidance. CONCLUSIONS: In this study, we proposed a deep learning network, called, CheXLocNet, for the automatic segmentation of chest radiographs to detect pneumothorax. Our CheXLocNets generated accurate classification results and high-quality segmentation masks for the pneumothorax at the same time. This technology has the potential to improve healthcare delivery and increase access to chest radiograph expertise for the detection of diseases. Furthermore, the segmentation results can offer comprehensive geometric information of lesions, which can benefit monitoring the sequential development of lesions with high accuracy. Thus, CheXLocNets can be further extended to be a reliable clinical decision support tool. Although we used transfer learning in training CheXLocNet, the parameters of CheXLocNet was still large for the radiograph dataset. Further work is necessary to prune CheXLocNet suitable for the radiograph dataset.</t>
  </si>
  <si>
    <t>Thorax-Net: An Attention Regularized Deep Neural Network for Classification of Thoracic Diseases on Chest Radiography</t>
  </si>
  <si>
    <t>Deep learning techniques have been increasingly used to provide more accurate and more accessible diagnosis of thorax diseases on chest radiographs. However, due to the lack of dense annotation of large-scale chest radiograph data, this computer-aided diagnosis task is intrinsically a weakly supervised learning problem and remains challenging. In this paper, we propose a novel deep convolutional neural network called Thorax-Net to diagnose 14 thorax diseases using chest radiography. Thorax-Net consists of a classification branch and an attention branch. The classification branch serves as a uniform feature extraction-classification network to free users from the troublesome hand-crafted feature extraction and classifier construction. The attention branch exploits the correlation between class labels and the locations of pathological abnormalities via analyzing the feature maps learned by the classification branch. Feeding a chest radiograph to the trained Thorax-Net, a diagnosis is obtained by averaging and binarizing the outputs of two branches. The proposed Thorax-Net model has been evaluated against three state-of-the-art deep learning models using the patientwise official split of the ChestX-ray14 dataset and against other five deep learning models using the imagewise random data split. Our results show that Thorax-Net achieves an average per-class area under the receiver operating characteristic curve (AUC) of 0.7876 and 0.896 in both experiments, respectively, which are higher than the AUC values obtained by other deep models when they were all trained with no external data.</t>
  </si>
  <si>
    <t>Deep learning enables cross-modality super-resolution in fluorescence microscopy</t>
  </si>
  <si>
    <t>We present deep-learning-enabled super-resolution across different fluorescence microscopy modalities. This data-driven approach does not require numerical modeling of the imaging process or the estimation of a point-spread-function, and is based on training a generative adversarial network (GAN) to transform diffraction-limited input images into super-resolved ones. Using this framework, we improve the resolution of wide-field images acquired with low-numerical-aperture objectives, matching the resolution that is acquired using high-numerical-aperture objectives. We also demonstrate cross-modality super-resolution, transforming confocal microscopy images to match the resolution acquired with a stimulated emission depletion (STED) microscope. We further demonstrate that total internal reflection fluorescence (TIRF) microscopy images of subcellular structures within cells and tissues can be transformed to match the results obtained with a TIRF-based structured illumination microscope. The deep network rapidly outputs these super-resolved images, without any iterations or parameter search, and could serve to democratize super-resolution imaging.</t>
  </si>
  <si>
    <t>H. Wang, Y. Rivenson, Y. Jin, Z. Wei, R. Gao, H. Günaydın, L. A. Bentolila, C. Kural and A. Ozcan</t>
  </si>
  <si>
    <t>Hard exudate detection based on deep model learned information and multi-feature joint representation for diabetic retinopathy screening</t>
  </si>
  <si>
    <t>BACKGROUND AND OBJECTIVE: Diabetic retinopathy (DR), which is generally diagnosed by the presence of hemorrhages and hard exudates, is one of the most prevalent causes of visual impairment and blindness. Early detection of hard exudates (HEs) in color fundus photographs can help in preventing such destructive damage. However, this is a challenging task due to high intra-class diversity and high similarity with other structures in the fundus images. Most of the existing methods for detecting HEs are based on characterizing HEs using hand crafted features (HCFs) only, which can not characterize HEs accurately. Deep learning methods are scarce in this domain because they require large-scale sample sets for training which are not generally available for most routine medical imaging research. METHODS: To address these challenges, we propose a novel methodology for HE detection using deep convolutional neural network (DCNN) and multi-feature joint representation. Specifically, we present a new optimized mathematical morphological approach that first segments HE candidates accurately. Then, each candidate is characterized using combined features based on deep features with HCFs incorporated, which is implemented by a ridge regression-based feature fusion. This method employs multi-space-based intensity features, geometric features, a gray-level co-occurrence matrix (GLCM)-based texture descriptor, a gray-level size zone matrix (GLSZM)-based texture descriptor to construct HCFs, and a DCNN to automatically learn the deep information of HE. Finally, a random forest is employed to identify the true HEs among candidates. RESULTS: The proposed method is evaluated on two benchmark databases. It obtains an F-score of 0.8929 with an area under curve (AUC) of 0.9644 on the e-optha database and an F-score of 0.9326 with an AUC of 0.9323 on the HEI-MED database. These results demonstrate that our approach outperforms state-of-the-art methods. Our model also proves to be suitable for clinical applications based on private clinical images from a local hospital. CONCLUSIONS: This newly proposed method integrates the traditional HCFs and deep features learned from DCNN for detecting HEs. It achieves a new state-of-the-art in both detecting HEs and DR screening. Furthermore, the proposed feature selection and fusion strategy reduces feature dimension and improves HE detection performance.</t>
  </si>
  <si>
    <t>Dual-modality multi-atlas segmentation of torso organs from [(18)F]FDG-PET/CT images</t>
  </si>
  <si>
    <t>PURPOSE: Automated segmentation of torso organs from positron emission tomography/computed tomography (PET/CT) images is a prerequisite step for nuclear medicine image analysis. However, accurate organ segmentation from clinical PET/CT is challenging due to the poor soft tissue contrast in the low-dose CT image and the low spatial resolution of the PET image. To overcome these challenges, we developed a multi-atlas segmentation (MAS) framework for torso organ segmentation from 2-deoxy-2-[(18)F]fluoro-D-glucose PET/CT images. METHOD: Our key idea is to use PET information to compensate for the imperfect CT contrast and use surface-based atlas fusion to overcome the low PET resolution. First, all the organs are segmented from CT using a conventional MAS method, and then the abdomen region of the PET image is automatically cropped. Focusing on the cropped PET image, a refined MAS segmentation of the abdominal organs is performed, using a surface-based atlas fusion approach to reach subvoxel accuracy. RESULTS: This method was validated based on 69 PET/CT images. The Dice coefficients of the target organs were between 0.80 and 0.96, and the average surface distances were between 1.58 and 2.44 mm. Compared to the CT-based segmentation, the PET-based segmentation gained a Dice increase of 0.06 and an ASD decrease of 0.38 mm. The surface-based atlas fusion leads to significant accuracy improvement for the liver and kidneys and saved ~ 10 min computation time compared to volumetric atlas fusion. CONCLUSIONS: The presented method achieves better segmentation accuracy than conventional MAS method within acceptable computation time for clinical applications.</t>
  </si>
  <si>
    <t>H. Wang, N. Zhang, L. Huo and B. Zhang</t>
  </si>
  <si>
    <t>Prior-Attention Residual Learning for More Discriminative COVID-19 Screening in CT Images</t>
  </si>
  <si>
    <t>We propose a conceptually simple framework for fast COVID-19 screening in 3D chest CT images. The framework can efficiently predict whether or not a CT scan contains pneumonia while simultaneously identifying pneumonia types between COVID-19 and Interstitial Lung Disease (ILD) caused by other viruses. In the proposed method, two 3D-ResNets are coupled together into a single model for the two above-mentioned tasks via a novel prior-attention strategy. We extend residual learning with the proposed prior-attention mechanism and design a new so-called prior-attention residual learning (PARL) block. The model can be easily built by stacking the PARL blocks and trained end-to-end using multi-task losses. More specifically, one 3D-ResNet branch is trained as a binary classifier using lung images with and without pneumonia so that it can highlight the lesion areas within the lungs. Simultaneously, inside the PARL blocks, prior-attention maps are generated from this branch and used to guide another branch to learn more discriminative representations for the pneumonia-type classification. Experimental results demonstrate that the proposed framework can significantly improve the performance of COVID-19 screening. Compared to other methods, it achieves a state-of-the-art result. Moreover, the proposed method can be easily extended to other similar clinical applications such as computer-aided detection and diagnosis of pulmonary nodules in CT images, glaucoma lesions in Retina fundus images, etc.</t>
  </si>
  <si>
    <t>Feature-shared adaptive-boost deep learning for invasiveness classification of pulmonary subsolid nodules in CT images</t>
  </si>
  <si>
    <t>PURPOSE: In clinical practice, invasiveness is an important reference indicator for differentiating the malignant degree of subsolid pulmonary nodules. These nodules can be classified as atypical adenomatous hyperplasia (AAH), adenocarcinoma in situ (AIS), minimally invasive adenocarcinoma (MIA), or invasive adenocarcinoma (IAC). The automatic determination of a nodule's invasiveness based on chest CT scans can guide treatment planning. However, it is challenging, owing to the insufficiency of training data and their interclass similarity and intraclass variation. To address these challenges, we propose a two-stage deep learning strategy for this task: prior-feature learning followed by adaptive-boost deep learning. METHODS: The adaptive-boost deep learning is proposed to train a strong classifier for invasiveness classification of subsolid nodules in chest CT images, using multiple 3D convolutional neural network (CNN)-based weak classifiers. Because ensembles of multiple deep 3D CNN models have a huge number of parameters and require large computing resources along with more training and testing time, the prior-feature learning is proposed to reduce the computations by sharing the CNN layers between all weak classifiers. Using this strategy, all weak classifiers can be integrated into a single network. RESULTS: Tenfold cross validation of binary classification was conducted on a total of 1357 nodules, including 765 noninvasive (AAH and AIS) and 592 invasive nodules (MIA and IAC). Ablation experimental results indicated that the proposed binary classifier achieved an accuracy of 73.4\%  ± 1.4 with an AUC of 81.3 \%  ± 2.2 . These results are superior compared to those achieved by three experienced chest imaging specialists who achieved an accuracy of 69.1\% , 69.3\% , and 67.9\% , respectively. About 200 additional nodules were also collected. These nodules covered 50 cases for each category (AAH, AIS, MIA, and IAC, respectively). Both binary and multiple classifications were performed on these data and the results demonstrated that the proposed method definitely achieves better performance than the performance achieved by nonensemble deep learning methods. CONCLUSIONS: It can be concluded that the proposed adaptive-boost deep learning can significantly improve the performance of invasiveness classification of pulmonary subsolid nodules in CT images, while the prior-feature learning can significantly reduce the total size of deep models. The promising results on clinical data show that the trained models can be used as an effective lung cancer screening tool in hospitals. Moreover, the proposed strategy can be easily extended to other similar classification tasks in 3D medical images.</t>
  </si>
  <si>
    <t>Detecting Cardiovascular Disease from Mammograms With Deep Learning</t>
  </si>
  <si>
    <t>Coronary artery disease is a major cause of death in women. Breast arterial calcifications (BACs), detected inmammograms, can be useful riskmarkers associated with the disease. We investigate the feasibility of automated and accurate detection ofBACsinmammograms for risk assessment of coronary artery disease. We develop a 12-layer convolutional neural network to discriminate BAC from non-BAC and apply a pixelwise, patch-based procedure for BAC detection. To assess the performance of the system, we conduct a reader study to provide ground-truth information using the consensus of human expert radiologists. We evaluate the performance using a set of 840 full-field digital mammograms from 210 cases, using both free-responsereceiveroperatingcharacteristic (FROC) analysis and calcium mass quantification analysis. The FROC analysis shows that the deep learning approach achieves a level of detection similar to the human experts. The calcium mass quantification analysis shows that the inferred calcium mass is close to the ground truth, with a linear regression between them yielding a coefficient of determination of 96.24%. Taken together, these results suggest that deep learning can be used effectively to develop an automated system for BAC detection inmammograms to help identify and assess patients with cardiovascular risks.</t>
  </si>
  <si>
    <t>J. Wang, H. Ding, F. A. Bidgoli, B. Zhou, C. Iribarren, S. Molloi and P. Baldi</t>
  </si>
  <si>
    <t>A multi-resolution approach for spinal metastasis detection using deep Siamese neural networks</t>
  </si>
  <si>
    <t>Spinal metastasis, a metastatic cancer of the spine, is the most common malignant disease in the spine. In this study, we investigate the feasibility of automated spinal metastasis detection in magnetic resonance imaging (MRI) by using deep learning methods. To accommodate the large variability in metastatic lesion sizes, we develop a Siamese deep neural network approach comprising three identical subnetworks for multi-resolution analysis and detection of spinal metastasis. At each location of interest, three image patches at three different resolutions are extracted and used as the input to the networks. To further reduce the false positives (FPs), we leverage the similarity between neighboring MRI slices, and adopt a weighted averaging strategy to aggregate the results obtained by the Siamese neural networks. The detection performance is evaluated on a set of 26 cases using a free-response receiver operating characteristic (FROC) analysis. The results show that the proposed approach correctly detects all the spinal metastatic lesions while producing only 0.40 FPs per case. At a true positive (TP) rate of 90%, the use of the aggregation reduces the FPs from 0.375 FPs per case to 0.207 FPs per case, a nearly 44.8% reduction. The results indicate that the proposed Siamese neural network method, combined with the aggregation strategy, provide a viable strategy for the automated detection of spinal metastasis in MRI images.</t>
  </si>
  <si>
    <t>J. Wang, Z. Fang, N. Lang, H. Yuan, M. Y. Su and P. Baldi</t>
  </si>
  <si>
    <t>Gray Matter Age Prediction as a Biomarker for Risk of Dementia</t>
  </si>
  <si>
    <t>The gap between predicted brain age using magnetic resonance imaging (MRI) and chronological age may serve as a biomarker for early-stage neurodegeneration. However, owing to the lack of large longitudinal studies, it has been challenging to validate this link. We aimed to investigate the utility of such a gap as a risk biomarker for incident dementia using a deep learning approach for predicting brain age based on MRI-derived gray matter (GM). We built a convolutional neural network (CNN) model to predict brain age trained on 3,688 dementia-free participants of the Rotterdam Study (mean age 66 ± 11 y, 55% women). Logistic regressions and Cox proportional hazards were used to assess the association of the age gap with incident dementia, adjusted for age, sex, intracranial volume, GM volume, hippocampal volume, white matter hyperintensities, years of education, and APOE ε4 allele carriership. Additionally, we computed the attention maps, which shows which regions are important for age prediction. Logistic regression and Cox proportional hazard models showed that the age gap was significantly related to incident dementia (odds ratio [OR] = 1.11 and 95% confidence intervals [CI] = 1.05-1.16; hazard ratio [HR] = 1.11, and 95% CI = 1.06-1.15, respectively). Attention maps indicated that GM density around the amygdala and hippocampi primarily drove the age estimation. We showed that the gap between predicted and chronological brain age is a biomarker, complimentary to those that are known, associated with risk of dementia, and could possibly be used for early-stage dementia risk screening.</t>
  </si>
  <si>
    <t>[Research and application of orthotopic DR chest radiograph quality control system based on artificial intelligence]</t>
  </si>
  <si>
    <t>With the change of medical diagnosis and treatment mode, the quality of medical image directly affects the diagnosis and treatment of the disease for doctors. Therefore, realization of intelligent image quality control by computer will have a greater auxiliary effect on the radiographer's filming work. In this paper, the research methods and applications of image segmentation model and image classification model in the field of deep learning and traditional image processing algorithm applied to medical image quality evaluation are described. The results demonstrate that deep learning algorithm is more accurate and efficient than the traditional image processing algorithm in the effective training of medical image big data, which explains the broad application prospect of deep learning in the medical field. This paper developed a set of intelligent quality control system for auxiliary filming, and successfully applied it to the Radiology Department of West China Hospital and other city and county hospitals, which effectively verified the feasibility and stability of the quality control system.</t>
  </si>
  <si>
    <t>Deep learning based image reconstruction algorithm for limited-angle translational computed tomography</t>
  </si>
  <si>
    <t>As a low-end computed tomography (CT) system, translational CT (TCT) is in urgent demand in developing countries. Under some circumstances, in order to reduce the scan time, decrease the X-ray radiation or scan long objects, furthermore, to avoid the inconsistency of the detector for the large angle scanning, we use the limited-angle TCT scanning mode to scan an object within a limited angular range. However, this scanning mode introduces some additional noise and limited-angle artifacts that seriously degrade the imaging quality and affect the diagnosis accuracy. To reconstruct a high-quality image for the limited-angle TCT scanning mode, we develop a limited-angle TCT image reconstruction algorithm based on a U-net convolutional neural network (CNN). First, we use the SART method to the limited-angle TCT projection data, then we import the image reconstructed by SART method to a well-trained CNN which can suppress the artifacts and preserve the structures to obtain a better reconstructed image. Some simulation experiments are implemented to demonstrate the performance of the developed algorithm for the limited-angle TCT scanning mode. Compared with some state-of-the-art methods, the developed algorithm can effectively suppress the noise and the limited-angle artifacts while preserving the image structures.</t>
  </si>
  <si>
    <t>10.7507/1001-5515.201806019</t>
  </si>
  <si>
    <t>[Research progress on computed tomography image detection and classification of pulmonary nodule based on deep learning]</t>
  </si>
  <si>
    <t>Computer-aided diagnosis based on computed tomography (CT) image can realize the detection and classification of pulmonary nodules, and improve the survival rate of early lung cancer, which has important clinical significance. In recent years, with the rapid development of medical big data and artificial intelligence technology, the auxiliary diagnosis of lung cancer based on deep learning has gradually become one of the most active research directions in this field. In order to promote the deep learning in the detection and classification of pulmonary nodules, we reviewed the research progress in this field based on the relevant literatures published at domestic and overseas in recent years. This paper begins with a brief introduction of two widely used lung CT image databases: lung image database consortium and image database resource initiative (LIDC-IDRI) and Data Science Bowl 2017. Then, the detection and classification of pulmonary nodules based on different network structures are introduced in detail. Finally, some problems of deep learning in lung CT image nodule detection and classification are discussed and conclusions are given. The development prospect is also forecasted, which provides reference for future application research in this field.</t>
  </si>
  <si>
    <t>Technical Note: A deep learning-based autosegmentation of rectal tumors in MR images</t>
  </si>
  <si>
    <t>PURPOSE: Manual contouring of gross tumor volumes (GTV) is a crucial and time-consuming process in rectum cancer radiotherapy. This study aims to develop a simple deep learning-based autosegmentation algorithm to segment rectal tumors on T2-weighted MR images. MATERIAL AND METHODS: MRI scans (3T, T2-weighted) of 93 patients with locally advanced (cT3-4 and/or cN1-2) rectal cancer treated with neoadjuvant chemoradiotherapy followed by surgery were enrolled in this study. A 2D U-net similar network was established as a training model. The model was trained in two phases to increase efficiency. These phases were tumor recognition and tumor segmentation. An opening (erosion and dilation) process was implemented to smooth contours after segmentation. Data were randomly separated into training (90%) and validation (10%) datasets for a 10-folder cross-validation. Additionally, 20 patients were double contoured for performance evaluation. Four indices were calculated to evaluate the similarity of automated and manual segmentation, including Hausdorff distance (HD), average surface distance (ASD), Dice index (DSC), and Jaccard index (JSC). RESULTS: The DSC, JSC, HD, and ASD (mean ± SD) were 0.74 ± 0.14, 0.60 ± 0.16, 20.44 ± 13.35, and 3.25 ± 1.69 mm for validation dataset; and these indices were 0.71 ± 0.13, 0.57 ± 0.15, 14.91 ± 7.62, and 2.67 ± 1.46 mm between two human radiation oncologists, respectively. No significant difference has been observed between automated segmentation and manual segmentation considering DSC (P = 0.42), JSC (P = 0.35), HD (P = 0.079), and ASD (P = 0.16). However, significant difference was found for HD (P = 0.0027) without opening process. CONCLUSION: This study showed that a simple deep learning neural network can perform segmentation for rectum cancer based on MRI T2 images with results comparable to a human.</t>
  </si>
  <si>
    <t>J. Wang, J. Lu, G. Qin, L. Shen, Y. Sun, H. Ying, Z. Zhang and W. Hu</t>
  </si>
  <si>
    <t>Deep learning has achieved great success in image classification task when given sufficient labeled training images. However, in fundus image based glaucoma diagnosis, we often have very limited training data due to expensive cost in data labeling. Moreover, when facing a new application environment, it is difficult to train a network with limited labeled training images. In this case, some images from some auxiliary domains (i.e., source domain) could be exploited to improve the performance. Unfortunately, direct using the source domain data may not achieve promising performance for the domain of interest (i.e., target domain) due to reasons like distribution discrepancy between two domains. In this paper, focusing on glaucoma diagnosis, we propose a deep adversarial transfer learning method conditioned on label information to match the distributions of source and target domains, so that the labeled source images can be leveraged to improve the classification performance in the target domain. Different from the most existing adversarial transfer learning methods which consider marginal distribution matching only, we seek to match the label conditional distributions by handling images with different labels separately. We conduct experiments on three glaucoma datasets and adopt multiple evaluation metrics to verify the effectiveness of our proposed method.</t>
  </si>
  <si>
    <t>Discrimination of Breast Cancer with Microcalcifications on Mammography by Deep Learning</t>
  </si>
  <si>
    <t>Microcalcification is an effective indicator of early breast cancer. To improve the diagnostic accuracy of microcalcifications, this study evaluates the performance of deep learning-based models on large datasets for its discrimination. A semi-automated segmentation method was used to characterize all microcalcifications. A discrimination classifier model was constructed to assess the accuracies of microcalcifications and breast masses, either in isolation or combination, for classifying breast lesions. Performances were compared to benchmark models. Our deep learning model achieved a discriminative accuracy of 87.3% if microcalcifications were characterized alone, compared to 85.8% with a support vector machine. The accuracies were 61.3% for both methods with masses alone and improved to 89.7% and 85.8% after the combined analysis with microcalcifications. Image segmentation with our deep learning model yielded 15, 26 and 41 features for the three scenarios, respectively. Overall, deep learning based on large datasets was superior to standard methods for the discrimination of microcalcifications. Accuracy was increased by adopting a combinatorial approach to detect microcalcifications and masses simultaneously. This may have clinical value for early detection and treatment of breast cancer.</t>
  </si>
  <si>
    <t>J. Wang, X. Yang, H. Cai, W. Tan, C. Jin and L. Li</t>
  </si>
  <si>
    <t>A Deep Learning Approach for Meibomian Gland Atrophy Evaluation in Meibography Images</t>
  </si>
  <si>
    <t>PURPOSE: To develop a deep learning approach to digitally segmenting meibomian gland atrophy area and computing percent atrophy in meibography images. METHODS: A total of 706 meibography images with corresponding meiboscores were collected and annotated for each one with eyelid and atrophy regions. The dataset was then divided into the development and evaluation sets. The development set was used to train and tune the deep learning model, while the evaluation set was used to evaluate the performance of the model. RESULTS: Four hundred ninety-seven meibography images were used for training and tuning the deep learning model while the remaining 209 images were used for evaluations. The algorithm achieves 95.6% meiboscore grading accuracy on average, largely outperforming the lead clinical investigator (LCI) by 16.0% and the clinical team by 40.6%. Our algorithm also achieves 97.6% and 95.4% accuracy for eyelid and atrophy segmentations, respectively, as well as 95.5% and 66.7% mean intersection over union accuracies (mean IU), respectively. The average root-mean-square deviation (RMSD) of the percent atrophy prediction is 6.7%. CONCLUSIONS: The proposed deep learning approach can automatically segment the total eyelid and meibomian gland atrophy regions, as well as compute percent atrophy with high accuracy and consistency. This provides quantitative information of the gland atrophy severity based on meibography images. TRANSLATIONAL RELEVANCE: Based on deep neural networks, the study presents an accurate and consistent gland atrophy evaluation method for meibography images, and may contribute to improved understanding of meibomian gland dysfunction.</t>
  </si>
  <si>
    <t>J. Wang, T. N. Yeh, R. Chakraborty, S. X. Yu and M. C. Lin</t>
  </si>
  <si>
    <t>Deep learning Radiomics of shear wave elastography significantly improved diagnostic performance for assessing liver fibrosis in chronic hepatitis B: a prospective multicentre study</t>
  </si>
  <si>
    <t>OBJECTIVE: We aimed to evaluate the performance of the newly developed deep learning Radiomics of elastography (DLRE) for assessing liver fibrosis stages. DLRE adopts the radiomic strategy for quantitative analysis of the heterogeneity in two-dimensional shear wave elastography (2D-SWE) images. DESIGN: A prospective multicentre study was conducted to assess its accuracy in patients with chronic hepatitis B, in comparison with 2D-SWE, aspartate transaminase-to-platelet ratio index and fibrosis index based on four factors, by using liver biopsy as the reference standard. Its accuracy and robustness were also investigated by applying different number of acquisitions and different training cohorts, respectively. Data of 654 potentially eligible patients were prospectively enrolled from 12 hospitals, and finally 398 patients with 1990 images were included. Analysis of receiver operating characteristic (ROC) curves was performed to calculate the optimal area under the ROC curve (AUC) for cirrhosis (F4), advanced fibrosis (≥F3) and significance fibrosis (≥F2). RESULTS: AUCs of DLRE were 0.97 for F4 (95% CI 0.94 to 0.99), 0.98 for ≥F3 (95% CI 0.96 to 1.00) and 0.85 (95% CI 0.81 to 0.89) for ≥F2, which were significantly better than other methods except 2D-SWE in ≥F2. Its diagnostic accuracy improved as more images (especially ≥3 images) were acquired from each individual. No significant variation of the performance was found if different training cohorts were applied. CONCLUSION: DLRE shows the best overall performance in predicting liver fibrosis stages compared with 2D-SWE and biomarkers. It is valuable and practical for the non-invasive accurate diagnosis of liver fibrosis stages in HBV-infected patients. TRIAL REGISTRATION NUMBER: NCT02313649; Post-results.</t>
  </si>
  <si>
    <t>K. Wang, X. Lu, H. Zhou, Y. Gao, J. Zheng, M. Tong, C. Wu, C. Liu, L. Huang, T. Jiang, F. Meng, Y. Lu, H. Ai, X. Y. Xie, L. P. Yin, P. Liang, J. Tian and R. Zheng</t>
  </si>
  <si>
    <t>Deep Learning Detection of Penumbral Tissue on Arterial Spin Labeling in Stroke</t>
  </si>
  <si>
    <t>Background and Purpose- Selection of patients with acute ischemic stroke for endovascular treatment generally relies on dynamic susceptibility contrast magnetic resonance imaging or computed tomography perfusion. Dynamic susceptibility contrast magnetic resonance imaging requires injection of contrast, whereas computed tomography perfusion requires high doses of ionizing radiation. The purpose of this work was to develop and evaluate a deep learning (DL)-based algorithm for assisting the selection of suitable patients with acute ischemic stroke for endovascular treatment based on 3-dimensional pseudo-continuous arterial spin labeling (pCASL). Methods- A total of 167 image sets of 3-dimensional pCASL data from 137 patients with acute ischemic stroke scanned on 1.5T and 3.0T Siemens MR systems were included for neural network training. The concurrently acquired dynamic susceptibility contrast magnetic resonance imaging was used to produce labels of hypoperfused brain regions, analyzed using commercial software. The DL and 6 machine learning (ML) algorithms were trained with 10-fold cross-validation. The eligibility for endovascular treatment was determined retrospectively based on the criteria of perfusion/diffusion mismatch in the DEFUSE 3 trial (Endovascular Therapy Following Imaging Evaluation for Ischemic Stroke). The trained DL algorithm was further applied on twelve 3-dimensional pCASL data sets acquired on 1.5T and 3T General Electric MR systems, without fine-tuning of parameters. Results- The DL algorithm can predict the dynamic susceptibility contrast-defined hypoperfusion region in pCASL with a voxel-wise area under the curve of 0.958, while the 6 ML algorithms ranged from 0.897 to 0.933. For retrospective determination for subject-level endovascular treatment eligibility, the DL algorithm achieved an accuracy of 92%, with a sensitivity of 0.89 and specificity of 0.95. When applied to the GE pCASL data, the DL algorithm achieved a voxel-wise area under the curve of 0.94 and a subject-level accuracy of 92% for endovascular treatment eligibility. Conclusions- pCASL perfusion magnetic resonance imaging in conjunction with the DL algorithm provides a promising approach for assisting decision-making for endovascular treatment in patients with acute ischemic stroke.</t>
  </si>
  <si>
    <t>AK-DL: A Shallow Neural Network Model for Diagnosing Actinic Keratosis with Better Performance Than Deep Neural Networks</t>
  </si>
  <si>
    <t>Actinic keratosis (AK) is one of the most common precancerous skin lesions, which is easily confused with benign keratosis (BK). At present, the diagnosis of AK mainly depends on histopathological examination, and ignorance can easily occur in the early stage, thus missing the opportunity for treatment. In this study, we designed a shallow convolutional neural network (CNN) named actinic keratosis deep learning (AK-DL) and further developed an intelligent diagnostic system for AK based on the iOS platform. After data preprocessing, the AK-DL model was trained and tested with AK and BK images from dataset HAM10000. We further compared it with mainstream deep CNN models, such as AlexNet, GoogLeNet, and ResNet, as well as traditional medical image processing algorithms. Our results showed that the performance of AK-DL was better than the mainstream deep CNN models and traditional medical image processing algorithms based on the AK dataset. The recognition accuracy of AK-DL was 0.925, the area under the receiver operating characteristic curve (AUC) was 0.887, and the training time was only 123.0 s. An iOS app of intelligent diagnostic system was developed based on the AK-DL model for accurate and automatic diagnosis of AK. Our results indicate that it is better to employ a shallow CNN in the recognition of AK.</t>
  </si>
  <si>
    <t>Annotation-Efficient Learning for Medical Image Segmentation based on Noisy Pseudo Labels and Adversarial Learning</t>
  </si>
  <si>
    <t>Despite that deep learning has achieved state-of-the-art performance for medical image segmentation, its success relies on a large set of manually annotated images for training that are expensive to acquire. In this paper, we propose an annotation-efficient learning framework for segmentation tasks that avoids annotations of training images, where we use an improved Cycle-Consistent Generative Adversarial Network (GAN) to learn from a set of unpaired medical images and auxiliary masks obtained either from a shape model or public datasets. We first use the GAN to generate pseudo labels for our training images under the implicit high-level shape constraint represented by a Variational Auto-encoder (VAE)-based discriminator with the help of the auxiliary masks, and build a Discriminator-guided Generator Channel Calibration (DGCC) module which employs our discriminator's feedback to calibrate the generator for better pseudo labels. To learn from the pseudo labels that are noisy, we further introduce a noise-robust iterative learning method using noise-weighted Dice loss. We validated our framework with two situations: objects with a simple shape model like optic disc in fundus images and fetal head in ultrasound images, and complex structures like lung in X-Ray images and liver in CT images. Experimental results demonstrated that 1) Our VAE-based discriminator and DGCC module help to obtain high-quality pseudo labels. 2) Our proposed noise-robust learning method can effectively overcome the effect of noisy pseudo labels. 3) The segmentation performance of our method without using annotations of training images is close or even comparable to that of learning from human annotations.</t>
  </si>
  <si>
    <t>COVID-Net: a tailored deep convolutional neural network design for detection of COVID-19 cases from chest X-ray images</t>
  </si>
  <si>
    <t>The Coronavirus Disease 2019 (COVID-19) pandemic continues to have a devastating effect on the health and well-being of the global population. A critical step in the fight against COVID-19 is effective screening of infected patients, with one of the key screening approaches being radiology examination using chest radiography. It was found in early studies that patients present abnormalities in chest radiography images that are characteristic of those infected with COVID-19. Motivated by this and inspired by the open source efforts of the research community, in this study we introduce COVID-Net, a deep convolutional neural network design tailored for the detection of COVID-19 cases from chest X-ray (CXR) images that is open source and available to the general public. To the best of the authors' knowledge, COVID-Net is one of the first open source network designs for COVID-19 detection from CXR images at the time of initial release. We also introduce COVIDx, an open access benchmark dataset that we generated comprising of 13,975 CXR images across 13,870 patient patient cases, with the largest number of publicly available COVID-19 positive cases to the best of the authors' knowledge. Furthermore, we investigate how COVID-Net makes predictions using an explainability method in an attempt to not only gain deeper insights into critical factors associated with COVID cases, which can aid clinicians in improved screening, but also audit COVID-Net in a responsible and transparent manner to validate that it is making decisions based on relevant information from the CXR images. By no means a production-ready solution, the hope is that the open access COVID-Net, along with the description on constructing the open source COVIDx dataset, will be leveraged and build upon by both researchers and citizen data scientists alike to accelerate the development of highly accurate yet practical deep learning solutions for detecting COVID-19 cases and accelerate treatment of those who need it the most.</t>
  </si>
  <si>
    <t>Accurate automated Cobb angles estimation using multi-view extrapolation net</t>
  </si>
  <si>
    <t>Accurate automated quantitative Cobb angle estimation that quantitatively evaluates scoliosis plays an important role in scoliosis diagnosis and treatment. It solves the problem of the traditional manual method, which is the current clinical standard for scoliosis assessment, but time-consuming and unreliable. However, it is very challenging to achieve highly accurate automated Cobb angle estimation because it is difficult to utilize the information of Anterior-posterior (AP) and Lateral (LAT) view X-rays efficiently. We therefore propose a Multi-View Extrapolation Net (MVE-Net) that provides accurate automated scoliosis estimation in multi-view (both AP and LAT) X-rays. The MVE-Net consists of three parts: Joint-view net learning AP and LAT angles jointly based on landmarks learned from joint representation; Independent-view net learning AP and LAT angles independently based on landmarks learned from unique independent feature of AP or LAT angles; Inter-error correction net learning a combination function adaptively to offset the first two nets' errors for accurate angle estimation. Experimental results on 526 X-rays show 7.81 and 6.26 Circular Mean Absolute Error in AP and LAT angle estimation, which shows the MVE-Net provides an accurate Cobb angle estimation in multi-view X-rays. Our method therefore provides effective framework for automated, accurate, and reliable scoliosis estimation.</t>
  </si>
  <si>
    <t>Automatic thyroid nodule recognition and diagnosis in ultrasound imaging with the YOLOv2 neural network</t>
  </si>
  <si>
    <t>BACKGROUND: In this study, images of 2450 benign thyroid nodules and 2557 malignant thyroid nodules were collected and labeled, and an automatic image recognition and diagnosis system was established by deep learning using the YOLOv2 neural network. The performance of the system in the diagnosis of thyroid nodules was evaluated, and the application value of artificial intelligence in clinical practice was investigated. METHODS: The ultrasound images of 276 patients were retrospectively selected. The diagnoses of the radiologists were determined according to the Thyroid Imaging Reporting and Data System; the images were automatically recognized and diagnosed by the established artificial intelligence system. Pathological diagnosis was the gold standard for the final diagnosis. The performances of the established system and the radiologists in diagnosing the benign and malignant thyroid nodules were compared. RESULTS: The artificial intelligence diagnosis system correctly identified the lesion area, with an area under the receiver operating characteristic (ROC) curve of 0.902, which is higher than that of the radiologists (0.859). This finding indicates a higher diagnostic accuracy (p = 0.0434). The sensitivity, positive predictive value, negative predictive value, and accuracy of the artificial intelligence diagnosis system for the diagnosis of malignant thyroid nodules were 90.5%, 95.22%, 80.99%, and 90.31%, respectively, and the performance did not significantly differ from that of the radiologists (p &gt; 0.05). The artificial intelligence diagnosis system had a higher specificity (89.91% vs 77.98%, p = 0.026). CONCLUSIONS: Compared with the performance of experienced radiologists, the artificial intelligence system has comparable sensitivity and accuracy for the diagnosis of malignant thyroid nodules and better diagnostic ability for benign thyroid nodules. As an auxiliary tool, this artificial intelligence diagnosis system can provide radiologists with sufficient assistance in the diagnosis of benign and malignant thyroid nodules.</t>
  </si>
  <si>
    <t>L. Wang, S. Yang, S. Yang, C. Zhao, G. Tian, Y. Gao, Y. Chen and Y. Lu</t>
  </si>
  <si>
    <t>World J Surg Oncol</t>
  </si>
  <si>
    <t>Multi-path synergic fusion deep neural network framework for breast mass classification using digital breast tomosynthesis</t>
  </si>
  <si>
    <t>OBJECTIVE: To develop and evaluate a multi-path synergic fusion (MSF) deep neural network model for breast mass classification using digital breast tomosynthesis (DBT). METHODS: We retrospectively collected 441 patients who had undergone DBT in which the regions of interest (ROIs) covering the malignant/benign breast mass were extracted for model training and validation. In the proposed MSF framework, three multifaceted representations of the breast mass (gross mass, overview, and mass background) are extracted from the ROIs and independently processed by a multi-scale multi-level features enforced DenseNet (MMFED). The three MMFED sub-models are finally fused at the decision level to generate the final prediction. The advantages of the MMFED over the original DenseNet, as well as different fusion strategies embedded in MSF, were comprehensively compared. RESULTS: The MMFED was observed to be superior to the original DenseNet, and multiple channel fusions in the MSF outperformed the single-channel MMFED and double-channel fusion with the best classification scores of area under the receiver operating characteristic (ROC) curve (87.03%), Accuracy (81.29%), Sensitivity (74.57%), and Specificity (84.53%) via the weighted fusion method embedded in MSF. The decision level fusion-based MSF was significantly better (in terms of the ROC curve) than the feature concatenation-based fusion (p&lt; 0.05), the single MMFED using a fused three-channel image (p&lt; 0.04), and the multiple MMFED end-to-end training (p&lt; 0.004). CONCLUSIONS: Integrating multifaceted representations of the breast mass tends to increase benign/malignant mass classification performance and the proposed methodology was verified to be a promising tool to assist in clinical breast cancer screening.</t>
  </si>
  <si>
    <t>Hierarchical Structured Sparse Learning for Schizophrenia Identification</t>
  </si>
  <si>
    <t>Fractional amplitude of low-frequency fluctuation (fALFF) has been widely used for resting-state functional magnetic resonance imaging (rs-fMRI) based schizophrenia (SZ) diagnosis. However, previous studies usually measure the fALFF within low-frequency fluctuation (from 0.01 to 0.08Hz), which cannot fully cover the complex neural activity pattern in the resting-state brain. In addition, existing studies usually ignore the fact that each specific frequency band can delineate the unique spontaneous fluctuations of neural activities in the brain. Accordingly, in this paper, we propose a novel hierarchical structured sparse learning method to sufficiently utilize the specificity and complementary structure information across four different frequency bands (from 0.01Hz to 0.25Hz) for SZ diagnosis. The proposed method can help preserve the partial group structures among multiple frequency bands and the specific characters in each frequency band. We further develop an efficient optimization algorithm to solve the proposed objective function. We validate the efficacy of our proposed method on a real SZ dataset. Also, to demonstrate the generality of the method, we apply our proposed method on a subset of Alzheimer's Disease Neuroimaging Initiative (ADNI) database. Experimental results on both datasets demonstrate that our proposed method achieves promising performance in brain disease classification, compared with several state-of-the-art methods.</t>
  </si>
  <si>
    <t>Deep learning-based triage and analysis of lesion burden for COVID-19: a retrospective study with external validation</t>
  </si>
  <si>
    <t>BACKGROUND: Prompt identification of patients suspected to have COVID-19 is crucial for disease control. We aimed to develop a deep learning algorithm on the basis of chest CT for rapid triaging in fever clinics. METHODS: We trained a U-Net-based model on unenhanced chest CT scans obtained from 2447 patients admitted to Tongji Hospital (Wuhan, China) between Feb 1, 2020, and March 3, 2020 (1647 patients with RT-PCR-confirmed COVID-19 and 800 patients without COVID-19) to segment lung opacities and alert cases with COVID-19 imaging manifestations. The ability of artificial intelligence (AI) to triage patients suspected to have COVID-19 was assessed in a large external validation set, which included 2120 retrospectively collected consecutive cases from three fever clinics inside and outside the epidemic centre of Wuhan (Tianyou Hospital [Wuhan, China; area of high COVID-19 prevalence], Xianning Central Hospital [Xianning, China; area of medium COVID-19 prevalence], and The Second Xiangya Hospital [Changsha, China; area of low COVID-19 prevalence]) between Jan 22, 2020, and Feb 14, 2020. To validate the sensitivity of the algorithm in a larger sample of patients with COVID-19, we also included 761 chest CT scans from 722 patients with RT-PCR-confirmed COVID-19 treated in a makeshift hospital (Guanggu Fangcang Hospital, Wuhan, China) between Feb 21, 2020, and March 6, 2020. Additionally, the accuracy of AI was compared with a radiologist panel for the identification of lesion burden increase on pairs of CT scans obtained from 100 patients with COVID-19. FINDINGS: In the external validation set, using radiological reports as the reference standard, AI-aided triage achieved an area under the curve of 0·953 (95% CI 0·949-0·959), with a sensitivity of 0·923 (95% CI 0·914-0·932), specificity of 0·851 (0·842-0·860), a positive predictive value of 0·790 (0·777-0·803), and a negative predictive value of 0·948 (0·941-0·954). AI took a median of 0·55 min (IQR: 0·43-0·63) to flag a positive case, whereas radiologists took a median of 16·21 min (11·67-25·71) to draft a report and 23·06 min (15·67-39·20) to release a report. With regard to the identification of increases in lesion burden, AI achieved a sensitivity of 0·962 (95% CI 0·947-1·000) and a specificity of 0·875 (95 %CI 0·833-0·923). The agreement between AI and the radiologist panel was high (Cohen's kappa coefficient 0·839, 95% CI 0·718-0·940). INTERPRETATION: A deep learning algorithm for triaging patients with suspected COVID-19 at fever clinics was developed and externally validated. Given its high accuracy across populations with varied COVID-19 prevalence, integration of this system into the standard clinical workflow could expedite identification of chest CT scans with imaging indications of COVID-19. FUNDING: Special Project for Emergency of the Science and Technology Department of Hubei Province, China.</t>
  </si>
  <si>
    <t>Automated Measurements of Muscle Mass Using Deep Learning Can Predict Clinical Outcomes in Patients With Liver Disease</t>
  </si>
  <si>
    <t>INTRODUCTION: There is increasing recognition of the central role of muscle mass in predicting clinical outcomes in patients with liver disease. Muscle size can be extracted from computed tomography (CT) scans, but clinical implementation will require increased automation. We hypothesize that we can achieve this by using artificial intelligence. METHODS: Using deep convolutional neural networks, we trained an algorithm on the Reference Analytic Morphomics Population (n = 5,268) and validated the automated methodology in an external cohort of adult kidney donors with a noncontrast CT scan (n = 1,655). To test the clinical usefulness, we examined its ability to predict clinical outcomes in a prospectively followed cohort of patients with clinically diagnosed cirrhosis (n = 254). RESULTS: Between the manual and automated methodologies, we found excellent inter-rater agreement with an intraclass correlation coefficient of 0.957 (confidence interval 0.953-0.961, P &lt; 0.0001) in the adult kidney donor cohort. The calculated dice similarity coefficient was 0.932 ± 0.042, suggesting excellent spatial overlap between manual and automated methodologies. To assess the clinical usefulness, we examined its ability to predict clinical outcomes in a cirrhosis cohort and found that automated psoas muscle index was independently associated with mortality after adjusting for age, gender, and child's classification (P &lt; 0.001). DISCUSSION: We demonstrated that deep learning techniques can allow for automation of muscle measurements on clinical CT scans in a diseased cohort. These automated psoas size measurements were predictive of mortality in patients with cirrhosis showing proof of principal that this methodology may allow for wider implementation in the clinical arena.</t>
  </si>
  <si>
    <t>Encoding Voxels with Deep Learning</t>
  </si>
  <si>
    <t>P. Wang, V. Malave and B. Cipollini</t>
  </si>
  <si>
    <t>Robust real-time bone surfaces segmentation from ultrasound using a local phase tensor-guided CNN</t>
  </si>
  <si>
    <t>PURPOSE: Automatic bone surfaces segmentation is one of the fundamental tasks of ultrasound (US)-guided computer-assisted orthopedic surgery procedures. However, due to various US imaging artifacts, manual operation of the transducer during acquisition, and different machine settings, many existing methods cannot deal with the large variations of the bone surface responses, in the collected data, without manual parameter selection. Even for fully automatic methods, such as deep learning-based methods, the problem of dataset bias causes networks to perform poorly on the US data that are different from the training set. METHODS: In this work, an intensity-invariant convolutional neural network (CNN) architecture is proposed for robust segmentation of bone surfaces from US data obtained from two different US machines with varying acquisition settings. The proposed CNN takes US image as input and simultaneously generates two intermediate output images, denoted as local phase tensor (LPT) and global context tensor (GCT), from two branches which are invariant to intensity variations. LPT and GCT are fused to generate the final segmentation map. In the training process, the LPT network branch is supervised by precalculated ground truth without manual annotation. RESULTS: The proposed method is evaluated on 1227 in vivo US scans collected using two US machines, including a portable handheld ultrasound scanner, by scanning various bone surfaces from 28 volunteers. Validation of proposed method on both US machines not only shows statistically significant improvements in cross-machine segmentation of bone surfaces compared to state-of-the-art methods but also achieves a computation time of 30 milliseconds per image, [Formula: see text] improvement over state-of-the-art. CONCLUSION: The encouraging results obtained in this initial study suggest that the proposed method is promising enough for further evaluation. Future work will include extensive validation of the method on new US data collected from various machines using different acquisition settings. We will also evaluate the potential of using the segmented bone surfaces as an input to a point set-based registration method.</t>
  </si>
  <si>
    <t>Development and validation of a deep-learning algorithm for the detection of polyps during colonoscopy</t>
  </si>
  <si>
    <t>The detection and removal of precancerous polyps via colonoscopy is the gold standard for the prevention of colon cancer. However, the detection rate of adenomatous polyps can vary significantly among endoscopists. Here, we show that a machine-learning algorithm can detect polyps in clinical colonoscopies, in real time and with high sensitivity and specificity. We developed the deep-learning algorithm by using data from 1,290 patients, and validated it on newly collected 27,113 colonoscopy images from 1,138 patients with at least one detected polyp (per-image-sensitivity, 94.38%; per-image-specificity, 95.92%; area under the receiver operating characteristic curve, 0.984), on a public database of 612 polyp-containing images (per-image-sensitivity, 88.24%), on 138 colonoscopy videos with histologically confirmed polyps (per-image-sensitivity of 91.64%; per-polyp-sensitivity, 100%), and on 54 unaltered full-range colonoscopy videos without polyps (per-image-specificity, 95.40%). By using a multi-threaded processing system, the algorithm can process at least 25 frames per second with a latency of 76.80 ± 5.60 ms in real-time video analysis. The software may aid endoscopists while performing colonoscopies, and help assess differences in polyp and adenoma detection performance among endoscopists.</t>
  </si>
  <si>
    <t>P. Wang, X. Xiao, J. R. Glissen Brown, T. M. Berzin, M. Tu, F. Xiong, X. Hu, P. Liu, Y. Song, D. Zhang, X. Yang, L. Li, J. He, X. Yi, J. Liu and X. Liu</t>
  </si>
  <si>
    <t>Deep learning approach to peripheral leukocyte recognition</t>
  </si>
  <si>
    <t>Microscopic examination of peripheral blood plays an important role in the field of diagnosis and control of major diseases. Peripheral leukocyte recognition by manual requires medical technicians to observe blood smears through light microscopy, using their experience and expertise to discriminate and analyze different cells, which is time-consuming, labor-intensive and subjective. The traditional systems based on feature engineering often need to ensure successful segmentation and then manually extract certain quantitative and qualitative features for recognition but still remaining a limitation of poor robustness. The classification pipeline based on convolutional neural network is of automatic feature extraction and free of segmentation but hard to deal with multiple object recognition. In this paper, we take leukocyte recognition as object detection task and apply two remarkable object detection approaches, Single Shot Multibox Detector and An Incremental Improvement Version of You Only Look Once. To improve recognition performance, some key factors involving these object detection approaches are explored and the detection models are generated using the train set of 14,700 annotated images. Finally, we evaluate these detection models on test sets consisting of 1,120 annotated images and 7,868 labeled single object images corresponding to 11 categories of peripheral leukocytes, respectively. A best mean average precision of 93.10% and mean accuracy of 90.09% are achieved while the inference time is 53 ms per image on a NVIDIA GTX1080Ti GPU.</t>
  </si>
  <si>
    <t>DeepcomplexMRI: Exploiting deep residual network for fast parallel MR imaging with complex convolution</t>
  </si>
  <si>
    <t>This paper proposes a multi-channel image reconstruction method, named DeepcomplexMRI, to accelerate parallel MR imaging with residual complex convolutional neural network. Different from most existing works which rely on the utilization of the coil sensitivities or prior information of predefined transforms, DeepcomplexMRI takes advantage of the availability of a large number of existing multi-channel groudtruth images and uses them as target data to train the deep residual convolutional neural network offline. In particular, a complex convolutional network is proposed to take into account the correlation between the real and imaginary parts of MR images. In addition, the k-space data consistency is further enforced repeatedly in between layers of the network. The evaluations on in vivo datasets show that the proposed method has the capability to recover the desired multi-channel images. Its comparison with state-of-the-art methods also demonstrates that the proposed method can reconstruct the desired MR images more accurately.</t>
  </si>
  <si>
    <t>CT male pelvic organ segmentation using fully convolutional networks with boundary sensitive representation</t>
  </si>
  <si>
    <t>Accurate segmentation of the prostate and organs at risk (e.g., bladder and rectum) in CT images is a crucial step for radiation therapy in the treatment of prostate cancer. However, it is a very challenging task due to unclear boundaries, large intra- and inter-patient shape variability, and uncertain existence of bowel gases and fiducial markers. In this paper, we propose a novel automatic segmentation framework using fully convolutional networks with boundary sensitive representation to address this challenging problem. Our novel segmentation framework contains three modules. First, an organ localization model is designed to focus on the candidate segmentation region of each organ for better performance. Then, a boundary sensitive representation model based on multi-task learning is proposed to represent the semantic boundary information in a more robust and accurate manner. Finally, a multi-label cross-entropy loss function combining boundary sensitive representation is introduced to train a fully convolutional network for the organ segmentation. The proposed method is evaluated on a large and diverse planning CT dataset with 313 images from 313 prostate cancer patients. Experimental results show that the performance of our proposed method outperforms the baseline fully convolutional networks, as well as other state-of-the-art methods in CT male pelvic organ segmentation.</t>
  </si>
  <si>
    <t>Unsupervised Deep Learning Features for Lung Cancer Overall Survival Analysis</t>
  </si>
  <si>
    <t>Lung cancer overall survival analysis using computed tomography (CT) images plays an important role in treatment planning. Most current analysis methods involve hand-crafted image features for survival time prediction. However, hand-crafted features require domain knowledge and may lack specificity to lung cancer. Advanced self-learning models such as deep learning have showed superior performance in many medical image tasks, but they require large amount of data which is difficult to collect for survival analysis because of the long follow-up time. Although data with survival time is difficult to acquire, it is relatively easy to collect lung cancer patients without survival time. In this paper, we proposed an unsupervised deep learning method to take advantage of the unlabeled data for survival analysis, and demonstrated better performance than using hand-crafted features. We proposed a residual convolutional auto encoder and trained the model using images from 274 patients without survival time. Afterwards, we extracted deep learning features through the encoder model, and constructed a Cox proportional hazards model on 129 patients with survival time. The experiment results showed that our unsupervised deep learning feature gained better performance (C-Index = 0.70) than using hand-crafted features (C-Index = 0.62). Furthermore, we divided the patients into two groups according to their Cox hazard value. Kaplan-Meier analysis indicated that our model can divide patients into high and low risk groups and the survival time of these two groups had significant difference (p &lt; 0.01).</t>
  </si>
  <si>
    <t>S. Wang, Z. Liu, X. Chen, Y. Zhu, H. Zhou, Z. Tang, W. Wei, D. Dong, M. Wang and J. Tian</t>
  </si>
  <si>
    <t>Deep learning provides a new computed tomography-based prognostic biomarker for recurrence prediction in high-grade serous ovarian cancer</t>
  </si>
  <si>
    <t>BACKGROUND AND PURPOSE: Recurrence is the main risk for high-grade serous ovarian cancer (HGSOC) and few prognostic biomarkers were reported. In this study, we proposed a novel deep learning (DL) method to extract prognostic biomarkers from preoperative computed tomography (CT) images, aiming at providing a non-invasive recurrence prediction model in HGSOC. MATERIALS AND METHODS: We enrolled 245 patients with HGSOC from two hospitals, which included a feature-learning cohort (n = 102), a primary cohort (n = 49) and two independent validation cohorts from two hospitals (n = 49 and n = 45). We trained a novel DL network in 8917 CT images from the feature-learning cohort to extract the prognostic biomarkers (DL feature) of HGSOC. Afterward, a DL-CPH model incorporating the DL feature and Cox proportional hazard (Cox-PH) regression was developed to predict the individual recurrence risk and 3-year recurrence probability of patients. RESULTS: In the two validation cohorts, the concordance-index of the DL-CPH model was 0.713 and 0.694. Kaplan-Meier's analysis clearly identified two patient groups with high and low recurrence risk (p = 0.0038 and 0.0164). The 3-year recurrence prediction was also effective (AUC = 0.772 and 0.825), which was validated by the good calibration and decision curve analysis. Moreover, the DL feature demonstrated stronger prognostic value than clinical characteristics. CONCLUSIONS: The DL method extracts effective CT-based prognostic biomarkers for HGSOC, and provides a non-invasive and preoperative model for individualized recurrence prediction in HGSOC. In addition, the DL-CPH model provides a new prognostic analysis method that can utilize CT data without follow-up for prognostic biomarker extraction.</t>
  </si>
  <si>
    <t>Predicting EGFR mutation status in lung adenocarcinoma on computed tomography image using deep learning</t>
  </si>
  <si>
    <t>Epidermal growth factor receptor (EGFR) genotyping is critical for treatment guidelines such as the use of tyrosine kinase inhibitors in lung adenocarcinoma. Conventional identification of EGFR genotype requires biopsy and sequence testing which is invasive and may suffer from the difficulty of accessing tissue samples. Here, we propose a deep learning model to predict EGFR mutation status in lung adenocarcinoma using non-invasive computed tomography (CT).We retrospectively collected data from 844 lung adenocarcinoma patients with pre-operative CT images, EGFR mutation and clinical information from two hospitals. An end-to-end deep learning model was proposed to predict the EGFR mutation status by CT scanning.By training in 14 926 CT images, the deep learning model achieved encouraging predictive performance in both the primary cohort (n=603; AUC 0.85, 95% CI 0.83-0.88) and the independent validation cohort (n=241; AUC 0.81, 95% CI 0.79-0.83), which showed significant improvement over previous studies using hand-crafted CT features or clinical characteristics (p&lt;0.001). The deep learning score demonstrated significant differences in EGFR-mutant and EGFR-wild type tumours (p&lt;0.001).Since CT is routinely used in lung cancer diagnosis, the deep learning model provides a non-invasive and easy-to-use method for EGFR mutation status prediction.</t>
  </si>
  <si>
    <t>Eur Respir J</t>
  </si>
  <si>
    <t>10.3390/cancers11111673</t>
  </si>
  <si>
    <t>Artificial Intelligence in Lung Cancer Pathology Image Analysis</t>
  </si>
  <si>
    <t>OBJECTIVE: Accurate diagnosis and prognosis are essential in lung cancer treatment selection and planning. With the rapid advance of medical imaging technology, whole slide imaging (WSI) in pathology is becoming a routine clinical procedure. An interplay of needs and challenges exists for computer-aided diagnosis based on accurate and efficient analysis of pathology images. Recently, artificial intelligence, especially deep learning, has shown great potential in pathology image analysis tasks such as tumor region identification, prognosis prediction, tumor microenvironment characterization, and metastasis detection. MATERIALS AND METHODS: In this review, we aim to provide an overview of current and potential applications for AI methods in pathology image analysis, with an emphasis on lung cancer. RESULTS: We outlined the current challenges and opportunities in lung cancer pathology image analysis, discussed the recent deep learning developments that could potentially impact digital pathology in lung cancer, and summarized the existing applications of deep learning algorithms in lung cancer diagnosis and prognosis. DISCUSSION AND CONCLUSION: With the advance of technology, digital pathology could have great potential impacts in lung cancer patient care. We point out some promising future directions for lung cancer pathology image analysis, including multi-task learning, transfer learning, and model interpretation.</t>
  </si>
  <si>
    <t>10.1016/j.ajpath.2019.05.007</t>
  </si>
  <si>
    <t>Pathology Image Analysis Using Segmentation Deep Learning Algorithms</t>
  </si>
  <si>
    <t>With the rapid development of image scanning techniques and visualization software, whole slide imaging (WSI) is becoming a routine diagnostic method. Accelerating clinical diagnosis from pathology images and automating image analysis efficiently and accurately remain significant challenges. Recently, deep learning algorithms have shown great promise in pathology image analysis, such as in tumor region identification, metastasis detection, and patient prognosis. Many machine learning algorithms, including convolutional neural networks, have been proposed to automatically segment pathology images. Among these algorithms, segmentation deep learning algorithms such as fully convolutional networks stand out for their accuracy, computational efficiency, and generalizability. Thus, deep learning-based pathology image segmentation has become an important tool in WSI analysis. In this review, the pathology image segmentation process using deep learning algorithms is described in detail. The goals are to provide quick guidance for implementing deep learning into pathology image analysis and to provide some potential ways of further improving segmentation performance. Although there have been previous reviews on using machine learning methods in digital pathology image analysis, this is the first in-depth review of the applications of deep learning algorithms for segmentation in WSI analysis.</t>
  </si>
  <si>
    <t>Am J Pathol</t>
  </si>
  <si>
    <t>A fully automatic deep learning system for COVID-19 diagnostic and prognostic analysis</t>
  </si>
  <si>
    <t>Coronavirus disease 2019 (COVID-19) has spread globally, and medical resources become insufficient in many regions. Fast diagnosis of COVID-19 and finding high-risk patients with worse prognosis for early prevention and medical resource optimisation is important. Here, we proposed a fully automatic deep learning system for COVID-19 diagnostic and prognostic analysis by routinely used computed tomography.We retrospectively collected 5372 patients with computed tomography images from seven cities or provinces. Firstly, 4106 patients with computed tomography images were used to pre-train the deep learning system, making it learn lung features. Following this, 1266 patients (924 with COVID-19 (471 had follow-up for &gt;5 days) and 342 with other pneumonia) from six cities or provinces were enrolled to train and externally validate the performance of the deep learning system.In the four external validation sets, the deep learning system achieved good performance in identifying COVID-19 from other pneumonia (AUC 0.87 and 0.88, respectively) and viral pneumonia (AUC 0.86). Moreover, the deep learning system succeeded to stratify patients into high- and low-risk groups whose hospital-stay time had significant difference (p=0.013 and p=0.014, respectively). Without human assistance, the deep learning system automatically focused on abnormal areas that showed consistent characteristics with reported radiological findings.Deep learning provides a convenient tool for fast screening of COVID-19 and identifying potential high-risk patients, which may be helpful for medical resource optimisation and early prevention before patients show severe symptoms.</t>
  </si>
  <si>
    <t>Central focused convolutional neural networks: Developing a data-driven model for lung nodule segmentation</t>
  </si>
  <si>
    <t>Accurate lung nodule segmentation from computed tomography (CT) images is of great importance for image-driven lung cancer analysis. However, the heterogeneity of lung nodules and the presence of similar visual characteristics between nodules and their surroundings make it difficult for robust nodule segmentation. In this study, we propose a data-driven model, termed the Central Focused Convolutional Neural Networks (CF-CNN), to segment lung nodules from heterogeneous CT images. Our approach combines two key insights: 1) the proposed model captures a diverse set of nodule-sensitive features from both 3-D and 2-D CT images simultaneously; 2) when classifying an image voxel, the effects of its neighbor voxels can vary according to their spatial locations. We describe this phenomenon by proposing a novel central pooling layer retaining much information on voxel patch center, followed by a multi-scale patch learning strategy. Moreover, we design a weighted sampling to facilitate the model training, where training samples are selected according to their degree of segmentation difficulty. The proposed method has been extensively evaluated on the public LIDC dataset including 893 nodules and an independent dataset with 74 nodules from Guangdong General Hospital (GDGH). We showed that CF-CNN achieved superior segmentation performance with average dice scores of 82.15% and 80.02% for the two datasets respectively. Moreover, we compared our results with the inter-radiologists consistency on LIDC dataset, showing a difference in average dice score of only 1.98%.</t>
  </si>
  <si>
    <t>S. Wang, M. Zhou, Z. Liu, Z. Liu, D. Gu, Y. Zang, D. Dong, O. Gevaert and J. Tian</t>
  </si>
  <si>
    <t>10.1002/acm2.13121</t>
  </si>
  <si>
    <t>A review on medical imaging synthesis using deep learning and its clinical applications</t>
  </si>
  <si>
    <t>This paper reviewed the deep learning-based studies for medical imaging synthesis and its clinical application. Specifically, we summarized the recent developments of deep learning-based methods in inter- and intra-modality image synthesis by listing and highlighting the proposed methods, study designs, and reported performances with related clinical applications on representative studies. The challenges among the reviewed studies were then summarized with discussion.</t>
  </si>
  <si>
    <t>Learning-based automatic segmentation of arteriovenous malformations on contrast CT images in brain stereotactic radiosurgery</t>
  </si>
  <si>
    <t>PURPOSE: Stereotactic radiosurgery (SRS) is widely used to obliterate arteriovenous malformations (AVMs). Its performance relies on the accuracy of delineating the target AVM. Manual segmentation during a framed SRS procedure is time consuming and subject to inter- and intraobserver variation. To address these drawbacks, we proposed a deep learning-based method to automatically segment AVMs on CT simulation image sets. METHODS: We developed a deep learning-based method using a deeply supervised three-dimensional (3D) V-Net with a compound loss function. A 3D supervision mechanism was integrated into a residual network, V-Net, to deal with the optimization difficulties when training deep networks with limited training data. The proposed compound loss function including logistic and Dice losses encouraged similarity and penalized discrepancy simultaneously between prediction and training dataset; this was utilized to supervise the 3D V-Net at different stages. To evaluate the accuracy of segmentation, we retrospectively investigated 80 AVM patients who had CT simulation and digital subtraction angiography (DSA) acquired prior to treatment. The AVM target volume was segmented by our proposed method. They were compared with clinical contours approved by physicians with regard to Dice overlapping, difference in volume and centroid, and dose coverage changes on original plan. RESULTS: Contours created by the proposed method demonstrated very good visual agreement to the ground truth contours. The mean Dice similarity coefficient (DSC), sensitivity and specificity of the contours delineated by our method were &gt;0.85 among all patients. The mean centroid distance between our results and ground truth was 0.675 ± 0.401 mm, and was not significantly different in any of the three orthogonal directions. The correlation coefficient between ground truth and AVM volume resulting from the proposed method was 0.992 with statistical significance. The mean volume difference among all patients was 0.076 ± 0.728 cc; there was no statistically significant difference. The average differences in dose metrics were all less than 0.2 Gy, with standard deviation less than 1 Gy. No statistically significant differences were observed in any of the dose metrics. CONCLUSION: We developed a novel, deeply supervised, deep learning-based approach to automatically segment the AVM volume on CT images. We demonstrated its clinical feasibility by validating the shape and positional accuracy, and dose coverage of the automatic volume. These results demonstrate the potential of a learning-based segmentation method for delineating AVMs in the clinical setting.</t>
  </si>
  <si>
    <t>T. Wang, Y. Lei, S. Tian, X. Jiang, J. Zhou, T. Liu, S. Dresser, W. J. Curran, H. K. Shu and X. Yang</t>
  </si>
  <si>
    <t>Machine Learning Applications in Orthopaedic Imaging</t>
  </si>
  <si>
    <t>V. M. Wang, C. A. Cheung, A. J. Kozar and B. Huang</t>
  </si>
  <si>
    <t>J Am Acad Orthop Surg</t>
  </si>
  <si>
    <t>Deep Learning-Based Radiomics Models for Early Recurrence Prediction of Hepatocellular Carcinoma with Multi-phase CT Images and Clinical Data</t>
  </si>
  <si>
    <t>Hepatocellular carcinoma (HCC) is the fifth most common malignancy in the world and the second most common cause of cancer-related death. By surgically removing hepatocellular carcinoma, the patients may have the early recurrence within one year. Recently, CT radiomics signatures have been demonstrated to be effective on predicting early recurrence of HCC. However, the radiomics signatures are based on hand-crafted low-level features, such as density and texture. In this paper, we propose a deep learning-based radiomics approach for predicting early recurrence of hepatocellular carcinoma with multi-phase computed tomography (CT) images. We also propose several models to combine the high-level radiomics features with clinical data to improve the prediction accuracy. The area under the curve (AUC) of receiver operating characteristic curve (ROC) is 0.825.</t>
  </si>
  <si>
    <t>MDU-Net: A Convolutional Network for Clavicle and Rib Segmentation from a Chest Radiograph</t>
  </si>
  <si>
    <t>Automatic bone segmentation from a chest radiograph is an important and challenging task in medical image analysis. However, a chest radiograph contains numerous artifacts and tissue shadows, such as trachea, blood vessels, and lung veins, which limit the accuracy of traditional segmentation methods, such as thresholding and contour-related techniques. Deep learning has recently achieved excellent segmentation of some organs, such as the pancreas and the hippocampus. However, the insufficiency of annotated datasets impedes clavicle and rib segmentation from chest X-rays. We have constructed a dataset of chest X-rays with a raw chest radiograph and four annotated images showing the clavicles, anterior ribs, posterior ribs, and all bones (the complete set of ribs and clavicle). On the basis of a sufficient dataset, a multitask dense connection U-Net (MDU-Net) is proposed to address the challenge of bone segmentation from a chest radiograph. We first combine the U-Net multiscale feature fusion method, DenseNet dense connection, and multitasking mechanism to construct the proposed network referred to as MDU-Net. We then present a mask encoding mechanism that can force the network to learn the background features. Transfer learning is ultimately introduced to help the network extract sufficient features. We evaluate the proposed network by fourfold cross validation on 88 chest radiography images. The proposed method achieves the average DSC (Dice similarity coefficient) values of 93.78%, 80.95%, 89.06%, and 88.38% in clavicle segmentation, anterior rib segmentation, posterior rib segmentation, and segmentation of all bones, respectively.</t>
  </si>
  <si>
    <t>Coronary artery calcium score quantification using a deep-learning algorithm</t>
  </si>
  <si>
    <t>AIM: To investigate the impact of a deep-learning algorithm on the quantification of coronary artery calcium score (CACS) and the stratification of cardiac risk. MATERIALS AND METHODS: Computed tomography data of 530 patients who underwent CACS scan were included retrospectively. The scoring (including Agatston, mass, and volume scores) was done manually. The deep-learning method was trained using data from 300 patients to calculate CACS based on the manual calculation. The automated method was validated on a set of data from 90 patients and subsequently tested on a new set of data from 140 patients against manual CACS. For the data from 140 patients that were used to analyse the accuracy of deep-learning algorithm, the total CACS obtained manually and by using the deep-learning algorithm was recorded. Agatston score categories and cardiac risk categorisation of the two methods were compared. RESULTS: No significant differences were found between the manually derived and deep-learning Agatston, mass, and volume scores. The Agatston score categories and cardiac risk stratification displayed excellent agreement between the two methods, with kappa = 0.77 (95% confidence interval [CI]=0.73-0.81); however, a 13% reclassification rate was observed. CONCLUSION: Deep-learning algorithm can provide reliable Agatston, mass, and volume scores and enables cardiac risk stratification.</t>
  </si>
  <si>
    <t>Temporal Correlation Structure Learning for MCI Conversion Prediction</t>
  </si>
  <si>
    <t>In Alzheimer's research, Mild Cognitive Impairment (MCI) is an important intermediate stage between normal aging and Alzheimer's. How to distinguish MCI samples that finally convert to AD from those do not is an essential problem in the prevention and diagnosis of Alzheimer's. Traditional methods use various classification models to distinguish MCI converters from non-converters, while the performance is usually limited by the small number of available data. Moreover, previous methods only use the data at baseline time for training but ignore the longitudinal information at other time points along the disease progression. To tackle with these problems, we propose a novel deep learning framework that uncovers the temporal correlation structure between adjacent time points in the disease progression. We also construct a generative framework to learn the inherent data distribution so as to produce more reliable data to strengthen the training process. Extensive experiments on the ADNI cohort validate the superiority of our model.</t>
  </si>
  <si>
    <t>X. Wang, W. Cai, D. Shen and H. Huang</t>
  </si>
  <si>
    <t>A Weakly-Supervised Framework for COVID-19 Classification and Lesion Localization From Chest CT</t>
  </si>
  <si>
    <t>Accurate and rapid diagnosis of COVID-19 suspected cases plays a crucial role in timely quarantine and medical treatment. Developing a deep learning-based model for automatic COVID-19 diagnosis on chest CT is helpful to counter the outbreak of SARS-CoV-2. A weakly-supervised deep learning framework was developed using 3D CT volumes for COVID-19 classification and lesion localization. For each patient, the lung region was segmented using a pre-trained UNet; then the segmented 3D lung region was fed into a 3D deep neural network to predict the probability of COVID-19 infectious; the COVID-19 lesions are localized by combining the activation regions in the classification network and the unsupervised connected components. 499 CT volumes were used for training and 131 CT volumes were used for testing. Our algorithm obtained 0.959 ROC AUC and 0.976 PR AUC. When using a probability threshold of 0.5 to classify COVID-positive and COVID-negative, the algorithm obtained an accuracy of 0.901, a positive predictive value of 0.840 and a very high negative predictive value of 0.982. The algorithm took only 1.93 seconds to process a single patient's CT volume using a dedicated GPU. Our weakly-supervised deep learning model can accurately predict the COVID-19 infectious probability and discover lesion regions in chest CT without the need for annotating the lesions for training. The easily-trained and high-performance deep learning algorithm provides a fast way to identify COVID-19 patients, which is beneficial to control the outbreak of SARS-CoV-2. The developed deep learning software is available at https://github.com/sydney0zq/covid-19-detection.</t>
  </si>
  <si>
    <t>10.3390/s19010194</t>
  </si>
  <si>
    <t>An Appraisal of Lung Nodules Automatic Classification Algorithms for CT Images</t>
  </si>
  <si>
    <t>Lung cancer is one of the most deadly diseases around the world representing about 26% of all cancers in 2017. The five-year cure rate is only 18% despite great progress in recent diagnosis and treatment. Before diagnosis, lung nodule classification is a key step, especially since automatic classification can help clinicians by providing a valuable opinion. Modern computer vision and machine learning technologies allow very fast and reliable CT image classification. This research area has become very hot for its high efficiency and labor saving. The paper aims to draw a systematic review of the state of the art of automatic classification of lung nodules. This research paper covers published works selected from the Web of Science, IEEEXplore, and DBLP databases up to June 2018. Each paper is critically reviewed based on objective, methodology, research dataset, and performance evaluation. Mainstream algorithms are conveyed and generic structures are summarized. Our work reveals that lung nodule classification based on deep learning becomes dominant for its excellent performance. It is concluded that the consistency of the research objective and integration of data deserves more attention. Moreover, collaborative works among developers, clinicians, and other parties should be strengthened.</t>
  </si>
  <si>
    <t>X. Wang, K. Mao, L. Wang, P. Yang, D. Lu and P. He</t>
  </si>
  <si>
    <t>Searching for prostate cancer by fully automated magnetic resonance imaging classification: deep learning versus non-deep learning</t>
  </si>
  <si>
    <t>Prostate cancer (PCa) is a major cause of death since ancient time documented in Egyptian Ptolemaic mummy imaging. PCa detection is critical to personalized medicine and varies considerably under an MRI scan. 172 patients with 2,602 morphologic images (axial 2D T2-weighted imaging) of the prostate were obtained. A deep learning with deep convolutional neural network (DCNN) and a non-deep learning with SIFT image feature and bag-of-word (BoW), a representative method for image recognition and analysis, were used to distinguish pathologically confirmed PCa patients from prostate benign conditions (BCs) patients with prostatitis or prostate benign hyperplasia (BPH). In fully automated detection of PCa patients, deep learning had a statistically higher area under the receiver operating characteristics curve (AUC) than non-deep learning (P = 0.0007 &lt; 0.001). The AUCs were 0.84 (95% CI 0.78-0.89) for deep learning method and 0.70 (95% CI 0.63-0.77) for non-deep learning method, respectively. Our results suggest that deep learning with DCNN is superior to non-deep learning with SIFT image feature and BoW model for fully automated PCa patients differentiation from prostate BCs patients. Our deep learning method is extensible to image modalities such as MR imaging, CT and PET of other organs.</t>
  </si>
  <si>
    <t>X. Wang, W. Yang, J. Weinreb, J. Han, Q. Li, X. Kong, Y. Yan, Z. Ke, B. Luo, T. Liu and L. Wang</t>
  </si>
  <si>
    <t>Potential of deep learning in assessing pneumoconiosis depicted on digital chest radiography</t>
  </si>
  <si>
    <t>OBJECTIVES: To investigate the potential of deep learning in assessing pneumoconiosis depicted on digital chest radiographs and to compare its performance with certified radiologists. METHODS: We retrospectively collected a dataset consisting of 1881 chest X-ray images in the form of digital radiography. These images were acquired in a screening setting on subjects who had a history of working in an environment that exposed them to harmful dust. Among these subjects, 923 were diagnosed with pneumoconiosis, and 958 were normal. To identify the subjects with pneumoconiosis, we applied a classical deep convolutional neural network (CNN) called Inception-V3 to these image sets and validated the classification performance of the trained models using the area under the receiver operating characteristic curve (AUC). In addition, we asked two certified radiologists to independently interpret the images in the testing dataset and compared their performance with the computerised scheme. RESULTS: The Inception-V3 CNN architecture, which was trained on the combination of the three image sets, achieved an AUC of 0.878 (95% CI 0.811 to 0.946). The performance of the two radiologists in terms of AUC was 0.668 (95% CI 0.555 to 0.782) and 0.772 (95% CI 0.677 to 0.866), respectively. The agreement between the two readers was moderate (kappa: 0.423, p&lt;0.001). CONCLUSION: Our experimental results demonstrated that the deep leaning solution could achieve a relatively better performance in classification as compared with other models and the certified radiologists, suggesting the feasibility of deep learning techniques in screening pneumoconiosis.</t>
  </si>
  <si>
    <t>Occup Environ Med</t>
  </si>
  <si>
    <t>Deep learning combined with radiomics may optimize the prediction in differentiating high-grade lung adenocarcinomas in ground glass opacity lesions on CT scans</t>
  </si>
  <si>
    <t>PURPOSE: Adenocarcinoma (ADC) is the most common histological subtype of lung cancers in non-small cell lung cancer (NSCLC) in which ground glass opacifications (GGOs) found on computed tomography (CT) scans are the most common lesions. However, the presence of a micropapillary or a solid component is identified as an independent predictor of prognosis, suggesting a more extensive resection. The purpose of our study is to explore imaging phenotyping using a method combining radiomics with deep learning (RDL) to predict high-grade patterns within lung ADC. METHODS: Included in this study were 111 patients differentiated as having GGOs and pathologically confirmed ADC. Four different groups of methods were compared to classify the GGOs for the prediction of the pathological subtypes of high-grade lung ADCs in definitive hematoxylin and eosin stain, including radiomics with gray-level features, radiomics with textural features, deep learning method, and the RDL. RESULTS: We evaluated the performance of different models on 111 NSCLC patients using 4-fold cross-validation. The proposed RDL has achieved an overall accuracy of 0.913, which significantly outperforms the other methods (p &lt;  0.01, analysis of variation, ANOVA). In addition, we also verified the generality and practical effectiveness of these models on an independent validation dataset of 28 patients. The results showed that our RDL framework with an accuracy of 0.966 significantly surpassed other methods. CONCLUSION: High-grade lung ADC based on histologic pattern spectrum in GGO lesions might be predicted by the framework combining radiomics with deep learning, which reveals advantage over radiomics alone.</t>
  </si>
  <si>
    <t>Identifying concepts from medical images via transfer learning and image retrieval</t>
  </si>
  <si>
    <t>Automatically identifying semantic concepts from medical images provides multimodal insights for clinical research. To study the effectiveness of concept detection on large scale medical images, we reconstructed over 230,000 medical image-concepts pairs collected from the ImageCLEFcaption 2018 evaluation task. A transfer learning-based multi-label classification model was used to predict multiple high-frequency concepts for medical images. Semantically relevant concepts of visually similar medical images were identified by the image retrieval-based topic model. The results showed that the transfer learning method achieved F1 score of 0.1298, which was comparable with the state of art methods in the ImageCLEFcaption tasks. The image retrieval-based method contributed to the recall performance but reduced the overall F1 score, since the retrieval results of the search engine introduced irrelevant concepts. Although our proposed method achieved second-best performance in the concept detection subtask of ImageCLEFcaption 2018, there will be plenty of further work to improve the concept detection with better understanding the medical images.</t>
  </si>
  <si>
    <t>X. W. Wang, Y. Zhang, Z. Guo and J. Li</t>
  </si>
  <si>
    <t>Deep Attentive Features for Prostate Segmentation in 3D Transrectal Ultrasound</t>
  </si>
  <si>
    <t>Automatic prostate segmentation in transrectal ultrasound (TRUS) images is of essential importance for image-guided prostate interventions and treatment planning. However, developing such automatic solutions remains very challenging due to the missing/ambiguous boundary and inhomogeneous intensity distribution of the prostate in TRUS, as well as the large variability in prostate shapes. This paper develops a novel 3D deep neural network equipped with attention modules for better prostate segmentation in TRUS by fully exploiting the complementary information encoded in different layers of the convolutional neural network (CNN). Our attention module utilizes the attention mechanism to selectively leverage the multi-level features integrated from different layers to refine the features at each individual layer, suppressing the non-prostate noise at shallow layers of the CNN and increasing more prostate details into features at deep layers. Experimental results on challenging 3D TRUS volumes show that our method attains satisfactory segmentation performance. The proposed attention mechanism is a general strategy to aggregate multi-level deep features and has the potential to be used for other medical image segmentation tasks. The code is publicly available at https://github.com/wulalago/DAF3D.</t>
  </si>
  <si>
    <t>Deep-Learning-Based Polar-Body Detection for Automatic Cell Manipulation</t>
  </si>
  <si>
    <t>Polar-body detection is an essential and crucial procedure in various automatic cell manipulations. The polar body can only be observed when it is located near the focal plane of the microscope, so we need to detect the polar body during cell rotation in cell manipulations. However, three-dimensional cell rotation by micropipette causes polar-body defocus and cell/polar-body deformation, which have not been discussed in existing image-level polar-body-detection approaches. Moreover, varying sizes of the polar bodies increase the difficulty of polar-body detection. In this paper, we propose a deep-learning-based framework to realize polar-body detection in cell rotation. The detection problem is interpreted as image segmentation, which separates the polar body from the background. Then, we improve U-net, which is a typical convolutional neural network (CNN) for medical-image segmentation, so that the network can be applied to polar-body detection, especially for the detection of defocused polar bodies and polar bodies of different sizes. For CNN training, we also designed a particular image-transformation method to simulate more cell-rotation situations, including cell- and polar-body deformation, so that the deformed polar body in cell rotation would be detected by the proposed method. Experiment results show that our method achieves high detection accuracy of 98.7% on a test dataset of 1000 images, and performs well in cell-rotation processes. This method can be applied to various automatic cell manipulations in the future.</t>
  </si>
  <si>
    <t>Y. Wang, Y. Liu, M. Sun and X. Zhao</t>
  </si>
  <si>
    <t>Micromachines (Basel)</t>
  </si>
  <si>
    <t>A two-step convolutional neural network based computer-aided detection scheme for automatically segmenting adipose tissue volume depicting on CT images</t>
  </si>
  <si>
    <t>Accurately assessment of adipose tissue volume inside a human body plays an important role in predicting disease or cancer risk, diagnosis and prognosis. In order to overcome limitation of using only one subjectively selected CT image slice to estimate size of fat areas, this study aims to develop and test a computer-aided detection (CAD) scheme based on deep learning technique to automatically segment subcutaneous fat areas (SFA) and visceral fat areas (VFA) depicting on volumetric CT images. A retrospectively collected CT image dataset was divided into two independent training and testing groups. The proposed CAD framework consisted of two steps with two convolution neural networks (CNNs) namely, Selection-CNN and Segmentation-CNN. The first CNN was trained using 2,240 CT slices to select abdominal CT slices depicting SFA and VFA. The second CNN was trained with 84,000pixel patches and applied to the selected CT slices to identify fat-related pixels and assign them into SFA and VFA classes. Comparing to the manual CT slice selection and fat pixel segmentation results, the accuracy of CT slice selection using the Selection-CNN yielded 95.8%, while the accuracy of fat pixel segmentation using the Segmentation-CNN was 96.8%. This study demonstrated the feasibility of applying a new deep learning based CAD scheme to automatically recognize abdominal section of human body from CT scans and segment SFA and VFA from volumetric CT data with high accuracy or agreement with the manual segmentation results.</t>
  </si>
  <si>
    <t>Y. Wang, Y. Qiu, T. Thai, K. Moore, H. Liu and B. Zheng</t>
  </si>
  <si>
    <t>Cancer genotypes prediction and associations analysis from imaging phenotypes: a survey on radiogenomics</t>
  </si>
  <si>
    <t>In this paper, we present a survey on the progress of radiogenomics research, which predicts cancer genotypes from imaging phenotypes and investigates the associations between them. First, we present an overview of the popular technology modalities for obtaining diagnostic medical images. Second, we summarize recently used methodologies for radiogenomics analysis, including statistical analysis, radiomics and deep learning. And then, we give a survey on the recent research based on several types of cancers. Finally, we discuss these studies and propose possible future research directions. In conclusion, we have identified strong correlations between cancer genotypes and imaging phenotypes. In addition, with the rapid growth of medical data, deep learning models show great application potential for radiogenomics.</t>
  </si>
  <si>
    <t>Biomark Med</t>
  </si>
  <si>
    <t>Biophysically interpretable recurrent neural network for functional magnetic resonance imaging analysis and sparsity based causal architecture discovery</t>
  </si>
  <si>
    <t>Recent efforts use state-of-the-art Recurrent Neural Networks (RNN) to gain insight into neuroscience. A limitation of these works is that the used generic RNNs lack biophysical meaning, making the interpretation of the results in a neuroscience context difficult. In this paper, we propose a biophysically interpretable RNN built on the Dynamic Causal Modelling (DCM). DCM is an advanced nonlinear generative model typically used to test hypotheses of brain causal architectures and associated effective connectivities. We show that DCM can be cast faithfully as a special form of a new generalized RNN. In the resulting DCM-RNN, the hidden states are neural activity, blood flow, blood volume, and deoxyhemoglobin content and the parameters are biological quantities such as effective connectivity, oxygen extraction fraction and vessel wall elasticity. DCM-RNN is a versatile tool for neuroscience with great potential especially when combined with deep learning networks. In this study, we explore sparsity- based causal architecture discovery with DCM-RNN. In the experiments, we demonstrate that DCM-RNN equipped with $l_{1}$ connectivity regulation is more robust to noise and more powerful at discovering sparse architectures than classic DCM with $l_{2}$ connectivity regulation.</t>
  </si>
  <si>
    <t>Y. Wang, Y. Wang and Y. W. Lui</t>
  </si>
  <si>
    <t>Generalized Recurrent Neural Network accommodating Dynamic Causal Modeling for functional MRI analysis</t>
  </si>
  <si>
    <t>Dynamic Causal Modeling (DCM) is an advanced biophysical model which explicitly describes the entire process from experimental stimuli to functional magnetic resonance imaging (fMRI) signals via neural activity and cerebral hemodynamics. To conduct a DCM study, one needs to represent the experimental stimuli as a compact vector-valued function of time, which is hard in complex tasks such as book reading and natural movie watching. Deep learning provides the state-of-the-art signal representation solution, encoding complex signals into compact dense vectors while preserving the essence of the original signals. There is growing interest in using Recurrent Neural Networks (RNNs), a major family of deep learning techniques, in fMRI modeling. However, the generic RNNs used in existing studies work as black boxes, making the interpretation of results in a neuroscience context difficult and obscure. In this paper, we propose a new biophysically interpretable RNN built on DCM, DCM-RNN. We generalize the vanilla RNN and show that DCM can be cast faithfully as a special form of the generalized RNN. DCM-RNN uses back propagation for parameter estimation. We believe DCM-RNN is a promising tool for neuroscience. It can fit seamlessly into classical DCM studies. We demonstrate face validity of DCM-RNN in two principal applications of DCM: causal brain architecture hypotheses testing and effective connectivity estimation. We also demonstrate construct validity of DCM-RNN in an attention-visual experiment. Moreover, DCM-RNN enables end-to-end training of DCM and representation learning deep neural networks, extending DCM studies to complex tasks.</t>
  </si>
  <si>
    <t>IILS: Intelligent imaging layout system for automatic imaging report standardization and intra-interdisciplinary clinical workflow optimization</t>
  </si>
  <si>
    <t>BACKGROUND: To achieve imaging report standardization and improve the quality and efficiency of the intra-interdisciplinary clinical workflow, we proposed an intelligent imaging layout system (IILS) for a clinical decision support system-based ubiquitous healthcare service, which is a lung nodule management system using medical images. METHODS: We created a lung IILS based on deep learning for imaging report standardization and workflow optimization for the identification of nodules. Our IILS utilized a deep learning plus adaptive auto layout tool, which trained and tested a neural network with imaging data from all the main CT manufacturers from 11,205 patients. Model performance was evaluated by the receiver operating characteristic curve (ROC) and calculating the corresponding area under the curve (AUC). The clinical application value for our IILS was assessed by a comprehensive comparison of multiple aspects. FINDINGS: Our IILS is clinically applicable due to the consistency with nodules detected by IILS, with its highest consistency of 0·94 and an AUC of 90·6% for malignant pulmonary nodules versus benign nodules with a sensitivity of 76·5% and specificity of 89·1%. Applying this IILS to a dataset of chest CT images, we demonstrate performance comparable to that of human experts in providing a better layout and aiding in diagnosis in 100% valid images and nodule display. The IILS was superior to the traditional manual system in performance, such as reducing the number of clicks from 14·45 ± 0·38 to 2, time consumed from 16·87 ± 0·38 s to 6·92 ± 0·10 s, number of invalid images from 7·06 ± 0·24 to 0, and missing lung nodules from 46·8% to 0%. INTERPRETATION: This IILS might achieve imaging report standardization, and improve the clinical workflow therefore opening a new window for clinical application of artificial intelligence. FUND: The National Natural Science Foundation of China.</t>
  </si>
  <si>
    <t>Y. Wang, F. Yan, X. Lu, G. Zheng, X. Zhang, C. Wang, K. Zhou, Y. Zhang, H. Li, Q. Zhao, H. Zhu, F. Chen, C. Gao, Z. Qing, J. Ye, A. Li, X. Xin, D. Li, H. Wang, H. Yu, L. Cao, C. Zhao, R. Deng, L. Tan, Y. Chen, L. Yuan, Z. Zhou, W. Yang, M. Shao, X. Dou, N. Zhou, F. Zhou, Y. Zhu, G. Lu and B. Zhang</t>
  </si>
  <si>
    <t>A Novel Multimodal MRI Analysis for Alzheimer's Disease Based on Convolutional Neural Network</t>
  </si>
  <si>
    <t>Recent years, Alzheimer's disease (AD) has become a significant threat to human health while the accurate screening and diagnosis of AD remain a tough problem. Multimodal Magnetic resonance imaging (MRI) can help to identify the variation of brain function and structure in a non-invasive way. Deep learning, especially the convolutional neural networks (CNN), can be utilized to automatically detect appropriate features for classification, which is well adapted for computer-aided AD screening and identification. This paper proposed a multimodal MRI analytical method based on CNN, which is also suitable for single type MRI data analysis. First, the human brain network connectivity matrix were extracted from multimodal MRI data, used as the input data for CNN. Then a novel CNN framework was proposed to process the network matrix and classify AD, amnestic mild cognitive impairment (aMCI) patients and normal controls (NC). The advantage of this method lies in that we combined multimodal MRI information through CNN convolution kernel, and achieved a higher classification accuracy. In our experiments, the comprehensive classification accuracy of AD, aMCI patients and NC was as high as 92.06% when using multimodal MRI data as input, which is effective enough to provide a reference for multimodal MRI data analysis.</t>
  </si>
  <si>
    <t>Y. Wang, Y. Yang, X. Guo, C. Ye, N. Gao, Y. Fang and H. T. Ma</t>
  </si>
  <si>
    <t>3D conditional generative adversarial networks for high-quality PET image estimation at low dose</t>
  </si>
  <si>
    <t>Positron emission tomography (PET) is a widely used imaging modality, providing insight into both the biochemical and physiological processes of human body. Usually, a full dose radioactive tracer is required to obtain high-quality PET images for clinical needs. This inevitably raises concerns about potential health hazards. On the other hand, dose reduction may cause the increased noise in the reconstructed PET images, which impacts the image quality to a certain extent. In this paper, in order to reduce the radiation exposure while maintaining the high quality of PET images, we propose a novel method based on 3D conditional generative adversarial networks (3D c-GANs) to estimate the high-quality full-dose PET images from low-dose ones. Generative adversarial networks (GANs) include a generator network and a discriminator network which are trained simultaneously with the goal of one beating the other. Similar to GANs, in the proposed 3D c-GANs, we condition the model on an input low-dose PET image and generate a corresponding output full-dose PET image. Specifically, to render the same underlying information between the low-dose and full-dose PET images, a 3D U-net-like deep architecture which can combine hierarchical features by using skip connection is designed as the generator network to synthesize the full-dose image. In order to guarantee the synthesized PET image to be close to the real one, we take into account of the estimation error loss in addition to the discriminator feedback to train the generator network. Furthermore, a concatenated 3D c-GANs based progressive refinement scheme is also proposed to further improve the quality of estimated images. Validation was done on a real human brain dataset including both the normal subjects and the subjects diagnosed as mild cognitive impairment (MCI). Experimental results show that our proposed 3D c-GANs method outperforms the benchmark methods and achieves much better performance than the state-of-the-art methods in both qualitative and quantitative measures.</t>
  </si>
  <si>
    <t>Y. Wang, B. Yu, L. Wang, C. Zu, D. S. Lalush, W. Lin, X. Wu, J. Zhou, D. Shen and L. Zhou</t>
  </si>
  <si>
    <t>[Research on brain image segmentation based on deep learning]</t>
  </si>
  <si>
    <t>Brain image segmentation algorithm based on deep learning is a research hotspot at present. In this paper, firstly, the significance of brain image segmentation and the content of related brain image segmentation algorithm are systematically described, highlighting the advantages of brain image segmentation algorithms based on deep learning. Then, this paper introduces current brain image segmentation algorithms based on deep learning from three aspects: the brain image segmentation algorithms based on problems existent to brain image, the brain image segmentation algorithms based on prior knowledge guidance and the application of general deep learning models in brain image segmentation, so as to enable researchers in relevant fields to understand current research progress more systematically. Finally, this paper provides a general direction for the further research of brain image segmentation algorithm based on deep learning.</t>
  </si>
  <si>
    <t>DeepOrganNet: On-the-Fly Reconstruction and Visualization of 3D / 4D Lung Models from Single-View Projections by Deep Deformation Network</t>
  </si>
  <si>
    <t>This paper introduces a deep neural network based method, i.e., DeepOrganNet, to generate and visualize fully high-fidelity 3D / 4D organ geometric models from single-view medical images with complicated background in real time. Traditional 3D / 4D medical image reconstruction requires near hundreds of projections, which cost insufferable computational time and deliver undesirable high imaging / radiation dose to human subjects. Moreover, it always needs further notorious processes to segment or extract the accurate 3D organ models subsequently. The computational time and imaging dose can be reduced by decreasing the number of projections, but the reconstructed image quality is degraded accordingly. To our knowledge, there is no method directly and explicitly reconstructing multiple 3D organ meshes from a single 2D medical grayscale image on the fly. Given single-view 2D medical images, e.g., 3D / 4D-CT projections or X-ray images, our end-to-end DeepOrganNet framework can efficiently and effectively reconstruct 3D / 4D lung models with a variety of geometric shapes by learning the smooth deformation fields from multiple templates based on a trivariate tensor-product deformation technique, leveraging an informative latent descriptor extracted from input 2D images. The proposed method can guarantee to generate high-quality and high-fidelity manifold meshes for 3D / 4D lung models; while, all current deep learning based approaches on the shape reconstruction from a single image cannot. The major contributions of this work are to accurately reconstruct the 3D organ shapes from 2D single-view projection, significantly improve the procedure time to allow on-the-fly visualization, and dramatically reduce the imaging dose for human subjects. Experimental results are evaluated and compared with the traditional reconstruction method and the state-of-the-art in deep learning, by using extensive 3D and 4D examples, including both synthetic phantom and real patient datasets. The efficiency of the proposed method shows that it only needs several milliseconds to generate organ meshes with 10K vertices, which has great potential to be used in real-time image guided radiation therapy (IGRT).</t>
  </si>
  <si>
    <t>Y. Wang, Z. Zhong and J. Hua</t>
  </si>
  <si>
    <t>IEEE Trans Vis Comput Graph</t>
  </si>
  <si>
    <t>Combination of generative adversarial network and convolutional neural network for automatic subcentimeter pulmonary adenocarcinoma classification</t>
  </si>
  <si>
    <t>BACKGROUND: The efficient and accurate diagnosis of pulmonary adenocarcinoma before surgery is of considerable significance to clinicians. Although computed tomography (CT) examinations are widely used in practice, it is still challenging and time-consuming for radiologists to distinguish between different types of subcentimeter pulmonary nodules. Although there have been many deep learning algorithms proposed, their performance largely depends on vast amounts of data, which is difficult to collect in the medical imaging area. Therefore, we propose an automatic classification system for subcentimeter pulmonary adenocarcinoma, combining a convolutional neural network (CNN) and a generative adversarial network (GAN) to optimize clinical decision-making and to provide small dataset algorithm design ideas. METHODS: A total of 206 nodules with postoperative pathological labels were analyzed. Among them were 30 adenocarcinomas in situ (AISs), 119 minimally invasive adenocarcinomas (MIAs), and 57 invasive adenocarcinomas (IACs). Our system consisted of two parts, a GAN-based image synthesis, and a CNN classification. First, several popular existing GAN techniques were employed to augment the datasets, and comprehensive experiments were conducted to evaluate the quality of the GAN synthesis. Additionally, our classification system processes were based on two-dimensional (2D) nodule-centered CT patches without the need of manual labeling information. RESULTS: For GAN-based image synthesis, the visual Turing test showed that even radiologists could not tell the GAN-synthesized from the raw images (accuracy: primary radiologist 56%, senior radiologist 65%). For CNN classification, our progressive growing wGAN improved the performance of CNN most effectively (area under the curve =0.83). The experiments indicated that the proposed GAN augmentation method improved the classification accuracy by 23.5% (from 37.0% to 60.5%) and 7.3% (from 53.2% to 60.5%) in comparison with training methods using raw and common augmented images respectively. The performance of this combined GAN and CNN method (accuracy: 60.5%±2.6%) was comparable to the state-of-the-art methods, and our CNN was also more lightweight. CONCLUSIONS: The experiments revealed that GAN synthesis techniques could effectively alleviate the problem of insufficient data in medical imaging. The proposed GAN plus CNN framework can be generalized for use in building other computer-aided detection (CADx) algorithms and thus assist in diagnosis.</t>
  </si>
  <si>
    <t>3D Auto-Context-Based Locality Adaptive Multi-Modality GANs for PET Synthesis</t>
  </si>
  <si>
    <t>Positron emission tomography (PET) has been substantially used recently. To minimize the potential health risk caused by the tracer radiation inherent to PET scans, it is of great interest to synthesize the high-quality PET image from the low-dose one to reduce the radiation exposure. In this paper, we propose a 3D auto-context-based locality adaptive multi-modality generative adversarial networks model (LA-GANs) to synthesize the high-quality FDG PET image from the low-dose one with the accompanying MRI images that provide anatomical information. Our work has four contributions. First, different from the traditional methods that treat each image modality as an input channel and apply the same kernel to convolve the whole image, we argue that the contributions of different modalities could vary at different image locations, and therefore a unified kernel for a whole image is not optimal. To address this issue, we propose a locality adaptive strategy for multi-modality fusion. Second, we utilize 1 ×1 ×1 kernel to learn this locality adaptive fusion so that the number of additional parameters incurred by our method is kept minimum. Third, the proposed locality adaptive fusion mechanism is learned jointly with the PET image synthesis in a 3D conditional GANs model, which generates high-quality PET images by employing large-sized image patches and hierarchical features. Fourth, we apply the auto-context strategy to our scheme and propose an auto-context LA-GANs model to further refine the quality of synthesized images. Experimental results show that our method outperforms the traditional multi-modality fusion methods used in deep networks, as well as the state-of-the-art PET estimation approaches.</t>
  </si>
  <si>
    <t>Dynamic evolution of COVID-19 on chest computed tomography: experience from Jiangsu Province of China</t>
  </si>
  <si>
    <t>OBJECTIVES: To determine the patterns of chest computed tomography (CT) evolution according to disease severity in a large coronavirus disease 2019 (COVID-19) cohort in Jiangsu Province, China. METHODS: This retrospective cohort study was conducted from January 10, 2020, to February 18, 2020. All patients diagnosed with COVID-19 in Jiangsu Province were included, retrospectively. Quantitative CT measurements of pulmonary opacities including volume, density, and location were extracted by deep learning algorithm. Dynamic evolution of these measurements was investigated from symptom onset (day 1) to beyond day 15. Comparison was made between severity groups. RESULTS: A total of 484 patients (median age of 47 years, interquartile range 33-57) with 954 CT examinations were included, and each was assigned to one of the three groups: asymptomatic/mild (n = 63), moderate (n = 378), severe/critically ill (n = 43). Time series showed different evolution patterns of CT measurements in the groups. Following disease onset, posteroinferior subpleural area of the lung was the most common location for pulmonary opacities. Opacity volume continued to increase beyond 15 days in the severe/critically ill group, compared with peaking on days 13-15 in the moderate group. Asymptomatic/mild group had the lowest opacity volume which almost resolved after 15 days. The opacity density began to drop from day 10 to day 12 for moderately ill patients. CONCLUSIONS: Volume, density, and location of the pulmonary opacity and their evolution on CT varied with disease severity in COVID-19. These findings are valuable in understanding the nature of the disease and monitoring the patient's condition during the course of illness. KEY POINTS: • Volume, density, and location of the pulmonary opacity on CT change over time in COVID-19. • The evolution of CT appearance follows specific pattern, varying with disease severity.</t>
  </si>
  <si>
    <t>IKWI-net: A cross-domain convolutional neural network for undersampled magnetic resonance image reconstruction</t>
  </si>
  <si>
    <t>Magnetic resonance imaging (MRI) is widely used to get the information of anatomical structure and physiological function with the advantages of high resolution and non-invasive scanning. But the long acquisition time limits its application. To reduce the time consumption of MRI, compressed sensing (CS) theory has been proposed to reconstruct MRI images from undersampled k-space data. But conventional CS methods mostly use iterative methods that take lots of time. Recently, deep learning methods are proposed to achieve faster reconstruction, but most of them only pay attention to a single domain, such as the image domain or k-space. To take advantage of the feature representation in different domains, we propose a cross-domain method based on deep learning, which first uses convolutional neural networks (CNNs) in the image domain, k-space and wavelet domain simultaneously. The combined order of the three domains is also first studied in this work, which has a significant effect on reconstruction. The proposed IKWI-net achieves the best performance in various combinations, which utilizes CNNs in the image domain, k-space, wavelet domain and image domain sequentially. Compared with several deep learning methods, experiments show it also achieves mean improvements of 0.91 dB in peak signal-to-noise ratio (PSNR) and 0.005 in structural similarity (SSIM).</t>
  </si>
  <si>
    <t>Semi-supervised mp-MRI data synthesis with StitchLayer and auxiliary distance maximization</t>
  </si>
  <si>
    <t>The availability of a large amount of annotated data is critical for many medical image analysis applications, in particular for those relying on deep learning methods which are known to be data-hungry. However, annotated medical data, especially multimodal data, is often scarce and costly to obtain. In this paper, we address the problem of synthesizing multi-parameter magnetic resonance imaging data (i.e. mp-MRI), which typically consists of Apparent Diffusion Coefficient (ADC) and T2-weighted (T2w) images, containing clinically significant (CS) prostate cancer (PCa) via semi-supervised learning and adversarial learning. Specifically, our synthesizer generates mp-MRI data in a sequential manner: first utilizing a decoder to generate an ADC map from a 128-d latent vector, followed by translating the ADC to the T2w image via U-Net. The synthesizer is trained in a semi-supervised manner. In the supervised training process, a limited amount of paired ADC-T2w images and the corresponding ADC encodings are provided and the synthesizer learns the paired relationship by explicitly minimizing the reconstruction losses between synthetic and real images. To avoid overfitting limited ADC encodings, an unlimited amount of random latent vectors and unpaired ADC-T2w Images are utilized in the unsupervised training process for learning the marginal image distributions of real images. To improve the robustness for training the synthesizer, we decompose the difficult task of generating full-size images into several simpler tasks which generate sub-images only. A StitchLayer is then employed to seamlessly fuse sub-images together in an interlaced manner into a full-size image. In addition, to enforce the synthetic images to indeed contain distinguishable CS PCa lesions, we propose to also maximize an auxiliary distance of Jensen-Shannon divergence (JSD) between CS and nonCS images. Experimental results show that our method can effectively synthesize a large variety of mp-MRI images which contain meaningful CS PCa lesions, display a good visual quality and have the correct paired relationship between the two modalities of a pair. Compared to the state-of-the-art methods based on adversarial learning (Liu and Tuzel, 2016; Costa et al., 2017), our method achieves a significant improvement in terms of both visual quality and several popular quantitative evaluation metrics.</t>
  </si>
  <si>
    <t>Z. Wang, Y. Lin, K. T. Cheng and X. Yang</t>
  </si>
  <si>
    <t>Contrastive Cross-Site Learning With Redesigned Net for COVID-19 CT Classification</t>
  </si>
  <si>
    <t>The pandemic of coronavirus disease 2019 (COVID-19) has lead to a global public health crisis spreading hundreds of countries. With the continuous growth of new infections, developing automated tools for COVID-19 identification with CT image is highly desired to assist the clinical diagnosis and reduce the tedious workload of image interpretation. To enlarge the datasets for developing machine learning methods, it is essentially helpful to aggregate the cases from different medical systems for learning robust and generalizable models. This paper proposes a novel joint learning framework to perform accurate COVID-19 identification by effectively learning with heterogeneous datasets with distribution discrepancy. We build a powerful backbone by redesigning the recently proposed COVID-Net in aspects of network architecture and learning strategy to improve the prediction accuracy and learning efficiency. On top of our improved backbone, we further explicitly tackle the cross-site domain shift by conducting separate feature normalization in latent space. Moreover, we propose to use a contrastive training objective to enhance the domain invariance of semantic embeddings for boosting the classification performance on each dataset. We develop and evaluate our method with two public large-scale COVID-19 diagnosis datasets made up of CT images. Extensive experiments show that our approach consistently improves the performanceson both datasets, outperforming the original COVID-Net trained on each dataset by 12.16% and 14.23% in AUC respectively, also exceeding existing state-of-the-art multi-site learning methods.</t>
  </si>
  <si>
    <t>Structural inference embedded adversarial networks for scene parsing</t>
  </si>
  <si>
    <t>Explicit structural inference is one key point to improve the accuracy of scene parsing. Meanwhile, adversarial training method is able to reinforce spatial contiguity in output segmentations. To take both advantages of the structural learning and adversarial training simultaneously, we propose a novel deep learning network architecture called Structural Inference Embedded Adversarial Networks (SIEANs) for pixel-wise scene labeling. The generator of our SIEANs, a novel designed scene parsing network, makes full use of convolutional neural networks and long short-term memory networks to learn the global contextual information of objects in four different directions from RGB-(D) images, which is able to describe the (three-dimensional) spatial distributions of objects in a more comprehensive and accurate way. To further improve the performance, we explore the adversarial training method to optimize the generator along with a discriminator, which can not only detect and correct higher-order inconsistencies between the predicted segmentations and corresponding ground truths, but also exploit full advantages of the generator by fine-tuning its parameters so as to obtain higher consistencies. The experimental results demonstrate that our proposed SIEANs is able to achieve a better performance on PASCAL VOC 2012, SIFT FLOW, PASCAL Person-Part, Cityscapes, Stanford Background, NYUDv2, and SUN-RGBD datasets compared to the most of state-of-the-art methods.</t>
  </si>
  <si>
    <t>Dynamic pixel-wise weighting-based fully convolutional neural networks for left ventricle segmentation in short-axis MRI</t>
  </si>
  <si>
    <t>Left ventricle (LV) segmentation in cardiac MRI is an essential procedure for quantitative diagnosis of various cardiovascular diseases. In this paper, we present a novel fully automatic left ventricle segmentation approach based on convolutional neural networks. The proposed network fully takes advantages of the hierarchical architecture and integrate the multi-scale feature together for segmenting the myocardial region of LV. Moreover, we put forward a dynamic pixel-wise weighting strategy, which can dynamically adjust the weight of each pixel according to the segmentation accuracy of upper layer and force the pixel classifier to take more attention on the misclassified ones. By this way, the LV segmentation performance of our method can be improved a lot especially for the apical and basal slices in cine MR images. The experiments on the CAP database demonstrate that our method achieves a substantial improvement compared with other well-know deep learning methods. Beside these, we discussed two major limitations in convolutional neural networks-based semantic segmentation methods for LV segmentation.</t>
  </si>
  <si>
    <t>3D Compressed Convolutional Neural Network Differentiates Neuromyelitis Optical Spectrum Disorders From Multiple Sclerosis Using Automated White Matter Hyperintensities Segmentations</t>
  </si>
  <si>
    <t>BACKGROUND: Magnetic resonance imaging (MRI) has a wide range of applications in medical imaging. Recently, studies based on deep learning algorithms have demonstrated powerful processing capabilities for medical imaging data. Previous studies have mostly focused on common diseases that usually have large scales of datasets and centralized the lesions in the brain. In this paper, we used deep learning models to process MRI images to differentiate the rare neuromyelitis optical spectrum disorder (NMOSD) from multiple sclerosis (MS) automatically, which are characterized by scattered and overlapping lesions. METHODS: We proposed a novel model structure to capture 3D MRI images' essential information and converted them into lower dimensions. To empirically prove the efficiency of our model, firstly, we used a conventional 3-dimensional (3D) model to classify the T2-weighted fluid-attenuated inversion recovery (T2-FLAIR) images and proved that the traditional 3D convolutional neural network (CNN) models lack the learning capacity to distinguish between NMOSD and MS. Then, we compressed the 3D T2-FLAIR images by a two-view compression block to apply two different depths (18 and 34 layers) of 2D models for disease diagnosis and also applied transfer learning by pre-training our model on ImageNet dataset. RESULTS: We found that our models possess superior performance when our models were pre-trained on ImageNet dataset, in which the models' average accuracies of 34 layers model and 18 layers model were 0.75 and 0.725, sensitivities were 0.707 and 0.708, and specificities were 0.759 and 0.719, respectively. Meanwhile, the traditional 3D CNN models lacked the learning capacity to distinguish between NMOSD and MS. CONCLUSION: The novel CNN model we proposed could automatically differentiate the rare NMOSD from MS, especially, our model showed better performance than traditional3D CNN models. It indicated that our 3D compressed CNN models are applicable in handling diseases with small-scale datasets and possess overlapping and scattered lesions.</t>
  </si>
  <si>
    <t>Front Physiol</t>
  </si>
  <si>
    <t>Cell recognition based on topological sparse coding for microscopy imaging of focused ultrasound treatment</t>
  </si>
  <si>
    <t>BACKGROUND: Ultrasound is considered a reliable, widely available, non-invasive, and inexpensive imaging technique for assessing and detecting the development phases of cancer; both in vivo and ex vivo, and for understanding the effects on cell cycle and viability after ultrasound treatment. METHODS: Based on the topological continuity characteristics, and that adjacent points or areas represent similar features, we propose a topological penalized convex objective function of sparse coding, to recognize similar cell phases. RESULTS: This method introduces new features using a deep learning method of sparse coding with topological continuity characteristics. Large-scale comparison tests demonstrate that the RAW can outperform SIFT GIST and HoG as the input features with this method, achieving higher sensitivity, specificity, F1 score, and accuracy. CONCLUSIONS: Experimental results show that the proposed topological sparse coding technique is valid and effective for extracting new features, and the proposed system was effective for cell recognition of microscopy images of theMDA-MB-231 cell line. This method allows features from sparse coding learning methods to have topological continuity characteristics, and the RAW features are more applicable for the deep learning of the topological sparse coding method than SIFT GIST and HoG.</t>
  </si>
  <si>
    <t>Z. Wang, J. Zhu, Y. Xue, C. Song and N. Bi</t>
  </si>
  <si>
    <t>Quantifying the incremental value of deep learning: Application to lung nodule detection</t>
  </si>
  <si>
    <t>We present a case study for implementing a machine learning algorithm with an incremental value framework in the domain of lung cancer research. Machine learning methods have often been shown to be competitive with prediction models in some domains; however, implementation of these methods is in early development. Often these methods are only directly compared to existing methods; here we present a framework for assessing the value of a machine learning model by assessing the incremental value. We developed a machine learning model to identify and classify lung nodules and assessed the incremental value added to existing risk prediction models. Multiple external datasets were used for validation. We found that our image model, trained on a dataset from The Cancer Imaging Archive (TCIA), improves upon existing models that are restricted to patient characteristics, but it was inconclusive about whether it improves on models that consider nodule features. Another interesting finding is the variable performance on different datasets, suggesting population generalization with machine learning models may be more challenging than is often considered.</t>
  </si>
  <si>
    <t>TractSeg - Fast and accurate white matter tract segmentation</t>
  </si>
  <si>
    <t>The individual course of white matter fiber tracts is an important factor for analysis of white matter characteristics in healthy and diseased brains. Diffusion-weighted MRI tractography in combination with region-based or clustering-based selection of streamlines is a unique combination of tools which enables the in-vivo delineation and analysis of anatomically well-known tracts. This, however, currently requires complex, computationally intensive processing pipelines which take a lot of time to set up. TractSeg is a novel convolutional neural network-based approach that directly segments tracts in the field of fiber orientation distribution function (fODF) peaks without using tractography, image registration or parcellation. We demonstrate that the proposed approach is much faster than existing methods while providing unprecedented accuracy, using a population of 105 subjects from the Human Connectome Project. We also show initial evidence that TractSeg is able to generalize to differently acquired data sets for most of the bundles. The code and data are openly available at https://github.com/MIC-DKFZ/TractSeg/ and https://doi.org/10.5281/zenodo.1088277, respectively.</t>
  </si>
  <si>
    <t>J. Wasserthal, P. Neher and K. H. Maier-Hein</t>
  </si>
  <si>
    <t>Combined tract segmentation and orientation mapping for bundle-specific tractography</t>
  </si>
  <si>
    <t>While the major white matter tracts are of great interest to numerous studies in neuroscience and medicine, their manual dissection in larger cohorts from diffusion MRI tractograms is time-consuming, requires expert knowledge and is hard to reproduce. In previous work we presented tract orientation mapping (TOM) as a novel concept for bundle-specific tractography. It is based on a learned mapping from the original fiber orientation distribution function (FOD) peaks to tract specific peaks, called tract orientation maps. Each tract orientation map represents the voxel-wise principal orientation of one tract. Here, we present an extension of this approach that combines TOM with accurate segmentations of the tract outline and its start and end region. We also introduce a custom probabilistic tracking algorithm that samples from a Gaussian distribution with fixed standard deviation centered on each peak thus enabling more complete trackings on the tract orientation maps than deterministic tracking. These extensions enable the automatic creation of bundle-specific tractograms with previously unseen accuracy. We show for 72 different bundles on high quality, low quality and phantom data that our approach runs faster and produces more accurate bundle-specific tractograms than 7 state of the art benchmark methods while avoiding cumbersome processing steps like whole brain tractography, non-linear registration, clustering or manual dissection. Moreover, we show on 17 datasets that our approach generalizes well to datasets acquired with different scanners and settings as well as with pathologies. The code of our method is openly available at https://github.com/MIC-DKFZ/TractSeg.</t>
  </si>
  <si>
    <t>Improved Cancer Detection Using Artificial Intelligence: a Retrospective Evaluation of Missed Cancers on Mammography</t>
  </si>
  <si>
    <t>To determine whether cmAssist™, an artificial intelligence-based computer-aided detection (AI-CAD) algorithm, can be used to improve radiologists' sensitivity in breast cancer screening and detection. A blinded retrospective study was performed with a panel of seven radiologists using a cancer-enriched data set from 122 patients that included 90 false-negative mammograms obtained up to 5.8 years prior to diagnosis and 32 BIRADS 1 and 2 patients with a 2-year follow-up of negative diagnosis. The mammograms were performed between February 7, 2008 (earliest) and January 8, 2016 (latest), and were all originally interpreted as negative in conjunction with R2 ImageChecker CAD, version 10.0. In this study, the readers analyzed the 122 studies before and after review of cmAssist™, an AI-CAD software for mammography. The statistical significance of our findings was evaluated using Student's t test and bootstrap statistical analysis. There was a substantial and significant improvement in radiologist accuracy with use of cmAssist, as demonstrated in the 7.2% increase in the area-under-the-curve (AUC) of the receiver operating characteristic (ROC) curve with two-sided p value &lt; 0.01 for the reader group. All radiologists showed a significant improvement in their cancer detection rate (CDR) with the use of cmAssist (two-sided p value = 0.030, confidence interval = 95%). The readers detected between 25 and 71% (mean 51%) of the early cancers without assistance. With cmAssist, the overall reader CDR was 41 to 76% (mean 62%). The percentage increase in CDR for the reader panel was significant, ranging from 6 to 64% (mean 27%) with the use of cmAssist. There was less than 1% increase in the readers' false-positive recalls with use of cmAssist. With the use of cmAssist TM, there was a substantial and statistically significant improvement in radiologists' accuracy and sensitivity for detection of cancers that were originally missed. The percentage increase in CDR for the radiologists in the reader panel ranged from 6 to 64% (mean 27%) with the use of cmAssist, with negligible increase in false-positive recalls.</t>
  </si>
  <si>
    <t>Deep learning for biology</t>
  </si>
  <si>
    <t>S. Webb</t>
  </si>
  <si>
    <t>Deep Learning Convolutional Neural Networks for the Automatic Quantification of Muscle Fat Infiltration Following Whiplash Injury</t>
  </si>
  <si>
    <t>Muscle fat infiltration (MFI) of the deep cervical spine extensors has been observed in cervical spine conditions using time-consuming and rater-dependent manual techniques. Deep learning convolutional neural network (CNN) models have demonstrated state-of-the-art performance in segmentation tasks. Here, we train and test a CNN for muscle segmentation and automatic MFI calculation using high-resolution fat-water images from 39 participants (26 female, average = 31.7 ± 9.3 years) 3 months post whiplash injury. First, we demonstrate high test reliability and accuracy of the CNN compared to manual segmentation. Then we explore the relationships between CNN muscle volume, CNN MFI, and clinical measures of pain and neck-related disability. Across all participants, we demonstrate that CNN muscle volume was negatively correlated to pain (R = -0.415, p = 0.006) and disability (R = -0.286, p = 0.045), while CNN MFI tended to be positively correlated to disability (R = 0.214, p = 0.105). Additionally, CNN MFI was higher in participants with persisting pain and disability (p = 0.049). Overall, CNN's may improve the efficiency and objectivity of muscle measures allowing for the quantitative monitoring of muscle properties in disorders of and beyond the cervical spine.</t>
  </si>
  <si>
    <t>Cortical graph neural network for AD and MCI diagnosis and transfer learning across populations</t>
  </si>
  <si>
    <t>Combining machine learning with neuroimaging data has a great potential for early diagnosis of mild cognitive impairment (MCI) and Alzheimer's disease (AD). However, it remains unclear how well the classifiers built on one population can predict MCI/AD diagnosis of other populations. This study aimed to employ a spectral graph convolutional neural network (graph-CNN), that incorporated cortical thickness and geometry, to identify MCI and AD based on 3089 T(1)-weighted MRI data of the ADNI-2 cohort, and to evaluate its feasibility to predict AD in the ADNI-1 cohort (n = 3602) and an Asian cohort (n = 347). For the ADNI-2 cohort, the graph-CNN showed classification accuracy of controls (CN) vs. AD at 85.8% and early MCI (EMCI) vs. AD at 79.2%, followed by CN vs. late MCI (LMCI) (69.3%), LMCI vs. AD (65.2%), EMCI vs. LMCI (60.9%), and CN vs. EMCI (51.8%). We demonstrated the robustness of the graph-CNN among the existing deep learning approaches, such as Euclidean-domain-based multilayer network and 1D CNN on cortical thickness, and 2D and 3D CNNs on T(1)-weighted MR images of the ADNI-2 cohort. The graph-CNN also achieved the prediction on the conversion of EMCI to AD at 75% and that of LMCI to AD at 92%. The find-tuned graph-CNN further provided a promising CN vs. AD classification accuracy of 89.4% on the ADNI-1 cohort and &gt;90% on the Asian cohort. Our study demonstrated the feasibility to transfer AD/MCI classifiers learned from one population to the other. Notably, incorporating cortical geometry in CNN has the potential to improve classification performance.</t>
  </si>
  <si>
    <t>Comparing lesion segmentation methods in multiple sclerosis: Input from one manually delineated subject is sufficient for accurate lesion segmentation</t>
  </si>
  <si>
    <t>PURPOSE: Accurate lesion segmentation is important for measurements of lesion load and atrophy in subjects with multiple sclerosis (MS). International MS lesion challenges show a preference of convolutional neural networks (CNN) strategies, such as nicMSlesions. However, since the software is trained on fairly homogenous training data, we aimed to test the performance of nicMSlesions in an independent dataset with manual and other automatic lesion segmentations to determine whether this method is suitable for larger, multi-center studies. METHODS: Manual lesion segmentation was performed in fourteen subjects with MS on sagittal 3D FLAIR images from a 3T GE whole-body scanner with 8-channel head coil. We compared five different categories of automated lesion segmentation methods for their volumetric and spatial agreement with manual segmentation: (i) unsupervised, untrained (LesionTOADS); (ii) supervised, untrained (LST-LPA and nicMSlesions with default settings); (iii) supervised, untrained with threshold adjustment (LST-LPA optimized for current data); (iv) supervised, trained with leave-one-out cross-validation on fourteen subjects with MS (nicMSlesions and BIANCA); and (v) supervised, trained on a single subject with MS (nicMSlesions). Volumetric accuracy was determined by the intra-class correlation coefficient (ICC) and spatial accuracy by Dice's similarity index (SI). Volumes and SI were compared between methods using repeated measures ANOVA or Friedman tests with post-hoc pairwise comparison. RESULTS: The best volumetric and spatial agreement with manual was obtained with the supervised and trained methods nicMSlesions and BIANCA (ICC absolute agreement &gt; 0.968 and median SI &gt; 0.643) and the worst with the unsupervised, untrained method LesionTOADS (ICC absolute agreement = 0.140 and median SI = 0.444). Agreement with manual in the single-subject network training of nicMSlesions was poor for input with low lesion volumes (i.e. two subjects with lesion volumes ≤ 3.0 ml). For the other twelve subjects, ICC varied from 0.593 to 0.973 and median SI varied from 0.535 to 0.606. In all cases, the single-subject trained nicMSlesions segmentations outperformed LesionTOADS, and in almost all cases it also outperformed LST-LPA. CONCLUSION: Input from only one subject to re-train the deep learning CNN nicMSlesions is sufficient for adequate lesion segmentation, with on average higher volumetric and spatial agreement with manual than obtained with the untrained methods LesionTOADS and LST-LPA.</t>
  </si>
  <si>
    <t>Learning-based single-step quantitative susceptibility mapping reconstruction without brain extraction</t>
  </si>
  <si>
    <t>Quantitative susceptibility mapping (QSM) estimates the underlying tissue magnetic susceptibility from MRI gradient-echo phase signal and typically requires several processing steps. These steps involve phase unwrapping, brain volume extraction, background phase removal and solving an ill-posed inverse problem relating the tissue phase to the underlying susceptibility distribution. The resulting susceptibility map is known to suffer from inaccuracy near the edges of the brain tissues, in part due to imperfect brain extraction, edge erosion of the brain tissue and the lack of phase measurement outside the brain. This inaccuracy has thus hindered the application of QSM for measuring susceptibility of tissues near the brain edges, e.g., quantifying cortical layers and generating superficial venography. To address these challenges, we propose a learning-based QSM reconstruction method that directly estimates the magnetic susceptibility from total phase images without the need for brain extraction and background phase removal, referred to as autoQSM. The neural network has a modified U-net structure and is trained using QSM maps computed by a two-step QSM method. 209 healthy subjects with ages ranging from 11 to 82 years were employed for patch-wise network training. The network was validated on data dissimilar to the training data, e.g., in vivo mouse brain data and brains with lesions, which suggests that the network generalized and learned the underlying mathematical relationship between magnetic field perturbation and magnetic susceptibility. Quantitative and qualitative comparisons were performed between autoQSM and other two-step QSM methods. AutoQSM was able to recover magnetic susceptibility of anatomical structures near the edges of the brain including the veins covering the cortical surface, spinal cord and nerve tracts near the mouse brain boundaries. The advantages of high-quality maps, no need for brain volume extraction, and high reconstruction speed demonstrate autoQSM's potential for future applications.</t>
  </si>
  <si>
    <t>Evaluation of a Deep Neural Network for Automated Classification of Colorectal Polyps on Histopathologic Slides</t>
  </si>
  <si>
    <t>IMPORTANCE: Histologic classification of colorectal polyps plays a critical role in screening for colorectal cancer and care of affected patients. An accurate and automated algorithm for the classification of colorectal polyps on digitized histopathologic slides could benefit practitioners and patients. OBJECTIVE: To evaluate the performance and generalizability of a deep neural network for colorectal polyp classification on histopathologic slide images using a multi-institutional data set. DESIGN, SETTING, AND PARTICIPANTS: This prognostic study used histopathologic slides collected from January 1, 2016, to June 31, 2016, from Dartmouth-Hitchcock Medical Center, Lebanon, New Hampshire, with 326 slides used for training, 157 slides for an internal data set, and 25 for a validation set. For the external data set, 238 slides for 179 distinct patients were obtained from 24 institutions across 13 US states. Data analysis was performed from April 9 to November 23, 2019. MAIN OUTCOMES AND MEASURES: Accuracy, sensitivity, and specificity of the model to classify 4 major colorectal polyp types: tubular adenoma, tubulovillous or villous adenoma, hyperplastic polyp, and sessile serrated adenoma. Performance was compared with that of local pathologists' at the point of care identified from corresponding pathology laboratories. RESULTS: For the internal evaluation on the 157 slides with ground truth labels from 5 pathologists, the deep neural network had a mean accuracy of 93.5% (95% CI, 89.6%-97.4%) compared with local pathologists' accuracy of 91.4% (95% CI, 87.0%-95.8%). On the external test set of 238 slides with ground truth labels from 5 pathologists, the deep neural network achieved an accuracy of 87.0% (95% CI, 82.7%-91.3%), which was comparable with local pathologists' accuracy of 86.6% (95% CI, 82.3%-90.9%). CONCLUSIONS AND RELEVANCE: The findings suggest that this model may assist pathologists by improving the diagnostic efficiency, reproducibility, and accuracy of colorectal cancer screenings.</t>
  </si>
  <si>
    <t>10.1053/j.semnuclmed.2020.10.003</t>
  </si>
  <si>
    <t>Artificial Intelligence for Response Evaluation With PET/CT</t>
  </si>
  <si>
    <t>Positron emission tomography (PET)/computed tomography (CT) are nuclear diagnostic imaging modalities that are routinely deployed for cancer staging and monitoring. They hold the advantage of detecting disease related biochemical and physiologic abnormalities in advance of anatomical changes, thus widely used for staging of disease progression, identification of the treatment gross tumor volume, monitoring of disease, as well as prediction of outcomes and personalization of treatment regimens. Among the arsenal of different functional imaging modalities, nuclear imaging has benefited from early adoption of quantitative image analysis starting from simple standard uptake value normalization to more advanced extraction of complex imaging uptake patterns; thanks to application of sophisticated image processing and machine learning algorithms. In this review, we discuss the application of image processing and machine/deep learning techniques to PET/CT imaging with special focus on the oncological radiotherapy domain as a case study and draw examples from our work and others to highlight current status and future potentials.</t>
  </si>
  <si>
    <t>10.23736/s1824-4785.19.03213-8</t>
  </si>
  <si>
    <t>Machine learning for radiomics-based multimodality and multiparametric modeling</t>
  </si>
  <si>
    <t>Due to the recent developments of both hardware and software technologies, multimodality medical imaging techniques have been increasingly applied in clinical practice and research studies. Previously, the application of multimodality imaging in oncology has been mainly related to combining anatomical and functional imaging to improve diagnostic specificity and/or target definition, such as positron emission tomography/computed tomography (PET/CT) and single-photon emission CT (SPECT)/CT. More recently, the fusion of various images, such as multiparametric magnetic resonance imaging (MRI) sequences, different PET tracer images, PET/MRI, has become more prevalent, which has enabled more comprehensive characterization of the tumor phenotype. In order to take advantage of these valuable multimodal data for clinical decision making using radiomics, we present two ways to implement the multimodal image analysis, namely radiomic (handcrafted feature) based and deep learning (machine learned feature) based methods. Applying advanced machine (deep) learning algorithms across multimodality images have shown better results compared with single modality modeling for prognostic and/or prediction of clinical outcomes. This holds great potentials for providing more personalized treatment for patients and achieve better outcomes.</t>
  </si>
  <si>
    <t>Cervical Cancer Detection and Diagnosis Based on Saliency Single Shot MultiBox Detector in Ultrasonic Elastography</t>
  </si>
  <si>
    <t>Cervical cancer is increasingly threatening the health of women, then early screening and prevention of cervical cancer is very necessary. A traditional saliency cervical cancer detection method in Ultrasound image, assuming that there is only one salient object, is not conductive to practical application. Their effects are dependent on saliency threshold. Object detection model provides a kind of new solutions for multiple salient objects. Shot multiBox detector can accurately detect multi-objects with different scales simultaneously except for small cervical cancer regions. To overcome this drawback, this paper presents a new multi-saliency objects detection model, appending deconvolution module embedded within attention residual module. Experiments show that our proposed diagnosis algorithm achieves higher detection accuracy than comparison algorithms. Also, it improves detection performance for mult-saliency cervical cancer objects with small scales, which greatly improve the diagnosis accuracy of cervical cancer.</t>
  </si>
  <si>
    <t>Predicting PET-derived myelin content from multisequence MRI for individual longitudinal analysis in multiple sclerosis</t>
  </si>
  <si>
    <t>Multiple sclerosis (MS) is a demyelinating and inflammatory disease of the central nervous system (CNS). The demyelination process can be repaired by the generation of a new sheath of myelin around the axon, a process termed remyelination. In MS patients, the demyelination-remyelination cycles are highly dynamic. Over the years, magnetic resonance imaging (MRI) has been increasingly used in the diagnosis of MS and it is currently the most useful paraclinical tool to assess this diagnosis. However, conventional MRI pulse sequences are not specific for pathological mechanisms such as demyelination and remyelination. Recently, positron emission tomography (PET) with radiotracer [(11)C]PIB has become a promising tool to measure in-vivo myelin content changes which is essential to push forward our understanding of mechanisms involved in the pathology of MS, and to monitor individual patients in the context of clinical trials focused on repair therapies. However, PET imaging is invasive due to the injection of a radioactive tracer. Moreover, it is an expensive imaging test and not offered in the majority of medical centers in the world. In this work, by using multisequence MRI, we thus propose a method to predict the parametric map of [(11)C]PIB PET, from which we derived the myelin content changes in a longitudinal analysis of patients with MS. The method is based on the proposed conditional flexible self-attention GAN (CF-SAGAN) which is specifically adjusted for high-dimensional medical images and able to capture the relationships between the spatially separated lesional regions during the image synthesis process. Jointly applying the sketch-refinement process and the proposed attention regularization that focuses on the MS lesions, our approach is shown to outperform the state-of-the-art methods qualitatively and quantitatively. Specifically, our method demonstrated a superior performance for the prediction of myelin content at voxel-wise level. More important, our method for the prediction of myelin content changes in patients with MS shows similar clinical correlations to the PET-derived gold standard indicating the potential for clinical management of patients with MS.</t>
  </si>
  <si>
    <t>Ensemble Deep Learning Model for Multicenter Classification of Thyroid Nodules on Ultrasound Images</t>
  </si>
  <si>
    <t>BACKGROUND Thyroid nodules are extremely common and typically diagnosed with ultrasound whether benign or malignant. Imaging diagnosis assisted by Artificial Intelligence has attracted much attention in recent years. The aim of our study was to build an ensemble deep learning classification model to accurately differentiate benign and malignant thyroid nodules. MATERIAL AND METHODS Based on current advanced methods of image segmentation and classification algorithms, we proposed an ensemble deep learning classification model for thyroid nodules (EDLC-TN) after precise localization. We compared diagnostic performance with four other state-of-the-art deep learning algorithms and three ultrasound radiologists according to ACR TI-RADS criteria. Finally, we demonstrated the general applicability of EDLC-TN for diagnosing thyroid cancer using ultrasound images from multi medical centers. RESULTS The method proposed in this paper has been trained and tested on a thyroid ultrasound image dataset containing 26 541 images and the accuracy of this method could reach 98.51%. EDLC-TN demonstrated the highest value for area under the curve, sensitivity, specificity, and accuracy among five state-of-the-art algorithms. Combining EDLC-TN with models and radiologists could improve diagnostic accuracy. EDLC-TN achieved excellent diagnostic performance when applied to ultrasound images from another independent hospital. CONCLUSIONS Based on ensemble deep learning, the proposed approach in this paper is superior to other similar existing methods of thyroid classification, as well as ultrasound radiologists. Moreover, our network represents a generalized platform that potentially can be applied to medical images from multiple medical centers.</t>
  </si>
  <si>
    <t>Med Sci Monit</t>
  </si>
  <si>
    <t>Dominant-Current Deep Learning Scheme for Electrical Impedance Tomography</t>
  </si>
  <si>
    <t>OBJECTIVE: Deep learning has recently been applied to electrical impedance tomography (EIT) imaging. Nevertheless, there are still many challenges that this approach has to face, e.g., targets with sharp corners or edges cannot be well recovered when using circular inclusion training data. This paper proposes an iterative-based inversion method and a convolutional neural network (CNN) based inversion method to recover some challenging inclusions such as triangular, rectangular, or lung shapes, where the CNN-based method uses only random circle or ellipse training data. METHODS: First, the iterative method, i.e., bases-expansion subspace optimization method (BE-SOM), is proposed based on a concept of induced contrast current (ICC) with total variation regularization. Second, the theoretical analysis of BE-SOM and the physical concepts introduced there motivate us to propose a dominant-current deep learning scheme for EIT imaging, in which dominant parts of ICC are utilized to generate multi-channel inputs of CNN. RESULTS: The proposed methods are tested with both numerical and experimental data, where several realistic phantoms including simulated pneumothorax and pleural effusion pathologies are also considered. CONCLUSIONS AND SIGNIFICANCE: Significant performance improvements of the proposed methods are shown in reconstructing targets with sharp corners or edges. It is also demonstrated that the proposed methods are capable of fast, stable, and high-quality EIT imaging, which is promising in providing quantitative images for potential clinical applications.</t>
  </si>
  <si>
    <t>[Sparse-view CT image restoration via multiscale wavelet residual network]</t>
  </si>
  <si>
    <t>OBJECTIVE: Sparse-view CT has the advantages of accelerated data collection and reduced radiation dose, but data missing arising from the data collection process causes serious streaking artifact and noise in the images reconstructed using the traditional filtering back projection algorithm (FBP). To solve this problem, we propose a multi-scale wavelet residual network (MWResNet) to restore sparse-view CT images. METHODS: The MWResNet was based on the combination of deep learning and traditional model in MWCNN, and the wavelet network was combined with the residual block to enhance the network's ability to embed image features and speed up network training. The network proposed herein was trained using the real spiral geometry CT image data, namely the Low-dose CT Grand Challenge dataset. The results of the proposed networks were visually and quantitatively compared to that by other existing networks, including the image restoration iterative residual convolution network (IRLNet), residual coding-decoding convolutional neural network (REDCNN) and the FBP convolutional neural network (FBPConvNet). RESULTS: The results demonstrated that the proposed method was superior to other competing methods in terms of visual inspection and quantitative comparison. CONCLUSIONS: The MWResNet network is an effective method for suppressing noise and artifacts and maintaining edges details in the sparse-view CT images.</t>
  </si>
  <si>
    <t>Content-aware image restoration: pushing the limits of fluorescence microscopy</t>
  </si>
  <si>
    <t>Fluorescence microscopy is a key driver of discoveries in the life sciences, with observable phenomena being limited by the optics of the microscope, the chemistry of the fluorophores, and the maximum photon exposure tolerated by the sample. These limits necessitate trade-offs between imaging speed, spatial resolution, light exposure, and imaging depth. In this work we show how content-aware image restoration based on deep learning extends the range of biological phenomena observable by microscopy. We demonstrate on eight concrete examples how microscopy images can be restored even if 60-fold fewer photons are used during acquisition, how near isotropic resolution can be achieved with up to tenfold under-sampling along the axial direction, and how tubular and granular structures smaller than the diffraction limit can be resolved at 20-times-higher frame rates compared to state-of-the-art methods. All developed image restoration methods are freely available as open source software in Python, FIJI, and KNIME.</t>
  </si>
  <si>
    <t>M. Weigert, U. Schmidt, T. Boothe, A. Müller, A. Dibrov, A. Jain, B. Wilhelm, D. Schmidt, C. Broaddus, S. Culley, M. Rocha-Martins, F. Segovia-Miranda, C. Norden, R. Henriques, M. Zerial, M. Solimena, J. Rink, P. Tomancak, L. Royer, F. Jug and E. W. Myers</t>
  </si>
  <si>
    <t>Assessment of a Deep Learning Algorithm for the Detection of Rib Fractures on Whole-Body Trauma Computed Tomography</t>
  </si>
  <si>
    <t>OBJECTIVE: To assess the diagnostic performance of a deep learning-based algorithm for automated detection of acute and chronic rib fractures on whole-body trauma CT. MATERIALS AND METHODS: We retrospectively identified all whole-body trauma CT scans referred from the emergency department of our hospital from January to December 2018 (n = 511). Scans were categorized as positive (n = 159) or negative (n = 352) for rib fractures according to the clinically approved written CT reports, which served as the index test. The bone kernel series (1.5-mm slice thickness) served as an input for a detection prototype algorithm trained to detect both acute and chronic rib fractures based on a deep convolutional neural network. It had previously been trained on an independent sample from eight other institutions (n = 11455). RESULTS: All CTs except one were successfully processed (510/511). The algorithm achieved a sensitivity of 87.4% and specificity of 91.5% on a per-examination level [per CT scan: rib fracture(s): yes/no]. There were 0.16 false-positives per examination (= 81/510). On a per-finding level, there were 587 true-positive findings (sensitivity: 65.7%) and 307 false-negatives. Furthermore, 97 true rib fractures were detected that were not mentioned in the written CT reports. A major factor associated with correct detection was displacement. CONCLUSION: We found good performance of a deep learning-based prototype algorithm detecting rib fractures on trauma CT on a per-examination level at a low rate of false-positives per case. A potential area for clinical application is its use as a screening tool to avoid false-negative radiology reports.</t>
  </si>
  <si>
    <t>User-controlled pipelines for feature integration and head and neck radiation therapy outcome predictions</t>
  </si>
  <si>
    <t>PURPOSE: Precision cancer medicine is dependent on accurate prediction of disease and treatment outcome, requiring integration of clinical, imaging and interventional knowledge. User controlled pipelines are capable of feature integration with varied levels of human interaction. In this work we present two pipelines designed to combine clinical, radiomic (quantified imaging), and RTx-omic (quantified radiation therapy (RT) plan) information for prediction of locoregional failure (LRF) in head and neck cancer (H&amp;N). METHODS: Pipelines were designed to extract information and model patient outcomes based on clinical features, computed tomography (CT) imaging, and planned RT dose volumes. We predict H&amp;N LRF using: 1) a highly user-driven pipeline that leverages modular design and machine learning for feature extraction and model development; and 2) a pipeline with minimal user input that utilizes deep learning convolutional neural networks to extract and combine CT imaging, RT dose and clinical features for model development. RESULTS: Clinical features with logistic regression in our highly user-driven pipeline had the highest precision recall area under the curve (PR-AUC) of 0.66 (0.33-0.93), where a PR-AUC = 0.11 is considered random. CONCLUSIONS: Our work demonstrates the potential to aggregate features from multiple specialties for conditional-outcome predictions using pipelines with varied levels of human interaction. Most importantly, our results provide insights into the importance of data curation and quality, as well as user, data and methodology bias awareness as it pertains to result interpretation in user controlled pipelines.</t>
  </si>
  <si>
    <t>VIDOSAT: High-Dimensional Sparsifying Transform Learning for Online Video Denoising</t>
  </si>
  <si>
    <t>Techniques exploiting the sparsity of images in a transform domain are effective for various applications in image and video processing. In particular, transform learning methods involve cheap computations and have been demonstrated to perform well in applications, such as image denoising and medical image reconstruction. Recently, we proposed methods for online learning of sparsifying transforms from streaming signals, which enjoy good convergence guarantees and involve lower computational costs than online synthesis dictionary learning. In this paper, we apply online transform learning to video denoising. We present a novel framework for online video denoising based on high-dimensional sparsifying transform learning for spatio-temporal patches. The patches are constructed either from corresponding 2D patches in successive frames or using an online block matching technique. The proposed online video denoising requires little memory and offers efficient processing. Numerical experiments evaluate the performance of the proposed video denoising algorithms on multiple video data sets. The proposed methods outperform several related and recent techniques, including denoising with 3D DCT, prior schemes based on dictionary learning, non-local means, background separation, and deep learning, as well as the popular VBM3D and VBM4D.</t>
  </si>
  <si>
    <t>B. Wen, S. Ravishankar and Y. Bresler</t>
  </si>
  <si>
    <t>Transferring and generalizing deep-learning-based neural encoding models across subjects</t>
  </si>
  <si>
    <t>Recent studies have shown the value of using deep learning models for mapping and characterizing how the brain represents and organizes information for natural vision. However, modeling the relationship between deep learning models and the brain (or encoding models), requires measuring cortical responses to large and diverse sets of natural visual stimuli from single subjects. This requirement limits prior studies to few subjects, making it difficult to generalize findings across subjects or for a population. In this study, we developed new methods to transfer and generalize encoding models across subjects. To train encoding models specific to a target subject, the models trained for other subjects were used as the prior models and were refined efficiently using Bayesian inference with a limited amount of data from the target subject. To train encoding models for a population, the models were progressively trained and updated with incremental data from different subjects. For the proof of principle, we applied these methods to functional magnetic resonance imaging (fMRI) data from three subjects watching tens of hours of naturalistic videos, while a deep residual neural network driven by image recognition was used to model visual cortical processing. Results demonstrate that the methods developed herein provide an efficient and effective strategy to establish both subject-specific and population-wide predictive models of cortical representations of high-dimensional and hierarchical visual features.</t>
  </si>
  <si>
    <t>H. Wen, J. Shi, W. Chen and Z. Liu</t>
  </si>
  <si>
    <t>10.1093/cercor/bhx268</t>
  </si>
  <si>
    <t>Neural Encoding and Decoding with Deep Learning for Dynamic Natural Vision</t>
  </si>
  <si>
    <t>Convolutional neural network (CNN) driven by image recognition has been shown to be able to explain cortical responses to static pictures at ventral-stream areas. Here, we further showed that such CNN could reliably predict and decode functional magnetic resonance imaging data from humans watching natural movies, despite its lack of any mechanism to account for temporal dynamics or feedback processing. Using separate data, encoding and decoding models were developed and evaluated for describing the bi-directional relationships between the CNN and the brain. Through the encoding models, the CNN-predicted areas covered not only the ventral stream, but also the dorsal stream, albeit to a lesser degree; single-voxel response was visualized as the specific pixel pattern that drove the response, revealing the distinct representation of individual cortical location; cortical activation was synthesized from natural images with high-throughput to map category representation, contrast, and selectivity. Through the decoding models, fMRI signals were directly decoded to estimate the feature representations in both visual and semantic spaces, for direct visual reconstruction and semantic categorization, respectively. These results corroborate, generalize, and extend previous findings, and highlight the value of using deep learning, as an all-in-one model of the visual cortex, to understand and decode natural vision.</t>
  </si>
  <si>
    <t>Cereb Cortex</t>
  </si>
  <si>
    <t>Hyperspectral imaging for accurate determination of rice variety using a deep learning network with multi-feature fusion</t>
  </si>
  <si>
    <t>The phenomena of rice adulteration and shoddy rice arise continuously in high-quality rice and reduce the interests of producers, consumers and traders. Hyperspectral imaging (HSI) was conducted to determine rice variety using a deep learning network with multiple features, namely, spectroscopy, texture and morphology. HSI images of 10 representative high-quality rice varieties in China were measured. Spectroscopy and morphology were extracted from HSI images and binary images in region of interest, respectively. And texture was obtained from the monochromatic images of characteristic wavelengths which were highly correlated with rice varieties. A deep learning network, namely principal component analysis network (PCANet), was adopted with these features to develop classification models for determining rice variety, and machine learning methods as K-nearest neighbour and random forest were used to compare with PCANet. Meanwhile, multivariate scatter correction, standard normal variate, Savitzky-Golay smoothing and Savitzky-Golay's first-order were applied to eliminate spectral interference, and principal component analysis (PCA) was performed to obtain the main information of high-dimensional features. Multi-feature fusion improved recognition accuracy, and PCANet demonstrated considerable advantage in classification performance. The best result was achieved by PCANet with PCA-processed spectroscopic and texture features with correct classification rates of 98.66% and 98.57% for the training and prediction sets, respectively. In summary, the proposed method provides an accurate identification of rice variety and can be easily extended to the classification, attribution and grading of other agricultural products.</t>
  </si>
  <si>
    <t>Combining deep learning and coherent anti-Stokes Raman scattering imaging for automated differential diagnosis of lung cancer</t>
  </si>
  <si>
    <t>Lung cancer is the most prevalent type of cancer and the leading cause of cancer-related deaths worldwide. Coherent anti-Stokes Raman scattering (CARS) is capable of providing cellular-level images and resolving pathologically related features on human lung tissues. However, conventional means of analyzing CARS images requires extensive image processing, feature engineering, and human intervention. This study demonstrates the feasibility of applying a deep learning algorithm to automatically differentiate normal and cancerous lung tissue images acquired by CARS. We leverage the features learned by pretrained deep neural networks and retrain the model using CARS images as the input. We achieve 89.2% accuracy in classifying normal, small-cell carcinoma, adenocarcinoma, and squamous cell carcinoma lung images. This computational method is a step toward on-the-spot diagnosis of lung cancer and can be further strengthened by the efforts aimed at miniaturizing the CARS technique for fiber-based microendoscopic imaging.</t>
  </si>
  <si>
    <t>S. Weng, X. Xu, J. Li and S. T. C. Wong</t>
  </si>
  <si>
    <t>Analyzing the effects of free water modeling by deep learning on diffusion MRI structural connectivity estimates in glioma patients</t>
  </si>
  <si>
    <t>Diffusion-weighted MRI makes it possible to quantify subvoxel brain microstructure and to reconstruct white matter fiber trajectories with which structural connectomes can be created. However, at the border between cerebrospinal fluid and white matter, or in the presence of edema, the obtained MRI signal originates from both the cerebrospinal fluid as well as from the white matter partial volume. Diffusion tractography can be strongly influenced by these free water partial volume effects. Thus, including a free water model can improve diffusion tractography in glioma patients. Here, we analyze how including a free water model influences structural connectivity estimates in healthy subjects as well as in brain tumor patients. During a clinical study, we acquired diffusion MRI data of 35 glioma patients and 28 age- and sex-matched controls, on which we applied an open-source deep learning based free water model. We performed deterministic as well as probabilistic tractography before and after free water modeling, and utilized the tractograms to create structural connectomes. Finally, we performed a quantitative analysis of the connectivity matrices. In our experiments, the number of tracked diffusion streamlines increased by 13% for high grade glioma patients, 9.25% for low grade glioma, and 7.65% for healthy controls. Intra-subject similarity of hemispheres increased significantly for the patient as well as for the control group, with larger effects observed in the patient group. Furthermore, inter-subject differences in connectivity between brain tumor patients and healthy subjects were reduced when including free water modeling. Our results indicate that free water modeling increases the similarity of connectivity matrices in brain tumor patients, while the observed effects are less pronounced in healthy subjects. As the similarity between brain tumor patients and healthy controls also increased, connectivity changes in brain tumor patients may have been overestimated in studies that did not perform free water modeling.</t>
  </si>
  <si>
    <t>Automatic classification of dopamine transporter SPECT: deep convolutional neural networks can be trained to be robust with respect to variable image characteristics</t>
  </si>
  <si>
    <t>PURPOSE: This study investigated the potential of deep convolutional neural networks (CNN) for automatic classification of FP-CIT SPECT in multi-site or multi-camera settings with variable image characteristics. METHODS: The study included FP-CIT SPECT of 645 subjects from the Parkinson's Progression Marker Initiative (PPMI), 207 healthy controls, and 438 Parkinson's disease patients. SPECT images were smoothed with an isotropic 18-mm Gaussian kernel resulting in 3 different PPMI settings: (i) original (unsmoothed), (ii) smoothed, and (iii) mixed setting comprising all original and all smoothed images. A deep CNN with 2,872,642 parameters was trained, validated, and tested separately for each setting using 10 random splits with 60/20/20% allocation to training/validation/test sample. The putaminal specific binding ratio (SBR) was computed using a standard anatomical ROI predefined in MNI space (AAL atlas) or using the hottest voxels (HV) analysis. Both SBR measures were trained (ROC analysis, Youden criterion) using the same random splits as for the CNN. CNN and SBR trained in the mixed PPMI setting were also tested in an independent sample from clinical routine patient care (149 with non-neurodegenerative and 149 with neurodegenerative parkinsonian syndrome). RESULTS: Both SBR measures performed worse in the mixed PPMI setting compared to the pure PPMI settings (e.g., AAL-SBR accuracy = 0.900 ± 0.029 in the mixed setting versus 0.957 ± 0.017 and 0.952 ± 0.015 in original and smoothed setting, both p &lt; 0.01). In contrast, the CNN showed similar accuracy in all PPMI settings (0.967 ± 0.018, 0.972 ± 0.014, and 0.955 ± 0.009 in mixed, original, and smoothed setting). Similar results were obtained in the clinical sample. After training in the mixed PPMI setting, only the CNN provided acceptable performance in the clinical sample. CONCLUSIONS: These findings provide proof of concept that a deep CNN can be trained to be robust with respect to variable site-, camera-, or scan-specific image characteristics without a large loss of diagnostic accuracy compared with mono-site/mono-camera settings. We hypothesize that a single CNN can be used to support the interpretation of FP-CIT SPECT at many different sites using different acquisition hardware and/or reconstruction software with only minor harmonization of acquisition and reconstruction protocols.</t>
  </si>
  <si>
    <t>Automated Abdominal Segmentation of CT Scans for Body Composition Analysis Using Deep Learning</t>
  </si>
  <si>
    <t>Purpose To develop and evaluate a fully automated algorithm for segmenting the abdomen from CT to quantify body composition. Materials and Methods For this retrospective study, a convolutional neural network based on the U-Net architecture was trained to perform abdominal segmentation on a data set of 2430 two-dimensional CT examinations and was tested on 270 CT examinations. It was further tested on a separate data set of 2369 patients with hepatocellular carcinoma (HCC). CT examinations were performed between 1997 and 2015. The mean age of patients was 67 years; for male patients, it was 67 years (range, 29-94 years), and for female patients, it was 66 years (range, 31-97 years). Differences in segmentation performance were assessed by using two-way analysis of variance with Bonferroni correction. Results Compared with reference segmentation, the model for this study achieved Dice scores (mean ± standard deviation) of 0.98 ± 0.03, 0.96 ± 0.02, and 0.97 ± 0.01 in the test set, and 0.94 ± 0.05, 0.92 ± 0.04, and 0.98 ± 0.02 in the HCC data set, for the subcutaneous, muscle, and visceral adipose tissue compartments, respectively. Performance met or exceeded that of expert manual segmentation. Conclusion Model performance met or exceeded the accuracy of expert manual segmentation of CT examinations for both the test data set and the hepatocellular carcinoma data set. The model generalized well to multiple levels of the abdomen and may be capable of fully automated quantification of body composition metrics in three-dimensional CT examinations. © RSNA, 2018 Online supplemental material is available for this article. See also the editorial by Chang in this issue.</t>
  </si>
  <si>
    <t>A. D. Weston, P. Korfiatis, T. L. Kline, K. A. Philbrick, P. Kostandy, T. Sakinis, M. Sugimoto, N. Takahashi and B. J. Erickson</t>
  </si>
  <si>
    <t>Deep learning in deep time</t>
  </si>
  <si>
    <t>A. E. White</t>
  </si>
  <si>
    <t>DirectPET: full-size neural network PET reconstruction from sinogram data</t>
  </si>
  <si>
    <t>Purpose: Neural network image reconstruction directly from measurement data is a relatively new field of research, which until now has been limited to producing small single-slice images (e.g., 1 × 128 × 128 ). We proposed a more efficient network design for positron emission tomography called DirectPET, which is capable of reconstructing multislice image volumes (i.e., 16 × 400 × 400 ) from sinograms. Approach: Large-scale direct neural network reconstruction is accomplished by addressing the associated memory space challenge through the introduction of a specially designed Radon inversion layer. Using patient data, we compare the proposed method to the benchmark ordered subsets expectation maximization (OSEM) algorithm using signal-to-noise ratio, bias, mean absolute error, and structural similarity measures. In addition, line profiles and full-width half-maximum measurements are provided for a sample of lesions. Results: DirectPET is shown capable of producing images that are quantitatively and qualitatively similar to the OSEM target images in a fraction of the time. We also report on an experiment where DirectPET is trained to map low-count raw data to normal count target images, demonstrating the method's ability to maintain image quality under a low-dose scenario. Conclusion: The ability of DirectPET to quickly reconstruct high-quality, multislice image volumes suggests potential clinical viability of the method. However, design parameters and performance boundaries need to be fully established before adoption can be considered.</t>
  </si>
  <si>
    <t>Evaluation of an AI-Based Detection Software for Acute Findings in Abdominal Computed Tomography Scans: Toward an Automated Work List Prioritization of Routine CT Examinations</t>
  </si>
  <si>
    <t>OBJECTIVE: The aim of this study was to test the diagnostic performance of a deep learning-based triage system for the detection of acute findings in abdominal computed tomography (CT) examinations. MATERIALS AND METHODS: Using a RIS/PACS (Radiology Information System/Picture Archiving and Communication System) search engine, we obtained 100 consecutive abdominal CTs with at least one of the following findings: free-gas, free-fluid, or fat-stranding and 100 control cases with absence of these findings. The CT data were analyzed using a convolutional neural network algorithm previously trained for detection of these findings on an independent sample. The validation of the results was performed on a Web-based feedback system by a radiologist with 1 year of experience in abdominal imaging without prior knowledge of image findings through both visual confirmation and comparison with the clinically approved, written report as the standard of reference. All cases were included in the final analysis, except those in which the whole dataset could not be processed by the detection software. Measures of diagnostic accuracy were then calculated. RESULTS: A total of 194 cases were included in the analysis, 6 excluded because of technical problems during the extraction of the DICOM datasets from the local PACS. Overall, the algorithm achieved a 93% sensitivity (91/98, 7 false-negative) and 97% specificity (93/96, 3 false-positive) in the detection of acute abdominal findings. Intra-abdominal free gas was detected with a 92% sensitivity (54/59) and 93% specificity (39/42), free fluid with a 85% sensitivity (68/80) and 95% specificity (20/21), and fat stranding with a 81% sensitivity (42/50) and 98% specificity (48/49). False-positive results were due to streak artifacts, partial volume effects, and a misidentification of a diverticulum (each n = 1). CONCLUSIONS: The algorithm's autonomous detection of acute pathological abdominal findings demonstrated a high diagnostic performance, enabling guidance of the radiology workflow toward prioritization of abdominal CT examinations with acute conditions.</t>
  </si>
  <si>
    <t>D. J. Winkel, T. Heye, T. J. Weikert, D. T. Boll and B. Stieltjes</t>
  </si>
  <si>
    <t>Validation of a fully automated liver segmentation algorithm using multi-scale deep reinforcement learning and comparison versus manual segmentation</t>
  </si>
  <si>
    <t>PURPOSE: To evaluate the performance of an artificial intelligence (AI) based software solution tested on liver volumetric analyses and to compare the results to the manual contour segmentation. MATERIALS AND METHODS: We retrospectively obtained 462 multiphasic CT datasets with six series for each patient: three different contrast phases and two slice thickness reconstructions (1.5/5 mm), totaling 2772 series. AI-based liver volumes were determined using multi-scale deep-reinforcement learning for 3D body markers detection and 3D structure segmentation. The algorithm was trained for liver volumetry on approximately 5000 datasets. We computed the absolute error of each automatically- and manually-derived volume relative to the mean manual volume. The mean processing time/dataset and method was recorded. Variations of liver volumes were compared using univariate generalized linear model analyses. A subgroup of 60 datasets was manually segmented by three radiologists, with a further subgroup of 20 segmented three times by each, to compare the automatically-derived results with the ground-truth. RESULTS: The mean absolute error of the automatically-derived measurement was 44.3 mL (representing 2.37 % of the averaged liver volumes). The liver volume was neither dependent on the contrast phase (p = 0.697), nor on the slice thickness (p = 0.446). The mean processing time/dataset with the algorithm was 9.94 s (sec) compared to manual segmentation with 219.34 s. We found an excellent agreement between both approaches with an ICC value of 0.996. CONCLUSION: The results of our study demonstrate that AI-powered fully automated liver volumetric analyses can be done with excellent accuracy, reproducibility, robustness, speed and agreement with the manual segmentation.</t>
  </si>
  <si>
    <t>Pulmonary nodule detection in CT scans with equivariant CNNs</t>
  </si>
  <si>
    <t>Convolutional Neural Networks (CNNs) require a large amount of annotated data to learn from, which is often difficult to obtain for medical imaging problems. In this work we show that the sample complexity of CNNs can be significantly improved by using 3D roto-translation group convolutions instead of standard translational convolutions. 3D CNNs with group convolutions (3D G-CNNs) were applied to the problem of false positive reduction for pulmonary nodule detection in CT scans, and proved to be substantially more effective in terms of accuracy, sensitivity to malignant nodules, and speed of convergence compared to a strong and comparable baseline architecture with regular convolutions, extensive data augmentation and a similar number of parameters. For every dataset size tested, the G-CNN achieved a FROC score close to the CNN trained on ten times more data.</t>
  </si>
  <si>
    <t>M. Winkels and T. S. Cohen</t>
  </si>
  <si>
    <t>Potential for dose reduction in CT emphysema densitometry with post-scan noise reduction: a phantom study</t>
  </si>
  <si>
    <t>OBJECTIVE: The aim of this phantom study was to investigate the effect of scan parameters and noise suppression techniques on the minimum radiation dose for acceptable image quality for CT emphysema densitometry. METHODS: The COPDGene phantom was scanned on a third generation dual-source CT system with 16 scan setups (CTDI(vol) 0.035-10.680 mGy). Images were reconstructed at 1.0/0.7 mm slice thickness/increment, with three kernels (one soft, two hard), filtered backprojection and three grades of third-generation iterative reconstruction (IR). Additionally, deep learning-based noise suppression software was applied. Main outcomes: overlap in area of the normalized histograms of CT density for the emphysema insert and lung material, and the radiation dose required for a maximum of 4.3% overlap (defined as acceptable image quality). RESULTS: In total, 384 scan reconstructions were analyzed. Decreasing radiation dose resulted in an exponential increase of the overlap in normalized histograms of CT density. The overlap was 11-91% for the lowest dose setting (CTDI(vol) 0.035mGy). The soft kernel reconstruction showed less histogram overlap than hard filter kernels. IR and noise suppression also reduced overlap. Using intermediate grade IR plus noise suppression software allowed for 85% radiation dose reduction while maintaining acceptable image quality. CONCLUSION: CT density histogram overlap can quantify the degree of discernibility of emphysema and healthy lung tissue. Noise suppression software, IR, and soft reconstruction kernels substantially decrease the dose required for acceptable image quality. ADVANCES IN KNOWLEDGE: Noise suppression software, IR, and soft reconstruction kernels allow radiation dose reduction by 85% while still allowing differentiation between emphysema and normal lung tissue.</t>
  </si>
  <si>
    <t>H. J. Wisselink, G. J. Pelgrim, M. Rook, M. van den Berge, K. Slump, Y. Nagaraj, P. van Ooijen, M. Oudkerk and R. Vliegenthart</t>
  </si>
  <si>
    <t>Automatic Quality Assessment of Reflectance Confocal Microscopy Mosaics using Attention-Based Deep Neural Network</t>
  </si>
  <si>
    <t>Skin cancers are the most common cancers with an increased incidence, and a valid, early diagnosis may significantly reduce its morbidity and mortality. Reflectance confocal microscopy (RCM) is a relatively new, non-invasive imaging technique that allows screening lesions at a cellular resolution. However, one of the main disadvantages of the RCM is frequently occurring artifacts which makes the diagnostic process more time consuming and hard to automate using e.g. end-to-end deep learning approach. A tool to automatically determine the RCM mosaic quality could be beneficial for both the lesion classification and informing the user (dermatologist) about its quality in real-time, during the examination procedure. In this work, we propose an attention-based deep network to automatically determine if a given RCM mosaic has an acceptable quality. We achieved accuracy above 87% on the test set which may considerably improve further classification results and the RCM-based examination.</t>
  </si>
  <si>
    <t>GRUU-Net: Integrated convolutional and gated recurrent neural network for cell segmentation</t>
  </si>
  <si>
    <t>Cell segmentation in microscopy images is a common and challenging task. In recent years, deep neural networks achieved remarkable improvements in the field of computer vision. The dominant paradigm in segmentation is using convolutional neural networks, less common are recurrent neural networks. In this work, we propose a new deep learning method for cell segmentation, which integrates convolutional neural networks and gated recurrent neural networks over multiple image scales to exploit the strength of both types of networks. To increase the robustness of the training and improve segmentation, we introduce a novel focal loss function. We also present a distributed scheme for optimized training of the integrated neural network. We applied our proposed method to challenging data of glioblastoma cell nuclei and performed a quantitative comparison with state-of-the-art methods. Insights on how our extensions affect training and inference are also provided. Moreover, we benchmarked our method using a wide spectrum of all 22 real microscopy datasets of the Cell Tracking Challenge.</t>
  </si>
  <si>
    <t>Coronary artery centerline extraction in cardiac CT angiography using a CNN-based orientation classifier</t>
  </si>
  <si>
    <t>Coronary artery centerline extraction in cardiac CT angiography (CCTA) images is a prerequisite for evaluation of stenoses and atherosclerotic plaque. In this work, we propose an algorithm that extracts coronary artery centerlines in CCTA using a convolutional neural network (CNN). In the proposed method, a 3D dilated CNN is trained to predict the most likely direction and radius of an artery at any given point in a CCTA image based on a local image patch. Starting from a single seed point placed manually or automatically anywhere in a coronary artery, a tracker follows the vessel centerline in two directions using the predictions of the CNN. Tracking is terminated when no direction can be identified with high certainty. The CNN is trained using manually annotated centerlines in training images. No image preprocessing is required, so that the process is guided solely by the local image values around the tracker's location. The CNN was trained using a training set consisting of 8 CCTA images with a total of 32 manually annotated centerlines provided in the MICCAI 2008 Coronary Artery Tracking Challenge (CAT08). Evaluation was performed within the CAT08 challenge using a test set consisting of 24 CCTA test images in which 96 centerlines were extracted. The extracted centerlines had an average overlap of 93.7% with manually annotated reference centerlines. Extracted centerline points were highly accurate, with an average distance of 0.21 mm to reference centerline points. Based on these results the method ranks third among 25 publicly evaluated methods in CAT08. In a second test set consisting of 50 CCTA scans acquired at our institution (UMCU), an expert placed 5448 markers in the coronary arteries, along with radius measurements. Each marker was used as a seed point to extract a single centerline, which was compared to the other markers placed by the expert. This showed strong correspondence between extracted centerlines and manually placed markers. In a third test set containing 36 CCTA scans from the MICCAI 2014 Challenge on Automatic Coronary Calcium Scoring (orCaScore), fully automatic seeding and centerline extraction was evaluated using a segment-wise analysis. This showed that the algorithm is able to fully-automatically extract on average 92% of clinically relevant coronary artery segments. Finally, the limits of agreement between reference and automatic artery radius measurements were found to be below the size of one voxel in both the CAT08 dataset and the UMCU dataset. Extraction of a centerline based on a single seed point required on average 0.4 ± 0.1 s and fully automatic coronary tree extraction required around 20 s. The proposed method is able to accurately and efficiently determine the direction and radius of coronary arteries based on information derived directly from the image data. The method can be trained with limited training data, and once trained allows fast automatic or interactive extraction of coronary artery trees from CCTA images.</t>
  </si>
  <si>
    <t>J. M. Wolterink, R. W. van Hamersvelt, M. A. Viergever, T. Leiner and I. Išgum</t>
  </si>
  <si>
    <t>Spinal Stenosis Grading in Magnetic Resonance Imaging Using Deep Convolutional Neural Networks</t>
  </si>
  <si>
    <t>STUDY DESIGN: Retrospective magnetic resonance imaging grading with comparison between experts and deep convolutional neural networks (CNNs). OBJECTIVE: This study aims to verify the feasibility of a computer-assisted spine stenosis grading system by comparing the diagnostic agreement between two experts and the agreement between the experts and trained artificial CNN classifiers. SUMMARY OF BACKGROUND DATA: Spinal stenosis grading is important; however, it is tedious job to check the MR images slide by slide to classify patient grades often having different opinions regarding the final diagnosis. METHODS: For 542 L4-5 axial MR images, two experts independently localized the center position of the spine canal and graded the status. Two CNN classifiers each trained with the grading label made by the two experts were validated using 10-fold cross-validation. Each classifier consisted of a CNN detection model responsible for the localization of patches near the canal and a classification CNN model to predict the spinal stenosis status in the localized patches. Faster R-CNN was used for the detection model whereas VGG network was used for the classification model. A comparison in grading agreement was carried out between the two experts as well as that of the experts and the prediction results generated by the CNN models. RESULTS: Grading agreement between the experts was 77.5% and 75% in terms of accuracy and F1 scores. The agreement between the first expert and the model trained with the labels of the first expert was 83% and 75.4%, respectively. The agreement between the second expert and the model trained with the labels of the second expert was 77.9% and 74.9%. The differences between the two experts were significant, whereas the differences between each expert and the trained models were not significant. CONCLUSION: We indeed confirmed that automatic diagnosis using deep learning may be feasible for spinal stenosis grading. LEVEL OF EVIDENCE: 4.</t>
  </si>
  <si>
    <t>Building medical image classifiers with very limited data using segmentation networks</t>
  </si>
  <si>
    <t>Deep learning has shown promising results in medical image analysis, however, the lack of very large annotated datasets confines its full potential. Although transfer learning with ImageNet pre-trained classification models can alleviate the problem, constrained image sizes and model complexities can lead to unnecessary increase in computational cost and decrease in performance. As many common morphological features are usually shared by different classification tasks of an organ, it is greatly beneficial if we can extract such features to improve classification with limited samples. Therefore, inspired by the idea of curriculum learning, we propose a strategy for building medical image classifiers using features from segmentation networks. By using a segmentation network pre-trained on similar data as the classification task, the machine can first learn the simpler shape and structural concepts before tackling the actual classification problem which usually involves more complicated concepts. Using our proposed framework on a 3D three-class brain tumor type classification problem, we achieved 82% accuracy on 191 testing samples with 91 training samples. When applying to a 2D nine-class cardiac semantic level classification problem, we achieved 86% accuracy on 263 testing samples with 108 training samples. Comparisons with ImageNet pre-trained classifiers and classifiers trained from scratch are presented.</t>
  </si>
  <si>
    <t>K. C. L. Wong, T. Syeda-Mahmood and M. Moradi</t>
  </si>
  <si>
    <t>The ability to differentiate post-cancer from healthy tongue muscle coordination patterns is necessary for the advancement of speech motor control theories and for the development of therapeutic and rehabilitative strategies. A deep learning approach is presented to classify two groups using muscle coordination patterns from magnetic resonance imaging (MRI). The proposed method uses tagged-MRI to track the tongue's internal tissue points and atlas-driven non-negative matrix factorization to reduce the dimensionality of the deformation fields. A convolutional neural network is applied to the classification task yielding an accuracy of 96.90%, offering the potential to the development of therapeutic or rehabilitative strategies in speech-related disorders.</t>
  </si>
  <si>
    <t>Severity and Consolidation Quantification of COVID-19 From CT Images Using Deep Learning Based on Hybrid Weak Labels</t>
  </si>
  <si>
    <t>Early and accurate diagnosis of Coronavirus disease (COVID-19) is essential for patient isolation and contact tracing so that the spread of infection can be limited. Computed tomography (CT) can provide important information in COVID-19, especially for patients with moderate to severe disease as well as those with worsening cardiopulmonary status. As an automatic tool, deep learning methods can be utilized to perform semantic segmentation of affected lung regions, which is important to establish disease severity and prognosis prediction. Both the extent and type of pulmonary opacities help assess disease severity. However, manually pixel-level multi-class labelling is time-consuming, subjective, and non-quantitative. In this article, we proposed a hybrid weak label-based deep learning method that utilize both the manually annotated pulmonary opacities from COVID-19 pneumonia and the patient-level disease-type information available from the clinical report. A UNet was firstly trained with semantic labels to segment the total infected region. It was used to initialize another UNet, which was trained to segment the consolidations with patient-level information using the Expectation-Maximization (EM) algorithm. To demonstrate the performance of the proposed method, multi-institutional CT datasets from Iran, Italy, South Korea, and the United States were utilized. Results show that our proposed method can predict the infected regions as well as the consolidation regions with good correlation to human annotation.</t>
  </si>
  <si>
    <t>Computationally efficient deep neural network for computed tomography image reconstruction</t>
  </si>
  <si>
    <t>PURPOSE: Deep neural network-based image reconstruction has demonstrated promising performance in medical imaging for undersampled and low-dose scenarios. However, it requires large amount of memory and extensive time for the training. It is especially challenging to train the reconstruction networks for three-dimensional computed tomography (CT) because of the high resolution of CT images. The purpose of this work is to reduce the memory and time consumption of the training of the reconstruction networks for CT to make it practical for current hardware, while maintaining the quality of the reconstructed images. METHODS: We unrolled the proximal gradient descent algorithm for iterative image reconstruction to finite iterations and replaced the terms related to the penalty function with trainable convolutional neural networks (CNN). The network was trained greedily iteration by iteration in the image domain on patches, which requires reasonable amount of memory and time on mainstream graphics processing unit (GPU). To overcome the local-minimum problem caused by greedy learning, we used deep UNet as the CNN and incorporated separable quadratic surrogate with ordered subsets for data fidelity, so that the solution could escape from easy local minimums and achieve better image quality. RESULTS: The proposed method achieved comparable image quality with state-of-the-art neural network for CT image reconstruction on two-dimensional (2D) sparse-view and limited-angle problems on the low-dose CT challenge dataset. The difference in root-mean-square-error (RMSE) and structural similarity index (SSIM) was within [-0.23,0.47] HU and [0,0.001], respectively, with 95% confidence level. For three-dimensional (3D) image reconstruction with ordinary-size CT volume, the proposed method only needed 2 GB graphics processing unit (GPU) memory and 0.45 s per training iteration as minimum requirement, whereas existing methods may require 417 GB and 31 min. The proposed method achieved improved performance compared to total variation- and dictionary learning-based iterative reconstruction for both 2D and 3D problems. CONCLUSIONS: We proposed a training-time computationally efficient neural network for CT image reconstruction. The proposed method achieved comparable image quality with state-of-the-art neural network for CT reconstruction, with significantly reduced memory and time requirement during training. The proposed method is applicable to 3D image reconstruction problems such as cone-beam CT and tomosynthesis on mainstream GPUs.</t>
  </si>
  <si>
    <t>Automated anatomical labeling of coronary arteries via bidirectional tree LSTMs</t>
  </si>
  <si>
    <t>PURPOSE: Automated anatomical labeling facilitates the diagnostic process for physicians and radiologists. One of the challenges in automated anatomical labeling problems is the robustness to handle the large individual variability inherited in human anatomy. A novel deep neural network framework, referred to Tree Labeling Network (TreeLab-Net), is proposed to resolve this problem in this work. METHODS: A multi-layer perceptron (MLP) encoder network and a bidirectional tree-structural long short-term memory (Bi-TreeLSTM) are combined to construct the TreeLab-Net. Vessel spatial locations and directions are selected as features, where a spherical coordinate transform is utilized to normalize vessel spatial variations. The dataset includes 436 coronary computed tomography angiography images. Tenfold cross-validation is performed for evaluation. RESULTS: The precision-recall curve of TreeLab-Net shows that the four main branch classes, LM, LAD, LCX and RCA, have the area under the curve (AUC) higher than 97%. Other major side branch classes, D, OM, and R-PLB, also have AUC higher than 90%. Comparing with four other methods (i.e., AdaBoost, MLP, Up-to-Down and Down-to-Up TreeLSTM), the TreeLab-Net achieves higher F1 scores with less topological errors. CONCLUSION: The TreeLab-Net is able to capture the characteristics of tree structures by learning the spatial and topological dependencies of blood vessels effectively. The results demonstrate that TreeLab-Net is able to yield competitive performances on a large dataset with great variance among subjects.</t>
  </si>
  <si>
    <t>D. Wu, X. Wang, J. Bai, X. Xu, B. Ouyang, Y. Li, H. Zhang, Q. Song, K. Cao and Y. Yin</t>
  </si>
  <si>
    <t>Deep Learning Approach for Assessment of Bladder Cancer Treatment Response</t>
  </si>
  <si>
    <t>We compared the performance of different Deep learning-convolutional neural network (DL-CNN) models for bladder cancer treatment response assessment based on transfer learning by freezing different DL-CNN layers and varying the DL-CNN structure. Pre- and posttreatment computed tomography scans of 123 patients (cancers, 129; pre- and posttreatment cancer pairs, 158) undergoing chemotherapy were collected. After chemotherapy 33% of patients had T0 stage cancer (complete response). Regions of interest in pre- and posttreatment scans were extracted from the segmented lesions and combined into hybrid pre -post image pairs (h-ROIs). Training (pairs, 94; h-ROIs, 6209), validation (10 pairs) and test sets (54 pairs) were obtained. The DL-CNN consisted of 2 convolution (C1-C2), 2 locally connected (L3-L4), and 1 fully connected layers. The DL-CNN was trained with h-ROIs to classify cancers as fully responding (stage T0) or not fully responding to chemotherapy. Two radiologists provided lesion likelihood of being stage T0 posttreatment. The test area under the ROC curve (AUC) was 0.73 for T0 prediction by the base DL-CNN structure with randomly initialized weights. The base DL-CNN structure with pretrained weights and transfer learning (no frozen layers) achieved test AUC of 0.79. The test AUCs for 3 modified DL-CNN structures (different C1-C2 max pooling filter sizes, strides, and padding, with transfer learning) were 0.72, 0.86, and 0.69. For the base DL-CNN with (C1) frozen, (C1-C2) frozen, and (C1-C2-L3) frozen, the test AUCs were 0.81, 0.78, and 0.71, respectively. The radiologists' AUCs were 0.76 and 0.77. DL-CNN performed better with pretrained than randomly initialized weights.</t>
  </si>
  <si>
    <t>Unsupervised deep feature learning for deformable registration of MR brain images</t>
  </si>
  <si>
    <t>Establishing accurate anatomical correspondences is critical for medical image registration. Although many hand-engineered features have been proposed for correspondence detection in various registration applications, no features are general enough to work well for all image data. Although many learning-based methods have been developed to help selection of best features for guiding correspondence detection across subjects with large anatomical variations, they are often limited by requiring the known correspondences (often presumably estimated by certain registration methods) as the ground truth for training. To address this limitation, we propose using an unsupervised deep learning approach to directly learn the basis filters that can effectively represent all observed image patches. Then, the coefficients by these learnt basis filters in representing the particular image patch can be regarded as the morphological signature for correspondence detection during image registration. Specifically, a stacked two-layer convolutional network is constructed to seek for the hierarchical representations for each image patch, where the high-level features are inferred from the responses of the low-level network. By replacing the hand-engineered features with our learnt data-adaptive features for image registration, we achieve promising registration results, which demonstrates that a general approach can be built to improve image registration by using data-adaptive features through unsupervised deep learning.</t>
  </si>
  <si>
    <t>G. Wu, M. Kim, Q. Wang, Y. Gao, S. Liao and D. Shen</t>
  </si>
  <si>
    <t>Scalable High-Performance Image Registration Framework by Unsupervised Deep Feature Representations Learning</t>
  </si>
  <si>
    <t>Feature selection is a critical step in deformable image registration. In particular, selecting the most discriminative features that accurately and concisely describe complex morphological patterns in image patches improves correspondence detection, which in turn improves image registration accuracy. Furthermore, since more and more imaging modalities are being invented to better identify morphological changes in medical imaging data, the development of deformable image registration method that scales well to new image modalities or new image applications with little to no human intervention would have a significant impact on the medical image analysis community. To address these concerns, a learning-based image registration framework is proposed that uses deep learning to discover compact and highly discriminative features upon observed imaging data. Specifically, the proposed feature selection method uses a convolutional stacked autoencoder to identify intrinsic deep feature representations in image patches. Since deep learning is an unsupervised learning method, no ground truth label knowledge is required. This makes the proposed feature selection method more flexible to new imaging modalities since feature representations can be directly learned from the observed imaging data in a very short amount of time. Using the LONI and ADNI imaging datasets, image registration performance was compared to two existing state-of-the-art deformable image registration methods that use handcrafted features. To demonstrate the scalability of the proposed image registration framework, image registration experiments were conducted on 7.0-T brain MR images. In all experiments, the results showed that the new image registration framework consistently demonstrated more accurate registration results when compared to state of the art.</t>
  </si>
  <si>
    <t>G. Wu, M. Kim, Q. Wang, B. C. Munsell and D. Shen</t>
  </si>
  <si>
    <t>Deep morphology aided diagnosis network for segmentation of carotid artery vessel wall and diagnosis of carotid atherosclerosis on black-blood vessel wall MRI</t>
  </si>
  <si>
    <t>PURPOSE: Early detection of carotid atherosclerosis on the vessel wall (VW) magnetic resonance imaging (MRI) (VW-MRI) images can prevent the progression of cardiovascular disease. However, the manual inspection process of the VW-MRI images is cumbersome and has low reproducibility. Therefore in this paper, by using the convolutional neural networks (CNNs), we develop a deep morphology aided diagnosis (DeepMAD) network for automated segmentation of the VW of carotid artery and for automated diagnosis of the carotid atherosclerosis with the black-blood (BB) VW-MRI (i.e., the T1-weighted MRI) in a slice-by-slice manner. METHODS: The proposed DeepMAD network consists of a segmentation subnetwork and a diagnosis subnetwork for performing the segmentation and diagnosis tasks on the BB-VW-MRI images, where the manual labeled lumen area, the manual labeled outer wall area and the manual labeled lesion Types based on the modified American Heart Association (AHA) criteria are used as the ground-truth. Specifically, a deep U-shape CNN with a weighted fusion layer is designed as the segmentation subnetwork, where the lumen area and the outer wall area can be simultaneously segmented under the supervision of the triple Dice loss to provide the vessel wall map as morphological information. Then, the image stream from the BB-VWMRI image and the morphology stream from the obtained vessel wall map are extracted from two deep CNNs and combined to obtain the diagnosis results of atherosclerosis in the diagnosis subnetwork. In addition, the triple input set is formed by three carotid regions of interest (ROIs) from three consecutive slices of the MRI sequence and input to the DeepMAD network, where the first and last slices used as additional adjacent slices to provide 2.5D spatial information along the carotid artery centerline for the intermediate slice, which is the target slice for segmentation and diagnosis in the study. RESULTS: Compared to other existing methods, the DeepMAD network can achieve promising segmentation performances (0.9594 Dice for the lumen and 0.9657 Dice for the outer wall) and better diagnosis Accuracy of the carotid atherosclerosis (0.9503 AUC and 0.8916 Accuracy) in the test dataset (including invisible subjects) from same source as the training dataset. In addition, the trained DeepMAD model can be successfully transferred to another test dataset for segmentation and diagnosis tasks with remarkable performance (0.9475 Dice for the lumen and 0.9542 Dice for the outer wall, 0. 9227 AUC and 0.8679 Accuracy for diagnosis). CONCLUSIONS: Even without the intervention of reviewers required for previous works, the proposed DeepMAD network automatically segments the lumen and the outer wall together and diagnoses the carotid atherosclerosis with high performances. The DeepMAD network can be used in clinical trials to help radiologists get rid of tedious reading tasks, such as screening review to separate the normal carotid from the atherosclerotic arteries and outlining the vessel wall contours.</t>
  </si>
  <si>
    <t>Comparison of Chest Radiograph Interpretations by Artificial Intelligence Algorithm vs Radiology Residents</t>
  </si>
  <si>
    <t>IMPORTANCE: Chest radiography is the most common diagnostic imaging examination performed in emergency departments (EDs). Augmenting clinicians with automated preliminary read assistants could help expedite their workflows, improve accuracy, and reduce the cost of care. OBJECTIVE: To assess the performance of artificial intelligence (AI) algorithms in realistic radiology workflows by performing an objective comparative evaluation of the preliminary reads of anteroposterior (AP) frontal chest radiographs performed by an AI algorithm and radiology residents. DESIGN, SETTING, AND PARTICIPANTS: This diagnostic study included a set of 72 findings assembled by clinical experts to constitute a full-fledged preliminary read of AP frontal chest radiographs. A novel deep learning architecture was designed for an AI algorithm to estimate the findings per image. The AI algorithm was trained using a multihospital training data set of 342 126 frontal chest radiographs captured in ED and urgent care settings. The training data were labeled from their associated reports. Image-based F1 score was chosen to optimize the operating point on the receiver operating characteristics (ROC) curve so as to minimize the number of missed findings and overcalls per image read. The performance of the model was compared with that of 5 radiology residents recruited from multiple institutions in the US in an objective study in which a separate data set of 1998 AP frontal chest radiographs was drawn from a hospital source representative of realistic preliminary reads in inpatient and ED settings. A triple consensus with adjudication process was used to derive the ground truth labels for the study data set. The performance of AI algorithm and radiology residents was assessed by comparing their reads with ground truth findings. All studies were conducted through a web-based clinical study application system. The triple consensus data set was collected between February and October 2018. The comparison study was preformed between January and October 2019. Data were analyzed from October to February 2020. After the first round of reviews, further analysis of the data was performed from March to July 2020. MAIN OUTCOMES AND MEASURES: The learning performance of the AI algorithm was judged using the conventional ROC curve and the area under the curve (AUC) during training and field testing on the study data set. For the AI algorithm and radiology residents, the individual finding label performance was measured using the conventional measures of label-based sensitivity, specificity, and positive predictive value (PPV). In addition, the agreement with the ground truth on the assignment of findings to images was measured using the pooled κ statistic. The preliminary read performance was recorded for AI algorithm and radiology residents using new measures of mean image-based sensitivity, specificity, and PPV designed for recording the fraction of misses and overcalls on a per image basis. The 1-sided analysis of variance test was used to compare the means of each group (AI algorithm vs radiology residents) using the F distribution, and the null hypothesis was that the groups would have similar means. RESULTS: The trained AI algorithm achieved a mean AUC across labels of 0.807 (weighted mean AUC, 0.841) after training. On the study data set, which had a different prevalence distribution, the mean AUC achieved was 0.772 (weighted mean AUC, 0.865). The interrater agreement with ground truth finding labels for AI algorithm predictions had pooled κ value of 0.544, and the pooled κ for radiology residents was 0.585. For the preliminary read performance, the analysis of variance test was used to compare the distributions of AI algorithm and radiology residents' mean image-based sensitivity, PPV, and specificity. The mean image-based sensitivity for AI algorithm was 0.716 (95% CI, 0.704-0.729) and for radiology residents was 0.720 (95% CI, 0.709-0.732) (P = .66), while the PPV was 0.730 (95% CI, 0.718-0.742) for the AI algorithm and 0.682 (95% CI, 0.670-0.694) for the radiology residents (P &lt; .001), and specificity was 0.980 (95% CI, 0.980-0.981) for the AI algorithm and 0.973 (95% CI, 0.971-0.974) for the radiology residents (P &lt; .001). CONCLUSIONS AND RELEVANCE: These findings suggest that it is possible to build AI algorithms that reach and exceed the mean level of performance of third-year radiology residents for full-fledged preliminary read of AP frontal chest radiographs. This diagnostic study also found that while the more complex findings would still benefit from expert overreads, the performance of AI algorithms was associated with the amount of data available for training rather than the level of difficulty of interpretation of the finding. Integrating such AI systems in radiology workflows for preliminary interpretations has the potential to expedite existing radiology workflows and address resource scarcity while improving overall accuracy and reducing the cost of care.</t>
  </si>
  <si>
    <t>Big Data Approaches to Phenotyping Acute Ischemic Stroke Using Automated Lesion Segmentation of Multi-Center Magnetic Resonance Imaging Data</t>
  </si>
  <si>
    <t>Background and Purpose- We evaluated deep learning algorithms' segmentation of acute ischemic lesions on heterogeneous multi-center clinical diffusion-weighted magnetic resonance imaging (MRI) data sets and explored the potential role of this tool for phenotyping acute ischemic stroke. Methods- Ischemic stroke data sets from the MRI-GENIE (MRI-Genetics Interface Exploration) repository consisting of 12 international genetic research centers were retrospectively analyzed using an automated deep learning segmentation algorithm consisting of an ensemble of 3-dimensional convolutional neural networks. Three ensembles were trained using data from the following: (1) 267 patients from an independent single-center cohort, (2) 267 patients from MRI-GENIE, and (3) mixture of (1) and (2). The algorithms' performances were compared against manual outlines from a separate 383 patient subset from MRI-GENIE. Univariable and multivariable logistic regression with respect to demographics, stroke subtypes, and vascular risk factors were performed to identify phenotypes associated with large acute diffusion-weighted MRI volumes and greater stroke severity in 2770 MRI-GENIE patients. Stroke topography was investigated. Results- The ensemble consisting of a mixture of MRI-GENIE and single-center convolutional neural networks performed best. Subset analysis comparing automated and manual lesion volumes in 383 patients found excellent correlation (ρ=0.92; P&lt;0.0001). Median (interquartile range) diffusion-weighted MRI lesion volumes from 2770 patients were 3.7 cm(3) (0.9-16.6 cm(3)). Patients with small artery occlusion stroke subtype had smaller lesion volumes ( P&lt;0.0001) and different topography compared with other stroke subtypes. Conclusions- Automated accurate clinical diffusion-weighted MRI lesion segmentation using deep learning algorithms trained with multi-center and diverse data is feasible. Both lesion volume and topography can provide insight into stroke subtypes with sufficient sample size from big heterogeneous multi-center clinical imaging phenotype data sets.</t>
  </si>
  <si>
    <t>Development of a Deep Learning Model to Identify Lymph Node Metastasis on Magnetic Resonance Imaging in Patients With Cervical Cancer</t>
  </si>
  <si>
    <t>IMPORTANCE: Accurate identification of lymph node metastasis preoperatively and noninvasively in patients with cervical cancer can avoid unnecessary surgical intervention and benefit treatment planning. OBJECTIVE: To develop a deep learning model using preoperative magnetic resonance imaging for prediction of lymph node metastasis in cervical cancer. DESIGN, SETTING, AND PARTICIPANTS: This diagnostic study developed an end-to-end deep learning model to identify lymph node metastasis in cervical cancer using magnetic resonance imaging (MRI). A total of 894 patients with stage IB to IIB cervical cancer who underwent radical hysterectomy and pelvic lymphadenectomy were reviewed. All patients underwent radical hysterectomy and pelvic lymphadenectomy, received pelvic MRI within 2 weeks before the operations, had no concurrent cancers, and received no preoperative treatment. To achieve the optimal model, the diagnostic value of 3 MRI sequences was compared, and the outcomes in the intratumoral and peritumoral regions were explored. To mine tumor information from both image and clinicopathologic levels, a hybrid model was built and its prognostic value was assessed by Kaplan-Meier analysis. The deep learning model and hybrid model were developed on a primary cohort consisting of 338 patients (218 patients from Sun Yat-sen University Cancer Center, Guangzhou, China, between January 2011 and December 2017 and 120 patients from Henan Provincial People's Hospital, Zhengzhou, China, between December 2016 and June 2018). The models then were evaluated on an independent validation cohort consisting of 141 patients from Yunnan Cancer Hospital, Kunming, China, between January 2011 and December 2017. MAIN OUTCOMES AND MEASURES: The primary diagnostic outcome was lymph node metastasis status, with the pathologic characteristics diagnosed by lymphadenectomy. The secondary primary clinical outcome was survival. The primary diagnostic outcome was assessed by receiver operating characteristic (area under the curve [AUC]) analysis; the primary clinical outcome was assessed by Kaplan-Meier survival analysis. RESULTS: A total of 479 patients (mean [SD] age, 49.1 [9.7] years) fulfilled the eligibility criteria and were enrolled in the primary (n = 338) and validation (n = 141) cohorts. A total of 71 patients (21.0%) in the primary cohort and 32 patients (22.7%) in the validation cohort had lymph node metastais confirmed by lymphadenectomy. Among the 3 image sequences, the deep learning model that used both intratumoral and peritumoral regions on contrast-enhanced T1-weighted imaging showed the best performance (AUC, 0.844; 95% CI, 0.780-0.907). These results were further improved in a hybrid model that combined tumor image information mined by deep learning model and MRI-reported lymph node status (AUC, 0.933; 95% CI, 0.887-0.979). Moreover, the hybrid model was significantly associated with disease-free survival from cervical cancer (hazard ratio, 4.59; 95% CI, 2.04-10.31; P &lt; .001). CONCLUSIONS AND RELEVANCE: The findings of this study suggest that deep learning can be used as a preoperative noninvasive tool to diagnose lymph node metastasis in cervical cancer.</t>
  </si>
  <si>
    <t>[A fusion network model based on limited training samples for the automatic segmentation of pelvic endangered organs]</t>
  </si>
  <si>
    <t>When applying deep learning to the automatic segmentation of organs at risk in medical images, we combine two network models of Dense Net and V-Net to develop a Dense V-network for automatic segmentation of three-dimensional computed tomography (CT) images, in order to solve the problems of degradation and gradient disappearance of three-dimensional convolutional neural networks optimization as training samples are insufficient. This algorithm is applied to the delineation of pelvic endangered organs and we take three representative evaluation parameters to quantitatively evaluate the segmentation effect. The clinical result showed that the Dice similarity coefficient values of the bladder, small intestine, rectum, femoral head and spinal cord were all above 0.87 (average was 0.9); Jaccard distance of these were within 2.3 (average was 0.18). Except for the small intestine, the Hausdorff distance of other organs were less than 0.9 cm (average was 0.62 cm). The Dense V-Network has been proven to achieve the accurate segmentation of pelvic endangered organs.</t>
  </si>
  <si>
    <t>Deep Learning for Neuroimaging Segmentation with a Novel Data Augmentation Strategy</t>
  </si>
  <si>
    <t>Brain insults such as cerebral ischemia and intracranial hemorrhage are critical stroke conditions with high mortality rates. Currently, medical image analysis for critical stroke conditions is still largely done manually, which is time-consuming and labor-intensive. While deep learning algorithms are increasingly being applied in medical image analysis, the performance of these methods still needs substantial improvement before they can be widely used in the clinical setting. Among other challenges, the lack of sufficient labelled data is one of the key problems that has limited the progress of deep learning methods in this domain. To mitigate this bottleneck, we propose an integrated method that includes a data augmentation framework using a conditional Generative Adversarial Network (cGAN) which is followed by a supervised segmentation with a Convolutional Neural Network (CNN). The adopted cGAN generates meaningful brain images from specially altered lesion masks as a form of data augmentation to supplement the training dataset, while the CNN incorporates depth-wise-convolution based X-blocks as well as Feature Similarity Module (FSM) to ease and aid the training process, resulting in better lesion segmentation. We evaluate the proposed deep learning strategy on the Anatomical Tracings of Lesions After Stroke (ATLAS) dataset and show that this approach outperforms the current state-of-art methods in task of stroke lesion segmentation.</t>
  </si>
  <si>
    <t>Multi-material decomposition of spectral CT images via Fully Convolutional DenseNets</t>
  </si>
  <si>
    <t>BACKGROUND: Spectral computed tomography (CT) has the capability to resolve the energy levels of incident photons, which has the potential to distinguish different material compositions. Although material decomposition methods based on x-ray attenuation characteristics have good performance in dual-energy CT imaging, there are some limitations in terms of image contrast and noise levels. OBJECTIVE: This study focused on multi-material decomposition of spectral CT images based on a deep learning approach. METHODS: To classify and quantify different materials, we proposed a multi-material decomposition method via the improved Fully Convolutional DenseNets (FC-DenseNets). A mouse specimen was first scanned by spectral CT system based on a photon-counting detector with different energy ranges. We then constructed a training set from the reconstructed CT images for deep learning to decompose different materials. RESULTS: Experimental results demonstrated that the proposed multi-material decomposition method could more effectively identify bone, lung and soft tissue than the basis material decomposition based on post-reconstruction space in high noise levels. CONCLUSIONS: The new proposed approach yielded good performance on spectral CT material decomposition, which could establish guidelines for multi-material decomposition approaches based on the deep learning algorithm.</t>
  </si>
  <si>
    <t>Deep learning-based multi-view fusion model for screening 2019 novel coronavirus pneumonia: A multicentre study</t>
  </si>
  <si>
    <t>PURPOSE: To develop a deep learning-based method to assist radiologists to fast and accurately identify patients with COVID-19 by CT images. METHODS: We retrospectively collected chest CT images of 495 patients from three hospitals in China. 495 datasets were randomly divided into 395 cases (80%, 294 of COVID-19, 101 of other pneumonia) of the training set, 50 cases (10%, 37 of COVID-19, 13 of other pneumonia) of the validation set and 50 cases (10%, 37 of COVID-19, 13 of other pneumonia) of the testing set. We trained a multi-view fusion model using deep learning network to screen patients with COVID-19 using CT images with the maximum lung regions in axial, coronal and sagittal views. The performance of the proposed model was evaluated by both the validation and testing sets. RESULTS: The multi-view deep learning fusion model achieved the area under the receiver-operating characteristics curve (AUC) of 0.732, accuracy of 0.700, sensitivity of 0.730 and specificity of 0.615 in validation set. In the testing set, we can achieve AUC, accuracy, sensitivity and specificity of 0.819, 0.760, 0.811 and 0.615 respectively. CONCLUSIONS: Based on deep learning method, the proposed diagnosis model trained on multi-view images of chest CT images showed great potential to improve the efficacy of diagnosis and mitigate the heavy workload of radiologists for the initial screening of COVID-19 pneumonia.</t>
  </si>
  <si>
    <t>Deep Learning Features Improve the Performance of a Radiomics Signature for Predicting KRAS Status in Patients with Colorectal Cancer</t>
  </si>
  <si>
    <t>RATIONALE AND OBJECTIVES: We assess the performance of a model combining a deep convolutional neural network and a hand-crafted radiomics signature for predicting KRAS status in patients with colorectal cancer (CRC). MATERIALS AND METHODS: The primary cohort consisted of 279 patients with clinicopathologically confirmed CRC between April 2011 and April 2015. Portal venous phase computed tomographic images were analyzed to extract traditional hand-crafted radiomics features as well as deep learning features. A Wilcoxon rank sum test, the minimum redundancy maximum relevance algorithm, and multivariable logistic regression analysis were used to select features and build a radiomics signature. A combined model was then developed using multivariable logistic regression analysis. An independent validation cohort of 119 patients from May 2015 to April 2016 was used to confirm the combined model's predictive performance. RESULTS: The C-index of hand-crafted radiomics signature's discriminative ability was 0.719 (95% confidence interval, CI: 0.658-0.776) for the primary cohort and 0.720 (95% CI: 0.625-0.813) for the validation cohort. The C-index of the deep radiomics signature's discriminative ability was 0.754 (95% CI: 0.696-0.813) for the primary cohort and 0.786 (95% CI: 0.702-0.863) for the validation cohort. The combined model, which merged the hand-crafted radiomics features and deep radiomics features, achieve a C-index of 0.815 (95% CI: 0.766-0.868) for the primary cohort and 0.832 (95% CI: 0.762-0.905) for the validation cohort. CONCLUSION: This study presents a model that incorporates the hand-crafted and deep radiomics signature, which can be used for individualized preoperative prediction of KRAS mutations in patients with CRC.</t>
  </si>
  <si>
    <t>MULTI-SCALE SEGMENTATION USING DEEP GRAPH CUTS: ROBUST LUNG TUMOR DELINEATION IN MVCBCT</t>
  </si>
  <si>
    <t>Deep networks have been used in a growing trend in medical image analysis with the remarkable progress in deep learning. In this paper, we formulate the multi-scale segmentation as a Markov Random Field (MRF) energy minimization problem in a deep network (graph), which can be efficiently and exactly solved by computing a minimum s-t cut in an appropriately constructed graph. The performance of the proposed method is assessed on the application of lung tumor segmentation in 38 mega-voltage cone-beam computed tomography datasets.</t>
  </si>
  <si>
    <t>Incorporating prior knowledge via volumetric deep residual network to optimize the reconstruction of sparsely sampled MRI</t>
  </si>
  <si>
    <t>For sparse sampling that accelerates magnetic resonance (MR) image acquisition, non-linear reconstruction algorithms have been developed, which incorporated patient specific a prior information. More generic a prior information could be acquired via deep learning and utilized for image reconstruction. In this study, we developed a volumetric hierarchical deep residual convolutional neural network, referred to as T-Net, to provide a data-driven end-to-end mapping from sparsely sampled MR images to fully sampled MR images, where cartilage MR images were acquired using an Ultra-short TE sequence and retrospectively undersampled using pseudo-random Cartesian and radial acquisition schemes. The network had a hierarchical architecture that promoted the sparsity of feature maps and increased the receptive field, which were valuable for signal synthesis and artifact suppression. Relatively dense local connections and global shortcuts were established to facilitate residual learning and compensate for details lost in hierarchical processing. Additionally, volumetric processing was adopted to fully exploit spatial continuity in three-dimensional space. Data consistency was further enforced. The network was trained with 336 three-dimensional images (each consisting of 32 slices) and tested by 24 images. The incorporation of a priori information acquired via deep learning facilitated high acceleration factors (as high as 8) while maintaining high image fidelity (quantitatively evaluated using the structural similarity index measurement). The proposed T-Net had an improved performance as compared to several state-of-the-art networks.</t>
  </si>
  <si>
    <t>Accelerating quantitative MR imaging with the incorporation of B(1) compensation using deep learning</t>
  </si>
  <si>
    <t>Quantitative magnetic resonance imaging (MRI) attracts attention due to its support to quantitative image analysis and data driven medicine. However, the application of quantitative MRI is severely limited by the long data acquisition time required by repetitive image acquisition and measurement of field map. Inspired by recent development of artificial intelligence, we propose a deep learning strategy to accelerate the acquisition of quantitative MRI, where every quantitative T(1) map is derived from two highly undersampled variable-contrast images with radiofrequency field inhomogeneity automatically compensated. In a multi-step framework, variable-contrast images are first jointly reconstructed from incoherently undersampled images using convolutional neural networks; then T(1) map and B(1) map are predicted from reconstructed images employing deep learning. Thus, the acceleration includes undersampling in every input image, a reduction in the number of variable contrast images, as well as a waiver of B(1) map measurement. The strategy is validated in T(1) mapping of cartilage. Acquired with a consistent imaging protocol, 1224 image sets from 51 subjects are used for the training of the prediction models, and 288 image sets from 12 subjects are used for testing. High degree of acceleration is achieved with image fidelity well maintained. The proposed method can be broadly applied to quantify other tissue properties (e.g. T(2), T(1ρ)) as well.</t>
  </si>
  <si>
    <t>Three-dimensional virtual refocusing of fluorescence microscopy images using deep learning</t>
  </si>
  <si>
    <t>We demonstrate that a deep neural network can be trained to virtually refocus a two-dimensional fluorescence image onto user-defined three-dimensional (3D) surfaces within the sample. Using this method, termed Deep-Z, we imaged the neuronal activity of a Caenorhabditis elegans worm in 3D using a time sequence of fluorescence images acquired at a single focal plane, digitally increasing the depth-of-field by 20-fold without any axial scanning, additional hardware or a trade-off of imaging resolution and speed. Furthermore, we demonstrate that this approach can correct for sample drift, tilt and other aberrations, all digitally performed after the acquisition of a single fluorescence image. This framework also cross-connects different imaging modalities to each other, enabling 3D refocusing of a single wide-field fluorescence image to match confocal microscopy images acquired at different sample planes. Deep-Z has the potential to improve volumetric imaging speed while reducing challenges relating to sample drift, aberration and defocusing that are associated with standard 3D fluorescence microscopy.</t>
  </si>
  <si>
    <t>Intelligent frequency-shifted optofluidic time-stretch quantitative phase imaging</t>
  </si>
  <si>
    <t>Optofluidic time-stretch quantitative phase imaging (OTS-QPI) is a powerful tool as it enables high-throughput (&gt;10,000 cell/s) QPI of single live cells. OTS-QPI is based on decoding temporally stretched spectral interferograms that carry the spatial profiles of cells flowing on a microfluidic chip. However, the utility of OTS-QPI is troubled by difficulties in phase retrieval from the high-frequency region of the temporal interferograms, such as phase-unwrapping errors, high instrumentation cost, and large data volume. To overcome these difficulties, we propose and experimentally demonstrate frequency-shifted OTS-QPI by bringing the phase information to the baseband region. Furthermore, to show its boosted utility, we use it to demonstrate image-based classification of leukemia cells with high accuracy over 96% and evaluation of drug-treated leukemia cells via deep learning.</t>
  </si>
  <si>
    <t>A Hematologist-Level Deep Learning Algorithm (BMSNet) for Assessing the Morphologies of Single Nuclear Balls in Bone Marrow Smears: Algorithm Development</t>
  </si>
  <si>
    <t>BACKGROUND: Bone marrow aspiration and biopsy remain the gold standard for the diagnosis of hematological diseases despite the development of flow cytometry (FCM) and molecular and gene analyses. However, the interpretation of the results is laborious and operator dependent. Furthermore, the obtained results exhibit inter- and intravariations among specialists. Therefore, it is important to develop a more objective and automated analysis system. Several deep learning models have been developed and applied in medical image analysis but not in the field of hematological histology, especially for bone marrow smear applications. OBJECTIVE: The aim of this study was to develop a deep learning model (BMSNet) for assisting hematologists in the interpretation of bone marrow smears for faster diagnosis and disease monitoring. METHODS: From January 1, 2016, to December 31, 2018, 122 bone marrow smears were photographed and divided into a development cohort (N=42), a validation cohort (N=70), and a competition cohort (N=10). The development cohort included 17,319 annotated cells from 291 high-resolution photos. In total, 20 photos were taken for each patient in the validation cohort and the competition cohort. This study included eight annotation categories: erythroid, blasts, myeloid, lymphoid, plasma cells, monocyte, megakaryocyte, and unable to identify. BMSNet is a convolutional neural network with the YOLO v3 architecture, which detects and classifies single cells in a single model. Six visiting staff members participated in a human-machine competition, and the results from the FCM were regarded as the ground truth. RESULTS: In the development cohort, according to 6-fold cross-validation, the average precision of the bounding box prediction without consideration of the classification is 67.4%. After removing the bounding box prediction error, the precision and recall of BMSNet were similar to those of the hematologists in most categories. In detecting more than 5% of blasts in the validation cohort, the area under the curve (AUC) of BMSNet (0.948) was higher than the AUC of the hematologists (0.929) but lower than the AUC of the pathologists (0.985). In detecting more than 20% of blasts, the AUCs of the hematologists (0.981) and pathologists (0.980) were similar and were higher than the AUC of BMSNet (0.942). Further analysis showed that the performance difference could be attributed to the myelodysplastic syndrome cases. In the competition cohort, the mean value of the correlations between BMSNet and FCM was 0.960, and the mean values of the correlations between the visiting staff and FCM ranged between 0.952 and 0.990. CONCLUSIONS: Our deep learning model can assist hematologists in interpreting bone marrow smears by facilitating and accelerating the detection of hematopoietic cells. However, a detailed morphological interpretation still requires trained hematologists.</t>
  </si>
  <si>
    <t>Deep Learning Computed Tomography: Learning Projection-Domain Weights From Image Domain in Limited Angle Problems</t>
  </si>
  <si>
    <t>In this paper, we present a new deep learning framework for 3-D tomographic reconstruction. To this end, we map filtered back-projection-type algorithms to neural networks. However, the back-projection cannot be implemented as a fully connected layer due to its memory requirements. To overcome this problem, we propose a new type of cone-beam back-projection layer, efficiently calculating the forward pass. We derive this layer's backward pass as a projection operation. Unlike most deep learning approaches for reconstruction, our new layer permits joint optimization of correction steps in volume and projection domain. Evaluation is performed numerically on a public data set in a limited angle setting showing a consistent improvement over analytical algorithms while keeping the same computational test-time complexity by design. In the region of interest, the peak signal-to-noise ratio has increased by 23%. In addition, we show that the learned algorithm can be interpreted using known concepts from cone beam reconstruction: the network is able to automatically learn strategies such as compensation weights and apodization windows.</t>
  </si>
  <si>
    <t>T. Wurfl, M. Hoffmann, V. Christlein, K. Breininger, Y. Huang, M. Unberath and A. K. Maier</t>
  </si>
  <si>
    <t>Deep Learning to Distinguish Benign from Malignant Renal Lesions Based on Routine MR Imaging</t>
  </si>
  <si>
    <t>PURPOSE: With increasing incidence of renal mass, it is important to make a pretreatment differentiation between benign renal mass and malignant tumor. We aimed to develop a deep learning model that distinguishes benign renal tumors from renal cell carcinoma (RCC) by applying a residual convolutional neural network (ResNet) on routine MR imaging. EXPERIMENTAL DESIGN: Preoperative MR images (T2-weighted and T1-postcontrast sequences) of 1,162 renal lesions definitely diagnosed on pathology or imaging in a multicenter cohort were divided into training, validation, and test sets (70:20:10 split). An ensemble model based on ResNet was built combining clinical variables and T1C and T2WI MR images using a bagging classifier to predict renal tumor pathology. Final model performance was compared with expert interpretation and the most optimized radiomics model. RESULTS: Among the 1,162 renal lesions, 655 were malignant and 507 were benign. Compared with a baseline zero rule algorithm, the ensemble deep learning model had a statistically significant higher test accuracy (0.70 vs. 0.56, P = 0.004). Compared with all experts averaged, the ensemble deep learning model had higher test accuracy (0.70 vs. 0.60, P = 0.053), sensitivity (0.92 vs. 0.80, P = 0.017), and specificity (0.41 vs. 0.35, P = 0.450). Compared with the radiomics model, the ensemble deep learning model had higher test accuracy (0.70 vs. 0.62, P = 0.081), sensitivity (0.92 vs. 0.79, P = 0.012), and specificity (0.41 vs. 0.39, P = 0.770). CONCLUSIONS: Deep learning can noninvasively distinguish benign renal tumors from RCC using conventional MR imaging in a multi-institutional dataset with good accuracy, sensitivity, and specificity comparable with experts and radiomics.</t>
  </si>
  <si>
    <t>IA-net: informative attention convolutional neural network for choroidal neovascularization segmentation in OCT images</t>
  </si>
  <si>
    <t>Choroidal neovascularization (CNV) is a characteristic feature of wet age-related macular degeneration (AMD). Quantification of CNV is useful to clinicians in the diagnosis and treatment of CNV disease. Before quantification, CNV lesion should be delineated by automatic CNV segmentation technology. Recently, deep learning methods have achieved significant success for medical image segmentation. However, some CNVs are small objects which are hard to discriminate, resulting in performance degradation. In addition, it's difficult to train an effective network for accurate segmentation due to the complicated characteristics of CNV in OCT images. In order to tackle these two challenges, this paper proposed a novel Informative Attention Convolutional Neural Network (IA-net) for automatic CNV segmentation in OCT images. Considering that the attention mechanism has the ability to enhance the discriminative power of the interesting regions in the feature maps, the attention enhancement block is developed by introducing the additional attention constraint. It has the ability to force the model to pay high attention on CNV in the learned feature maps, improving the discriminative ability of the learned CNV features, which is useful to improve the segmentation performance on small CNV. For accurate pixel classification, the novel informative loss is proposed with the incorporation of an informative attention map. It can focus training on a set of informative samples that are difficult to be predicted. Therefore, the trained model has the ability to learn enough information to classify these informative samples, further improving the performance. The experimental results on our database demonstrate that the proposed method outperforms traditional CNV segmentation methods.</t>
  </si>
  <si>
    <t>Deep Semantic Segmentation of Kidney and Space-Occupying Lesion Area Based on SCNN and ResNet Models Combined with SIFT-Flow Algorithm</t>
  </si>
  <si>
    <t>Renal segmentation is one of the most fundamental and challenging task in computer aided diagnosis systems. In order to overcome the shortcomings of automatic kidney segmentation based on deep network for abdominal CT images, a two-stage semantic segmentation of kidney and space-occupying lesion area based on SCNN and ResNet models combined with SIFT-flow transformation is proposed in paper, which is divided into two stages: image retrieval and semantic segmentation. To facilitate the image retrieval, a metric learning-based approach is firstly adopted to construct a deep convolutional neural network structure using SCNN and ResNet network to extract image features and minimize the impact of interference factors on features, so as to obtain the ability to represent the abdominal CT scan image with the same angle under different imaging conditions. And then, SIFT Flow transformation is introduced, which adopts MRF to fuse label information, priori spatial information and smoothing information to establish the dense matching relationship of pixels so that the semantics can be transferred from the known image to the target image so as to obtain the semantic segmentation result of kidney and space-occupying lesion area. In order to validate effectiveness and efficiency of our proposed method, we conduct experiments on self-establish CT dataset, focus on kidney organ and most of which have tumors inside of the kidney, and abnormal deformed shape of kidney. The experimental results qualitatively and quantitatively show that the accuracy of kidney segmentation is greatly improved, and the key information of the proportioned tumor occupying a small area of the image are exhibited a good segmentation results. In addition, our algorithm has also achieved ideal results in the clinical verification, which is suitable for intelligent medicine equipment applications.</t>
  </si>
  <si>
    <t>K. J. Xia, H. S. Yin and Y. D. Zhang</t>
  </si>
  <si>
    <t>Patch-level Tumor Classification in Digital Histopathology Images with Domain Adapted Deep Learning</t>
  </si>
  <si>
    <t>Tumor histopathology is a crucial step in cancer diagnosis which involves visual inspection of imaging data to detect the presence of tumor cells among healthy tissues. This manual process can be time-consuming, error-prone, and influenced by the expertise of the pathologist. Recent deep learning methods for image classification and detection using convolutional neural networks (CNNs) have demonstrated marked improvements in the accuracy of a variety of medical imaging analysis tasks. However, most well-established deep learning methods require large annotated training datasets that are specific to the particular problem domain; such datasets are difficult to acquire for histopathology data where visual characteristics differ between different tissue types, in addition to the need for precise annotations. In this study, we overcome the lack of annotated training dataset in histopathology images of a particular domain by adapting annotated histopathology images from different domains (tissue types). The data from other tissue types are used to pre-train CNNs into a shared histopathology domain (e.g., stains, cellular structures) such that it can be further tuned/optimized for a specific tissue type. We evaluated our classification method on publically available datasets of histopathology images; the accuracy and area under the receiver operating characteristic curve (AUC) of our method was higher than CNNs trained from scratch on limited data (accuracy: 84.3% vs. 78.3%; AUC: 0.918 vs. 0.867), suggesting that domain adaptation can be a valuable approach to histopathological images classification.</t>
  </si>
  <si>
    <t>T. Xia, A. Kumar, D. Feng and J. Kim</t>
  </si>
  <si>
    <t>Three-dimensional facial-image analysis to predict heterogeneity of the human ageing rate and the impact of lifestyle</t>
  </si>
  <si>
    <t>Not all individuals age at the same rate. Methods such as the 'methylation clock' are invasive, rely on expensive assays of tissue samples and infer the ageing rate by training on chronological age, which is used as a reference for prediction errors. Here, we develop models based on convoluted neural networks through training on non-invasive three-dimensional (3D) facial images of approximately 5,000 Han Chinese individuals that achieve an average difference between chronological or perceived age and predicted age of ±2.8 and 2.9 yr, respectively. We further profile blood transcriptomes from 280 individuals and infer the molecular regulators mediating the impact of lifestyle on the facial-ageing rate through a causal-inference model. These relationships have been deposited and visualized in the Human Blood Gene Expression-3D Facial Image (HuB-Fi) database. Overall, we find that humans age at different rates both in the blood and in the face, but do so coherently and with heterogeneity peaking at middle age. Our study provides an example of how artificial intelligence can be leveraged to determine the perceived age of humans as a marker of biological age, while no longer relying on prediction errors of chronological age, and to estimate the heterogeneity of ageing rates within a population.</t>
  </si>
  <si>
    <t>Nat Metab</t>
  </si>
  <si>
    <t>Comparison and Fusion of Deep Learning and Radiomics Features of Ground-Glass Nodules to Predict the Invasiveness Risk of Stage-I Lung Adenocarcinomas in CT Scan</t>
  </si>
  <si>
    <t>For stage-I lung adenocarcinoma, the 5-years disease-free survival (DFS) rates of non-invasive adenocarcinoma (non-IA) is different with invasive adenocarcinoma (IA). This study aims to develop CT image based artificial intelligence (AI) schemes to classify between non-IA and IA nodules, and incorporate deep learning (DL) and radiomics features to improve the classification performance. We collect 373 surgical pathological confirmed ground-glass nodules (GGNs) from 323 patients in two centers. It involves 205 non-IA (including 107 adenocarcinoma in situ and 98 minimally invasive adenocarcinoma), and 168 IA. We first propose a recurrent residual convolutional neural network based on U-Net to segment the GGNs. Then, we build two schemes to classify between non-IA and IA namely, DL scheme and radiomics scheme, respectively. Third, to improve the classification performance, we fuse the prediction scores of two schemes by applying an information fusion method. Finally, we conduct an observer study to compare our scheme performance with two radiologists by testing on an independent dataset. Comparing with DL scheme and radiomics scheme (the area under a receiver operating characteristic curve (AUC): 0.83 ± 0.05, 0.87 ± 0.04), our new fusion scheme (AUC: 0.90 ± 0.03) significant improves the risk classification performance (p &lt; 0.05). In a comparison with two radiologists, our new model yields higher accuracy of 80.3%. The kappa value for inter-radiologist agreement is 0.6. It demonstrates that applying AI method is an effective way to improve the invasiveness risk prediction performance of GGNs. In future, fusion of DL and radiomics features may have a potential to handle the classification task with limited dataset in medical imaging.</t>
  </si>
  <si>
    <t>Uncertainty-aware multi-view co-training for semi-supervised medical image segmentation and domain adaptation</t>
  </si>
  <si>
    <t>Although having achieved great success in medical image segmentation, deep learning-based approaches usually require large amounts of well-annotated data, which can be extremely expensive in the field of medical image analysis. Unlabeled data, on the other hand, is much easier to acquire. Semi-supervised learning and unsupervised domain adaptation both take the advantage of unlabeled data, and they are closely related to each other. In this paper, we propose uncertainty-aware multi-view co-training (UMCT), a unified framework that addresses these two tasks for volumetric medical image segmentation. Our framework is capable of efficiently utilizing unlabeled data for better performance. We firstly rotate and permute the 3D volumes into multiple views and train a 3D deep network on each view. We then apply co-training by enforcing multi-view consistency on unlabeled data, where an uncertainty estimation of each view is utilized to achieve accurate labeling. Experiments on the NIH pancreas segmentation dataset and a multi-organ segmentation dataset show state-of-the-art performance of the proposed framework on semi-supervised medical image segmentation. Under unsupervised domain adaptation settings, we validate the effectiveness of this work by adapting our multi-organ segmentation model to two pathological organs from the Medical Segmentation Decathlon Datasets. Additionally, we show that our UMCT-DA model can even effectively handle the challenging situation where labeled source data is inaccessible, demonstrating strong potentials for real-world applications.</t>
  </si>
  <si>
    <t>Ultra-Fast T2-Weighted MR Reconstruction Using Complementary T1-Weighted Information</t>
  </si>
  <si>
    <t>T1-weighted image (T1WI) and T2-weighted image (T2WI) are the two routinely acquired Magnetic Resonance Imaging (MRI) protocols that provide complementary information for diagnosis. However, the total acquisition time of ~10 min yields the image quality vulnerable to artifacts such as motion. To speed up MRI process, various algorithms have been proposed to reconstruct high quality images from under-sampled k-space data. These algorithms only employ the information of an individual protocol (e.g., T2WI). In this paper, we propose to combine complementary MRI protocols (i.e., T1WI and under-sampled T2WI particularly) to reconstruct the high-quality image (i.e., fully-sampled T2WI). To the best of our knowledge, this is the first work to utilize data from different MRI protocols to speed up the reconstruction of a target sequence. Specifically, we present a novel deep learning approach, namely Dense-Unet, to accomplish the reconstruction task. The Dense-Unet requires fewer parameters and less computation, but achieves better performance. Our results have shown that Dense-Unet can reconstruct a 3D T2WI volume in less than 10 s, i.e., with the acceleration rate as high as 8 or more but with negligible aliasing artefacts and signal-noise-ratio (SNR) loss.</t>
  </si>
  <si>
    <t>L. Xiang, Y. Chen, W. Chang, Y. Zhan, W. Lin, Q. Wang and D. Shen</t>
  </si>
  <si>
    <t>AMC-Net: Asymmetric and multi-scale convolutional neural network for multi-label HPA classification</t>
  </si>
  <si>
    <t>BACKGROUND AND OBJECTIVES: The multi-label Human Protein Atlas (HPA) classification can yield a better understanding of human diseases and help doctors to enhance the automatic analysis of biomedical images. The existing automatic protein recognition methods have been limited to single pattern. Therefore, an automatic multi-label human protein atlas recognition system with satisfactory performance should be conducted. This work aims to build an automatic recognition system for multi-label human protein atlas classification based on deep learning. METHODS: In this work, an automatic feature extraction and multi-label classification framework is proposed. Specifically, an asymmetric and multi-scale convolutional neural network is designed for HPA classification. Furthermore, this work introduces a combined loss that consists of the binary cross-entropy and F1-score losses to improve identification performance. RESULTS: Rigorous experiments are conducted to estimate the proposed system. In particular, unlike the current automatic identification systems, which focus on a limited number of patterns, the proposed method is capable of classifying mixed patterns of proteins in microscope images and can handle the subcellular multi-label protein classification task including 28 subcellular localization patterns. The proposed framework based on deep convolutional neural network outperformed the existing approaches with a F1-score of 0.823, which illustrates the robustness and effectiveness of the proposed system. CONCLUSION: This study proposed a high-performance recognition system for protein atlas classification based on deep learning, and it achieved an automatic multi-label human protein atlas identification framework with superior performance than previous studies.</t>
  </si>
  <si>
    <t>Effective automated pipeline for 3D reconstruction of synapses based on deep learning</t>
  </si>
  <si>
    <t>BACKGROUND: The locations and shapes of synapses are important in reconstructing connectomes and analyzing synaptic plasticity. However, current synapse detection and segmentation methods are still not adequate for accurately acquiring the synaptic connectivity, and they cannot effectively alleviate the burden of synapse validation. RESULTS: We propose a fully automated method that relies on deep learning to realize the 3D reconstruction of synapses in electron microscopy (EM) images. The proposed method consists of three main parts: (1) training and employing the faster region convolutional neural networks (R-CNN) algorithm to detect synapses, (2) using the z-continuity of synapses to reduce false positives, and (3) combining the Dijkstra algorithm with the GrabCut algorithm to obtain the segmentation of synaptic clefts. Experimental results were validated by manual tracking, and the effectiveness of our proposed method was demonstrated. The experimental results in anisotropic and isotropic EM volumes demonstrate the effectiveness of our algorithm, and the average precision of our detection (92.8% in anisotropy, 93.5% in isotropy) and segmentation (88.6% in anisotropy, 93.0% in isotropy) suggests that our method achieves state-of-the-art results. CONCLUSIONS: Our fully automated approach contributes to the development of neuroscience, providing neurologists with a rapid approach for obtaining rich synaptic statistics.</t>
  </si>
  <si>
    <t>C. Xiao, W. Li, H. Deng, X. Chen, Y. Yang, Q. Xie and H. Han</t>
  </si>
  <si>
    <t>Application of deep convolutional neural networks in classification of protein subcellular localization with microscopy images</t>
  </si>
  <si>
    <t>Single-cell microscopy image analysis has proved invaluable in protein subcellular localization for inferring gene/protein function. Fluorescent-tagged proteins across cellular compartments are tracked and imaged in response to genetic or environmental perturbations. With a large number of images generated by high-content microscopy while manual labeling is both labor-intensive and error-prone, machine learning offers a viable alternative for automatic labeling of subcellular localizations. Contrarily, in recent years applications of deep learning methods to large datasets in natural images and other domains have become quite successful. An appeal of deep learning methods is that they can learn salient features from complicated data with little data preprocessing. For such purposes, we applied several representative types of deep convolutional neural networks (CNNs) and two popular ensemble methods, random forests and gradient boosting, to predict protein subcellular localization with a moderately large cell image data set. We show a consistently better predictive performance of CNNs over the two ensemble methods. We also demonstrate the use of CNNs for feature extraction. In the end, we share our computer code and pretrained models to facilitate CNN's applications in genetics and computational biology.</t>
  </si>
  <si>
    <t>M. Xiao, X. Shen and W. Pan</t>
  </si>
  <si>
    <t>Genet Epidemiol</t>
  </si>
  <si>
    <t>Prediction of trabecular bone architectural features by deep learning models using simulated DXA images</t>
  </si>
  <si>
    <t>Dual-energy X-ray absorptiometry (DXA) is widely used for clinical assessment of bone mineral density (BMD). Recent evidence shows that DXA images may also contain microstructural information of trabecular bones. However, no current image processing techniques could aptly extract the information. Inspired by the success of deep learning techniques in medical image analyses, we hypothesized in this study that DXA image-based deep learning models could predict the major microstructural features of trabecular bone with a reasonable accuracy. To test the hypothesis, 1249 trabecular cubes (6 mm × 6 mm × 6 mm) were digitally dissected out from the reconstruction of seven human cadaveric proximal femurs using microCT scans. From each cube, simulated DXA images in designated projections were generated, and the histomorphometric parameters (i.e., BV/TV, BS, Tb.Th, DA, Conn. D, and SMI) of the cube were determined using Image J. Convolutional neural network (CNN) models were trained using the simulated DXA images to predict the histomorphometric parameters of trabecular bone cubes. The results exhibited that the CNN models achieved high fidelity in predicting these histomorphometric parameters (from R = 0.80 to R = 0.985), showing that the DL models exhibited the capability of predicting the microstructural features using DXA images. This study also showed that the number and resolution of input simulated DXA images had considerable impacts on the prediction accuracy of the DL models. These findings support the hypothesis of this study and indicate a high potential of using DXA images in prediction of osteoporotic bone fracture risk.</t>
  </si>
  <si>
    <t>Bone Rep</t>
  </si>
  <si>
    <t>Fully automated, deep learning segmentation of oxygen-induced retinopathy images</t>
  </si>
  <si>
    <t>Oxygen-induced retinopathy (OIR) is a widely used model to study ischemia-driven neovascularization (NV) in the retina and to serve in proof-of-concept studies in evaluating antiangiogenic drugs for ocular, as well as nonocular, diseases. The primary parameters that are analyzed in this mouse model include the percentage of retina with vaso-obliteration (VO) and NV areas. However, quantification of these two key variables comes with a great challenge due to the requirement of human experts to read the images. Human readers are costly, time-consuming, and subject to bias. Using recent advances in machine learning and computer vision, we trained deep learning neural networks using over a thousand segmentations to fully automate segmentation in OIR images. While determining the percentage area of VO, our algorithm achieved a similar range of correlation coefficients to that of expert inter-human correlation coefficients. In addition, our algorithm achieved a higher range of correlation coefficients compared with inter-expert correlation coefficients for quantification of the percentage area of neovascular tufts. In summary, we have created an open-source, fully automated pipeline for the quantification of key values of OIR images using deep learning neural networks.</t>
  </si>
  <si>
    <t>S. Xiao, F. Bucher, Y. Wu, A. Rokem, C. S. Lee, K. V. Marra, R. Fallon, S. Diaz-Aguilar, E. Aguilar, M. Friedlander and A. Y. Lee</t>
  </si>
  <si>
    <t>Automated dendritic spine detection using convolutional neural networks on maximum intensity projected microscopic volumes</t>
  </si>
  <si>
    <t>BACKGROUND: Dendritic spines are structural correlates of excitatory synapses in the brain. Their density and structure are shaped by experience, pointing to their role in memory encoding. Dendritic spine imaging, followed by manual analysis, is a primary way to study spines. However, an approach that analyses dendritic spines images in an automated and unbiased manner is needed to fully capture how spines change with normal experience, as well as in disease. NEW METHOD: We propose an approach based on fully convolutional neural networks (FCNs) to detect dendritic spines in two-dimensional maximum-intensity projected images from confocal fluorescent micrographs. We experiment on both fractionally strided convolution and efficient sub-pixel convolutions. Dendritic spines far from the dendritic shaft are pruned by extraction of the shaft to reduce false positives. Performance of the proposed method is evaluated by comparing predicted spine positions to those manually marked by experts. RESULTS: The averaged distance between predicted and manually annotated spines is 2.81 ± 2.63 pixels (0.082 ± 0.076 microns) and 2.87 ± 2.33 pixels (0.084 ± 0.068 microns) based on two different experts. FCN-based detection achieves F scores &gt; 0.80 for both sets of expert annotations. COMPARISON WITH EXISTING METHODS: Our method significantly outperforms two well-known software, NeuronStudio and Neurolucida (p-value &lt; 0.02). CONCLUSIONS: FCN architectures used in this work allow for automated dendritic spine detection. Superior outcomes are possible even with small training data-sets. The proposed method may generalize to other datasets on larger scales.</t>
  </si>
  <si>
    <t>X. Xiao, M. Djurisic, A. Hoogi, R. W. Sapp, C. J. Shatz and D. L. Rubin</t>
  </si>
  <si>
    <t>Denoising arterial spin labeling perfusion MRI with deep machine learning</t>
  </si>
  <si>
    <t>PURPOSE: Arterial spin labeling (ASL) perfusion MRI is a noninvasive technique for measuring cerebral blood flow (CBF) in a quantitative manner. A technical challenge in ASL MRI is data processing because of the inherently low signal-to-noise-ratio (SNR). Deep learning (DL) is an emerging machine learning technique that can learn a nonlinear transform from acquired data without using any explicit hypothesis. Such a high flexibility may be particularly beneficial for ASL denoising. In this paper, we proposed and validated a DL-based ASL MRI denoising algorithm (DL-ASL). METHODS: The DL-ASL network was constructed using convolutional neural networks (CNNs) with dilated convolution and wide activation residual blocks to explicitly take the inter-voxel correlations into account, and preserve spatial resolution of input image during model learning. RESULTS: DL-ASL substantially improved the quality of ASL CBF in terms of SNR. Based on retrospective analyses, DL-ASL showed a high potential of reducing 75% of the original acquisition time without sacrificing CBF measurement quality. CONCLUSION: DL-ASL achieved improved denoising performance for ASL MRI as compared with current routine methods in terms of higher PSNR, SSIM and Radiologic scores. With the help of DL-ASL, much fewer repetitions may be prescribed in ASL MRI, resulting in a great reduction of the total acquisition time.</t>
  </si>
  <si>
    <t>10.1080/10408363.2018.1536111</t>
  </si>
  <si>
    <t>Deep learning for image analysis: Personalizing medicine closer to the point of care</t>
  </si>
  <si>
    <t>The precision-based revolution in medicine continues to demand stratification of patients into smaller and more personalized subgroups. While genomic technologies have largely led this movement, diagnostic results can take days to weeks to generate. Management at, or closer to, the point of care still heavily relies on the subjective qualitative interpretation of clinical and diagnostic imaging findings. New and emerging technological advances in artificial intelligence (AI) now appear poised to help bring objectivity and precision to these traditionally qualitative analytic tools. In particular, one specific form of AI, known as deep learning, is achieving expert-level disease classifications in many areas of diagnostic medicine dependent on visual and image-based findings. Here, we briefly review concepts of deep learning, and more specifically recent developments in convolutional neural networks (CNNs), to highlight their transformative potential in personalized medicine and, in particular, diagnostic histopathology. Understanding the opportunities and challenges of these quantitative machine-based decision support tools is critical to their widespread introduction into routine diagnostics.</t>
  </si>
  <si>
    <t>Crit Rev Clin Lab Sci</t>
  </si>
  <si>
    <t>Artificial intelligence for teleophthalmology-based diabetic retinopathy screening in a national programme: an economic analysis modelling study</t>
  </si>
  <si>
    <t>BACKGROUND: Deep learning is a novel machine learning technique that has been shown to be as effective as human graders in detecting diabetic retinopathy from fundus photographs. We used a cost-minimisation analysis to evaluate the potential savings of two deep learning approaches as compared with the current human assessment: a semi-automated deep learning model as a triage filter before secondary human assessment; and a fully automated deep learning model without human assessment. METHODS: In this economic analysis modelling study, using 39 006 consecutive patients with diabetes in a national diabetic retinopathy screening programme in Singapore in 2015, we used a decision tree model and TreeAge Pro to compare the actual cost of screening this cohort with human graders against the simulated cost for semi-automated and fully automated screening models. Model parameters included diabetic retinopathy prevalence rates, diabetic retinopathy screening costs under each screening model, cost of medical consultation, and diagnostic performance (ie, sensitivity and specificity). The primary outcome was total cost for each screening model. Deterministic sensitivity analyses were done to gauge the sensitivity of the results to key model assumptions. FINDINGS: From the health system perspective, the semi-automated screening model was the least expensive of the three models, at US$62 per patient per year. The fully automated model was $66 per patient per year, and the human assessment model was $77 per patient per year. The savings to the Singapore health system associated with switching to the semi-automated model are estimated to be $489 000, which is roughly 20% of the current annual screening cost. By 2050, Singapore is projected to have 1 million people with diabetes; at this time, the estimated annual savings would be $15 million. INTERPRETATION: This study provides a strong economic rationale for using deep learning systems as an assistive tool to screen for diabetic retinopathy. FUNDING: Ministry of Health, Singapore.</t>
  </si>
  <si>
    <t>Knowledge-based Collaborative Deep Learning for Benign-Malignant Lung Nodule Classification on Chest CT</t>
  </si>
  <si>
    <t>The accurate identification of malignant lung nodules on chest CT is critical for the early detection of lung cancer, which also offers patients the best chance of cure. Deep learning methods have recently been successfully introduced to computer vision problems, although substantial challenges remain in the detection of malignant nodules due to the lack of large training data sets. In this paper, we propose a multi-view knowledge-based collaborative (MV-KBC) deep model to separate malignant from benign nodules using limited chest CT data. Our model learns 3-D lung nodule characteristics by decomposing a 3-D nodule into nine fixed views. For each view, we construct a knowledge-based collaborative (KBC) submodel, where three types of image patches are designed to fine-tune three pre-trained ResNet-50 networks that characterize the nodules' overall appearance, voxel, and shape heterogeneity, respectively. We jointly use the nine KBC submodels to classify lung nodules with an adaptive weighting scheme learned during the error back propagation, which enables the MV-KBC model to be trained in an end-to-end manner. The penalty loss function is used for better reduction of the false negative rate with a minimal effect on the overall performance of the MV-KBC model. We tested our method on the benchmark LIDC-IDRI data set and compared it to the five state-of-the-art classification approaches. Our results show that the MV-KBC model achieved an accuracy of 91.60% for lung nodule classification with an AUC of 95.70%. These results are markedly superior to the state-of-the-art approaches.</t>
  </si>
  <si>
    <t>Semi-supervised adversarial model for benign-malignant lung nodule classification on chest CT</t>
  </si>
  <si>
    <t>Classification of benign-malignant lung nodules on chest CT is the most critical step in the early detection of lung cancer and prolongation of patient survival. Despite their success in image classification, deep convolutional neural networks (DCNNs) always require a large number of labeled training data, which are not available for most medical image analysis applications due to the work required in image acquisition and particularly image annotation. In this paper, we propose a semi-supervised adversarial classification (SSAC) model that can be trained by using both labeled and unlabeled data for benign-malignant lung nodule classification. This model consists of an adversarial autoencoder-based unsupervised reconstruction network R, a supervised classification network C, and learnable transition layers that enable the adaption of the image representation ability learned by R to C. The SSAC model has been extended to the multi-view knowledge-based collaborative learning, aiming to employ three SSACs to characterize each nodule's overall appearance, heterogeneity in shape and texture, respectively, and to perform such characterization on nine planar views. The MK-SSAC model has been evaluated on the benchmark LIDC-IDRI dataset and achieves an accuracy of 92.53% and an AUC of 95.81%, which are superior to the performance of other lung nodule classification and semi-supervised learning approaches.</t>
  </si>
  <si>
    <t>Y. Xie, J. Zhang and Y. Xia</t>
  </si>
  <si>
    <t>Screening Candidates for Refractive Surgery With Corneal Tomographic-Based Deep Learning</t>
  </si>
  <si>
    <t>IMPORTANCE: Evaluating corneal morphologic characteristics with corneal tomographic scans before refractive surgery is necessary to exclude patients with at-risk corneas and keratoconus. In previous studies, researchers performed screening with machine learning methods based on specific corneal parameters. To date, a deep learning algorithm has not been used in combination with corneal tomographic scans. OBJECTIVE: To examine the use of a deep learning model in the screening of candidates for refractive surgery. DESIGN, SETTING, AND PARTICIPANTS: A diagnostic, cross-sectional study was conducted at the Zhongshan Ophthalmic Center, Guangzhou, China, with examination dates extending from July 18, 2016, to March 29, 2019. The investigation was performed from July 2, 2018, to June 28, 2019. Participants included 1385 patients; 6465 corneal tomographic images were used to generate the artificial intelligence (AI) model. The Pentacam HR system was used for data collection. INTERVENTIONS: The deidentified images were analyzed by ophthalmologists and the AI model. MAIN OUTCOMES AND MEASURES: The performance of the AI classification system. RESULTS: A classification system centered on the AI model Pentacam InceptionResNetV2 Screening System (PIRSS) was developed for screening potential candidates for refractive surgery. The model achieved an overall detection accuracy of 94.7% (95% CI, 93.3%-95.8%) on the validation data set. Moreover, on the independent test data set, the PIRSS model achieved an overall detection accuracy of 95% (95% CI, 88.8%-97.8%), which was comparable with that of senior ophthalmologists who are refractive surgeons (92.8%; 95% CI, 91.2%-94.4%) (P = .72). In distinguishing corneas with contraindications for refractive surgery, the PIRSS model performed better than the classifiers (95% vs 81%; P &lt; .001) in the Pentacam HR system on an Asian patient database. CONCLUSIONS AND RELEVANCE: PIRSS appears to be useful in classifying images to provide corneal information and preliminarily identify at-risk corneas. PIRSS may provide guidance to refractive surgeons in screening candidates for refractive surgery as well as for generalized clinical application for Asian patients, but its use needs to be confirmed in other populations.</t>
  </si>
  <si>
    <t>10.1016/j.pcad.2020.03.003</t>
  </si>
  <si>
    <t>Applications of artificial intelligence in multimodality cardiovascular imaging: A state-of-the-art review</t>
  </si>
  <si>
    <t>There has been a tidal wave of recent interest in artificial intelligence (AI), machine learning and deep learning approaches in cardiovascular (CV) medicine. In the era of modern medicine, AI and electronic health records hold the promise to improve the understanding of disease conditions and bring a personalized approach to CV care. The field of CV imaging (CVI), incorporating echocardiography, cardiac computed tomography, cardiac magnetic resonance imaging and nuclear imaging, with sophisticated imaging techniques and high volumes of imaging data, is primed to be at the forefront of the revolution in precision cardiology. This review provides a contemporary overview of the CVI imaging applications of AI, including a critique of the strengths and potential limitations of deep learning approaches.</t>
  </si>
  <si>
    <t>Prog Cardiovasc Dis</t>
  </si>
  <si>
    <t>Deep Learning Classifiers for Automated Detection of Gonioscopic Angle Closure Based on Anterior Segment OCT Images</t>
  </si>
  <si>
    <t>PURPOSE: To develop and test deep learning classifiers that detect gonioscopic angle closure and primary angle closure disease (PACD) based on fully automated analysis of anterior segment OCT (AS-OCT) images. METHODS: Subjects were recruited as part of the Chinese-American Eye Study (CHES), a population-based study of Chinese Americans in Los Angeles, California, USA. Each subject underwent a complete ocular examination including gonioscopy and AS-OCT imaging in each quadrant of the anterior chamber angle (ACA). Deep learning methods were used to develop 3 competing multi-class convolutional neural network (CNN) classifiers for modified Shaffer grades 0, 1, 2, 3, and 4. Binary probabilities for closed (grades 0 and 1) and open (grades 2, 3, and 4) angles were calculated by summing over the corresponding grades. Classifier performance was evaluated by 5-fold cross-validation and on an independent test dataset. Outcome measures included area under the receiver operating characteristic curve (AUC) for detecting gonioscopic angle closure and PACD, defined as either 2 or 3 quadrants of gonioscopic angle closure per eye. RESULTS: A total of 4036 AS-OCT images with corresponding gonioscopy grades (1943 open, 2093 closed) were obtained from 791 CHES subjects. Three competing CNN classifiers were developed with a cross-validation dataset of 3396 images (1632 open, 1764 closed) from 664 subjects. The remaining 640 images (311 open, 329 closed) from 127 subjects were segregated into a test dataset. The best-performing classifier was developed by applying transfer learning to the ResNet-18 architecture. For detecting gonioscopic angle closure, this classifier achieved an AUC of 0.933 (95% confidence interval, 0.925-0.941) on the cross-validation dataset and 0.928 on the test dataset. For detecting PACD based on 2- and 3-quadrant definitions, the ResNet-18 classifier achieved AUCs of 0.964 and 0.952, respectively, on the test dataset. CONCLUSION: Deep learning classifiers effectively detect gonioscopic angle closure and PACD based on automated analysis of AS-OCT images. These methods could be used to automate clinical evaluations of the ACA and improve access to eye care in high-risk populations.</t>
  </si>
  <si>
    <t>DCT-MIL: Deep CNN transferred multiple instance learning for COPD identification using CT images</t>
  </si>
  <si>
    <t>While many pre-defined computed tomographic (CT) measures have been utilized to characterize chronic obstructive pulmonary disease (COPD), it is still challenging to represent pathological alternations of multiple dimensions and highly spatial heterogeneity. Deep CNN transferred multiple instance learning (DCT-MIL) is proposed to identify COPD via CT images. After the lung is divided into eight sections along the axial direction, one random axial CT image is taken out from each section as one instance. With one instance as the input, the activations of neural layers of AlexNet trained by natural images are extracted as features. After dimension reduction through principle component analysis, features of all instances are input into three MIL methods: Citation k-Nearest-Neighbor (Citation-KNN), multiple instance support vector machine, and expectation-maximization diverse density. Moreover, the performance dependence of the resulted models on the depth of the neural layer where activations are extracted and the number of features is investigated. The proposed DCT-MIL achieves an exceptional performance with an accuracy of 99.29% and area under curve of 0.9826 while using 100 principle components of features extracted from the fourth convolutional layer and Citation-KNN. It outperforms not only DCT-MIL models using other settings and the pre-trained AlexNet with fine-tuning by montages of eight lung CT images, but also other state-of-art methods. Deep CNN transferred multiple instance learning is suited for identification of COPD using CT images. It can help finding subgroups with high risk of COPD from large populations through CT scans ordered doing lung cancer screening.</t>
  </si>
  <si>
    <t>Direct delineation of myocardial infarction without contrast agents using a joint motion feature learning architecture</t>
  </si>
  <si>
    <t>Changes in mechanical properties of myocardium caused by a infarction can lead to kinematic abnormalities. This phenomenon has inspired us to develop this work for delineation of myocardial infarction area directly from non-contrast agents cardiac MR imaging sequences. The main contribution of this work is to develop a new joint motion feature learning architecture to efficiently establish direct correspondences between motion features and tissue properties. This architecture consists of three seamless connected function layers: the heart localization layers can automatically crop the region of interest (ROI) sequences involving the left ventricle from the cardiac MR imaging sequences; the motion feature extraction layers, using long short-term memory-recurrent neural networks, a) builds patch-based motion features through local intensity changes between fixed-size patch sequences (cropped from image sequences), and b) uses optical flow techniques to build image-based features through global intensity changes between adjacent images to describe the motion of each pixel; the fully connected discriminative layers can combine two types of motion features together in each pixel and then build the correspondences between motion features and tissue identities (that is, infarct or not) in each pixel. We validated the performance of our framework in 165 cine cardiac MR imaging datasets by comparing to the ground truths manually segmented from delayed Gadolinium-enhanced MR cardiac images by two radiologists with more than 10 years of experience. Our experimental results show that our proposed method has a high and stable accuracy (pixel-level: 95.03%) and consistency (Kappa statistic: 0.91; Dice: 89.87%; RMSE: 0.72  mm; Hausdorff distance: 5.91  mm) compared to manual delineation results. Overall, the advantage of our framework is that it can determine the tissue identity in each pixel from its motion pattern captured by normal cine cardiac MR images, which makes it an attractive tool for the clinical diagnosis of infarction.</t>
  </si>
  <si>
    <t>C. Xu, L. Xu, Z. Gao, S. Zhao, H. Zhang, Y. Zhang, X. Du, S. Zhao, D. Ghista, H. Liu and S. Li</t>
  </si>
  <si>
    <t>PURPOSE: To automatically identify regions where prostate cancer is suspected on multi-parametric magnetic resonance images (mp-MRI). METHODS: A residual network was implemented based on segmentations from an expert radiologist on T2-weighted, apparent diffusion coefficient map, and high b-value diffusion-weighted images. Mp-MRIs from 346 patients were used in this study. RESULTS: The residual network achieved a hit or miss accuracy of 93% for lesion detection, with an average Jaccard score of 71% that compared the agreement between network and radiologist segmentations. CONCLUSION: This paper demonstrated the ability for residual networks to learn features for prostate lesion segmentation.</t>
  </si>
  <si>
    <t>10.1080/17434440.2019.1669447</t>
  </si>
  <si>
    <t>A review of medical image detection for cancers in digestive system based on artificial intelligence</t>
  </si>
  <si>
    <t>Introduction: At present, cancer imaging examination relies mainly on manual reading of doctors, which requests a high standard of doctors' professional skills, clinical experience, and concentration. However, the increasing amount of medical imaging data has brought more and more challenges to radiologists. The detection of digestive system cancer (DSC) based on artificial intelligence (AI) can provide a solution for automatic analysis of medical images and assist doctors to achieve high-precision intelligent diagnosis of cancers. Areas covered: The main goal of this paper is to introduce the main research methods of the AI based detection of DSC, and provide relevant reference for researchers. Meantime, it summarizes the main problems existing in these methods, and provides better guidance for future research. Expert commentary: The automatic classification, recognition, and segmentation of DSC can be better realized through the methods of machine learning and deep learning, which minimize the internal information of images that are difficult for humans to discover. In the diagnosis of DSC, the use of AI to assist imaging surgeons can achieve cancer detection rapidly and effectively and save doctors' diagnosis time. These can lay the foundation for better clinical diagnosis, treatment planning and accurate quantitative evaluation of DSC.</t>
  </si>
  <si>
    <t>Dual-tracer positron emission tomography (PET) is a promising technique to measure the distribution of two tracers in the body by a single scan, which can improve the clinical accuracy of disease diagnosis and can also serve as a research tool for scientists. Most current research on dual-tracer PET reconstruction is based on mixed images pre-reconstructed by algorithms, which restricts the further improvement of the precision of reconstruction. In this study, we present a hybrid loss-guided deep learning based framework for dual-tracer PET imaging using sinogram data, which can achieve reconstruction by naturally unifying two functions: the reconstruction of the mixed images and the separation for individual tracers. Combined with volumetric dual-tracer images, we adopted a three-dimensional (3D) convolutional neural network (CNN) to learn full features, including spatial information and temporal information simultaneously. In addition, an auxiliary loss layer was introduced to guide the reconstruction of the dual tracers. We used Monte Carlo simulations with data augmentation to generate sufficient datasets for training and testing. The results were analyzed by the bias and variance both spatially (different regions of interest) and temporally (different frames). The analysis verified the feasibility of the 3D CNN framework for dual-tracer reconstruction. Furthermore, we compared the reconstruction results with a deep belief network (DBN), which is another deep learning based technique for the separation of dual-tracer images based on time-activity curves (TACs). The comparison results provide insights into the superior features and performance of the 3D CNN. Furthermore, we tested the [(11)C]FMZ-[(11)C]DTBZ images with three total-counts levels ([Formula: see text], [Formula: see text], [Formula: see text]), which indicate different noise ratios. The analysis results demonstrate that our method can successfully recover the respective distribution of lower total counts with nearly the same accuracy as that of the higher total counts in the total counts range we applied, which also also indicates the proposed 3D CNN framework is more robust to noise compared with DBN.</t>
  </si>
  <si>
    <t>[Application of convolutional neural network to risk evaluation of positive circumferential resection margin of rectal cancer by magnetic resonance imaging]</t>
  </si>
  <si>
    <t>Objective: To explore the feasibility of using faster regional convolutional neural network (Faster R-CNN) to evaluate the status of circumferential resection margin (CRM) of rectal cancer in the magnetic resonance imaging (MRI). Methods: This study was registered in the Chinese Clinical Trial Registry (ChiCTR-1800017410). Case inclusion criteria: (1) the positive area of CRM was located between the plane of the levator ani, anal canal and peritoneal reflection; (2) rectal malignancy was confirmed by electronic colonoscopy and histopathological examination; (3) positive CRM was confirmed by postoperative pathology or preoperative high-resolution MRI. Exclusion criteria: patients after neoadjuvant therapy, recurrent cancer after surgery, poor quality images, giant tumor with extensive necrosis and tissue degeneration, and rectal tissue construction changes in previous pelvic surgery. According to the above criteria, MRI plain scan images of 350 patients with rectal cancer and positive CRM in The Affiliated Hospital of Qingdao University from July 2016 to June 2019 were collected. The patients were classified by gender and tumor position, and randomly assigned to the training group (300 cases) and the validation group (50 cases) at a ratio of 6:1 by computer random number method. The CRM positive region was identified on the T2WI image using the LabelImg software. The identified training group images were used to iteratively train and optimize parameters of the Faster R-CNN model until the network converged to obtain the best deep learning model. The test set data were used to evaluate the recognition performance of the artificial intelligence platform. The selected indicators included accuracy, sensitivity, positive predictive value, receiver operating characteristic (ROC) curves, areas under the ROC curves (AUC), and the time taken to identify a single image. Results: The accuracy, sensitivity, specificity, positive predictive value, and negative predictive value of the CRM status determined by the trained Faster R-CNN artificial intelligence approach were 0.884, 0.857, 0.898, 0.807, and 0.926, respectively; the AUC was 0.934 (95% CI: 91.3% to 95.4%). The Faster R-CNN model's automatic recognition time for a single image was 0.2 s. Conclusion: The artificial intelligence model based on Faster R-CNN for the identification and segmentation of CRM-positive MRI images of rectal cancer is established, which can complete the risk assessment of CRM-positive areas caused by in-situ tumor invasion and has the application value of preliminary screening.</t>
  </si>
  <si>
    <t>Convolutional neural network-based automatic classification of midsagittal tongue gestural targets using B-mode ultrasound images</t>
  </si>
  <si>
    <t>Tongue gestural target classification is of great interest to researchers in the speech production field. Recently, deep convolutional neural networks (CNN) have shown superiority to standard feature extraction techniques in a variety of domains. In this letter, both CNN-based speaker-dependent and speaker-independent tongue gestural target classification experiments are conducted to classify tongue gestures during natural speech production. The CNN-based method achieves state-of-the-art performance, even though no pre-training of the CNN (with the exception of a data augmentation preprocessing) was carried out.</t>
  </si>
  <si>
    <t>K. Xu, P. Roussel, T. G. Csapó and B. Denby</t>
  </si>
  <si>
    <t>Predicting the Glaucomatous Central 10-Degree Visual Field From Optical Coherence Tomography Using Deep Learning and Tensor Regression</t>
  </si>
  <si>
    <t>PURPOSE: To predict the visual field (VF) of glaucoma patients within the central 10° from optical coherence tomography (OCT) measurements using deep learning and tensor regression. DESIGN: Cross-sectional study. METHODS: Humphrey 10-2 VFs and OCT measurements were carried out in 505 eyes of 304 glaucoma patients and 86 eyes of 43 normal subjects. VF sensitivity at each test point was predicted from OCT-measured thicknesses of macular ganglion cell layer + inner plexiform layer, retinal nerve fiber layer, and outer segment + retinal pigment epithelium. Two convolutional neural network (CNN) models were generated: (1) CNN-PR, which simply connects the output of the CNN to each VF test point; and (2) CNN-TR, which connects the output of the CNN to each VF test point using tensor regression. Prediction performance was assessed using 5-fold cross-validation through the root mean squared error (RMSE). For comparison, RMSE values were also calculated using multiple linear regression (MLR) and support vector regression (SVR). In addition, the absolute prediction error for predicting mean sensitivity in the whole VF was analyzed. RESULTS: RMSE with the CNN-TR model averaged 6.32 ± 3.76 (mean ± standard deviation) dB. Significantly (P &lt; .05) larger RMSEs were obtained with other models: CNN-PR (6.76 ± 3.86 dB), SVR (7.18 ± 3.87 dB), and MLR (8.56 ± 3.69 dB). The absolute mean prediction error for the whole VF was 2.72 ± 2.60 dB with the CNN-TR model. CONCLUSION: The Humphrey 10-2 VF can be predicted from OCT-measured retinal layer thicknesses using deep learning and tensor regression.</t>
  </si>
  <si>
    <t>Automated Whole-Body Bone Lesion Detection for Multiple Myeloma on (68)Ga-Pentixafor PET/CT Imaging Using Deep Learning Methods</t>
  </si>
  <si>
    <t>The identification of bone lesions is crucial in the diagnostic assessment of multiple myeloma (MM). (68)Ga-Pentixafor PET/CT can capture the abnormal molecular expression of CXCR-4 in addition to anatomical changes. However, whole-body detection of dozens of lesions on hybrid imaging is tedious and error prone. It is even more difficult to identify lesions with a large heterogeneity. This study employed deep learning methods to automatically combine characteristics of PET and CT for whole-body MM bone lesion detection in a 3D manner. Two convolutional neural networks (CNNs), V-Net and W-Net, were adopted to segment and detect the lesions. The feasibility of deep learning for lesion detection on (68)Ga-Pentixafor PET/CT was first verified on digital phantoms generated using realistic PET simulation methods. Then the proposed methods were evaluated on real (68)Ga-Pentixafor PET/CT scans of MM patients. The preliminary results showed that deep learning method can leverage multimodal information for spatial feature representation, and W-Net obtained the best result for segmentation and lesion detection. It also outperformed traditional machine learning methods such as random forest classifier (RF), k-Nearest Neighbors (k-NN), and support vector machine (SVM). The proof-of-concept study encourages further development of deep learning approach for MM lesion detection in population study.</t>
  </si>
  <si>
    <t>L. Xu, G. Tetteh, J. Lipkova, Y. Zhao, H. Li, P. Christ, M. Piraud, A. Buck, K. Shi and B. H. Menze</t>
  </si>
  <si>
    <t>Colorectal Cancer Detection Based on Deep Learning</t>
  </si>
  <si>
    <t>INTRODUCTION: The initial point in the diagnostic workup of solid tumors remains manual, with the assessment of hematoxylin and eosin (H&amp;E)-stained tissue sections by microscopy. This is a labor-intensive step that requires attention to detail. In addition, diagnoses are influenced by an individual pathologist's knowledge and experience and may not always be reproducible between pathologists. METHODS: We introduce a deep learning-based method in colorectal cancer detection and segmentation from digitized H&amp;E-stained histology slides. RESULTS: In this study, we demonstrate that this neural network approach produces median accuracy of 99.9% for normal slides and 94.8% for cancer slides compared to pathologist-based diagnosis on H&amp;E-stained slides digitized from clinical samples. CONCLUSION: Given that our approach has very high accuracy on normal slides, use of neural network algorithms may provide a screening approach to save pathologist time in identifying tumor regions. We suggest that this new method may be a powerful assistant for colorectal cancer diagnostics.</t>
  </si>
  <si>
    <t>J Pathol Inform</t>
  </si>
  <si>
    <t>BPGAN: Bidirectional CT-to-MRI prediction using multi-generative multi-adversarial nets with spectral normalization and localization</t>
  </si>
  <si>
    <t>Magnetic Resonance Imaging (MRI) and Computed Tomography (CT) are widely used detection technology in screening, diagnosis, and image-guided therapy for both clinical and research. However, CT imposes ionizing radiation to patients during acquisition. Compared to CT, MRI is much safer and does not involve any radiations, but it is more expensive and has prolonged acquisition time. Therefore, it is necessary to estimate one modal image from another given modal image of the same subject for the case of radiotherapy planning. Considering that there is currently no bidirectional prediction model between MRI and CT images, we propose a bidirectional prediction by using multi-generative multi-adversarial nets (BPGAN) for the prediction of any modal from another modal image in paired and unpaired fashion. In BPGAN, two nonlinear maps are learned by projecting same pathological features from one domain to another with cycle consistency strategy. Technologically, pathological prior information is introduced to constrain the feature generation to attack the potential risk of pathological variance, and edge retention metric is adopted to preserve geometrically distortion and anatomical structure. Algorithmically, spectral normalization is designed to control the performance of discriminator and to make predictor learn better and faster, and the localization is proposed to impose regularizer on predictor to reduce generalization error. Experimental results show that BPGAN generates better predictions than recently state-of-the-art methods. Specifically, BPGAN achieves average increment of MAE 33.2% and 37.4%, and SSIM 24.5% and 44.6% on two baseline datasets than comparisons.</t>
  </si>
  <si>
    <t>Deep learning-based subdivision approach for large scale macromolecules structure recovery from electron cryo tomograms</t>
  </si>
  <si>
    <t>MOTIVATION: Cellular Electron CryoTomography (CECT) enables 3D visualization of cellular organization at near-native state and in sub-molecular resolution, making it a powerful tool for analyzing structures of macromolecular complexes and their spatial organizations inside single cells. However, high degree of structural complexity together with practical imaging limitations makes the systematic de novo discovery of structures within cells challenging. It would likely require averaging and classifying millions of subtomograms potentially containing hundreds of highly heterogeneous structural classes. Although it is no longer difficult to acquire CECT data containing such amount of subtomograms due to advances in data acquisition automation, existing computational approaches have very limited scalability or discrimination ability, making them incapable of processing such amount of data. RESULTS: To complement existing approaches, in this article we propose a new approach for subdividing subtomograms into smaller but relatively homogeneous subsets. The structures in these subsets can then be separately recovered using existing computation intensive methods. Our approach is based on supervised structural feature extraction using deep learning, in combination with unsupervised clustering and reference-free classification. Our experiments show that, compared with existing unsupervised rotation invariant feature and pose-normalization based approaches, our new approach achieves significant improvements in both discrimination ability and scalability. More importantly, our new approach is able to discover new structural classes and recover structures that do not exist in training data. AVAILABILITY AND IMPLEMENTATION: Source code freely available at http://www.cs.cmu.edu/∼mxu1/software . CONTACT: mxu1@cs.cmu.edu. SUPPLEMENTARY INFORMATION: Supplementary data are available at Bioinformatics online.</t>
  </si>
  <si>
    <t>M. Xu, X. Chai, H. Muthakana, X. Liang, G. Yang, T. Zeev-Ben-Mordehai and E. P. Xing</t>
  </si>
  <si>
    <t>Automated geographic atrophy segmentation for SD-OCT images based on two-stage learning model</t>
  </si>
  <si>
    <t>Automatic and reliable segmentation for geographic atrophy in spectral-domain optical coherence tomography (SD-OCT) images is a challenging task. To develop an effective segmentation method, a two-stage deep learning framework based on an auto-encoder is proposed. Firstly, the axial data of cross-section images were used as samples instead of the projection images of SD-OCT images. Next, a two-stage learning model that includes offline-learning and self-learning was designed based on a stacked sparse auto-encoder to obtain deep discriminative representations. Finally, a fusion strategy was used to refine the segmentation results based on the two-stage learning results. The proposed method was evaluated on two datasets consisting of 55 and 56 cubes, respectively. For the first dataset, our method obtained a mean overlap ratio (OR) of 89.85 ± 6.35% and an absolute area difference (AAD) of 4.79 ± 7.16%. For the second dataset, the mean OR and AAD were 84.48 ± 11.98%, 11.09 ± 13.61%, respectively. Compared with the state-of-the-art algorithms, experiments indicate that the proposed algorithm can provide more accurate segmentation results on these two datasets without using retinal layer segmentation.</t>
  </si>
  <si>
    <t>Mo(2)Cap(2): Real-time Mobile 3D Motion Capture with a Cap-mounted Fisheye Camera</t>
  </si>
  <si>
    <t>We propose the first real-time system for the egocentric estimation of 3D human body pose in a wide range of unconstrained everyday activities. This setting has a unique set of challenges, such as mobility of the hardware setup, and robustness to long capture sessions with fast recovery from tracking failures. We tackle these challenges based on a novel lightweight setup that converts a standard baseball cap to a device for high-quality pose estimation based on a single cap-mounted fisheye camera. From the captured egocentric live stream, our CNN based 3D pose estimation approach runs at 60 Hz on a consumer-level GPU. In addition to the lightweight hardware setup, our other main contributions are: 1) a large ground truth training corpus of top-down fisheye images and 2) a disentangled 3D pose estimation approach that takes the unique properties of the egocentric viewpoint into account. As shown by our evaluation, we achieve lower 3D joint error as well as better 2D overlay than the existing baselines.</t>
  </si>
  <si>
    <t>A Hybrid Global-Local Representation CNN Model for Automatic Cataract Grading</t>
  </si>
  <si>
    <t>Cataract is one of the most serious eye diseases leading to blindness. Early detection and treatment can reduce the rate of blindness in cataract patients. However, the professional knowledge of ophthalmologists is necessary for the clinical cataract detection. Therefore, the potential costs may make it difficult for the widespread use of cataract detection to prevent blindness. Artificial intelligence assisted diagnosis based on medical images has attracted more and more attention of researchers. Many studies have focused on the use of pre-defined feature sets for cataract classification, but the predefined feature sets may be incomplete or redundant. On account of the aforementioned issues, some studies have proposed deep learning methods to automatically extract image features, but all based on global features and none has analyzed the layer-by-layer transformation process of the middle-tier features. This paper uses convolutional neural networks (CNN) to learn useful features directly from input data, and deconvolution network method is employed to investigate how CNN characterizes cataract layer-by-layer. We found that compared to the global feature set, the detail vascular information, which is lost after multi-layer convolution calculation also plays an important role in cataract grading task. And this finding fits with the morphological definition of fundus image. Through the finding, we gained insights into the design of hybrid global-local feature representation model to improve the recognition performance of automatic cataract grading.</t>
  </si>
  <si>
    <t>Automatic bladder segmentation from CT images using deep CNN and 3D fully connected CRF-RNN</t>
  </si>
  <si>
    <t>PURPOSE: Automatic approach for bladder segmentation from computed tomography (CT) images is highly desirable in clinical practice. It is a challenging task since the bladder usually suffers large variations of appearance and low soft-tissue contrast in CT images. In this study, we present a deep learning-based approach which involves a convolutional neural network (CNN) and a 3D fully connected conditional random fields recurrent neural network (CRF-RNN) to perform accurate bladder segmentation. We also propose a novel preprocessing method, called dual-channel preprocessing, to further advance the segmentation performance of our approach. METHODS: The presented approach works as following: first, we apply our proposed preprocessing method on the input CT image and obtain a dual-channel image which consists of the CT image and an enhanced bladder density map. Second, we exploit a CNN to predict a coarse voxel-wise bladder score map on this dual-channel image. Finally, a 3D fully connected CRF-RNN refines the coarse bladder score map and produce final fine-localized segmentation result. RESULTS: We compare our approach to the state-of-the-art V-net on a clinical dataset. Results show that our approach achieves superior segmentation accuracy, outperforming the V-net by a significant margin. The Dice Similarity Coefficient of our approach (92.24%) is 8.12% higher than that of the V-net. Moreover, the bladder probability maps performed by our approach present sharper boundaries and more accurate localizations compared with that of the V-net. CONCLUSION: Our approach achieves higher segmentation accuracy than the state-of-the-art method on clinical data. Both the dual-channel processing and the 3D fully connected CRF-RNN contribute to this improvement. The united deep network composed of the CNN and 3D CRF-RNN also outperforms a system where the CRF model acts as a post-processing method disconnected from the CNN.</t>
  </si>
  <si>
    <t>X. Xu, F. Zhou and B. Liu</t>
  </si>
  <si>
    <t>3D-BoxSup: Positive-Unlabeled Learning of Brain Tumor Segmentation Networks From 3D Bounding Boxes</t>
  </si>
  <si>
    <t>Accurate segmentation is an essential task when working with medical images. Recently, deep convolutional neural networks achieved a state-of-the-art performance for many segmentation benchmarks. Regardless of the network architecture, the deep learning-based segmentation methods view the segmentation problem as a supervised task that requires a relatively large number of annotated images. Acquiring a large number of annotated medical images is time consuming, and high-quality segmented images (i.e., strong labels) crafted by human experts are expensive. In this paper, we have proposed a method that achieves competitive accuracy from a weakly annotated image where the weak annotation is obtained via a 3D bounding box denoting an object of interest. Our method, called 3D-BoxSup, employs a positive-unlabeled learning framework to learn segmentation masks from 3D bounding boxes. Specially, we consider the pixels outside of the bounding box as positively labeled data and the pixels inside the bounding box as unlabeled data. Our method can suppress the negative effects of pixels residing between the true segmentation mask and the 3D bounding box and produce accurate segmentation masks. We applied our method to segment a brain tumor. The experimental results on the BraTS 2017 dataset (Menze et al., 2015; Bakas et al., 2017a,b,c) have demonstrated the effectiveness of our method.</t>
  </si>
  <si>
    <t>Deep Learning Predicts Lung Cancer Treatment Response from Serial Medical Imaging</t>
  </si>
  <si>
    <t>PURPOSE: Tumors are continuously evolving biological systems, and medical imaging is uniquely positioned to monitor changes throughout treatment. Although qualitatively tracking lesions over space and time may be trivial, the development of clinically relevant, automated radiomics methods that incorporate serial imaging data is far more challenging. In this study, we evaluated deep learning networks for predicting clinical outcomes through analyzing time series CT images of patients with locally advanced non-small cell lung cancer (NSCLC).Experimental Design: Dataset A consists of 179 patients with stage III NSCLC treated with definitive chemoradiation, with pretreatment and posttreatment CT images at 1, 3, and 6 months follow-up (581 scans). Models were developed using transfer learning of convolutional neural networks (CNN) with recurrent neural networks (RNN), using single seed-point tumor localization. Pathologic response validation was performed on dataset B, comprising 89 patients with NSCLC treated with chemoradiation and surgery (178 scans). RESULTS: Deep learning models using time series scans were significantly predictive of survival and cancer-specific outcomes (progression, distant metastases, and local-regional recurrence). Model performance was enhanced with each additional follow-up scan into the CNN model (e.g., 2-year overall survival: AUC = 0.74, P &lt; 0.05). The models stratified patients into low and high mortality risk groups, which were significantly associated with overall survival [HR = 6.16; 95% confidence interval (CI), 2.17-17.44; P &lt; 0.001]. The model also significantly predicted pathologic response in dataset B (P = 0.016). CONCLUSIONS: We demonstrate that deep learning can integrate imaging scans at multiple timepoints to improve clinical outcome predictions. AI-based noninvasive radiomics biomarkers can have a significant impact in the clinic given their low cost and minimal requirements for human input.</t>
  </si>
  <si>
    <t>Y. Xu, A. Hosny, R. Zeleznik, C. Parmar, T. Coroller, I. Franco, R. H. Mak and H. Aerts</t>
  </si>
  <si>
    <t>Improved small blob detection in 3D images using jointly constrained deep learning and Hessian analysis</t>
  </si>
  <si>
    <t>Imaging biomarkers are being rapidly developed for early diagnosis and staging of disease. The development of these biomarkers requires advances in both image acquisition and analysis. Detecting and segmenting objects from images are often the first steps in quantitative measurement of these biomarkers. The challenges of detecting objects in images, particularly small objects known as blobs, include low image resolution, image noise and overlap between the blobs. The Difference of Gaussian (DoG) detector has been used to overcome these challenges in blob detection. However, the DoG detector is susceptible to over-detection and must be refined for robust, reproducible detection in a wide range of medical images. In this research, we propose a joint constraint blob detector from U-Net, a deep learning model, and Hessian analysis, to overcome these problems and identify true blobs from noisy medical images. We evaluate this approach, UH-DoG, using a public 2D fluorescent dataset for cell nucleus detection and a 3D kidney magnetic resonance imaging dataset for glomerulus detection. We then compare this approach to methods in the literature. While comparable to the other four comparing methods on recall, the UH-DoG outperforms them on both precision and F-score.</t>
  </si>
  <si>
    <t>Projection decomposition algorithm for dual-energy computed tomography via deep neural network</t>
  </si>
  <si>
    <t>BACKGROUND: Dual-energy computed tomography (DECT) has been widely used to improve identification of substances from different spectral information. Decomposition of the mixed test samples into two materials relies on a well-calibrated material decomposition function. OBJECTIVE: This work aims to establish and validate a data-driven algorithm for estimation of the decomposition function. METHODS: A deep neural network (DNN) consisting of two sub-nets is proposed to solve the projection decomposition problem. The compressing sub-net, substantially a stack auto-encoder (SAE), learns a compact representation of energy spectrum. The decomposing sub-net with a two-layer structure fits the nonlinear transform between energy projection and basic material thickness. RESULTS: The proposed DNN not only delivers image with lower standard deviation and higher quality in both simulated and real data, and also yields the best performance in cases mixed with photon noise. Moreover, DNN costs only 0.4 s to generate a decomposition solution of 360 × 512 size scale, which is about 200 times faster than the competing algorithms. CONCLUSIONS: The DNN model is applicable to the decomposition tasks with different dual energies. Experimental results demonstrated the strong function fitting ability of DNN. Thus, the Deep learning paradigm provides a promising approach to solve the nonlinear problem in DECT.</t>
  </si>
  <si>
    <t>Y. Xu, B. Yan, J. Chen, L. Zeng and L. Li</t>
  </si>
  <si>
    <t>Image Decomposition Algorithm for Dual-Energy Computed Tomography via Fully Convolutional Network</t>
  </si>
  <si>
    <t>BACKGROUND: Dual-energy computed tomography (DECT) has been widely used due to improved substances identification from additional spectral information. The quality of material-specific image produced by DECT attaches great importance to the elaborated design of the basis material decomposition method. OBJECTIVE: The aim of this work is to develop and validate a data-driven algorithm for the image-based decomposition problem. METHODS: A deep neural net, consisting of a fully convolutional net (FCN) and a fully connected net, is proposed to solve the material decomposition problem. The former net extracts the feature representation of input reconstructed images, and the latter net calculates the decomposed basic material coefficients from the joint feature vector. The whole model was trained and tested using a modified clinical dataset. RESULTS: The proposed FCN delivers image with about 60% smaller bias and 70% lower standard deviation than the competing algorithms, suggesting its better material separation capability. Moreover, FCN still yields excellent performance in case of photon noise. CONCLUSIONS: Our deep cascaded network features high decomposition accuracies and noise robust property. The experimental results have shown the strong function fitting ability of the deep neural network. Deep learning paradigm could be a promising way to solve the nonlinear problem in DECT.</t>
  </si>
  <si>
    <t>Y. Xu, B. Yan, J. Zhang, J. Chen, L. Zeng and L. Wang</t>
  </si>
  <si>
    <t>Transfer learning radiomics based on multimodal ultrasound imaging for staging liver fibrosis</t>
  </si>
  <si>
    <t>OBJECTIVES: To propose a transfer learning (TL) radiomics model that efficiently combines the information from gray scale and elastogram ultrasound images for accurate liver fibrosis grading. METHODS: Totally 466 patients undergoing partial hepatectomy were enrolled, including 401 with chronic hepatitis B and 65 without fibrosis pathologically. All patients received elastography and got liver stiffness measurement (LSM) 2-3 days before surgery. We proposed a deep convolutional neural network by TL to analyze images of gray scale modality (GM) and elastogram modality (EM). The TL process was used for liver fibrosis classification by Inception-V3 network which pretrained on ImageNet. The diagnostic performance of TL and non-TL was compared. The value of single modalities, including GM and EM alone, and multimodalities, including GM + LSM and GM + EM, was evaluated and compared with that of LSM and serological indexes. Receiver operating characteristic curve analysis was performed to calculate the optimal area under the curve (AUC) for classifying fibrosis of S4, ≥ S3, and ≥ S2. RESULTS: TL in GM and EM demonstrated higher diagnostic accuracy than non-TL, with significantly higher AUCs (all p &lt; .01). Single-modal GM and EM both performed better than LSM and serum indexes (all p &lt; .001). Multimodal GM + EM was the most accurate prediction model (AUCs are 0.950, 0.932, and 0.930 for classifying S4, ≥ S3, and ≥ S2, respectively) compared with GM + LSM, GM and EM alone, LSM, and biomarkers (all p &lt; .05). CONCLUSIONS: Liver fibrosis can be staged by a transfer learning modal based on the combination of gray scale and elastogram ultrasound images, with excellent performance. KEY POINTS: • Transfer learning consists in applying to a specific deep learning algorithm that pretrained on another relevant problem, expected to reduce the risk of overfitting due to insufficient medical images. • Liver fibrosis can be staged by transfer learning radiomics with excellent performance. • The most accurate prediction model of transfer learning by Inception-V3 network is the combination of gray scale and elastogram ultrasound images.</t>
  </si>
  <si>
    <t>Progressive Sub-Band Residual-Learning Network for MR Image Super Resolution</t>
  </si>
  <si>
    <t>High-resolution (HR) magnetic resonance images (MRI) provide more detailed information for clinical application. However, HR MRI is less available because of the longer scan time and lower signal-to-noise ratio. Spatial resolution is one of the key parameters of MRI. The image post-processing technique super-resolution (SR) is an alternative approach to improve the spatial resolution of MR images. Inspired by advanced deep learning based SR methods, we propose an MRI SR model named progressive sub-band residual learning SR network (PSR-SRN). The proposed model contains two parallel progressive learning streams, where one stream learns on missed high-frequency residuals by sub-band residual learning unit (ISRL) and the other focuses on reconstructing refined MR image. These two streams complement each other and enable to learn complex mappings between Low- and High- resolution MR images. Besides, we introduce brain-like mechanisms (in-depth supervision and local feedback mechanism) and progressive sub-band learning strategy to emphasize variant textures of MRI. Compared with traditional and deep learning MRI SR methods, our PSR-SRN model shows superior performance.</t>
  </si>
  <si>
    <t>10.1155/2017/9512370</t>
  </si>
  <si>
    <t>Application of Deep Learning in Automated Analysis of Molecular Images in Cancer: A Survey</t>
  </si>
  <si>
    <t>Molecular imaging enables the visualization and quantitative analysis of the alterations of biological procedures at molecular and/or cellular level, which is of great significance for early detection of cancer. In recent years, deep leaning has been widely used in medical imaging analysis, as it overcomes the limitations of visual assessment and traditional machine learning techniques by extracting hierarchical features with powerful representation capability. Research on cancer molecular images using deep learning techniques is also increasing dynamically. Hence, in this paper, we review the applications of deep learning in molecular imaging in terms of tumor lesion segmentation, tumor classification, and survival prediction. We also outline some future directions in which researchers may develop more powerful deep learning models for better performance in the applications in cancer molecular imaging.</t>
  </si>
  <si>
    <t>Automatic identification of brain lesions from magnetic resonance imaging (MRI) scans of stroke survivors would be a useful aid in patient diagnosis and treatment planning. It would also greatly facilitate the study of brain-behavior relationships by eliminating the laborious step of having a human expert manually segment the lesion on each brain scan. We propose a multi-modal multi-path convolutional neural network system for automating stroke lesion segmentation. Our system has nine end-to-end UNets that take as input 2-dimensional (2D) slices and examines all three planes with three different normalizations. Outputs from these nine total paths are concatenated into a 3D volume that is then passed to a 3D convolutional neural network to output a final lesion mask. We trained and tested our method on datasets from three sources: Medical College of Wisconsin (MCW), Kessler Foundation (KF), and the publicly available Anatomical Tracings of Lesions After Stroke (ATLAS) dataset. To promote wide applicability, lesions were included from both subacute (1 to 5 weeks) and chronic ( &gt;  3 months) phases post stroke, and were of both hemorrhagic and ischemic etiology. Cross-study validation results (with independent training and validation datasets) were obtained to compare with previous methods based on naive Bayes, random forests, and three recently published convolutional neural networks. Model performance was quantified in terms of the Dice coefficient, a measure of spatial overlap between the model-identified lesion and the human expert-identified lesion, where 0 is no overlap and 1 is complete overlap. Training on the KF and MCW images and testing on the ATLAS images yielded a mean Dice coefficient of 0.54. This was reliably better than the next best previous model, UNet, at 0.47. Reversing the train and test datasets yields a mean Dice of 0.47 on KF and MCW images, whereas the next best UNet reaches 0.45. With all three datasets combined, the current system compared to previous methods also attained a reliably higher cross-validation accuracy. It also achieved high Dice values for many smaller lesions that existing methods have difficulty identifying. Overall, our system is a clear improvement over previous methods for automating stroke lesion segmentation, bringing us an important step closer to the inter-rater accuracy level of human experts.</t>
  </si>
  <si>
    <t>A preliminary examination of the diagnostic value of deep learning in hip osteoarthritis</t>
  </si>
  <si>
    <t>Hip Osteoarthritis (OA) is a common disease among the middle-aged and elderly people. Conventionally, hip OA is diagnosed by manually assessing X-ray images. This study took the hip joint as the object of observation and explored the diagnostic value of deep learning in hip osteoarthritis. A deep convolutional neural network (CNN) was trained and tested on 420 hip X-ray images to automatically diagnose hip OA. This CNN model achieved a balance of high sensitivity of 95.0% and high specificity of 90.7%, as well as an accuracy of 92.8% compared to the chief physicians. The CNN model performance is comparable to an attending physician with 10 years of experience. The results of this study indicate that deep learning has promising potential in the field of intelligent medical image diagnosis practice.</t>
  </si>
  <si>
    <t>Y. Xue, R. Zhang, Y. Deng, K. Chen and T. Jiang</t>
  </si>
  <si>
    <t>Extraction of Aortic Knuckle Contour in Chest Radiographs Using Deep Learning</t>
  </si>
  <si>
    <t>In this paper, we aim to extract the aortic knuckle (AK) contour in chest radiographs, an anatomical structure rarely being addressed in the literature. Since the AK structure is small and thin, simply adopting the deep network methods that are successful for large organ segmentation is inadequate for achieving good pixel-level accuracy and resolving local ambiguities. To address this challenge, we propose a new coarse-to-fine segmentation approach which focuses on global and local information contexts, respectively. Two convolutional networks are used. For the coarse segmentation, we use FasterRCNN; for the fine segmentation, we use U-Net. Our evaluation uses the publicly available JSRT dataset; the results are promising. Besides presenting these results, we analyze issues such as the imprecision of manual contour marking, and automatic generation of the coarse segmentation ground-truth mask used for deep network training. Our approach is general and can be applied to extract other curve-like objects-of-interest.</t>
  </si>
  <si>
    <t>Z. Xue, R. Long, S. Jaeger, L. Folio, R. George Thoma and A. S. Antani</t>
  </si>
  <si>
    <t>A Deep Learning Mammography-based Model for Improved Breast Cancer Risk Prediction</t>
  </si>
  <si>
    <t>Background Mammographic density improves the accuracy of breast cancer risk models. However, the use of breast density is limited by subjective assessment, variation across radiologists, and restricted data. A mammography-based deep learning (DL) model may provide more accurate risk prediction. Purpose To develop a mammography-based DL breast cancer risk model that is more accurate than established clinical breast cancer risk models. Materials and Methods This retrospective study included 88 994 consecutive screening mammograms in 39 571 women between January 1, 2009, and December 31, 2012. For each patient, all examinations were assigned to either training, validation, or test sets, resulting in 71 689, 8554, and 8751 examinations, respectively. Cancer outcomes were obtained through linkage to a regional tumor registry. By using risk factor information from patient questionnaires and electronic medical records review, three models were developed to assess breast cancer risk within 5 years: a risk-factor-based logistic regression model (RF-LR) that used traditional risk factors, a DL model (image-only DL) that used mammograms alone, and a hybrid DL model that used both traditional risk factors and mammograms. Comparisons were made to an established breast cancer risk model that included breast density (Tyrer-Cuzick model, version 8 [TC]). Model performance was compared by using areas under the receiver operating characteristic curve (AUCs) with DeLong test (P &lt; .05). Results The test set included 3937 women, aged 56.20 years ± 10.04. Hybrid DL and image-only DL showed AUCs of 0.70 (95% confidence interval [CI]: 0.66, 0.75) and 0.68 (95% CI: 0.64, 0.73), respectively. RF-LR and TC showed AUCs of 0.67 (95% CI: 0.62, 0.72) and 0.62 (95% CI: 0.57, 0.66), respectively. Hybrid DL showed a significantly higher AUC (0.70) than TC (0.62; P &lt; .001) and RF-LR (0.67; P = .01). Conclusion Deep learning models that use full-field mammograms yield substantially improved risk discrimination compared with the Tyrer-Cuzick (version 8) model. © RSNA, 2019 Online supplemental material is available for this article. See also the editorial by Sitek and Wolfe in this issue.</t>
  </si>
  <si>
    <t>A Deep Learning Model to Triage Screening Mammograms: A Simulation Study</t>
  </si>
  <si>
    <t>Background Recent deep learning (DL) approaches have shown promise in improving sensitivity but have not addressed limitations in radiologist specificity or efficiency. Purpose To develop a DL model to triage a portion of mammograms as cancer free, improving performance and workflow efficiency. Materials and Methods In this retrospective study, 223 109 consecutive screening mammograms performed in 66 661 women from January 2009 to December 2016 were collected with cancer outcomes obtained through linkage to a regional tumor registry. This cohort was split by patient into 212 272, 25 999, and 26 540 mammograms from 56 831, 7021, and 7176 patients for training, validation, and testing, respectively. A DL model was developed to triage mammograms as cancer free and evaluated on the test set. A DL-triage workflow was simulated in which radiologists skipped mammograms triaged as cancer free (interpreting them as negative for cancer) and read mammograms not triaged as cancer free by using the original interpreting radiologists' assessments. Sensitivities, specificities, and percentage of mammograms read were calculated, with and without the DL-triage-simulated workflow. Statistics were computed across 5000 bootstrap samples to assess confidence intervals (CIs). Specificities were compared by using a two-tailed t test (P &lt; .05) and sensitivities were compared by using a one-sided t test with a noninferiority margin of 5% (P &lt; .05). Results The test set included 7176 women (mean age, 57.8 years ± 10.9 [standard deviation]). When reading all mammograms, radiologists obtained a sensitivity and specificity of 90.6% (173 of 191; 95% CI: 86.6%, 94.7%) and 93.5% (24 625 of 26 349; 95% CI: 93.3%, 93.9%). In the DL-simulated workflow, the radiologists obtained a sensitivity and specificity of 90.1% (172 of 191; 95% CI: 86.0%, 94.3%) and 94.2% (24 814 of 26 349; 95% CI: 94.0%, 94.6%) while reading 80.7% (21 420 of 26 540) of the mammograms. The simulated workflow improved specificity (P = .002) and obtained a noninferior sensitivity with a margin of 5% (P &lt; .001). Conclusion This deep learning model has the potential to reduce radiologist workload and significantly improve specificity without harming sensitivity. © RSNA, 2019 Online supplemental material is available for this article. See also the editorial by Kontos and Conant in this issue.</t>
  </si>
  <si>
    <t>Automated classification of hip fractures using deep convolutional neural networks with orthopedic surgeon-level accuracy: ensemble decision-making with antero-posterior and lateral radiographs</t>
  </si>
  <si>
    <t>Background and purpose - Deep-learning approaches based on convolutional neural networks (CNNs) are gaining interest in the medical imaging field. We evaluated the diagnostic performance of a CNN to discriminate femoral neck fractures, trochanteric fractures, and non-fracture using antero-posterior (AP) and lateral hip radiographs. Patients and methods - 1,703 plain hip AP radiographs and 1,220 plain hip lateral radiographs were included in the total dataset. 150 images each of the AP and lateral views were separated out and the remainder of the dataset was used for training. The CNN made the diagnosis based on: (1) AP radiographs alone, (2) lateral radiographs alone, or (3) both AP and lateral radiographs combined. The diagnostic performance of the CNN was measured by the accuracy, recall, precision, and F1 score. We further compared the CNN's performance with that of orthopedic surgeons. Results - The average accuracy, recall, precision, and F1 score of the CNN based on both anteroposterior and lateral radiographs were 0.98, 0.98, 0.98, and 0.98, respectively. The accuracy of the CNN was comparable to, or statistically significantly better than, that of the orthopedic surgeons regardless of radiographic view used. In the CNN model, the accuracy of the diagnosis based on both views was significantly better than the lateral view alone and tended to be better than the AP view alone. Interpretation - The CNN exhibited comparable or superior performance to that of orthopedic surgeons to discriminate femoral neck fractures, trochanteric fractures, and non-fracture using both AP and lateral hip radiographs.</t>
  </si>
  <si>
    <t>A deep learning-based automated diagnostic system for classifying mammographic lesions</t>
  </si>
  <si>
    <t>BACKGROUND: Screening mammography has led to reduced breast cancer-specific mortality and is recommended worldwide. However, the resultant doctors' workload of reading mammographic scans needs to be addressed. Although computer-aided detection (CAD) systems have been developed to support readers, the findings are conflicting regarding whether traditional CAD systems improve reading performance. Rapid progress in the artificial intelligence (AI) field has led to the advent of newer CAD systems using deep learning-based algorithms which have the potential to reach human performance levels. Those systems, however, have been developed using mammography images mainly from women in western countries. Because Asian women characteristically have higher-density breasts, it is uncertain whether those AI systems can apply to Japanese women. In this study, we will construct a deep learning-based CAD system trained using mammography images from a large number of Japanese women with high quality reading. METHODS: We will collect digital mammography images taken for screening or diagnostic purposes at multiple institutions in Japan. A total of 15,000 images, consisting of 5000 images with breast cancer and 10,000 images with benign lesions, will be collected. At least 1000 images of normal breasts will also be collected for use as reference data. With these data, we will construct a deep learning-based AI system to detect breast cancer on mammograms. The primary endpoint will be the sensitivity and specificity of the AI system with the test image set. DISCUSSION: When the ability of AI reading is shown to be on a par with that of human reading, images of normal breasts or benign lesions that do not have to be read by a human can be selected by AI beforehand. Our AI might work well in Asian women who have similar breast density, size, and shape to those of Japanese women. TRIAL REGISTRATION: UMIN, trial number UMIN000039009. Registered 26 December 2019, https://www.umin.ac.jp/ctr/.</t>
  </si>
  <si>
    <t>Automated acquisition of explainable knowledge from unannotated histopathology images</t>
  </si>
  <si>
    <t>Deep learning algorithms have been successfully used in medical image classification. In the next stage, the technology of acquiring explainable knowledge from medical images is highly desired. Here we show that deep learning algorithm enables automated acquisition of explainable features from diagnostic annotation-free histopathology images. We compare the prediction accuracy of prostate cancer recurrence using our algorithm-generated features with that of diagnosis by expert pathologists using established criteria on 13,188 whole-mount pathology images consisting of over 86 billion image patches. Our method not only reveals findings established by humans but also features that have not been recognized, showing higher accuracy than human in prognostic prediction. Combining both our algorithm-generated features and human-established criteria predicts the recurrence more accurately than using either method alone. We confirm robustness of our method using external validation datasets including 2276 pathology images. This study opens up fields of machine learning analysis for discovering uncharted knowledge.</t>
  </si>
  <si>
    <t>Y. Yamamoto, T. Tsuzuki, J. Akatsuka, M. Ueki, H. Morikawa, Y. Numata, T. Takahara, T. Tsuyuki, K. Tsutsumi, R. Nakazawa, A. Shimizu, I. Maeda, S. Tsuchiya, H. Kanno, Y. Kondo, M. Fukumoto, G. Tamiya, N. Ueda and G. Kimura</t>
  </si>
  <si>
    <t>Deep convolutional neural network applied to the liver imaging reporting and data system (LI-RADS) version 2014 category classification: a pilot study</t>
  </si>
  <si>
    <t>PURPOSE: To develop a deep convolutional neural network (CNN) model to categorize multiphase CT and MRI liver observations using the liver imaging reporting and data system (LI-RADS) (version 2014). METHODS: A pre-existing dataset comprising 314 hepatic observations (163 CT, 151 MRI) with corresponding diameters and LI-RADS categories (LR-1-5) assigned in consensus by two LI-RADS steering committee members was used to develop two CNNs: pre-trained network with an input of triple-phase images (training with transfer learning) and custom-made network with an input of quadruple-phase images (training from scratch). The dataset was randomly split into training, validation, and internal test sets (70:15:15 split). The overall accuracy and area under receiver operating characteristic curve (AUROC) were assessed for categorizing LR-1/2, LR-3, LR-4, and LR-5. External validation was performed for the model with the better performance on the internal test set using two external datasets (EXT-CT and EXT-MR: 68 and 44 observations, respectively). RESULTS: The transfer learning model outperformed the custom-made model: overall accuracy of 60.4% and AUROCs of 0.85, 0.90, 0.63, 0.82 for LR-1/2, LR-3, LR-4, LR-5, respectively. On EXT-CT, the model had an overall accuracy of 41.2% and AUROCs of 0.70, 0.66, 0.60, 0.76 for LR-1/2, LR-3, LR-4, LR-5, respectively. On EXT-MR, the model had an overall accuracy of 47.7% and AUROCs of 0.88, 0.74, 0.69, 0.79 for LR-1/2, LR-3, LR-4, LR-5, respectively. CONCLUSION: Our study shows the feasibility of CNN for assigning LI-RADS categories from a relatively small dataset but highlights the challenges of model development and validation.</t>
  </si>
  <si>
    <t>10.1007/s13244-018-0639-9</t>
  </si>
  <si>
    <t>Convolutional neural networks: an overview and application in radiology</t>
  </si>
  <si>
    <t>Convolutional neural network (CNN), a class of artificial neural networks that has become dominant in various computer vision tasks, is attracting interest across a variety of domains, including radiology. CNN is designed to automatically and adaptively learn spatial hierarchies of features through backpropagation by using multiple building blocks, such as convolution layers, pooling layers, and fully connected layers. This review article offers a perspective on the basic concepts of CNN and its application to various radiological tasks, and discusses its challenges and future directions in the field of radiology. Two challenges in applying CNN to radiological tasks, small dataset and overfitting, will also be covered in this article, as well as techniques to minimize them. Being familiar with the concepts and advantages, as well as limitations, of CNN is essential to leverage its potential in diagnostic radiology, with the goal of augmenting the performance of radiologists and improving patient care. KEY POINTS: • Convolutional neural network is a class of deep learning methods which has become dominant in various computer vision tasks and is attracting interest across a variety of domains, including radiology. • Convolutional neural network is composed of multiple building blocks, such as convolution layers, pooling layers, and fully connected layers, and is designed to automatically and adaptively learn spatial hierarchies of features through a backpropagation algorithm. • Familiarity with the concepts and advantages, as well as limitations, of convolutional neural network is essential to leverage its potential to improve radiologist performance and, eventually, patient care.</t>
  </si>
  <si>
    <t>Neural Architecture Search for compressed sensing Magnetic Resonance image reconstruction</t>
  </si>
  <si>
    <t>Recent works have demonstrated that deep learning (DL) based compressed sensing (CS) implementation can accelerate Magnetic Resonance (MR) Imaging by reconstructing MR images from sub-sampled k-space data. However, network architectures adopted in previous methods are all designed by handcraft. Neural Architecture Search (NAS) algorithms can automatically build neural network architectures which have outperformed human designed ones in several vision tasks. Inspired by this, here we proposed a novel and efficient network for the MR image reconstruction problem via NAS instead of manual attempts. Particularly, a specific cell structure, which was integrated into the model-driven MR reconstruction pipeline, was automatically searched from a flexible pre-defined operation search space in a differentiable manner. Experimental results show that our searched network can produce better reconstruction results compared to previous state-of-the-art methods in terms of PSNR and SSIM with 4∼6 times fewer computation resources. Extensive experiments were conducted to analyze how hyper-parameters affect reconstruction performance and the searched structures. The generalizability of the searched architecture was also evaluated on different organ MR datasets. Our proposed method can reach a better trade-off between computation cost and reconstruction performance for MR reconstruction problem with good generalizability and offer insights to design neural networks for other medical image applications. The evaluation code will be available at https://github.com/yjump/NAS-for-CSMRI.</t>
  </si>
  <si>
    <t>Learning from Multiple Datasets with Heterogeneous and Partial Labels for Universal Lesion Detection in CT</t>
  </si>
  <si>
    <t>Large-scale datasets with high-quality labels are desired for training accurate deep learning models. However, due to the annotation cost, datasets in medical imaging are often either partially-labeled or small. For example, DeepLesion is such a large-scale CT image dataset with lesions of various types, but it also has many unlabeled lesions (missing annotations). When training a lesion detector on a partially-labeled dataset, the missing annotations will generate incorrect negative signals and degrade the performance. Besides DeepLesion, there are several small single-type datasets, such as LUNA for lung nodules and LiTS for liver tumors. These datasets have heterogeneous label scopes, i.e., different lesion types are labeled in different datasets with other types ignored. In this work, we aim to develop a universal lesion detection algorithm to detect a variety of lesions. The problem of heterogeneous and partial labels is tackled. First, we build a simple yet effective lesion detection framework named Lesion ENSemble (LENS). LENS can efficiently learn from multiple heterogeneous lesion datasets in a multi-task fashion and leverage their synergy by proposal fusion. Next, we propose strategies to mine missing annotations from partially-labeled datasets by exploiting clinical prior knowledge and cross-dataset knowledge transfer. Finally, we train our framework on four public lesion datasets and evaluate it on 800 manually-labeled sub-volumes in DeepLesion. Our method brings a relative improvement of 49% compared to the current state-of-the-art approach in the metric of average sensitivity. We have publicly released our manual 3D annotations of DeepLesion in.</t>
  </si>
  <si>
    <t>A propagation-DNN: Deep combination learning of multi-level features for MR prostate segmentation</t>
  </si>
  <si>
    <t>BACKGROUND AND OBJECTIVE: Prostate segmentation on Magnetic Resonance (MR) imaging is problematic because disease changes the shape and boundaries of the gland and it can be difficult to separate the prostate from surrounding tissues. We propose an automated model that extracts and combines multi-level features in a deep neural network to segment prostate on MR images. METHODS: Our proposed model, the Propagation Deep Neural Network (P-DNN), incorporates the optimal combination of multi-level feature extraction as a single model. High level features from the convolved data using DNN are extracted for prostate localization and shape recognition, while labeling propagation, by low level cues, is embedded into a deep layer to delineate the prostate boundary. RESULTS: A well-recognized benchmarking dataset (50 training data and 30 testing data from patients) was used to evaluate the P-DNN. When compared it to existing DNN methods, the P-DNN statistically outperformed the baseline DNN models with an average improvement in the DSC of 3.19%. When compared to the state-of-the-art non-DNN prostate segmentation methods, P-DNN was competitive by achieving 89.9 ± 2.8% DSC and 6.84 ± 2.5 mm HD on training sets and 84.13 ± 5.18% DSC and 9.74 ± 4.21 mm HD on testing sets. CONCLUSION: Our results show that P-DNN maximizes multi-level feature extraction for prostate segmentation of MR images.</t>
  </si>
  <si>
    <t>K. Yan, X. Wang, J. Kim, M. Khadra, M. Fulham and D. Feng</t>
  </si>
  <si>
    <t>DeepLesion: automated mining of large-scale lesion annotations and universal lesion detection with deep learning</t>
  </si>
  <si>
    <t>Extracting, harvesting, and building large-scale annotated radiological image datasets is a greatly important yet challenging problem. Meanwhile, vast amounts of clinical annotations have been collected and stored in hospitals' picture archiving and communication systems (PACS). These types of annotations, also known as bookmarks in PACS, are usually marked by radiologists during their daily workflow to highlight significant image findings that may serve as reference for later studies. We propose to mine and harvest these abundant retrospective medical data to build a large-scale lesion image dataset. Our process is scalable and requires minimum manual annotation effort. We mine bookmarks in our institute to develop DeepLesion, a dataset with 32,735 lesions in 32,120 CT slices from 10,594 studies of 4,427 unique patients. There are a variety of lesion types in this dataset, such as lung nodules, liver tumors, enlarged lymph nodes, and so on. It has the potential to be used in various medical image applications. Using DeepLesion, we train a universal lesion detector that can find all types of lesions with one unified framework. In this challenging task, the proposed lesion detector achieves a sensitivity of 81.1% with five false positives per image.</t>
  </si>
  <si>
    <t>K. Yan, X. Wang, L. Lu and R. M. Summers</t>
  </si>
  <si>
    <t>Three-dimensional reconstruction of internal fascicles and microvascular structures of human peripheral nerves</t>
  </si>
  <si>
    <t>Biofabricated nanostructured and microstructured scaffolds have exhibited great potential for nerve tissue regeneration and functional restoration, and prevascularization and biotransportation within 3D fascicle structures are critical. Unfortunately, an ideal internal fascicle and microvascular model of human peripheral nerves is lacking. In this study, we used microcomputed tomography (microCT) to acquire high-resolution images of the human sciatic nerve. We propose a novel deep-learning network technique, called ResNetH3D-Unet, to segment fascicles and microvascular structures. We reconstructed 3D intraneural fascicles and microvascular topography to quantify the fascicle volume ratio (FVR), microvascular volume ratio (MVR), microvascular to fascicle volume ratio (MFVR), fascicle surface area to volume ratio (FSAVR), and microvascular surface area to volume ratio (MSAVR) of human samples. The frequency distributions of the fascicle diameter, microvascular diameter, and fascicle-to-microvasculature distance were analyzed. The obtained microCT analysis and reconstruction provided high-resolution microstructures of human peripheral nerves. Our proposed ResNetH3D-Unet method for fascicle and microvasculature segmentation yielded a mean intersection over union (IOU) of 92.1% (approximately 5% higher than the U-net IOU). The 3D reconstructed model showed that the internal microvasculature runs longitudinally within the internal epineurium and connects to the external vasculature at some points. Analysis of the 3D data indicated a 48.2 ± 3% FVR, 23.7 ± 1.8% MVR, 4.9 ± 0.5% MFVR, 7.26 ± 2.58 mm(-1) FSAVR, and 1.52 ± 0.52 mm(-1) MSAVR. A fascicle diameter of 0.98 mm, microvascular diameter of 0.125 mm, and microvasculature-to-fascicle distance of 0.196 mm were most frequent. This study provides fundamental data and structural references for designing bionic scaffolding constructs with 3D microvascular and fascicle distributions.</t>
  </si>
  <si>
    <t>Automatic fetal body and amniotic fluid segmentation from fetal ultrasound images by encoder-decoder network with inner layers</t>
  </si>
  <si>
    <t>This paper explores the effectiveness of applying a deep learning based method to segment the amniotic fluid and fetal tissues in fetal ultrasound (US) images. The deeply learned model firstly encodes the input image into down scaled feature maps by convolution and pooling structures, then up-scale the feature maps to confidence maps by corresponded un-pooling and convolution layers. Additional convolution layers with 1×1 sized kernels are adopted to enhance the feature representations, which could be used to further improve the discriminative learning of our model. We effectively update the weights of the network by fine-tuning on part of the layers from a pre-trained model. By conducting experiments using clinical data, the feasibility of our proposed approach is compared and discussed. The result proves that this work achieves satisfied results for segmentation of specific anatomical structures from US images.</t>
  </si>
  <si>
    <t>L. Yan, X. Rong, O. Jun and H. Iwata</t>
  </si>
  <si>
    <t>Hybrid Neural Networks for Mortality Prediction from LDCT Images</t>
  </si>
  <si>
    <t>Known for its high morbidity and mortality rates, lung cancer poses a significant threat to human health and well-being. However, the same population is also at high risk for other deadly diseases, such as cardiovascular disease. Since Low-Dose CT (LDCT) has been shown to significantly improve the lung cancer diagnosis accuracy, it will be very useful for clinical practice to predict the all-cause mortality for lung cancer patients to take corresponding actions. In this paper, we propose a deep learning based method, which takes both chest LDCT image patches and coronary artery calcification risk scores as input to predict the mortality risk of lung cancer subjects. The proposed method is called Hybrid Risk Network (HyRiskNet) for mortality risk prediction, which is an end-to-end framework utilizing hybrid imaging features, instead of completely relying on automatic feature extraction. Our work demonstrates the feasibility of using deep learning techniques for all-cause lung cancer mortality prediction from chest LDCT images. The experimental results show that HyRiskNet can achieve superior performance compared with the neural networks with only image input and with other traditional semi-automatic scoring methods. The study also indicates that radiologist defined features can well complement convolutional neural networks for more comprehensive feature extraction.</t>
  </si>
  <si>
    <t>Chest CT Evaluation of 11 Persistent Asymptomatic Patients with SARS-CoV-2 Infection</t>
  </si>
  <si>
    <t>In total, 11 asymptomatic carriers who underwent nasal or oropharyngeal swab tests for SARS-CoV-2 after being in close contact with patients who developed symptomatic 2019 coronavirus disease (COVID-19) were enrolled in this study. The chest multidetector computed tomography (CT) images of the enrolled patients were qualitatively and quantitatively analyzed. The findings of the first chest CT were normal in 3 (27.3%) patients, 2 of whom were aged below 15 years. The lesions of 2 (18.2%) patients involved 1 lobe with unifocal presence. Subpleural lesions were observed in 7 (63.6%) patients. Ground glass opacity (GGO) was the most common sign observed in 7 (63.6%) patients. Crazy-paving pattern and consolidation were detected in 2 (18.2%) and 4 (36.4%) patients, respectively. Based on deep learning and quantitative analysis, the mean volume of intrapulmonary lesions in the first CT image was 85.73 ± 84.46 cm(3). In patients with positive findings on CT images, the average interval between positive real-time reverse transcriptase polymerase chain reaction assay and peak volume on CT images was 5.1 ± 3.1 days. In conclusion, typical CT findings can be detected in over 70% of asymptomatic SARS-CoV-2 carriers. The initial presentation is typically GGO along the subpleural regions and bronchi, which absorbs in approximately 5 days.</t>
  </si>
  <si>
    <t>Jpn J Infect Dis</t>
  </si>
  <si>
    <t>Discriminating schizophrenia using recurrent neural network applied on time courses of multi-site FMRI data</t>
  </si>
  <si>
    <t>BACKGROUND: Current fMRI-based classification approaches mostly use functional connectivity or spatial maps as input, instead of exploring the dynamic time courses directly, which does not leverage the full temporal information. METHODS: Motivated by the ability of recurrent neural networks (RNN) in capturing dynamic information of time sequences, we propose a multi-scale RNN model, which enables classification between 558 schizophrenia and 542 healthy controls by using time courses of fMRI independent components (ICs) directly. To increase interpretability, we also propose a leave-one-IC-out looping strategy for estimating the top contributing ICs. FINDINGS: Accuracies of 83·2% and 80·2% were obtained respectively for the multi-site pooling and leave-one-site-out transfer classification. Subsequently, dorsal striatum and cerebellum components contribute the top two group-discriminative time courses, which is true even when adopting different brain atlases to extract time series. INTERPRETATION: This is the first attempt to apply a multi-scale RNN model directly on fMRI time courses for classification of mental disorders, and shows the potential for multi-scale RNN-based neuroimaging classifications. FUND: Natural Science Foundation of China, the Strategic Priority Research Program of the Chinese Academy of Sciences, National Institutes of Health Grants, National Science Foundation.</t>
  </si>
  <si>
    <t>Cine MRI analysis by deep learning of optical flow: Adding the temporal dimension</t>
  </si>
  <si>
    <t>Accurate segmentation of the left ventricle (LV) from cine magnetic resonance imaging (MRI) is an important step in the reliable assessment of cardiac function in cardiovascular disease patients. Several deep learning convolutional neural network (CNN) models have achieved state-of-the-art performances for LV segmentation from cine MRI. However, most published deep learning methods use individual cine frames as input and process each frame separately. This approach entirely ignores an important visual clue-the dynamic cardiac motion along the temporal axis, which radiologists observe closely when viewing cine MRI. To imitate the approach of experts, we propose a novel U-net-based method (OF-net) that integrates temporal information from cine MRI into LV segmentation. Our proposed network adds the temporal dimension by incorporating an optical flow (OF) field to capture the cardiac motion. In addition, we introduce two additional modules, a LV localization module and an attention module, that provide improved LV detection and segmentation accuracy, respectively. We evaluated OF-net on the public Cardiac Atlas database with multicenter cine MRI data. The results showed that OF-net achieves an average perpendicular distance (APD) of 0.90±0.08 pixels and a Dice index of 0.95±0.03 for LV segmentation in the middle slices, outperforming the classical U-net model (APD 0.92±0.04 pixels, Dice 0.94±0.16, p &lt; 0.05). Specifically, the proposed method enhances the temporal continuity of segmentation at the apical and basal slices, which are typically more difficult to segment than middle slices. Our work exemplifies the ability of CNN to learn from expert experience when applied to specific analysis tasks.</t>
  </si>
  <si>
    <t>Combining convolutional neural networks and in-line near-infrared spectroscopy for real-time monitoring of the chromatographic elution process in commercial production of notoginseng total saponins</t>
  </si>
  <si>
    <t>The chromatographic elution process is a key step in the production of notoginseng total saponins. Due to quality variability of loading samples and resin capacity decreasing over cycle time, saponins, especially the five main saponins of notoginseng total saponins, need to be monitored in real time during the elution process. In this study, convolutional neural networks, one of the most popular deep learning methods, were used to develop quantitative calibration models based on in-line near-infrared spectroscopy for notoginsenoside R(1) , ginsenosides Rg(1) , Re, Rb(1) and Rd, and their sum concentration, with root mean square error of prediction values of 0.87, 2.76, 0.60, 1.57, 0.28, and 4.99 mg/mL, respectively. Partial least squares calibration models were also developed for model performance comparison. Results show predicted concentration profiles outputted by both the convolutional neural network models and partial least squares models show agreements with the real trends defined by reference measurements, and can be used for elution process monitoring and endpoint determination. To the best of our knowledge, this is the first reported case study of combining convolutional neural networks and in-line near-infrared spectroscopy for monitoring of the chromatographic elution process in commercial production of botanical drug products.</t>
  </si>
  <si>
    <t>J Sep Sci</t>
  </si>
  <si>
    <t>Reconstructing lost BOLD signal in individual participants using deep machine learning</t>
  </si>
  <si>
    <t>Signal loss in blood oxygen level-dependent (BOLD) functional neuroimaging is common and can lead to misinterpretation of findings. Here, we reconstructed compromised fMRI signal using deep machine learning. We trained a model to learn principles governing BOLD activity in one dataset and reconstruct artificially compromised regions in an independent dataset, frame by frame. Intriguingly, BOLD time series extracted from reconstructed frames are correlated with the original time series, even though the frames do not independently carry any temporal information. Moreover, reconstructed functional connectivity maps exhibit good correspondence with the original connectivity maps, indicating that the model recovers functional relationships among brain regions. We replicated this result in two healthy datasets and in patients whose scans suffered signal loss due to intracortical electrodes. Critically, the reconstructions capture individual-specific information. Deep machine learning thus presents a unique opportunity to reconstruct compromised BOLD signal while capturing features of an individual's own functional brain organization.</t>
  </si>
  <si>
    <t>Variation-Aware Federated Learning with Multi-Source Decentralized Medical Image Data</t>
  </si>
  <si>
    <t>Privacy concerns make it infeasible to construct a large medical image dataset by fusing small ones from different sources/institutions. Therefore, federated learning (FL) becomes a promising technique to learn from multi-source decentralized data with privacy preservation. However, the cross-client variation problem in medical image data would be the bottleneck in practice. In this paper, we, for the first time, propose a variation-aware federated learning (VAFL) framework, where the variations among clients are minimized by transforming the images of all clients onto a common image space. We first select one client with the lowest data complexity to define the target image space and synthesize a collection of images based on the client's raw images. Then, a subset of those synthesized images, which effectively capture the characteristics of the raw images and are sufficiently distinct from any raw image, are carefully selected for sharing. For each client, a modified CycleGAN is applied to translate its raw images to the target image space defined by the shared synthesized images. In this way, the cross-client variation problem is addressed with privacy preservation. We apply the framework for automated classification of clinically significant prostate cancer and evaluate it using multi-source decentralized apparent diffusion coefficient (ADC) image data. Experimental results demonstrate that the proposed VAFL framework stably outperforms the current horizontal FL framework. In addition, we discuss the conditions, and experimentally validated them, that VAFL is applicable for training a global model among multiple clients instead of directly training deep learning models locally on each client. Checking the satisfiability of such conditions can be used as guidance in determining if VAFL or FL should be employed for multi-source decentralized medical image data.</t>
  </si>
  <si>
    <t>Joint Segment-Level and Pixel-Wise Losses for Deep Learning Based Retinal Vessel Segmentation</t>
  </si>
  <si>
    <t>OBJECTIVE: Deep learning based methods for retinal vessel segmentation are usually trained based on pixel-wise losses, which treat all vessel pixels with equal importance in pixel-to-pixel matching between a predicted probability map and the corresponding manually annotated segmentation. However, due to the highly imbalanced pixel ratio between thick and thin vessels in fundus images, a pixel-wise loss would limit deep learning models to learn features for accurate segmentation of thin vessels, which is an important task for clinical diagnosis of eye-related diseases. METHODS: In this paper, we propose a new segment-level loss which emphasizes more on the thickness consistency of thin vessels in the training process. By jointly adopting both the segment-level and the pixel-wise losses, the importance between thick and thin vessels in the loss calculation would be more balanced. As a result, more effective features can be learned for vessel segmentation without increasing the overall model complexity. RESULTS: Experimental results on public data sets demonstrate that the model trained by the joint losses outperforms the current state-of-the-art methods in both separate-training and cross-training evaluations. CONCLUSION: Compared to the pixel-wise loss, utilizing the proposed joint-loss framework is able to learn more distinguishable features for vessel segmentation. In addition, the segment-level loss can bring consistent performance improvement for both deep and shallow network architectures. SIGNIFICANCE: The findings from this study of using joint losses can be applied to other deep learning models for performance improvement without significantly changing the network architectures.</t>
  </si>
  <si>
    <t>Z. Yan, X. Yang and K. T. Cheng</t>
  </si>
  <si>
    <t>A Three-Stage Deep Learning Model for Accurate Retinal Vessel Segmentation</t>
  </si>
  <si>
    <t>Automatic retinal vessel segmentation is a fundamental step in the diagnosis of eye-related diseases, in which both thick vessels and thin vessels are important features for symptom detection. All existing deep learning models attempt to segment both types of vessels simultaneously by using a unified pixel-wise loss that treats all vessel pixels with equal importance. Due to the highly imbalanced ratio between thick vessels and thin vessels (namely the majority of vessel pixels belong to thick vessels), the pixel-wise loss would be dominantly guided by thick vessels and relatively little influence comes from thin vessels, often leading to low segmentation accuracy for thin vessels. To address the imbalance problem, in this paper, we explore to segment thick vessels and thin vessels separately by proposing a three-stage deep learning model. The vessel segmentation task is divided into three stages, namely thick vessel segmentation, thin vessel segmentation, and vessel fusion. As better discriminative features could be learned for separate segmentation of thick vessels and thin vessels, this process minimizes the negative influence caused by their highly imbalanced ratio. The final vessel fusion stage refines the results by further identifying nonvessel pixels and improving the overall vessel thickness consistency. The experiments on public datasets DRIVE, STARE, and CHASE_DB1 clearly demonstrate that the proposed three-stage deep learning model outperforms the current state-of-the-art vessel segmentation methods.</t>
  </si>
  <si>
    <t>Enabling a Single Deep Learning Model for Accurate Gland Instance Segmentation: A Shape-Aware Adversarial Learning Framework</t>
  </si>
  <si>
    <t>Segmenting gland instances in histology images is highly challenging as it requires not only detecting glands from a complex background but also separating each individual gland instance with accurate boundary detection. However, due to the boundary uncertainty problem in manual annotations, pixel-to-pixel matching based loss functions are too restrictive for simultaneous gland detection and boundary detection. State-of-the-art approaches adopted multi-model schemes, resulting in unnecessarily high model complexity and difficulties in the training process. In this paper, we propose to use one single deep learning model for accurate gland instance segmentation. To address the boundary uncertainty problem, instead of pixel-to-pixel matching, we propose a segment-level shape similarity measure to calculate the curve similarity between each annotated boundary segment and the corresponding detected boundary segment within a fixed searching range. As the segment-level measure allows location variations within a fixed range for shape similarity calculation, it has better tolerance to boundary uncertainty and is more effective for boundary detection. Furthermore, by adjusting the radius of the searching range, the segment-level shape similarity measure is able to deal with different levels of boundary uncertainty. Therefore, in our framework, images of different scales are down-sampled and integrated to provide both global and local contextual information for training, which is helpful in segmenting gland instances of different sizes. To reduce the variations of multi-scale training images, by referring to adversarial domain adaptation, we propose a pseudo domain adaptation framework for feature alignment. By constructing loss functions based on the segment-level shape similarity measure, combining with the adversarial loss function, the proposed shape-aware adversarial learning framework enables one single deep learning model for gland instance segmentation. Experimental results on the 2015 MICCAI Gland Challenge dataset demonstrate that the proposed framework achieves state-of-the-art performance with one single deep learning model. As the boundary uncertainty problem widely exists in medical image segmentation, it is broadly applicable to other applications.</t>
  </si>
  <si>
    <t>Bodypart Recognition Using Multi-stage Deep Learning</t>
  </si>
  <si>
    <t>Automatic medical image analysis systems often start from identifying the human body part contained in the image; Specifically, given a transversal slice, it is important to know which body part it comes from, namely slice-based bodypart recognition. This problem has its unique characteristic--the body part of a slice is usually identified by local discriminative regions instead of global image context, e.g., a cardiac slice is differentiated from an aorta arch slice by the mediastinum region. To leverage this characteristic, we design a multi-stage deep learning framework that aims at: (1) discover the local regions that are discriminative to the bodypart recognition, and (2) learn a bodypart identifier based on these local regions. These two tasks are achieved by the two stages of our learning scheme, respectively. In the pre-train stage, a convolutional neural network (CNN) is learned in a multi-instance learning fashion to extract the most discriminative local patches from the training slices. In the boosting stage, the learned CNN is further boosted by these local patches for bodypart recognition. By exploiting the discriminative local appearances, the learned CNN becomes more accurate than global image context-based approaches. As a key hallmark, our method does not require manual annotations of the discriminative local patches. Instead, it automatically discovers them through multi-instance deep learning. We validate our method on a synthetic dataset and a large scale CT dataset (7000+ slices from wholebody CT scans). Our method achieves better performances than state-of-the-art approaches, including the standard CNN.</t>
  </si>
  <si>
    <t>Inf Process Med Imaging</t>
  </si>
  <si>
    <t>Convolutional Neural Network Can Recognize Drug Resistance of Single Cancer Cells</t>
  </si>
  <si>
    <t>It is known that single or isolated tumor cells enter cancer patients' circulatory systems. These circulating tumor cells (CTCs) are thought to be an effective tool for diagnosing cancer malignancy. However, handling CTC samples and evaluating CTC sequence analysis results are challenging. Recently, the convolutional neural network (CNN) model, a type of deep learning model, has been increasingly adopted for medical image analyses. However, it is controversial whether cell characteristics can be identified at the single-cell level by using machine learning methods. This study intends to verify whether an AI system could classify the sensitivity of anticancer drugs, based on cell morphology during culture. We constructed a CNN based on the VGG16 model that could predict the efficiency of antitumor drugs at the single-cell level. The machine learning revealed that our model could identify the effects of antitumor drugs with ~0.80 accuracies. Our results show that, in the future, realizing precision medicine to identify effective antitumor drugs for individual patients may be possible by extracting CTCs from blood and performing classification by using an AI system.</t>
  </si>
  <si>
    <t>10.1016/j.pacs.2020.100215</t>
  </si>
  <si>
    <t>Review of deep learning for photoacoustic imaging</t>
  </si>
  <si>
    <t>Machine learning has been developed dramatically and witnessed a lot of applications in various fields over the past few years. This boom originated in 2009, when a new model emerged, that is, the deep artificial neural network, which began to surpass other established mature models on some important benchmarks. Later, it was widely used in academia and industry. Ranging from image analysis to natural language processing, it fully exerted its magic and now become the state-of-the-art machine learning models. Deep neural networks have great potential in medical imaging technology, medical data analysis, medical diagnosis and other healthcare issues, and is promoted in both pre-clinical and even clinical stages. In this review, we performed an overview of some new developments and challenges in the application of machine learning to medical image analysis, with a special focus on deep learning in photoacoustic imaging. The aim of this review is threefold: (i) introducing deep learning with some important basics, (ii) reviewing recent works that apply deep learning in the entire ecological chain of photoacoustic imaging, from image reconstruction to disease diagnosis, (iii) providing some open source materials and other resources for researchers interested in applying deep learning to photoacoustic imaging.</t>
  </si>
  <si>
    <t>Noninvasive Evaluation of the Pathologic Grade of Hepatocellular Carcinoma Using MCF-3DCNN: A Pilot Study</t>
  </si>
  <si>
    <t>PURPOSE: To evaluate the diagnostic performance of deep learning with a multichannel fusion three-dimensional convolutional neural network (MCF-3DCNN) in the differentiation of the pathologic grades of hepatocellular carcinoma (HCC) based on dynamic contrast-enhanced magnetic resonance images (DCE-MR images). METHODS AND MATERIALS: Fifty-one histologically proven HCCs from 42 consecutive patients from January 2015 to September 2017 were included in this retrospective study. Pathologic examinations revealed nine well-differentiated (WD), 35 moderately differentiated (MD), and seven poorly differentiated (PD) HCCs. DCE-MR images with five phases were collected using a 3.0 Tesla MR scanner. The 4D-tensor representation was employed to organize the collected data in one temporal and three spatial dimensions by referring to the phases and 3D scanning slices of the DCE-MR images. A deep learning diagnosis model with MCF-3DCNN was proposed, and the structure of MCF-3DCNN was determined to approximate clinical diagnosis experience by taking into account the significance of the spatial and temporal information from DCE-MR images. Then, MCF-3DCNN was trained based on well-labeled samples of HCC lesions from real patient cases by experienced radiologists. The accuracy when differentiating the pathologic grades of HCC was calculated, and the performance of MCF-3DCNN in lesion diagnosis was assessed. Additionally, the areas under the receiver operating characteristic curves (AUC) for distinguishing WD, MD, and PD HCCs were calculated. RESULTS: MCF-3DCNN achieved an average accuracy of 0.7396±0.0104 with regard to totally differentiating the pathologic grade of HCC. MCF-3DCNN also achieved the highest diagnostic performance for discriminating WD HCCs from others, with an average AUC, accuracy, sensitivity, and specificity of 0.96, 91.00%, 96.88%, and 89.62%, respectively. CONCLUSIONS: This study indicates that MCF-3DCNN can be a promising technology for evaluating the pathologic grade of HCC based on DCE-MR images.</t>
  </si>
  <si>
    <t>D. W. Yang, X. B. Jia, Y. J. Xiao, X. P. Wang, Z. C. Wang and Z. H. Yang</t>
  </si>
  <si>
    <t>Quantification of hepatic steatosis in histologic images by deep learning method</t>
  </si>
  <si>
    <t>OBJECTIVE: To develop and test a novel method for automatic quantification of hepatic steatosis in histologic images based on the deep learning scheme designed to predict the fat ratio directly, which aims to improve accuracy in diagnosis of non-alcoholic fatty liver disease (NAFLD) with objective assessment of the severity of hepatic steatosis instead of subjective visual estimation. MATERIALS AND METHODS: Thirty-six 8-week old New Zealand white rabbits of both sexes were fed with high-cholesterol, high-fat diet and sacrificed under deep anesthesia at various time points to obtain the pathological specimen. All rabbits were performed by multislice computed tomography for surveillance to measure density changes of liver parenchyma. A deep learning scheme using a convolutional neural network was developed to directly predict the liver fat ratio based on the pathological images. The average error value, standard deviation, and accuracy (error &lt;5%) were evaluated and compared between the deep learning scheme and manual segmentation results. The Pearson's correlation coefficient was also calculated in this study. RESULTS: The deep learning scheme performs successfully on rabbit liver histologic data, showing a high degree of accuracy and stability. The average error value, standard deviation, and accuracy (error &lt;5%) were 3.21%, 4.02%, and 79.10% for the cropped images, 2.22%, 1.92%, and 88.34% for the original images, respectively. The strong positive correlation was also observed for cropped images (R = 0.9227) and original images (R = 0.9255) in comparison to labeled fat ratio. CONCLUSIONS: This new deep learning scheme may aid in the quantification of steatosis in the liver and facilitate its treatment by providing an earlier clinical diagnosis.</t>
  </si>
  <si>
    <t>A Deep Learning Segmentation Approach in Free-Breathing Real-Time Cardiac Magnetic Resonance Imaging</t>
  </si>
  <si>
    <t>OBJECTIVES: The purpose of this study was to segment the left ventricle (LV) blood pool, LV myocardium, and right ventricle (RV) blood pool of end-diastole and end-systole frames in free-breathing cardiac magnetic resonance (CMR) imaging. Automatic and accurate segmentation of cardiac structures could reduce the postprocessing time of cardiac function analysis. METHOD: We proposed a novel deep learning network using a residual block for the segmentation of the heart and a random data augmentation strategy to reduce the training time and the problem of overfitting. Automated cardiac diagnosis challenge (ACDC) data were used for training, and the free-breathing CMR data were used for validation and testing. RESULTS: The average Dice was 0.919 (LV), 0.806 (myocardium), and 0.818 (RV). The average IoU was 0.860 (LV), 0.699 (myocardium), and 0.761 (RV). CONCLUSIONS: The proposed method may aid in the segmentation of cardiac images and improves the postprocessing efficiency of cardiac function analysis.</t>
  </si>
  <si>
    <t>Simultaneous left atrium anatomy and scar segmentations via deep learning in multiview information with attention</t>
  </si>
  <si>
    <t>Three-dimensional late gadolinium enhanced (LGE) cardiac MR (CMR) of left atrial scar in patients with atrial fibrillation (AF) has recently emerged as a promising technique to stratify patients, to guide ablation therapy and to predict treatment success. This requires a segmentation of the high intensity scar tissue and also a segmentation of the left atrium (LA) anatomy, the latter usually being derived from a separate bright-blood acquisition. Performing both segmentations automatically from a single 3D LGE CMR acquisition would eliminate the need for an additional acquisition and avoid subsequent registration issues. In this paper, we propose a joint segmentation method based on multiview two-task (MVTT) recursive attention model working directly on 3D LGE CMR images to segment the LA (and proximal pulmonary veins) and to delineate the scar on the same dataset. Using our MVTT recursive attention model, both the LA anatomy and scar can be segmented accurately (mean Dice score of 93% for the LA anatomy and 87% for the scar segmentations) and efficiently (  ∼  0.27 s to simultaneously segment the LA anatomy and scars directly from the 3D LGE CMR dataset with 60-68 2D slices). Compared to conventional unsupervised learning and other state-of-the-art deep learning based methods, the proposed MVTT model achieved excellent results, leading to an automatic generation of a patient-specific anatomical model combined with scar segmentation for patients in AF.</t>
  </si>
  <si>
    <t>Future Gener Comput Syst</t>
  </si>
  <si>
    <t>Multiview Sequential Learning and Dilated Residual Learning for a Fully Automatic Delineation of the Left Atrium and Pulmonary Veins from Late Gadolinium-Enhanced Cardiac MRI Images</t>
  </si>
  <si>
    <t>Accurate delineation of heart substructures is a prerequisite for abnormality detection, for making quantitative and functional measurements, and for computer-aided diagnosis and treatment planning. Late Gadolinium-Enhanced Cardiac MRI (LGE-CMRI) is an emerging imaging technology for myocardial infarction or scar detection based on the differences in the volume of residual gadolinium distribution between scar and healthy tissues. While LGE-CMRI is a well-established non-invasive tool for detecting myocardial scar tissues in the ventricles, its application to left atrium (LA) imaging is more challenging due to its very thin wall of the LA and poor quality images, which may be produced because of motion artefacts and low signal-to-noise ratio. As the LGE-CMRI scan is designed to highlight scar tissues by altering the gadolinium kinetics, the anatomy among different heart substructures has less distinguishable boundaries. An accurate, robust and reproducible method for LA segmentation is highly in demand because it can not only provide valuable information of the heart function but also be helpful for the further delineation of scar tissue and measuring the scar percentage. In this study, we proposed a novel deep learning framework working on LGE-CMRI images directly by combining sequential learning and dilated residual learning to delineate LA and pulmonary veins fully automatically. The achieved results showed accurate segmentation results compared to the state-of-the-art methods. The proposed framework leads to an automatic generation of a patient-specific model that can potentially enable an objective atrial scarring assessment for the atrial fibrillation patients.</t>
  </si>
  <si>
    <t>G. Yang, J. Chen, Z. Gao, H. Zhang, H. Ni, E. Angelini, R. Mohiaddin, T. Wong, J. Keegan and D. Firmin</t>
  </si>
  <si>
    <t>DAGAN: Deep De-Aliasing Generative Adversarial Networks for Fast Compressed Sensing MRI Reconstruction</t>
  </si>
  <si>
    <t>Compressed sensing magnetic resonance imaging (CS-MRI) enables fast acquisition, which is highly desirable for numerous clinical applications. This can not only reduce the scanning cost and ease patient burden, but also potentially reduce motion artefacts and the effect of contrast washout, thus yielding better image quality. Different from parallel imaging-based fast MRI, which utilizes multiple coils to simultaneously receive MR signals, CS-MRI breaks the Nyquist-Shannon sampling barrier to reconstruct MRI images with much less required raw data. This paper provides a deep learning-based strategy for reconstruction of CS-MRI, and bridges a substantial gap between conventional non-learning methods working only on data from a single image, and prior knowledge from large training data sets. In particular, a novel conditional Generative Adversarial Networks-based model (DAGAN)-based model is proposed to reconstruct CS-MRI. In our DAGAN architecture, we have designed a refinement learning method to stabilize our U-Net based generator, which provides an end-to-end network to reduce aliasing artefacts. To better preserve texture and edges in the reconstruction, we have coupled the adversarial loss with an innovative content loss. In addition, we incorporate frequency-domain information to enforce similarity in both the image and frequency domains. We have performed comprehensive comparison studies with both conventional CS-MRI reconstruction methods and newly investigated deep learning approaches. Compared with these methods, our DAGAN method provides superior reconstruction with preserved perceptual image details. Furthermore, each image is reconstructed in about 5 ms, which is suitable for real-time processing.</t>
  </si>
  <si>
    <t>G. Yang, S. Yu, H. Dong, G. Slabaugh, P. L. Dragotti, X. Ye, F. Liu, S. Arridge, J. Keegan, Y. Guo, D. Firmin, J. Keegan, G. Slabaugh, S. Arridge, X. Ye, Y. Guo, S. Yu, F. Liu, D. Firmin, P. L. Dragotti, G. Yang and H. Dong</t>
  </si>
  <si>
    <t>An Indirect Multimodal Image Registration and Completion Method Guided by Image Synthesis</t>
  </si>
  <si>
    <t>Multimodal registration is a challenging task due to the significant variations exhibited from images of different modalities. CT and MRI are two of the most commonly used medical images in clinical diagnosis, since MRI with multicontrast images, together with CT, can provide complementary auxiliary information. The deformable image registration between MRI and CT is essential to analyze the relationships among different modality images. Here, we proposed an indirect multimodal image registration method, i.e., sCT-guided multimodal image registration and problematic image completion method. In addition, we also designed a deep learning-based generative network, Conditional Auto-Encoder Generative Adversarial Network, called CAE-GAN, combining the idea of VAE and GAN under a conditional process to tackle the problem of synthetic CT (sCT) synthesis. Our main contributions in this work can be summarized into three aspects: (1) We designed a new generative network called CAE-GAN, which incorporates the advantages of two popular image synthesis methods, i.e., VAE and GAN, and produced high-quality synthetic images with limited training data. (2) We utilized the sCT generated from multicontrast MRI as an intermediary to transform multimodal MRI-CT registration into monomodal sCT-CT registration, which greatly reduces the registration difficulty. (3) Using normal CT as guidance and reference, we repaired the abnormal MRI while registering the MRI to the normal CT.</t>
  </si>
  <si>
    <t>Neural multi-atlas label fusion: Application to cardiac MR images</t>
  </si>
  <si>
    <t>Multi-atlas segmentation approach is one of the most widely-used image segmentation techniques in biomedical applications. There are two major challenges in this category of methods, i.e., atlas selection and label fusion. In this paper, we propose a novel multi-atlas segmentation method that formulates multi-atlas segmentation in a deep learning framework for better solving these challenges. The proposed method, dubbed deep fusion net (DFN), is a deep architecture that integrates a feature extraction subnet and a non-local patch-based label fusion (NL-PLF) subnet in a single network. The network parameters are learned by end-to-end training for automatically learning deep features that enable optimal performance in a NL-PLF framework. The learned deep features are further utilized in defining a similarity measure for atlas selection. By evaluating on two public cardiac MR datasets of SATA-13 and LV-09 for left ventricle segmentation, our approach achieved 0.833 in averaged Dice metric (ADM) on SATA-13 dataset and 0.95 in ADM for epicardium segmentation on LV-09 dataset, comparing favorably with the other automatic left ventricle segmentation methods. We also tested our approach on Cardiac Atlas Project (CAP) testing set of MICCAI 2013 SATA Segmentation Challenge, and our method achieved 0.815 in ADM, ranking highest at the time of writing.</t>
  </si>
  <si>
    <t>H. Yang, J. Sun, H. Li, L. Wang and Z. Xu</t>
  </si>
  <si>
    <t>Multimodal MRI-based classification of migraine: using deep learning convolutional neural network</t>
  </si>
  <si>
    <t>BACKGROUND: Recently, deep learning technologies have rapidly expanded into medical image analysis, including both disease detection and classification. As far as we know, migraine is a disabling and common neurological disorder, typically characterized by unilateral, throbbing and pulsating headaches. Unfortunately, a large number of migraineurs do not receive the accurate diagnosis when using traditional diagnostic criteria based on the guidelines of the International Headache Society. As such, there is substantial interest in developing automated methods to assist in the diagnosis of migraine. METHODS: To the best of our knowledge, no studies have evaluated the potential of deep learning technologies in assisting with the classification of migraine patients. Here, we used deep learning methods in combination with three functional measures (the amplitude of low-frequency fluctuations, regional homogeneity and regional functional correlation strength) based on rs-fMRI data to distinguish not only between migraineurs and healthy controls, but also between the two subtypes of migraine. We employed 21 migraine patients without aura, 15 migraineurs with aura, and 28 healthy controls. RESULTS: Compared with the traditional support vector machine classifier, which has an accuracy of 83.67%, our Inception module-based convolutional neural network approach showed a significant improvement in classification output (over 86.18%). Our data also indicate that the Inception module-based CNN performs better than the AlexNet-based CNN (Inception module-based CNN reached an accuracy of 99.25%). Finally, we also found that regional functional correlation strength (RFCS) could be regarded as the optimum input out of the three indices (ALFF, ReHo, RFCS). CONCLUSIONS: Overall, our study shows that combining the three functional measures of rs-fMRI with deep learning classification is a powerful method to distinguish between migraineurs and healthy individuals. Our data also highlight that deep learning-based frameworks could be used to develop more complicated models or systems to aid in clinical decision making in the future.</t>
  </si>
  <si>
    <t>H. Yang, J. Zhang, Q. Liu and Y. Wang</t>
  </si>
  <si>
    <t>Efficacy for Differentiating Nonglaucomatous Versus Glaucomatous Optic Neuropathy Using Deep Learning Systems</t>
  </si>
  <si>
    <t>PURPOSE: We sought to assess the performance of deep learning approaches for differentiating nonglaucomatous optic neuropathy with disc pallor (NGON) vs glaucomatous optic neuropathy (GON) on color fundus photographs by the use of image recognition. DESIGN: Development of an Artificial Intelligence Classification algorithm. METHODS: This single-institution analysis included 3815 fundus images from the picture archiving and communication system of Seoul National University Bundang Hospital consisting of 2883 normal optic disc images, 446 NGON images, and 486 GON images. The presence of NGON and GON was interpreted by 2 expert neuro-ophthalmologists and had corroborated evidence on visual field testing and optical coherence tomography. Images were preprocessed in size and color enhancement before input. We applied the convolutional neural network (CNN) of ResNet-50 architecture. The area under the precision-recall curve (average precision) was evaluated for the efficacy of deep learning algorithms to assess the performance of classifying NGON and GON. RESULTS: The diagnostic accuracy of the ResNet-50 model to detect GON among NGON images showed a sensitivity of 93.4% and specificity of 81.8%. The area under the precision-recall curve for differentiating NGON vs GON showed an average precision value of 0.874. False positive cases were found with extensive areas of peripapillary atrophy and tilted optic discs. CONCLUSION: Artificial intelligence-based deep learning algorithms for detecting optic disc diseases showed excellent performance in differentiating NGON and GON on color fundus photographs, necessitating further research for clinical application.</t>
  </si>
  <si>
    <t>Robust segmentation of arterial walls in intravascular ultrasound images using Dual Path U-Net</t>
  </si>
  <si>
    <t>A Fully Convolutional Network (FCN) based deep architecture called Dual Path U-Net (DPU-Net) is proposed for automatic segmentation of the lumen and media-adventitia in IntraVascular UltraSound (IVUS) frames, which is crucial for diagnosis of many cardiovascular diseases and also for facilitating 3D reconstructions of human arteries. One of the most prevalent problems in medical image analysis is the lack of training data. To overcome this limitation, we propose a twofold solution. First, we introduce a deep architecture that is able to learn using a small number of training images and still achieves a high degree of generalization ability. Second, we strengthen the proposed DPU-Net by having a real-time augmentor control the image augmentation process. Our real-time augmentor contains specially-designed operations that simulate three types of IVUS artifacts and integrate them into the training images. We exhaustively assessed our twofold contribution over Balocco's standard publicly available IVUS 20 MHz and 40 MHz B-mode dataset, which contain 109 training image, 326 test images and 19 training images, 59 test images, respectively. Models are trained from scratch with the training images provided and evaluated with two commonly used metrics in the IVUS segmentation literature, namely Jaccard Measure (JM) and Hausdorff Distance (HD). Experimental results show that DPU-Net achieves 0.87 JM, 0.82 mm HD and 0.86 JM, 1.07 mm HD over 40 MHz dataset for segmenting the lumen and the media, respectively. Also, DPU-Net achieves 0.90 JM, 0.25 mm HD and 0.92 JM, 0.30 mm HD over 20 MHz images for segmenting the lumen and the media, respectively. In addition, DPU-Net outperforms existing methods by 8-15% in terms of HD distance. DPU-Net also shows a strong generalization property for predicting images in the test sets that contain a significant amount of major artifacts such as bifurcations, shadows, and side branches that are not common in the training set. Furthermore, DPU-Net runs within 0.03 s to segment each frame with a single modern GPU (Nvidia GTX 1080). The proposed work leverages modern deep learning-based method for segmentation of lumen and the media vessel walls in both 20 MHz and 40 MHz IVUS B-mode images and achieves state-of-the-art results without any manual intervention. The code is available online at https://github.com/Kulbear/IVUS-Ultrasonic.</t>
  </si>
  <si>
    <t>J. Yang, M. Faraji and A. Basu</t>
  </si>
  <si>
    <t>Autosegmentation for thoracic radiation treatment planning: A grand challenge at AAPM 2017</t>
  </si>
  <si>
    <t>PURPOSE: This report presents the methods and results of the Thoracic Auto-Segmentation Challenge organized at the 2017 Annual Meeting of American Association of Physicists in Medicine. The purpose of the challenge was to provide a benchmark dataset and platform for evaluating performance of autosegmentation methods of organs at risk (OARs) in thoracic CT images. METHODS: Sixty thoracic CT scans provided by three different institutions were separated into 36 training, 12 offline testing, and 12 online testing scans. Eleven participants completed the offline challenge, and seven completed the online challenge. The OARs were left and right lungs, heart, esophagus, and spinal cord. Clinical contours used for treatment planning were quality checked and edited to adhere to the RTOG 1106 contouring guidelines. Algorithms were evaluated using the Dice coefficient, Hausdorff distance, and mean surface distance. A consolidated score was computed by normalizing the metrics against interrater variability and averaging over all patients and structures. RESULTS: The interrater study revealed highest variability in Dice for the esophagus and spinal cord, and in surface distances for lungs and heart. Five out of seven algorithms that participated in the online challenge employed deep-learning methods. Although the top three participants using deep learning produced the best segmentation for all structures, there was no significant difference in the performance among them. The fourth place participant used a multi-atlas-based approach. The highest Dice scores were produced for lungs, with averages ranging from 0.95 to 0.98, while the lowest Dice scores were produced for esophagus, with a range of 0.55-0.72. CONCLUSION: The results of the challenge showed that the lungs and heart can be segmented fairly accurately by various algorithms, while deep-learning methods performed better on the esophagus. Our dataset together with the manual contours for all training cases continues to be available publicly as an ongoing benchmarking resource.</t>
  </si>
  <si>
    <t>J. Yang, H. Veeraraghavan, S. G. Armato, 3rd, K. Farahani, J. S. Kirby, J. Kalpathy-Kramer, W. van Elmpt, A. Dekker, X. Han, X. Feng, P. Aljabar, B. Oliveira, B. van der Heyden, L. Zamdborg, D. Lam, M. Gooding and G. C. Sharp</t>
  </si>
  <si>
    <t>Utility of a public-available artificial intelligence in diagnosis of polypoidal choroidal vasculopathy</t>
  </si>
  <si>
    <t>PURPOSE: To investigate the feasibility of training an artificial intelligence (AI) on a public-available AI platform to diagnose polypoidal choroidal vasculopathy (PCV) using indocyanine green angiography (ICGA). METHODS: Two methods using AI models were trained by a data set including 430 ICGA images of normal, neovascular age-related macular degeneration (nvAMD), and PCV eyes on a public-available AI platform. The one-step method distinguished normal, nvAMD, and PCV images simultaneously. The two-step method identifies normal and abnormal ICGA images at the first step and diagnoses PCV from the abnormal ICGA images at the second step. The method with higher performance was used to compare with retinal specialists and ophthalmologic residents on the performance of diagnosing PCV. RESULTS: The two-step method had better performance, in which the precision was 0.911 and the recall was 0.911 at the first step, and the precision was 0.783, and the recall was 0.783 at the second step. For the test data set, the two-step method distinguished normal and abnormal images with an accuracy of 1 and diagnosed PCV with an accuracy of 0.83, which was comparable to retinal specialists and superior to ophthalmologic residents. CONCLUSION: In this evaluation of ICGA images from normal, nvAMD, and PCV eyes, the models trained on a public-available AI platform had comparable performance to retinal specialists for diagnosing PCV. The utility of public-available AI platform might help everyone including ophthalmologists who had no AI-related resources, especially those in less developed areas, for future studies.</t>
  </si>
  <si>
    <t>NuSeT: A deep learning tool for reliably separating and analyzing crowded cells</t>
  </si>
  <si>
    <t>Segmenting cell nuclei within microscopy images is a ubiquitous task in biological research and clinical applications. Unfortunately, segmenting low-contrast overlapping objects that may be tightly packed is a major bottleneck in standard deep learning-based models. We report a Nuclear Segmentation Tool (NuSeT) based on deep learning that accurately segments nuclei across multiple types of fluorescence imaging data. Using a hybrid network consisting of U-Net and Region Proposal Networks (RPN), followed by a watershed step, we have achieved superior performance in detecting and delineating nuclear boundaries in 2D and 3D images of varying complexities. By using foreground normalization and additional training on synthetic images containing non-cellular artifacts, NuSeT improves nuclear detection and reduces false positives. NuSeT addresses common challenges in nuclear segmentation such as variability in nuclear signal and shape, limited training sample size, and sample preparation artifacts. Compared to other segmentation models, NuSeT consistently fares better in generating accurate segmentation masks and assigning boundaries for touching nuclei.</t>
  </si>
  <si>
    <t>Automatic lumbar vertebrae detection based on feature fusion deep learning for partial occluded C-arm X-ray images</t>
  </si>
  <si>
    <t>Automatic and accurate lumbar vertebrae detection is an essential step of image-guided minimally invasive spine surgery (IG-MISS). However, traditional methods still require human intervention due to the similarity of vertebrae, abnormal pathological conditions and uncertain imaging angle. In this paper, we present a novel convolutional neural network (CNN) model to automatically detect lumbar vertebrae for C-arm X-ray images. Training data is augmented by DRR and automatic segmentation of ROI is able to reduce the computational complexity. Furthermore, a feature fusion deep learning (FFDL) model is introduced to combine two types of features of lumbar vertebrae X-ray images, which uses sobel kernel and Gabor kernel to obtain the contour and texture of lumbar vertebrae, respectively. Comprehensive qualitative and quantitative experiments demonstrate that our proposed model performs more accurate in abnormal cases with pathologies and surgical implants in multi-angle views.</t>
  </si>
  <si>
    <t>L. Yang, L. Wei, Z. Yinlong, A. Haibo and T. Jindong</t>
  </si>
  <si>
    <t>Low-Dose CT Image Denoising Using a Generative Adversarial Network With Wasserstein Distance and Perceptual Loss</t>
  </si>
  <si>
    <t>The continuous development and extensive use of computed tomography (CT) in medical practice has raised a public concern over the associated radiation dose to the patient. Reducing the radiation dose may lead to increased noise and artifacts, which can adversely affect the radiologists' judgment and confidence. Hence, advanced image reconstruction from low-dose CT data is needed to improve the diagnostic performance, which is a challenging problem due to its ill-posed nature. Over the past years, various low-dose CT methods have produced impressive results. However, most of the algorithms developed for this application, including the recently popularized deep learning techniques, aim for minimizing the mean-squared error (MSE) between a denoised CT image and the ground truth under generic penalties. Although the peak signal-to-noise ratio is improved, MSE- or weighted-MSE-based methods can compromise the visibility of important structural details after aggressive denoising. This paper introduces a new CT image denoising method based on the generative adversarial network (GAN) with Wasserstein distance and perceptual similarity. The Wasserstein distance is a key concept of the optimal transport theory and promises to improve the performance of GAN. The perceptual loss suppresses noise by comparing the perceptual features of a denoised output against those of the ground truth in an established feature space, while the GAN focuses more on migrating the data noise distribution from strong to weak statistically. Therefore, our proposed method transfers our knowledge of visual perception to the image denoising task and is capable of not only reducing the image noise level but also trying to keep the critical information at the same time. Promising results have been obtained in our experiments with clinical CT images.</t>
  </si>
  <si>
    <t>Q. Yang, P. Yan, Y. Zhang, H. Yu, Y. Shi, X. Mou, M. K. Kalra, Y. Zhang, L. Sun and G. Wang</t>
  </si>
  <si>
    <t>Deep learning segmentation of major vessels in X-ray coronary angiography</t>
  </si>
  <si>
    <t>X-ray coronary angiography is a primary imaging technique for diagnosing coronary diseases. Although quantitative coronary angiography (QCA) provides morphological information of coronary arteries with objective quantitative measures, considerable training is required to identify the target vessels and understand the tree structure of coronary arteries. Despite the use of computer-aided tools, such as the edge-detection method, manual correction is necessary for accurate segmentation of coronary vessels. In the present study, we proposed a robust method for major vessel segmentation using deep learning models with fully convolutional networks. When angiographic images of 3302 diseased major vessels from 2042 patients were tested, deep learning networks accurately identified and segmented the major vessels in X-ray coronary angiography. The average F1 score reached 0.917, and 93.7% of the images exhibited a high F1 score &gt; 0.8. The most narrowed region at the stenosis was distinctly captured with high connectivity. Robust predictability was validated for the external dataset with different image characteristics. For major vessel segmentation, our approach demonstrated that prediction could be completed in real time with minimal image preprocessing. By applying deep learning segmentation, QCA analysis could be further automated, thereby facilitating the use of QCA-based diagnostic methods.</t>
  </si>
  <si>
    <t>Assessing microscope image focus quality with deep learning</t>
  </si>
  <si>
    <t>BACKGROUND: Large image datasets acquired on automated microscopes typically have some fraction of low quality, out-of-focus images, despite the use of hardware autofocus systems. Identification of these images using automated image analysis with high accuracy is important for obtaining a clean, unbiased image dataset. Complicating this task is the fact that image focus quality is only well-defined in foreground regions of images, and as a result, most previous approaches only enable a computation of the relative difference in quality between two or more images, rather than an absolute measure of quality. RESULTS: We present a deep neural network model capable of predicting an absolute measure of image focus on a single image in isolation, without any user-specified parameters. The model operates at the image-patch level, and also outputs a measure of prediction certainty, enabling interpretable predictions. The model was trained on only 384 in-focus Hoechst (nuclei) stain images of U2OS cells, which were synthetically defocused to one of 11 absolute defocus levels during training. The trained model can generalize on previously unseen real Hoechst stain images, identifying the absolute image focus to within one defocus level (approximately 3 pixel blur diameter difference) with 95% accuracy. On a simpler binary in/out-of-focus classification task, the trained model outperforms previous approaches on both Hoechst and Phalloidin (actin) stain images (F-scores of 0.89 and 0.86, respectively over 0.84 and 0.83), despite only having been presented Hoechst stain images during training. Lastly, we observe qualitatively that the model generalizes to two additional stains, Hoechst and Tubulin, of an unseen cell type (Human MCF-7) acquired on a different instrument. CONCLUSIONS: Our deep neural network enables classification of out-of-focus microscope images with both higher accuracy and greater precision than previous approaches via interpretable patch-level focus and certainty predictions. The use of synthetically defocused images precludes the need for a manually annotated training dataset. The model also generalizes to different image and cell types. The framework for model training and image prediction is available as a free software library and the pre-trained model is available for immediate use in Fiji (ImageJ) and CellProfiler.</t>
  </si>
  <si>
    <t>S. J. Yang, M. Berndl, D. Michael Ando, M. Barch, A. Narayanaswamy, E. Christiansen, S. Hoyer, C. Roat, J. Hung, C. T. Rueden, A. Shankar, S. Finkbeiner and P. Nelson</t>
  </si>
  <si>
    <t>Applying Deep Neural Network Analysis to High-Content Image-Based Assays</t>
  </si>
  <si>
    <t>The etiological underpinnings of many CNS disorders are not well understood. This is likely due to the fact that individual diseases aggregate numerous pathological subtypes, each associated with a complex landscape of genetic risk factors. To overcome these challenges, researchers are integrating novel data types from numerous patients, including imaging studies capturing broadly applicable features from patient-derived materials. These datasets, when combined with machine learning, potentially hold the power to elucidate the subtle patterns that stratify patients by shared pathology. In this study, we interrogated whether high-content imaging of primary skin fibroblasts, using the Cell Painting method, could reveal disease-relevant information among patients. First, we showed that technical features such as batch/plate type, plate, and location within a plate lead to detectable nuisance signals, as revealed by a pre-trained deep neural network and analysis with deep image embeddings. Using a plate design and image acquisition strategy that accounts for these variables, we performed a pilot study with 12 healthy controls and 12 subjects affected by the severe genetic neurological disorder spinal muscular atrophy (SMA), and evaluated whether a convolutional neural network (CNN) generated using a subset of the cells could distinguish disease states on cells from the remaining unseen control-SMA pair. Our results indicate that these two populations could effectively be differentiated from one another and that model selectivity is insensitive to batch/plate type. One caveat is that the samples were also largely separated by source. These findings lay a foundation for how to conduct future studies exploring diseases with more complex genetic contributions and unknown subtypes.</t>
  </si>
  <si>
    <t>SLAS Discov</t>
  </si>
  <si>
    <t>Cascade of multi-scale convolutional neural networks for bone suppression of chest radiographs in gradient domain</t>
  </si>
  <si>
    <t>Suppression of bony structures in chest radiographs (CXRs) is potentially useful for radiologists and computer-aided diagnostic schemes. In this paper, we present an effective deep learning method for bone suppression in single conventional CXR using deep convolutional neural networks (ConvNets) as basic prediction units. The deep ConvNets were adapted to learn the mapping between the gradients of the CXRs and the corresponding bone images. We propose a cascade architecture of ConvNets (called CamsNet) to refine progressively the predicted bone gradients in which the ConvNets work at successively increased resolutions. The predicted bone gradients at different scales from the CamsNet are fused in a maximum-a-posteriori framework to produce the final estimation of a bone image. This estimation of a bone image is subtracted from the original CXR to produce a soft-tissue image in which the bone components are eliminated. Our method was evaluated on a dataset that consisted of 504 cases of real two-exposure dual-energy subtraction chest radiographs (404 cases for training and 100 cases for test). The results demonstrate that our method can produce high-quality and high-resolution bone and soft-tissue images. The average relative mean absolute error of the produced bone images and peak signal-to-noise ratio of the produced soft-tissue images were 3.83% and 38.7dB, respectively. The average bone suppression ratio of our method was 83.8% for the CXRs with pixel sizes of nearly 0.194mm. Furthermore, we apply the trained CamsNet model on the CXRs acquired by various types of X-ray machines, including scanned films, and our method can also produce visually appealing bone and soft-tissue images.</t>
  </si>
  <si>
    <t>W. Yang, Y. Chen, Y. Liu, L. Zhong, G. Qin, Z. Lu, Q. Feng and W. Chen</t>
  </si>
  <si>
    <t>Quicksilver: Fast predictive image registration - A deep learning approach</t>
  </si>
  <si>
    <t>This paper introduces Quicksilver, a fast deformable image registration method. Quicksilver registration for image-pairs works by patch-wise prediction of a deformation model based directly on image appearance. A deep encoder-decoder network is used as the prediction model. While the prediction strategy is general, we focus on predictions for the Large Deformation Diffeomorphic Metric Mapping (LDDMM) model. Specifically, we predict the momentum-parameterization of LDDMM, which facilitates a patch-wise prediction strategy while maintaining the theoretical properties of LDDMM, such as guaranteed diffeomorphic mappings for sufficiently strong regularization. We also provide a probabilistic version of our prediction network which can be sampled during the testing time to calculate uncertainties in the predicted deformations. Finally, we introduce a new correction network which greatly increases the prediction accuracy of an already existing prediction network. We show experimental results for uni-modal atlas-to-image as well as uni-/multi-modal image-to-image registrations. These experiments demonstrate that our method accurately predicts registrations obtained by numerical optimization, is very fast, achieves state-of-the-art registration results on four standard validation datasets, and can jointly learn an image similarity measure. Quicksilver is freely available as an open-source software.</t>
  </si>
  <si>
    <t>X. Yang, R. Kwitt, M. Styner and M. Niethammer</t>
  </si>
  <si>
    <t>[Segmentation of organs at risk in nasopharyngeal cancer for radiotherapy using a self-adaptive Unet network]</t>
  </si>
  <si>
    <t>OBJECTIVE: To investigate the accuracy of automatic segmentation of organs at risk (OARs) in radiotherapy for nasopharyngeal carcinoma (NPC). METHODS: The CT image data of 147 NPC patients with manual segmentation of the OARs were randomized into the training set (115 cases), validation set (12 cases), and the test set (20 cases). An improved network based on three-dimensional (3D) Unet was established (named as AUnet) and its efficiency was improved through end-to-end training. Organ size was introduced as a priori knowledge to improve the performance of the model in convolution kernel size design, which enabled the network to better extract the features of different organs of different sizes. The adaptive histogram equalization algorithm was used to preprocess the input CT images to facilitate contour recognition. The similarity evaluation indexes, including Dice Similarity Coefficient (DSC) and Hausdorff Distance (HD), were calculated to verify the validity of segmentation. RESULTS: DSC and HD of the test dataset were 0.86±0.02 and 4.0±2.0 mm, respectively. No significant difference was found between the results of AUnet and manual segmentation of the OARs (P &gt; 0.05) except for the optic nerves and the optic chiasm. CONCLUSIONS: AUnet, an improved deep learning neural network, is capable of automatic segmentation of the OARs in radiotherapy for NPC based on CT images, and for most organs, the results are comparable to those of manual segmentation.</t>
  </si>
  <si>
    <t>Deep Learning Signature Based on Staging CT for Preoperative Prediction of Sentinel Lymph Node Metastasis in Breast Cancer</t>
  </si>
  <si>
    <t>RATIONALE AND OBJECTIVES: To evaluate the noninvasive predictive performance of deep learning features based on staging CT for sentinel lymph node (SLN) metastasis of breast cancer. MATERIALS AND METHODS: A total of 348 breast cancer patients were enrolled in this study, with their SLN metastases pathologically confirmed. All patients received contrast-enhanced CT preoperative examinations and CT images were segmented and analyzed to extract deep features. After the feature selection, deep learning signature was built with the selected key features. The performance of the deep learning signatures was assessed with respect to discrimination, calibration, and clinical usefulness in the primary cohort (184 patients from January 2016 to March 2017) and then validated in the independent validation cohort (164 patients from April 2017 to December 2018). RESULTS: Ten deep learning features were automatically selected in the primary cohort to establish the deep learning signature of SLN metastasis. The deep learning signature shows favorable discriminative ability with an area under curve of 0.801 (95% confidence interval: 0.736-0.867) in primary cohort and 0.817 (95% confidence interval: 0.751-0.884) in validation cohort. To further distinguish the number of metastatic SLNs (1-2 or more than two metastatic SLN), another deep learning signature was constructed and also showed moderate performance (area under curve 0.770). CONCLUSION: We developed the deep learning signatures for preoperative prediction of SLN metastasis status and numbers (1-2 or more than two metastatic SLN) in patients with breast cancer. The deep learning signature may potentially provide a noninvasive approach to assist clinicians in predicting SLN metastasis in patients with breast cancer.</t>
  </si>
  <si>
    <t>10.21037/jtd.2018.02.57</t>
  </si>
  <si>
    <t>Deep learning aided decision support for pulmonary nodules diagnosing: a review</t>
  </si>
  <si>
    <t>Deep learning techniques have recently emerged as promising decision supporting approaches to automatically analyze medical images for different clinical diagnosing purposes. Diagnosing of pulmonary nodules by using computer-assisted diagnosing has received considerable theoretical, computational, and empirical research work, and considerable methods have been developed for detection and classification of pulmonary nodules on different formats of images including chest radiographs, computed tomography (CT), and positron emission tomography in the past five decades. The recent remarkable and significant progress in deep learning for pulmonary nodules achieved in both academia and the industry has demonstrated that deep learning techniques seem to be promising alternative decision support schemes to effectively tackle the central issues in pulmonary nodules diagnosing, including feature extraction, nodule detection, false-positive reduction, and benign-malignant classification for the huge volume of chest scan data. The main goal of this investigation is to provide a comprehensive state-of-the-art review of the deep learning aided decision support for pulmonary nodules diagnosing. As far as the authors know, this is the first time that a review is devoted exclusively to deep learning techniques for pulmonary nodules diagnosing.</t>
  </si>
  <si>
    <t>J Thorac Dis</t>
  </si>
  <si>
    <t>ADMM-CSNet: A Deep Learning Approach for Image Compressive Sensing</t>
  </si>
  <si>
    <t>Compressive sensing (CS) is an effective technique for reconstructing image from a small amount of sampled data. It has been widely applied in medical imaging, remote sensing, image compression, etc. In this paper, we propose two versions of a novel deep learning architecture, dubbed as ADMM-CSNet, by combining the traditional model-based CS method and data-driven deep learning method for image reconstruction from sparsely sampled measurements. We first consider a generalized CS model for image reconstruction with undetermined regularizations in undetermined transform domains, and then two efficient solvers using Alternating Direction Method of Multipliers (ADMM) algorithm for optimizing the model are proposed. We further unroll and generalize the ADMM algorithm to be two deep architectures, in which all parameters of the CS model and the ADMM algorithm are discriminatively learned by end-to-end training. For both applications of fast CS complex-valued MR imaging and CS imaging of real-valued natural images, the proposed ADMM-CSNet achieved favorable reconstruction accuracy in fast computational speed compared with the traditional and the other deep learning methods.</t>
  </si>
  <si>
    <t>Y. Yang, J. Sun, H. Li and Z. Xu</t>
  </si>
  <si>
    <t>Multifunctional Detection of Extracellular Vesicles with Surface Plasmon Resonance Microscopy</t>
  </si>
  <si>
    <t>Extracellular vesicles (EVs), including exosomes, are promising circulating biomarkers for disease diagnosis. Conventional EVs analysis requires multiple instrumentations to obtain their phenotypic features, which limits its wide applications. Here, we present a plasmonic biosensor technology for multifunctional analysis of EVs. The system is based on a functionalized surface plasmon resonance (SPR) biosensor and an advanced plasmonic microscopy to capture and image EVs at single-particle level. SPR images are processed with a home-developed deep learning algorithm to identify EVs and quantify image intensity automatically. By combining immunosensing and single particle analysis, this approach enables both physical and chemical characterization of EVs. As a proof-of-concept, we applied it to analyze EVs secreted from human lung cancer A549 cell lines. Results show the capabilities in the detection of size, concentration and affinity constant. Due to the single particle imaging and multifunctional analysis capability, we anticipate that this technology will find use in clinical and scientific applications.</t>
  </si>
  <si>
    <t>10.3748/wjg.v25.i14.1666</t>
  </si>
  <si>
    <t>Application of artificial intelligence in gastroenterology</t>
  </si>
  <si>
    <t>Artificial intelligence (AI) using deep-learning (DL) has emerged as a breakthrough computer technology. By the era of big data, the accumulation of an enormous number of digital images and medical records drove the need for the utilization of AI to efficiently deal with these data, which have become fundamental resources for a machine to learn by itself. Among several DL models, the convolutional neural network showed outstanding performance in image analysis. In the field of gastroenterology, physicians handle large amounts of clinical data and various kinds of image devices such as endoscopy and ultrasound. AI has been applied in gastroenterology in terms of diagnosis, prognosis, and image analysis. However, potential inherent selection bias cannot be excluded in the form of retrospective study. Because overfitting and spectrum bias (class imbalance) have the possibility of overestimating the accuracy, external validation using unused datasets for model development, collected in a way that minimizes the spectrum bias, is mandatory. For robust verification, prospective studies with adequate inclusion/exclusion criteria, which represent the target populations, are needed. DL has its own lack of interpretability. Because interpretability is important in that it can provide safety measures, help to detect bias, and create social acceptance, further investigations should be performed.</t>
  </si>
  <si>
    <t>World J Gastroenterol</t>
  </si>
  <si>
    <t>10.1007/s11912-019-0845-8</t>
  </si>
  <si>
    <t>Contemporary Approach to Locally Advanced Oral Cavity Squamous Cell Carcinoma</t>
  </si>
  <si>
    <t>PURPOSE OF REVIEW: Surgical management of locally advanced oral cavity squamous cell carcinomas (OCSCC) has long been recognized as a primary treatment modality. Technological advances have led to significant improvements in our surgical approach, from improvement in the visualization of tumors to more efficient and precise reconstruction. Here, we review the latest technological advances in surgical extirpation and reconstruction of locally advanced OCSCCs. RECENT FINDINGS: The focus of technological innovation in surgical extirpation has been on improving visualization, with the use of intraoperative ultrasound for margin delineation, intraoperative navigation, narrow-band imaging, and the use of fluorescence. Though early, these are promising steps to ensuring complete resection of the cancer. Advances in reconstruction have been centered on the incorporation of computer assisted design, manufacturing, and virtual surgical planning, allowing for more complex three-dimensional defects to be expeditiously reconstructed. As these technologies are still under development, their impact on oncologic outcomes are not yet robustly defined; however, as technology continues to advance and become more widely available, new technologies will undoubtedly become integrated into enhancing surgical precision and planning.</t>
  </si>
  <si>
    <t>Curr Oncol Rep</t>
  </si>
  <si>
    <t>Cell Type Classification and Unsupervised Morphological Phenotyping From Low-Resolution Images Using Deep Learning</t>
  </si>
  <si>
    <t>Convolutional neural networks (ConvNets) have proven to be successful in both the classification and semantic segmentation of cell images. Here we establish a method for cell type classification utilizing images taken with a benchtop microscope directly from cell culture flasks, eliminating the need for a dedicated imaging platform. Significant flask-to-flask morphological heterogeneity was discovered and overcome to support network generalization to novel data. Cell density was found to be a prominent source of heterogeneity even when cells are not in contact. For the same cell types, expert classification was poor for single-cell images and better for multi-cell images, suggesting experts rely on the identification of characteristic phenotypes within subsets of each population. We also introduce Self-Label Clustering (SLC), an unsupervised clustering method relying on feature extraction from the hidden layers of a ConvNet, capable of cellular morphological phenotyping. This clustering approach is able to identify distinct morphological phenotypes within a cell type, some of which are observed to be cell density dependent. Finally, our cell classification algorithm was able to accurately identify cells in mixed populations, showing that ConvNet cell type classification can be a label-free alternative to traditional cell sorting and identification.</t>
  </si>
  <si>
    <t>Deep-learning with synthetic data enables automated picking of cryo-EM particle images of biological macromolecules</t>
  </si>
  <si>
    <t>MOTIVATION: Single-particle cryo-electron microscopy (cryo-EM) has become a powerful technique for determining 3D structures of biological macromolecules at near-atomic resolution. However, this approach requires picking huge numbers of macromolecular particle images from thousands of low-contrast, high-noisy electron micrographs. Although machine-learning methods were developed to get rid of this bottleneck, it still lacks universal methods that could automatically picking the noisy cryo-EM particles of various macromolecules. RESULTS: Here, we present a deep-learning segmentation model that employs fully convolutional networks trained with synthetic data of known 3D structures, called PARSED (PARticle SEgmentation Detector). Without using any experimental information, PARSED could automatically segment the cryo-EM particles in a whole micrograph at a time, enabling faster particle picking than previous template/feature-matching and particle-classification methods. Applications to six large public cryo-EM datasets clearly validated its universal ability to pick macromolecular particles of various sizes. Thus, our deep-learning method could break the particle-picking bottleneck in the single-particle analysis, and thereby accelerates the high-resolution structure determination by cryo-EM. AVAILABILITY AND IMPLEMENTATION: The PARSED package and user manual for noncommercial use are available as Supplementary Material (in the compressed file: parsed_v1.zip). SUPPLEMENTARY INFORMATION: Supplementary data are available at Bioinformatics online.</t>
  </si>
  <si>
    <t>Texture Synthesis Based Thyroid Nodule Detection From Medical Ultrasound Images: Interpreting and Suppressing the Adversarial Effect of In-place Manual Annotation</t>
  </si>
  <si>
    <t>Deep learning method have been offering promising solutions for medical image processing, but failing to understand what features in the input image are captured and whether certain artifacts are mistakenly included in the model, thus create crucial problems in generalizability of the model. We targeted a common issue of this kind caused by manual annotations appeared in medical image. These annotations are usually made by the doctors at the spot of medical interest and have adversarial effect on many computer vision AI tasks. We developed an inpainting algorithm to remove the annotations and recover the original images. Besides we applied variational information bottleneck method in order to filter out the unwanted features and enhance the robustness of the model. Our impaiting algorithm is extensively tested in object detection in thyroid ultrasound image data. The mAP (mean average precision, with IoU = 0.3) is 27% without the annotation removal. The mAP is 83% if manually removed the annotations using Photoshop and is enhanced to 90% using our inpainting algorithm. Our work can be utilized in future development and evaluation of artificial intelligence models based on medical images with defects.</t>
  </si>
  <si>
    <t>ECG AI-Guided Screening for Low Ejection Fraction (EAGLE): Rationale and design of a pragmatic cluster randomized trial</t>
  </si>
  <si>
    <t>BACKGROUND: A deep learning algorithm to detect low ejection fraction (EF) using routine 12-lead electrocardiogram (ECG) has recently been developed and validated. The algorithm was incorporated into the electronic health record (EHR) to automatically screen for low EF, encouraging clinicians to obtain a confirmatory transthoracic echocardiogram (TTE) for previously undiagnosed patients, thereby facilitating early diagnosis and treatment. OBJECTIVES: To prospectively evaluate a novel artificial intelligence (AI) screening tool for detecting low EF in primary care practices. DESIGN: The EAGLE trial is a pragmatic two-arm cluster randomized trial (NCT04000087) that will randomize &gt;100 clinical teams (i.e., clusters) to either intervention (access to the new AI screening tool) or control (usual care) at 48 primary care practices across Minnesota and Wisconsin. The trial is expected to involve approximately 400 clinicians and 20,000 patients. The primary endpoint is newly discovered EF ≤50%. Eligible patients will include adults who undergo ECG for any reason and have not been previously diagnosed with low EF. Data will be pulled from the EHR, and no contact will be made with patients. A positive deviance qualitative study and a post-implementation survey will be conducted among select clinicians to identify facilitators and barriers to using the new screening report. SUMMARY: This trial will examine the effectiveness of the AI-enabled ECG for detection of asymptomatic low EF in routine primary care practices and will be among the first to prospectively evaluate the value of AI in real-world practice. Its findings will inform future implementation strategies for the translation of other AI-enabled algorithms.</t>
  </si>
  <si>
    <t>Am Heart J</t>
  </si>
  <si>
    <t>Multimodal skin lesion classification using deep learning</t>
  </si>
  <si>
    <t>While convolutional neural networks (CNNs) have successfully been applied for skin lesion classification, previous studies have generally considered only a single clinical/macroscopic image and output a binary decision. In this work, we have presented a method which combines multiple imaging modalities together with patient metadata to improve the performance of automated skin lesion diagnosis. We evaluated our method on a binary classification task for comparison with previous studies as well as a five class classification task representative of a real-world clinical scenario. We showed that our multimodal classifier outperforms a baseline classifier that only uses a single macroscopic image in both binary melanoma detection (AUC 0.866 vs 0.784) and in multiclass classification (mAP 0.729 vs 0.598). In addition, we have quantitatively showed the automated diagnosis of skin lesions using dermatoscopic images obtains a higher performance when compared to using macroscopic images. We performed experiments on a new data set of 2917 cases where each case contains a dermatoscopic image, macroscopic image and patient metadata.</t>
  </si>
  <si>
    <t>J. Yap, W. Yolland and P. Tschandl</t>
  </si>
  <si>
    <t>Exp Dermatol</t>
  </si>
  <si>
    <t>Automated Breast Ultrasound Lesions Detection Using Convolutional Neural Networks</t>
  </si>
  <si>
    <t>Breast lesion detection using ultrasound imaging is considered an important step of computer-aided diagnosis systems. Over the past decade, researchers have demonstrated the possibilities to automate the initial lesion detection. However, the lack of a common dataset impedes research when comparing the performance of such algorithms. This paper proposes the use of deep learning approaches for breast ultrasound lesion detection and investigates three different methods: a Patch-based LeNet, a U-Net, and a transfer learning approach with a pretrained FCN-AlexNet. Their performance is compared against four state-of-the-art lesion detection algorithms (i.e., Radial Gradient Index, Multifractal Filtering, Rule-based Region Ranking, and Deformable Part Models). In addition, this paper compares and contrasts two conventional ultrasound image datasets acquired from two different ultrasound systems. Dataset A comprises 306 (60 malignant and 246 benign) images and Dataset B comprises 163 (53 malignant and 110 benign) images. To overcome the lack of public datasets in this domain, Dataset B will be made available for research purposes. The results demonstrate an overall improvement by the deep learning approaches when assessed on both datasets in terms of True Positive Fraction, False Positives per image, and F-measure.</t>
  </si>
  <si>
    <t>M. H. Yap, G. Pons, J. Marti, S. Ganau, M. Sentis, R. Zwiggelaar, A. K. Davison, R. Marti, Y. Moi Hoon, G. Pons, J. Marti, S. Ganau, M. Sentis, R. Zwiggelaar, A. K. Davison and R. Marti</t>
  </si>
  <si>
    <t>A Deep Learning Solution for Automatic Fetal Neurosonographic Diagnostic Plane Verification Using Clinical Standard Constraints</t>
  </si>
  <si>
    <t>During routine ultrasound assessment of the fetal brain for biometry estimation and detection of fetal abnormalities, accurate imaging planes must be found by sonologists following a well-defined imaging protocol or clinical standard, which can be difficult for non-experts to do well. This assessment helps provide accurate biometry estimation and the detection of possible brain abnormalities. We describe a machine-learning method to assess automatically that transventricular ultrasound images of the fetal brain have been correctly acquired and meet the required clinical standard. We propose a deep learning solution, which breaks the problem down into three stages: (i) accurate localization of the fetal brain, (ii) detection of regions that contain structures of interest and (iii) learning the acoustic patterns in the regions that enable plane verification. We evaluate the developed methodology on a large real-world clinical data set of 2-D mid-gestation fetal images. We show that the automatic verification method approaches human expert assessment.</t>
  </si>
  <si>
    <t>M. Yaqub, B. Kelly, A. T. Papageorghiou and J. A. Noble</t>
  </si>
  <si>
    <t>Deep learning and artificial intelligence in radiology: Current applications and future directions</t>
  </si>
  <si>
    <t>K. Yasaka and O. Abe</t>
  </si>
  <si>
    <t>Deep Learning with Convolutional Neural Network for Differentiation of Liver Masses at Dynamic Contrast-enhanced CT: A Preliminary Study</t>
  </si>
  <si>
    <t>Purpose To investigate diagnostic performance by using a deep learning method with a convolutional neural network (CNN) for the differentiation of liver masses at dynamic contrast agent-enhanced computed tomography (CT). Materials and Methods This clinical retrospective study used CT image sets of liver masses over three phases (noncontrast-agent enhanced, arterial, and delayed). Masses were diagnosed according to five categories (category A, classic hepatocellular carcinomas [HCCs]; category B, malignant liver tumors other than classic and early HCCs; category C, indeterminate masses or mass-like lesions [including early HCCs and dysplastic nodules] and rare benign liver masses other than hemangiomas and cysts; category D, hemangiomas; and category E, cysts). Supervised training was performed by using 55 536 image sets obtained in 2013 (from 460 patients, 1068 sets were obtained and they were augmented by a factor of 52 [rotated, parallel-shifted, strongly enlarged, and noise-added images were generated from the original images]). The CNN was composed of six convolutional, three maximum pooling, and three fully connected layers. The CNN was tested with 100 liver mass image sets obtained in 2016 (74 men and 26 women; mean age, 66.4 years ± 10.6 [standard deviation]; mean mass size, 26.9 mm ± 25.9; 21, nine, 35, 20, and 15 liver masses for categories A, B, C, D, and E, respectively). Training and testing were performed five times. Accuracy for categorizing liver masses with CNN model and the area under receiver operating characteristic curve for differentiating categories A-B versus categories C-E were calculated. Results Median accuracy of differential diagnosis of liver masses for test data were 0.84. Median area under the receiver operating characteristic curve for differentiating categories A-B from C-E was 0.92. Conclusion Deep learning with CNN showed high diagnostic performance in differentiation of liver masses at dynamic CT. (©) RSNA, 2017 Online supplemental material is available for this article.</t>
  </si>
  <si>
    <t>K. Yasaka, H. Akai, O. Abe and S. Kiryu</t>
  </si>
  <si>
    <t>Deep learning for staging liver fibrosis on CT: a pilot study</t>
  </si>
  <si>
    <t>OBJECTIVES: To investigate whether liver fibrosis can be staged by deep learning techniques based on CT images. METHODS: This clinical retrospective study, approved by our institutional review board, included 496 CT examinations of 286 patients who underwent dynamic contrast-enhanced CT for evaluations of the liver and for whom histopathological information regarding liver fibrosis stage was available. The 396 portal phase images with age and sex data of patients (F0/F1/F2/F3/F4 = 113/36/56/66/125) were used for training a deep convolutional neural network (DCNN); the data for the other 100 (F0/F1/F2/F3/F4 = 29/9/14/16/32) were utilised for testing the trained network, with the histopathological fibrosis stage used as reference. To improve robustness, additional images for training data were generated by rotating or parallel shifting the images, or adding Gaussian noise. Supervised training was used to minimise the difference between the liver fibrosis stage and the fibrosis score obtained from deep learning based on CT images (F(DLCT) score) output by the model. Testing data were input into the trained DCNNs to evaluate their performance. RESULTS: The F(DLCT) scores showed a significant correlation with liver fibrosis stage (Spearman's correlation coefficient = 0.48, p &lt; 0.001). The areas under the receiver operating characteristic curves (with 95% confidence intervals) for diagnosing significant fibrosis (≥ F2), advanced fibrosis (≥ F3) and cirrhosis (F4) by using F(DLCT) scores were 0.74 (0.64-0.85), 0.76 (0.66-0.85) and 0.73 (0.62-0.84), respectively. CONCLUSIONS: Liver fibrosis can be staged by using a deep learning model based on CT images, with moderate performance. KEY POINTS: • Liver fibrosis can be staged by a deep learning model based on magnified CT images including the liver surface, with moderate performance. • Scores from a trained deep learning model showed moderate correlation with histopathological liver fibrosis staging. • Further improvement are necessary before utilisation in clinical settings.</t>
  </si>
  <si>
    <t>K. Yasaka, H. Akai, A. Kunimatsu, O. Abe and S. Kiryu</t>
  </si>
  <si>
    <t>Liver Fibrosis: Deep Convolutional Neural Network for Staging by Using Gadoxetic Acid-enhanced Hepatobiliary Phase MR Images</t>
  </si>
  <si>
    <t>Purpose To investigate the performance of a deep convolutional neural network (DCNN) model in the staging of liver fibrosis using gadoxetic acid-enhanced hepatobiliary phase magnetic resonance (MR) imaging. Materials and Methods This retrospective study included patients for whom input data (hepatobiliary phase MR images, static magnetic field of the imaging unit, and hepatitis B and C virus testing results available, either positive or negative) and reference standard data (liver fibrosis stage evaluated from biopsy or surgical specimens obtained within 6 months of the MR examinations) were available were assigned to the training (534 patients) or the test (100 patients) group. For the training group (54, 53, 81, 113, and 233 patients with fibrosis stages F0, F1, F2, F3, and F4, respectively; mean patient age, 67.4 ± 9.7 years; 388 men and 146 women), MR images with three different section levels were augmented 90-fold (rotated, parallel-shifted, brightness-changed and contrast-changed images were generated; a total of 144 180 images). Supervised training was performed by using the DCNN model to minimize the difference between the output data (fibrosis score obtained through deep learning [F(DL) score]) and liver fibrosis stage. The performance of the DCNN model was evaluated in the test group (10, 10, 15, 20, and 45 patients with fibrosis stages F0, F1, F2, F3, and F4, respectively; mean patient age, 66.8 years ± 10.7; 71 male patients and 29 female patients) with receiver operating characteristic (ROC) analyses. Results The F(DL) score was correlated significantly with fibrosis stage (Spearman rank correlation coefficient: 0.63; P &lt; .001). Fibrosis stages F4, F3, and F2 were diagnosed with areas under the ROC curve of 0.84, 0.84, and 0.85, respectively. Conclusion The DCNN model exhibited a high diagnostic performance in the staging of liver fibrosis. (©) RSNA, 2017 Online supplemental material is available for this article.</t>
  </si>
  <si>
    <t>10.1007/s11604-018-0726-3</t>
  </si>
  <si>
    <t>Deep learning with convolutional neural network in radiology</t>
  </si>
  <si>
    <t>Deep learning with a convolutional neural network (CNN) is gaining attention recently for its high performance in image recognition. Images themselves can be utilized in a learning process with this technique, and feature extraction in advance of the learning process is not required. Important features can be automatically learned. Thanks to the development of hardware and software in addition to techniques regarding deep learning, application of this technique to radiological images for predicting clinically useful information, such as the detection and the evaluation of lesions, etc., are beginning to be investigated. This article illustrates basic technical knowledge regarding deep learning with CNNs along the actual course (collecting data, implementing CNNs, and training and testing phases). Pitfalls regarding this technique and how to manage them are also illustrated. We also described some advanced topics of deep learning, results of recent clinical studies, and the future directions of clinical application of deep learning techniques.</t>
  </si>
  <si>
    <t>Prediction of bone mineral density from computed tomography: application of deep learning with a convolutional neural network</t>
  </si>
  <si>
    <t>OBJECTIVES: To investigate whether a deep learning model can predict the bone mineral density (BMD) of lumbar vertebrae from unenhanced abdominal computed tomography (CT) images. METHODS: In this Institutional Review Board-approved retrospective study, patients who received both unenhanced CT examinations and dual-energy X-ray absorptiometry (DXA) of the lumbar vertebrae, in two institutions (1 and 2), were included. Supervised deep learning was employed to obtain a convolutional neural network (CNN) model using axial CT images, including the lumbar vertebrae as input data and BMD values obtained with DXA as reference data. For this purpose, 1665 CT images from 183 patients in institution 1, which were augmented to 99,900 (= 1665 × 60) images (noise adding, parallel shift and rotation were performed), were used. Internal (by using data of 45 other patients in institution 1) and external validations (by using data of 50 patients in institution 2) were performed to evaluate the performance of the trained CNN model. Correlations and diagnostic performances were evaluated with Pearson's correlation coefficient (r) and area under the receiver operating characteristic curve (AUC), respectively. RESULTS: The estimated BMD values, according to the CNN model (BMD(CNN)), were significantly correlated with the BMD values obtained with DXA (r = 0.852 (p &lt; 0.001) and 0.840 (p &lt; 0.001) for the internal and external validation datasets, respectively). Using BMD(CNN), osteoporosis was diagnosed with AUCs of 0.965 and 0.970 for the internal and external validation datasets, respectively. CONCLUSIONS: Using deep learning, the BMD of lumbar vertebrae could be predicted from unenhanced abdominal CT images. KEY POINTS: • By applying a deep learning technique, the bone mineral density (BMD) of lumbar vertebrae can be estimated from unenhanced abdominal CT images. • A strong correlation was observed between the estimated BMD and the BMD obtained with DXA. • By using the estimated BMD, osteoporosis could be diagnosed with high performance.</t>
  </si>
  <si>
    <t>A deep network for tissue microstructure estimation using modified LSTM units</t>
  </si>
  <si>
    <t>Diffusion magnetic resonance imaging (dMRI) offers a unique tool for noninvasively assessing tissue microstructure. However, accurate estimation of tissue microstructure described by complicated signal models can be challenging when a reduced number of diffusion gradients are used. Deep learning based microstructure estimation has recently been developed and achieved promising results. In particular, optimization-based learning, where deep network structures are constructed by unfolding the iterative processes performed for solving optimization problems, has demonstrated great potential in accurate microstructure estimation with a reduced number of diffusion gradients. In this work, using the optimization-based learning strategy, we propose a deep network structure that is motivated by the use of historical information in iterative optimization for tissue microstructure estimation, and such incorporation of historical information has not been previously explored in the design of deep networks for microstructure estimation. We assume that (1) diffusion signals can be sparsely represented by a dictionary and its coefficients jointly in the spatial and angular domain, and (2) tissue microstructure can be computed from the sparse representation. Following these assumptions, our network comprises two cascaded stages. The first stage takes image patches as input and computes the spatial-angular sparse representation of the input with learned weights. Specifically, the network structure in the first stage is constructed by unfolding an iterative process for solving sparse reconstruction problems, where historical information is incorporated. The components in this network can be shown to correspond to modified long short-term memory (LSTM) units. In the second stage, fully connected layers are added to compute the mapping from the sparse representation to tissue microstructure. The weights in the two stages are learned jointly by minimizing the mean squared error of microstructure estimation. Experiments were performed on dMRI scans with a reduced number of diffusion gradients. For demonstration, we evaluated the estimation of tissue microstructure described by three signal models: the neurite orientation dispersion and density imaging (NODDI) model, the spherical mean technique (SMT) model, and the ensemble average propagator (EAP) model. The results indicate that the proposed approach outperforms competing methods.</t>
  </si>
  <si>
    <t>OBJECTIVES: To evaluate the performance of a novel three-dimensional (3D) joint convolutional and recurrent neural network (CNN-RNN) for the detection of intracranial hemorrhage (ICH) and its five subtypes (cerebral parenchymal, intraventricular, subdural, epidural, and subarachnoid) in non-contrast head CT. METHODS: A total of 2836 subjects (ICH/normal, 1836/1000) from three institutions were included in this ethically approved retrospective study, with a total of 76,621 slices from non-contrast head CT scans. ICH and its five subtypes were annotated by three independent experienced radiologists, with majority voting as reference standard for both the subject level and the slice level. Ninety percent of data was used for training and validation, and the rest 10% for final evaluation. A joint CNN-RNN classification framework was proposed, with the flexibility to train when subject-level or slice-level labels are available. The predictions were compared with the interpretations from three junior radiology trainees and an additional senior radiologist. RESULTS: It took our algorithm less than 30 s on average to process a 3D CT scan. For the two-type classification task (predicting bleeding or not), our algorithm achieved excellent values (≥ 0.98) across all reporting metrics on the subject level. For the five-type classification task (predicting five subtypes), our algorithm achieved &gt; 0.8 AUC across all subtypes. The performance of our algorithm was generally superior to the average performance of the junior radiology trainees for both two-type and five-type classification tasks. CONCLUSIONS: The proposed method was able to accurately detect ICH and its subtypes with fast speed, suggesting its potential for assisting radiologists and physicians in their clinical diagnosis workflow. KEY POINTS: • A 3D joint CNN-RNN deep learning framework was developed for ICH detection and subtype classification, which has the flexibility to train with either subject-level labels or slice-level labels. • This deep learning framework is fast and accurate at detecting ICH and its subtypes. • The performance of the automated algorithm was superior to the average performance of three junior radiology trainees in this work, suggesting its potential to reduce initial misinterpretations.</t>
  </si>
  <si>
    <t>Development of automatic measurement for patellar height based on deep learning and knee radiographs</t>
  </si>
  <si>
    <t>OBJECTIVES: To develop and evaluate the performance of a deep learning-based system for automatic patellar height measurements using knee radiographs. METHODS: The deep learning-based algorithm was developed with a data set consisting of 1018 left knee radiographs for the prediction of patellar height parameters, specifically the Insall-Salvati index (ISI), Caton-Deschamps index (CDI), modified Caton-Deschamps index (MCDI), and Keerati index (KI). The performance and generalizability of the algorithm were tested with 200 left knee and 200 right knee radiographs, respectively. The intra-class correlation coefficient (ICC), Pearson correlation coefficient, mean absolute difference (MAD), root mean square (RMS), and Bland-Altman plots for predictions by the system were evaluated in comparison with manual measurements as the reference standard. RESULTS: Compared with the reference standard, the deep learning-based algorithm showed high accuracy in predicting the ISI, CDI, and KI (left knee ICC = 0.91-0.95, r = 0.84-0.91, MAD = 0.02-0.05, RMS = 0.02-0.07; right knee ICC = 0.87-0.96, r = 0.78-0.92, MAD = 0.02-0.06, RMS = 0.02-0.10), but not the MCDI (left knee ICC = 0.65, r = 0.50, MAD = 0.14, RMS = 0.18; right knee ICC = 0.62, r = 0.47, MAD = 0.15, RMS = 0.20). The performance of the algorithm met or exceeded that of manual determination of ISI, CDI, and KI by radiologists. CONCLUSIONS: In its current state, the developed system can predict the ISI, CDI, and KI for both left and right knee radiographs as accurately as radiologists. Training the system further with more data would increase its utility in helping radiologists measure patellar height in clinical practice. KEY POINTS: • Objective and reliable measurement of patellar height parameters is important for clinical diagnosis and the development of a treatment strategy. • Deep learning can be used to create an automatic patellar height measurement system based on knee radiographs. • The deep learning-based patellar height measurement system achieves comparable performance to radiologists in measuring ISI, CDI, and KI.</t>
  </si>
  <si>
    <t>Detection of pulmonary ground-glass opacity based on deep learning computer artificial intelligence</t>
  </si>
  <si>
    <t>BACKGROUND: A deep learning computer artificial intelligence system is helpful for early identification of ground glass opacities (GGOs). METHODS: Images from the Lung Image Database Consortium and Image Database Resource Initiative (LIDC-IDRI) database were used in AlexNet and GoogLeNet to detect pulmonary nodules, and 221 GGO images provided by Xinhua Hospital were used in ResNet50 for detecting GGOs. We used computed tomography image radial reorganization to create the input image of the three-dimensional features, and used the extracted features for deep learning, network training, testing, and analysis. RESULTS: In the final evaluation results, we found that the accuracy of identification of lung nodule could reach 88.0%, with an F-score of 0.891. In terms of performance and accuracy, our method was better than the existing solutions. The GGO nodule classification achieved the best F-score of 0.87805. We propose a preprocessing method of red, green, and blue (RGB) superposition in the region of interest to effectively increase the differentiation between nodules and normal tissues, and that is the innovation of our research. CONCLUSIONS: The method of deep learning proposed in this study is more sensitive than other systems in recent years, and the average false positive is lower than that of others.</t>
  </si>
  <si>
    <t>W. Ye, W. Gu, X. Guo, P. Yi, Y. Meng, F. Han, L. Yu, Y. Chen, G. Zhang and X. Wang</t>
  </si>
  <si>
    <t>Pipeline comparisons of convolutional neural networks for structural connectomes: predicting sex across 3,152 participants</t>
  </si>
  <si>
    <t>With several initiatives well underway towards amassing large and high-quality population-based neuroimaging datasets, deep learning is set to push the boundaries of what is possible in classification and prediction in neuroimaging studies. This includes those that derive increasingly popular structural connectomes, which map out the connections (and their relative strengths) between brain regions. Here, we test different Convolutional Neural Network (CNN) models in a benchmark sex prediction task in a large sample of N=3,152 structural connectomes acquired from the UK Biobank, and compare results across different connectome processing choices. The best results (76.5% test accuracy) were achieved using Fractional Anisotropy (FA) weighted connectomes, without sparsification, and with a simple weight normalisation through division by the maximum FA value. We also confirm that for structural connectomes, a Graph CNN approach, the recently proposed BrainNetCNN, outperforms an image-based CNN.</t>
  </si>
  <si>
    <t>Technology trends and applications of deep learning in ultrasonography: image quality enhancement, diagnostic support, and improving workflow efficiency</t>
  </si>
  <si>
    <t>In this review of the most recent applications of deep learning to ultrasound imaging, the architectures of deep learning networks are briefly explained for the medical imaging applications of classification, detection, segmentation, and generation. Ultrasonography applications for image processing and diagnosis are then reviewed and summarized, along with some representative imaging studies of the breast, thyroid, heart, kidney, liver, and fetal head. Efforts towards workflow enhancement are also reviewed, with an emphasis on view recognition, scanning guide, image quality assessment, and quantification and measurement. Finally some future prospects are presented regarding image quality enhancement, diagnostic support, and improvements in workflow efficiency, along with remarks on hurdles, benefits, and necessary collaborations.</t>
  </si>
  <si>
    <t>Ultrasonography</t>
  </si>
  <si>
    <t>Attentive neural cell instance segmentation</t>
  </si>
  <si>
    <t>Neural cell instance segmentation, which aims at joint detection and segmentation of every neural cell in a microscopic image, is essential to many neuroscience applications. The challenge of this task involves cell adhesion, cell distortion, unclear cell contours, low-contrast cell protrusion structures, and background impurities. Consequently, current instance segmentation methods generally fall short of precision. In this paper, we propose an attentive instance segmentation method that accurately predicts the bounding box of each cell as well as its segmentation mask simultaneously. In particular, our method builds on a joint network that combines a single shot multi-box detector (SSD) and a U-net. Furthermore, we employ the attention mechanism in both detection and segmentation modules to focus the model on the useful features. The proposed method is validated on a dataset of neural cell microscopic images. Experimental results demonstrate that our approach can accurately detect and segment neural cell instances at a fast speed, comparing favorably with the state-of-the-art methods. Our code is released on GitHub. The link is https://github.com/yijingru/ANCIS-Pytorch.</t>
  </si>
  <si>
    <t>Artificial Intelligence and Radiology: Collaboration Is Key</t>
  </si>
  <si>
    <t>P. H. Yi, F. K. Hui and D. S. W. Ting</t>
  </si>
  <si>
    <t>Generalizability of Deep Learning Tuberculosis Classifier to COVID-19 Chest Radiographs: New Tricks for an Old Algorithm?</t>
  </si>
  <si>
    <t>P. H. Yi, T. K. Kim and C. T. Lin</t>
  </si>
  <si>
    <t>Automated semantic labeling of pediatric musculoskeletal radiographs using deep learning</t>
  </si>
  <si>
    <t>BACKGROUND: An automated method for identifying the anatomical region of an image independent of metadata labels could improve radiologist workflow (e.g., automated hanging protocols) and help facilitate the automated curation of large medical imaging data sets for machine learning purposes. Deep learning is a potential tool for this purpose. OBJECTIVE: To develop and test the performance of deep convolutional neural networks (DCNN) for the automated classification of pediatric musculoskeletal radiographs by anatomical area. MATERIALS AND METHODS: We utilized a database of 250 pediatric bone radiographs (50 each of the shoulder, elbow, hand, pelvis and knee) to train 5 DCNNs, one to detect each anatomical region amongst the others, based on ResNet-18 pretrained on ImageNet (transfer learning). For each DCNN, the radiographs were randomly split into training (64%), validation (12%) and test (24%) data sets. The training and validation data sets were augmented 30 times using standard preprocessing methods. We also tested our DCNNs on a separate test set of 100 radiographs from a single institution. Receiver operating characteristics (ROC) with area under the curve (AUC) were used to evaluate DCNN performances. RESULTS: All five DCNN trained for classification of the radiographs into anatomical region achieved ROC AUC of 1, respectively, for both test sets. Classification of the test radiographs occurred at a rate of 33 radiographs per s. CONCLUSION: DCNNs trained on a small set of images with 30 times augmentation through standard processing techniques are able to automatically classify pediatric musculoskeletal radiographs into anatomical region with near-perfect to perfect accuracy at superhuman speeds. This concept may apply to other body parts and radiographic views with the potential to create an all-encompassing semantic-labeling DCNN.</t>
  </si>
  <si>
    <t>P. H. Yi, T. K. Kim, J. Wei, J. Shin, F. K. Hui, H. I. Sair, G. D. Hager and J. Fritz</t>
  </si>
  <si>
    <t>Pediatr Radiol</t>
  </si>
  <si>
    <t>Deep-Learning-Based Semantic Labeling for 2D Mammography and Comparison of Complexity for Machine Learning Tasks</t>
  </si>
  <si>
    <t>Machine learning has several potential uses in medical imaging for semantic labeling of images to improve radiologist workflow and to triage studies for review. The purpose of this study was to (1) develop deep convolutional neural networks (DCNNs) for automated classification of 2D mammography views, determination of breast laterality, and assessment and of breast tissue density; and (2) compare the performance of DCNNs on these tasks of varying complexity to each other. We obtained 3034 2D-mammographic images from the Digital Database for Screening Mammography, annotated with mammographic view, image laterality, and breast tissue density. These images were used to train a DCNN to classify images for these three tasks. The DCNN trained to classify mammographic view achieved receiver-operating-characteristic (ROC) area under the curve (AUC) of 1. The DCNN trained to classify breast image laterality initially misclassified right and left breasts (AUC 0.75); however, after discontinuing horizontal flips during data augmentation, AUC improved to 0.93 (p &lt; 0.0001). Breast density classification proved more difficult, with the DCNN achieving 68% accuracy. Automated semantic labeling of 2D mammography is feasible using DCNNs and can be performed with small datasets. However, automated classification of differences in breast density is more difficult, likely requiring larger datasets.</t>
  </si>
  <si>
    <t>P. H. Yi, A. Lin, J. Wei, A. C. Yu, H. I. Sair, F. K. Hui, G. D. Hager and S. C. Harvey</t>
  </si>
  <si>
    <t>Automated detection &amp; classification of knee arthroplasty using deep learning</t>
  </si>
  <si>
    <t>BACKGROUND: Preoperative identification of knee arthroplasty is important for planning revision surgery. However, up to 10% of implants are not identified prior to surgery. The purposes of this study were to develop and test the performance of a deep learning system (DLS) for the automated radiographic 1) identification of the presence or absence of a total knee arthroplasty (TKA); 2) classification of TKA vs. unicompartmental knee arthroplasty (UKA); and 3) differentiation between two different primary TKA models. METHOD: We collected 237 anteroposterior (AP) knee radiographs with equal proportions of native knees, TKA, and UKA and 274 AP knee radiographs with equal proportions of two TKA models. Data augmentation was used to increase the number of images for deep convolutional neural network (DCNN) training. A DLS based on DCNNs was trained on these images. Receiver operating characteristic (ROC) curves with area under the curve (AUC) were generated. Heatmaps were created using class activation mapping (CAM) to identify image features most important for DCNN decision-making. RESULTS: DCNNs trained to detect TKA and distinguish between TKA and UKA both achieved AUC of 1. Heatmaps demonstrated appropriate emphasis of arthroplasty components in decision-making. The DCNN trained to distinguish between the two TKA models achieved AUC of 1. Heatmaps showed emphasis of specific unique features of the TKA model designs, such as the femoral component anterior flange shape. CONCLUSIONS: DCNNs can accurately identify presence of TKA and distinguish between specific arthroplasty designs. This proof-of-concept could be applied towards identifying other prosthesis models and prosthesis-related complications.</t>
  </si>
  <si>
    <t>Knee</t>
  </si>
  <si>
    <t>Sharpness-Aware Low-Dose CT Denoising Using Conditional Generative Adversarial Network</t>
  </si>
  <si>
    <t>Low-dose computed tomography (LDCT) has offered tremendous benefits in radiation-restricted applications, but the quantum noise as resulted by the insufficient number of photons could potentially harm the diagnostic performance. Current image-based denoising methods tend to produce a blur effect on the final reconstructed results especially in high noise levels. In this paper, a deep learning-based approach was proposed to mitigate this problem. An adversarially trained network and a sharpness detection network were trained to guide the training process. Experiments on both simulated and real dataset show that the results of the proposed method have very small resolution loss and achieves better performance relative to state-of-the-art methods both quantitatively and visually.</t>
  </si>
  <si>
    <t>10.1016/j.media.2019.101552</t>
  </si>
  <si>
    <t>Generative adversarial network in medical imaging: A review</t>
  </si>
  <si>
    <t>Generative adversarial networks have gained a lot of attention in the computer vision community due to their capability of data generation without explicitly modelling the probability density function. The adversarial loss brought by the discriminator provides a clever way of incorporating unlabeled samples into training and imposing higher order consistency. This has proven to be useful in many cases, such as domain adaptation, data augmentation, and image-to-image translation. These properties have attracted researchers in the medical imaging community, and we have seen rapid adoption in many traditional and novel applications, such as image reconstruction, segmentation, detection, classification, and cross-modality synthesis. Based on our observations, this trend will continue and we therefore conducted a review of recent advances in medical imaging using the adversarial training scheme with the hope of benefiting researchers interested in this technique.</t>
  </si>
  <si>
    <t>Predicting conversion to wet age-related macular degeneration using deep learning</t>
  </si>
  <si>
    <t>Progression to exudative 'wet' age-related macular degeneration (exAMD) is a major cause of visual deterioration. In patients diagnosed with exAMD in one eye, we introduce an artificial intelligence (AI) system to predict progression to exAMD in the second eye. By combining models based on three-dimensional (3D) optical coherence tomography images and corresponding automatic tissue maps, our system predicts conversion to exAMD within a clinically actionable 6-month time window, achieving a per-volumetric-scan sensitivity of 80% at 55% specificity, and 34% sensitivity at 90% specificity. This level of performance corresponds to true positives in 78% and 41% of individual eyes, and false positives in 56% and 17% of individual eyes at the high sensitivity and high specificity points, respectively. Moreover, we show that automatic tissue segmentation can identify anatomical changes before conversion and high-risk subgroups. This AI system overcomes substantial interobserver variability in expert predictions, performing better than five out of six experts, and demonstrates the potential of using AI to predict disease progression.</t>
  </si>
  <si>
    <t>Computer-aided identification of interstitial lung disease based on computed tomography</t>
  </si>
  <si>
    <t>OBJECTIVE: Identification of interstitial lung disease (ILD) may be difficult in certain cases using pulmonary function tests (PFTs) or subjective radiological analysis. We evaluated the efficacy of quantitative computed tomography (CT) with 3-dimensional (3D) reconstruction for distinguishing ILD patients from healthy controls. MATERIALS AND METHODS: We retrospectively collected chest CT images of 102 ILD patients and 102 healthy matched controls, and measured the following parameters: lung parenchymal volume, emphysema indices low attenuation area LAA910 volume, LAA950 volume, LAA910%, and LAA950%, and mean lung density (MLD) for whole lung, left lung, right lung, and each lobe, respectively. The Mann-Whitney U test was used to compare quantitative CT parameters between groups. Receiver operating characteristic (ROC) curves, Bayesian stepwise discriminant analysis, and deep neural network analysis were used to test the discriminative performance of quantitative CT parameters. Binary logistic regression was performed to identify ILD markers. RESULTS: Total lung volume was lower in ILD patients than controls, while emphysema and MLD values were higher (P &lt; 0.001) except LAA910 volume in right middle lobe. LAA910 volume, LAA950 volume, LAA910%, LAA950%, and MLD accurately distinguished ILD patients from healthy controls (AUC &gt;0.5, P &lt; 0.05), and high MLD was a significant marker for ILD (OR = 1.047, P &lt; 0.05). CONCLUSIONS: This quantitative CT analysis can effectively identify ILD patients, providing an alternative to subjective image analysis and PFTs.</t>
  </si>
  <si>
    <t>Domain Progressive 3D Residual Convolution Network to Improve Low-Dose CT Imaging</t>
  </si>
  <si>
    <t>The wide applications of X-ray computed tomography (CT) bring low-dose CT (LDCT) into a clinical prerequisite, but reducing the radiation exposure in CT often leads to significantly increased noise and artifacts, which might lower the judgment accuracy of radiologists. In this paper, we put forward a domain progressive 3D residual convolution network (DP-ResNet) for the LDCT imaging procedure that contains three stages: sinogram domain network (SD-net), filtered back projection (FBP), and image domain network (ID-net). Though both are based on the residual network structure, the SD-net and ID-net provide complementary effect on improving the final LDCT quality. The experimental results with both simulated and real projection data show that this domain progressive deep-learning network achieves significantly improved performance by combing the network processing in the two domains.</t>
  </si>
  <si>
    <t>10.1016/j.cmpb.2016.08.026</t>
  </si>
  <si>
    <t>Exploring the complementarity of THz pulse imaging and DCE-MRIs: Toward a unified multi-channel classification and a deep learning framework</t>
  </si>
  <si>
    <t>We provide a comprehensive account of recent advances in biomedical image analysis and classification from two complementary imaging modalities: terahertz (THz) pulse imaging and dynamic contrast-enhanced magnetic resonance imaging (DCE-MRI). The work aims to highlight underlining commonalities in both data structures so that a common multi-channel data fusion framework can be developed. Signal pre-processing in both datasets is discussed briefly taking into consideration advances in multi-resolution analysis and model based fractional order calculus system identification. Developments in statistical signal processing using principal component and independent component analysis are also considered. These algorithms have been developed independently by the THz-pulse imaging and DCE-MRI communities, and there is scope to place them in a common multi-channel framework to provide better software standardization at the pre-processing de-noising stage. A comprehensive discussion of feature selection strategies is also provided and the importance of preserving textural information is highlighted. Feature extraction and classification methods taking into consideration recent advances in support vector machine (SVM) and extreme learning machine (ELM) classifiers and their complex extensions are presented. An outlook on Clifford algebra classifiers and deep learning techniques suitable to both types of datasets is also provided. The work points toward the direction of developing a new unified multi-channel signal processing framework for biomedical image analysis that will explore synergies from both sensing modalities for inferring disease proliferation.</t>
  </si>
  <si>
    <t>Cascade marker removal algorithm for thyroid ultrasound images</t>
  </si>
  <si>
    <t>During thyroid ultrasound diagnosis, radiologists add markers such as pluses or crosses near a nodule's edge to indicate the location of a nodule. For computer-aided detection, deep learning models achieve classification, segmentation, and detection by learning the thyroid's texture in ultrasound images. Experiments show that manual markers are strong prior knowledge for data-driven deep learning models, which interferes with the judgment mechanism of computer-aided detection systems. Aiming at this problem, this paper proposes cascade marker removal algorithm for thyroid ultrasound images to eliminate the interference of manual markers. The algorithm consists of three parts. First, in order to highlight marked features, the algorithm extracts salient features in thyroid ultrasound images through feature extraction module. Secondly, mask correction module eliminates the interference of other features besides markers' features. Finally, the marker removal module removes markers without destroying the semantic information in thyroid ultrasound images. Experiments show that our algorithm enables classification, segmentation, and object detection models to focus on the learning of pathological tissue features. At the same time, compared with mainstream image inpainting algorithms, our algorithm shows better performance on thyroid ultrasound images. In summary, our algorithm is of great significance for improving the stability and performance of computer-aided detection systems. Graphical Abstract During thyroid ultrasound diagnosis, doctors add markers such as pluses or crosses near nodule's edge to indicate the location of nodule. Manual markers are strong prior knowledge for data-driven deep learning models, which interferes the judgment mechanism of computer-aided diagnosis system based on deep learning. Markers make models overfit the specific labeling forms easily, and performs poorly on unmarked thyroid ultrasound images. Aiming at this problem, this paper proposes a cascade marker removal algorithm to eliminate the interference of manual markers. Our algorithm make deep learning models pay attention on nodules' features of thyroid ultrasound images, which make computer-aided diagnosis system performs good in both marked imaging and unmarked imaging.</t>
  </si>
  <si>
    <t>Validation of a Deep Learning Algorithm for the Detection of Malignant Pulmonary Nodules in Chest Radiographs</t>
  </si>
  <si>
    <t>IMPORTANCE: The improvement of pulmonary nodule detection, which is a challenging task when using chest radiographs, may help to elevate the role of chest radiographs for the diagnosis of lung cancer. OBJECTIVE: To assess the performance of a deep learning-based nodule detection algorithm for the detection of lung cancer on chest radiographs from participants in the National Lung Screening Trial (NLST). DESIGN, SETTING, AND PARTICIPANTS: This diagnostic study used data from participants in the NLST ro assess the performance of a deep learning-based artificial intelligence (AI) algorithm for the detection of pulmonary nodules and lung cancer on chest radiographs using separate training (in-house) and validation (NLST) data sets. Baseline (T0) posteroanterior chest radiographs from 5485 participants (full T0 data set) were used to assess lung cancer detection performance, and a subset of 577 of these images (nodule data set) were used to assess nodule detection performance. Participants aged 55 to 74 years who currently or formerly (ie, quit within the past 15 years) smoked cigarettes for 30 pack-years or more were enrolled in the NLST at 23 US centers between August 2002 and April 2004. Information on lung cancer diagnoses was collected through December 31, 2009. Analyses were performed between August 20, 2019, and February 14, 2020. EXPOSURES: Abnormality scores produced by the AI algorithm. MAIN OUTCOMES AND MEASURES: The performance of an AI algorithm for the detection of lung nodules and lung cancer on radiographs, with lung cancer incidence and mortality as primary end points. RESULTS: A total of 5485 participants (mean [SD] age, 61.7 [5.0] years; 3030 men [55.2%]) were included, with a median follow-up duration of 6.5 years (interquartile range, 6.1-6.9 years). For the nodule data set, the sensitivity and specificity of the AI algorithm for the detection of pulmonary nodules were 86.2% (95% CI, 77.8%-94.6%) and 85.0% (95% CI, 81.9%-88.1%), respectively. For the detection of all cancers, the sensitivity was 75.0% (95% CI, 62.8%-87.2%), the specificity was 83.3% (95% CI, 82.3%-84.3%), the positive predictive value was 3.8% (95% CI, 2.6%-5.0%), and the negative predictive value was 99.8% (95% CI, 99.6%-99.9%). For the detection of malignant pulmonary nodules in all images of the full T0 data set, the sensitivity was 94.1% (95% CI, 86.2%-100.0%), the specificity was 83.3% (95% CI, 82.3%-84.3%), the positive predictive value was 3.4% (95% CI, 2.2%-4.5%), and the negative predictive value was 100.0% (95% CI, 99.9%-100.0%). In digital radiographs of the nodule data set, the AI algorithm had higher sensitivity (96.0% [95% CI, 88.3%-100.0%] vs 88.0% [95% CI, 75.3%-100.0%]; P = .32) and higher specificity (93.2% [95% CI, 89.9%-96.5%] vs 82.8% [95% CI, 77.8%-87.8%]; P = .001) for nodule detection compared with the NLST radiologists. For malignant pulmonary nodule detection on digital radiographs of the full T0 data set, the sensitivity of the AI algorithm was higher (100.0% [95% CI, 100.0%-100.0%] vs 94.1% [95% CI, 82.9%-100.0%]; P = .32) compared with the NLST radiologists, and the specificity (90.9% [95% CI, 89.6%-92.1%] vs 91.0% [95% CI, 89.7%-92.2%]; P = .91), positive predictive value (8.2% [95% CI, 4.4%-11.9%] vs 7.8% [95% CI, 4.1%-11.5%]; P = .65), and negative predictive value (100.0% [95% CI, 100.0%-100.0%] vs 99.9% [95% CI, 99.8%-100.0%]; P = .32) were similar to those of NLST radiologists. CONCLUSIONS AND RELEVANCE: In this study, the AI algorithm performed better than NLST radiologists for the detection of pulmonary nodules on digital radiographs. When used as a second reader, the AI algorithm may help to detect lung cancer.</t>
  </si>
  <si>
    <t>Prostate Cancer Detection using Deep Convolutional Neural Networks</t>
  </si>
  <si>
    <t>Prostate cancer is one of the most common forms of cancer and the third leading cause of cancer death in North America. As an integrated part of computer-aided detection (CAD) tools, diffusion-weighted magnetic resonance imaging (DWI) has been intensively studied for accurate detection of prostate cancer. With deep convolutional neural networks (CNNs) significant success in computer vision tasks such as object detection and segmentation, different CNN architectures are increasingly investigated in medical imaging research community as promising solutions for designing more accurate CAD tools for cancer detection. In this work, we developed and implemented an automated CNN-based pipeline for detection of clinically significant prostate cancer (PCa) for a given axial DWI image and for each patient. DWI images of 427 patients were used as the dataset, which contained 175 patients with PCa and 252 patients without PCa. To measure the performance of the proposed pipeline, a test set of 108 (out of 427) patients were set aside and not used in the training phase. The proposed pipeline achieved area under the receiver operating characteristic curve (AUC) of 0.87 (95[Formula: see text] Confidence Interval (CI): 0.84-0.90) and 0.84 (95[Formula: see text] CI: 0.76-0.91) at slice level and patient level, respectively.</t>
  </si>
  <si>
    <t>Toward automated severe pharyngitis detection with smartphone camera using deep learning networks</t>
  </si>
  <si>
    <t>PURPOSE: Severe pharyngitis is frequently associated with inflammations caused by streptococcal pharyngitis, which can cause immune-mediated and post-infectious complications. The recent global pandemic of coronavirus disease (COVID-19) encourages the use of telemedicine for patients with respiratory symptoms. This study, therefore, purposes automated detection of severe pharyngitis using a deep learning framework with self-taken throat images. METHODS: A dataset composed of two classes of 131 throat images with pharyngitis and 208 normal throat images was collected. Before the training classifier, we constructed a cycle consistency generative adversarial network (CycleGAN) to augment the training dataset. The ResNet50, Inception-v3, and MobileNet-v2 architectures were trained with transfer learning and validated using a randomly selected test dataset. The performance of the models was evaluated based on the accuracy and area under the receiver operating characteristic curve (ROC-AUC). RESULTS: The CycleGAN-based synthetic images reflected the pragmatic characteristic features of pharyngitis. Using the synthetic throat images, the deep learning model demonstrated a significant improvement in the accuracy of the pharyngitis diagnosis. ResNet50 with GAN-based augmentation showed the best ROC-AUC of 0.988 for pharyngitis detection in the test dataset. In the 4-fold cross-validation using the ResNet50, the highest detection accuracy and ROC-AUC achieved were 95.3% and 0.992, respectively. CONCLUSION: The deep learning model for smartphone-based pharyngitis screening allows fast identification of severe pharyngitis with a potential of the timely diagnosis of pharyngitis. In the recent pandemic of COVID-19, this framework will help patients with upper respiratory symptoms to improve convenience in diagnosis and reduce transmission.</t>
  </si>
  <si>
    <t>The possibility of the combination of OCT and fundus images for improving the diagnostic accuracy of deep learning for age-related macular degeneration: a preliminary experiment</t>
  </si>
  <si>
    <t>Recently, researchers have built new deep learning (DL) models using a single image modality to diagnose age-related macular degeneration (AMD). Retinal fundus and optical coherence tomography (OCT) images in clinical settings are the most important modalities investigating AMD. Whether concomitant use of fundus and OCT data in DL technique is beneficial has not been so clearly identified. This experimental analysis used OCT and fundus image data of postmortems from the Project Macula. The DL based on OCT, fundus, and combination of OCT and fundus were invented to diagnose AMD. These models consisted of pre-trained VGG-19 and transfer learning using random forest. Following the data augmentation and training process, the DL using OCT alone showed diagnostic efficiency with area under the curve (AUC) of 0.906 (95% confidence interval, 0.891-0.921) and 82.6% (81.0-84.3%) accuracy rate. The DL using fundus alone exhibited AUC of 0.914 (0.900-0.928) and 83.5% (81.8-85.0%) accuracy rate. Combined usage of the fundus with OCT increased the diagnostic power with AUC of 0.969 (0.956-0.979) and 90.5% (89.2-91.8%) accuracy rate. The Delong test showed that the DL using both OCT and fundus data outperformed the DL using OCT alone (P value &lt; 0.001) and fundus image alone (P value &lt; 0.001). This multimodal random forest model showed even better performance than a restricted Boltzmann machine (P value = 0.002) and deep belief network algorithms (P value = 0.042). According to Duncan's multiple range test, the multimodal methods significantly improved the performance obtained by the single-modal methods. In this preliminary study, a multimodal DL algorithm based on the combination of OCT and fundus image raised the diagnostic accuracy compared to this data alone. Future diagnostic DL needs to adopt the multimodal process to combine various types of imaging for a more precise AMD diagnosis. Graphical abstract The basic architectural structure of the tested multimodal deep learning model based on pre-trained deep convolutional neural network and random forest using the combination of OCT and fundus image.</t>
  </si>
  <si>
    <t>T. K. Yoo, J. Y. Choi, J. G. Seo, B. Ramasubramanian, S. Selvaperumal and D. W. Kim</t>
  </si>
  <si>
    <t>Deep learning of joint myelin and T1w MRI features in normal-appearing brain tissue to distinguish between multiple sclerosis patients and healthy controls</t>
  </si>
  <si>
    <t>Myelin imaging is a form of quantitative magnetic resonance imaging (MRI) that measures myelin content and can potentially allow demyelinating diseases such as multiple sclerosis (MS) to be detected earlier. Although focal lesions are the most visible signs of MS pathology on conventional MRI, it has been shown that even tissues that appear normal may exhibit decreased myelin content as revealed by myelin-specific images (i.e., myelin maps). Current methods for analyzing myelin maps typically use global or regional mean myelin measurements to detect abnormalities, but ignore finer spatial patterns that may be characteristic of MS. In this paper, we present a machine learning method to automatically learn, from multimodal MR images, latent spatial features that can potentially improve the detection of MS pathology at early stage. More specifically, 3D image patches are extracted from myelin maps and the corresponding T1-weighted (T1w) MRIs, and are used to learn a latent joint myelin-T1w feature representation via unsupervised deep learning. Using a data set of images from MS patients and healthy controls, a common set of patches are selected via a voxel-wise t-test performed between the two groups. In each MS image, any patches overlapping with focal lesions are excluded, and a feature imputation method is used to fill in the missing values. A feature selection process (LASSO) is then utilized to construct a sparse representation. The resulting normal-appearing features are used to train a random forest classifier. Using the myelin and T1w images of 55 relapse-remitting MS patients and 44 healthy controls in an 11-fold cross-validation experiment, the proposed method achieved an average classification accuracy of 87.9% (SD = 8.4%), which is higher and more consistent across folds than those attained by regional mean myelin (73.7%, SD = 13.7%) and T1w measurements (66.7%, SD = 10.6%), or deep-learned features in either the myelin (83.8%, SD = 11.0%) or T1w (70.1%, SD = 13.6%) images alone, suggesting that the proposed method has strong potential for identifying image features that are more sensitive and specific to MS pathology in normal-appearing brain tissues.</t>
  </si>
  <si>
    <t>Y. Yoo, L. Y. W. Tang, T. Brosch, D. K. B. Li, S. Kolind, I. Vavasour, A. Rauscher, A. L. MacKay, A. Traboulsee and R. C. Tam</t>
  </si>
  <si>
    <t>Artificial intelligence to predict the BRAFV600E mutation in patients with thyroid cancer</t>
  </si>
  <si>
    <t>PURPOSE: To investigate whether a computer-aided diagnosis (CAD) program developed using the deep learning convolutional neural network (CNN) on neck US images can predict the BRAFV600E mutation in thyroid cancer. METHODS: 469 thyroid cancers in 469 patients were included in this retrospective study. A CAD program recently developed using the deep CNN provided risks of malignancy (0-100%) as well as binary results (cancer or not). Using the CAD program, we calculated the risk of malignancy based on a US image of each thyroid nodule (CAD value). Univariate and multivariate logistic regression analyses were performed including patient demographics, the American College of Radiology (ACR) Thyroid Imaging, Reporting and Data System (TIRADS) categories and risks of malignancy calculated through CAD to identify independent predictive factors for the BRAFV600E mutation in thyroid cancer. The predictive power of the CAD value and final multivariable model for the BRAFV600E mutation in thyroid cancer were measured using the area under the receiver operating characteristic (ROC) curves. RESULTS: In this study, 380 (81%) patients were positive and 89 (19%) patients were negative for the BRAFV600E mutation. On multivariate analysis, older age (OR = 1.025, p = 0.018), smaller size (OR = 0.963, p = 0.006), and higher CAD value (OR = 1.016, p = 0.004) were significantly associated with the BRAFV600E mutation. The CAD value yielded an AUC of 0.646 (95% CI: 0.576, 0.716) for predicting the BRAFV600E mutation, while the multivariable model yielded an AUC of 0.706 (95% CI: 0.576, 0.716). The multivariable model showed significantly better performance than the CAD value alone (p = 0.004). CONCLUSION: Deep learning-based CAD for thyroid US can help us predict the BRAFV600E mutation in thyroid cancer. More multi-center studies with more cases are needed to further validate our study results.</t>
  </si>
  <si>
    <t>Automated integrated system for stained neuron detection: An end-to-end framework with a high negative predictive rate</t>
  </si>
  <si>
    <t>BACKGROUND AND OBJECTIVE: Mapping the architecture of the brain is essential for identifying the neural computations that affect behavior. Traditionally in histology, stained objects in tissue slices are hand-marked under a microscope in a manually intensive, time-consuming process. An integrated hardware and software system is needed to automate image acquisition, image processing, and object detection. Such a system would enable high throughput tissue analysis to rapidly map an entire brain. METHODS: We demonstrate an automated system to detect neurons using a monkey brain slice immunohistochemically stained for retrogradely labeled neurons. The proposed system obtains a reconstructed image of the sample, and stained neurons are detected in three steps. First, the reconstructed image is pre-processed using adaptive histogram equalization. Second, candidates for stained neurons are segmented from each region via marker-controlled watershed transformation (MCWT) using maximally stable extremal regions (MSERs). Third, the candidates are categorized as neurons or non-neurons using deep transfer learning via pre-trained convolutional neural networks (CNN). RESULTS: The proposed MCWT algorithm was compared qualitatively against MorphLibJ and an IHC analysis tool, while our unified classification algorithm was evaluated quantitatively using ROC analyses. The proposed classification system was first compared with five previously developed layers (AlexNet, VGG-16, VGG-19, GoogleNet, and ResNet). A comparison with conventional multi-stage frameworks followed using six off-the-shelf classifiers [Bayesian network (BN), support vector machines (SVM), decision tree (DT), bagging (BAG), AdaBoost (ADA), and logistic regression (LR)] and two descriptors (LBP and HOG). The system achieved a 0.918 F1-score with an 86.6% negative prediction value. Remarkably, other metrics such as precision, recall, and F-scores surpassed the 90% threshold compared to traditional methods. CONCLUSIONS: We demonstrate a fully automated, integrated hardware and software system for rapidly acquiring focused images and identifying neurons from a stained brain slice. This system could be adapted for the identification of stained features of any biological tissue.</t>
  </si>
  <si>
    <t>Efficient B-Mode Ultrasound Image Reconstruction From Sub-Sampled RF Data Using Deep Learning</t>
  </si>
  <si>
    <t>In portable, 3-D, and ultra-fast ultrasound imaging systems, there is an increasing demand for the reconstruction of high-quality images from a limited number of radio-frequency (RF) measurements due to receiver (Rx) or transmit (Xmit) event sub-sampling. However, due to the presence of side lobe artifacts from RF sub-sampling, the standard beamformer often produces blurry images with less contrast, which are unsuitable for diagnostic purposes. Existing compressed sensing approaches often require either hardware changes or computationally expensive algorithms, but their quality improvements are limited. To address this problem, in this paper, we propose a novel deep learning approach that directly interpolates the missing RF data by utilizing redundancy in the Rx-Xmit plane. Our extensive experimental results using sub-sampled RF data from a multi-line acquisition B-mode system confirm that the proposed method can effectively reduce the data rate without sacrificing the image quality.</t>
  </si>
  <si>
    <t>CT Super-Resolution GAN Constrained by the Identical, Residual, and Cycle Learning Ensemble (GAN-CIRCLE)</t>
  </si>
  <si>
    <t>In this paper, we present a semi-supervised deep learning approach to accurately recover high-resolution (HR) CT images from low-resolution (LR) counterparts. Specifically, with the generative adversarial network (GAN) as the building block, we enforce the cycle-consistency in terms of the Wasserstein distance to establish a nonlinear end-to-end mapping from noisy LR input images to denoised and deblurred HR outputs. We also include the joint constraints in the loss function to facilitate structural preservation. In this process, we incorporate deep convolutional neural network (CNN), residual learning, and network in network techniques for feature extraction and restoration. In contrast to the current trend of increasing network depth and complexity to boost the imaging performance, we apply a parallel 1×1 CNN to compress the output of the hidden layer and optimize the number of layers and the number of filters for each convolutional layer. The quantitative and qualitative evaluative results demonstrate that our proposed model is accurate, efficient and robust for super-resolution (SR) image restoration from noisy LR input images. In particular, we validate our composite SR networks on three large-scale CT datasets, and obtain promising results as compared to the other state-of-the-art methods.</t>
  </si>
  <si>
    <t>Structurally-sensitive Multi-scale Deep Neural Network for Low-Dose CT Denoising</t>
  </si>
  <si>
    <t>Computed tomography (CT) is a popular medical imaging modality and enjoys wide clinical applications. At the same time, the x-ray radiation dose associated with CT scannings raises a public concern due to its potential risks to the patients. Over the past years, major efforts have been dedicated to the development of Low-Dose CT (LDCT) methods. However, the radiation dose reduction compromises the signal-to-noise ratio (SNR), leading to strong noise and artifacts that downgrade CT image quality. In this paper, we propose a novel 3D noise reduction method, called Structurally-sensitive Multi-scale Generative Adversarial Net (SMGAN), to improve the LDCT image quality. Specifically, we incorporate three-dimensional (3D) volumetric information to improve the image quality. Also, different loss functions for training denoising models are investigated. Experiments show that the proposed method can effectively preserve structural and textural information in reference to normal-dose CT (NDCT) images, and significantly suppress noise and artifacts. Qualitative visual assessments by three experienced radiologists demonstrate that the proposed method retrieves more information, and outperforms competing methods.</t>
  </si>
  <si>
    <t>C. You, Q. Yang, H. Shan, L. Gjesteby, G. Li, S. Ju, Z. Zhang, Z. Zhao, Y. Zhang, C. Wenxiang and G. Wang</t>
  </si>
  <si>
    <t>Automated Sagittal Craniosynostosis Classification from CT Images Using Transfer Learning</t>
  </si>
  <si>
    <t>PURPOSE: Sagittal Craniosynostosis (CSO) occurs when the sagittal suture of a growing child's skull is fused. Surgery is the primary treatment for CSO. Surgical treatment involves removing the affected bones and increasing the volume of the cranium by repositioning the bone segments or using external forces to guide growth. These external forces are often achieved by internal springs or external helmet therapy and depend on surgical judgment based on patient age, severity, and subtypes of CSO. Physicians usually classify CSO subtypes by examining CT images. In our previous work, we built an objective computerized system to mimic the physician's diagnostic process based on more than 100 hand-crafted features. However, hand-crafted features-based methods have limitations in representing all aspect features of the CSO images. To improve feature extraction efficiency, classification accuracy, and reduce subjectivity in the choice of surgical techniques, in this study, we developed a deep learning-based method to learn advanced features for the classification of CSO subtypes. METHODS: First, a Hounsfield Unit (HU) threshold-based method was used to segment 3D skulls from CT slices. Second, the 3D skulls were mapped to a two-dimension space by hemispherical projection to obtain binary images with a resolution of 512 × 512. These binary images were augmented to generate a new dataset for training deep convolutional neural networks. Finally, the pre-trained deep learning model was fine-tuned on the generated dataset using transfer learning method. Both training accuracy and cross-entropy curves were used to assess the performance of the proposed method. RESULTS: Three deep convolutional neural networks were built based on the manual classification results of CSO patients by three surgeons. The classification difference between surgeons was 54%. The prediction accuracy of the three deep learning models based on the generated dataset was greater than 90%, which was higher than the accuracy from the previous models (72%). The model based on the classification results of the senior surgeon achieved the highest performance accuracy (75%) in unseen real data, compared to 25% and 37.5% for two junior surgeons, respectively. CONCLUSION: Our experimental results show that deep learning is superior to the hand-crafted feature-based method for sagittal CSO classification. The performance of deep learning models still depends on the quality of the original data. The classification variability of physicians can result in differential model outputs. When given more sagittal CSO images with proper annotations, the deep learning-based models can be more stable, approximate the diagnosis performance of physicians and have the potential to reduce the inter-observer variability thereby providing clinical insight into research and the treatment selection in patients with CSO.</t>
  </si>
  <si>
    <t>Denoising of MR images with Rician noise using a wider neural network and noise range division</t>
  </si>
  <si>
    <t>Magnetic resonance (MR) images denoising is important in medical image analysis. Denoising methods based on deep learning have shown great promise and outperform all of the other conventional methods. However, deep-learning methods are limited by the number of training samples. In this article, using a small sample size, we applied a wider denoising neural network to MR images with Rician noise and trained several denoising models. The first model is specific to a certain noise, while the other applies to a wide range of noise levels. We considered the noise range as one interval, two sub-intervals, three sub-intervals, or even more sub-intervals to train the corresponding models. Experimental results demonstrate that for MR images, the proposed deep-learning models are efficient in terms of peak-signal-to-noise ratio, structure-similarity-index metrics and normalized mutual information. In addition, for blind noise, the effect of the three sub-intervals is better than that of the other sub-intervals.</t>
  </si>
  <si>
    <t>X. You, N. Cao, H. Lu, M. Mao and W. Wanga</t>
  </si>
  <si>
    <t>10.1111/pcmr.12907</t>
  </si>
  <si>
    <t>The role of technology in melanoma screening and diagnosis</t>
  </si>
  <si>
    <t>Melanoma presents challenges for timely and accurate diagnosis. Expert panels have issued risk-based screening guidelines, with recommended screening by visual inspection. To assess how recent technology can impact the risk/benefit considerations for melanoma screening, we comprehensively reviewed non-invasive visual-based technologies. Dermoscopy increases lesional diagnostic accuracy for both dermatologists and primary care providers; total body photography and sequential digital dermoscopic imaging also increase diagnostic accuracy, are supported by automated lesion detection and tracking, and may be best suited to use by dermatologists for longitudinal follow-up. Specialized imaging modalities using non-visible light technology have unproven benefit over dermoscopy and can be limited by cost, access, and training requirements. Mobile apps facilitate image capture and lesion tracking. Teledermatology has good concordance with face-to-face consultation and increases access, with increased accuracy using dermoscopy. Deep learning models can surpass dermatologist accuracy, but their clinical utility has yet to be demonstrated. Technology-aided diagnosis may change the calculus of screening; however, well-designed prospective trials are needed to assess the efficacy of these different technologies, alone and in combination to support refinement of guidelines for melanoma screening.</t>
  </si>
  <si>
    <t>Pigment Cell Melanoma Res</t>
  </si>
  <si>
    <t>Mass detection in digital breast tomosynthesis data using convolutional neural networks and multiple instance learning</t>
  </si>
  <si>
    <t>Digital breast tomosynthesis (DBT) was developed in the field of breast cancer screening as a new tomographic technique to minimize the limitations of conventional digital mammography breast screening methods. A computer-aided detection (CAD) framework for mass detection in DBT has been developed and is described in this paper. The proposed framework operates on a set of two-dimensional (2D) slices. With plane-to-plane analysis on corresponding 2D slices from each DBT, it automatically learns complex patterns of 2D slices through a deep convolutional neural network (DCNN). It then applies multiple instance learning (MIL) with a randomized trees approach to classify DBT images based on extracted information from 2D slices. This CAD framework was developed and evaluated using 5040 2D image slices derived from 87 DBT volumes. The empirical results demonstrate that this proposed CAD framework achieves much better performance than CAD systems that use hand-crafted features and deep cardinality-restricted Bolzmann machines to detect masses in DBTs.</t>
  </si>
  <si>
    <t>M. Yousefi, A. Krzyżak and C. Y. Suen</t>
  </si>
  <si>
    <t>10.1155/2019/7861651</t>
  </si>
  <si>
    <t>Application of Compressive Sensing to Ultrasound Images: A Review</t>
  </si>
  <si>
    <t>Compressive sensing (CS) offers compression of data below the Nyquist rate, making it an attractive solution in the field of medical imaging, and has been extensively used for ultrasound (US) compression and sparse recovery. In practice, CS offers a reduction in data sensing, transmission, and storage. Compressive sensing relies on the sparsity of data; i.e., data should be sparse in original or in some transformed domain. A look at the literature reveals that rich variety of algorithms have been suggested to recover data using compressive sensing from far fewer samples accurately, but with tradeoffs for efficiency. This paper reviews a number of significant CS algorithms used to recover US images from the undersampled data along with the discussion of CS in 3D US images. In this paper, sparse recovery algorithms applied to US are classified in five groups. Algorithms in each group are discussed and summarized based on their unique technique, compression ratio, sparsifying transform, 3D ultrasound, and deep learning. Research gaps and future directions are also discussed in the conclusion of this paper. This study is aimed to be beneficial for young researchers intending to work in the area of CS and its applications, specifically to US.</t>
  </si>
  <si>
    <t>10.1007/978-3-030-33128-3_10</t>
  </si>
  <si>
    <t>Techniques and Applications in Skin OCT Analysis</t>
  </si>
  <si>
    <t>The skin is the largest organ of our body. Skin disease abnormalities which occur within the skin layers are difficult to examine visually and often require biopsies to make a confirmation on a suspected condition. Such invasive methods are not well-accepted by children and women due to the possibility of scarring. Optical coherence tomography (OCT) is a non-invasive technique enabling in vivo examination of sub-surface skin tissue without the need for excision of tissue. However, one of the challenges in OCT imaging is the interpretation and analysis of OCT images. In this review, we discuss the various methodologies in skin layer segmentation and how it could potentially improve the management of skin diseases. We also present a review of works which use advanced machine learning techniques to achieve layers segmentation and detection of skin diseases. Lastly, current challenges in analysis and applications are also discussed.</t>
  </si>
  <si>
    <t>Automated circumpapillary retinal nerve fiber layer segmentation in high-resolution swept-source OCT</t>
  </si>
  <si>
    <t>Glaucoma is a progressive optic neuropathy that leads to loss of retinal ganglion cells and thinning of retinal nerve fiber layer (RNFL). Circumpapillary RNFL thickness measurements have been used for glaucoma diagnostic and monitoring purposes. However, manual measurement of the RNFL thickness is tedious and subjective. We proposed and evaluated the performance of automated RNFL segmentation from OCT images using a state-of-the-art deep learning-based model. Circumpapillary OCT scans were extracted from volumetric OCT scans using a high-resolution swept-source OCT device. Manual annotation was performed on the extracted scans and used for training and evaluation. The results show that the accuracy and diagnostic performance is comparable to manual assessment, and the potential application of deep learning-based approach in such segmentation.</t>
  </si>
  <si>
    <t>10.1007/978-3-030-33128-3_2</t>
  </si>
  <si>
    <t>Medical Image Synthesis via Deep Learning</t>
  </si>
  <si>
    <t>Medical images have been widely used in clinics, providing visual representations of under-skin tissues in human body. By applying different imaging protocols, diverse modalities of medical images with unique characteristics of visualization can be produced. Considering the cost of scanning high-quality single modality images or homogeneous multiple modalities of images, medical image synthesis methods have been extensively explored for clinical applications. Among them, deep learning approaches, especially convolutional neural networks (CNNs) and generative adversarial networks (GANs), have rapidly become dominating for medical image synthesis in recent years. In this chapter, based on a general review of the medical image synthesis methods, we will focus on introducing typical CNNs and GANs models for medical image synthesis. Especially, we will elaborate our recent work about low-dose to high-dose PET image synthesis, and cross-modality MR image synthesis, using these models.</t>
  </si>
  <si>
    <t>Hyper-reflective foci segmentation in SD-OCT retinal images with diabetic retinopathy using deep convolutional neural networks</t>
  </si>
  <si>
    <t>PURPOSE: The purpose of this study was to automatically and accurately segment hyper-reflective foci (HRF) in spectral domain optical coherence tomography (SD-OCT) images with diabetic retinopathy (DR) using deep convolutional neural networks. METHODS: An automatic HRF segmentation model for SD-OCT images based on deep networks was constructed. The model segmented small lesions through pixel-wise predictions based on small image patches. We used an approach for discriminative features extraction for small patches by introducing small kernels and strides in convolutional and pooling layers, which was applied on the state-of-the-art deep classification networks (GoogLeNet and ResNet). The features extracted by the adapted deep networks were fed into a softmax layer to produce the probabilities of HRF. We trained different models on a dataset with 16 HRF eyes by using different sizes of patches, and then, we fused these models to generate optimal results. RESULTS: Experimental results on 18 eyes demonstrated that our method is effective for the HRF segmentation. The dice similarity coefficient (DSC) for the foci area in B-scan, projection images, and foci amount in B-scan images reaches 67.81%, 74.09%, and 72.45%, respectively. CONCLUSIONS: The proposed segmentation model can accurately segment HRF in SD-OCT images with DR and outperforms traditional methods. Our model may provide reliable segmentations for small lesions in SD-OCT images and may be helpful in the clinical diagnosis of diseases.</t>
  </si>
  <si>
    <t>PCANet based nonlocal means method for speckle noise removal in ultrasound images</t>
  </si>
  <si>
    <t>Speckle reduction remains a critical issue for ultrasound image processing and analysis. The nonlocal means (NLM) filter has recently attached much attention due to its competitive despeckling performance. However, the existing NLM methods usually determine the similarity between two patches by directly utilizing the gray-level information of the noisy image, which renders it difficult to represent the structural similarity of ultrasound images effectively. To address this problem, the NLM method based on the simple deep learning baseline named PCANet is proposed by introducing the intrinsic features of image patches extracted by this network rather than the pixel intensities into the pixel similarity computation. In this approach, the improved two-stage PCANet is proposed by using Parametric Rectified Linear Unit (PReLU) activation function instead of the binary hashing and block histograms in the original PCANet. This model is firstly trained on the ultrasound database to learn the convolution kernels. Then, the trained PCANet is utilized to extract the intrinsic features from the image patches in the pre-denoised version of the noisy image to be despeckled. These obtained features are concatenated together to determine the structural similarity between image patches in the NLM method, based on which the weighted mean of all pixels in a search window is computed to produce the final despeckled image. Extensive experiments have been conducted on a variety of images to demonstrate the superiority of the proposed method over several well-known despeckling algorithm and the PCANet based NLM method using ReLU function and sigmoid function. Visual inspection indicates that the proposed method outperforms the compared methods in reducing speckle noise and preserving image details. The quantitative comparisons show that among all the evaluated methods, our method produces the best structural similarity index metrics (SSIM) values for the synthetic image, as well as the highest equivalent number of looks (ENL) value for the simulated image and the clinical ultrasound images.</t>
  </si>
  <si>
    <t>H. Yu, M. Ding, X. Zhang and J. Wu</t>
  </si>
  <si>
    <t>[Feasibility Study on Location of CT Images Using Convolutional Neural Networks]</t>
  </si>
  <si>
    <t>OBJECTIVE: To locate CT images by using the deep learning model based on convolutional neural network. METHODS: The AlexNet network was used as a deep learning model, which was preset by the transfer learning approach. Training samples were divided into 4 categories according to the vertebral body parts and labeled, and the data augmentation was used to improve the classification accuracy. RESULTS: The accuracy of image classification after augmentation increased from 94.95% to 97.72%, and the testing time increased from 2.05 s to 3.03 s. CONCLUSIONS: It is feasible to use the convolutional neural network to locate CT images. The data augmentation approach can increase the classification accuracy but also increase the training and testing time.</t>
  </si>
  <si>
    <t>Phenotypic Antimicrobial Susceptibility Testing with Deep Learning Video Microscopy</t>
  </si>
  <si>
    <t>Timely determination of antimicrobial susceptibility for a bacterial infection enables precision prescription, shortens treatment time, and helps minimize the spread of antibiotic resistant infections. Current antimicrobial susceptibility testing (AST) methods often take several days and thus impede these clinical and health benefits. Here, we present an AST method by imaging freely moving bacterial cells in urine in real time and analyzing the videos with a deep learning algorithm. The deep learning algorithm determines if an antibiotic inhibits a bacterial cell by learning multiple phenotypic features of the cell without the need for defining and quantifying each feature. We apply the method to urinary tract infection, a common infection that affects millions of people, to determine the minimum inhibitory concentration of pathogens from human urine specimens spiked with lab strain E. coli (ATCC 43888) and an E. coli strain isolated from a clinical urine sample for different antibiotics within 30 min and validate the results with the gold standard broth macrodilution method. The deep learning video microscopy-based AST holds great potential to contribute to the solution of increasing drug-resistant infections.</t>
  </si>
  <si>
    <t>H. Yu, W. Jing, R. Iriya, Y. Yang, K. Syal, M. Mo, T. E. Grys, S. E. Haydel, S. Wang and N. Tao</t>
  </si>
  <si>
    <t>Automated Skeletal Classification with Lateral Cephalometry Based on Artificial Intelligence</t>
  </si>
  <si>
    <t>Lateral cephalometry has been widely used for skeletal classification in orthodontic diagnosis and treatment planning. However, this conventional system, requiring manual tracing of individual landmarks, contains possible errors of inter- and intravariability and is highly time-consuming. This study aims to provide an accurate and robust skeletal diagnostic system by incorporating a convolutional neural network (CNN) into a 1-step, end-to-end diagnostic system with lateral cephalograms. A multimodal CNN model was constructed on the basis of 5,890 lateral cephalograms and demographic data as an input. The model was optimized with transfer learning and data augmentation techniques. Diagnostic performance was evaluated with statistical analysis. The proposed system exhibited &gt;90% sensitivity, specificity, and accuracy for vertical and sagittal skeletal diagnosis. Clinical performance of the vertical classification showed the highest accuracy at 96.40 (95% CI, 93.06 to 98.39; model III). The receiver operating characteristic curve and the area under the curve both demonstrated the excellent performance of the system, with a mean area under the curve &gt;95%. The heat maps of cephalograms were also provided for deeper understanding of the quality of the learned model by visually representing the region of the cephalogram that is most informative in distinguishing skeletal classes. In addition, we present broad applicability of this system through subtasks. The proposed CNN-incorporated system showed potential for skeletal orthodontic diagnosis without the need for intermediary steps requiring complicated diagnostic procedures.</t>
  </si>
  <si>
    <t>Therapeutic Effectiveness of Percutaneous Endoscopic Spinal Surgery for Intraspinal Cement Leakage Following Percutaneous Vertebroplasty: An Early Clinical Study of 12 Cases</t>
  </si>
  <si>
    <t>BACKGROUND: Intraspinal cement leakage is a catastrophic complication of percutaneous vertebroplasty (PVP). Percutaneous endoscopic spinal surgery (PESS) for intraspinal cement leakage has rarely been reported. OBJECTIVES: To evaluate the therapeutic effectiveness of PESS for intraspinal cement leakage following PVP. STUDY DESIGN: This was a retrospective study approved by the ethics committee of our institution. SETTING: Department of Orthopedics from an affiliated hospital. METHODS: Twelve patients with neurologic impairments resulting from intraspinal cement leakage after PVP were treated with PESS for spinal decompression from May 2014 to June 2018. Computed tomography and 3-dimensional reconstruction were used to confirm the vertebral level of cement leakage. The surgical index, neurologic function, and clinical results were recorded in this study. RESULTS: The leaked cement of all patients was successfully removed under PESS, and no severe intraoperative complications were reported in our study. The operation time ranged from 43 to 119 minutes (mean, 65.5 minutes). The amount of intraoperative blood loss was 64.25 ± 9.62 mL. The lengths of postoperative hospital stays were 5.25 ± 2.53 days. The follow-up rate was 83.3% (10/12). The follow-up time ranged from 14 to 30 months (mean, 22 months). The Visual Analog Scale scores of foraminal leaks improved from 6.50 ± 0.93 preoperatively to 1.75 ± 0.71 at the last follow-up (P &lt; 0.05). Neurologic function was evaluated by Japanese Orthopaedic Association 29 scores, which improved from 18.75 ± 1.06 to 22.70 ± 1.64 (P &lt; 0.0001). The good and excellent rates were 80% according to the modified Macnab criteria. LIMITATIONS: This study is limited by the volume of patients and the deep learning curve needed for PESS. CONCLUSIONS: PESS, as a minimally invasive technique, can achieve targeted spinal cord decompression and may be a safe and effective alternative approach to conventional procedures for cement leakage after PVP. KEY WORDS: Endoscopes, cement leakage, minimally invasive surgery, percutaneous vertebroplasty.</t>
  </si>
  <si>
    <t>Multicenter cohort study demonstrates more consolidation in upper lungs on initial CT increases the risk of adverse clinical outcome in COVID-19 patients</t>
  </si>
  <si>
    <t>Rationale: Chest computed tomography (CT) has been used for the coronavirus disease 2019 (COVID-19) monitoring. However, the imaging risk factors for poor clinical outcomes remain unclear. In this study, we aimed to assess the imaging characteristics and risk factors associated with adverse composite endpoints in patients with COVID-19 pneumonia. Methods: This retrospective cohort study enrolled patients with laboratory-confirmed COVID-19 from 24 designated hospitals in Jiangsu province, China, between 10 January and 18 February 2020. Clinical and initial CT findings at admission were extracted from medical records. Patients aged &lt; 18 years or without available clinical or CT records were excluded. The composite endpoints were admission to ICU, acute respiratory failure occurrence, or shock during hospitalization. The volume, density, and location of lesions, including ground-glass opacity (GGO) and consolidation, were quantitatively analyzed in each patient. Multivariable logistic regression models were used to identify the risk factors among age and CT parameters associated with the composite endpoints. Results: In this study, 625 laboratory-confirmed COVID-19 patients were enrolled; among them, 179 patients without an initial CT at admission and 25 patients aged &lt; 18 years old were excluded and 421 patients were included in analysis. The median age was 48.0 years and the male proportion was 53% (224/421). During the follow-up period, 64 (15%) patients had a composite endpoint. There was an association of older age (odds ratio [OR], 1.04; 95% confidence interval [CI]: 1.01-1.06; P = 0.003), larger consolidation lesions in the upper lung (Right: OR, 1.13; 95%CI: 1.03-1.25, P =0.01; Left: OR,1.15; 95%CI: 1.01-1.32; P = 0.04) with increased odds of adverse endpoints. Conclusion: There was an association of older age and larger consolidation in upper lungs on admission with higher odds of poor outcomes in patients with COVID-19.</t>
  </si>
  <si>
    <t>Robustness study of noisy annotation in deep learning based medical image segmentation</t>
  </si>
  <si>
    <t>Partly due to the use of exhaustive-annotated data, deep networks have achieved impressive performance on medical image segmentation. Medical imaging data paired with noisy annotation are, however, ubiquitous, but little is known about the effect of noisy annotation on deep learning based medical image segmentation. We studied the effect of noisy annotation in the context of mandible segmentation from CT images. First, 202 images of head and neck cancer patients were collected from our clinical database, where the organs-at-risk were annotated by one of twelve planning dosimetrists. The mandibles were roughly annotated as the planning avoiding structure. Then, mandible labels were checked and corrected by a head and neck specialist to get the reference standard. At last, by varying the ratios of noisy labels in the training set, deep networks were trained and tested for mandible segmentation. The trained models were further tested on other two public datasets. Experimental results indicated that the network trained with noisy labels had worse segmentation than that trained with reference standard, and in general, fewer noisy labels led to better performance. When using 20% or less noisy cases for training, no significant difference was found on the segmentation results between the models trained by noisy or reference annotation. Cross-dataset validation results verified that the models trained with noisy data achieved competitive performance to that trained with reference standard. This study suggests that the involved network is robust to noisy annotation to some extent in mandible segmentation from CT images. It also highlights the importance of labeling quality in deep learning. In the future work, extra attention should be paid to how to utilize a small number of reference standard samples to improve the performance of deep learning with noisy annotation.</t>
  </si>
  <si>
    <t>MSCI: A multistate dataset for colposcopy image classification of cervical cancer screening</t>
  </si>
  <si>
    <t>BACKGROUND: Cervical cancer is the second most common female cancer globally, and it is vital to detect cervical cancer with low cost at an early stage using automated screening methods of high accuracy, especially in areas with insufficient medical resources. Automatic detection of cervical intraepithelial neoplasia (CIN) can effectively prevent cervical cancer. OBJECTIVES: Due to the deficiency of standard and accessible colposcopy image datasets, we present a dataset containing 4753 colposcopy images acquired from 679 patients in three states (acetic acid reaction, green filter, and iodine test) for detection of cervical intraepithelial neoplasia. Based on this dataset, a new computer-aided method for cervical cancer screening was proposed. METHODS: We employed a wide range of methods to comprehensively evaluate our proposed dataset. Hand-crafted feature extraction methods and deep learning methods were used for the performance verification of the multistate colposcopy image (MSCI) dataset. Importantly, we propose a gated recurrent convolutional neural network (C-GCNN) for colposcopy image analysis that considers time series and combined multistate cervical images for CIN grading. RESULTS: The experimental results showed that the proposed C-GCNN model achieves the best classification performance in CIN grading compared with hand-crafted feature extraction methods and classic deep learning methods. The results showed an accuracy of 96.87 %, a sensitivity of 95.68 %, and a specificity of 98.72 %. CONCLUSION: A multistate colposcopy image dataset (MSCI) is proposed. A CIN grading model (C-GCNN) based on the MSCI dataset is established, which provides a potential method for automated cervical cancer screening.</t>
  </si>
  <si>
    <t>HeadFusion: 360 Head Pose Tracking Combining 3D Morphable Model and 3D Reconstruction</t>
  </si>
  <si>
    <t>Head pose estimation is a fundamental task for face and social related research. Although 3D morphable model (3DMM) based methods relying on depth information usually achieve accurate results, they usually require frontal or mid-profile poses which preclude a large set of applications where such conditions can not be garanteed, like monitoring natural interactions from fixed sensors placed in the environment. A major reason is that 3DMM models usually only cover the face region. In this paper, we present a framework which combines the strengths of a 3DMM model fitted online with a prior-free reconstruction of a 3D full head model providing support for pose estimation from any viewpoint. In addition, we also proposes a symmetry regularizer for accurate 3DMM fitting under partial observations, and exploit visual tracking to address natural head dynamics with fast accelerations. Extensive experiments show that our method achieves state-of-the-art performance on the public BIWI dataset, as well as accurate and robust results on UbiPose, an annotated dataset of natural interactions that we make public and where adverse poses, occlusions or fast motions regularly occur.</t>
  </si>
  <si>
    <t>Y. Yu, K. A. F. Mora and J. M. Odobez</t>
  </si>
  <si>
    <t>Deep learning enables automated scoring of liver fibrosis stages</t>
  </si>
  <si>
    <t>Current liver fibrosis scoring by computer-assisted image analytics is not fully automated as it requires manual preprocessing (segmentation and feature extraction) typically based on domain knowledge in liver pathology. Deep learning-based algorithms can potentially classify these images without the need for preprocessing through learning from a large dataset of images. We investigated the performance of classification models built using a deep learning-based algorithm pre-trained using multiple sources of images to score liver fibrosis and compared them against conventional non-deep learning-based algorithms - artificial neural networks (ANN), multinomial logistic regression (MLR), support vector machines (SVM) and random forests (RF). Automated feature classification and fibrosis scoring were achieved by using a transfer learning-based deep learning network, AlexNet-Convolutional Neural Networks (CNN), with balanced area under receiver operating characteristic (AUROC) values of up to 0.85-0.95 versus ANN (AUROC of up to 0.87-1.00), MLR (AUROC of up to 0.73-1.00), SVM (AUROC of up to 0.69-0.99) and RF (AUROC of up to 0.94-0.99). Results indicate that a deep learning-based algorithm with transfer learning enables the construction of a fully automated and accurate prediction model for scoring liver fibrosis stages that is comparable to other conventional non-deep learning-based algorithms that are not fully automated.</t>
  </si>
  <si>
    <t>Y. Yu, J. Wang, C. W. Ng, Y. Ma, S. Mo, E. L. S. Fong, J. Xing, Z. Song, Y. Xie, K. Si, A. Wee, R. E. Welsch, P. T. C. So and H. Yu</t>
  </si>
  <si>
    <t>Use of Deep Learning to Predict Final Ischemic Stroke Lesions From Initial Magnetic Resonance Imaging</t>
  </si>
  <si>
    <t>IMPORTANCE: Predicting infarct size and location is important for decision-making and prognosis in patients with acute stroke. OBJECTIVES: To determine whether a deep learning model can predict final infarct lesions using magnetic resonance images (MRIs) acquired at initial presentation (baseline) and to compare the model with current clinical prediction methods. DESIGN, SETTING, AND PARTICIPANTS: In this multicenter prognostic study, a specific type of neural network for image segmentation (U-net) was trained, validated, and tested using patients from the Imaging Collaterals in Acute Stroke (iCAS) study from April 14, 2014, to April 15, 2018, and the Diffusion Weighted Imaging Evaluation for Understanding Stroke Evolution Study-2 (DEFUSE-2) study from July 14, 2008, to September 17, 2011 (reported in October 2012). Patients underwent baseline perfusion-weighted and diffusion-weighted imaging and MRI at 3 to 7 days after baseline. Patients were grouped into unknown, minimal, partial, and major reperfusion status based on 24-hour imaging results. Baseline images acquired at presentation were inputs, and the final true infarct lesion at 3 to 7 days was considered the ground truth for the model. The model calculated the probability of infarction for every voxel, which can be thresholded to produce a prediction. Data were analyzed from July 1, 2018, to March 7, 2019. MAIN OUTCOMES AND MEASURES: Area under the curve, Dice score coefficient (DSC) (a metric from 0-1 indicating the extent of overlap between the prediction and the ground truth; a DSC of ≥0.5 represents significant overlap), and volume error. Current clinical methods were compared with model performance in subgroups of patients with minimal or major reperfusion. RESULTS: Among the 182 patients included in the model (97 women [53.3%]; mean [SD] age, 65 [16] years), the deep learning model achieved a median area under the curve of 0.92 (interquartile range [IQR], 0.87-0.96), DSC of 0.53 (IQR, 0.31-0.68), and volume error of 9 (IQR, -14 to 29) mL. In subgroups with minimal (DSC, 0.58 [IQR, 0.31-0.67] vs 0.55 [IQR, 0.40-0.65]; P = .37) or major (DSC, 0.48 [IQR, 0.29-0.65] vs 0.45 [IQR, 0.15-0.54]; P = .002) reperfusion for which comparison with existing clinical methods was possible, the deep learning model had comparable or better performance. CONCLUSIONS AND RELEVANCE: The deep learning model appears to have successfully predicted infarct lesions from baseline imaging without reperfusion information and achieved comparable performance to existing clinical methods. Predicting the subacute infarct lesion may help clinicians prepare for decompression treatment and aid in patient selection for neuroprotective clinical trials.</t>
  </si>
  <si>
    <t>[Role of artificial intelligence in the diagnosis and treatment of gastrointestinal diseases]</t>
  </si>
  <si>
    <t>The rapid development of computer technologies brings us great changes in daily life and work. Artificial intelligence is a branch of computer science, which is to allow computers to exercise activities that are normally confined to intelligent life. The broad sense of artificial intelligence includes machine learning and robots. This article mainly focuses on machine learning and related medical fields, and deep learning is an artificial neural network in machine learning. Convolutional neural network (CNN) is a type of deep neural network, that is developed on the basis of deep neural network, further imitating the structure of the visual cortex of the brain and the principle of visual activity. The current machine learning method used in medical big data analysis is mainly CNN. In the next few years, it is the developing trend that artificial intelligence as a conventional tool will enter the relevant departments of medical image interpretation. In addition, this article also shares the progress of the integration of artificial intelligence and biomedicine combined with actual cases, and mainly introduces the current status of CNN application research in pathological diagnosis, imaging diagnosis and endoscopic diagnosis for gastrointestinal diseases.</t>
  </si>
  <si>
    <t>Y. Y. Yu</t>
  </si>
  <si>
    <t>Melanoma Recognition in Dermoscopy Images via Aggregated Deep Convolutional Features</t>
  </si>
  <si>
    <t>In this paper, we present a novel framework for dermoscopy image recognition via both a deep learning method and a local descriptor encoding strategy. Specifically, deep representations of a rescaled dermoscopy image are first extracted via a very deep residual neural network pretrained on a large natural image dataset. Then these local deep descriptors are aggregated by orderless visual statistic features based on Fisher vector (FV) encoding to build a global image representation. Finally, the FV encoded representations are used to classify melanoma images using a support vector machine with a Chi-squared kernel. Our proposed method is capable of generating more discriminative features to deal with large variations within melanoma classes, as well as small variations between melanoma and nonmelanoma classes with limited training data. Extensive experiments are performed to demonstrate the effectiveness of our proposed method. Comparisons with state-of-the-art methods show the superiority of our method using the publicly available ISBI 2016 Skin lesion challenge dataset.</t>
  </si>
  <si>
    <t>Rapid identification of COVID-19 severity in CT scans through classification of deep features</t>
  </si>
  <si>
    <t>BACKGROUND: Chest CT is used for the assessment of the severity of patients infected with novel coronavirus 2019 (COVID-19). We collected chest CT scans of 202 patients diagnosed with the COVID-19, and try to develop a rapid, accurate and automatic tool for severity screening follow-up therapeutic treatment. METHODS: A total of 729 2D axial plan slices with 246 severe cases and 483 non-severe cases were employed in this study. By taking the advantages of the pre-trained deep neural network, four pre-trained off-the-shelf deep models (Inception-V3, ResNet-50, ResNet-101, DenseNet-201) were exploited to extract the features from these CT scans. These features are then fed to multiple classifiers (linear discriminant, linear SVM, cubic SVM, KNN and Adaboost decision tree) to identify the severe and non-severe COVID-19 cases. Three validation strategies (holdout validation, tenfold cross-validation and leave-one-out) are employed to validate the feasibility of proposed pipelines. RESULTS AND CONCLUSION: The experimental results demonstrate that classification of the features from pre-trained deep models shows the promising application in COVID-19 severity screening, whereas the DenseNet-201 with cubic SVM model achieved the best performance. Specifically, it achieved the highest severity classification accuracy of 95.20% and 95.34% for tenfold cross-validation and leave-one-out, respectively. The established pipeline was able to achieve a rapid and accurate identification of the severity of COVID-19. This may assist the physicians to make more efficient and reliable decisions.</t>
  </si>
  <si>
    <t>The application of deep learning based diagnostic system to cervical squamous intraepithelial lesions recognition in colposcopy images</t>
  </si>
  <si>
    <t>Background Deep learning has presented considerable potential and is gaining more importance in computer assisted diagnosis. As the gold standard for pathologically diagnosing cervical intraepithelial lesions and invasive cervical cancer, colposcopy-guided biopsy faces challenges in improving accuracy and efficiency worldwide, especially in developing countries. To ease the heavy burden of cervical cancer screening, it is urgent to establish a scientific, accurate and efficient method for assisting diagnosis and biopsy. Methods The data were collected to establish three deep-learning-based models. For every case, one saline image, one acetic image, one iodine image and the corresponding clinical information, including age, the results of human papillomavirus testing and cytology, type of transformation zone, and pathologic diagnosis, were collected. The dataset was proportionally divided into three subsets including the training set, the test set and the validation set, at a ratio of 8:1:1. The validation set was used to evaluate model performance. After model establishment, an independent dataset of high-definition images was collected to further evaluate the model performance. In addition, the comparison of diagnostic accuracy between colposcopists and models weas performed. Results The sensitivity, specificity and accuracy of the classification model to differentiate negative cases from positive cases were 85.38%, 82.62% and 84.10% respectively, with an AUC of 0.93. The recall and DICE of the segmentation model to segment suspicious lesions in acetic images were 84.73% and 61.64%, with an average accuracy of 95.59%. Furthermore, 84.67% of high-grade lesions were detected by the acetic detection model. Compared to colposcopists, the diagnostic system performed better in ordinary colposcopy images but slightly unsatisfactory in high-definition images. Implications The deep learning-based diagnostic system could help assist colposcopy diagnosis and biopsy for HSILs.</t>
  </si>
  <si>
    <t>Classification of Pulmonary Nodular Findings based on Characterization of Change using Radiology Reports</t>
  </si>
  <si>
    <t>Radiology reports contain descriptions of radiological observations followed by diagnosis and follow up recommendations, transcribed by radiologists while reading medical images. One of the most challenging tasks in a radiology workflow is to extract, characterize and structure such content to be able to pair each observation with an appropriate action. This requires classification of the findings based on the provided characterization. In most clinical setups, this is done manually, which is tedious, time-consuming and prone to human error yet of great importance as various types of findings in the reports require different follow-up decision supports and draw different levels of attention. In this work, we present a framework for detection and classification of change characteristics of pulmonary nodular findings in radiology reports. We combine a pre-trained word embedding model with a deep learning based sentence encoder. To overcome the challenge of access to limited labeled data for training, we apply Siamese network with pairwise inputs, which enforces the similarities between findings under the same category. The proposed multitask neural network classifier was evaluated and compared against state-of-the-art approaches and demonstrated promising performance.</t>
  </si>
  <si>
    <t>Convolutional neural network enhancement of fast-scan low-dose cone-beam CT images for head and neck radiotherapy</t>
  </si>
  <si>
    <t>To improve image quality and CT number accuracy of fast-scan low-dose cone-beam computed tomography (CBCT) through a deep-learning convolutional neural network (CNN) methodology for head-and-neck (HN) radiotherapy. Fifty-five paired CBCT and CT images from HN patients were retrospectively analysed. Among them, 15 patients underwent adaptive replanning during treatment, thus had same-day CT/CBCT pairs. The remaining 40 patients (post-operative) had paired planning CT and 1st fraction CBCT images with minimal anatomic changes. A 2D U-Net architecture with 27-layers in 5 depths was built for the CNN. CNN training was performed using data from 40 post-operative HN patients with 2080 paired CT/CBCT slices. Validation and test datasets include 5 same-day datasets with 260 slice pairs and 10 same-day datasets with 520 slice pairs, respectively. To examine the impact of differences in training dataset selection and network performance as a function of training data size, additional networks were trained using 30, 40 and 50 datasets. Image quality of enhanced CBCT images were quantitatively compared against the CT image using mean absolute error (MAE) of Hounsfield units (HU), signal-to-noise ratio (SNR) and structural similarity (SSIM). Enhanced CBCT images reduced artifact distortion and improved soft tissue contrast. Networks trained with 40 datasets had imaging performance comparable to those trained with 50 datasets and outperformed those trained with 30 datasets. Comparison of CBCT and enhanced CBCT images demonstrated improvement in average MAE from 172.73 to 49.28 HU, SNR from 8.27 to 14.25 dB, and SSIM from 0.42 to 0.85. The image processing time is 2 s per patient using a NVIDIA GeForce GTX 1080 Ti GPU. The proposed deep-leaning methodology was fast and effective for image quality enhancement of fast-scan low-dose CBCT. This method has potential to support fast online-adaptive re-planning for HN cancer patients.</t>
  </si>
  <si>
    <t>Reducing radiation dose of x-ray computed tomography (CT) and thereby decreasing the potential risk to patients are desirable in CT imaging. Deep neural network (DNN) has been proposed to reduce noise in low-dose CT (LdCT) images and showed promising results. However, most existing DNN-based methods require training a neural network using high-quality CT images as the reference. Lack of high-quality reference data has therefore been the bottleneck in the current DNN-based methods. Recently, a noise-to-noise (Noise2Noise) training method was proposed to train a denoising neural network with only noisy images. It has also been applied to LdCT data in both the count domain and image domain. However, the method still requires a separately acquired independent noisy reference image for supervising the training procedure. To address this limitation, we propose a novel method to generate both training inputs and training labels from the existing CT scans, which does not require any additional high-dose CT images or repeated scans. Therefore, existing large noisy dataset can be fully exploited for training a denoising neural network. Our experimental results show that the trained networks can reduce noise in existing CT image and hence improve the image quality for clinical diagnosis.</t>
  </si>
  <si>
    <t>Improving Dermoscopic Image Segmentation with Enhanced Convolutional-Deconvolutional Networks</t>
  </si>
  <si>
    <t>Automatic skin lesion segmentation on dermoscopic images is an essential step in computer-aided diagnosis of melanoma. However, this task is challenging due to significant variations of lesion appearances across different patients. This challenge is further exacerbated when dealing with a large amount of image data. In this paper, we extended our previous work by developing a deeper network architecture with smaller kernels to enhance its discriminant capacity. In addition, we explicitly included color information from multiple color spaces to facilitate network training and thus to further improve the segmentation performance. We participated and extensively evaluated our method on the ISBI 2017 skin lesion segmentation challenge. By training with the 2000 challenge training images, our method achieved an average Jaccard Index (JA) of 0:765 on the 600 challenge testing images, which ranked itself in the first place among 21 final submissions in the challenge.</t>
  </si>
  <si>
    <t>Prostate cancer classification with multiparametric MRI transfer learning model</t>
  </si>
  <si>
    <t>PURPOSE: Prostate cancer classification has a significant impact on the prognosis and treatment planning of patients. Currently, this classification is based on the Gleason score analysis of biopsied tissues, which is neither accurate nor risk free. This study aims to learn discriminative features in prostate images and assist physicians in classifying prostate cancer automatically. METHODS: We develop a novel multiparametric magnetic resonance transfer learning (MPTL) method to automatically stage prostate cancer. We first establish a deep convolutional neural network with three branch architectures, which transfer pretrained model to compute features from multiparametric MRI images (mp-MRI): T2w transaxial, T2w sagittal, and apparent diffusion coefficient (ADC). The learned features are concatenated to represent information of mp-MRI sequences. A new image similarity constraint is then proposed to enable the distribution of the features within the same category in a narrow angle region. With the joint constraints of softmax loss and image similarity loss in the fine-tuning process, the MPTL can provide descriptive features with intraclass compactness and interclass separability. RESULTS: Two cohorts: 132 cases from our institutional review board-approved patient database and 112 cases from the PROSTATEx-2 Challenge are utilized to evaluate the robustness and effectiveness of the proposed MPTL model. Our model achieved high accuracy of prostate cancer classification (accuracy of 86.92%). Moreover, the comparison results demonstrate that our method outperforms both hand-crafted feature-based methods and existing deep learning models in prostate cancer classification with higher accuracy. CONCLUSION: The experiment results showed that the proposed method can learn discriminative features in prostate images and classify the cancer accurately. Our MPTL model could be further applied in the clinical practice to provide valuable information for cancer treatment and precision medicine.</t>
  </si>
  <si>
    <t>Y. Yuan, W. Qin, M. Buyyounouski, B. Ibragimov, S. Hancock, B. Han and L. Xing</t>
  </si>
  <si>
    <t>Human induced pluripotent stem cell region recognition in microscopy images using Convolutional Neural Networks</t>
  </si>
  <si>
    <t>We present a deep learning architecture Convolutional Neural Networks (CNNs) for automatic classification and recognition of reprogramming and reprogrammed human Induced Pluripotent Stem (iPS) cell regions in microscopy images. The differentiated cells that possibly undergo reprogramming to iPS cells can be detected by this method for screening reagents or culture conditions in iPS induction. The learning results demonstrate that our CNNs can achieve the Top-1 and Top-2 error rates of 9.2% and 0.84%, respectively, to produce probability maps for the automatic analysis. The implementation results show that this automatic method can successfully detect and localize the human iPS cell formation, thereby yield a potential tool for helping iPS cell culture.</t>
  </si>
  <si>
    <t>C. Yuan-Hsiang, K. Abe, H. Yokota, K. Sudo, Y. Nakamura, L. Cheng-Yu and T. Ming-Dar</t>
  </si>
  <si>
    <t>Generating Proteomic Big Data for Precision Medicine</t>
  </si>
  <si>
    <t>Here, the authors reason that the complexity of medical problems and proteome science might be tackled effectively with deep learning (DL) technology. However, deployment of DL for proteomics data requires the acquisition of data sets from a large number of samples. Based on the success of DL in medical imaging classification, proteome data from thousands of samples are arguably the minimal input for DL. Contemporary proteomics is turning high-throughput thanks to the rapid progresses of sample preparation and liquid chromatography mass spectrometry methods. In particular, data-independent acquisition now enables the generation of hundreds to thousands of quantitative proteome maps from clinical specimens in clinical cohorts with only limited sample amounts in clinical cohorts. Upheavals in the design of large-scale clinical proteomics studies might be required to generate proteomic big data and deploy DL to tackle complex medical problems.</t>
  </si>
  <si>
    <t>Proteomics</t>
  </si>
  <si>
    <t>Automatic monitoring system for individual dairy cows based on a deep learning framework that provides identification via body parts and estimation of body condition score</t>
  </si>
  <si>
    <t>Body condition score (BCS) is a common tool for indirectly estimating the mobilization of energy reserves in the fat and muscle of cattle that meets the requirements of animal welfare and precision livestock farming for the effective monitoring of individual animals. However, previous studies on automatic BCS systems have used manual scoring for data collection, and traditional image extraction methods have limited model performance accuracy. In addition, the radio frequency identification device system commonly used in ranching has the disadvantages of misreadings and damage to bovine bodies. Therefore, the aim of this research was to develop and validate an automatic system for identifying individuals and assessing BCS using a deep learning framework. This work developed a linear regression model of BCS using ultrasound backfat thickness to determine BCS for training sets and tested a system based on convolutional neural networks with 3 channels, including depth, gray, and phase congruency, to analyze the back images of 686 cows. After we performed an analysis of image model performance, online verification was used to evaluate the accuracy and precision of the system. The results showed that the selected linear regression model had a high coefficient of determination value (0.976), and the correlation coefficient between manual BCS and ultrasonic BCS was 0.94. Although the overall accuracy of the BCS estimations was high (0.45, 0.77, and 0.98 within 0, 0.25, and 0.5 unit, respectively), the validation for actual BCS ranging from 3.25 to 3.5 was weak (the F1 scores were only 0.6 and 0.57, respectively, within the 0.25-unit range). Overall, individual identification and BCS assessment performed well in the online measurement, with accuracies of 0.937 and 0.409, respectively. A system for individual identification and BCS assessment was developed, and a convolutional neural network using depth, gray, and phase congruency channels to interpret image features exhibited advantages for monitoring thin cows.</t>
  </si>
  <si>
    <t>S. Yukun, H. Pengju, W. Yujie, C. Ziqi, L. Yang, D. Baisheng, L. Runze and Z. Yonggen</t>
  </si>
  <si>
    <t>J Dairy Sci</t>
  </si>
  <si>
    <t>Learning-based local-to-global landmark annotation for automatic 3D cephalometry</t>
  </si>
  <si>
    <t>The annotation of three-dimensional (3D) cephalometric landmarks in 3D computerized tomography (CT) has become an essential part of cephalometric analysis, which is used for diagnosis, surgical planning, and treatment evaluation. The automation of 3D landmarking with high-precision remains challenging due to the limited availability of training data and the high computational burden. This paper addresses these challenges by proposing a hierarchical deep-learning method consisting of four stages: 1) a basic landmark annotator for 3D skull pose normalization, 2) a deep-learning-based coarse-to-fine landmark annotator on the midsagittal plane, 3) a low-dimensional representation of the total number of landmarks using variational autoencoder (VAE), and 4) a local-to-global landmark annotator. The implementation of the VAE allows two-dimensional-image-based 3D morphological feature learning and similarity/dissimilarity representation learning of the concatenated vectors of cephalometric landmarks. The proposed method achieves an average 3D point-to-point error of 3.63 mm for 93 cephalometric landmarks using a small number of training CT datasets. Notably, the VAE captures variations of craniofacial structural characteristics.</t>
  </si>
  <si>
    <t>We propose a novel airway segmentation method in volumetric chest computed tomography (CT) and evaluate its performance on multiple datasets. The segmentation is performed voxel-by-voxel by a 2.5D convolutional neural net (2.5D CNN) trained in a supervised manner. To enhance the accuracy of the segmented airway tree, we simultaneously took three adjacent slices in each of the orthogonal directions including axial, sagittal, and coronal and fine-tuned the parameters that influence the tree length and the number of leakage. The gold standard of airway segmentation was generated by a semi-automated method using AVIEW™. The 2.5D CNN was trained and evaluated on a subset of inspiratory thoracic CT scans taken from the Korean obstructive lung disease study, which includes normal subjects and chronic obstructive pulmonary disease patients. The reliability and further practicality of our proposed method was demonstrated in multiple datasets. In eight test datasets collected by the same imaging protocol, the percentage detected tree length, false positive rate, and Dice similarity coefficient of our method were 92.16%, 7.74%, and 0.8997 ± 0.0892, respectively. In 20 test datasets of the EXACT'09 challenge, the percentage detected tree length was 60.1% and the false positive rate was 4.56%. Our fully automated (end-to-end) segmentation method could be applied in radiologic practice.</t>
  </si>
  <si>
    <t>J. Yun, J. Park, D. Yu, J. Yi, M. Lee, H. J. Park, J. G. Lee, J. B. Seo and N. Kim</t>
  </si>
  <si>
    <t>Beyond Human Perception: Sexual Dimorphism in Hand and Wrist Radiographs Is Discernible by a Deep Learning Model</t>
  </si>
  <si>
    <t>Despite the well-established impact of sex and sex hormones on bone structure and density, there has been limited description of sexual dimorphism in the hand and wrist in the literature. We developed a deep convolutional neural network (CNN) model to predict sex based on hand radiographs of children and adults aged between 5 and 70 years. Of the 1531 radiographs tested, the algorithm predicted sex correctly in 95.9% (κ = 0.92) of the cases. Two human radiologists achieved 58% (κ = 0.15) and 46% (κ = - 0.07) accuracy. The class activation maps (CAM) showed that the model mostly focused on the 2nd and 3rd metacarpal base or thumb sesamoid in women, and distal radioulnar joint, distal radial physis and epiphysis, or 3rd metacarpophalangeal joint in men. The radiologists reviewed 70 cases (35 females and 35 males) labeled with sex along with heat maps generated by CAM, but they could not find any patterns that distinguish the two sexes. A small sample of patients (n = 44) with sexual developmental disorders or transgender identity was selected for a preliminary exploration of application of the model. The model prediction agreed with phenotypic sex in only 77.8% (κ = 0.54) of these cases. To the best of our knowledge, this is the first study that demonstrated a machine learning model to perform a task in which human experts could not fulfill.</t>
  </si>
  <si>
    <t>10.1007/s11886-020-01321-1</t>
  </si>
  <si>
    <t>Machine Learning-Based Segmentation of Left Ventricular Myocardial Fibrosis from Magnetic Resonance Imaging</t>
  </si>
  <si>
    <t>PURPOSE OF REVIEW: Myocardial fibrosis (MF) arises due to myocardial infarction and numerous cardiac diseases. MF may lead to several heart disorders, such as heart failure, arrhythmias, and ischemia. Cardiac magnetic resonance (CMR) imaging techniques, such as late gadolinium enhancement (LGE) CMR, enable non-invasive assessment of MF in the left ventricle (LV). Manual assessment of MF on CMR is a tedious and time-consuming task that is subject to high observer variability. Automated segmentation and quantification of MF is important for risk stratification and treatment planning in patients with heart disorders. This article aims to review the machine learning (ML)-based methodologies developed for MF quantification in the LV using CMR images. RECENT FINDINGS: With the availability of relatively large labeled datasets supervised learning methods based on both conventional ML and state-of-the-art deep learning (DL) methods have been successfully applied for automated segmentation of MF. The incorporation of ML algorithms into imaging techniques such as 3D LGE CMR permits fast characterization of MF on CMR imaging and may enhance the diagnosis and prognosis of patients with heart disorders. Concurrently, the studies using cine CMR images have revealed that accurate segmentation of MF on non-contrast CMR imaging might be possible. The application of ML/DL tools in CMR image interpretation is likely to result in accurate and efficient quantification of MF.</t>
  </si>
  <si>
    <t>Prediction of Polyp Pathology Using Convolutional Neural Networks Achieves Resect and Discard Thresholds</t>
  </si>
  <si>
    <t>OBJECTIVES: Reliable in situ diagnosis of diminutive (≤5 mm) colorectal polyps could allow for resect and discard and diagnose and leave strategies, resulting in $1 billion cost savings per year in the United States alone. Current methodologies have failed to consistently meet the Preservation and Incorporation of Valuable endoscopic Innovations (PIVIs) initiative thresholds. Convolutional neural networks (CNNs) have the potential to predict polyp pathology and achieve PIVI thresholds in real time. METHODS: We developed a CNN-based optical pathology (OP) model using Tensorflow and pretrained on ImageNet, capable of operating at 77 frames per second. A total of 6,223 images of unique colorectal polyps of known pathology, location, size, and light source (white light or narrow band imaging [NBI]) underwent 5-fold cross-training (80%) and validation (20%). Separate fresh validation was performed on 634 polyp images. Surveillance intervals were calculated, comparing OP with true pathology. RESULTS: In the original validation set, the negative predictive value for adenomas was 97% among diminutive rectum/rectosigmoid polyps. Results were independent of use of NBI or white light. Surveillance interval concordance comparing OP and true pathology was 93%. In the fresh validation set, the negative predictive value was 97% among diminutive polyps in the rectum and rectosigmoid and surveillance concordance was 94%. DISCUSSION: This study demonstrates the feasibility of in situ diagnosis of colorectal polyps using CNN. Our model exceeds PIVI thresholds for both resect and discard and diagnose and leave strategies independent of NBI use. Point-of-care adenoma detection rate and surveillance recommendations are potential added benefits.</t>
  </si>
  <si>
    <t>10.3390/jpm10040224</t>
  </si>
  <si>
    <t>The Application of Deep Convolutional Neural Networks to Brain Cancer Images: A Survey</t>
  </si>
  <si>
    <t>In recent years, improved deep learning techniques have been applied to biomedical image processing for the classification and segmentation of different tumors based on magnetic resonance imaging (MRI) and histopathological imaging (H&amp;E) clinical information. Deep Convolutional Neural Networks (DCNNs) architectures include tens to hundreds of processing layers that can extract multiple levels of features in image-based data, which would be otherwise very difficult and time-consuming to be recognized and extracted by experts for classification of tumors into different tumor types, as well as segmentation of tumor images. This article summarizes the latest studies of deep learning techniques applied to three different kinds of brain cancer medical images (histology, magnetic resonance, and computed tomography) and highlights current challenges in the field for the broader applicability of DCNN in personalized brain cancer care by focusing on two main applications of DCNNs: classification and segmentation of brain cancer tumors images.</t>
  </si>
  <si>
    <t>Fully automatic catheter segmentation in MRI with 3D convolutional neural networks: application to MRI-guided gynecologic brachytherapy</t>
  </si>
  <si>
    <t>External-beam radiotherapy followed by high dose rate (HDR) brachytherapy is the standard-of-care for treating gynecologic cancers. The enhanced soft-tissue contrast provided by magnetic resonance imaging (MRI) makes it a valuable imaging modality for diagnosing and treating these cancers. However, in contrast to computed tomography (CT) imaging, the appearance of the brachytherapy catheters, through which radiation sources are inserted to reach the cancerous tissue later on, is often variable across images. This paper reports, for the first time, a new deep-learning-based method for fully automatic segmentation of multiple closely spaced brachytherapy catheters in intraoperative MRI. Represented in the data are 50 gynecologic cancer patients treated by MRI-guided HDR brachytherapy. For each patient, a single intraoperative MRI was used. 826 catheters in the images were manually segmented by an expert radiation physicist who is also a trained radiation oncologist. The number of catheters in a patient ranged between 10 and 35. A deep 3D convolutional neural network (CNN) model was developed and trained. In order to make the learning process more robust, the network was trained 5 times, each time using a different combination of shown patients. Finally, each test case was processed by the five networks and the final segmentation was generated by voting on the obtained five candidate segmentations. 4-fold validation was executed and all the patients were segmented. An average distance error of 2.0  ±  3.4 mm was achieved. False positive and false negative catheters were 6.7% and 1.5% respectively. Average Dice score was equal to 0.60  ±  0.17. The algorithm is available for use in the open source software platform 3D Slicer allowing for wide scale testing and research discussion. In conclusion, to the best of our knowledge, fully automatic segmentation of multiple closely spaced catheters from intraoperative MR images was achieved for the first time in gynecological brachytherapy.</t>
  </si>
  <si>
    <t>Retinal image quality assessment using deep learning</t>
  </si>
  <si>
    <t>Poor-quality retinal images do not allow an accurate medical diagnosis, and it is inconvenient for a patient to return to a medical center to repeat the fundus photography exam. In this paper, a robust automatic system is proposed to assess the quality of retinal images at the moment of the acquisition, aiming at assisting health care professionals during a fundus photography exam. We propose a convolutional neural network (CNN) pretrained on non-medical images for extracting general image features. The weights of the CNN are further adjusted via a fine-tuning procedure, resulting in a performant classifier obtained only with a small quantity of labeled images. The CNN performance was evaluated on two publicly available databases (i.e., DRIMDB and ELSA-Brasil) using two different procedures: intra-database and inter-database cross-validation. The CNN achieved an area under the curve (AUC) of 99.98% on DRIMDB and an AUC of 98.56% on ELSA-Brasil in the inter-database experiment, where training and testing were not performed on the same database. These results show the robustness of the proposed model to various image acquisitions without requiring special adaptation, thus making it a good candidate for use in operational clinical scenarios.</t>
  </si>
  <si>
    <t>G. T. Zago, R. V. Andreão, B. Dorizzi and E. O. Teatini Salles</t>
  </si>
  <si>
    <t>Diabetic retinopathy detection using red lesion localization and convolutional neural networks</t>
  </si>
  <si>
    <t>Detecting the early signs of diabetic retinopathy (DR) is essential, as timely treatment might reduce or even prevent vision loss. Moreover, automatically localizing the regions of the retinal image that might contain lesions can favorably assist specialists in the task of detection. In this study, we designed a lesion localization model using a deep network patch-based approach. Our goal was to reduce the complexity of the model while improving its performance. For this purpose, we designed an efficient procedure (including two convolutional neural network models) for selecting the training patches, such that the challenging examples would be given special attention during the training process. Using the labeling of the region, a DR decision can be given to the initial image, without the need for special training. The model is trained on the Standard Diabetic Retinopathy Database, Calibration Level 1 (DIARETDB1) database and is tested on several databases (including Messidor) without any further adaptation. It reaches an area under the receiver operating characteristic curve of 0.912-95%CI(0.897-0.928) for DR screening, and a sensitivity of 0.940-95%CI(0.921-0.959). These values are competitive with other state-of-the-art approaches.</t>
  </si>
  <si>
    <t>10.1007/s00259-019-04374-9</t>
  </si>
  <si>
    <t>Next generation research applications for hybrid PET/MR and PET/CT imaging using deep learning</t>
  </si>
  <si>
    <t>INTRODUCTION: Recently there have been significant advances in the field of machine learning and artificial intelligence (AI) centered around imaging-based applications such as computer vision. In particular, the tremendous power of deep learning algorithms, primarily based on convolutional neural network strategies, is becoming increasingly apparent and has already had direct impact on the fields of radiology and nuclear medicine. While most early applications of computer vision to radiological imaging have focused on classification of images into disease categories, it is also possible to use these methods to improve image quality. Hybrid imaging approaches, such as PET/MRI and PET/CT, are ideal for applying these methods. METHODS: This review will give an overview of the application of AI to improve image quality for PET imaging directly and how the additional use of anatomic information from CT and MRI can lead to further benefits. For PET, these performance gains can be used to shorten imaging scan times, with improvement in patient comfort and motion artifacts, or to push towards lower radiotracer doses. It also opens the possibilities for dual tracer studies, more frequent follow-up examinations, and new imaging indications. How to assess quality and the potential effects of bias in training and testing sets will be discussed. CONCLUSION: Harnessing the power of these new technologies to extract maximal information from hybrid PET imaging will open up new vistas for both research and clinical applications with associated benefits in patient care.</t>
  </si>
  <si>
    <t>G. Zaharchuk</t>
  </si>
  <si>
    <t>10.3174/ajnr.A5543</t>
  </si>
  <si>
    <t>Deep Learning in Neuroradiology</t>
  </si>
  <si>
    <t>Deep learning is a form of machine learning using a convolutional neural network architecture that shows tremendous promise for imaging applications. It is increasingly being adapted from its original demonstration in computer vision applications to medical imaging. Because of the high volume and wealth of multimodal imaging information acquired in typical studies, neuroradiology is poised to be an early adopter of deep learning. Compelling deep learning research applications have been demonstrated, and their use is likely to grow rapidly. This review article describes the reasons, outlines the basic methods used to train and test deep learning models, and presents a brief overview of current and potential clinical applications with an emphasis on how they are likely to change future neuroradiology practice. Facility with these methods among neuroimaging researchers and clinicians will be important to channel and harness the vast potential of this new method.</t>
  </si>
  <si>
    <t>Tissue classification and segmentation of pressure injuries using convolutional neural networks</t>
  </si>
  <si>
    <t>BACKGROUND AND OBJECTIVES: This paper presents a new approach for automatic tissue classification in pressure injuries. These wounds are localized skin damages which need frequent diagnosis and treatment. Therefore, a reliable and accurate systems for segmentation and tissue type identification are needed in order to achieve better treatment results. METHODS: Our proposed system is based on a Convolutional Neural Network (CNN) devoted to performing optimized segmentation of the different tissue types present in pressure injuries (granulation, slough, and necrotic tissues). A preprocessing step removes the flash light and creates a set of 5x5 sub-images which are used as input for the CNN network. The network output will classify every sub-image of the validation set into one of the three classes studied. RESULTS: The metrics used to evaluate our approach show an overall average classification accuracy of 92.01%, an average total weighted Dice Similarity Coefficient of 91.38%, and an average precision per class of 97.31% for granulation tissue, 96.59% for necrotic tissue, and 77.90% for slough tissue. CONCLUSIONS: Our system has been proven to make recognition of complicated structures in biomedical images feasible.</t>
  </si>
  <si>
    <t>S. Zahia, D. Sierra-Sosa, B. Garcia-Zapirain and A. Elmaghraby</t>
  </si>
  <si>
    <t>10.1053/j.semnuclmed.2018.07.003</t>
  </si>
  <si>
    <t>Novel Quantitative PET Techniques for Clinical Decision Support in Oncology</t>
  </si>
  <si>
    <t>Quantitative image analysis has deep roots in the usage of positron emission tomography (PET) in clinical and research settings to address a wide variety of diseases. It has been extensively employed to assess molecular and physiological biomarkers in vivo in healthy and disease states, in oncology, cardiology, neurology, and psychiatry. Quantitative PET allows relating the time-varying activity concentration in tissues/organs of interest and the basic functional parameters governing the biological processes being studied. Yet, quantitative PET is challenged by a number of degrading physical factors related to the physics of PET imaging, the limitations of the instrumentation used, and the physiological status of the patient. Moreover, there is no consensus on the most reliable and robust image-derived PET metric(s) that can be used with confidence in clinical oncology owing to the discrepancies between the conclusions reported in the literature. There is also increasing interest in the use of artificial intelligence based techniques, particularly machine learning and deep learning techniques in a variety of applications to extract quantitative features (radiomics) from PET including image segmentation and outcome prediction in clinical oncology. These novel techniques are revolutionizing clinical practice and are now offering unique capabilities to the clinical molecular imaging community and biomedical researchers at large. In this report, we summarize recent developments and future tendencies in quantitative PET imaging and present example applications in clinical decision support to illustrate its potential in the context of clinical oncology.</t>
  </si>
  <si>
    <t>H. Zaidi, A. Alavi and I. E. Naqa</t>
  </si>
  <si>
    <t>AxonDeepSeg: automatic axon and myelin segmentation from microscopy data using convolutional neural networks</t>
  </si>
  <si>
    <t>Segmentation of axon and myelin from microscopy images of the nervous system provides useful quantitative information about the tissue microstructure, such as axon density and myelin thickness. This could be used for instance to document cell morphometry across species, or to validate novel non-invasive quantitative magnetic resonance imaging techniques. Most currently-available segmentation algorithms are based on standard image processing and usually require multiple processing steps and/or parameter tuning by the user to adapt to different modalities. Moreover, only a few methods are publicly available. We introduce AxonDeepSeg, an open-source software that performs axon and myelin segmentation of microscopic images using deep learning. AxonDeepSeg features: (i) a convolutional neural network architecture; (ii) an easy training procedure to generate new models based on manually-labelled data and (iii) two ready-to-use models trained from scanning electron microscopy (SEM) and transmission electron microscopy (TEM). Results show high pixel-wise accuracy across various species: 85% on rat SEM, 81% on human SEM, 95% on mice TEM and 84% on macaque TEM. Segmentation of a full rat spinal cord slice is computed and morphological metrics are extracted and compared against the literature. AxonDeepSeg is freely available at https://github.com/neuropoly/axondeepseg .</t>
  </si>
  <si>
    <t>A. Zaimi, M. Wabartha, V. Herman, P. L. Antonsanti, C. S. Perone and J. Cohen-Adad</t>
  </si>
  <si>
    <t>PURPOSE: To determine the feasibility of employing the prior knowledge of well-separated chemical exchange saturation transfer (CEST) signals in the 9.4 T Z-spectrum to separate overlapping CEST signals acquired at 3 T, using a deep learning approach trained with 3 T and 9.4 T CEST spectral data from brains of the same subjects. METHODS: Highly spectrally resolved Z-spectra from the same volunteer were acquired by 3D-snapshot CEST MRI at 3 T and 9.4 T at low saturation power of B(1) = 0.6 µT. The volume-registered 3 T Z-spectra-stack was then used as input data for a three layer deep neural network with the volume-registered 9.4 T fitted parameter stack as target data. RESULTS: An optimized neural net architecture could be found and verified in healthy volunteers. The gray-/white-matter contrast of the different CEST effects was predicted with only small deviations (Pearson R = 0.89). The 9.4 T prediction was less noisy compared to the directly measured CEST maps, although at the cost of slightly lower tissue contrast. Application to an unseen tumor patient measured at 3 T and 9.4 T revealed that tumorous tissue Z-spectra and corresponding hyper-/hypointensities of different CEST effects can also be predicted (Pearson R = 0.84). CONCLUSION: The 9.4 T CEST signals acquired at low saturation power can be accurately estimated from CEST imaging at 3 T using a neural network trained with coregistered 3 T and 9.4 T data of healthy subjects. The deepCEST approach generalizes to Z-spectra of tumor areas and might indicate whether additional ultrahigh-field (UHF) scans will be beneficial.</t>
  </si>
  <si>
    <t>Automated detection of the HER2 gene amplification status in Fluorescence in situ hybridization images for the diagnostics of cancer tissues</t>
  </si>
  <si>
    <t>The human epidermal growth factor receptor 2 (HER2) gene amplification status is a crucial marker for evaluating clinical therapies of breast or gastric cancer. We propose a deep learning-based pipeline for the detection, localization and classification of interphase nuclei depending on their HER2 gene amplification state in Fluorescence in situ hybridization (FISH) images. Our pipeline combines two RetinaNet-based object localization networks which are trained (1) to detect and classify interphase nuclei into distinct classes normal, low-grade and high-grade and (2) to detect and classify FISH signals into distinct classes HER2 or centromere of chromosome 17 (CEN17). By independently classifying each nucleus twice, the two-step pipeline provides both robustness and interpretability for the automated detection of the HER2 amplification status. The accuracy of our deep learning-based pipeline is on par with that of three pathologists and a set of 57 validation images containing several hundreds of nuclei are accurately classified. The automatic pipeline is a first step towards assisting pathologists in evaluating the HER2 status of tumors using FISH images, for analyzing FISH images in retrospective studies, and for optimizing the documentation of each tumor sample by automatically annotating and reporting of the HER2 gene amplification specificities.</t>
  </si>
  <si>
    <t>Generative approach for data augmentation for deep learning-based bone surface segmentation from ultrasound images</t>
  </si>
  <si>
    <t>PURPOSE: Precise localization of cystic bone lesions is crucial for osteolytic bone tumor surgery. Recently, there is a move toward ultrasound imaging over plain radiographs (X-rays) for intra-operative navigation due to the radiation-free and cost-effectiveness of the modality. In this process, the intra-operative bone model reconstructed from the segmented ultrasound image is registered with the pre-operative bone model. Deep learning approaches have recently shown remarkable success in bone surface segmentation from ultrasound images. However, to train deep learning models effectively with limited dataset size, data augmentation is essential. This study investigates the applicability of the generative approach for data augmentation as well as identifies standard data augmentation approaches for bone surface segmentation from ultrasound images. METHODS: The generative approach we used in our work is based on Pix2Pix image-to-image translation network. We have proposed a multiple-snapshot approach, which mitigates the uni-modal deterministic output issue in the Pix2Pix network without using any complex architecture and training process. We also identified standard data augmentation approaches necessary for ultrasound bone surface segmentation through experiments. RESULTS: We have evaluated our networks using 800 ultrasound images from trained regions (humerus bone) and 1200 ultrasound images from untrained regions (tibia and femur bones) using four different augmentation approaches. The results show that the generative augmentation approach has a positive impact on accuracy in both trained (+ 4.88%) and untrained regions (+ 25.84%) compared to using only standard augmentations. Moreover, compared to standard augmentation approaches, the addition of the generative augmentation approach also showed a similar trend in both trained (+ 8.74%) and untrained (+ 11.55%) regions. CONCLUSION: Generative approaches are very beneficial for data augmentation, where limited dataset size is prevalent, such as ultrasound bone segmentation. The proposed multiple-snapshot Pix2Pix approach has the potential to generate multimodal images, which enlarges the dataset considerably.</t>
  </si>
  <si>
    <t>Challenges and Technological Trends Toward Improved Medical Imaging-based Predictive Data-mining</t>
  </si>
  <si>
    <t>A. Zaritsky</t>
  </si>
  <si>
    <t>Separation of bones from soft tissue in chest radiographs: Anatomy-specific orientation-frequency-specific deep neural network convolution</t>
  </si>
  <si>
    <t>PURPOSE: Lung nodules that are missed by radiologists as well as by computer-aided detection (CAD) systems mostly overlap with ribs and clavicles. Removing the bony structures would result in better visualization of undetectable lesions. Our purpose in this study was to develop a virtual dual-energy imaging system to separate ribs and clavicles from soft tissue in chest radiographs. METHODS: We developed a mixture of anatomy-specific, orientation-frequency-specific (ASOFS) deep neural network convolution (NNC) experts. Anatomy-specific (AS) NNC was designed to separate the bony structures from soft tissue in different lung segments. While an AS design was proposed previously under our massive-training artificial neural networks (MTANN) framework, in this work, we newly mathematically defined an AS experts model as well as its learning and inference strategies in a probabilistic deep-learning framework. In addition, in combination with our AS experts design, we newly proposed the orientation-frequency-specific (OFS) NNC models to decompose bone and soft-tissue structures into specific orientation-frequency components of different scales using a multi-resolution decomposition technique. We trained multiple NNC models, each of which is an expert for a specific orientation-frequency component in a particular anatomic segment. Perfect reconstruction discrete wavelet transform was used for OFS decomposition/reconstruction, while we introduced a soft-gating layer to merge the predictions of AS NNC experts. To train our model, we used the bone images obtained from a dual-energy system as the target (or teaching) images while the standard chest radiographs were used as the input to our model. The training, validation, and test were performed in a nested two-fold cross-validation manner. RESULTS: We used a database of 118 chest radiographs with pulmonary nodules to evaluate our NNC scheme. In order to evaluate our scheme, we performed quantitative and qualitative evaluation of the predicted bone and soft-tissue images from our model as well as the ones of a state-of-the-art technique where the gold-standard dual-energy bone and soft-tissue images were used as the reference images. Both quantitative and qualitative evaluations demonstrated that our ASOFS NNC was superior to the state-of-the-art bone-suppression technique. Particularly, our scheme was better able to maintain the conspicuity of nodules and lung vessels, comparing to the reference technique, while it separated ribs and clavicles from soft tissue. Comparing to a state-of-the-art bone suppression technique, our bone images had substantially higher (t-test; P &lt; 0.01) similarity, in terms of structural similarity index (SSIM) and peak signal-to-noise ratio (PSNR), to the gold-standard dual-energy bone images. CONCLUSIONS: Our deep ASOFS NNC scheme can decompose chest radiographs into their bone and soft-tissue images accurately, offering the improved conspicuity of lung nodules and vessels, and therefore would be useful for radiologists as well as CAD systems in detecting lung nodules in chest radiographs.</t>
  </si>
  <si>
    <t>A. Zarshenas, J. Liu, P. Forti and K. Suzuki</t>
  </si>
  <si>
    <t>Segmentation of prostate and prostate zones using deep learning : A multi-MRI vendor analysis</t>
  </si>
  <si>
    <t>PURPOSE: Develop a deep-learning-based segmentation algorithm for prostate and its peripheral zone (PZ) that is reliable across multiple MRI vendors. METHODS: This is a retrospective study. The dataset consisted of 550 MRIs (Siemens-330, General Electric[GE]-220). A multistream 3D convolutional neural network is used for automatic segmentation of the prostate and its PZ using T2-weighted (T2-w) MRI. Prostate and PZ were manually contoured on axial T2‑w. The network uses axial, coronal, and sagittal T2‑w series as input. The preprocessing of the input data includes bias correction, resampling, and image normalization. A dataset from two MRI vendors (Siemens and GE) is used to test the proposed network. Six different models were trained, three for the prostate and three for the PZ. Of the three, two were trained on data from each vendor separately, and a third (Combined) on the aggregate of the datasets. The Dice coefficient (DSC) is used to compare the manual and predicted segmentation. RESULTS: For prostate segmentation, the Combined model obtained DSCs of 0.893 ± 0.036 and 0.825 ± 0.112 (mean ± standard deviation) on Siemens and GE, respectively. For PZ, the best DSCs were from the Combined model: 0.811 ± 0.079 and 0.788 ± 0.093. While the Siemens model underperformed on the GE dataset and vice versa, the Combined model achieved robust performance on both datasets. CONCLUSION: The proposed network has a performance comparable to the interexpert variability for segmenting the prostate and its PZ. Combining images from different MRI vendors on the training of the network is of paramount importance for building a universal model for prostate and PZ segmentation.</t>
  </si>
  <si>
    <t>Natural Language-based Machine Learning Models for the Annotation of Clinical Radiology Reports</t>
  </si>
  <si>
    <t>Purpose To compare different methods for generating features from radiology reports and to develop a method to automatically identify findings in these reports. Materials and Methods In this study, 96 303 head computed tomography (CT) reports were obtained. The linguistic complexity of these reports was compared with that of alternative corpora. Head CT reports were preprocessed, and machine-analyzable features were constructed by using bag-of-words (BOW), word embedding, and Latent Dirichlet allocation-based approaches. Ultimately, 1004 head CT reports were manually labeled for findings of interest by physicians, and a subset of these were deemed critical findings. Lasso logistic regression was used to train models for physician-assigned labels on 602 of 1004 head CT reports (60%) using the constructed features, and the performance of these models was validated on a held-out 402 of 1004 reports (40%). Models were scored by area under the receiver operating characteristic curve (AUC), and aggregate AUC statistics were reported for (a) all labels, (b) critical labels, and (c) the presence of any critical finding in a report. Sensitivity, specificity, accuracy, and F1 score were reported for the best performing model's (a) predictions of all labels and (b) identification of reports containing critical findings. Results The best-performing model (BOW with unigrams, bigrams, and trigrams plus average word embeddings vector) had a held-out AUC of 0.966 for identifying the presence of any critical head CT finding and an average 0.957 AUC across all head CT findings. Sensitivity and specificity for identifying the presence of any critical finding were 92.59% (175 of 189) and 89.67% (191 of 213), respectively. Average sensitivity and specificity across all findings were 90.25% (1898 of 2103) and 91.72% (18 351 of 20 007), respectively. Simpler BOW methods achieved results competitive with those of more sophisticated approaches, with an average AUC for presence of any critical finding of 0.951 for unigram BOW versus 0.966 for the best-performing model. The Yule I of the head CT corpus was 34, markedly lower than that of the Reuters corpus (at 103) or I2B2 discharge summaries (at 271), indicating lower linguistic complexity. Conclusion Automated methods can be used to identify findings in radiology reports. The success of this approach benefits from the standardized language of these reports. With this method, a large labeled corpus can be generated for applications such as deep learning. (©) RSNA, 2018 Online supplemental material is available for this article.</t>
  </si>
  <si>
    <t>J. Zech, M. Pain, J. Titano, M. Badgeley, J. Schefflein, A. Su, A. Costa, J. Bederson, J. Lehar and E. K. Oermann</t>
  </si>
  <si>
    <t>Variable generalization performance of a deep learning model to detect pneumonia in chest radiographs: A cross-sectional study</t>
  </si>
  <si>
    <t>BACKGROUND: There is interest in using convolutional neural networks (CNNs) to analyze medical imaging to provide computer-aided diagnosis (CAD). Recent work has suggested that image classification CNNs may not generalize to new data as well as previously believed. We assessed how well CNNs generalized across three hospital systems for a simulated pneumonia screening task. METHODS AND FINDINGS: A cross-sectional design with multiple model training cohorts was used to evaluate model generalizability to external sites using split-sample validation. A total of 158,323 chest radiographs were drawn from three institutions: National Institutes of Health Clinical Center (NIH; 112,120 from 30,805 patients), Mount Sinai Hospital (MSH; 42,396 from 12,904 patients), and Indiana University Network for Patient Care (IU; 3,807 from 3,683 patients). These patient populations had an age mean (SD) of 46.9 years (16.6), 63.2 years (16.5), and 49.6 years (17) with a female percentage of 43.5%, 44.8%, and 57.3%, respectively. We assessed individual models using the area under the receiver operating characteristic curve (AUC) for radiographic findings consistent with pneumonia and compared performance on different test sets with DeLong's test. The prevalence of pneumonia was high enough at MSH (34.2%) relative to NIH and IU (1.2% and 1.0%) that merely sorting by hospital system achieved an AUC of 0.861 (95% CI 0.855-0.866) on the joint MSH-NIH dataset. Models trained on data from either NIH or MSH had equivalent performance on IU (P values 0.580 and 0.273, respectively) and inferior performance on data from each other relative to an internal test set (i.e., new data from within the hospital system used for training data; P values both &lt;0.001). The highest internal performance was achieved by combining training and test data from MSH and NIH (AUC 0.931, 95% CI 0.927-0.936), but this model demonstrated significantly lower external performance at IU (AUC 0.815, 95% CI 0.745-0.885, P = 0.001). To test the effect of pooling data from sites with disparate pneumonia prevalence, we used stratified subsampling to generate MSH-NIH cohorts that only differed in disease prevalence between training data sites. When both training data sites had the same pneumonia prevalence, the model performed consistently on external IU data (P = 0.88). When a 10-fold difference in pneumonia rate was introduced between sites, internal test performance improved compared to the balanced model (10× MSH risk P &lt; 0.001; 10× NIH P = 0.002), but this outperformance failed to generalize to IU (MSH 10× P &lt; 0.001; NIH 10× P = 0.027). CNNs were able to directly detect hospital system of a radiograph for 99.95% NIH (22,050/22,062) and 99.98% MSH (8,386/8,388) radiographs. The primary limitation of our approach and the available public data is that we cannot fully assess what other factors might be contributing to hospital system-specific biases. CONCLUSION: Pneumonia-screening CNNs achieved better internal than external performance in 3 out of 5 natural comparisons. When models were trained on pooled data from sites with different pneumonia prevalence, they performed better on new pooled data from these sites but not on external data. CNNs robustly identified hospital system and department within a hospital, which can have large differences in disease burden and may confound predictions.</t>
  </si>
  <si>
    <t>J. R. Zech, M. A. Badgeley, M. Liu, A. B. Costa, J. J. Titano and E. K. Oermann</t>
  </si>
  <si>
    <t>DeepSeg: deep neural network framework for automatic brain tumor segmentation using magnetic resonance FLAIR images</t>
  </si>
  <si>
    <t>PURPOSE: Gliomas are the most common and aggressive type of brain tumors due to their infiltrative nature and rapid progression. The process of distinguishing tumor boundaries from healthy cells is still a challenging task in the clinical routine. Fluid-attenuated inversion recovery (FLAIR) MRI modality can provide the physician with information about tumor infiltration. Therefore, this paper proposes a new generic deep learning architecture, namely DeepSeg, for fully automated detection and segmentation of the brain lesion using FLAIR MRI data. METHODS: The developed DeepSeg is a modular decoupling framework. It consists of two connected core parts based on an encoding and decoding relationship. The encoder part is a convolutional neural network (CNN) responsible for spatial information extraction. The resulting semantic map is inserted into the decoder part to get the full-resolution probability map. Based on modified U-Net architecture, different CNN models such as residual neural network (ResNet), dense convolutional network (DenseNet), and NASNet have been utilized in this study. RESULTS: The proposed deep learning architectures have been successfully tested and evaluated on-line based on MRI datasets of brain tumor segmentation (BraTS 2019) challenge, including s336 cases as training data and 125 cases for validation data. The dice and Hausdorff distance scores of obtained segmentation results are about 0.81 to 0.84 and 9.8 to 19.7 correspondingly. CONCLUSION: This study showed successful feasibility and comparative performance of applying different deep learning models in a new DeepSeg framework for automated brain tumor segmentation in FLAIR MR images. The proposed DeepSeg is open source and freely available at https://github.com/razeineldin/DeepSeg/.</t>
  </si>
  <si>
    <t>[Early prognosis of Alzheimer's disease based on convolutional neural networks and ensemble learning]</t>
  </si>
  <si>
    <t>Alzheimer's disease (AD) is a typical neurodegenerative disease, which is clinically manifested as amnesia, loss of language ability and self-care ability, and so on. So far, the cause of the disease has still been unclear and the course of the disease is irreversible, and there has been no cure for the disease yet. Hence, early prognosis of AD is important for the development of new drugs and measures to slow the progression of the disease. Mild cognitive impairment (MCI) is a state between AD and healthy controls (HC). Studies have shown that patients with MCI are more likely to develop AD than those without MCI. Therefore, accurate screening of MCI patients has become one of the research hotspots of early prognosis of AD. With the rapid development of neuroimaging techniques and deep learning, more and more researchers employ deep learning methods to analyze brain neuroimaging images, such as magnetic resonance imaging (MRI), for early prognosis of AD. Hence, in this paper, a three-dimensional multi-slice classifiers ensemble based on convolutional neural network (CNN) and ensemble learning for early prognosis of AD has been proposed. Compared with the CNN classification model based on a single slice, the proposed classifiers ensemble based on multiple two-dimensional slices from three dimensions could use more effective information contained in MRI to improve classification accuracy and stability in a parallel computing mode.</t>
  </si>
  <si>
    <t>A. Zeng, L. Jia, D. Pan and X. Song</t>
  </si>
  <si>
    <t>Deep residual network for off-resonance artifact correction with application to pediatric body MRA with 3D cones</t>
  </si>
  <si>
    <t>PURPOSE: To enable rapid imaging with a scan time-efficient 3D cones trajectory with a deep-learning off-resonance artifact correction technique. METHODS: A residual convolutional neural network to correct off-resonance artifacts (Off-ResNet) was trained with a prospective study of pediatric MRA exams. Each exam acquired a short readout scan (1.18 ms ± 0.38) and a long readout scan (3.35 ms ± 0.74) at 3 T. Short readout scans, with longer scan times but negligible off-resonance blurring, were used as reference images and augmented with additional off-resonance for supervised training examples. Long readout scans, with greater off-resonance artifacts but shorter scan time, were corrected by autofocus and Off-ResNet and compared with short readout scans by normalized RMS error, structural similarity index, and peak SNR. Scans were also compared by scoring on 8 anatomical features by two radiologists, using analysis of variance with post hoc Tukey's test and two one-sided t-tests. Reader agreement was determined with intraclass correlation. RESULTS: The total scan time for long readout scans was on average 59.3% shorter than short readout scans. Images from Off-ResNet had superior normalized RMS error, structural similarity index, and peak SNR compared with uncorrected images across ±1 kHz off-resonance (P &lt; .01). The proposed method had superior normalized RMS error over -677 Hz to +1 kHz and superior structural similarity index and peak SNR over ±1 kHz compared with autofocus (P &lt; .01). Radiologic scoring demonstrated that long readout scans corrected with Off-ResNet were noninferior to short readout scans (P &lt; .05). CONCLUSION: The proposed method can correct off-resonance artifacts from rapid long-readout 3D cones scans to a noninferior image quality compared with diagnostically standard short readout scans.</t>
  </si>
  <si>
    <t>Deep Learning-Based Automatic Segmentation of the Proximal Femur from MR Images</t>
  </si>
  <si>
    <t>This chapter addresses the problem of segmentation of proximal femur in 3D MR images. We propose a deeply supervised 3D U-net-like fully convolutional network for segmentation of proximal femur in 3D MR images. After training, our network can directly map a whole volumetric data to its volume-wise labels. Inspired by previous work, multi-level deep supervision is designed to alleviate the potential gradient vanishing problem during training. It is also used together with partial transfer learning to boost the training efficiency when only small set of labeled training data are available. The present method was validated on 20 3D MR images of femoroacetabular impingement patients. The experimental results demonstrate the efficacy of the present method.</t>
  </si>
  <si>
    <t>G. Zeng and G. Zheng</t>
  </si>
  <si>
    <t>Holistic decomposition convolution for effective semantic segmentation of medical volume images</t>
  </si>
  <si>
    <t>Convolutional Neural Networks (CNNs) have achieved state-of-the-art performance in many different 2D medical image analysis tasks. In clinical practice, however, a large part of the medical imaging data available is in 3D, e.g, magnetic resonance imaging (MRI) data, computed tomography (CT) data and data generated by many other modalities. This has motivated the development of 3D CNNs for volumetric image segmentation in order to benefit from more spatial context. Due to GPU memory restrictions caused by moving to fully 3D, state-of-the-art methods depend on subvolume/patch processing and the size of the input patch is usually small, limiting the incorporation of larger context information for a better performance. In this paper, we propose a novel Holistic Decomposition Convolution (HDC), which learns a number of separate kernels within the same layer and can be regarded as an inverse operation to the previously introduced Dense Upsampling Convolution (DUC), for an effective and efficient semantic segmentation of medical volume images. HDC consists of a periodic down-shuffling operation followed by a conventional 3D convolution. HDC has the advantage of significantly reducing the size of the data for sub-sequential processing while using all the information available in the input irrespective of the down-shuffling factors. We apply HDC directly to the input data, whose output will be used as the input to sub-sequential CNNs. In order to achieve volumetric dense prediction at final output, we need to recover full resolution, which is done by using DUC. We show that both HDC and DUC are network agnostic and can be combined with different CNNs for an improved performance in both training and testing phases. Results obtained from comprehensive experiments conducted on both MRI and CT data of different anatomical regions demonstrate the efficacy of the present approach.</t>
  </si>
  <si>
    <t>Multi-Site Diagnostic Classification of Schizophrenia Using Discriminant Deep Learning with Functional Connectivity MRI</t>
  </si>
  <si>
    <t>BACKGROUND: A lack of a sufficiently large sample at single sites causes poor generalizability in automatic diagnosis classification of heterogeneous psychiatric disorders such as schizophrenia based on brain imaging scans. Advanced deep learning methods may be capable of learning subtle hidden patterns from high dimensional imaging data, overcome potential site-related variation, and achieve reproducible cross-site classification. However, deep learning-based cross-site transfer classification, despite less imaging site-specificity and more generalizability of diagnostic models, has not been investigated in schizophrenia. METHODS: A large multi-site functional MRI sample (n = 734, including 357 schizophrenic patients from seven imaging resources) was collected, and a deep discriminant autoencoder network, aimed at learning imaging site-shared functional connectivity features, was developed to discriminate schizophrenic individuals from healthy controls. FINDINGS: Accuracies of approximately 85·0% and 81·0% were obtained in multi-site pooling classification and leave-site-out transfer classification, respectively. The learned functional connectivity features revealed dysregulation of the cortical-striatal-cerebellar circuit in schizophrenia, and the most discriminating functional connections were primarily located within and across the default, salience, and control networks. INTERPRETATION: The findings imply that dysfunctional integration of the cortical-striatal-cerebellar circuit across the default, salience, and control networks may play an important role in the disconnectivity model underlying the pathophysiology of schizophrenia. The proposed discriminant deep learning method may be capable of learning reliable connectome patterns and help in understanding the pathophysiology and achieving accurate prediction of schizophrenia across multiple independent imaging sites.</t>
  </si>
  <si>
    <t>L. L. Zeng, H. Wang, P. Hu, B. Yang, W. Pu, H. Shen, X. Chen, Z. Liu, H. Yin, Q. Tan, K. Wang and D. Hu</t>
  </si>
  <si>
    <t>Label-driven magnetic resonance imaging (MRI)-transrectal ultrasound (TRUS) registration using weakly supervised learning for MRI-guided prostate radiotherapy</t>
  </si>
  <si>
    <t>Registration and fusion of magnetic resonance imaging (MRI) and transrectal ultrasound (TRUS) of the prostate can provide guidance for prostate brachytherapy. However, accurate registration remains a challenging task due to the lack of ground truth regarding voxel-level spatial correspondence, limited field of view, low contrast-to-noise ratio, and signal-to-noise ratio in TRUS. In this study, we proposed a fully automated deep learning approach based on a weakly supervised method to address these issues. We employed deep learning techniques to combine image segmentation and registration, including affine and nonrigid registration, to perform an automated deformable MRI-TRUS registration. To start with, we trained two separate fully convolutional neural networks (CNNs) to perform a pixel-wise prediction for MRI and TRUS prostate segmentation. Then, to provide the initialization of the registration, a 2D CNN was used to register MRI-TRUS prostate images using an affine registration. After that, a 3D UNET-like network was applied for nonrigid registration. For both the affine and nonrigid registration, pairs of MRI-TRUS labels were concatenated and fed into the neural networks for training. Due to the unavailability of ground-truth voxel-level correspondences and the lack of accurate intensity-based image similarity measures, we propose to use prostate label-derived volume overlaps and surface agreements as an optimization objective function for weakly supervised network training. Specifically, we proposed a hybrid loss function that integrated a Dice loss, a surface-based loss, and a bending energy regularization loss for the nonrigid registration. The Dice and surface-based losses were used to encourage the alignment of the prostate label between the MRI and the TRUS. The bending energy regularization loss was used to achieve a smooth deformation field. Thirty-six sets of patient data were used to test our registration method. The image registration results showed that the deformed MR image aligned well with the TRUS image, as judged by corresponding cysts and calcifications in the prostate. The quantitative results showed that our method produced a mean target registration error (TRE) of 2.53 ± 1.39 mm and a mean Dice loss of 0.91 ± 0.02. The mean surface distance (MSD) and Hausdorff distance (HD) between the registered MR prostate shape and TRUS prostate shape were 0.88 and 4.41 mm, respectively. This work presents a deep learning-based, weakly supervised network for accurate MRI-TRUS image registration. Our proposed method has achieved promising registration performance in terms of Dice loss, TRE, MSD, and HD.</t>
  </si>
  <si>
    <t>DeepEM3D: approaching human-level performance on 3D anisotropic EM image segmentation</t>
  </si>
  <si>
    <t xml:space="preserve">MOTIVATION: Progress in 3D electron microscopy (EM) imaging has greatly facilitated neuroscience research in high-throughput data acquisition. Correspondingly, high-throughput automated image analysis methods are necessary to work on par with the speed of data being produced. One such example is the need for automated EM image segmentation for neurite reconstruction. However, the efficiency and reliability of current methods are still lagging far behind human performance. RESULTS: Here, we propose DeepEM3D, a deep learning method for segmenting 3D anisotropic brain electron microscopy images. In this method, the deep learning model can efficiently build feature representation and incorporate sufficient multi-scale contextual information. We propose employing a combination of novel boundary map generation methods with optimized model ensembles to address the inherent challenges of segmenting anisotropic images. We evaluated our method by participating in the 3D segmentation of neurites in EM images (SNEMI3D) challenge. Our submission is ranked </t>
  </si>
  <si>
    <t>T. Zeng, B. Wu and S. Ji</t>
  </si>
  <si>
    <t>A convolutional autoencoder approach for mining features in cellular electron cryo-tomograms and weakly supervised coarse segmentation</t>
  </si>
  <si>
    <t>Cellular electron cryo-tomography enables the 3D visualization of cellular organization in the near-native state and at submolecular resolution. However, the contents of cellular tomograms are often complex, making it difficult to automatically isolate different in situ cellular components. In this paper, we propose a convolutional autoencoder-based unsupervised approach to provide a coarse grouping of 3D small subvolumes extracted from tomograms. We demonstrate that the autoencoder can be used for efficient and coarse characterization of features of macromolecular complexes and surfaces, such as membranes. In addition, the autoencoder can be used to detect non-cellular features related to sample preparation and data collection, such as carbon edges from the grid and tomogram boundaries. The autoencoder is also able to detect patterns that may indicate spatial interactions between cellular components. Furthermore, we demonstrate that our autoencoder can be used for weakly supervised semantic segmentation of cellular components, requiring a very small amount of manual annotation.</t>
  </si>
  <si>
    <t>X. Zeng, M. R. Leung, T. Zeev-Ben-Mordehai and M. Xu</t>
  </si>
  <si>
    <t>Generating diagnostic report for medical image by high-middle-level visual information incorporation on double deep learning models</t>
  </si>
  <si>
    <t>BACKGROUND AND OBJECTIVES: Writing diagnostic reports for medical images is a heavy and tedious work. The automatic generation of medical image diagnostic reports can assist doctors to reduce their workload and improve diagnosis efficiency. It is of great significance to introduce image caption algorithm into medical image processing. Existing approaches attempt to generate medical image diagnostic reports using image caption algorithms but without taking the accuracy of pathological information in generated diagnostic reports into account. METHODS: To solve the mentioned problem, we propose a Semantic Fusion Network (SFNet) including a lesion area detection model and a diagnostic generation model. The lesion area detection model can extract visual and pathological information from medical image, and the diagnostic report generation model can learn to fuse the two kinds of information to generate reports. Thus, the pathological information in the generated diagnostic reports can be more accurate. RESULTS: Experimental results have verified the performance of our model (Accuracy increases 1.2% on the Ultrasound Image Dataset and 2.4% on the Open-i X-ray Image Dataset), compared with the model only using visual feature to generate diagnostic reports. CONCLUSIONS: This work utilizes computer algorithms to generate the more accurate diagnostic reports for medical images automatically, which expands the application of computer-aided diagnosis and promotes the implementation of deep learning in the medical image analysis field.</t>
  </si>
  <si>
    <t>Deep convolutional neural networks with multiplane consensus labeling for lung function quantification using UTE proton MRI</t>
  </si>
  <si>
    <t>BACKGROUND: Ultrashort echo time (UTE) proton MRI has gained popularity for assessing lung structure and function in pulmonary imaging; however, the development of rapid biomarker extraction and regional quantification has lagged behind due to labor-intensive lung segmentation. PURPOSE: To evaluate a deep learning (DL) approach for automated lung segmentation to extract image-based biomarkers from functional lung imaging using 3D radial UTE oxygen-enhanced (OE) MRI. STUDY TYPE: Retrospective study aimed to evaluate a technical development. POPULATION: Forty-five human subjects, including 16 healthy volunteers, 5 asthma, and 24 patients with cystic fibrosis. FIELD STRENGTH/SEQUENCE: 1.5T MRI, 3D radial UTE (TE = 0.08 msec) sequence. ASSESSMENT: Two 3D radial UTE volumes were acquired sequentially under normoxic (21% O(2) ) and hyperoxic (100% O(2) ) conditions. Automated segmentation of the lungs using 2D convolutional encoder-decoder based DL method, and the subsequent functional quantification via adaptive K-means were compared with the results obtained from the reference method, supervised region growing. STATISTICAL TESTS: Relative to the reference method, the performance of DL on volumetric quantification was assessed using Dice coefficient with 95% confidence interval (CI) for accuracy, two-sided Wilcoxon signed-rank test for computation time, and Bland-Altman analysis on the functional measure derived from the OE images. RESULTS: The DL method produced strong agreement with supervised region growing for the right (Dice: 0.97; 95% CI = [0.96, 0.97]; P &lt; 0.001) and left lungs (Dice: 0.96; 95% CI = [0.96, 0.97]; P &lt; 0.001). The DL method averaged 46 seconds to generate the automatic segmentations in contrast to 1.93 hours using the reference method (P &lt; 0.001). Bland-Altman analysis showed nonsignificant intermethod differences of volumetric (P ≥ 0.12) and functional measurements (P ≥ 0.34) in the left and right lungs. DATA CONCLUSION: DL provides rapid, automated, and robust lung segmentation for quantification of regional lung function using UTE proton MRI. LEVEL OF EVIDENCE: 2 Technical Efficacy: Stage 1 J. Magn. Reson. Imaging 2019;50:1169-1181.</t>
  </si>
  <si>
    <t>Pulmonary ventilation imaging in asthma and cystic fibrosis using oxygen-enhanced 3D radial ultrashort echo time MRI</t>
  </si>
  <si>
    <t>BACKGROUND: A previous study demonstrated the feasibility of using 3D radial ultrashort echo time (UTE) oxygen-enhanced MRI (UTE OE-MRI) for functional imaging of healthy human lungs. The repeatability of quantitative measures from UTE OE-MRI needs to be established prior to its application in clinical research. PURPOSE: To evaluate repeatability of obstructive patterns in asthma and cystic fibrosis (CF) with UTE OE-MRI with isotropic spatial resolution and full chest coverage. STUDY TYPE: Volunteer and patient repeatability. POPULATION: Eighteen human subjects (five asthma, six CF, and seven normal subjects). FIELD STRENGTH/SEQUENCE: Respiratory-gated free-breathing 3D radial UTE (80 μs) sequence at 1.5T. ASSESSMENT: Two 3D radial UTE volumes were acquired sequentially under normoxic and hyperoxic conditions. A subset of subjects underwent repeat acquisitions on either the same day or ≤15 days apart. Asthma and CF subjects also underwent spirometry. A workflow including deformable registration and retrospective lung density correction was used to compute 3D isotropic percent signal enhancement (PSE) maps. Median PSE (MPSE) and ventilation defect percent (VDP) of the lung were measured from the PSE map. STATISTICAL TESTS: The relations between MPSE, VDP, and spirometric measures were assessed using Spearman correlations. The test-retest repeatability was evaluated using Bland-Altman analysis and intraclass correlation coefficients (ICC). RESULTS: Ventilation measures in normal subjects (MPSE = 8.0%, VDP = 3.3%) were significantly different from those in asthma (MPSE = 6.0%, P = 0.042; VDP = 21.7%, P = 0.018) and CF group (MPSE = 4.5%, P = 0.0006; VDP = 27.2%, P = 0.002). MPSE correlated significantly with forced expiratory lung volume in 1 second percent predicted (ρ = 0.72, P = 0.017). The ICC of the test-retest VDP and MPSE were both ≥0.90. In all subject groups, an anterior/posterior gradient was observed with higher MPSE and lower VDP in the posterior compared to anterior regions (P ≤ 0.0021 for all comparisons). DATA CONCLUSION: 3D radial UTE OE-MRI supports quantitative differentiation of diseased vs. healthy lungs using either whole lung VDP or MPSE with excellent test-retest repeatability. LEVEL OF EVIDENCE: 2 Technical Efficacy: Stage 1 J. Magn. Reson. Imaging 2018;47:1287-1297.</t>
  </si>
  <si>
    <t>W. Zha, S. J. Kruger, K. M. Johnson, R. V. Cadman, L. C. Bell, F. Liu, A. D. Hahn, M. D. Evans, S. K. Nagle and S. B. Fain</t>
  </si>
  <si>
    <t>Optimized fast GPU implementation of robust artificial-neural-networks for k-space interpolation (RAKI) reconstruction</t>
  </si>
  <si>
    <t>BACKGROUND: Robust Artificial-neural-networks for k-space Interpolation (RAKI) is a recently proposed deep-learning-based reconstruction algorithm for parallel imaging. Its main premise is to perform k-space interpolation using convolutional neural networks (CNNs) trained on subject-specific autocalibration signal (ACS) data. Since training is performed individually for each subject, the reconstruction time is longer than approaches that pre-train on databases. In this study, we sought to reduce the computational time of RAKI. METHODS: RAKI was implemented using CPU multi-processing and process pooling to maximize the utility of GPU resources. We also proposed an alternative CNN architecture that interpolates all output channels jointly for specific skipped k-space lines. This new architecture was compared to the original CNN architecture in RAKI, as well as to GRAPPA in phantom, brain and knee MRI datasets, both qualitatively and quantitatively. RESULTS: The optimized GPU implementations were approximately 2-to-5-fold faster than a simple GPU implementation. The new CNN architecture further improved the computational time by 4-to-5-fold compared to the optimized GPU implementation using the original RAKI CNN architecture. It also provided significant improvement over GRAPPA both visually and quantitatively, although it performed slightly worse than the original RAKI CNN architecture. CONCLUSIONS: The proposed implementations of RAKI bring the computational time towards clinically acceptable ranges. The new CNN architecture yields faster training, albeit at a slight performance loss, which may be acceptable for faster visualization in some settings.</t>
  </si>
  <si>
    <t>A visual encoding model based on deep neural networks and transfer learning for brain activity measured by functional magnetic resonance imaging</t>
  </si>
  <si>
    <t>BACKGROUND: Building visual encoding models to accurately predict visual responses is a central challenge for current vision-based brain-machine interface techniques. To achieve high prediction accuracy on neural signals, visual encoding models should include precise visual features and appropriate prediction algorithms. Most existing visual encoding models employ hand-craft visual features (e.g., Gabor wavelets or semantic labels) or data-driven features (e.g., features extracted from deep neural networks (DNN)). They also assume a linear mapping between feature representations to brain activity. However, it remains unknown whether such linear mapping is sufficient for maximizing prediction accuracy. NEW METHOD: We construct a new visual encoding framework to predict cortical responses in a benchmark functional magnetic resonance imaging (fMRI) dataset. In this framework, we employ the transfer learning technique to incorporate a pre-trained DNN (i.e., AlexNet) and train a nonlinear mapping from visual features to brain activity. This nonlinear mapping replaces the conventional linear mapping and is supposed to improve prediction accuracy on measured activity in the human visual cortex. RESULTS: The proposed framework can significantly predict responses of over 20% voxels in early visual areas (i.e., V1-lateral occipital region, LO) and achieve unprecedented prediction accuracy. COMPARISON WITH EXISTING METHODS: Comparing to two conventional visual encoding models, we find that the proposed encoding model shows consistent higher prediction accuracy in all early visual areas, especially in relatively anterior visual areas (i.e., V4 and LO). CONCLUSIONS: Our work proposes a new framework to utilize pre-trained visual features and train non-linear mappings from visual features to brain activity.</t>
  </si>
  <si>
    <t>Toward an Expert Level of Lung Cancer Detection and Classification Using a Deep Convolutional Neural Network</t>
  </si>
  <si>
    <t>BACKGROUND: Computed tomography (CT) is essential for pulmonary nodule detection in diagnosing lung cancer. As deep learning algorithms have recently been regarded as a promising technique in medical fields, we attempt to integrate a well-trained deep learning algorithm to detect and classify pulmonary nodules derived from clinical CT images. MATERIALS AND METHODS: Open-source data sets and multicenter data sets have been used in this study. A three-dimensional convolutional neural network (CNN) was designed to detect pulmonary nodules and classify them into malignant or benign diseases based on pathologically and laboratory proven results. RESULTS: The sensitivity and specificity of this well-trained model were found to be 84.4% (95% confidence interval [CI], 80.5%-88.3%) and 83.0% (95% CI, 79.5%-86.5%), respectively. Subgroup analysis of smaller nodules (&lt;10 mm) have demonstrated remarkable sensitivity and specificity, similar to that of larger nodules (10-30 mm). Additional model validation was implemented by comparing manual assessments done by different ranks of doctors with those performed by three-dimensional CNN. The results show that the performance of the CNN model was superior to manual assessment. CONCLUSION: Under the companion diagnostics, the three-dimensional CNN with a deep learning algorithm may assist radiologists in the future by providing accurate and timely information for diagnosing pulmonary nodules in regular clinical practices. IMPLICATIONS FOR PRACTICE: The three-dimensional convolutional neural network described in this article demonstrated both high sensitivity and high specificity in classifying pulmonary nodules regardless of diameters as well as superiority compared with manual assessment. Although it still warrants further improvement and validation in larger screening cohorts, its clinical application could definitely facilitate and assist doctors in clinical practice.</t>
  </si>
  <si>
    <t>Black goji berry (Lycium ruthenicum Murr.) has great commercial and nutritional values. Near-infrared hyperspectral imaging (NIR-HSI) was used to determine total phenolics, total flavonoids and total anthocyanins in dry black goji berries. Convolutional neural networks (CNN) were designed and developed to predict the chemical compositions. These CNN models and deep autoencoder were used as supervised and unsupervised feature extraction methods, respectively. Partial least squares (PLS) and least-squares support vector machine (LS-SVM) as modelling methods, successive projections algorithm and competitive adaptive reweighted sampling (CARS) as wavelength selection methods, and principal component analysis (PCA) and wavelet transform (WT) as feature extraction methods were studied as conventional approaches for comparison. Deep learning approaches as modelling methods and feature extraction methods obtained good and equivalent performances to the conventional methods. The results illustrated that deep learning had great potential as modelling and feature extraction methods for chemical compositions determination in NIR-HSI.</t>
  </si>
  <si>
    <t>Food Chem</t>
  </si>
  <si>
    <t>Development of a quantitative segmentation model to assess the effect of comorbidity on patients with COVID-19</t>
  </si>
  <si>
    <t>BACKGROUND: The coronavirus disease 2019 (COVID-19) has brought a global disaster. Quantitative lesions may provide the radiological evidence of the severity of pneumonia and further to assess the effect of comorbidity on patients with COVID-19. METHODS: 294 patients with COVID-19 were enrolled from February, 24, 2020 to June, 1, 2020 from six centers. Multi-task Unet network was used to segment the whole lung and lesions from chest CT images. This deep learning method was pre-trained in 650 CT images (550 in primary dataset and 100 in test dataset) with COVID-19 or community-acquired pneumonia and Dice coefficients in test dataset were calculated. 50 CT scans of 50 patients (15 with comorbidity and 35 without comorbidity) were random selected to mark lesions manually. The results will be compared with the automatic segmentation model. Eight quantitative parameters were calculated based on the segmentation results to evaluate the effect of comorbidity on patients with COVID-19. RESULTS: Quantitative segmentation model was proved to be effective and accurate with all Dice coefficients more than 0.85 and all accuracies more than 0.95. Of the 294 patients, 52 (17.7%) patients were reported having at least one comorbidity; 14 (4.8%) having more than one comorbidity. Patients with any comorbidity were older (P &lt; 0.001), had longer incubation period (P &lt; 0.001), were more likely to have abnormal laboratory findings (P &lt; 0.05), and be in severity status (P &lt; 0.001). More lesions (including larger volume of lesion, consolidation, and ground-glass opacity) were shown in patients with any comorbidity than patients without comorbidity (all P &lt; 0.001). More lesions were found on CT images in patients with more comorbidities. The median volumes of lesion, consolidation, and ground-glass opacity in diabetes mellitus group were largest among the groups with single comorbidity that had the incidence rate of top three. CONCLUSIONS: Multi-task Unet network can make quantitative CT analysis of lesions to assess the effect of comorbidity on patients with COVID-19, further to provide the radiological evidence of the severity of pneumonia. More lesions (including GGO and consolidation) were found in CT images of cases with comorbidity. The more comorbidities patients have, the more lesions CT images show.</t>
  </si>
  <si>
    <t>Eur J Med Res</t>
  </si>
  <si>
    <t>New convolutional neural network model for screening and diagnosis of mammograms</t>
  </si>
  <si>
    <t>Breast cancer is the most common cancer in women and poses a great threat to women's life and health. Mammography is an effective method for the diagnosis of breast cancer, but the results are largely limited by the clinical experience of radiologists. Therefore, the main purpose of this study is to perform two-stage classification (Normal/Abnormal and Benign/Malignancy) of two- view mammograms through convolutional neural network. In this study, we constructed a multi-view feature fusion network model for classification of mammograms from two views, and we proposed a multi-scale attention DenseNet as the backbone network for feature extraction. The model consists of two independent branches, which are used to extract the features of two mammograms from different views. Our work mainly focuses on the construction of multi-scale convolution module and attention module. The final experimental results show that the model has achieved good performance in both classification tasks. We used the DDSM database to evaluate the proposed method. The accuracy, sensitivity and AUC values of normal and abnormal mammograms classification were 94.92%, 96.52% and 94.72%, respectively. And the accuracy, sensitivity and AUC values of benign and malignant mammograms classification were 95.24%, 96.11% and 95.03%, respectively.</t>
  </si>
  <si>
    <t>Boundary-aware Semi-supervised Deep Learning for Breast Ultrasound Computer-Aided Diagnosis</t>
  </si>
  <si>
    <t>Breast ultrasound (US) is an effective imaging modality for breast cancer diagnosis. US computer-aided diagnosis (CAD) systems have been developed for decades and have employed either conventional handcrafted features or modern automatic deep-learned features, the former relying on clinical experience and the latter demanding large datasets. In this paper, we developed a novel BASDL method that integrates clinical-approved breast lesion boundary characteristics (features) into a semi-supervised deep learning (SDL) to achieve accurate diagnosis with a small training dataset. Original breast US images are converted to boundary-oriented feature maps (BFMs) using a distance-transformation coupled with a Gaussian filter. Then, the converted BFMs are used as the input of SDL network, which is characterized as lesion classification guided unsupervised image reconstruction based on stacked convolutional auto-encode (SCAE). We compared the performance of BASDL with conventional SCAE method and SDL method that used the original images as inputs, as well as SCAE method that used BFMs as inputs. Experimental results on two breast US datasets show that BASDL ranked the best among the four networks, with classification accuracy around 92.00±2.38%, which indicated that BASDL could be promising for effective breast US lesion CAD using small datasets.</t>
  </si>
  <si>
    <t>BIRADS features-oriented semi-supervised deep learning for breast ultrasound computer-aided diagnosis</t>
  </si>
  <si>
    <t>We propose a novel BIRADS-SSDL network that integrates clinically-approved breast lesion characteristics (BIRADS features) into task-oriented semi-supervised deep learning (SSDL) for accurate diagnosis of ultrasound (US) images with a small training dataset. Breast US images are converted to BIRADS-oriented feature maps (BFMs) using a distance-transformation coupled with a Gaussian filter. Then, the converted BFMs are used as the input of an SSDL network, which performs unsupervised stacked convolutional auto-encoder (SCAE) image reconstruction guided by lesion classification. This integrated multi-task learning allows SCAE to extract image features with the constraints from the lesion classification task, while the lesion classification is achieved by utilizing the SCAE encoder features with a convolutional network. We trained the BIRADS-SSDL network with an alternative learning strategy by balancing the reconstruction error and classification label prediction error. To demonstrate the effectiveness of our approach, we evaluated it using two breast US image datasets. We compared the performance of the BIRADS-SSDL network with conventional SCAE and SSDL methods that use the original images as inputs, as well as with an SCAE that use BFMs as inputs. The experimental results on two breast US datasets show that BIRADS-SSDL ranked the best among the four networks, with a classification accuracy of around 94.23 ± 3.33% and 84.38 ± 3.11% on two datasets. In the case of experiments across two datasets collected from two different institutions/and US devices, the developed BIRADS-SSDL is generalizable across the different US devices and institutions without overfitting to a single dataset and achieved satisfactory results. Furthermore, we investigate the performance of the proposed method by varying the model training strategies, lesion boundary accuracy, and Gaussian filter parameters. The experimental results showed that a pre-training strategy can help to speed up model convergence during training but with no improvement of the classification accuracy on the testing dataset. The classification accuracy decreases as the segmentation accuracy decreases. The proposed BIRADS-SSDL achieves the best results among the compared methods in each case and has the capacity to deal with multiple different datasets under one model. Compared with state-of-the-art methods, BIRADS-SSDL could be promising for effective breast US computer-aided diagnosis using small datasets.</t>
  </si>
  <si>
    <t>An Appraisal of Nodule Diagnosis for Lung Cancer in CT Images</t>
  </si>
  <si>
    <t>As the second eyes of radiologists, computer-aided diagnosis systems play a significant role in nodule detection and diagnosis for lung cancer. In this paper, we aim to provide a systematic survey of state-of-the-art techniques (both traditional techniques and deep learning techniques) for nodule diagnosis from computed tomography images. This review first introduces the current progress and the popular structure used for nodule diagnosis. In particular, we provide a detailed overview of the five major stages in the computer-aided diagnosis systems: data acquisition, nodule segmentation, feature extraction, feature selection and nodule classification. Second, we provide a detailed report of the selected works and make a comprehensive comparison between selected works. The selected papers are from the IEEE Xplore, Science Direct, PubMed, and Web of Science databases up to December 2018. Third, we discuss and summarize the better techniques used in nodule diagnosis and indicate the existing future challenges in this field, such as improving the area under the receiver operating characteristic curve and accuracy, developing new deep learning-based diagnosis techniques, building efficient feature sets (fusing traditional features and deep features), developing high-quality labeled databases with malignant and benign nodules and promoting the cooperation between medical organizations and academic institutions.</t>
  </si>
  <si>
    <t>Classification of lung nodules based on CT images using squeeze-and-excitation network and aggregated residual transformations</t>
  </si>
  <si>
    <t>Lung cancer is pointed as a leading cause of cancer death worldwide. Early lung nodule diagnosis has great significance for treating lung cancer and increasing patient survival. In this paper, we present a novel method to classify the malignant from benign lung nodules based on CT images using squeeze-and-excitation network and aggregated residual transformations (SE-ResNeXt). The state-of-the-art SE-ResNeXt module, which integrates the advantages of SENet for feature recalibration and ResNeXt for feature reuse, has great ability in boosting feature discriminability on imaging pattern recognition. The method is evaluated on the public available LUng Nodule Analysis 2016 (LUNA16) database with 1004 (450 malignant and 554 benign) nodules, achieving an area under the receiver operating characteristic curve (AUC) of 0. 9563 and accuracy of 91.67%. The promising results demonstrate that our method has strong robustness in the classification of nodules. The method has the potential to help radiologists better interpret diagnostic data and differentiate the benign from malignant lung nodules on CT images in clinical practice. To our best knowledge, the effectiveness of SE-ResNeXt on lung nodule classification has not been extensively explored.</t>
  </si>
  <si>
    <t>Radiol Med</t>
  </si>
  <si>
    <t>Automatic cataract grading methods based on deep learning</t>
  </si>
  <si>
    <t>BACKGROUND AND OBJECTIVE: The shortage of ophthalmologists in rural areas in China causes a lot of cataract patients not getting timely diagnosis and effective treatment. We develop an algorithm and platform to automatically diagnose and grade cataract based on fundus images of patients. This method can help government assisting poor population more accurately. METHODS: The novel six-level cataract grading method proposed in this paper focuses on the multi-feature fusion based on stacking. We extract two kinds of features which can effectively distinguish different levels of cataract. One is high-level features extracted from residual network (ResNet18). The other is texture features extarcted by gray level co-occurrence matrix (GLCM). Then a frame is proposed to automatically grade cataract by the extracted features. In the frame, two support vector machine (SVM) classifiers are used as base-learners to obtain the probability outputs of each fundus image, and fully connected neural network (FCNN) are used as meta-learner to output the final classification result, which consists of two fully-connected layers. RESULT: The accuracy of six-level grading achieved by the proposed method is up to 92.66% on average, the highest of which reaches 93.33%. The proposed method achieves 94.75% accuracy on four-level grading for cataract, which is at least 1.75% higher than those of the exiting methods. CONCLUSIONS: Six-category cataract classification algorithm show that Multi-feature &amp; Stacking proposed in this paper helps achieve higher grading performance and lower volatility than grading using high-level features and texture features respectively. We also apply our algorithm into four-level cataract grading system and it shows higher accuracy compared with previous reports.</t>
  </si>
  <si>
    <t>Automated detection and quantification of COVID-19 pneumonia: CT imaging analysis by a deep learning-based software</t>
  </si>
  <si>
    <t>BACKGROUND: The novel coronavirus disease 2019 (COVID-19) is an emerging worldwide threat to public health. While chest computed tomography (CT) plays an indispensable role in its diagnosis, the quantification and localization of lesions cannot be accurately assessed manually. We employed deep learning-based software to aid in detection, localization and quantification of COVID-19 pneumonia. METHODS: A total of 2460 RT-PCR tested SARS-CoV-2-positive patients (1250 men and 1210 women; mean age, 57.7 ± 14.0 years (age range, 11-93 years) were retrospectively identified from Huoshenshan Hospital in Wuhan from February 11 to March 16, 2020. Basic clinical characteristics were reviewed. The uAI Intelligent Assistant Analysis System was used to assess the CT scans. RESULTS: CT scans of 2215 patients (90%) showed multiple lesions of which 36 (1%) and 50 patients (2%) had left and right lung infections, respectively (&gt; 50% of each affected lung's volume), while 27 (1%) had total lung infection (&gt; 50% of the total volume of both lungs). Overall, 298 (12%), 778 (32%) and 1300 (53%) patients exhibited pure ground glass opacities (GGOs), GGOs with sub-solid lesions and GGOs with both sub-solid and solid lesions, respectively. Moreover, 2305 (94%) and 71 (3%) patients presented primarily with GGOs and sub-solid lesions, respectively. Elderly patients (≥ 60 years) were more likely to exhibit sub-solid lesions. The generalized linear mixed model showed that the dorsal segment of the right lower lobe was the favoured site of COVID-19 pneumonia. CONCLUSION: Chest CT combined with analysis by the uAI Intelligent Assistant Analysis System can accurately evaluate pneumonia in COVID-19 patients.</t>
  </si>
  <si>
    <t>Fully Automated Echocardiogram Interpretation in Clinical Practice</t>
  </si>
  <si>
    <t>BACKGROUND: Automated cardiac image interpretation has the potential to transform clinical practice in multiple ways, including enabling serial assessment of cardiac function by nonexperts in primary care and rural settings. We hypothesized that advances in computer vision could enable building a fully automated, scalable analysis pipeline for echocardiogram interpretation, including (1) view identification, (2) image segmentation, (3) quantification of structure and function, and (4) disease detection. METHODS: Using 14 035 echocardiograms spanning a 10-year period, we trained and evaluated convolutional neural network models for multiple tasks, including automated identification of 23 viewpoints and segmentation of cardiac chambers across 5 common views. The segmentation output was used to quantify chamber volumes and left ventricular mass, determine ejection fraction, and facilitate automated determination of longitudinal strain through speckle tracking. Results were evaluated through comparison to manual segmentation and measurements from 8666 echocardiograms obtained during the routine clinical workflow. Finally, we developed models to detect 3 diseases: hypertrophic cardiomyopathy, cardiac amyloid, and pulmonary arterial hypertension. RESULTS: Convolutional neural networks accurately identified views (eg, 96% for parasternal long axis), including flagging partially obscured cardiac chambers, and enabled the segmentation of individual cardiac chambers. The resulting cardiac structure measurements agreed with study report values (eg, median absolute deviations of 15% to 17% of observed values for left ventricular mass, left ventricular diastolic volume, and left atrial volume). In terms of function, we computed automated ejection fraction and longitudinal strain measurements (within 2 cohorts), which agreed with commercial software-derived values (for ejection fraction, median absolute deviation=9.7% of observed, N=6407 studies; for strain, median absolute deviation=7.5%, n=419, and 9.0%, n=110) and demonstrated applicability to serial monitoring of patients with breast cancer for trastuzumab cardiotoxicity. Overall, we found automated measurements to be comparable or superior to manual measurements across 11 internal consistency metrics (eg, the correlation of left atrial and ventricular volumes). Finally, we trained convolutional neural networks to detect hypertrophic cardiomyopathy, cardiac amyloidosis, and pulmonary arterial hypertension with C statistics of 0.93, 0.87, and 0.85, respectively. CONCLUSIONS: Our pipeline lays the groundwork for using automated interpretation to support serial patient tracking and scalable analysis of millions of echocardiograms archived within healthcare systems.</t>
  </si>
  <si>
    <t>J. Zhang, S. Gajjala, P. Agrawal, G. H. Tison, L. A. Hallock, L. Beussink-Nelson, M. H. Lassen, E. Fan, M. A. Aras, C. Jordan, K. E. Fleischmann, M. Melisko, A. Qasim, S. J. Shah, R. Bajcsy and R. C. Deo</t>
  </si>
  <si>
    <t>Circulation</t>
  </si>
  <si>
    <t>Detecting Anatomical Landmarks From Limited Medical Imaging Data Using Two-Stage Task-Oriented Deep Neural Networks</t>
  </si>
  <si>
    <t>One of the major challenges in anatomical landmark detection, based on deep neural networks, is the limited availability of medical imaging data for network learning. To address this problem, we present a two-stage task-oriented deep learning method to detect large-scale anatomical landmarks simultaneously in real time, using limited training data. Specifically, our method consists of two deep convolutional neural networks (CNN), with each focusing on one specific task. Specifically, to alleviate the problem of limited training data, in the first stage, we propose a CNN based regression model using millions of image patches as input, aiming to learn inherent associations between local image patches and target anatomical landmarks. To further model the correlations among image patches, in the second stage, we develop another CNN model, which includes a) a fully convolutional network that shares the same architecture and network weights as the CNN used in the first stage and also b) several extra layers to jointly predict coordinates of multiple anatomical landmarks. Importantly, our method can jointly detect large-scale (e.g., thousands of) landmarks in real time. We have conducted various experiments for detecting 1200 brain landmarks from the 3D T1-weighted magnetic resonance images of 700 subjects, and also 7 prostate landmarks from the 3D computed tomography images of 73 subjects. The experimental results show the effectiveness of our method regarding both accuracy and efficiency in the anatomical landmark detection.</t>
  </si>
  <si>
    <t>J. Zhang, M. Liu and D. Shen</t>
  </si>
  <si>
    <t>Binary tree-like network with two-path Fusion Attention Feature for cervical cell nucleus segmentation</t>
  </si>
  <si>
    <t>Early detection of cervical lesion is of great significance in reducing mortality from cervical cancer, and segmentation of cervical cell nuclei plays an important role in screening for cervical lesion. Compared with traditional algorithms, several deep learning methods can improve the segmentation; however, due to blurred boundaries and complex gradients of medical images, the segmentation remains unsatisfactory. In addition, the existing datasets used by cervical cell nucleus segmentation research are lacking in terms of both quantity and diversity, so methods based on those datasets cannot effectively cope with challenging cases. This paper releases a new cervical cell dataset and proposes a network named Binary Tree-like Network with Two-path Fusion Attention Feature (BTTFA). The simplified diagram of BTTFA is similar to a binary tree structure and combines ResNeXt's last four layers of information by integrating adjacent pairs of layers each time; therefore, the information of multilayers can be fully integrated, and the information lost by the pooling layers can be recovered. BTTFA also applies a two-path fusion attention to selectively utilize information close to the root nodes, thereby taking full advantage of low-level detail and high-level semantic information and selectively emphasizing important features while suppressing less useful ones. Meanwhile, at some nodes of the binary tree-like network, focal loss is imposed to calculate the loss between the ground truth and the feature map during the training process. Experiments demonstrate that BTTFA performs better than the existing technology on our dataset and another public dataset.</t>
  </si>
  <si>
    <t>J. Zhang, Z. Liu, B. Du, J. He, G. Li and D. Chen</t>
  </si>
  <si>
    <t>Fidelity imposed network edit (FINE) for solving ill-posed image reconstruction</t>
  </si>
  <si>
    <t>Deep learning (DL) is increasingly used to solve ill-posed inverse problems in medical imaging, such as reconstruction from noisy and/or incomplete data, as DL offers advantages over conventional methods that rely on explicit image features and hand engineered priors. However, supervised DL-based methods may achieve poor performance when the test data deviates from the training data, for example, when it has pathologies not encountered in the training data. Furthermore, DL-based image reconstructions do not always incorporate the underlying forward physical model, which may improve performance. Therefore, in this work we introduce a novel approach, called fidelity imposed network edit (FINE), which modifies the weights of a pre-trained reconstruction network for each case in the testing dataset. This is achieved by minimizing an unsupervised fidelity loss function that is based on the forward physical model. FINE is applied to two important inverse problems in neuroimaging: quantitative susceptibility mapping (QSM) and under-sampled image reconstruction in MRI. Our experiments demonstrate that FINE can improve reconstruction accuracy.</t>
  </si>
  <si>
    <t>Quantitative magnetic resonance imaging (MRI) is of great value to both clinical diagnosis and scientific research. However, most MRI experiments remain qualitative, especially dynamic MRI, because repeated sampling with variable weighting parameter makes quantitative imaging time-consuming and sensitive to motion artifacts. A single-shot quantitative T(2) mapping method based on multiple overlapping-echo acquisition (dubbed MOLED-4) was proposed to obtain reliable T(2) mapping in milliseconds. Different from traditional MRI acceleration methods, such as compressed sensing and parallel imaging, MOLED-4 accelerates quantitative T(2) mapping via synchronized multisampling and then deep learning to map the complex nonlinear relationship that is difficult to solve by traditional optimization-based methods. The results of simulation, phantom, and in vivo human brain experiments show the great performance of the proposed method. The principle of MOLED-4 may be extended to other ultrafast quantitative parameter mappings and potentially lead to new dynamic MRI with high efficiency to catch quantitative variation of tissue properties.</t>
  </si>
  <si>
    <t>Classification of Medical Images in the Biomedical Literature by Jointly Using Deep and Handcrafted Visual Features</t>
  </si>
  <si>
    <t>The classification of medical images and illustrations from the biomedical literature is important for automated literature review, retrieval, and mining. Although deep learning is effective for large-scale image classification, it may not be the optimal choice for this task as there is only a small training dataset. We propose a combined deep and handcrafted visual feature (CDHVF) based algorithm that uses features learned by three fine-tuned and pretrained deep convolutional neural networks (DCNNs) and two handcrafted descriptors in a joint approach. We evaluated the CDHVF algorithm on the ImageCLEF 2016 Subfigure Classification dataset and it achieved an accuracy of 85.47%, which is higher than the best performance of other purely visual approaches listed in the challenge leaderboard. Our results indicate that handcrafted features complement the image representation learned by DCNNs on small training datasets and improve accuracy in certain medical image classification problems.</t>
  </si>
  <si>
    <t>J. Zhang, Y. Xia, Y. Xie, M. Fulham and D. D. Feng</t>
  </si>
  <si>
    <t>Medical image classification using synergic deep learning</t>
  </si>
  <si>
    <t>The classification of medical images is an essential task in computer-aided diagnosis, medical image retrieval and mining. Although deep learning has shown proven advantages over traditional methods that rely on the handcrafted features, it remains challenging due to the significant intra-class variation and inter-class similarity caused by the diversity of imaging modalities and clinical pathologies. In this paper, we propose a synergic deep learning (SDL) model to address this issue by using multiple deep convolutional neural networks (DCNNs) simultaneously and enabling them to mutually learn from each other. Each pair of DCNNs has their learned image representation concatenated as the input of a synergic network, which has a fully connected structure that predicts whether the pair of input images belong to the same class. Thus, if one DCNN makes a correct classification, a mistake made by the other DCNN leads to a synergic error that serves as an extra force to update the model. This model can be trained end-to-end under the supervision of classification errors from DCNNs and synergic errors from each pair of DCNNs. Our experimental results on the ImageCLEF-2015, ImageCLEF-2016, ISIC-2016, and ISIC-2017 datasets indicate that the proposed SDL model achieves the state-of-the-art performance in these medical image classification tasks.</t>
  </si>
  <si>
    <t>J. Zhang, Y. Xie, Q. Wu and Y. Xia</t>
  </si>
  <si>
    <t>An Interpretable and Expandable Deep Learning Diagnostic System for Multiple Ocular Diseases: Qualitative Study</t>
  </si>
  <si>
    <t>BACKGROUND: Although artificial intelligence performs promisingly in medicine, few automatic disease diagnosis platforms can clearly explain why a specific medical decision is made. OBJECTIVE: We aimed to devise and develop an interpretable and expandable diagnosis framework for automatically diagnosing multiple ocular diseases and providing treatment recommendations for the particular illness of a specific patient. METHODS: As the diagnosis of ocular diseases highly depends on observing medical images, we chose ophthalmic images as research material. All medical images were labeled to 4 types of diseases or normal (total 5 classes); each image was decomposed into different parts according to the anatomical knowledge and then annotated. This process yields the positions and primary information on different anatomical parts and foci observed in medical images, thereby bridging the gap between medical image and diagnostic process. Next, we applied images and the information produced during the annotation process to implement an interpretable and expandable automatic diagnostic framework with deep learning. RESULTS: This diagnosis framework comprises 4 stages. The first stage identifies the type of disease (identification accuracy, 93%). The second stage localizes the anatomical parts and foci of the eye (localization accuracy: images under natural light without fluorescein sodium eye drops, 82%; images under cobalt blue light or natural light with fluorescein sodium eye drops, 90%). The third stage carefully classifies the specific condition of each anatomical part or focus with the result from the second stage (average accuracy for multiple classification problems, 79%-98%). The last stage provides treatment advice according to medical experience and artificial intelligence, which is merely involved with pterygium (accuracy, &gt;95%). Based on this, we developed a telemedical system that can show detailed reasons for a particular diagnosis to doctors and patients to help doctors with medical decision making. This system can carefully analyze medical images and provide treatment advices according to the analysis results and consultation between a doctor and a patient. CONCLUSIONS: The interpretable and expandable medical artificial intelligence platform was successfully built; this system can identify the disease, distinguish different anatomical parts and foci, discern the diagnostic information relevant to the diagnosis of diseases, and provide treatment suggestions. During this process, the whole diagnostic flow becomes clear and understandable to both doctors and their patients. Moreover, other diseases can be seamlessly integrated into this system without any influence on existing modules or diseases. Furthermore, this framework can assist in the clinical training of junior doctors. Owing to the rare high-grade medical resource, it is impossible that everyone receives high-quality professional diagnosis and treatment service. This framework can not only be applied in hospitals with insufficient medical resources to decrease the pressure on experienced doctors but also deployed in remote areas to help doctors diagnose common ocular diseases.</t>
  </si>
  <si>
    <t>Clinically Applicable AI System for Accurate Diagnosis, Quantitative Measurements, and Prognosis of COVID-19 Pneumonia Using Computed Tomography</t>
  </si>
  <si>
    <t>Many COVID-19 patients infected by SARS-CoV-2 virus develop pneumonia (called novel coronavirus pneumonia, NCP) and rapidly progress to respiratory failure. However, rapid diagnosis and identification of high-risk patients for early intervention are challenging. Using a large computed tomography (CT) database from 3,777 patients, we developed an AI system that can diagnose NCP and differentiate it from other common pneumonia and normal controls. The AI system can assist radiologists and physicians in performing a quick diagnosis especially when the health system is overloaded. Significantly, our AI system identified important clinical markers that correlated with the NCP lesion properties. Together with the clinical data, our AI system was able to provide accurate clinical prognosis that can aid clinicians to consider appropriate early clinical management and allocate resources appropriately. We have made this AI system available globally to assist the clinicians to combat COVID-19.</t>
  </si>
  <si>
    <t>An effective teeth recognition method using label tree with cascade network structure</t>
  </si>
  <si>
    <t>In this article, we apply the deep learning technique to medical field for the teeth detection and classification of dental periapical radiographs, which is important for the medical curing and postmortem identification. We detect teeth in an input X-ray image and distinguish them from different position. An adult usually has 32 teeth, and some of them are similar while others have very different shape. So there are 32 teeth position for us to recognize, which is a challenging task. Convolutional neural network is a popular method to do multi-class detection and classification, but it needs a lot of training data to get a good result if used directly. The lack of data is a common case in medical field due to patients' privacy. In this work, limited to the available data, we propose a new method using label tree to give each tooth several labels and decompose the task, which can deal with the lack of data. Then use cascade network structure to do automatic identification on 32 teeth position, which uses several convolutional neural network as its basic module. Meanwhile, several key strategies are utilized to improve the detection and classification performance. Our method can deal with many complex cases such as X-ray images with tooth loss, decayed tooth and filled tooth, which frequently appear on patients. The experiments on our dataset show: for small training dataset, compared to the precision and recall by training a 33-classes (32 teeth and background) state-of-the-art convolutional neural network directly, the proposed approach reaches a high precision and recall of 95.8% and 96.1% in total, which is a big improvement in such a complex task.</t>
  </si>
  <si>
    <t>K. Zhang, J. Wu, H. Chen and P. Lyu</t>
  </si>
  <si>
    <t>Zebrafish Embryo Vessel Segmentation Using a Novel Dual ResUNet Model</t>
  </si>
  <si>
    <t>Zebrafish embryo fluorescent vessel analysis, which aims to automatically investigate the pathogenesis of diseases, has attracted much attention in medical imaging. Zebrafish vessel segmentation is a fairly challenging task, which requires distinguishing foreground and background vessels from the 3D projection images. Recently, there has been a trend to introduce domain knowledge to deep learning algorithms for handling complex environment segmentation problems with accurate achievements. In this paper, a novel dual deep learning framework called Dual ResUNet is developed to conduct zebrafish embryo fluorescent vessel segmentation. To avoid the loss of spatial and identity information, the U-Net model is extended to a dual model with a new residual unit. To achieve stable and robust segmentation performance, our proposed approach merges domain knowledge with a novel contour term and shape constraint. We compare our method qualitatively and quantitatively with several standard segmentation models. Our experimental results show that the proposed method achieves better results than the state-of-art segmentation methods. By investigating the quality of the vessel segmentation, we come to the conclusion that our Dual ResUNet model can learn the characteristic features in those cases where fluorescent protein is deficient or blood vessels are overlapped and achieves robust performance in complicated environments.</t>
  </si>
  <si>
    <t>K. Zhang, H. Zhang, H. Zhou, D. Crookes, L. Li, Y. Shao and D. Liu</t>
  </si>
  <si>
    <t>Optimization of the Convolutional Neural Networks for Automatic Detection of Skin Cancer</t>
  </si>
  <si>
    <t>Convolutional neural networks (CNNs) are a branch of deep learning which have been turned into one of the popular methods in different applications, especially medical imaging. One of the significant applications in this category is to help specialists make an early detection of skin cancer in dermoscopy and can reduce mortality rate. However, there are a lot of reasons that affect system diagnosis accuracy. In recent years, the utilization of computer-aided technology for this purpose has been turned into an interesting category for scientists. In this research, a meta-heuristic optimized CNN classifier is applied for pre-trained network models for visual datasets with the purpose of classifying skin cancer images. However there are different methods about optimizing the learning step of neural networks, and there are few studies about the deep learning based neural networks and their applications. In the present work, a new approach based on whale optimization algorithm is utilized for optimizing the weight and biases in the CNN models. The new method is then compared with 10 popular classifiers on two skin cancer datasets including DermIS Digital Database Dermquest Database. Experimental results show that the use of this optimized method performs with better accuracy than other classification methods.</t>
  </si>
  <si>
    <t>Open Med (Wars)</t>
  </si>
  <si>
    <t>Improved Deep Learning Network Based in combination with Cost-sensitive Learning for Early Detection of Ovarian Cancer in Color Ultrasound Detecting System</t>
  </si>
  <si>
    <t>With the development of theories and technologies in medical imaging, most of the tumors can be detected in the early stage. However, the nature of ovarian cysts lacks accurate judgement, leading to that many patients with benign nodules still need Fine Needle Aspiration (FNA) biopsies or surgeries, increasing the physical pain and mental pressure of patients as well as unnecessary medical health care costs. Therefore, we present an image diagnosis system for classifying the ovarian cysts in color ultrasound images, which novelly applies the image features fused by both high-level features from deep learning network and low-level features from texture descriptor. Firstly, the ultrasound images are enhanced to improve the quality of training data set and the rotation invariant uniform local binary pattern (ULBP) features are extracted from each of the images as the low-level texture features. Then the high-level deep features extracted by the fine-tuned GoogLeNet neural network and the low-level ULBP features are normalized and cascaded as one fusion feature that can represent both the semantic context and the texture patterns distributed in the image. Finally, the fusion features are input to the Cost-sensitive Random Forest classifier to classify the images into malignant and benign. The high-level features extracted by the deep neural network from the medical ultrasound image can reflect the visual features of the lesion region, while the low-level texture features can describe the edges, direction and distribution of intensities. Experimental results indicate that the combination of the two types of features can describe the differences between the lesion regions and other regions, and the differences between lesions regions of malignant and benign ovarian cysts.</t>
  </si>
  <si>
    <t>L. Zhang, J. Huang and L. Liu</t>
  </si>
  <si>
    <t>Spatio-Temporal Convolutional LSTMs for Tumor Growth Prediction by Learning 4D Longitudinal Patient Data</t>
  </si>
  <si>
    <t>Prognostic tumor growth modeling via volumetric medical imaging observations can potentially lead to better outcomes of tumor treatment management and surgical planning. Recent advances of convolutional networks (ConvNets) have demonstrated higher accuracy than traditional mathematical models can be achieved in predicting future tumor volumes. This indicates that deep learning based data-driven techniques may have great potentials on addressing such problem. However, current 2D image patch based modeling approaches can not make full use of the spatio-temporal imaging context of the tumor's longitudinal 4D (3D + time) patient data. Moreover, they are incapable to predict clinically-relevant tumor properties, other than the tumor volumes. In this paper, we exploit to formulate the tumor growth process through convolutional Long Short-Term Memory (ConvLSTM) that extract tumor's static imaging appearances and simultaneously capture its temporal dynamic changes within a single network. We extend ConvLSTM into the spatio-temporal domain (ST-ConvLSTM) by jointly learning the inter-slice 3D contexts and the longitudinal or temporal dynamics from multiple patient studies. Our approach can incorporate other non-imaging patient information in an end-to-end trainable manner. Experiments are conducted on the largest 4D longitudinal tumor dataset of 33 patients to date. Results validate that the proposed ST-ConvLSTM model produces a Dice score of 83.2%±5.1% and a RVD of 11.2%±10.8%, both statistically significantly outperforming (p &lt; 0.05) other compared methods of traditional linear model, ConvLSTM, and generative adversarial network (GAN) under the metric of predicting future tumor volumes. Additionally, our new method enables the prediction of both cell density and CT intensity numbers. Last, we demonstrate the generalizability of ST-ConvLSTM by employing it in 4D medical image segmentation task, which achieves an averaged Dice score of 86.3%±1.2% for left-ventricle segmentation in 4D ultrasound with 3 seconds per patient case.</t>
  </si>
  <si>
    <t>L. Zhang, L. Lu, X. Wang, R. M. Zhu, M. Bagheri, R. M. Summers and J. Yao</t>
  </si>
  <si>
    <t>Hyperspectral imaging technology combined with deep forest model to identify frost-damaged rice seeds</t>
  </si>
  <si>
    <t>In recent years, deep learning models have been widely used in the field of hyperspectral imaging. However, the training of deep learning models requires not only a large number of samples, but also the need to set too many hyper-parameters, which is time consuming and laborious for researchers. This study used hyperspectral imaging technology combined with a deep learning model suitable for small-scale sample data sets, deep forests (DF) model, to classify rice seeds with different degrees of frost damage. During the period, three spectral preprocessing methods (Savitzky-Golay first derivative (SG1), standard normal variate (SNV), and multivariate scatter correction (MSC)) were used to process the original spectral data, and three feature extraction algorithms (principal component analysis (PCA), successive projections algorithm (SPA), and neighborhood component analysis (NCA)) were used to extract the characteristic wavelengths. Moreover, DF model and three traditional machine learning models (decision tree (DT), k-nearest neighbor (KNN), and support vector machine (SVM)) were built based on different numbers of sample sets. After multivariate data analysis, it showed that the pretreatment effect of MSC was the most excellent, and the characteristic wavelength extracted by NCA algorithm was the most useful. In addition, the performance of DF model was better than these three traditional classifier models, and it still performed well in small-scale sample set data. Therefore, DF model was chosen as the best classification model. The results of this study show that the DF model maintains good classification performance in small-scale sample set data, and it has a good application prospect in hyperspectral imaging technology.</t>
  </si>
  <si>
    <t>Generalizing Deep Learning for Medical Image Segmentation to Unseen Domains via Deep Stacked Transformation</t>
  </si>
  <si>
    <t>Recent advances in deep learning for medical image segmentation demonstrate expert-level accuracy. However, application of these models in clinically realistic environments can result in poor generalization and decreased accuracy, mainly due to the domain shift across different hospitals, scanner vendors, imaging protocols, and patient populations etc. Common transfer learning and domain adaptation techniques are proposed to address this bottleneck. However, these solutions require data (and annotations) from the target domain to retrain the model, and is therefore restrictive in practice for widespread model deployment. Ideally, we wish to have a trained (locked) model that can work uniformly well across unseen domains without further training. In this paper, we propose a deep stacked transformation approach for domain generalization. Specifically, a series of n stacked transformations are applied to each image during network training. The underlying assumption is that the expected domain shift for a specific medical imaging modality could be simulated by applying extensive data augmentation on a single source domain, and consequently, a deep model trained on the augmented big data (BigAug) could generalize well on unseen domains. We exploit four surprisingly effective, but previously understudied, image-based characteristics for data augmentation to overcome the domain generalization problem. We train and evaluate the BigAug model (with n=9 transformations) on three different 3D segmentation tasks (prostate gland, left atrial, left ventricle) covering two medical imaging modalities (MRI and ultrasound) involving eight publicly available challenge datasets. The results show that when training on relatively small dataset (n = 10~32 volumes, depending on the size of the available datasets) from a single source domain: (i) BigAug models degrade an average of 11%(Dice score change) from source to unseen domain, substantially better than conventional augmentation (degrading 39%) and CycleGAN-based domain adaptation method (degrading 25%), (ii) BigAug is better than shallower stacked transforms (i.e. those with fewer transforms) on unseen domains and demonstrates modest improvement to conventional augmentation on the source domain, (iii) after training with BigAug on one source domain, performance on an unseen domain is similar to training a model from scratch on that domain when using the same number of training samples. When training on large datasets (n = 465 volumes) with BigAug, (iv) application to unseen domains reaches the performance of state-of-the-art fully supervised models that are trained and tested on their source domains. These findings establish a strong benchmark for the study of domain generalization in medical imaging, and can be generalized to the design of highly robust deep segmentation models for clinical deployment.</t>
  </si>
  <si>
    <t>Rapid histology of laryngeal squamous cell carcinoma with deep-learning based stimulated Raman scattering microscopy</t>
  </si>
  <si>
    <t>Maximal resection of tumor while preserving the adjacent healthy tissue is particularly important for larynx surgery, hence precise and rapid intraoperative histology of laryngeal tissue is crucial for providing optimal surgical outcomes. We hypothesized that deep-learning based stimulated Raman scattering (SRS) microscopy could provide automated and accurate diagnosis of laryngeal squamous cell carcinoma on fresh, unprocessed surgical specimens without fixation, sectioning or staining. Methods: We first compared 80 pairs of adjacent frozen sections imaged with SRS and standard hematoxylin and eosin histology to evaluate their concordance. We then applied SRS imaging on fresh surgical tissues from 45 patients to reveal key diagnostic features, based on which we have constructed a deep learning based model to generate automated histologic results. 18,750 SRS fields of views were used to train and cross-validate our 34-layered residual convolutional neural network, which was used to classify 33 untrained fresh larynx surgical samples into normal and neoplasia. Furthermore, we simulated intraoperative evaluation of resection margins on totally removed larynxes. Results: We demonstrated near-perfect diagnostic concordance (Cohen's kappa, κ &gt; 0.90) between SRS and standard histology as evaluated by three pathologists. And deep-learning based SRS correctly classified 33 independent surgical specimens with 100% accuracy. We also demonstrated that our method could identify tissue neoplasia at the simulated resection margins that appear grossly normal with naked eyes. Conclusion: Our results indicated that SRS histology integrated with deep learning algorithm provides potential for delivering rapid intraoperative diagnosis that could aid the surgical management of laryngeal cancer.</t>
  </si>
  <si>
    <t>A neural network approach to segment brain blood vessels in digital subtraction angiography</t>
  </si>
  <si>
    <t>BACKGROUND AND OBJECTIVE: Cerebrovascular diseases (CVDs) affect a large number of patients and often have devastating outcomes. The hallmarks of CVDs are the abnormalities formed on brain blood vessels, including protrusions, narrows, widening, and bifurcation of the blood vessels. CVDs are often diagnosed by digital subtraction angiography (DSA) yet the interpretation of DSA is challenging as one must carefully examine each brain blood vessel. The objective of this work is to develop a computerized analysis approach for automated segmentation of brain blood vessels. METHODS: In this work, we present a U-net based deep learning approach, combined with pre-processing, to track and segment brain blood vessels in DSA images. We compared the results given by the deep learning approach with manually marked ground truth using accuracy, sensitivity, specificity, and Dice coefficient. RESULTS: Our results showed that the proposed approach achieved an accuracy of 0.978, with a standard deviation of 0.00796, a sensitivity of 0.76 with a standard deviation of 0.096, a specificity of 0.994 with a standard deviation of 0.0036, and an average Dice coefficient was 0.8268 with a standard deviation of 0.052. CONCLUSIONS: Our findings show that the deep learning approach can achieve satisfactory performance as a computer-aided analysis tool to assist clinicians in diagnosing CVDs.</t>
  </si>
  <si>
    <t>Non-invasive single-cell morphometry in living bacterial biofilms</t>
  </si>
  <si>
    <t>Fluorescence microscopy enables spatial and temporal measurements of live cells and cellular communities. However, this potential has not yet been fully realized for investigations of individual cell behaviors and phenotypic changes in dense, three-dimensional (3D) bacterial biofilms. Accurate cell detection and cellular shape measurement in densely packed biofilms are challenging because of the limited resolution and low signal to background ratios (SBRs) in fluorescence microscopy images. In this work, we present Bacterial Cell Morphometry 3D (BCM3D), an image analysis workflow that combines deep learning with mathematical image analysis to accurately segment and classify single bacterial cells in 3D fluorescence images. In BCM3D, deep convolutional neural networks (CNNs) are trained using simulated biofilm images with experimentally realistic SBRs, cell densities, labeling methods, and cell shapes. We systematically evaluate the segmentation accuracy of BCM3D using both simulated and experimental images. Compared to state-of-the-art bacterial cell segmentation approaches, BCM3D consistently achieves higher segmentation accuracy and further enables automated morphometric cell classifications in multi-population biofilms.</t>
  </si>
  <si>
    <t>Deep Learning for Diagnosis of Chronic Myocardial Infarction on Nonenhanced Cardiac Cine MRI</t>
  </si>
  <si>
    <t>Background Renal impairment is common in patients with coronary artery disease and, if severe, late gadolinium enhancement (LGE) imaging for myocardial infarction (MI) evaluation cannot be performed. Purpose To develop a fully automatic framework for chronic MI delineation via deep learning on non-contrast material-enhanced cardiac cine MRI. Materials and Methods In this retrospective single-center study, a deep learning model was developed to extract motion features from the left ventricle and delineate MI regions on nonenhanced cardiac cine MRI collected between October 2015 and March 2017. Patients with chronic MI, as well as healthy control patients, had both nonenhanced cardiac cine (25 phases per cardiac cycle) and LGE MRI examinations. Eighty percent of MRI examinations were used for the training data set and 20% for the independent testing data set. Chronic MI regions on LGE MRI were defined as ground truth. Diagnostic performance was assessed by analysis of the area under the receiver operating characteristic curve (AUC). MI area and MI area percentage from nonenhanced cardiac cine and LGE MRI were compared by using the Pearson correlation, paired t test, and Bland-Altman analysis. Results Study participants included 212 patients with chronic MI (men, 171; age, 57.2 years ± 12.5) and 87 healthy control patients (men, 42; age, 43.3 years ± 15.5). Using the full cardiac cine MRI, the per-segment sensitivity and specificity for detecting chronic MI in the independent test set was 89.8% and 99.1%, respectively, with an AUC of 0.94. There were no differences between nonenhanced cardiac cine and LGE MRI analyses in number of MI segments (114 vs 127, respectively; P = .38), per-patient MI area (6.2 cm(2) ± 2.8 vs 5.5 cm(2) ± 2.3, respectively; P = .27; correlation coefficient, r = 0.88), and MI area percentage (21.5% ± 17.3 vs 18.5% ± 15.4; P = .17; correlation coefficient, r = 0.89). Conclusion The proposed deep learning framework on nonenhanced cardiac cine MRI enables the confirmation (presence), detection (position), and delineation (transmurality and size) of chronic myocardial infarction. However, future larger-scale multicenter studies are required for a full validation. Published under a CC BY 4.0 license. Online supplemental material is available for this article. See also the editorial by Leiner in this issue.</t>
  </si>
  <si>
    <t>Analyzing complex single-molecule emission patterns with deep learning</t>
  </si>
  <si>
    <t>A fluorescent emitter simultaneously transmits its identity, location, and cellular context through its emission pattern. We developed smNet, a deep neural network for multiplexed single-molecule analysis to retrieve such information with high accuracy. We demonstrate that smNet can extract three-dimensional molecule location, orientation, and wavefront distortion with precision approaching the theoretical limit, and therefore will allow multiplexed measurements through the emission pattern of a single molecule.</t>
  </si>
  <si>
    <t>Spectral and Temporal Feature Learning With Two-Stream Neural Networks for Mental Workload Assessment</t>
  </si>
  <si>
    <t>People's mental workload profoundly affects their work efficiency and health. Mental workload assessment can be used to effectively avoid serious accidents caused by excessive mental workload. Both electroencephalogram (EEG) spectral features and its temporal features have proven to be useful in addressing this problem. The fusion of the two types of features can provide rich distinguishing information for improving mental workload assessment. Benefiting from the progress of deep learning, this study proposes the two-stream neural networks (TSNN) for fusing the two types of EEG features. Compared with hand-crafted features, the TSNN can learn and fuse EEG features from the spectral and temporal dimensions automatically without prior knowledge. The TSNN includes a spectral stream and a temporal stream. Each stream consists of a convolutional neural network (CNN) and a temporal convolutional network (TCN) to learn spectral or temporal features from EEG topographic maps. To fuse the learned spectral and temporal information, we concatenate the output of the two streams prior to the fully connected layer. EEG data were collected from 17 subjects who performed n-back tasks with easy, medium, and hard difficulty levels, leading to a three-class mental workload classification. The results show that the TSNN achieves an average accuracy of 91.9%, which is a significant improvement over baseline classifiers based on hand-crafted features. The TSNN also outperforms state-of-the-art deep learning methods developed for EEG classification. The results indicate that the proposed structure is promising for fusing spectral and temporal features for mental workload assessment. In addition, it provides a high-precision approach for potential applications during cognitive activities.</t>
  </si>
  <si>
    <t>3D car-detection based on a Mobile Deep Sensor Fusion Model and real-scene applications</t>
  </si>
  <si>
    <t>Unmanned vehicles need to make a comprehensive perception of the surrounding environmental information during driving. Perception of automotive information is of significance. In the field of automotive perception, the sterevision of car-detection plays a vital role and sterevision can calculate the length, width, and height of a car, making the car more specific. However, under the existing technology, it is impossible to obtain accurate detection in a complex environment by relying on a single sensor. Therefore, it is particularly important to study the complex sensing technology based on multi-sensor fusion. Recently, with the development of deep learning in the field of vision, a mobile sensor-fusion method based on deep learning is proposed and applied in this paper--Mobile Deep Sensor Fusion Model (MDSFM). The content of this article is as follows. It does a data processing that projects 3D data to 2D data, which can form a dataset suitable for the model, thereby training data more efficiently. In the modules of LiDAR, it uses a revised squeezeNet structure to lighten the model and reduce parameters. In the modules of cameras, it uses the improved design of detecting module in R-CNN with a Mobile Spatial Attention Module (MSAM). In the fused part, it uses a dual-view deep fusing structure. And then it selects images from the KITTI's datasets for validation to test this model. Compared with other recognized methods, it shows that our model has a fairly good performance. Finally, it implements a ROS program on the experimental car and our model is in good condition. The result shows that it can improve performance of detecting easy cars significantly through MDSFM. It increases the quality of the detected data and improves the generalized ability of car-detection model. It improves contextual relevance and preserves background information. It remains stable in driverless environments. It is applied in the realistic scenario and proves that the model has a good practical value.</t>
  </si>
  <si>
    <t>Artifact removal using a hybrid-domain convolutional neural network for limited-angle computed tomography imaging</t>
  </si>
  <si>
    <t>The suppression of streak artifacts in computed tomography with a limited-angle configuration is challenging. Conventional analytical algorithms, such as filtered backprojection (FBP), are not successful due to incomplete projection data. Moreover, model-based iterative total variation algorithms effectively reduce small streaks but do not work well at eliminating large streaks. In contrast, FBP mapping networks and deep-learning-based postprocessing networks are outstanding at removing large streak artifacts; however, these methods perform processing in separate domains, and the advantages of multiple deep learning algorithms operating in different domains have not been simultaneously explored. In this paper, we present a hybrid-domain convolutional neural network (hdNet) for the reduction of streak artifacts in limited-angle computed tomography. The network consists of three components: the first component is a convolutional neural network operating in the sinogram domain, the second is a domain transformation operation, and the last is a convolutional neural network operating in the CT image domain. After training the network, we can obtain artifact-suppressed CT images directly from the sinogram domain. Verification results based on numerical, experimental and clinical data confirm that the proposed method can significantly reduce serious artifacts.</t>
  </si>
  <si>
    <t>Identifying Diabetic Macular Edema and Other Retinal Diseases by Optical Coherence Tomography Image and Multiscale Deep Learning</t>
  </si>
  <si>
    <t>PURPOSE: Diabetic Macular Edema has been one of the research hotspots all over the world. But as the global population continues to grow, the number of OCT images requiring manual analysis is becoming increasingly unaffordable. Medical images are often fuzzy due to the inherent physical processes of acquiring them. It is difficult for traditional algorithms to use low-quality data. And traditional algorithms usually only provide diagnostic results, which makes the reliability and interpretability of the model face challenges. To solve problem above, we proposed a more intuitive and robust diagnosis model with self-enhancement ability and clinical triage patients' ability. METHODS: We used 38,057 OCT images (Drusen, DME, CNV and Normal) to establish and evaluate the model. All data are OCT images of fundus retina. There were 37,457 samples in the training dataset and 600 samples in the validation dataset. In order to diagnose these images accurately, we propose a multiscale transfer learning algorithm. Firstly, the sample is sent to the automatic self-enhancement module for edge detection and enhancement. Then, the processed data are sent to the image diagnosis module to determine the disease type. This process makes more data more effective and can be accurately classified. Finally, we calculated the accuracy, precision, sensitivity and specificity of the model, and verified the performance of the model from the perspective of clinical application. RESULTS: The model proposed in this paper can provide the diagnosis results and display the detection targets more intuitively. The model reached 94.5% accuracy, 97.2% precision, 97.7% sensitivity and 97% specificity in the independent testing dataset. CONCLUSION: Comparing the performance of relevant work and ablation test, our model achieved relatively good performance. It is proved that the model proposed in this paper has a stronger ability to recognize diseases even in the face of low-quality images. Experiment results also demonstrate its clinical referral capability. It can reduce the workload of medical staff and save the precious time of patients.</t>
  </si>
  <si>
    <t>Diabetes Metab Syndr Obes</t>
  </si>
  <si>
    <t>MRI Gibbs-ringing artifact reduction by means of machine learning using convolutional neural networks</t>
  </si>
  <si>
    <t>PURPOSE: To develop a machine learning approach using convolutional neural network for reducing MRI Gibbs-ringing artifact. THEORY AND METHODS: Gibbs-ringing artifact in MR images is caused by insufficient sampling of the high frequency data. Existing methods exploit smooth constraints to reduce intensity oscillations near sharp edges at the cost of blurring details. In this work, we developed a machine learning approach for removing the Gibbs-ringing artifact from MR images. The ringing artifact was extracted from the original image using a deep convolutional neural network and then subtracted from the original image to obtain the artifact-free image. Finally, its low-frequency k-space data were replaced with measured counterparts to enforce data fidelity further. We trained the convolutional neural network using 17,532 T2-weighted (T2W) normal brain images and evaluated its performance on T2W images of normal and tumor brains, diffusion-weighted brain images, and T2W knee images. RESULTS: The proposed method effectively removed the ringing artifact without noticeable smoothing in T2W and diffusion-weighted images. Quantitatively, images produced by the proposed method were closer to the fully-sampled reference images in terms of the root-mean-square error, peak signal-to-noise ratio, and structural similarity index, compared with current state-of-the-art methods. CONCLUSION: The proposed method presents a novel and effective approach for Gibbs-ringing reduction in MRI. The convolutional neural network-based approach is simple, computationally efficient, and highly applicable in routine clinical MRI.</t>
  </si>
  <si>
    <t>Deep learning based classification of breast tumors with shear-wave elastography</t>
  </si>
  <si>
    <t>This study aims to build a deep learning (DL) architecture for automated extraction of learned-from-data image features from the shear-wave elastography (SWE), and to evaluate the DL architecture in differentiation between benign and malignant breast tumors. We construct a two-layer DL architecture for SWE feature extraction, comprised of the point-wise gated Boltzmann machine (PGBM) and the restricted Boltzmann machine (RBM). The PGBM contains task-relevant and task-irrelevant hidden units, and the task-relevant units are connected to the RBM. Experimental evaluation was performed with five-fold cross validation on a set of 227 SWE images, 135 of benign tumors and 92 of malignant tumors, from 121 patients. The features learned with our DL architecture were compared with the statistical features quantifying image intensity and texture. Results showed that the DL features achieved better classification performance with an accuracy of 93.4%, a sensitivity of 88.6%, a specificity of 97.1%, and an area under the receiver operating characteristic curve of 0.947. The DL-based method integrates feature learning with feature selection on SWE. It may be potentially used in clinical computer-aided diagnosis of breast cancer.</t>
  </si>
  <si>
    <t>Q. Zhang, Y. Xiao, W. Dai, J. Suo, C. Wang, J. Shi and H. Zheng</t>
  </si>
  <si>
    <t>Multimodal feature learning and fusion on B-mode ultrasonography and sonoelastography using point-wise gated deep networks for prostate cancer diagnosis</t>
  </si>
  <si>
    <t>B-mode ultrasonography and sonoelastography are used in the clinical diagnosis of prostate cancer (PCa). A combination of the two ultrasound (US) modalities using computer aid may be helpful for improving the diagnostic performance. A technique for computer-aided diagnosis (CAD) of PCa is presented based on multimodal US. Firstly, quantitative features are extracted from both B-mode US images and sonoelastograms, including intensity statistics, regional percentile features, gray-level co-occurrence matrix (GLCM) texture features and binary texture features. Secondly, a deep network named PGBM-RBM2 is proposed to learn and fuse multimodal features, which is composed of the point-wise gated Boltzmann machine (PGBM) and two layers of the restricted Boltzmann machines (RBMs). Finally, the support vector machine (SVM) is used for prostatic disease classification. Experimental evaluation was conducted on 313 multimodal US images of the prostate from 103 patients with prostatic diseases (47 malignant and 56 benign). Under five-fold cross-validation, the classification sensitivity, specificity, accuracy, Youden's index and area under the receiver operating characteristic (ROC) curve with the PGBM-RBM2 were 87.0%, 88.8%, 87.9%, 75.8% and 0.851, respectively. The results demonstrate that multimodal feature learning and fusion using the PGBM-RBM2 can assist in the diagnosis of PCa. This deep network is expected to be useful in the clinical diagnosis of PCa.</t>
  </si>
  <si>
    <t>A Study on Tuberculosis Classification in Chest X-ray Using Deep Residual Attention Networks()</t>
  </si>
  <si>
    <t>The introduction of deep learning techniques for the computer-aided detection scheme has shed a light for real incorporation into the clinical workflow. In this work, we focus on the effect of attention in deep neural networks on the classification of tuberculosis x-ray images. We propose a Convolutional Block Attention Module (CBAM), a simple but effective attention module for feed-forward convolutional neural networks. Given an intermediate feature map, our module infers attention maps and multiplied it to the input feature map for adaptive feature refinement. It achieves high precision and recalls while localizing objects with its attention. We validate the performance of our approach on a standard-compliant data set, including a dataset of 4990 x-ray chest radiographs from three hospitals and show that our performance is better than the models used in previous work.</t>
  </si>
  <si>
    <t>COVID19XrayNet: A Two-Step Transfer Learning Model for the COVID-19 Detecting Problem Based on a Limited Number of Chest X-Ray Images</t>
  </si>
  <si>
    <t>The novel coronavirus severe acute respiratory syndrome coronavirus 2 (SARS-CoV-2) has caused a major pandemic outbreak recently. Various diagnostic technologies have been under active development. The novel coronavirus disease (COVID-19) may induce pulmonary failures, and chest X-ray imaging becomes one of the major confirmed diagnostic technologies. The very limited number of publicly available samples has rendered the training of the deep neural networks unstable and inaccurate. This study proposed a two-step transfer learning pipeline and a deep residual network framework COVID19XrayNet for the COVID-19 detection problem based on chest X-ray images. COVID19XrayNet firstly tunes the transferred model on a large dataset of chest X-ray images, which is further tuned using a small dataset of annotated chest X-ray images. The final model achieved 0.9108 accuracy. The experimental data also suggested that the model may be improved with more training samples being released. COVID19XrayNet, a two-step transfer learning framework designed for biomedical images.</t>
  </si>
  <si>
    <t>Interdiscip Sci</t>
  </si>
  <si>
    <t>Polyp detection during colonoscopy using a regression-based convolutional neural network with a tracker</t>
  </si>
  <si>
    <t>A computer-aided detection (CAD) tool for locating and detecting polyps can help reduce the chance of missing polyps during colonoscopy. Nevertheless, state-of-the-art algorithms were either computationally complex or suffered from low sensitivity and therefore unsuitable to be used in real clinical setting. In this paper, a novel regression-based Convolutional Neural Network (CNN) pipeline is presented for polyp detection during colonoscopy. The proposed pipeline was constructed in two parts: 1) to learn the spatial features of colorectal polyps, a fast object detection algorithm named ResYOLO was pre-trained with a large non-medical image database and further fine-tuned with colonoscopic images extracted from videos; and 2) temporal information was incorporated via a tracker named Efficient Convolution Operators (ECO) for refining the detection results given by ResYOLO. Evaluated on 17,574 frames extracted from 18 endoscopic videos of the AsuMayoDB, the proposed method was able to detect frames with polyps with a precision of 88.6%, recall of 71.6% and processing speed of 6.5 frames per second, i.e. the method can accurately locate polyps in more frames and at a faster speed compared to existing methods. In conclusion, the proposed method has great potential to be used to assist endoscopists in tracking polyps during colonoscopy.</t>
  </si>
  <si>
    <t>R. Zhang, Y. Zheng, C. C. Y. Poon, D. Shen and J. Y. W. Lau</t>
  </si>
  <si>
    <t>Pattern Recognit</t>
  </si>
  <si>
    <t>Discovering hierarchical common brain networks via multimodal deep belief network</t>
  </si>
  <si>
    <t>Studying a common architecture reflecting both brain's structural and functional organizations across individuals and populations in a hierarchical way has been of significant interest in the brain mapping field. Recently, deep learning models exhibited ability in extracting meaningful hierarchical structures from brain imaging data, e.g., fMRI and DTI. However, deep learning models have been rarely used to explore the relation between brain structure and function yet. In this paper, we proposed a novel multimodal deep believe network (DBN) model to discover and quantitatively represent the hierarchical organizations of common and consistent brain networks from both fMRI and DTI data. A prominent characteristic of DBN is that it is capable of extracting meaningful features from complex neuroimaging data with a hierarchical manner. With our proposed DBN model, three hierarchical layers with hundreds of common and consistent brain networks across individual brains are successfully constructed through learning a large dimension of representative features from fMRI/DTI data.</t>
  </si>
  <si>
    <t>An investigation of CNN models for differentiating malignant from benign lesions using small pathologically proven datasets</t>
  </si>
  <si>
    <t>Cancer has been one of the most threatening diseases to human health. There have been many efforts devoted to the advancement of radiology and transformative tools (e.g. non-invasive computed tomographic or CT imaging) to detect cancer in early stages. One of the major goals is to identify malignant from benign lesions. In recent years, machine deep learning (DL), e.g. convolutional neural network (CNN), has shown encouraging classification performance on medical images. However, DL algorithms always need large datasets with ground truth. Yet in the medical imaging field, especially for cancer imaging, it is difficult to collect such large volume of images with pathological information. Therefore, strategies are needed to learn effectively from small datasets via CNN models. To forward that goal, this paper explores two CNN models by focusing extensively on expansion of training samples from two small pathologically proven datasets (colorectal polyp dataset and lung nodule dataset) and then differentiating malignant from benign lesions. Experimental outcomes indicate that even in very small datasets of less than 70 subjects, malignance can be successfully differentiated from benign via the proposed CNN models, the average AUCs (area under the receiver operating curve) of differentiating colorectal polyps and pulmonary nodules are 0.86 and 0.71, respectively. Our experiments further demonstrate that for these two small datasets, instead of only studying the original raw CT images, feeding additional image features, such as the local binary pattern of the lesions, into the CNN models can significantly improve classification performance. In addition, we find that our explored voxel level CNN model has better performance when facing the small and unbalanced datasets.</t>
  </si>
  <si>
    <t>S. Zhang, F. Han, Z. Liang, J. Tan, W. Cao, Y. Gao, M. Pomeroy, K. Ng and W. Hou</t>
  </si>
  <si>
    <t>Deep Learning Models Unveiled Functional Difference Between Cortical Gyri and Sulci</t>
  </si>
  <si>
    <t>It is largely unknown whether there is functional role difference between cortical gyral and sulcal regions. Recent advancements in neuroimaging studies demonstrate clear difference of structural connection profiles in gyral and sulcal areas, suggesting possible functional role difference in these convex and concave cortical regions. To explore and confirm such possible functional difference, we design and apply a powerful deep learning model of convolutional neural networks (CNN) that has been proven to be superior in learning discriminative and meaningful patterns on fMRI. By using the CNN model, gyral and sulcal fMRI signals are learned and predicted, and the prediction performance is adopted to demonstrate the functional difference between gyri and sulci. By using the Human Connectome Project (HCP) fMRI data and macaque brain fMRI data, an average of 83% and 90% classification accuracy has been achieved to separate gyral/sulcal HCP task fMRI signals at the population and individual subject level, respectively; 81% and 86% classification accuracy for resting state fMRI signals at the group and individual subject level, respectively. In addition, 78% classification accuracy has been achieved to separate gyral/sulcal resting state fMRI signals in macaque brains. Importantly, further analysis reveals that the discriminative features that are learned by CNNs to differentiate gyral/sulcal fMRI signals can be meaningfully interpreted, thus unveiling the fundamental functional difference between cortical gyri and sulci. That is, gyri are more global functional integration centers with simpler lower frequency signal components, while sulci are more local processing units with more complex higher frequency signal components.</t>
  </si>
  <si>
    <t>Detection and Monitoring of Thermal Lesions Induced by Microwave Ablation Using Ultrasound Imaging and Convolutional Neural Networks</t>
  </si>
  <si>
    <t>Microwave ablation (MWA) for cancer treatment is frequently monitored by ultrasound (US) B-mode imaging in the clinic, which often fails due to the low intrinsic contrast between the thermal lesion and normal tissue. Deep learning, especially convolutional neural network (CNN), has shown significant improvements in medical image analysis. Here, we propose and evaluate an US imaging based on a CNN architecture for the detection and monitoring of thermal lesions induced by MWA in porcine livers. Unlike dealing with images in many visual object recognition tasks, US radiofrequency (RF) data backscattered from the ablated region were utilized to capture features related to the thermal lesion. The dataset comprised of 1640 US RF envelope data matrices and their corresponding gross-pathology images, and were utilized for training and testing. After envelope detection, US B-mode, segmentation results based on CNN (SI(CNN)), and modified CNN (SI(m-CNN)) for US data were simultaneously reconstructed to reveal the suitability for monitoring of MWA. The SI(CNN) and SI(m-CNN) outperformed B-mode images for the detection and monitoring of MWA-induced thermal lesions. The values of the area under the receiver operating characteristic curve were 0.8728 and 0.8948 for the SI(CNN) and Si(m-CNN), respectively, which were both higher than the value of 0.6904 for B-mode images. Ablated regions that were assessed using SI(m-CNN) showed a good correlation (J 0.8845, r 0.8739, and E 0.410) to gross-pathology images. This study was the first to illustrate that SI(m-CNN) has the potential to detect and monitor thermal lesions, and may be utilized as an alternative modality for image-guided MWA treatments.</t>
  </si>
  <si>
    <t>S. Zhang, S. Wu, S. Shang, X. Qin, X. Jia, D. Li, Z. Cui, T. Xu, G. Niu, A. Bouakaz and M. Wan</t>
  </si>
  <si>
    <t>Clinical application of artificial intelligence-assisted diagnosis using anteroposterior pelvic radiographs in children with developmental dysplasia of the hip</t>
  </si>
  <si>
    <t>AIMS: The diagnosis of developmental dysplasia of the hip (DDH) is challenging owing to extensive variation in paediatric pelvic anatomy. Artificial intelligence (AI) may represent an effective diagnostic tool for DDH. Here, we aimed to develop an anteroposterior pelvic radiograph deep learning system for diagnosing DDH in children and analyze the feasibility of its application. METHODS: In total, 10,219 anteroposterior pelvic radiographs were retrospectively collected from April 2014 to December 2018. Clinicians labelled each radiograph using a uniform standard method. Radiographs were grouped according to age and into 'dislocation' (dislocation and subluxation) and 'non-dislocation' (normal cases and those with dysplasia of the acetabulum) groups based on clinical diagnosis. The deep learning system was trained and optimized using 9,081 radiographs; 1,138 test radiographs were then used to compare the diagnoses made by deep learning system and clinicians. The accuracy of the deep learning system was determined using a receiver operating characteristic curve, and the consistency of acetabular index measurements was evaluated using Bland-Altman plots. RESULTS: In all, 1,138 patients (242 males; 896 females; mean age 1.5 years (SD 1.79; 0 to 10) were included in this study. The area under the receiver operating characteristic curve, sensitivity, and specificity of the deep learning system for diagnosing hip dislocation were 0.975, 276/289 (95.5%), and 1,978/1,987 (99.5%), respectively. Compared with clinical diagnoses, the Bland-Altman 95% limits of agreement for acetabular index, as determined by the deep learning system from the radiographs of non-dislocated and dislocated hips, were -3.27° - 2.94° and -7.36° - 5.36°, respectively (p &lt; 0.001). CONCLUSION: The deep learning system was highly consistent, more convenient, and more effective for diagnosing DDH compared with clinician-led diagnoses. Deep learning systems should be considered for analysis of anteroposterior pelvic radiographs when diagnosing DDH. The deep learning system will improve the current artificially complicated screening referral process. Cite this article: Bone Joint J 2020;102-B(11):1574-1581.</t>
  </si>
  <si>
    <t>Bone Joint J</t>
  </si>
  <si>
    <t>Deep convolutional neural networks for multi-modality isointense infant brain image segmentation</t>
  </si>
  <si>
    <t>The segmentation of infant brain tissue images into white matter (WM), gray matter (GM), and cerebrospinal fluid (CSF) plays an important role in studying early brain development in health and disease. In the isointense stage (approximately 6-8 months of age), WM and GM exhibit similar levels of intensity in both T1 and T2 MR images, making the tissue segmentation very challenging. Only a small number of existing methods have been designed for tissue segmentation in this isointense stage; however, they only used a single T1 or T2 images, or the combination of T1 and T2 images. In this paper, we propose to use deep convolutional neural networks (CNNs) for segmenting isointense stage brain tissues using multi-modality MR images. CNNs are a type of deep models in which trainable filters and local neighborhood pooling operations are applied alternatingly on the raw input images, resulting in a hierarchy of increasingly complex features. Specifically, we used multi-modality information from T1, T2, and fractional anisotropy (FA) images as inputs and then generated the segmentation maps as outputs. The multiple intermediate layers applied convolution, pooling, normalization, and other operations to capture the highly nonlinear mappings between inputs and outputs. We compared the performance of our approach with that of the commonly used segmentation methods on a set of manually segmented isointense stage brain images. Results showed that our proposed model significantly outperformed prior methods on infant brain tissue segmentation. In addition, our results indicated that integration of multi-modality images led to significant performance improvement.</t>
  </si>
  <si>
    <t>W. Zhang, R. Li, H. Deng, L. Wang, W. Lin, S. Ji and D. Shen</t>
  </si>
  <si>
    <t>BACKGROUND: As artificial intelligence and big data analysis develop rapidly, data privacy, especially patient medical data privacy, is getting more and more attention. OBJECTIVE: To strengthen the protection of private data while ensuring the model training process, this article introduces a multi-Blockchain-based decentralized collaborative machine learning training method for medical image analysis. In this way, researchers from different medical institutions are able to collaborate to train models without exchanging sensitive patient data. METHOD: Partial parameter update method is applied to prevent indirect privacy leakage during model propagation. With the peer-to-peer communication in the multi-Blockchain system, a machine learning task can leverage auxiliary information from another similar task in another Blockchain. In addition, after the collaborative training process, personalized models of different medical institutions will be trained. RESULTS: The experimental results show that our method achieves similar performance with the centralized model-training method by collecting data sets of all participants and prevents private data leakage at the same time. Transferring auxiliary information from similar task on another Blockchain has also been proven to effectively accelerate model convergence and improve model accuracy, especially in the scenario of absence of data. Personalization training process further improves model performance. CONCLUSION: Our approach can effectively help researchers from different organizations to achieve collaborative training without disclosing their private data.</t>
  </si>
  <si>
    <t>Hierarchical Organization of Functional Brain Networks Revealed by Hybrid Spatiotemporal Deep Learning</t>
  </si>
  <si>
    <t>Hierarchical organization of brain function has been an established concept in the neuroscience field for a long time, however, it has been rarely demonstrated how such hierarchical macroscale functional networks are actually organized in the human brain. In this study, to answer this question, we propose a novel methodology to provide an evidence of hierarchical organization of functional brain networks. This article introduces the hybrid spatiotemporal deep learning (HSDL), by jointly using deep belief networks (DBNs) and deep least absolute shrinkage and selection operator (LASSO) to reveal the temporal hierarchical features and spatial hierarchical maps of brain networks based on the Human Connectome Project 900 functional magnetic resonance imaging (fMRI) data sets. Briefly, the key idea of HSDL is to extract the weights between two adjacent layers of DBNs, which are then treated as the hierarchical dictionaries for deep LASSO to identify the corresponding hierarchical spatial maps. Our results demonstrate that both spatial and temporal aspects of dozens of functional networks exhibit multiscale properties that can be well characterized and interpreted based on existing computational tools and neuroscience knowledge. Our proposed novel hybrid deep model is used to provide the first insightful opportunity to reveal the potential hierarchical organization of time series and functional brain networks, using task-based fMRI signals of human brain.</t>
  </si>
  <si>
    <t>Brain Connect</t>
  </si>
  <si>
    <t>Melanoma segmentation based on deep learning</t>
  </si>
  <si>
    <t>Malignant melanoma is one of the most deadly forms of skin cancer, which is one of the world's fastest-growing cancers. Early diagnosis and treatment is critical. In this study, a neural network structure is utilized to construct a broad and accurate basis for the diagnosis of skin cancer, thereby reducing screening errors. The technique is able to improve the efficacy for identification of normally indistinguishable lesions (such as pigment spots) versus clinically unknown lesions, and to ultimately improve the diagnostic accuracy. In the field of medical imaging, in general, using neural networks for image segmentation is relatively rare. The existing traditional machine-learning neural network algorithms still cannot completely solve the problem of information loss, nor detect the precise division of the boundary area. We use an improved neural network framework, described herein, to achieve efficacious feature learning, and satisfactory segmentation of melanoma images. The architecture of the network includes multiple convolution layers, dropout layers, softmax layers, multiple filters, and activation functions. The number of data sets can be increased via rotation of the training set. A non-linear activation function (such as ReLU and ELU) is employed to alleviate the problem of gradient disappearance, and RMSprop/Adam are incorporated to optimize the loss algorithm. A batch normalization layer is added between the convolution layer and the activation layer to solve the problem of gradient disappearance and explosion. Experiments, described herein, show that our improved neural network architecture achieves higher accuracy for segmentation of melanoma images as compared with existing processes.</t>
  </si>
  <si>
    <t>X. Zhang</t>
  </si>
  <si>
    <t>Data-Driven Subtyping of Parkinson's Disease Using Longitudinal Clinical Records: A Cohort Study</t>
  </si>
  <si>
    <t>Parkinson's disease (PD) is associated with diverse clinical manifestations including motor and non-motor signs and symptoms, and emerging biomarkers. We aimed to reveal the heterogeneity of PD to define subtypes and their progression rates using an automated deep learning algorithm on the top of longitudinal clinical records. This study utilizes the data collected from the Parkinson's Progression Markers Initiative (PPMI), which is a longitudinal cohort study of patients with newly diagnosed Parkinson's disease. Clinical information including motor and non-motor assessments, biospecimen examinations, and neuroimaging results were used for identification of PD subtypes. A deep learning algorithm, Long-Short Term Memory (LSTM), was used to represent each patient as a multi-dimensional time series for subtype identification. Both visualization and statistical analysis were performed for analyzing the obtained PD subtypes. As a result, 466 patients with idiopathic PD were investigated and three subtypes were identified. Subtype I (Mild Baseline, Moderate Motor Progression) is comprised of 43.1% of the participants, with average age 58.79 ± 9.53 years, and was characterized by moderate functional decay in motor ability but stable cognitive ability. Subtype II (Moderate Baseline, Mild Progression) is comprised of 22.9% of the participants, with average age 61.93 ± 6.56 years, and was characterized by mild functional decay in both motor and non-motor symptoms. Subtype III (Severe Baseline, Rapid Progression) is comprised 33.9% of the patients, with average age 65.32 ± 8.86 years, and was characterized by rapid progression of both motor and non-motor symptoms. These subtypes suggest that when comprehensive clinical and biomarker data are incorporated into a deep learning algorithm, the disease progression rates do not necessarily associate with baseline severities, and the progression rate of non-motor symptoms is not necessarily correlated with the progression rate of motor symptoms.</t>
  </si>
  <si>
    <t>Multi-View Graph Convolutional Network and Its Applications on Neuroimage Analysis for Parkinson's Disease</t>
  </si>
  <si>
    <t>Parkinson's Disease (PD) is one of the most prevalent neurodegenerative diseases that affects tens of millions of Americans. PD is highly progressive and heterogeneous. Quite a few studies have been conducted in recent years on predictive or disease progression modeling of PD using clinical and biomarkers data. Neuroimaging, as another important information source for neurodegenerative disease, has also arisen considerable interests from the PD community. In this paper, we propose a deep learning method based on Graph Convolutional Networks (GCN) for fusing multiple modalities of brain images in relationship prediction which is useful for distinguishing PD cases from controls. On Parkinson's Progression Markers Initiative (PPMI) cohort, our approach achieved 0.9537±0.0587 AUC, compared with 0.6443±0.0223 AUC achieved by traditional approaches such as PCA.</t>
  </si>
  <si>
    <t>Urine Sediment Recognition Method Based on Multi-View Deep Residual Learning in Microscopic Image</t>
  </si>
  <si>
    <t>Urine sediment recognition is attracting growing interest in the field of computer vision. A multi-view urine cell recognition method based on multi-view deep residual learning is proposed to solve some existing problems, such as multi-view cell gray change and cell information loss in the natural state. Firstly, the convolutional network is designed to extract the urine sediment features from different perspectives based on the residual network, and the depth-wise separable convolution is introduced to reduce the network parameters. Secondly, Squeeze-and-Excitation block is embedded to learn feature weights, using feature re-calibration to improve network representation, and the robustness of the network is enhanced by adding spatial pyramid pooling. Finally, for further optimizing the recognition results, the Adam with weight decay optimization method is used to accelerate the convergence of the network model. Experiments on self-built urine microscopic image data-set show that our proposed method has state-of-the-art classification accuracy and reduces network computing time.</t>
  </si>
  <si>
    <t>Predicting Rectal Cancer Response to Neoadjuvant Chemoradiotherapy Using Deep Learning of Diffusion Kurtosis MRI</t>
  </si>
  <si>
    <t>Background Preoperative response evaluation with neoadjuvant chemoradiotherapy remains a challenge in the setting of locally advanced rectal cancer. Recently, deep learning (DL) has been widely used in tumor diagnosis and treatment and has produced exciting results. Purpose To develop and validate a DL method to predict response of rectal cancer to neoadjuvant therapy based on diffusion kurtosis and T2-weighted MRI. Materials and Methods In this prospective study, participants with locally advanced rectal adenocarcinoma (≥cT3 or N+) proved at histopathology and baseline MRI who were scheduled to undergo preoperative chemoradiotherapy were enrolled from October 2015 to December 2017 and were chronologically divided into 308 training samples and 104 test samples. DL models were constructed primarily to predict pathologic complete response (pCR) and secondarily to assess tumor regression grade (TRG) (TRG0 and TRG1 vs TRG2 and TRG3) and T downstaging. Other analysis included comparisons of diffusion kurtosis MRI parameters and subjective evaluation by radiologists. Results A total of 383 participants (mean age, 57 years ± 10 [standard deviation]; 229 men) were evaluated (290 in the training cohort, 93 in the test cohort). The area under the receiver operating characteristic curve (AUC) was 0.99 for the pCR model in the test cohort, which was higher than the AUC for raters 1 and 2 (0.66 and 0.72, respectively; P &lt; .001 for both). AUC for the DL model was 0.70 for TRG and 0.79 for T downstaging. AUC for pCR with the DL model was better than AUC for the best-performing diffusion kurtosis MRI parameters alone (diffusion coefficient in normal diffusion after correcting the non-Gaussian effect [D(app) value] before neoadjuvant therapy, AUC = 0.76). Subjective evaluation by radiologists yielded a higher error rate (1 - accuracy) (25 of 93 [26.9%] and 23 of 93 [24.8%] for raters 1 and 2, respectively) in predicting pCR than did evaluation with the DL model (two of 93 [2.2%]); the radiologists achieved a lower error rate (12 of 93 [12.9%] and 13 of 93 [14.0%] for raters 1 and 2, respectively) when assisted by the DL model. Conclusion A deep learning model based on diffusion kurtosis MRI showed good performance for predicting pathologic complete response and aided the radiologist in assessing response of locally advanced rectal cancer after neoadjuvant chemoradiotherapy. © RSNA, 2020 Online supplemental material is available for this article. See also the editorial by Koh in this issue.</t>
  </si>
  <si>
    <t>Classification and Diagnosis of Thyroid Carcinoma Using Reinforcement Residual Network with Visual Attention Mechanisms in Ultrasound Images</t>
  </si>
  <si>
    <t>How to differentiate thyroid cancer nodules from a large number of benign nodules is always a challenging subject for clinicians. This paper proposes a novel Sal-deel network model to achieve the classification and diagnosis of thyroid cancer, which can simulate visual attention mechanism. The Sal-deep network introduces saliency map as an additional information on the deep residual network, which selectively enhances the feature extracted from different regions according to the mask map. Sal-deep network can work effectively for the benchmark networks with different data sets and different structures, and it is a universal network model. Sal-deep network increases the complexity of the network, but improves the efficiency of the network. A large number of qualitative and quantitative experiments show that our improved network is superior to other existing deep models in terms of classification accuracy rate and Recall, which is suitable for clinical application.</t>
  </si>
  <si>
    <t>Y. Zhang</t>
  </si>
  <si>
    <t>Deep Learning- and Transfer Learning-Based Super Resolution Reconstruction from Single Medical Image</t>
  </si>
  <si>
    <t>Medical images play an important role in medical diagnosis and research. In this paper, a transfer learning- and deep learning-based super resolution reconstruction method is introduced. The proposed method contains one bicubic interpolation template layer and two convolutional layers. The bicubic interpolation template layer is prefixed by mathematics deduction, and two convolutional layers learn from training samples. For saving training medical images, a SIFT feature-based transfer learning method is proposed. Not only can medical images be used to train the proposed method, but also other types of images can be added into training dataset selectively. In empirical experiments, results of eight distinctive medical images show improvement of image quality and time reduction. Further, the proposed method also produces slightly sharper edges than other deep learning approaches in less time and it is projected that the hybrid architecture of prefixed template layer and unfixed hidden layers has potentials in other applications.</t>
  </si>
  <si>
    <t>Y. Zhang and M. An</t>
  </si>
  <si>
    <t>Automatic Breast and Fibroglandular Tissue Segmentation in Breast MRI Using Deep Learning by a Fully-Convolutional Residual Neural Network U-Net</t>
  </si>
  <si>
    <t>RATIONALE AND OBJECTIVES: Breast segmentation using the U-net architecture was implemented and tested in independent validation datasets to quantify fibroglandular tissue volume in breast MRI. MATERIALS AND METHODS: Two datasets were used. The training set was MRI of 286 patients with unilateral breast cancer. The segmentation was done on the contralateral normal breasts. The ground truth for the breast and fibroglandular tissue (FGT) was obtained by using a template-based segmentation method. The U-net deep learning algorithm was implemented to analyze the training set, and the final model was obtained using 10-fold cross-validation. The independent validation set was MRI of 28 normal volunteers acquired using four different MR scanners. Dice Similarity Coefficient (DSC), voxel-based accuracy, and Pearson's correlation were used to evaluate the performance. RESULTS: For the 10-fold cross-validation in the initial training set of 286 patients, the DSC range was 0.83-0.98 (mean 0.95 ± 0.02) for breast and 0.73-0.97 (mean 0.91 ± 0.03) for FGT; and the accuracy range was 0.92-0.99 (mean 0.98 ± 0.01) for breast and 0.87-0.99 (mean 0.97 ± 0.01) for FGT. For the entire 224 testing breasts of the 28 normal volunteers in the validation datasets, the mean DSC was 0.86 ± 0.05 for breast, 0.83 ± 0.06 for FGT; and the mean accuracy was 0.94 ± 0.03 for breast and 0.93 ± 0.04 for FGT. The testing results for MRI acquired using four different scanners were comparable. CONCLUSION: Deep learning based on the U-net algorithm can achieve accurate segmentation results for the breast and FGT on MRI. It may provide a reliable and efficient method to process large number of MR images for quantitative analysis of breast density.</t>
  </si>
  <si>
    <t>Reconstruction of natural visual scenes from neural spikes with deep neural networks</t>
  </si>
  <si>
    <t>Neural coding is one of the central questions in systems neuroscience for understanding how the brain processes stimulus from the environment, moreover, it is also a cornerstone for designing algorithms of brain-machine interface, where decoding incoming stimulus is highly demanded for better performance of physical devices. Traditionally researchers have focused on functional magnetic resonance imaging (fMRI) data as the neural signals of interest for decoding visual scenes. However, our visual perception operates in a fast time scale of millisecond in terms of an event termed neural spike. There are few studies of decoding by using spikes. Here we fulfill this aim by developing a novel decoding framework based on deep neural networks, named spike-image decoder (SID), for reconstructing natural visual scenes, including static images and dynamic videos, from experimentally recorded spikes of a population of retinal ganglion cells. The SID is an end-to-end decoder with one end as neural spikes and the other end as images, which can be trained directly such that visual scenes are reconstructed from spikes in a highly accurate fashion. Our SID also outperforms on the reconstruction of visual stimulus compared to existing fMRI decoding models. In addition, with the aid of a spike encoder, we show that SID can be generalized to arbitrary visual scenes by using the image datasets of MNIST, CIFAR10, and CIFAR100. Furthermore, with a pre-trained SID, one can decode any dynamic videos to achieve real-time encoding and decoding of visual scenes by spikes. Altogether, our results shed new light on neuromorphic computing for artificial visual systems, such as event-based visual cameras and visual neuroprostheses.</t>
  </si>
  <si>
    <t>Multi-needle localization in ultrasound (US) images is a crucial step of treatment planning for US-guided prostate brachytherapy. However, current computer-aided technologies are mostly focused on single-needle digitization, while manual digitization is labor intensive and time consuming. In this paper, we proposed a deep learning-based workflow for fast automatic multi-needle digitization, including needle shaft detection and needle tip detection. The major workflow is composed of two components: a large margin mask R-CNN model (LMMask R-CNN), which adopts the lager margin loss to reformulate Mask R-CNN for needle shaft localization, and a needle based density-based spatial clustering of application with noise algorithm which integrates priors to model a needle in an iteration for a needle shaft refinement and tip detections. Besides, we use the skipping connection in neural network architecture to improve the supervision in hidden layers. Our workflow was evaluated on 23 patients who underwent US-guided high-dose-rate (HDR) prostrate brachytherapy with 339 needles being tested in total. Our method detected 98% of the needles with 0.091 ± 0.043 mm shaft error and 0.330 ± 0.363 mm tip error. Compared with only using Mask R-CNN and only using LMMask R-CNN, the proposed method gains a significant improvement on both shaft error and tip error. The proposed method automatically digitizes needles per patient with in a second. It streamlines the workflow of transrectal ultrasound-guided HDR prostate brachytherapy and paves the way for the development of real-time treatment planning system that is expected to further elevate the quality and outcome of HDR prostate brachytherapy.</t>
  </si>
  <si>
    <t>MI-UNet: Multi-inputs UNet Incorporating Brain Parcellation for Stroke Lesion Segmentation From T1-weighted Magnetic Resonance Images</t>
  </si>
  <si>
    <t>Stroke is a serious manifestation of various cerebrovascular diseases and one of the most dangerous diseases in the world today. Volume quantification and location detection of chronic stroke lesions provide vital biomarkers for stroke rehabilitation. Recently, deep learning has seen a rapid growth, with a great potential in segmenting medical images. In this work, unlike most deep learning-based segmentation methods utilizing only magnetic resonance (MR) images as the input, we propose and validate a novel stroke lesion segmentation approach named multi-inputs UNet (MI-UNet) that incorporates brain parcellation information, including gray matter (GM), white matter (WM) and lateral ventricle (LV). The brain parcellation is obtained from 3D diffeomorphic registration and is concatenated with the original MR image to form two-channel inputs to the subsequent MI-UNet. Effectiveness of the proposed pipeline is validated using a dataset consisting of 229 T1-weighted MR images. Experiments are conducted via a five-fold cross-validation. The proposed MI-UNet performed significantly better than UNet in both 2D and 3D settings. Our best results obtained by 3D MI-UNet has superior segmentation performance, as measured by the Dice score, Hausdorff distance, average symmetric surface distance, as well as precision, over other state-of-the-art methods.</t>
  </si>
  <si>
    <t>Dual-domain convolutional neural networks for improving structural information in 3 T MRI</t>
  </si>
  <si>
    <t>We propose a novel dual-domain convolutional neural network framework to improve structural information of routine 3 T images. We introduce a parameter-efficient butterfly network that involves two complementary domains: a spatial domain and a frequency domain. The butterfly network allows the interaction of these two domains in learning the complex mapping from 3 T to 7 T images. We verified the efficacy of the dual-domain strategy and butterfly network using 3 T and 7 T image pairs. Experimental results demonstrate that the proposed framework generates synthetic 7 T-like images and achieves performance superior to state-of-the-art methods.</t>
  </si>
  <si>
    <t>Convolutional Neural Network Based Metal Artifact Reduction in X-Ray Computed Tomography</t>
  </si>
  <si>
    <t>In the presence of metal implants, metal artifacts are introduced to x-ray computed tomography CT images. Although a large number of metal artifact reduction (MAR) methods have been proposed in the past decades, MAR is still one of the major problems in clinical x-ray CT. In this paper, we develop a convolutional neural network (CNN)-based open MAR framework, which fuses the information from the original and corrected images to suppress artifacts. The proposed approach consists of two phases. In the CNN training phase, we build a database consisting of metal-free, metal-inserted and pre-corrected CT images, and image patches are extracted and used for CNN training. In the MAR phase, the uncorrected and pre-corrected images are used as the input of the trained CNN to generate a CNN image with reduced artifacts. To further reduce the remaining artifacts, water equivalent tissues in a CNN image are set to a uniform value to yield a CNN prior, whose forward projections are used to replace the metal-affected projections, followed by the FBP reconstruction. The effectiveness of the proposed method is validated on both simulated and real data. Experimental results demonstrate the superior MAR capability of the proposed method to its competitors in terms of artifact suppression and preservation of anatomical structures in the vicinity of metal implants.</t>
  </si>
  <si>
    <t>Y. Zhang and H. Yu</t>
  </si>
  <si>
    <t>Automatic hyoid bone detection in fluoroscopic images using deep learning</t>
  </si>
  <si>
    <t>The displacement of the hyoid bone is one of the key components evaluated in the swallow study, as its motion during swallowing is related to overall swallowing integrity. In daily research settings, experts visually detect the hyoid bone in the video frames and manually plot hyoid bone position frame by frame. This study aims to develop an automatic method to localize the location of the hyoid bone in the video sequence. To automatically detect the location of the hyoid bone in a frame, we proposed a single shot multibox detector, a deep convolutional neural network, which is employed to detect and classify the location of the hyoid bone. We also evaluated the performance of two other state-of-art detection methods for comparison. The experimental results clearly showed that the single shot multibox detector can detect the hyoid bone with an average precision of 89.14% and outperform other auto-detection algorithms. We conclude that this automatic hyoid bone tracking system is accurate enough to be widely applied as a pre-processing step for image processing in dysphagia research, as well as a promising development that may be useful in the diagnosis of dysphagia.</t>
  </si>
  <si>
    <t>Z. Zhang, J. L. Coyle and E. Sejdić</t>
  </si>
  <si>
    <t>A Novel and Efficient Tumor Detection Framework for Pancreatic Cancer via CT Images</t>
  </si>
  <si>
    <t>As Deep Convolutional Neural Networks (DCNNs) have shown robust performance and results in medical image analysis, a number of deep-learning-based tumor detection methods were developed in recent years. Nowadays, the automatic detection of pancreatic tumors using contrast-enhanced Computed Tomography (CT) is widely applied for the diagnosis and staging of pancreatic cancer. Traditional hand-crafted methods only extract low-level features. Normal convolutional neural networks, however, fail to make full use of effective context information, which causes inferior detection results. In this paper, a novel and efficient pancreatic tumor detection framework aiming at fully exploiting the context information at multiple scales is designed. More specifically, the contribution of the proposed method mainly consists of three components: Augmented Feature Pyramid networks, Self-adaptive Feature Fusion and a Dependencies Computation (DC) Module. A bottom-up path augmentation to fully extract and propagate low-level accurate localization information is established firstly. Then, the Self-adaptive Feature Fusion can encode much richer context information at multiple scales based on the proposed regions. Finally, the DC Module is specifically designed to capture the interaction information between proposals and surrounding tissues. Experimental results achieve competitive performance in detection with the AUC of 0.9455, which outperforms other state-of-the-art methods to our best of knowledge, demonstrating the proposed framework can detect the tumor of pancreatic cancer efficiently and accurately.</t>
  </si>
  <si>
    <t>A Sparse-View CT Reconstruction Method Based on Combination of DenseNet and Deconvolution</t>
  </si>
  <si>
    <t>Sparse-view computed tomography (CT) holds great promise for speeding up data acquisition and reducing radiation dose in CT scans. Recent advances in reconstruction algorithms for sparse-view CT, such as iterative reconstruction algorithms, obtained high-quality image while requiring advanced computing power. Lately, deep learning (DL) has been widely used in various applications and has obtained many remarkable outcomes. In this paper, we propose a new method for sparse-view CT reconstruction based on the DL approach. The method can be divided into two steps. First, filter backprojection (FBP) was used to reconstruct the CT image from sparsely sampled sinogram. Then, the FBP results were fed to a DL neural network, which is a DenseNet and deconvolution-based network (DD-Net). The DD-Net combines the advantages of DenseNet and deconvolution and applies shortcut connections to concatenate DenseNet and deconvolution to accelerate the training speed of the network; all of those operations can greatly increase the depth of network while enhancing the expression ability of the network. After the training, the proposed DD-Net achieved a competitive performance relative to the state-of-the-art methods in terms of streaking artifacts removal and structure preservation. Compared with the other state-of-the-art reconstruction methods, the DD-Net method can increase the structure similarity by up to 18% and reduce the root mean square error by up to 42%. These results indicate that DD-Net has great potential for sparse-view CT image reconstruction.</t>
  </si>
  <si>
    <t>Z. Zhang, X. Liang, X. Dong, Y. Xie and G. Cao</t>
  </si>
  <si>
    <t>10.1016/j.compbiomed.2019.02.017</t>
  </si>
  <si>
    <t>Radiological images and machine learning: Trends, perspectives, and prospects</t>
  </si>
  <si>
    <t>The application of machine learning to radiological images is an increasingly active research area that is expected to grow in the next five to ten years. Recent advances in machine learning have the potential to recognize and classify complex patterns from different radiological imaging modalities such as x-rays, computed tomography, magnetic resonance imaging and positron emission tomography imaging. In many applications, machine learning based systems have shown comparable performance to human decision-making. The applications of machine learning are the key ingredients of future clinical decision making and monitoring systems. This review covers the fundamental concepts behind various machine learning techniques and their applications in several radiological imaging areas, such as medical image segmentation, brain function studies and neurological disease diagnosis, as well as computer-aided systems, image registration, and content-based image retrieval systems. Synchronistically, we will briefly discuss current challenges and future directions regarding the application of machine learning in radiological imaging. By giving insight on how take advantage of machine learning powered applications, we expect that clinicians can prevent and diagnose diseases more accurately and efficiently.</t>
  </si>
  <si>
    <t>DENSE-INception U-net for medical image segmentation</t>
  </si>
  <si>
    <t>BACKGROUND AND OBJECTIVE: Convolutional neural networks (CNNs) play an important role in the field of medical image segmentation. Among many kinds of CNNs, the U-net architecture is one of the most famous fully convolutional network architectures for medical semantic segmentation tasks. Recent work shows that the U-net network can be substantially deeper thus resulting in improved performance on segmentation tasks. Though adding more layers directly into network is a popular way to make a network deeper, it may lead to gradient vanishing or redundant computation during training. METHODS: A novel CNN architecture is proposed that integrates the Inception-Res module and densely connecting convolutional module into the U-net architecture. The proposed network model consists of the following parts: firstly, the Inception-Res block is designed to increase the width of the network by replacing the standard convolutional layers; secondly, the Dense-Inception block is designed to extract features and make the network more deep without additional parameters; thirdly, the down-sampling block is adopted to reduce the size of feature maps to accelerate learning and the up-sampling block is used to resize the feature maps. RESULTS: The proposed model is tested on images of blood vessel segmentations from retina images, the lung segmentation of CT Data from the benchmark Kaggle datasets and the MRI scan brain tumor segmentation datasets from MICCAI BraTS 2017. The experimental results show that the proposed method can provide better performance on these two tasks compared with the state-of-the-art algorithms. The results reach an average Dice score of 0.9857 in the lung segmentation. For the blood vessel segmentation, the results reach an average Dice score of 0.9582. For the brain tumor segmentation, the results reach an average Dice score of 0.9867. CONCLUSIONS: The experiments highlighted that combining the inception module with dense connections in the U-Net architecture is a promising approach for semantic medical image segmentation.</t>
  </si>
  <si>
    <t>Applications of a deep learning method for anti-aliasing and super-resolution in MRI</t>
  </si>
  <si>
    <t>Magnetic resonance (MR) images with both high resolutions and high signal-to-noise ratios (SNRs) are desired in many clinical and research applications. However, acquiring such images takes a long time, which is both costly and susceptible to motion artifacts. Acquiring MR images with good in-plane resolution and poor through-plane resolution is a common strategy that saves imaging time, preserves SNR, and provides one viewpoint with good resolution in two directions. Unfortunately, this strategy also creates orthogonal viewpoints that have poor resolution in one direction and, for 2D MR acquisition protocols, also creates aliasing artifacts. A deep learning approach called SMORE that carries out both anti-aliasing and super-resolution on these types of acquisitions using no external atlas or exemplars has been previously reported but not extensively validated. This paper reviews the SMORE algorithm and then demonstrates its performance in four applications with the goal to demonstrate its potential for use in both research and clinical scenarios. It is first shown to improve the visualization of brain white matter lesions in FLAIR images acquired from multiple sclerosis patients. Then it is shown to improve the visualization of scarring in cardiac left ventricular remodeling after myocardial infarction. Third, its performance on multi-view images of the tongue is demonstrated and finally it is shown to improve performance in parcellation of the brain ventricular system. Both visual and selected quantitative metrics of resolution enhancement are demonstrated.</t>
  </si>
  <si>
    <t>Bayesian convolutional neural network based MRI brain extraction on nonhuman primates</t>
  </si>
  <si>
    <t>Brain extraction or skull stripping of magnetic resonance images (MRI) is an essential step in neuroimaging studies, the accuracy of which can severely affect subsequent image processing procedures. Current automatic brain extraction methods demonstrate good results on human brains, but are often far from satisfactory on nonhuman primates, which are a necessary part of neuroscience research. To overcome the challenges of brain extraction in nonhuman primates, we propose a fully-automated brain extraction pipeline combining deep Bayesian convolutional neural network (CNN) and fully connected three-dimensional (3D) conditional random field (CRF). The deep Bayesian CNN, Bayesian SegNet, is used as the core segmentation engine. As a probabilistic network, it is not only able to perform accurate high-resolution pixel-wise brain segmentation, but also capable of measuring the model uncertainty by Monte Carlo sampling with dropout in the testing stage. Then, fully connected 3D CRF is used to refine the probability result from Bayesian SegNet in the whole 3D context of the brain volume. The proposed method was evaluated with a manually brain-extracted dataset comprising T1w images of 100 nonhuman primates. Our method outperforms six popular publicly available brain extraction packages and three well-established deep learning based methods with a mean Dice coefficient of 0.985 and a mean average symmetric surface distance of 0.220 mm. A better performance against all the compared methods was verified by statistical tests (all p-values &lt; 10(-4), two-sided, Bonferroni corrected). The maximum uncertainty of the model on nonhuman primate brain extraction has a mean value of 0.116 across all the 100 subjects. The behavior of the uncertainty was also studied, which shows the uncertainty increases as the training set size decreases, the number of inconsistent labels in the training set increases, or the inconsistency between the training set and the testing set increases.</t>
  </si>
  <si>
    <t>G. Zhao, F. Liu, J. A. Oler, M. E. Meyerand, N. H. Kalin and R. M. Birn</t>
  </si>
  <si>
    <t>Molecular imaging and deep learning analysis of uMUC1 expression in response to chemotherapy in an orthotopic model of ovarian cancer</t>
  </si>
  <si>
    <t>Artificial Intelligence (AI) algorithms including deep learning have recently demonstrated remarkable progress in image-recognition tasks. Here, we utilized AI for monitoring the expression of underglycosylated mucin 1 (uMUC1) tumor antigen, a biomarker for ovarian cancer progression and response to therapy, using contrast-enhanced in vivo imaging. This was done using a dual-modal (magnetic resonance and near infrared optical imaging) uMUC1-specific probe (termed MN-EPPT) consisted of iron-oxide magnetic nanoparticles (MN) conjugated to a uMUC1-specific peptide (EPPT) and labeled with a near-infrared fluorescent dye, Cy5.5. In vitro studies performed in uMUC1-expressing human ovarian cancer cell line SKOV3/Luc and control uMUC1(low) ES-2 cells showed preferential uptake on the probe by the high expressor (n = 3, p &lt; .05). A decrease in MN-EPPT uptake by SKOV3/Luc cells in vitro due to uMUC1 downregulation after docetaxel therapy was paralleled by in vivo imaging studies that showed a reduction in probe accumulation in the docetaxel treated group (n = 5, p &lt; .05). The imaging data were analyzed using deep learning-enabled segmentation and quantification of the tumor region of interest (ROI) from raw input MRI sequences by applying AI algorithms including a blend of Convolutional Neural Networks (CNN) and Fully Connected Neural Networks. We believe that the algorithms used in this study have the potential to improve studying and monitoring cancer progression, amongst other diseases.</t>
  </si>
  <si>
    <t>Synthesizing retinal and neuronal images with generative adversarial nets</t>
  </si>
  <si>
    <t>This paper aims at synthesizing multiple realistic-looking retinal (or neuronal) images from an unseen tubular structured annotation that contains the binary vessel (or neuronal) morphology. The generated phantoms are expected to preserve the same tubular structure, and resemble the visual appearance of the training images. Inspired by the recent progresses in generative adversarial nets (GANs) as well as image style transfer, our approach enjoys several advantages. It works well with a small training set with as few as 10 training examples, which is a common scenario in medical image analysis. Besides, it is capable of synthesizing diverse images from the same tubular structured annotation. Extensive experimental evaluations on various retinal fundus and neuronal imaging applications demonstrate the merits of the proposed approach.</t>
  </si>
  <si>
    <t>H. Zhao, H. Li, S. Maurer-Stroh and L. Cheng</t>
  </si>
  <si>
    <t>Synthesizing realistic profile faces is beneficial for more efficiently training deep pose-invariant models for large-scale unconstrained face recognition, by augmenting the number of samples with extreme poses and avoiding costly annotation work. However, learning from synthetic faces may not achieve the desired performance due to the discrepancy betwedistributions of the synthetic and real face images. To narrow this gap, we propose a Dual-Agent Generative Adversarial Network (DA-GAN) model, which can improve the realism of a face simulator's output using unlabeled real faces while preserving the identity information during the realism refinement. The dual agents are specially designed for distinguishing real versus fake and identities simultaneously. In particular, we employ an off-the-shelf 3D face model as a simulator to generate profile face images with varying poses. DA-GAN leverages a fully convolutional network as the generator to generate high-resolution images and an auto-encoder as the discriminator with the dual agents. Besides the novel architecture, we make several key modifications to the standard GAN to preserve pose, texture as well as identity, and stabilize the training process: (i) a pose perception loss; (ii) an identity perception loss; (iii) an adversarial loss with a boundary equilibrium regularization term. Experimental results show that DA-GAN not only achieves outstanding perceptual results but also significantly outperforms state-of-the-arts on the large-scale and challenging NIST IJB-A and CFP unconstrained face recognition benchmarks. In addition, the proposed DA-GAN is also a promising new approach for solving generic transfer learning problems more effectively. DA-GAN is the foundation of our winning entry to the NIST IJB-A face recognition competition in which we secured the $1^{st}$ places on the tracks of verification and identification.</t>
  </si>
  <si>
    <t>Study of low-dose PET image recovery using supervised learning with CycleGAN</t>
  </si>
  <si>
    <t>PET is a popular medical imaging modality for various clinical applications, including diagnosis and image-guided radiation therapy. The low-dose PET (LDPET) at a minimized radiation dosage is highly desirable in clinic since PET imaging involves ionizing radiation, and raises concerns about the risk of radiation exposure. However, the reduced dose of radioactive tracers could impact the image quality and clinical diagnosis. In this paper, a supervised deep learning approach with a generative adversarial network (GAN) and the cycle-consistency loss, Wasserstein distance loss, and an additional supervised learning loss, named as S-CycleGAN, is proposed to establish a non-linear end-to-end mapping model, and used to recover LDPET brain images. The proposed model, and two recently-published deep learning methods (RED-CNN and 3D-cGAN) were applied to 10% and 30% dose of 10 testing datasets, and a series of simulation datasets embedded lesions with different activities, sizes, and shapes. Besides vision comparisons, six measures including the NRMSE, SSIM, PSNR, LPIPS, SUVmax and SUVmean were evaluated for 10 testing datasets and 45 simulated datasets. Our S-CycleGAN approach had comparable SSIM and PSNR, slightly higher noise but a better perception score and preserving image details, much better SUVmean and SUVmax, as compared to RED-CNN and 3D-cGAN. Quantitative and qualitative evaluations indicate the proposed approach is accurate, efficient and robust as compared to other state-of-the-art deep learning methods.</t>
  </si>
  <si>
    <t>SCAU-Net: Spatial-Channel Attention U-Net for Gland Segmentation</t>
  </si>
  <si>
    <t>With the development of medical technology, image semantic segmentation is of great significance for morphological analysis, quantification, and diagnosis of human tissues. However, manual detection and segmentation is a time-consuming task. Especially for biomedical image, only experts are able to identify tissues and mark their contours. In recent years, the development of deep learning has greatly improved the accuracy of computer automatic segmentation. This paper proposes a deep learning image semantic segmentation network named Spatial-Channel Attention U-Net (SCAU-Net) based on current research status of medical image. SCAU-Net has an encoder-decoder-style symmetrical structure integrated with spatial and channel attention as plug-and-play modules. The main idea is to enhance local related features and restrain irrelevant features at the spatial and channel levels. Experiments on the gland dataset GlaS and CRAG show that the proposed SCAU-Net model is superior to the classic U-Net model in image segmentation task, with 1% improvement on Dice score and 1.5% improvement on Jaccard score.</t>
  </si>
  <si>
    <t>Training confounder-free deep learning models for medical applications</t>
  </si>
  <si>
    <t>The presence of confounding effects (or biases) is one of the most critical challenges in using deep learning to advance discovery in medical imaging studies. Confounders affect the relationship between input data (e.g., brain MRIs) and output variables (e.g., diagnosis). Improper modeling of those relationships often results in spurious and biased associations. Traditional machine learning and statistical models minimize the impact of confounders by, for example, matching data sets, stratifying data, or residualizing imaging measurements. Alternative strategies are needed for state-of-the-art deep learning models that use end-to-end training to automatically extract informative features from large set of images. In this article, we introduce an end-to-end approach for deriving features invariant to confounding factors while accounting for intrinsic correlations between the confounder(s) and prediction outcome. The method does so by exploiting concepts from traditional statistical methods and recent fair machine learning schemes. We evaluate the method on predicting the diagnosis of HIV solely from Magnetic Resonance Images (MRIs), identifying morphological sex differences in adolescence from those of the National Consortium on Alcohol and Neurodevelopment in Adolescence (NCANDA), and determining the bone age from X-ray images of children. The results show that our method can accurately predict while reducing biases associated with confounders. The code is available at https://github.com/qingyuzhao/br-net .</t>
  </si>
  <si>
    <t>[A review of deep learning methods for the detection and classification of pulmonary nodules]</t>
  </si>
  <si>
    <t>Lung cancer has the highest mortality rate among all malignant tumors. The key to reducing lung cancer mortality is the accurate diagnosis of pulmonary nodules in early-stage lung cancer. Computer-aided diagnostic techniques are considered to have potential beyond human experts for accurate diagnosis of early pulmonary nodules. The detection and classification of pulmonary nodules based on deep learning technology can continuously improve the accuracy of diagnosis through self-learning, and is an important means to achieve computer-aided diagnosis. First, we systematically introduced the application of two dimension convolutional neural network (2D-CNN), three dimension convolutional neural network (3D-CNN) and faster regions convolutional neural network (Faster R-CNN) techniques in the detection of pulmonary nodules. Then we introduced the application of 2D-CNN, 3D-CNN, multi-stream multi-scale convolutional neural network (MMCNN), deep convolutional generative adversarial networks (DCGAN) and transfer learning technology in classification of pulmonary nodules. Finally, we conducted a comprehensive comparative analysis of different deep learning methods in the detection and classification of pulmonary nodules.</t>
  </si>
  <si>
    <t>Smart identification of psoriasis by images using convolutional neural networks: a case study in China</t>
  </si>
  <si>
    <t>BACKGROUND: Psoriasis is a chronic inflammatory skin disease, which holds a high incidence in China. However, professional dermatologists who can diagnose psoriasis early and correctly are insufficient in China, especially in the rural areas. A smart approach to identify psoriasis by pictures would be highly adaptable countrywide and could play a useful role in early diagnosis and regular treatment of psoriasis. OBJECTIVES: Design and evaluation of a smart psoriasis identification system based on clinical images (without relying on a dermatoscope) that works effectively similar to a dermatologist. METHODS: A set of deep learning models using convolutional neural networks (CNNs) was explored and compared in the system for automatic identification of psoriasis. The work was carried out on a standardized dermatological dataset with 8021 clinical images of 9 common disorders including psoriasis along with full electronic medical records of patients built over the last 9 years in China. A two-stage deep neural network was designed and developed to identify psoriasis. In the first stage, a multilabel classifier was trained to learn the visual patterns for each individual skin disease. In the second stage, the output of the first stage was utilized to distinguish psoriasis from other skin diseases. RESULTS: The area under the curve (AUC) of the two-stage model reached 0.981 ± 0.015, which outperforms a single-stage model. And, the classifier showed superior performance (missed diagnosis rate: 0.03, misdiagnosis rate: 0.04) than 25 Chinese dermatologists (missed diagnosis rate: 0.19, misdiagnosis rate: 0.10) in the diagnosis of psoriasis on 100 clinical images. CONCLUSIONS: Using clinical images to identify psoriasis is feasible and effective based on CNNs, which also builds a solid technical base for smart care of skin diseases especially psoriasis using mobile/tablet applications for teledermatology in China.</t>
  </si>
  <si>
    <t>J Eur Acad Dermatol Venereol</t>
  </si>
  <si>
    <t>A convolutional neural network for ultra-low-dose CT denoising and emphysema screening</t>
  </si>
  <si>
    <t>PURPOSE: Reducing dose level to achieve ALARA is an important task in diagnostic and therapeutic applications of computed tomography (CT) imaging. Effective image quality enhancement strategies are crucial to compensate for the degradation caused by dose reduction. In the past few years, deep learning approaches have demonstrated promising denoising performance on natural/synthetic images. This study tailors a neural network model for (ultra-)low-dose CT denoising, and assesses its performance in enhancing CT image quality and emphysema quantification. METHODS: The noise statistics in low-dose CT images has its unique characteristics and differs from that used in general denoising models. In this study, we first simulate the paired ultra-low-dose and targeted high-quality image of reference, with a well-validated pipeline. These paired images are used to train a denoising convolutional neural network (DnCNN) with residual mapping. The performance of the DnCNN tailored to CT denoising (DnCNN-CT) is assessed over various dose reduction levels, with respect to both image quality and emphysema scoring quantification. The possible over-smoothing behavior of DnCNN and its impact on different subcohort of patients are also investigated. RESULTS: Performance evaluation results showed that DnCNN-CT provided significant image quality enhancement, especially for very-low-dose level. With DnCNN-CT denoising on 3%-dose cases, the peak signal-to-noise ratio improved by 8 dB and the structure similarity index increased by 0.15. This outperformed the original DnCNN and the state-of-the-art nonlocal-mean-type denoising scheme. Emphysema mask was also investigated, where lung voxels of abnormally low attenuation coefficient were marked as potential emphysema. Emphysema mask generated after DnCNN-CT denoising on 3%-dose image was demonstrated to agree well with that from the full-dose reference. Despite over-smoothing in DnCNN denoising, which contributed to slight underestimation of emphysema score compared to the reference, such minor overcorrection did not affect clinical conclusions. The proposed method provided effective detection for cases with appreciable emphysema while serving as a reasonable correction for normal cases without emphysema. CONCLUSIONS: This work provides a tailored DnCNN for (ultra-)low-dose CT denoising, and demonstrates significant improvement on both the image quality and the clinical emphysema quantification accuracy over various dose levels. The clinical conclusion of emphysema obtained from the denoised low-dose images agrees well with that from the full-dose ones.</t>
  </si>
  <si>
    <t>Incorporating imaging information from deep neural network layers into image guided radiation therapy (IGRT)</t>
  </si>
  <si>
    <t>BACKGROUND AND PURPOSE: To investigate a novel markerless prostate localization strategy using a pre-trained deep learning model to interpret routine projection kilovoltage (kV) X-ray images in image-guided radiation therapy (IGRT). MATERIALS AND METHODS: We developed a personalized region-based convolutional neural network to localize the prostate treatment target without implanted fiducials. To train the deep neural network (DNN), we used the patient's planning computed tomography (pCT) images with pre-delineated prostate target to generate a large amount of synthetic kV projection X-ray images in the geometry of onboard imager (OBI) system. The DNN model was evaluated by retrospectively studying 10 patients who underwent prostate IGRT. Three out of the ten patients who had implanted fiducials and the fiducials' positions in the OBI images acquired for treatment setup were examined to show the potential of the proposed method for prostate IGRT. Statistical analysis using Lin's concordance correlation coefficient was calculated to assess the results along with the difference between the digitally reconstructed radiographs (DRR) derived and DNN predicted locations of the prostate. RESULTS: Differences between the predicted target positions using DNN and their actual positions are (mean ± standard deviation) 1.58 ± 0.43 mm, 1.64 ± 0.43 mm, and 1.67 ± 0.36 mm in anterior-posterior, lateral, and oblique directions, respectively. Prostate position identified on the OBI kV images is also found to be consistent with that derived from the implanted fiducials. CONCLUSIONS: Highly accurate, markerless prostate localization based on deep learning is achievable. The proposed method is useful for daily patient positioning and real-time target tracking during prostate radiotherapy.</t>
  </si>
  <si>
    <t>Markerless Pancreatic Tumor Target Localization Enabled By Deep Learning</t>
  </si>
  <si>
    <t>PURPOSE: Deep learning is an emerging technique that allows us to capture imaging information beyond the visually recognizable level of a human being. Because of the anatomic characteristics and location, on-board target verification for radiation delivery to pancreatic tumors is a challenging task. Our goal was to use a deep neural network to localize the pancreatic tumor target on kV x-ray images acquired using an on-board imager for image guided radiation therapy. METHODS AND MATERIALS: The network is set up in such a way that the input is either a digitally reconstructed radiograph image or a monoscopic x-ray projection image acquired by the on-board imager from a given direction, and the output is the location of the planning target volume in the projection image. To produce a sufficient number of training x-ray images reflecting the vast number of possible clinical scenarios of anatomy distribution, a series of changes were introduced to the planning computed tomography images, including deformation, rotation, and translation, to simulate inter- and intrafractional variations. After model training, the accuracy of the model was evaluated by retrospectively studying patients who underwent pancreatic cancer radiation therapy. Statistical analysis using mean absolute differences (MADs) and Lin's concordance correlation coefficient were used to assess the accuracy of the predicted target positions. RESULTS: MADs between the model-predicted and the actual positions were found to be less than 2.60 mm in anteroposterior, lateral, and oblique directions for both axes in the detector plane. For comparison studies with and without fiducials, MADs are less than 2.49 mm. For all cases, Lin's concordance correlation coefficients between the predicted and actual positions were found to be better than 93%, demonstrating the success of the proposed deep learning for image guided radiation therapy. CONCLUSIONS: We demonstrated that markerless pancreatic tumor target localization is achievable with high accuracy by using a deep learning technique approach.</t>
  </si>
  <si>
    <t>Toward automatic prediction of EGFR mutation status in pulmonary adenocarcinoma with 3D deep learning</t>
  </si>
  <si>
    <t>To develop a deep learning system based on 3D convolutional neural networks (CNNs), and to automatically predict EGFR-mutant pulmonary adenocarcinoma in CT images. A dataset of 579 nodules with EGFR mutation status labels of mutant (Mut) or wild-type (WT) was retrospectively analyzed. A deep learning system, namely 3D DenseNets, was developed to process 3D patches of nodules from CT data, and learn strong representations with supervised end-to-end training. The 3D DenseNets were trained with a training subset of 348 nodules and tuned with a development subset of 116 nodules. A strong data augmentation technique, mixup, was used for better generalization. We evaluated our model on a holdout subset of 115 nodules. An independent public dataset of 37 nodules from the cancer imaging archive (TCIA) was also used to test the generalization of our method. Conventional radiomics analysis was also performed for comparison. Our method achieved promising performance on predicting EGFR mutation status, with AUCs of 75.8% and 75.0% for our holdout test set and public test set, respectively. Moreover, strong relations were found between deep learning feature and conventional radiomics, while deep learning worked through an enhanced radiomics manner, that is, deep learned radiomics (DLR), in terms of robustness, compactness and expressiveness. The proposed deep learning system predicts EGFR-mutant of lung adenocarcinomas in CT images noninvasively and automatically, indicating its potential to help clinical decision-making by identifying eligible patients of pulmonary adenocarcinoma for EGFR-targeted therapy.</t>
  </si>
  <si>
    <t>Cancer Med</t>
  </si>
  <si>
    <t>3D Deep Learning from CT Scans Predicts Tumor Invasiveness of Subcentimeter Pulmonary Adenocarcinomas</t>
  </si>
  <si>
    <t>: Identification of early-stage pulmonary adenocarcinomas before surgery, especially in cases of subcentimeter cancers, would be clinically important and could provide guidance to clinical decision making. In this study, we developed a deep learning system based on 3D convolutional neural networks and multitask learning, which automatically predicts tumor invasiveness, together with 3D nodule segmentation masks. The system processes a 3D nodule-centered patch of preprocessed CT and learns a deep representation of a given nodule without the need for any additional information. A dataset of 651 nodules with manually segmented voxel-wise masks and pathological labels of atypical adenomatous hyperplasia (AAH), adenocarcinomas in situ (AIS), minimally invasive adenocarcinoma (MIA), and invasive pulmonary adenocarcinoma (IA) was used in this study. We trained and validated our deep learning system on 523 nodules and tested its performance on 128 nodules. An observer study with 2 groups of radiologists, 2 senior and 2 junior, was also investigated. We merged AAH and AIS into one single category AAH-AIS, comprising a 3-category classification in our study. The proposed deep learning system achieved better classification performance than the radiologists; in terms of 3-class weighted average F1 score, the model achieved 63.3% while the radiologists achieved 55.6%, 56.6%, 54.3%, and 51.0%, respectively. These results suggest that deep learning methods improve the yield of discriminative results and hold promise in the CADx application domain, which could help doctors work efficiently and facilitate the application of precision medicine. SIGNIFICANCE: Machine learning tools are beginning to be implemented for clinical applications. This study represents an important milestone for this emerging technology, which could improve therapy selection for patients with lung cancer.</t>
  </si>
  <si>
    <t>W. Zhao, J. Yang, Y. Sun, C. Li, W. Wu, L. Jin, Z. Yang, B. Ni, P. Gao, P. Wang, Y. Hua and M. Li</t>
  </si>
  <si>
    <t>Convolution kernel and iterative reconstruction affect the diagnostic performance of radiomics and deep learning in lung adenocarcinoma pathological subtypes</t>
  </si>
  <si>
    <t>BACKGROUND: The aim of this study was to investigate the influence of convolution kernel and iterative reconstruction on the diagnostic performance of radiomics and deep learning (DL) in lung adenocarcinomas. METHODS: A total of 183 patients with 215 lung adenocarcinomas were included in this study. All CT imaging data was reconstructed with three reconstruction algorithms (ASiR at 0%, 30%, 60% strength), each with two convolution kernels (bone and standard). A total of 171 nodules were selected as the training-validation set, whereas 44 nodules were selected as the testing set. Logistic regression and a DL framework-DenseNets were selected to tackle the task. Three logical experiments were implemented to fully explore the influence of the studied parameters on the diagnostic performance. The receiver operating characteristic curve (ROC) was used to evaluate the performance of constructed models. RESULTS: In Experiments A and B, no statistically significant results were found in the radiomic method, whereas two and six pairs were statistically significant (P &lt; 0.05) in the DL method. In Experiment_C, significant differences in one and four models were found in the radiomics and DL methods, respectively. Moreover, models constructed with standard convolution kernel data outperformed that constructed with bone convolution kernel data in all studied ASiR levels in the DL method. In the DL method, B0 and S60 performed best in bone and standard convolution kernel, respectively. CONCLUSION: The results demonstrated that DL was more susceptible to CT parameter variability than radiomics. Standard convolution kernel images seem to be more appropriate for imaging analysis. Further investigation with a larger sample size is needed.</t>
  </si>
  <si>
    <t>Tumor co-segmentation in PET/CT using multi-modality fully convolutional neural network</t>
  </si>
  <si>
    <t>Automatic tumor segmentation from medical images is an important step for computer-aided cancer diagnosis and treatment. Recently, deep learning has been successfully applied to this task, leading to state-of-the-art performance. However, most of existing deep learning segmentation methods only work for a single imaging modality. PET/CT scanner is nowadays widely used in the clinic, and is able to provide both metabolic information and anatomical information through integrating PET and CT into the same utility. In this study, we proposed a novel multi-modality segmentation method based on a 3D fully convolutional neural network (FCN), which is capable of taking account of both PET and CT information simultaneously for tumor segmentation. The network started with a multi-task training module, in which two parallel sub-segmentation architectures constructed using deep convolutional neural networks (CNNs) were designed to automatically extract feature maps from PET and CT respectively. A feature fusion module was subsequently designed based on cascaded convolutional blocks, which re-extracted features from PET/CT feature maps using a weighted cross entropy minimization strategy. The tumor mask was obtained as the output at the end of the network using a softmax function. The effectiveness of the proposed method was validated on a clinic PET/CT dataset of 84 patients with lung cancer. The results demonstrated that the proposed network was effective, fast and robust and achieved significantly performance gain over CNN-based methods and traditional methods using PET or CT only, two V-net based co-segmentation methods, two variational co-segmentation methods based on fuzzy set theory and a deep learning co-segmentation method using W-net.</t>
  </si>
  <si>
    <t>X. Zhao, L. Li, W. Lu and S. Tan</t>
  </si>
  <si>
    <t>Agile convolutional neural network for pulmonary nodule classification using CT images</t>
  </si>
  <si>
    <t>OBJECTIVE: To distinguish benign from malignant pulmonary nodules using CT images is critical for their precise diagnosis and treatment. A new Agile convolutional neural network (CNN) framework is proposed to conquer the challenges of a small-scale medical image database and the small size of the nodules, and it improves the performance of pulmonary nodule classification using CT images. METHODS: A hybrid CNN of LeNet and AlexNet is constructed through combining the layer settings of LeNet and the parameter settings of AlexNet. A dataset with 743 CT image nodule samples is built up based on the 1018 CT scans of LIDC to train and evaluate the Agile CNN model. Through adjusting the parameters of the kernel size, learning rate, and other factors, the effect of these parameters on the performance of the CNN model is investigated, and an optimized setting of the CNN is obtained finally. RESULTS: After finely optimizing the settings of the CNN, the estimation accuracy and the area under the curve can reach 0.822 and 0.877, respectively. The accuracy of the CNN is significantly dependent on the kernel size, learning rate, training batch size, dropout, and weight initializations. The best performance is achieved when the kernel size is set to [Formula: see text], the learning rate is 0.005, the batch size is 32, and dropout and Gaussian initialization are used. CONCLUSIONS: This competitive performance demonstrates that our proposed CNN framework and the optimization strategy of the CNN parameters are suitable for pulmonary nodule classification characterized by small medical datasets and small targets. The classification model might help diagnose and treat pulmonary nodules effectively.</t>
  </si>
  <si>
    <t>X. Zhao, L. Liu, S. Qi, Y. Teng, J. Li and W. Qian</t>
  </si>
  <si>
    <t>Deep CNN models for pulmonary nodule classification: Model modification, model integration, and transfer learning</t>
  </si>
  <si>
    <t>BACKGROUND: Deep learning has made spectacular achievements in analysing natural images, but it faces challenges for medical applications partly due to inadequate images. OBJECTIVE: Aiming to classify malignant and benign pulmonary nodules using CT images, we explore different strategies to utilize the state-of-the-art deep convolutional neural networks (CNN). METHODS: Experiments are conducted using the Lung Image Database Consortium image collection (LIDC-IDRI), which is a public database containing 1018 cases. Three strategies are implemented including to 1) modify some state-of-the-art CNN architectures, 2) integrate different CNNs and 3) adopt transfer learning. Totally, 11 deep CNN models are compared using the same dataset. RESULTS: Study demonstrates that, for the model modification scheme, a concise CifarNet performs better than the other modified CNNs with more complex architectures, achieving an area under ROC curve of AUC = 0.90. Integrated CNN models do not significantly improve the classification performance, but the model complexity is reduced. Transfer learning outperforms the other two schemes and ResNet with fine-tuning leads to the best performance with an AUC = 0.94, as well as the sensitivity of 91% and an overall accuracy of 88%. CONCLUSIONS: Model modification, model integration, and transfer learning can play important roles to identify and generate optimal deep CNN models in classifying pulmonary nodules based on CT images efficiently. Transfer learning is preferred when applying deep learning to medical imaging applications.</t>
  </si>
  <si>
    <t>X. Zhao, S. Qi, B. Zhang, H. Ma, W. Qian, Y. Yao and J. Sun</t>
  </si>
  <si>
    <t>Channel Splitting Network for Single MR Image Super-Resolution</t>
  </si>
  <si>
    <t>High resolution magnetic resonance (MR) imaging is desirable in many clinical applications due to its contribution to more accurate subsequent analyses and early clinical diagnoses. Single image super-resolution (SISR) is an effective and cost efficient alternative technique to improve the spatial resolution of MR images. In the past few years, SISR methods based on deep learning techniques, especially convolutional neural networks (CNNs), have achieved the state-of-the-art performance on natural images. However, the information is gradually weakened and training becomes increasingly difficult as the network deepens. The problem is more serious for medical images because lacking high quality and effective training samples makes deep models prone to underfitting or overfitting. Nevertheless, many current models treat the hierarchical features on different channels equivalently, which is not helpful for the models to deal with the hierarchical features discriminatively and targetedly. To this end, we present a novel channel splitting network (CSN) to ease the representational burden of deep models. The proposed CSN model divides the hierarchical features into two branches, i.e., residual branch and dense branch, with different information transmissions. The residual branch is able to promote feature reuse, while the dense branch is beneficial to the exploration of new features. Besides, we also adopt the merge-and-run mapping to facilitate information integration between different branches. The extensive experiments on various MR images, including proton density (PD), T1, and T2 images, show that the proposed CSN model achieves superior performance over other state-of-the-art SISR methods.</t>
  </si>
  <si>
    <t>A 3D Deep Residual Convolutional Neural Network for Differential Diagnosis of Parkinsonian Syndromes on (18)F-FDG PET Images</t>
  </si>
  <si>
    <t>Idiopathic Parkinsons disease and atypical parkinsonian syndromes have similar symptoms at early disease stages, which makes the early differential diagnosis difficult. Positron emission tomography with (18)F-FDG shows the ability to assess early neuronal dysfunction of neurodegenerative diseases and is well established for clinical use. In the past decades, machine learning methods have been widely used for the differential diagnosis of parkinsonism based on metabolic patterns. Unlike these conventional machine learning methods relying on hand-crafted features, the deep convolutional neural networks, which have achieved significant success in medical applications recently, have the advantage of learning salient feature representations automatically and effectively. This advantage may offer more appropriate invisible features extracted from data for the enhancement of the diagnosis accuracy. Therefore, this paper develops a 3D deep convolutional neural network on (18)F-FDG PET images for the automated early diagnosis. Furthermore, we depicted in saliency maps the decision mechanism of the deep learning method to assist the physiological interpretation of deep learning performance. The proposed method was evaluated on a dataset with 920 patients. In addition to improving the accuracy in the differential diagnosis of parkinsonism compared to state-of-the-art approaches, the deep learning methods also discovered saliency features in a number of critical regions (e.g., midbrain), which are widely accepted as characteristic pathological regions for movement disorders but were ignored in the conventional analysis of FDG PET images.</t>
  </si>
  <si>
    <t>Deep learning model for ultrafast multifrequency optical property extractions for spatial frequency domain imaging</t>
  </si>
  <si>
    <t>Spatial frequency domain imaging (SFDI) is emerging as an important new method in biomedical imaging due to its ability to provide label-free, wide-field tissue optical property maps. Most prior SFDI studies have utilized two spatial frequencies (2-f(x)) for optical property extractions. The use of more than two frequencies (multi-f(x)) can vastly improve the accuracy and reduce uncertainties in optical property estimates for some tissue types, but it has been limited in practice due to the slow speed of available inversion algorithms. We present a deep learning solution that eliminates this bottleneck by solving the multi-f(x) inverse problem 300× to 100,000× faster, with equivalent or improved accuracy compared to competing methods. The proposed deep learning inverse model will help to enable real-time and highly accurate tissue measurements with SFDI.</t>
  </si>
  <si>
    <t>Y. Zhao, Y. Deng, F. Bao, H. Peterson, R. Istfan and D. Roblyer</t>
  </si>
  <si>
    <t>Opt Lett</t>
  </si>
  <si>
    <t>Constructing fine-granularity functional brain network atlases via deep convolutional autoencoder</t>
  </si>
  <si>
    <t>State-of-the-art functional brain network reconstruction methods such as independent component analysis (ICA) or sparse coding of whole-brain fMRI data can effectively infer many thousands of volumetric brain network maps from a large number of human brains. However, due to the variability of individual brain networks and the large scale of such networks needed for statistically meaningful group-level analysis, it is still a challenging and open problem to derive group-wise common networks as network atlases. Inspired by the superior spatial pattern description ability of the deep convolutional neural networks (CNNs), a novel deep 3D convolutional autoencoder (CAE) network is designed here to extract spatial brain network features effectively, based on which an Apache Spark enabled computational framework is developed for fast clustering of larger number of network maps into fine-granularity atlases. To evaluate this framework, 10 resting state networks (RSNs) were manually labeled from the sparsely decomposed networks of Human Connectome Project (HCP) fMRI data and 5275 network training samples were obtained, in total. Then the deep CAE models are trained by these functional networks' spatial maps, and the learned features are used to refine the original 10 RSNs into 17 network atlases that possess fine-granularity functional network patterns. Interestingly, it turned out that some manually mislabeled outliers in training networks can be corrected by the deep CAE derived features. More importantly, fine granularities of networks can be identified and they reveal unique network patterns specific to different brain task states. By further applying this method to a dataset of mild traumatic brain injury study, it shows that the technique can effectively identify abnormal small networks in brain injury patients in comparison with controls. In general, our work presents a promising deep learning and big data analysis solution for modeling functional connectomes, with fine granularities, based on fMRI data.</t>
  </si>
  <si>
    <t>Y. Zhao, Q. Dong, H. Chen, A. Iraji, Y. Li, M. Makkie, Z. Kou and T. Liu</t>
  </si>
  <si>
    <t>Automatic Recognition of fMRI-Derived Functional Networks Using 3-D Convolutional Neural Networks</t>
  </si>
  <si>
    <t>Current functional magnetic resonance imaging (fMRI) data modeling techniques, such as independent component analysis and sparse coding methods, can effectively reconstruct dozens or hundreds of concurrent interacting functional brain networks simultaneously from the whole brain fMRI signals. However, such reconstructed networks have no correspondences across different subjects. Thus, automatic, effective, and accurate classification and recognition of these large numbers of fMRI-derived functional brain networks are very important for subsequent steps of functional brain analysis in cognitive and clinical neuroscience applications. However, this task is still a challenging and open problem due to the tremendous variability of various types of functional brain networks and the presence of various sources of noises. In recognition of the fact that convolutional neural networks (CNN) has superior capability of representing spatial patterns with huge variability and dealing with large noises, in this paper, we design, apply, and evaluate a deep 3-D CNN framework for automatic, effective, and accurate classification and recognition of large number of functional brain networks reconstructed by sparse representation of whole-brain fMRI signals. Our extensive experimental results based on the Human Connectome Project fMRI data showed that the proposed deep 3-D CNN can effectively and robustly perform functional networks classification and recognition tasks, while maintaining a high tolerance for mistakenly labeled training instances. This study provides a new deep learning approach for modeling functional connectomes based on fMRI data.</t>
  </si>
  <si>
    <t>Y. Zhao, Q. Dong, S. Zhang, W. Zhang, H. Chen, X. Jiang, L. Guo, X. Hu, J. Han and T. Liu</t>
  </si>
  <si>
    <t>Deep Neural Network for Automatic Characterization of Lesions on 68Ga-PSMA PET/CT Images</t>
  </si>
  <si>
    <t>The emerging PSMA-targeted radionuclide therapy provides an effective method for the treatment of advanced metastatic prostate cancer. To optimize the therapeutic effect and maximize the theranostic benefit, there is a need to identify and quantify target lesions prior to treatment. However, this is extremely challenging considering that a high number of lesions of heterogeneous size and uptake may distribute in a variety of anatomical context with different backgrounds. This study proposes an end-to-end deep neural network to characterize the prostate cancer lesions on PSMA imaging automatically. A (68)Ga-PSMA-11 PET/CT image dataset including 71 patients with metastatic prostate cancer was collected from three medical centres for training and evaluating the proposed network. For proof-of-concept, we focus on the detection of bone and lymph node lesions in the pelvic area suggestive for metastases of prostate cancer. The preliminary test on pelvic area confirms the potential of deep learning methods. Increasing the amount of training data may further enhance the performance of the proposed deep learning method.</t>
  </si>
  <si>
    <t>Automatic recognition of holistic functional brain networks using iteratively optimized convolutional neural networks (IO-CNN) with weak label initialization</t>
  </si>
  <si>
    <t>fMRI data decomposition techniques have advanced significantly from shallow models such as Independent Component Analysis (ICA) and Sparse Coding and Dictionary Learning (SCDL) to deep learning models such Deep Belief Networks (DBN) and Convolutional Autoencoder (DCAE). However, interpretations of those decomposed networks are still open questions due to the lack of functional brain atlases, no correspondence across decomposed or reconstructed networks across different subjects, and significant individual variabilities. Recent studies showed that deep learning, especially deep convolutional neural networks (CNN), has extraordinary ability of accommodating spatial object patterns, e.g., our recent works using 3D CNN for fMRI-derived network classifications achieved high accuracy with a remarkable tolerance for mistakenly labelled training brain networks. However, the training data preparation is one of the biggest obstacles in these supervised deep learning models for functional brain network map recognitions, since manual labelling requires tedious and time-consuming labours which will sometimes even introduce label mistakes. Especially for mapping functional networks in large scale datasets such as hundreds of thousands of brain networks used in this paper, the manual labelling method will become almost infeasible. In response, in this work, we tackled both the network recognition and training data labelling tasks by proposing a new iteratively optimized deep learning CNN (IO-CNN) framework with an automatic weak label initialization, which enables the functional brain networks recognition task to a fully automatic large-scale classification procedure. Our extensive experiments based on ABIDE-II 1099 brains' fMRI data showed the great promise of our IO-CNN framework.</t>
  </si>
  <si>
    <t>Y. Zhao, F. Ge and T. Liu</t>
  </si>
  <si>
    <t>Knowledge-Aided Convolutional Neural Network for Small Organ Segmentation</t>
  </si>
  <si>
    <t>Accurate and automatic organ segmentation is critical for computer-aided analysis towards clinical decision support and treatment planning. State-of-the-art approaches have achieved remarkable segmentation accuracy on large organs, such as the liver and kidneys. However, most of these methods do not perform well on small organs, such as the pancreas, gallbladder, and adrenal glands, especially when lacking sufficient training data. This paper presents an automatic approach for small organ segmentation with limited training data using two cascaded steps-localization and segmentation. The localization stage involves the extraction of the region of interest after the registration of images to a common template and during the segmentation stage, a voxel-wise label map of the extracted region of interest is obtained and then transformed back to the original space. In the localization step, we propose to utilize a graph-based groupwise image registration method to build the template for registration so as to minimize the potential bias and avoid getting a fuzzy template. More importantly, a novel knowledge-aided convolutional neural network is proposed to improve segmentation accuracy in the second stage. This proposed network is flexible and can combine the effort of both deep learning and traditional methods, consequently achieving better segmentation relative to either of individual methods. The ISBI 2015 VISCERAL challenge dataset is used to evaluate the presented approach. Experimental results demonstrate that the proposed method outperforms cutting-edge deep learning approaches, traditional forest-based approaches, and multi-atlas approaches in the segmentation of small organs.</t>
  </si>
  <si>
    <t>Real-time surgical instrument detection in robot-assisted surgery using a convolutional neural network cascade</t>
  </si>
  <si>
    <t>Tracking-by-detection of surgical instruments in minimally invasive surgery via the convolutional neural network deep learning-based method</t>
  </si>
  <si>
    <t>BACKGROUND: Worldwide propagation of minimally invasive surgeries (MIS) is hindered by their drawback of indirect observation and manipulation, while monitoring of surgical instruments moving in the operated body required by surgeons is a challenging problem. Tracking of surgical instruments by vision-based methods is quite lucrative, due to its flexible implementation via software-based control with no need to modify instruments or surgical workflow. METHODS: A MIS instrument is conventionally split into a shaft and end-effector portions, while a 2D/3D tracking-by-detection framework is proposed, which performs the shaft tracking followed by the end-effector one. The former portion is described by line features via the RANSAC scheme, while the latter is depicted by special image features based on deep learning through a well-trained convolutional neural network. RESULTS: The method verification in 2D and 3D formulation is performed through the experiments on ex-vivo video sequences, while qualitative validation on in-vivo video sequences is obtained. CONCLUSION: The proposed method provides robust and accurate tracking, which is confirmed by the experimental results: its 3D performance in ex-vivo video sequences exceeds those of the available state-of -the-art methods. Moreover, the experiments on in-vivo sequences demonstrate that the proposed method can tackle the difficult condition of tracking with unknown camera parameters. Further refinements of the method will refer to the occlusion and multi-instrumental MIS applications.</t>
  </si>
  <si>
    <t>Z. Zhao, S. Voros, Y. Weng, F. Chang and R. Li</t>
  </si>
  <si>
    <t>Fetal facial standard plane recognition via very deep convolutional networks</t>
  </si>
  <si>
    <t>The accurate recognition of fetal facial standard plane (FFSP) (i.e., axial, coronal and sagittal plane) from ultrasound (US) images is quite essential for routine US examination. Since the labor-intensive and subjective measurement is too time-consuming and unreliable, the development of the automatic FFSP recognition method is highly desirable. Different from the previous methods, we leverage a general framework to recognize the FFSP from US images automatically. Specifically, instead of using the previous hand-crafted visual features, we utilize the recent developed deep learning approach via very deep convolutional networks (DCNN) architecture to represent fine-grained details of US image. Also, very small (3×3) convolution filters are adopted to improve the performance. The evaluation of our FFSP dataset shows the superiority of our method over the previous studies and achieves the state-of-the-art FFSP recognition results.</t>
  </si>
  <si>
    <t>Detecting glaucoma based on spectral domain optical coherence tomography imaging of peripapillary retinal nerve fiber layer: a comparison study between hand-crafted features and deep learning model</t>
  </si>
  <si>
    <t>PURPOSE: To develop a deep learning (DL) model for automated detection of glaucoma and to compare diagnostic capability against hand-craft features (HCFs) based on spectral domain optical coherence tomography (SD-OCT) peripapillary retinal nerve fiber layer (pRNFL) images. METHODS: A DL model with pre-trained convolutional neural network (CNN) based was trained using a retrospective training set of 1501 pRNFL OCT images, which included 690 images from 153 glaucoma patients and 811 images from 394 normal subjects. The DL model was further tested in an independent test set of 50 images from 50 glaucoma patients and 52 images from 52 normal subjects. A customized software was used to extract and measure HCFs including pRNFL thickness in average and four different sectors. Area under the receiver operator characteristics (AROC) curves was calculated to compare the diagnostic capability between DL model and hand-crafted pRNFL parameters. RESULTS: In this study, the DL model achieved an AROC of 0.99 [CI: 0.97 to 1.00] which was significantly larger than the AROC values of all other HCFs (AROCs 0.661 with 95% CI 0.549 to 0.772 for temporal sector, AROCs 0.696 with 95% CI 0.549 to 0.799 for nasal sector, AROCs 0.913 with 95% CI 0.855 to 0.970 for superior sector, AROCs 0.938 with 95% CI 0.894 to 0.982 for inferior sector, and AROCs 0.895 with 95% CI 0.832 to 0.957 for average). CONCLUSION: Our study demonstrated that DL models based on pre-trained CNN are capable of identifying glaucoma with high sensitivity and specificity based on SD-OCT pRNFL images.</t>
  </si>
  <si>
    <t>Assessment of Generative Adversarial Networks Model for Synthetic Optical Coherence Tomography Images of Retinal Disorders</t>
  </si>
  <si>
    <t>PURPOSE: To assess whether a generative adversarial network (GAN) could synthesize realistic optical coherence tomography (OCT) images that satisfactorily serve as the educational images for retinal specialists, and the training datasets for the classification of various retinal disorders using deep learning (DL). METHODS: The GANs architecture was adopted to synthesize high-resolution OCT images trained on a publicly available OCT dataset, including urgent referrals (37,206 OCT images from eyes with choroidal neovascularization, and 11,349 OCT images from eyes with diabetic macular edema) and nonurgent referrals (8617 OCT images from eyes with drusen, and 51,140 OCT images from normal eyes). Four hundred real and synthetic OCT images were evaluated by two retinal specialists (with over 10 years of clinical retinal experience) to assess image quality. We further trained two DL models on either real or synthetic datasets and compared the performance of urgent versus nonurgent referrals diagnosis tested on a local (1000 images from the public dataset) and clinical validation dataset (278 images from Shanghai Shibei Hospital). RESULTS: The image quality of real versus synthetic OCT images was similar as assessed by two retinal specialists. The accuracy of discrimination of real versus synthetic OCT images was 59.50% for retinal specialist 1 and 53.67% for retinal specialist 2. For the local dataset, the DL model trained on real (DL_Model_R) and synthetic OCT images (DL_Model_S) had an area under the curve (AUC) of 0.99, and 0.98, respectively. For the clinical dataset, the AUC was 0.94 for DL_Model_R and 0.90 for DL_Model_S. CONCLUSIONS: The GAN synthetic OCT images can be used by clinicians for educational purposes and for developing DL algorithms. TRANSLATIONAL RELEVANCE: The medical image synthesis based on GANs is promising in humans and machines to fulfill clinical tasks.</t>
  </si>
  <si>
    <t>Deep pancreas segmentation with uncertain regions of shadowed sets</t>
  </si>
  <si>
    <t>Pancreas segmentation is a challenging task in medical image analysis especially for the patients with pancreatic cancer. First, the images often have poor contrast and blurred boundaries. Second, there exist large variations in gray scale, texture, location, shape and size among pancreas images. It becomes even worse with cases of pancreatic cancer. Besides, as an inevitable phenomenon, some of the slices have disconnected topology in pancreas part. All these problems lead to high segmentation uncertainties and make the results inaccurate. Existing pancreas segmentation methods rarely achieve sufficiently accurate and robust results especially for cancer cases. To tackle these problems, we propose a 2D deep learning-based method which can involve uncertainties in the process of segmentation iteratively. The proposed method describes the uncertain regions of pancreatic MRI images based on shadowed sets theory. The results are further corrected through increasing the weights of uncertain regions in iterative training. We evaluate our approach on a challenging pancreatic cancer MRI images dataset collected from the Changhai Hospital, and also validate our approach on the NIH pancreas segmentation dataset. The experimental results demonstrate that our proposed method outperforms the state-of-the-art methods in terms of the Dice similarity coefficient of 73.88% on cancer MRI dataset and 84.37% on NIH dataset respectively.</t>
  </si>
  <si>
    <t>PURPOSE: Volumetric pancreas segmentation can be used in the diagnosis of pancreatic diseases, the research about diabetes and surgical planning. Since manual delineation is time-consuming and laborious, we develop a deep learning-based framework for automatic pancreas segmentation in three dimensional (3D) medical images. METHODS: A two-stage framework is designed for automatic pancreas delineation. In the localization stage, a Square Root Dice loss is developed to handle the trade-off between sensitivity and specificity. In refinement stage, a novel 2.5D slice interaction network with slice correlation module is proposed to capture the non-local cross-slice information at multiple feature levels. Also a self-supervised learning-based pre-training method, slice shuffle, is designed to encourage the inter-slice communication. To further improve the accuracy and robustness, ensemble learning and a recurrent refinement process are adopted in the segmentation flow. RESULTS: The segmentation technique is validated in a public dataset (NIH Pancreas-CT) with 82 abdominal contrast-enhanced 3D CT scans. Fourfold cross-validation is performed to assess the capability and robustness of our method. The dice similarity coefficient, sensitivity, and specificity of our results are 86.21 ± 4.37%, 87.49 ± 6.38% and 85.11 ± 6.49% respectively, which is the state-of-the-art performance in this dataset. CONCLUSIONS: We proposed an automatic pancreas segmentation framework and validate in an open dataset. It is found that 2.5D network benefits from multi-level slice interaction and suitable self-supervised learning method for pre-training can boost the performance of neural network. This technique could provide new image findings for the routine diagnosis of pancreatic disease.</t>
  </si>
  <si>
    <t>An Annotation Sparsification Strategy for 3D Medical Image Segmentation via Representative Selection and Self-Training</t>
  </si>
  <si>
    <t>Image segmentation is critical to lots of medical applications. While deep learning (DL) methods continue to improve performance for many medical image segmentation tasks, data annotation is a big bottleneck to DL-based segmentation because (1) DL models tend to need a large amount of labeled data to train, and (2) it is highly time-consuming and label-intensive to voxel-wise label 3D medical images. Significantly reducing annotation effort while attaining good performance of DL segmentation models remains a major challenge. In our preliminary experiments, we observe that, using partially labeled datasets, there is indeed a large performance gap with respect to using fully annotated training datasets. In this paper, we propose a new DL framework for reducing annotation effort and bridging the gap between full annotation and sparse annotation in 3D medical image segmentation. We achieve this by (i) selecting representative slices in 3D images that minimize data redundancy and save annotation effort, and (ii) self-training with pseudo-labels automatically generated from the base-models trained using the selected annotated slices. Extensive experiments using two public datasets (the HVSMR 2016 Challenge dataset and mouse piriform cortex dataset) show that our framework yields competitive segmentation results comparing with state-of-the-art DL methods using less than ~ 20% of annotated data.</t>
  </si>
  <si>
    <t>Proc Conf AAAI Artif Intell</t>
  </si>
  <si>
    <t>Pairwise domain adaptation module for CNN-based 2-D/3-D registration</t>
  </si>
  <si>
    <t>Accurate two-dimensional to three-dimensional (2-D/3-D) registration of preoperative 3-D data and intraoperative 2-D x-ray images is a key enabler for image-guided therapy. Recent advances in 2-D/3-D registration formulate the problem as a learning-based approach and exploit the modeling power of convolutional neural networks (CNN) to significantly improve the accuracy and efficiency of 2-D/3-D registration. However, for surgery-related applications, collecting a large clinical dataset with accurate annotations for training can be very challenging or impractical. Therefore, deep learning-based 2-D/3-D registration methods are often trained with synthetically generated data, and a performance gap is often observed when testing the trained model on clinical data. We propose a pairwise domain adaptation (PDA) module to adapt the model trained on source domain (i.e., synthetic data) to target domain (i.e., clinical data) by learning domain invariant features with only a few paired real and synthetic data. The PDA module is designed to be flexible for different deep learning-based 2-D/3-D registration frameworks, and it can be plugged into any pretrained CNN model such as a simple Batch-Norm layer. The proposed PDA module has been quantitatively evaluated on two clinical applications using different frameworks of deep networks, demonstrating its significant advantages of generalizability and flexibility for 2-D/3-D medical image registration when a small number of paired real-synthetic data can be obtained.</t>
  </si>
  <si>
    <t>J. Zheng, S. Miao, Z. Jane Wang and R. Liao</t>
  </si>
  <si>
    <t>Explainable cardiac pathology classification on cine MRI with motion characterization by semi-supervised learning of apparent flow</t>
  </si>
  <si>
    <t>We propose a method to classify cardiac pathology based on a novel approach to extract image derived features to characterize the shape and motion of the heart. An original semi-supervised learning procedure, which makes efficient use of a large amount of non-segmented images and a small amount of images segmented manually by experts, is developed to generate pixel-wise apparent flow between two time points of a 2D+t cine MRI image sequence. Combining the apparent flow maps and cardiac segmentation masks, we obtain a local apparent flow corresponding to the 2D motion of myocardium and ventricular cavities. This leads to the generation of time series of the radius and thickness of myocardial segments to represent cardiac motion. These time series of motion features are reliable and explainable characteristics of pathological cardiac motion. Furthermore, they are combined with shape-related features to classify cardiac pathologies. Using only nine feature values as input, we propose an explainable, simple and flexible model for pathology classification. On ACDC training set and testing set, the model achieves 95% and 94% respectively as classification accuracy. Its performance is hence comparable to that of the state-of-the-art. Comparison with various other models is performed to outline some advantages of our model.</t>
  </si>
  <si>
    <t>3-D Consistent and Robust Segmentation of Cardiac Images by Deep Learning With Spatial Propagation</t>
  </si>
  <si>
    <t>We propose a method based on deep learning to perform cardiac segmentation on short axis Magnetic resonance imaging stacks iteratively from the top slice (around the base) to the bottom slice (around the apex). At each iteration, a novel variant of the U-net is applied to propagate the segmentation of a slice to the adjacent slice below it. In other words, the prediction of a segmentation of a slice is dependent upon the already existing segmentation of an adjacent slice. The 3-D consistency is hence explicitly enforced. The method is trained on a large database of 3078 cases from the U.K. Biobank. It is then tested on the 756 different cases from the U.K. Biobank and three other state-of-the-art cohorts (ACDC with 100 cases, Sunnybrook with 30 cases, and RVSC with 16 cases). Results comparable or even better than the state of the art in terms of distance measures are achieved. They also emphasize the assets of our method, namely, enhanced spatial consistency (currently neither considered nor achieved by the state of the art), and the generalization ability to unseen cases even from other databases.</t>
  </si>
  <si>
    <t>Q. Zheng, H. Delingette, N. Duchateau and N. Ayache</t>
  </si>
  <si>
    <t>Computer-aided diagnosis of congenital abnormalities of the kidney and urinary tract in children based on ultrasound imaging data by integrating texture image features and deep transfer learning image features</t>
  </si>
  <si>
    <t>INTRODUCTION: Anatomic characteristics of kidneys derived from ultrasound images are potential biomarkers of children with congenital abnormalities of the kidney and urinary tract (CAKUT), but current methods are limited by the lack of automated processes that accurately classify diseased and normal kidneys. OBJECTIVE: The objective of the study was to evaluate the diagnostic performance of deep transfer learning techniques to classify kidneys of normal children and those with CAKUT. STUDY DESIGN: A transfer learning method was developed to extract features of kidneys from ultrasound images obtained during routine clinical care of 50 children with CAKUT and 50 controls. To classify diseased and normal kidneys, support vector machine classifiers were built on the extracted features using (1) transfer learning imaging features from a pretrained deep learning model, (2) conventional imaging features, and (3) their combination. These classifiers were compared, and their diagnosis performance was measured using area under the receiver operating characteristic curve (AUC), accuracy, specificity, and sensitivity. RESULTS: The AUC for classifiers built on the combination features were 0.92, 0.88, and 0.92 for discriminating the left, right, and bilateral abnormal kidney scans from controls with classification rates of 84%, 81%, and 87%; specificity of 84%, 74%, and 88%; and sensitivity of 85%, 88%, and 86%, respectively. These classifiers performed better than classifiers built on either the transfer learning features or the conventional features alone (p &lt; 0.001). DISCUSSION: The present study validated transfer learning techniques for imaging feature extraction of ultrasound images to build classifiers for distinguishing children with CAKUT from controls. The experiments have demonstrated that the classifiers built on the transfer learning features and conventional image features could distinguish abnormal kidney images from controls with AUCs greater than 0.88, indicating that classification of ultrasound kidney scans has a great potential to aid kidney disease diagnosis. A limitation of the present study is the moderate number of patients that contributed data to the transfer learning approach. CONCLUSIONS: The combination of transfer learning and conventional imaging features yielded the best classification performance for distinguishing children with CAKUT from controls based on ultrasound images of kidneys.</t>
  </si>
  <si>
    <t>J Pediatr Urol</t>
  </si>
  <si>
    <t>Age estimation based on 3D pulp chamber segmentation of first molars from cone-beam-computed tomography by integrated deep learning and level set</t>
  </si>
  <si>
    <t>OBJECTIVES: To develop an automatic segmentation method to segment the pulp chamber of first molars from 3D cone-beam-computed tomography (CBCT) images, and to estimate ages by calculated pulp volumes. MATERIALS AND METHODS: Patients with CBCT scans were retrospectively identified. The age estimation was formulated as CBCT image segmentation using a coarse-to-fine strategy by integrated deep learning (DL) and level set (LS), followed by establishing a linear regression model. On the training data, DL model was trained for coarse segmentation. The validation set was to determine the optimal DL model, and a LS method established on it was to refine the coarse segmentation. On the testing data, the integrated DL and LS method was applied for pulp chamber segmentation, followed by volume calculation and age estimation. Statistical analysis was performed by Wilcoxon rank sum test to demonstrate gender difference in pulp chamber volume, and volume difference between maxillary and mandibular molars. Wilcoxon signed-rank test was adopted to compare true and estimated ages. RESULTS: A total of 180 CBCT studies were randomly divided into 37/10/133 patients for training, validation, and testing data, respectively. In the training and validation sets, the results showed high spatial overlaps between manual and automatic segmentation (dice = 87.8%). For the testing set, the estimated human ages were not significantly different with true human age (p = 0.57), with a correlation coefficient r = 0.74. CONCLUSIONS: An integrated DL and LS method was able to segment pulp chamber of first molars from 3D CBCT images, and the derived pulp chamber volumes could effectively estimate the human ages.</t>
  </si>
  <si>
    <t>Int J Legal Med</t>
  </si>
  <si>
    <t>Deep Learning Measurement of Leg Length Discrepancy in Children Based on Radiographs</t>
  </si>
  <si>
    <t>Background Radiographic measurement of leg length discrepancy (LLD) is time consuming yet cognitively simple for pediatric radiologists. Purpose To compare deep learning (DL) measurements of LLD in pediatric patients to measurements performed by radiologists. Materials and Methods For this HIPAA-compliant retrospective study, radiographs obtained to evaluate LLD in children between January and August 2018 were identified. LLD was automatically measured by means of image segmentation followed by leg length calculation. On training data, a DL model was trained to segment femurs and tibias on radiographs. The validation set was used to select the optimized model. On testing data, leg lengths were calculated from segmentation masks and compared with measurements from the radiology report. Statistical analysis was performed by using a paired Wilcoxon signed-rank test to compare DL calculations and radiology reports. In addition, the measurement time was manually assessed by a pediatric radiologist and automatically assessed by the DL model on a randomly chosen group of 26 cases; the values were compared with the paired Wilcoxon signed-rank test. Results Radiographs obtained to evaluate LLD in 179 children (mean age ± standard deviation, 12 years ± 3; age range, 5-19 years; 89 boys and 90 girls) were evaluated. Radiographs were randomly divided into training, validation, and testing sets and consisted of studies from 70, 32, and 77 patients, respectively. In the training and validation sets, the DL model showed a high spatial overlap between manual and automatic segmentation masks of pediatric legs (Dice similarity coefficient, 0.94). For the testing set, the correlation between radiology reports and DL-calculated lengths of separated femurs and tibias (r = 0.99; mean absolute error [MAE], 0.45 cm), full pediatric leg lengths (r = 0.99; MAE, 0.45 cm), and full LLD (r = 0.92; MAE, 0.51 cm) was high (P &lt; .001 for all correlations). Calculation time for the DL method per radiograph was faster than the mean time for radiologist manual calculation (1 second vs 96 seconds ± 7, respectively; P &lt; .001). Conclusion A deep learning algorithm measured pediatric leg lengths with high spatial overlap compared with manual measurement at a rate 96 times faster than that of subspecialty-trained pediatric radiologists. © RSNA, 2020 See also the editorial by van Rijn and De Luca in this issue.</t>
  </si>
  <si>
    <t>Artificial intelligence performance in detecting tumor metastasis from medical radiology imaging: A systematic review and meta-analysis</t>
  </si>
  <si>
    <t>BACKGROUND: Early diagnosis of tumor metastasis is crucial for clinical treatment. Artificial intelligence (AI) has shown great promise in the field of medicine. We therefore aimed to evaluate the diagnostic accuracy of AI algorithms in detecting tumor metastasis using medical radiology imaging. METHODS: We searched PubMed and Web of Science for studies published from January 1, 1997, to January 30, 2020. Studies evaluating an AI model for the diagnosis of tumor metastasis from medical images were included. We excluded studies that used histopathology images or medical wave-form data and those focused on the region segmentation of interest. Studies providing enough information to construct contingency tables were included in a meta-analysis. FINDINGS: We identified 2620 studies, of which 69 were included. Among them, 34 studies were included in a meta-analysis with a pooled sensitivity of 82% (95% CI 79-84%), specificity of 84% (82-87%) and AUC of 0·90 (0·87-0·92). Analysis for different AI algorithms showed a pooled sensitivity of 87% (83-90%) for machine learning and 86% (82-89%) for deep learning, and a pooled specificity of 89% (82-93%) for machine learning, and 87% (82-91%) for deep learning. INTERPRETATION: AI algorithms may be used for the diagnosis of tumor metastasis using medical radiology imaging with equivalent or even better performance to health-care professionals, in terms of sensitivity and specificity. At the same time, rigorous reporting standards with external validation and comparison to health-care professionals are urgently needed for AI application in the medical field. FUNDING: College students' innovative entrepreneurial training plan program .</t>
  </si>
  <si>
    <t>EClinicalMedicine</t>
  </si>
  <si>
    <t>Deep learning radiomics can predict axillary lymph node status in early-stage breast cancer</t>
  </si>
  <si>
    <t>Accurate identification of axillary lymph node (ALN) involvement in patients with early-stage breast cancer is important for determining appropriate axillary treatment options and therefore avoiding unnecessary axillary surgery and complications. Here, we report deep learning radiomics (DLR) of conventional ultrasound and shear wave elastography of breast cancer for predicting ALN status preoperatively in patients with early-stage breast cancer. Clinical parameter combined DLR yields the best diagnostic performance in predicting ALN status between disease-free axilla and any axillary metastasis with areas under the receiver operating characteristic curve (AUC) of 0.902 (95% confidence interval [CI]: 0.843, 0.961) in the test cohort. This clinical parameter combined DLR can also discriminate between low and heavy metastatic burden of axillary disease with AUC of 0.905 (95% CI: 0.814, 0.996) in the test cohort. Our study offers a noninvasive imaging biomarker to predict the metastatic extent of ALN for patients with early-stage breast cancer.</t>
  </si>
  <si>
    <t>Multi-Instance Deep Learning: Discover Discriminative Local Anatomies for Bodypart Recognition</t>
  </si>
  <si>
    <t>In general image recognition problems, discriminative information often lies in local image patches. For example, most human identity information exists in the image patches containing human faces. The same situation stays in medical images as well. Bodypart identity of a transversal slice-which bodypart the slice comes from-is often indicated by local image information, e.g., a cardiac slice and an aorta arch slice are only differentiated by the mediastinum region. In this work, we design a multi-stage deep learning framework for image classification and apply it on bodypart recognition. Specifically, the proposed framework aims at: 1) discover the local regions that are discriminative and non-informative to the image classification problem, and 2) learn a image-level classifier based on these local regions. We achieve these two tasks by the two stages of learning scheme, respectively. In the pre-train stage, a convolutional neural network (CNN) is learned in a multi-instance learning fashion to extract the most discriminative and and non-informative local patches from the training slices. In the boosting stage, the pre-learned CNN is further boosted by these local patches for image classification. The CNN learned by exploiting the discriminative local appearances becomes more accurate than those learned from global image context. The key hallmark of our method is that it automatically discovers the discriminative and non-informative local patches through multi-instance deep learning. Thus, no manual annotation is required. Our method is validated on a synthetic dataset and a large scale CT dataset. It achieves better performances than state-of-the-art approaches, including the standard deep CNN.</t>
  </si>
  <si>
    <t>Y. Zhennan, Z. Yiqiang, P. Zhigang, L. Shu, Y. Shinagawa, Z. Shaoting, D. N. Metaxas and Z. Xiang Sean</t>
  </si>
  <si>
    <t>Intelligent medical image feature extraction method based on improved deep learning</t>
  </si>
  <si>
    <t>BACKGROUND: Medical patients can be diagnosed early, however it is difficult to extract effective features in medical image segmentation based on semantic information. OBJECTIVE: A deep learning based image pixel block feature learning technology is studied in this paper. METHODS: The unlabeled image block sample training stack noise reduction automatic encoder is used to learn and extract the deep features of the image, and construct the initial depth neural network model. The labeled samples are used to fine-tune the initial depth neural network model, the deep features of the image correspond to the category, and the depth neural network model with classification function is obtained. The model is used to classify the pixel block samples in the segmented image and detect the initial segmentation region of brain tumor tissue. Finally, threshold segmentation and morphological methods are used to optimize the initial results to obtain accurate segmentation results of brain tumor tissue. RESULTS: The results show that this method can effectively improve the accuracy and sensitivity of segmentation. The running speed is also greatly improved compared with the traditional machine learning method.</t>
  </si>
  <si>
    <t>Deep transfer learning-based prostate cancer classification using 3 Tesla multi-parametric MRI</t>
  </si>
  <si>
    <t>PURPOSE: The purpose of the study was to propose a deep transfer learning (DTL)-based model to distinguish indolent from clinically significant prostate cancer (PCa) lesions and to compare the DTL-based model with a deep learning (DL) model without transfer learning and PIRADS v2 score on 3 Tesla multi-parametric MRI (3T mp-MRI) with whole-mount histopathology (WMHP) validation. METHODS: With IRB approval, 140 patients with 3T mp-MRI and WMHP comprised the study cohort. The DTL-based model was trained on 169 lesions in 110 arbitrarily selected patients and tested on the remaining 47 lesions in 30 patients. We compared the DTL-based model with the same DL model architecture trained from scratch and the classification based on PIRADS v2 score with a threshold of 4 using accuracy, sensitivity, specificity, and area under curve (AUC). Bootstrapping with 2000 resamples was performed to estimate the 95% confidence interval (CI) for AUC. RESULTS: After training on 169 lesions in 110 patients, the AUC of discriminating indolent from clinically significant PCa lesions of the DTL-based model, DL model without transfer learning and PIRADS v2 score ≥ 4 were 0.726 (CI [0.575, 0.876]), 0.687 (CI [0.532, 0.843]), and 0.711 (CI [0.575, 0.847]), respectively, in the testing set. The DTL-based model achieved higher AUC compared to the DL model without transfer learning and PIRADS v2 score ≥ 4 in discriminating clinically significant lesions in the testing set. CONCLUSION: The DeLong test indicated that the DTL-based model achieved comparable AUC compared to the classification based on PIRADS v2 score (p = 0.89).</t>
  </si>
  <si>
    <t>Technical Note: Deriving ventilation imaging from 4DCT by deep convolutional neural network</t>
  </si>
  <si>
    <t>PURPOSE: Ventilation images can be derived from four-dimensional computed tomography (4DCT) by analyzing the change in HU values and deformable vector fields between different respiration phases of computed tomography (CT). As deformable image registration (DIR) is involved, accuracy of 4DCT-derived ventilation image is sensitive to the choice of DIR algorithms. To overcome the uncertainty associated with DIR, we develop a method based on deep convolutional neural network (CNN) to derive ventilation images directly from the 4DCT without explicit image registration. METHODS: A total of 82 sets of 4DCT and ventilation images from patients with lung cancer were used in this study. In the proposed CNN architecture, the CT two-channel input data consist of CT at the end of exhale and the end of inhale phases. The first convolutional layer has 32 different kernels of size 5 × 5 × 5, followed by another eight convolutional layers each of which is equipped with an activation layer (ReLU). The loss function is the mean-squared-error (MSE) to measure the intensity difference between the predicted and reference ventilation images. RESULTS: The predicted images were comparable to the label images of the test data. The similarity index, correlation coefficient, and Gamma index passing rate averaged over the tenfold cross validation were 0.880 ± 0.035, 0.874 ± 0.024, and 0.806 ± 0.014, respectively. CONCLUSIONS: The results demonstrate that deep CNN can generate ventilation imaging from 4DCT without explicit deformable image registration, reducing the associated uncertainty.</t>
  </si>
  <si>
    <t>Y. Zhong, Y. Vinogradskiy, L. Chen, N. Myziuk, R. Castillo, E. Castillo, T. Guerrero, S. Jiang and J. Wang</t>
  </si>
  <si>
    <t>Simultaneous cosegmentation of tumors in PET-CT images using deep fully convolutional networks</t>
  </si>
  <si>
    <t>PURPOSE: To investigate the use and efficiency of 3-D deep learning, fully convolutional networks (DFCN) for simultaneous tumor cosegmentation on dual-modality nonsmall cell lung cancer (NSCLC) and positron emission tomography (PET)-computed tomography (CT) images. METHODS: We used DFCN cosegmentation for NSCLC tumors in PET-CT images, considering both the CT and PET information. The proposed DFCN-based cosegmentation method consists of two coupled three-dimensional (3D)-UNets with an encoder-decoder architecture, which can communicate with the other in order to share complementary information between PET and CT. The weighted average sensitivity and positive predictive values denoted as Scores, dice similarity coefficients (DSCs), and the average symmetric surface distances were used to assess the performance of the proposed approach on 60 pairs of PET/CTs. A Simultaneous Truth and Performance Level Estimation Algorithm (STAPLE) of 3 expert physicians' delineations were used as a reference. The proposed DFCN framework was compared to 3 graph-based cosegmentation methods. RESULTS: Strong agreement was observed when using the STAPLE references for the proposed DFCN cosegmentation on the PET-CT images. The average DSCs on CT and PET are 0.861 ± 0.037 and 0.828 ± 0.087, respectively, using DFCN, compared to 0.638 ± 0.165 and 0.643 ± 0.141, respectively, when using the graph-based cosegmentation method. The proposed DFCN cosegmentation using both PET and CT also outperforms the deep learning method using either PET or CT alone. CONCLUSIONS: The proposed DFCN cosegmentation is able to outperform existing graph-based segmentation methods. The proposed DFCN cosegmentation shows promise for further integration with quantitative multimodality imaging tools in clinical trials.</t>
  </si>
  <si>
    <t>Z. Zhong, Y. Kim, K. Plichta, B. G. Allen, L. Zhou, J. Buatti and X. Wu</t>
  </si>
  <si>
    <t>A Single-Shot Region-Adaptive Network for Myotendinous Junction Segmentation in Muscular Ultrasound Images</t>
  </si>
  <si>
    <t>Tracking the myotendinous junction (MTJ) in consecutive ultrasound images is crucial for understanding the mechanics and pathological conditions of the muscle-tendon unit. However, the lack of reliable and efficient identification of MTJ due to poor image quality and boundary ambiguity restricts its application in motion analysis. In recent years, with the rapid development of deep learning, the region-based convolution neural network (RCNN) has shown great potential in the field of simultaneous objection detection and instance segmentation in medical images. This article proposes a region-adaptive network (RAN) to localize MTJ region and to segment it in a single shot. Our model learns about the salient information of MTJ with the help of a composite architecture. Herein, a region-based multitask learning network explores the region containing MTJ, while a parallel end-to-end U-shaped path extracts the MTJ structure from the adaptively selected region for combating data imbalance and boundary ambiguity. By demonstrating the ultrasound images of the gastrocnemius, we showed that the RAN achieves superior segmentation performance when compared with the state-of-the-art Mask RCNN method with an average Dice score of 80.1%. Our proposed method is robust and reliable for advanced muscle and tendon function examinations obtained by ultrasound imaging.</t>
  </si>
  <si>
    <t>3D high resolution generative deep-learning network for fluorescence microscopy imaging</t>
  </si>
  <si>
    <t>Microscopic fluorescence imaging serves as a basic tool in many research areas including biology, medicine, and chemistry. With the help of optical clearing, large volume imaging of a mouse brain and even a whole body has been enabled. However, constrained by the physical principles of optical imaging, volume imaging has to balance imaging resolution and speed. Here, we develop a new, to the best of our knowledge, 3D deep learning network based on a dual generative adversarial network (dual-GAN) framework for recovering high-resolution (HR) volume images from high speed acquired low-resolution (LR) volume images. The proposed method does not require a precise image registration process and meanwhile guarantees the predicted HR volume image faithful to its corresponding LR volume image. The results demonstrated that our method can recover ${20} {\times} /1.0\text-{\rm NA}$20×/1.0-NA volume images from coarsely registered ${5} {\times} /0.16\text-{\rm NA}$5×/0.16-NA volume images collected by light-sheet microscopy. This method would provide great potential in applications which require high resolution volume imaging.</t>
  </si>
  <si>
    <t>Differential Diagnosis of Benign and Malignant Thyroid Nodules Using Deep Learning Radiomics of Thyroid Ultrasound Images</t>
  </si>
  <si>
    <t>PURPOSE: We aimed to propose a highly automatic and objective model named deep learning Radiomics of thyroid (DLRT) for the differential diagnosis of benign and malignant thyroid nodules from ultrasound (US) images. METHODS: We retrospectively enrolled and finally include US images and fine-needle aspiration biopsies from 1734 patients with 1750 thyroid nodules. A basic convolutional neural network (CNN) model, a transfer learning (TL) model, and a newly designed model named deep learning Radiomics of thyroid (DLRT) were used for the investigation. Their diagnostic accuracy was further compared with human observers (one senior and one junior US radiologist). Moreover, the robustness of DLRT over different US instruments was also validated. Analysis of receiver operating characteristic (ROC) curves were performed to calculate optimal area under it (AUC) for benign and malignant nodules. One observer helped to delineate the nodules. RESULTS: AUCs of DLRT were 0.96 (95% confidence interval [CI]: 0.94-0.98), 0.95 (95% confidence interval [CI]: 0.93-0.97) and 0.97 (95% confidence interval [CI]: 0.95-0.99) in the training, internal and external validation cohort, respectively, which were significantly better than other deep learning models (P &lt; 0.01) and human observers (P &lt; 0.001). No significant difference was found when applying DLRT on thyroid US images acquired from different US instruments. CONCLUSIONS: DLRT shows the best overall performance comparing with other deep learning models and human observers. It holds great promise for improving the differential diagnosis of benign and malignant thyroid nodules.</t>
  </si>
  <si>
    <t>Weakly supervised 3D deep learning for breast cancer classification and localization of the lesions in MR images</t>
  </si>
  <si>
    <t>BACKGROUND: The usefulness of 3D deep learning-based classification of breast cancer and malignancy localization from MRI has been reported. This work can potentially be very useful in the clinical domain and aid radiologists in breast cancer diagnosis. PURPOSE: To evaluate the efficacy of 3D deep convolutional neural network (CNN) for diagnosing breast cancer and localizing the lesions at dynamic contrast enhanced (DCE) MRI data in a weakly supervised manner. STUDY TYPE: Retrospective study. SUBJECTS: A total of 1537 female study cases (mean age 47.5 years ±11.8) were collected from March 2013 to December 2016. All the cases had labels of the pathology results as well as BI-RADS categories assessed by radiologists. FIELD STRENGTH/SEQUENCE: 1.5 T dynamic contrast-enhanced MRI. ASSESSMENT: Deep 3D densely connected networks were trained under image-level supervision to automatically classify the images and localize the lesions. The dataset was randomly divided into training (1073), validation (157), and testing (307) subsets. STATISTICAL TESTS: Accuracy, sensitivity, specificity, area under receiver operating characteristic curve (ROC), and the McNemar test for breast cancer classification. Dice similarity for breast cancer localization. RESULTS: The final algorithm performance for breast cancer diagnosis showed 83.7% (257 out of 307) accuracy (95% confidence interval [CI]: 79.1%, 87.4%), 90.8% (187 out of 206) sensitivity (95% CI: 80.6%, 94.1%), 69.3% (70 out of 101) specificity (95% CI: 59.7%, 77.5%), with the area under the curve ROC of 0.859. The weakly supervised cancer detection showed an overall Dice distance of 0.501 ± 0.274. DATA CONCLUSION: 3D CNNs demonstrated high accuracy for diagnosing breast cancer. The weakly supervised learning method showed promise for localizing lesions in volumetric radiology images with only image-level labels. LEVEL OF EVIDENCE: 4 Technical Efficacy: Stage 1 J. Magn. Reson. Imaging 2019;50:1144-1151.</t>
  </si>
  <si>
    <t>10.2147/cmar.S279990</t>
  </si>
  <si>
    <t>Progress of Artificial Intelligence in Gynecological Malignant Tumors</t>
  </si>
  <si>
    <t>Artificial intelligence (AI) is a sort of new technical science which can simulate, extend and expand human intelligence by developing theories, methods and application systems. In the last five years, the application of AI in medical research has become a hot topic in modern science and technology. Gynecological malignant tumors involves a wide range of knowledge, and AI can play an important part in these aspects, such as medical image recognition, auxiliary diagnosis, drug research and development, treatment scheme formulation and other fields. The purpose of this paper is to describe the progress of AI in gynecological malignant tumors and discuss some problems in its application. It is believed that AI improves the efficiency of diagnosis, reduces the burden of clinicians, and improves the effect of treatment and prognosis. AI will play an irreplaceable role in the field of gynecological malignant oncology and will promote the development of medicine and further promote the transformation from traditional medicine to precision medicine and preventive medicine. However, there are also some problems in the application of AI in gynecologic malignant tumors. For example, AI, inseparable from human participation, still needs to be more humanized, and needs to further protect patients' privacy and health, improve legal and insurance protection, and further improve according to local ethnic conditions and national conditions. However, it is believed that with the continuous development of AI, especially ensemble classifier, and deep learning will have a profound influence on the future of medical technology, which is a powerful driving force for future medical innovation and reform.</t>
  </si>
  <si>
    <t>Cancer Manag Res</t>
  </si>
  <si>
    <t>Image Classification Using Biomimetic Pattern Recognition with Convolutional Neural Networks Features</t>
  </si>
  <si>
    <t>As a typical deep-learning model, Convolutional Neural Networks (CNNs) can be exploited to automatically extract features from images using the hierarchical structure inspired by mammalian visual system. For image classification tasks, traditional CNN models employ the softmax function for classification. However, owing to the limited capacity of the softmax function, there are some shortcomings of traditional CNN models in image classification. To deal with this problem, a new method combining Biomimetic Pattern Recognition (BPR) with CNNs is proposed for image classification. BPR performs class recognition by a union of geometrical cover sets in a high-dimensional feature space and therefore can overcome some disadvantages of traditional pattern recognition. The proposed method is evaluated on three famous image classification benchmarks, that is, MNIST, AR, and CIFAR-10. The classification accuracies of the proposed method for the three datasets are 99.01%, 98.40%, and 87.11%, respectively, which are much higher in comparison with the other four methods in most cases.</t>
  </si>
  <si>
    <t>A Rapid, Accurate and Machine-Agnostic Segmentation and Quantification Method for CT-Based COVID-19 Diagnosis</t>
  </si>
  <si>
    <t>COVID-19 has caused a global pandemic and become the most urgent threat to the entire world. Tremendous efforts and resources have been invested in developing diagnosis, prognosis and treatment strategies to combat the disease. Although nucleic acid detection has been mainly used as the gold standard to confirm this RNA virus-based disease, it has been shown that such a strategy has a high false negative rate, especially for patients in the early stage, and thus CT imaging has been applied as a major diagnostic modality in confirming positive COVID-19. Despite the various, urgent advances in developing artificial intelligence (AI)-based computer-aided systems for CT-based COVID-19 diagnosis, most of the existing methods can only perform classification, whereas the state-of-the-art segmentation method requires a high level of human intervention. In this paper, we propose a fully-automatic, rapid, accurate, and machine-agnostic method that can segment and quantify the infection regions on CT scans from different sources. Our method is founded upon two innovations: 1) the first CT scan simulator for COVID-19, by fitting the dynamic change of real patients' data measured at different time points, which greatly alleviates the data scarcity issue; and 2) a novel deep learning algorithm to solve the large-scene-small-object problem, which decomposes the 3D segmentation problem into three 2D ones, and thus reduces the model complexity by an order of magnitude and, at the same time, significantly improves the segmentation accuracy. Comprehensive experimental results over multi-country, multi-hospital, and multi-machine datasets demonstrate the superior performance of our method over the existing ones and suggest its important application value in combating the disease.</t>
  </si>
  <si>
    <t>10.3748/wjg.v25.i6.672</t>
  </si>
  <si>
    <t>Artificial intelligence in medical imaging of the liver</t>
  </si>
  <si>
    <t>Artificial intelligence (AI), particularly deep learning algorithms, is gaining extensive attention for its excellent performance in image-recognition tasks. They can automatically make a quantitative assessment of complex medical image characteristics and achieve an increased accuracy for diagnosis with higher efficiency. AI is widely used and getting increasingly popular in the medical imaging of the liver, including radiology, ultrasound, and nuclear medicine. AI can assist physicians to make more accurate and reproductive imaging diagnosis and also reduce the physicians' workload. This article illustrates basic technical knowledge about AI, including traditional machine learning and deep learning algorithms, especially convolutional neural networks, and their clinical application in the medical imaging of liver diseases, such as detecting and evaluating focal liver lesions, facilitating treatment, and predicting liver treatment response. We conclude that machine-assisted medical services will be a promising solution for future liver medical care. Lastly, we discuss the challenges and future directions of clinical application of deep learning techniques.</t>
  </si>
  <si>
    <t>Lymph Node Metastasis Prediction from Primary Breast Cancer US Images Using Deep Learning</t>
  </si>
  <si>
    <t>Background Deep learning (DL) algorithms are gaining extensive attention for their excellent performance in image recognition tasks. DL models can automatically make a quantitative assessment of complex medical image characteristics and achieve increased accuracy in diagnosis with higher efficiency. Purpose To determine the feasibility of using a DL approach to predict clinically negative axillary lymph node metastasis from US images in patients with primary breast cancer. Materials and Methods A data set of US images in patients with primary breast cancer with clinically negative axillary lymph nodes from Tongji Hospital (974 imaging studies from 2016 to 2018, 756 patients) and an independent test set from Hubei Cancer Hospital (81 imaging studies from 2018 to 2019, 78 patients) were collected. Axillary lymph node status was confirmed with pathologic examination. Three different convolutional neural networks (CNNs) of Inception V3, Inception-ResNet V2, and ResNet-101 architectures were trained on 90% of the Tongji Hospital data set and tested on the remaining 10%, as well as on the independent test set. The performance of the models was compared with that of five radiologists. The models' performance was analyzed in terms of accuracy, sensitivity, specificity, receiver operating characteristic curves, areas under the receiver operating characteristic curve (AUCs), and heat maps. Results The best-performing CNN model, Inception V3, achieved an AUC of 0.89 (95% confidence interval [CI]: 0.83, 0.95) in the prediction of the final clinical diagnosis of axillary lymph node metastasis in the independent test set. The model achieved 85% sensitivity (35 of 41 images; 95% CI: 70%, 94%) and 73% specificity (29 of 40 images; 95% CI: 56%, 85%), and the radiologists achieved 73% sensitivity (30 of 41 images; 95% CI: 57%, 85%; P = .17) and 63% specificity (25 of 40 images; 95% CI: 46%, 77%; P = .34). Conclusion Using US images from patients with primary breast cancer, deep learning models can effectively predict clinically negative axillary lymph node metastasis. Artificial intelligence may provide an early diagnostic strategy for lymph node metastasis in patients with breast cancer with clinically negative lymph nodes. Published under a CC BY 4.0 license. Online supplemental material is available for this article. See also the editorial by Bae in this issue.</t>
  </si>
  <si>
    <t>L. Q. Zhou, X. L. Wu, S. Y. Huang, G. G. Wu, H. R. Ye, Q. Wei, L. Y. Bao, Y. B. Deng, X. R. Li, X. W. Cui and C. F. Dietrich</t>
  </si>
  <si>
    <t>U-net combined with CRF and anatomical based spatial features to segment white matter hyperintensities</t>
  </si>
  <si>
    <t>White matter hyperintensities (WMH) are important biomarkers for cerebral small vessel disease and closely associated with other neurodegenerative process. In this paper, we proposed a fully automatic WMH segmentation method based on U-net architecture. CRF were combined with U-net to refine segmentation results. We used a new anatomical based spatial feature produced by brain tissue segmentation based on T1 image, along with intensities of T1 and T2-FLAIR images to train our neural network. We compared 8 forms of automated WMH segmentation methods, range from traditional statistical learnng methods to deep learning based methods, with different architecture and used different features. Results showed our proposed method achieved best performance in terms of most metrics, and the inclusion of anatomical based spatial features strongly increase the segmentation performance.</t>
  </si>
  <si>
    <t>Automatic Detection and Classification of Rib Fractures on Thoracic CT Using Convolutional Neural Network: Accuracy and Feasibility</t>
  </si>
  <si>
    <t>OBJECTIVE: To evaluate the performance of a convolutional neural network (CNN) model that can automatically detect and classify rib fractures, and output structured reports from computed tomography (CT) images. MATERIALS AND METHODS: This study included 1079 patients (median age, 55 years; men, 718) from three hospitals, between January 2011 and January 2019, who were divided into a monocentric training set (n = 876; median age, 55 years; men, 582), five multicenter/multiparameter validation sets (n = 173; median age, 59 years; men, 118) with different slice thicknesses and image pixels, and a normal control set (n = 30; median age, 53 years; men, 18). Three classifications (fresh, healing, and old fracture) combined with fracture location (corresponding CT layers) were detected automatically and delivered in a structured report. Precision, recall, and F1-score were selected as metrics to measure the optimum CNN model. Detection/diagnosis time, precision, and sensitivity were employed to compare the diagnostic efficiency of the structured report and that of experienced radiologists. RESULTS: A total of 25054 annotations (fresh fracture, 10089; healing fracture, 10922; old fracture, 4043) were labelled for training (18584) and validation (6470). The detection efficiency was higher for fresh fractures and healing fractures than for old fractures (F1-scores, 0.849, 0.856, 0.770, respectively, p = 0.023 for each), and the robustness of the model was good in the five multicenter/multiparameter validation sets (all mean F1-scores &gt; 0.8 except validation set 5 [512 × 512 pixels; F1-score = 0.757]). The precision of the five radiologists improved from 80.3% to 91.1%, and the sensitivity increased from 62.4% to 86.3% with artificial intelligence-assisted diagnosis. On average, the diagnosis time of the radiologists was reduced by 73.9 seconds. CONCLUSION: Our CNN model for automatic rib fracture detection could assist radiologists in improving diagnostic efficiency, reducing diagnosis time and radiologists' workload.</t>
  </si>
  <si>
    <t>Deep learning-based carotid media-adventitia and lumen-intima boundary segmentation from three-dimensional ultrasound images</t>
  </si>
  <si>
    <t>PURPOSE: Quantification of carotid plaques has been shown to be important for assessing as well as monitoring the progression and regression of carotid atherosclerosis. Various metrics have been proposed and methods of measurements ranging from manual tracing to automated segmentations have also been investigated. Of those metrics, quantification of carotid plaques by measuring vessel-wall-volume (VWV) using the segmented media-adventitia (MAB) and lumen-intima (LIB) boundaries has been shown to be sensitive to temporal changes in carotid plaque burden. Thus, semi-automatic MAB and LIB segmentation methods are required to help generate VWV measurements with high accuracy and less user interaction. METHODS: In this paper, we propose a semiautomatic segmentation method based on deep learning to segment the MAB and LIB from carotid three-dimensional ultrasound (3DUS) images. For the MAB segmentation, we convert the segmentation problem to a pixel-by-pixel classification problem. A dynamic convolutional neural network (Dynamic CNN) is proposed to classify the patches generated by sliding a window along the norm line of the initial contour where the CNN model is fine-tuned dynamically in each test task. The LIB is segmented by applying a region-of-interest of carotid images to a U-Net model, which allows the network to be trained end-to-end for pixel-wise classification. RESULTS: A total of 144 3DUS images were used in this development, and a threefold cross-validation technique was used for evaluation of the proposed algorithm. The proposed algorithm-generated accuracy was significantly higher than the previous methods but with less user interactions. Comparing the algorithm segmentation results with manual segmentations by an expert showed that the average Dice similarity coefficients (DSC) were 96.46 ± 2.22% and 92.84 ± 4.46% for the MAB and LIB, respectively, while only an average of 34 s (vs 1.13, 2.8 and 4.4 min in previous methods) was required to segment a 3DUS image. The interobserver experiment indicated that the DSC was 96.14 ± 1.87% between algorithm-generated MAB contours of two observers' initialization. CONCLUSIONS: Our results showed that the proposed carotid plaque segmentation method obtains high accuracy and repeatability with less user interactions, suggesting that the method could be used in clinical practice to measure VWV and monitor the progression and regression of carotid plaques.</t>
  </si>
  <si>
    <t>R. Zhou, A. Fenster, Y. Xia, J. D. Spence and M. Ding</t>
  </si>
  <si>
    <t>Quantitative analysis of patients with celiac disease by video capsule endoscopy: A deep learning method</t>
  </si>
  <si>
    <t>BACKGROUND: Celiac disease is one of the most common diseases in the world. Capsule endoscopy is an alternative way to visualize the entire small intestine without invasiveness to the patient. It is useful to characterize celiac disease, but hours are need to manually analyze the retrospective data of a single patient. Computer-aided quantitative analysis by a deep learning method helps in alleviating the workload during analysis of the retrospective videos. METHOD: Capsule endoscopy clips from 6 celiac disease patients and 5 controls were preprocessed for training. The frames with a large field of opaque extraluminal fluid or air bubbles were removed automatically by using a pre-selection algorithm. Then the frames were cropped and the intensity was corrected prior to frame rotation in the proposed new method. The GoogLeNet is trained with these frames. Then, the clips of capsule endoscopy from 5 additional celiac disease patients and 5 additional control patients are used for testing. The trained GoogLeNet was able to distinguish the frames from capsule endoscopy clips of celiac disease patients vs controls. Quantitative measurement with evaluation of the confidence was developed to assess the severity level of pathology in the subjects. RESULTS: Relying on the evaluation confidence, the GoogLeNet achieved 100% sensitivity and specificity for the testing set. The t-test confirmed the evaluation confidence is significant to distinguish celiac disease patients from controls. Furthermore, it is found that the evaluation confidence may also relate to the severity level of small bowel mucosal lesions. CONCLUSIONS: A deep convolutional neural network was established for quantitative measurement of the existence and degree of pathology throughout the small intestine, which may improve computer-aided clinical techniques to assess mucosal atrophy and other etiologies in real-time with videocapsule endoscopy.</t>
  </si>
  <si>
    <t>T. Zhou, G. Han, B. N. Li, Z. Lin, E. J. Ciaccio, P. H. Green and J. Qin</t>
  </si>
  <si>
    <t>Effective feature learning and fusion of multimodality data using stage-wise deep neural network for dementia diagnosis</t>
  </si>
  <si>
    <t>In this article, the authors aim to maximally utilize multimodality neuroimaging and genetic data for identifying Alzheimer's disease (AD) and its prodromal status, Mild Cognitive Impairment (MCI), from normal aging subjects. Multimodality neuroimaging data such as MRI and PET provide valuable insights into brain abnormalities, while genetic data such as single nucleotide polymorphism (SNP) provide information about a patient's AD risk factors. When these data are used together, the accuracy of AD diagnosis may be improved. However, these data are heterogeneous (e.g., with different data distributions), and have different number of samples (e.g., with far less number of PET samples than the number of MRI or SNPs). Thus, learning an effective model using these data is challenging. To this end, we present a novel three-stage deep feature learning and fusion framework, where deep neural network is trained stage-wise. Each stage of the network learns feature representations for different combinations of modalities, via effective training using the maximum number of available samples. Specifically, in the first stage, we learn latent representations (i.e., high-level features) for each modality independently, so that the heterogeneity among modalities can be partially addressed, and high-level features from different modalities can be combined in the next stage. In the second stage, we learn joint latent features for each pair of modality combination by using the high-level features learned from the first stage. In the third stage, we learn the diagnostic labels by fusing the learned joint latent features from the second stage. To further increase the number of samples during training, we also use data at multiple scanning time points for each training subject in the dataset. We evaluate the proposed framework using Alzheimer's disease neuroimaging initiative (ADNI) dataset for AD diagnosis, and the experimental results show that the proposed framework outperforms other state-of-the-art methods.</t>
  </si>
  <si>
    <t>10.1007/978-3-030-33128-3_9</t>
  </si>
  <si>
    <t>This chapter focuses on modern deep learning techniques that are proposed for automatically recognizing and segmenting multiple organ regions on three-dimensional (3D) computed tomography (CT) images. CT images are widely used to visualize 3D anatomical structures composed of multiple organ regions inside the human body in clinical medicine. Automatic recognition and segmentation of multiple organs on CT images is a fundamental processing step of computer-aided diagnosis, surgery, and radiation therapy systems, which aim to achieve precision and personalized medicines. In this chapter, we introduce our recent works on addressing the issue of multiple organ segmentation on 3D CT images by using deep learning, a completely novel approach, instead of conventional segmentation methods originated from traditional digital image processing techniques. We evaluated and compared the segmentation performances of two different deep learning approaches based on 2D- and 3D deep convolutional neural networks (CNNs) without and with a pre-processing step. A conventional method based on a probabilistic atlas algorithm, which presented the best performance within the conventional approaches, was also adopted as a baseline for performance comparison. A dataset containing 240 CT scans of different portions of human bodies was used for training the CNNs and validating the segmentation performance of the learning results. A maximum number of 17 types of organ regions in each CT scan were segmented automatically and validated with the human annotations by using ratio of intersection over union (IoU) as the criterion. Our experimental results showed that the IoUs of the segmentation results had a mean value of 79% and 67% by averaging 17 types of organs that were segmented by the proposed 3D and 2D deep CNNs, respectively. All results using the deep learning approaches showed better accuracy and robustness than the conventional segmentation method that used the probabilistic atlas algorithm. The effectiveness and usefulness of deep learning approaches were demonstrated for multiple organ segmentation on 3D CT images.</t>
  </si>
  <si>
    <t>X. Zhou</t>
  </si>
  <si>
    <t>Deep learning of the sectional appearances of 3D CT images for anatomical structure segmentation based on an FCN voting method</t>
  </si>
  <si>
    <t>PURPOSE: We propose a single network trained by pixel-to-label deep learning to address the general issue of automatic multiple organ segmentation in three-dimensional (3D) computed tomography (CT) images. Our method can be described as a voxel-wise multiple-class classification scheme for automatically assigning labels to each pixel/voxel in a 2D/3D CT image. METHODS: We simplify the segmentation algorithms of anatomical structures (including multiple organs) in a CT image (generally in 3D) to a majority voting scheme over the semantic segmentation of multiple 2D slices drawn from different viewpoints with redundancy. The proposed method inherits the spirit of fully convolutional networks (FCNs) that consist of convolution and deconvolution layers for 2D semantic image segmentation, and expands the core structure with 3D-2D-3D transformations to adapt to 3D CT image segmentation. All parameters in the proposed network are trained pixel-to-label from a small number of CT cases with human annotations as the ground truth. The proposed network naturally fulfills the requirements of multiple organ segmentations in CT cases of different sizes that cover arbitrary scan regions without any adjustment. RESULTS: The proposed network was trained and validated using the simultaneous segmentation of 19 anatomical structures in the human torso, including 17 major organs and two special regions (lumen and content inside of stomach). Some of these structures have never been reported in previous research on CT segmentation. A database consisting of 240 (95% for training and 5% for testing) 3D CT scans, together with their manually annotated ground-truth segmentations, was used in our experiments. The results show that the 19 structures of interest were segmented with acceptable accuracy (88.1% and 87.9% voxels in the training and testing datasets, respectively, were labeled correctly) against the ground truth. CONCLUSIONS: We propose a single network based on pixel-to-label deep learning to address the challenging issue of anatomical structure segmentation in 3D CT cases. The novelty of this work is the policy of deep learning of the different 2D sectional appearances of 3D anatomical structures for CT cases and the majority voting of the 3D segmentation results from multiple crossed 2D sections to achieve availability and reliability with better efficiency, generality, and flexibility than conventional segmentation methods, which must be guided by human expertise.</t>
  </si>
  <si>
    <t>X. Zhou, R. Takayama, S. Wang, T. Hara and H. Fujita</t>
  </si>
  <si>
    <t>Automatic Lumbar MRI Detection and Identification Based on Deep Learning</t>
  </si>
  <si>
    <t>The aim of this research is to automatically detect lumbar vertebras in MRI images with bounding boxes and their classes, which can assist clinicians with diagnoses based on large amounts of MRI slices. Vertebras are highly semblable in appearance, leading to a challenging automatic recognition. A novel detection algorithm is proposed in this paper based on deep learning. We apply a similarity function to train the convolutional network for lumbar spine detection. Instead of distinguishing vertebras using annotated lumbar images, our method compares similarities between vertebras using a beforehand lumbar image. In the convolutional neural network, a contrast object will not update during frames, which allows a fast speed and saves memory. Due to its distinctive shape, S1 is firstly detected and a rough region around it is extracted for searching for L1-L5. The results are evaluated with accuracy, precision, mean, and standard deviation (STD). Finally, our detection algorithm achieves the accuracy of 98.6% and the precision of 98.9%. Most failed results are involved with wrong S1 locations or missed L5. The study demonstrates that a lumbar detection network supported by deep learning can be trained successfully without annotated MRI images. It can be believed that our detection method will assist clinicians to raise working efficiency.</t>
  </si>
  <si>
    <t>[High definition MRI rectal lymph node aided diagnostic system based on deep neural network]</t>
  </si>
  <si>
    <t>Objective: To investigate the clinical significance of high definition (HD) MRI rectal lymph node aided diagnostic system based on deep neural network. Methods: The research selected 301 patients with rectal cancer who underwent pelvic HD MRI and reported pelvic lymph node metastasis from July 2016 to December 2017 in Affiliated Hospital of Qingdao University. According to the chronological order, the first 201 cases were used as learning group. The remaining 100 cases were used as verification group. There were 149 males (74.1%) and 52 females in the study group, with an average age of 58.8 years. There were 76 males (76.0%) and 24 females in the validation group, with an average age of 60.2 years. Firstly, Using deep learning technique, researchers trained the 12 060 HD MRI lymph nodes images data of learning group with convolution neural network to simulate the judgment process of radiologists, and established an artificial intelligence automatic recognition system for metastatic lymph nodes of rectal cancer. Then, 6 030 images of the validation group were clinically validated. Artificial intelligence and radiologists simultaneously diagnosed all cases of HD MRI images and made the diagnosis results of metastatic lymph node. Receiver operating characteristic (ROC) curve and area under curve (AUC) were used to compare the diagnostic level of them. Results: After continuous iteration training of the learning group data, the loss function value of artificial intelligence decreased continuously, and the diagnostic error decreased continuously. Among the 6 030 images of verification group, 912 images were considered to exist metastatic lymph nodes in radiologists' diagnosis and 987 in artificial intelligence diagnosis. There were 772 images having identical diagnostic results of lymph node location and number of metastases with the two methods. Compared with manual diagnosis, the AUC of the intelligent platform was 0.886 2, the diagnostic time of a single case was 10 s, but the average diagnostic time of doctors was 600 s. Conclusion: The HD MRI lymph node automatic recognition system based on deep neural network has high accuracy and high efficiency, and has the clinical significance of auxiliary diagnosis.</t>
  </si>
  <si>
    <t>Y. P. Zhou, S. Li, X. X. Zhang, Z. D. Zhang, Y. X. Gao, L. Ding and Y. Lu</t>
  </si>
  <si>
    <t>Predicting Lymph Node Metastasis in Head and Neck Cancer by Combining Many-objective Radiomics and 3-dimensioal Convolutional Neural Network through Evidential Reasoning</t>
  </si>
  <si>
    <t>Lymph node metastasis (LNM) is a significant prognostic factor in patients with head and neck cancer, and the ability to predict it accurately is essential for treatment optimization. PET and CT imaging are routinely used for LNM identification. However, uncertainties of LNM always exist especially for small size or reactive nodes. Radiomics and deep learning are the two preferred imaging-based strategies for node malignancy prediction. Radiomics models are built based on handcrafted features, and deep learning can learn the features automatically. We proposed a hybrid predictive model that combines many-objective radiomics (MO-radiomics) and 3-dimensional convolutional neural network (3D-CNN) through evidential reasoning (ER) approach. To build a more reliable model, we proposed a new many-objective radiomics model. Meanwhile, we designed a 3D-CNN that fully utilizes spatial contextual information. Finally, the outputs were fused through the ER approach. To study the predictability of the two modalities, three models were built for PET, CT, and PET&amp; CT. The results showed that the model performed best when the two modalities were combined. Moreover, we showed that the quantitative results obtained from the hybrid model were better than those obtained from MO-radiomics and 3D-CNN.</t>
  </si>
  <si>
    <t>Z. Zhou, L. Chen, D. Sher, Q. Zhang, J. Shah, N. L. Pham, S. Jiang and J. Wang</t>
  </si>
  <si>
    <t>Parallel imaging and convolutional neural network combined fast MR image reconstruction: Applications in low-latency accelerated real-time imaging</t>
  </si>
  <si>
    <t>PURPOSE: To develop and evaluate a parallel imaging and convolutional neural network combined image reconstruction framework for low-latency and high-quality accelerated real-time MR imaging. METHODS: Conventional Parallel Imaging reconstruction resolved as gradient descent steps was compacted as network layers and interleaved with convolutional layers in a general convolutional neural network. All parameters of the network were determined during the offline training process, and applied to unseen data once learned. The proposed network was first evaluated for real-time cardiac imaging at 1.5 T and real-time abdominal imaging at 0.35 T, using threefold to fivefold retrospective undersampling for cardiac imaging and threefold retrospective undersampling for abdominal imaging. Then, prospective undersampling with fourfold acceleration was performed on cardiac imaging to compare the proposed method with standard clinically available GRAPPA method and the state-of-the-art L1-ESPIRiT method. RESULTS: Both retrospective and prospective evaluations confirmed that the proposed network was able to images with a lower noise level and reduced aliasing artifacts in comparison with the single-coil based and L1-ESPIRiT reconstructions for cardiac imaging at 1.5 T, and the GRAPPA and L1-ESPIRiT reconstructions for abdominal imaging at 0.35 T. Using the proposed method, each frame can be reconstructed in less than 100 ms, suggesting its clinical compatibility. CONCLUSION: The proposed Parallel Imaging and convolutional neural network combined reconstruction framework is a promising technique that allows low-latency and high-quality real-time MR imaging.</t>
  </si>
  <si>
    <t>Computer-aided Detection of Brain Metastases in T1-weighted MRI for Stereotactic Radiosurgery Using Deep Learning Single-Shot Detectors</t>
  </si>
  <si>
    <t>Background Brain metastases are manually identified during stereotactic radiosurgery (SRS) treatment planning, which is time consuming and potentially challenging. Purpose To develop and investigate deep learning (DL) methods for detecting brain metastasis with MRI to aid in treatment planning for SRS. Materials and Methods In this retrospective study, contrast material-enhanced three-dimensional T1-weighted gradient-echo MRI scans from patients who underwent gamma knife SRS from January 2011 to August 2018 were analyzed. Brain metastases were manually identified and contoured by neuroradiologists and treating radiation oncologists. DL single-shot detector (SSD) algorithms were constructed and trained to map axial MRI slices to a set of bounding box predictions encompassing metastases and associated detection confidences. Performances of different DL SSDs were compared for per-lesion metastasis-based detection sensitivity and positive predictive value (PPV) at a 50% confidence threshold. For the highest-performing model, detection performance was analyzed by using free-response receiver operating characteristic analysis. Results Two hundred sixty-six patients (mean age, 60 years ± 14 [standard deviation]; 148 women) were randomly split into 80% training and 20% testing groups (212 and 54 patients, respectively). For the testing group, sensitivity of the highest-performing (baseline) SSD was 81% (95% confidence interval [CI]: 80%, 82%; 190 of 234) and PPV was 36% (95% CI: 35%, 37%; 190 of 530). For metastases measuring at least 6 mm, sensitivity was 98% (95% CI: 97%, 99%; 130 of 132) and PPV was 36% (95% CI: 35%, 37%; 130 of 366). Other models (SSD with a ResNet50 backbone, SSD with focal loss, and RetinaNet) yielded lower sensitivities of 73% (95% CI: 72%, 74%; 171 of 234), 77% (95% CI: 76%, 78%; 180 of 234), and 79% (95% CI: 77%, 81%; 184 of 234), respectively, and lower PPVs of 29% (95% CI: 28%, 30%; 171 of 581), 26% (95% CI: 26%, 26%; 180 of 681), and 13% (95% CI: 12%, 14%; 184 of 1412). Conclusion Deep-learning single-shot detector models detected nearly all brain metastases that were 6 mm or larger with limited false-positive findings using postcontrast T1-weighted MRI. © RSNA, 2020 See also the editorial by Kikinis and Wells in this issue.</t>
  </si>
  <si>
    <t>Integrating Active Learning and Transfer Learning for Carotid Intima-Media Thickness Video Interpretation</t>
  </si>
  <si>
    <t>Cardiovascular disease (CVD) is the number one killer in the USA, yet it is largely preventable (World Health Organization 2011). To prevent CVD, carotid intima-media thickness (CIMT) imaging, a noninvasive ultrasonography method, has proven to be clinically valuable in identifying at-risk persons before adverse events. Researchers are developing systems to automate CIMT video interpretation based on deep learning, but such efforts are impeded by the lack of large annotated CIMT video datasets. CIMT video annotation is not only tedious, laborious, and time consuming, but also demanding of costly, specialty-oriented knowledge and skills, which are not easily accessible. To dramatically reduce the cost of CIMT video annotation, this paper makes three main contributions. Our first contribution is a new concept, called Annotation Unit (AU), which simplifies the entire CIMT video annotation process down to six simple mouse clicks. Our second contribution is a new algorithm, called AFT (active fine-tuning), which naturally integrates active learning and transfer learning (fine-tuning) into a single framework. AFT starts directly with a pre-trained convolutional neural network (CNN), focuses on selecting the most informative and representative AU s from the unannotated pool for annotation, and then fine-tunes the CNN by incorporating newly annotated AU s in each iteration to enhance the CNN's performance gradually. Our third contribution is a systematic evaluation, which shows that, in comparison with the state-of-the-art method (Tajbakhsh et al., IEEE Trans Med Imaging 35(5):1299-1312, 2016), our method can cut the annotation cost by &gt;81% relative to their training from scratch and &gt;50% relative to their random selection. This performance is attributed to the several advantages derived from the advanced active, continuous learning capability of our AFT method.</t>
  </si>
  <si>
    <t>Models Genesis</t>
  </si>
  <si>
    <t>Transfer learning from natural image to medical image has been established as one of the most practical paradigms in deep learning for medical image analysis. To fit this paradigm, however, 3D imaging tasks in the most prominent imaging modalities (e.g., CT and MRI) have to be reformulated and solved in 2D, losing rich 3D anatomical information, thereby inevitably compromising its performance. To overcome this limitation, we have built a set of models, called Generic Autodidactic Models, nicknamed Models Genesis, because they are created ex nihilo (with no manual labeling), self-taught (learnt by self-supervision), and generic (served as source models for generating application-specific target models). Our extensive experiments demonstrate that our Models Genesis significantly outperform learning from scratch and existing pre-trained 3D models in all five target 3D applications covering both segmentation and classification. More importantly, learning a model from scratch simply in 3D may not necessarily yield performance better than transfer learning from ImageNet in 2D, but our Models Genesis consistently top any 2D/2.5D approaches including fine-tuning the models pre-trained from ImageNet as well as fine-tuning the 2D versions of our Models Genesis, confirming the importance of 3D anatomical information and significance of Models Genesis for 3D medical imaging. This performance is attributed to our unified self-supervised learning framework, built on a simple yet powerful observation: the sophisticated and recurrent anatomy in medical images can serve as strong yet free supervision signals for deep models to learn common anatomical representation automatically via self-supervision. As open science, all codes and pre-trained Models Genesis are available at https://github.com/MrGiovanni/ModelsGenesis.</t>
  </si>
  <si>
    <t>Models Genesis: Generic Autodidactic Models for 3D Medical Image Analysis</t>
  </si>
  <si>
    <t>Transfer learning from natural image to medical image has established as one of the most practical paradigms in deep learning for medical image analysis. However, to fit this paradigm, 3D imaging tasks in the most prominent imaging modalities (e.g., CT and MRI) have to be reformulated and solved in 2D, losing rich 3D anatomical information and inevitably compromising the performance. To overcome this limitation, we have built a set of models, called Generic Autodidactic Models, nicknamed Models Genesis, because they are created ex nihilo (with no manual labeling), self-taught (learned by self-supervision), and generic (served as source models for generating application-specific target models). Our extensive experiments demonstrate that our Models Genesis significantly outperform learning from scratch in all five target 3D applications covering both segmentation and classification. More importantly, learning a model from scratch simply in 3D may not necessarily yield performance better than transfer learning from ImageNet in 2D, but our Models Genesis consistently top any 2D approaches including fine-tuning the models pre-trained from ImageNet as well as fine-tuning the 2D versions of our Models Genesis, confirming the importance of 3D anatomical information and significance of our Models Genesis for 3D medical imaging. This performance is attributed to our unified self-supervised learning framework, built on a simple yet powerful observation: the sophisticated yet recurrent anatomy in medical images can serve as strong supervision signals for deep models to learn common anatomical representation automatically via self-supervision. As open science, all pre-trained Models Genesis are available at https://github.com/MrGiovanni/ModelsGenesis.</t>
  </si>
  <si>
    <t>Deep convolutional neural network for segmentation of knee joint anatomy</t>
  </si>
  <si>
    <t>PURPOSE: To describe and evaluate a new segmentation method using deep convolutional neural network (CNN), 3D fully connected conditional random field (CRF), and 3D simplex deformable modeling to improve the efficiency and accuracy of knee joint tissue segmentation. METHODS: A segmentation pipeline was built by combining a semantic segmentation CNN, 3D fully connected CRF, and 3D simplex deformable modeling. A convolutional encoder-decoder network was designed as the core of the segmentation method to perform high resolution pixel-wise multi-class tissue classification for 12 different joint structures. The 3D fully connected CRF was applied to regularize contextual relationship among voxels within the same tissue class and between different classes. The 3D simplex deformable modeling refined the output from 3D CRF to preserve the overall shape and maintain a desirable smooth surface for joint structures. The method was evaluated on 3D fast spin-echo (3D-FSE) MR image data sets. Quantitative morphological metrics were used to evaluate the accuracy and robustness of the method in comparison to the ground truth data. RESULTS: The proposed segmentation method provided good performance for segmenting all knee joint structures. There were 4 tissue types with high mean Dice coefficient above 0.9 including the femur, tibia, muscle, and other non-specified tissues. There were 7 tissue types with mean Dice coefficient between 0.8 and 0.9 including the femoral cartilage, tibial cartilage, patella, patellar cartilage, meniscus, quadriceps and patellar tendon, and infrapatellar fat pad. There was 1 tissue type with mean Dice coefficient between 0.7 and 0.8 for joint effusion and Baker's cyst. Most musculoskeletal tissues had a mean value of average symmetric surface distance below 1 mm. CONCLUSION: The combined CNN, 3D fully connected CRF, and 3D deformable modeling approach was well-suited for performing rapid and accurate comprehensive tissue segmentation of the knee joint. The deep learning-based segmentation method has promising potential applications in musculoskeletal imaging.</t>
  </si>
  <si>
    <t>Z. Zhou, G. Zhao, R. Kijowski and F. Liu</t>
  </si>
  <si>
    <t>10.1016/j.nic.2020.07.001</t>
  </si>
  <si>
    <t>Artificial Intelligence and Stroke Imaging: A West Coast Perspective</t>
  </si>
  <si>
    <t>Artificial intelligence (AI) advancements have significant implications for medical imaging. Stroke is the leading cause of disability and the fifth leading cause of death in the United States. AI applications for stroke imaging are a topic of intense research. AI techniques are well-suited for dealing with vast amounts of stroke imaging data and a large number of multidisciplinary approaches used in classification, risk assessment, segmentation tasks, diagnosis, prognosis, and even prediction of therapy responses. This article addresses this topic and seeks to present an overview of machine learning and/or deep learning applied to stroke imaging.</t>
  </si>
  <si>
    <t>10.3389/fneur.2019.00869</t>
  </si>
  <si>
    <t>Applications of Deep Learning to Neuro-Imaging Techniques</t>
  </si>
  <si>
    <t>Many clinical applications based on deep learning and pertaining to radiology have been proposed and studied in radiology for classification, risk assessment, segmentation tasks, diagnosis, prognosis, and even prediction of therapy responses. There are many other innovative applications of AI in various technical aspects of medical imaging, particularly applied to the acquisition of images, ranging from removing image artifacts, normalizing/harmonizing images, improving image quality, lowering radiation and contrast dose, and shortening the duration of imaging studies. This article will address this topic and will seek to present an overview of deep learning applied to neuroimaging techniques.</t>
  </si>
  <si>
    <t>FCN Based Label Correction for Multi-Atlas Guided Organ Segmentation</t>
  </si>
  <si>
    <t>Segmentation of medical images using multiple atlases has recently gained immense attention due to their augmented robustness against variabilities across different subjects. These atlas-based methods typically comprise of three steps: atlas selection, image registration, and finally label fusion. Image registration is one of the core steps in this process, accuracy of which directly affects the final labeling performance. However, due to inter-subject anatomical variations, registration errors are inevitable. The aim of this paper is to develop a deep learning-based confidence estimation method to alleviate the potential effects of registration errors. We first propose a fully convolutional network (FCN) with residual connections to learn the relationship between the image patch pair (i.e., patches from the target subject and the atlas) and the related label confidence patch. With the obtained label confidence patch, we can identify the potential errors in the warped atlas labels and correct them. Then, we use two label fusion methods to fuse the corrected atlas labels. The proposed methods are validated on a publicly available dataset for hippocampus segmentation. Experimental results demonstrate that our proposed methods outperform the state-of-the-art segmentation methods.</t>
  </si>
  <si>
    <t>Temporally downsampled cerebral CT perfusion image restoration using deep residual learning</t>
  </si>
  <si>
    <t>PURPOSE: Acute ischemic stroke is one of the most causes of death all over the world. Onset to treatment time is critical in stroke diagnosis and treatment. Considering the time consumption and high price of MR imaging, CT perfusion (CTP) imaging is strongly recommended for acute stroke. However, too much CT radiation during CTP imaging may increase the risk of health problems. How to reduce CT radiation dose in CT perfusion imaging has drawn our great attention. METHODS: In this study, the original 30-pass CTP images are downsampled to 15 passes in time sequence, which equals to 50% radiation dose reduction. Then, a residual deep convolutional neural network (DCNN) model is proposed to restore the downsampled 15-pass CTP images to 30 passes to calculate the parameters such as cerebral blood flow, cerebral blood volume, mean transit time, time to peak for stroke diagnosis and treatment. The deep restoration CNN is implemented simply and effectively with 16 successive convolutional layers which form a wide enough receptive field for input image data. 18 patients' CTP images are employed as training set and the other six patients' CTP images are treated as test dataset in this study. RESULTS: Experiments demonstrate that our CNN can restore high-quality CTP images in terms of structural similarity index (SSIM) and peak signal-to-noise ratio (PSNR). The average SSIM and PSNR for test images are 0.981 and 56.25, and the SSIM and PSNR of regions of interest are 0.915 and 42.44, respectively, showing promising quantitative level. In addition, we compare the perfusion maps calculated from the restored images and from the original images, and the average perfusion results of them are extremely close. Areas of hypoperfusion of six test cases could be detected with comparable accuracy by radiologists. CONCLUSION: The trained model can restore the temporally downsampled 15-pass CTP to 30 passes very well. According to the contrast test, sufficient information cannot be restored with, e.g., simple interpolation method and deep convolutional generative adversarial network, but can be restored with the proposed CNN model. This method can be an optional way to reduce radiation dose during CTP imaging.</t>
  </si>
  <si>
    <t>MR-Forest: A Deep Decision Framework for False Positive Reduction in Pulmonary Nodule Detection</t>
  </si>
  <si>
    <t>With the development of deep learning methods such as convolutional neural network (CNN), the accuracy of automated pulmonary nodule detection has been greatly improved. However, the high computational and storage costs of the large-scale network have been a potential concern for the future widespread clinical application. In this paper, an alternative Multi-ringed (MR)-Forest framework, against the resource-consuming neural networks (NN)-based architectures, has been proposed for false positive reduction in pulmonary nodule detection, which consists of three steps. First, a novel multi-ringed scanning method is used to extract the order ring facets (ORFs) from the surface voxels of the volumetric nodule models; Second, Mesh-LBP and mapping deformation are employed to estimate the texture and shape features. By sliding and resampling the multi-ringed ORFs, feature volumes with different lengths are generated. Finally, the outputs of multi-level are cascaded to predict the candidate class. On 1034 scans merging the dataset from the Affiliated Hospital of Liaoning University of Traditional Chinese Medicine (AH-LUTCM) and the LUNA16 Challenge dataset, our framework performs enough competitiveness than state-of-the-art in false positive reduction task (CPM score of 0.865). Experimental results demonstrate that MR-Forest is a successful solution to satisfy both resource-consuming and effectiveness for automated pulmonary nodule detection. The proposed MR-forest is a general architecture for 3D target detection, it can be easily extended in many other medical imaging analysis tasks, where the growth trend of the targeting object is approximated as a spheroidal expansion.</t>
  </si>
  <si>
    <t>H. Zhu, H. Zhao, C. Song, Z. Bian, Y. Bi, T. Liu, X. He, D. Yang and W. Cai</t>
  </si>
  <si>
    <t>Rubik's Cube+: A self-supervised feature learning framework for 3D medical image analysis</t>
  </si>
  <si>
    <t>Due to the development of deep learning, an increasing number of research works have been proposed to establish automated analysis systems for 3D volumetric medical data to improve the quality of patient care. However, it is challenging to obtain a large number of annotated 3D medical data needed to train a neural network well, as such manual annotation by physicians is time consuming and laborious. Self-supervised learning is one of the potential solutions to mitigate the strong requirement of data annotation by deeply exploiting raw data information. In this paper, we propose a novel self-supervised learning framework for volumetric medical data. Specifically, we propose a pretext task, i.e., Rubik's cube+, to pre-train 3D neural networks. The pretext task involves three operations, namely cube ordering, cube rotating and cube masking, forcing networks to learn translation and rotation invariant features from the original 3D medical data, and tolerate the noise of the data at the same time. Compared to the strategy of training from scratch, fine-tuning from the Rubik's cube+ pre-trained weights can remarkablely boost the accuracy of 3D neural networks on various tasks, such as cerebral hemorrhage classification and brain tumor segmentation, without the use of extra data.</t>
  </si>
  <si>
    <t>Deep transfer learning artificial intelligence accurately stages COVID-19 lung disease severity on portable chest radiographs</t>
  </si>
  <si>
    <t>This study employed deep-learning convolutional neural networks to stage lung disease severity of Coronavirus Disease 2019 (COVID-19) infection on portable chest x-ray (CXR) with radiologist score of disease severity as ground truth. This study consisted of 131 portable CXR from 84 COVID-19 patients (51M 55.1±14.9yo; 29F 60.1±14.3yo; 4 missing information). Three expert chest radiologists scored the left and right lung separately based on the degree of opacity (0-3) and geographic extent (0-4). Deep-learning convolutional neural network (CNN) was used to predict lung disease severity scores. Data were split into 80% training and 20% testing datasets. Correlation analysis between AI-predicted versus radiologist scores were analyzed. Comparison was made with traditional and transfer learning. The average opacity score was 2.52 (range: 0-6) with a standard deviation of 0.25 (9.9%) across three readers. The average geographic extent score was 3.42 (range: 0-8) with a standard deviation of 0.57 (16.7%) across three readers. The inter-rater agreement yielded a Fleiss' Kappa of 0.45 for opacity score and 0.71 for extent score. AI-predicted scores strongly correlated with radiologist scores, with the top model yielding a correlation coefficient (R2) of 0.90 (range: 0.73-0.90 for traditional learning and 0.83-0.90 for transfer learning) and a mean absolute error of 8.5% (ranges: 17.2-21.0% and 8.5%-15.5, respectively). Transfer learning generally performed better. In conclusion, deep-learning CNN accurately stages disease severity on portable chest x-ray of COVID-19 lung infection. This approach may prove useful to stage lung disease severity, prognosticate, and predict treatment response and survival, thereby informing risk management and resource allocation.</t>
  </si>
  <si>
    <t>[Study of attention deficit/hyperactivity disorder classification based on convolutional neural networks]</t>
  </si>
  <si>
    <t>Attention deficit/hyperactivity disorder(ADHD) is a behavioral disorder syndrome found mainly in school-age population. At present, the diagnosis of ADHD mainly depends on the subjective methods, leading to the high rate of misdiagnosis and missed-diagnosis. To solve these problems, we proposed an algorithm for classifying ADHD objectively based on convolutional neural network. At first, preprocessing steps, including skull stripping, Gaussian kernel smoothing, et al., were applied to brain magnetic resonance imaging(MRI). Then, coarse segmentation was used for selecting the right caudate nucleus, left precuneus, and left superior frontal gyrus region. Finally, a 3 level convolutional neural network was used for classification. Experimental results showed that the proposed algorithm was capable of classifying ADHD and normal groups effectively, the classification accuracies obtained by the right caudate nucleus and the left precuneus brain regions were greater than the highest classification accuracy(62.52%) in the ADHD-200 competition, and among 3 brain regions in ADHD and the normal groups, the classification accuracy from the right caudate nucleus was the highest. It is well concluded that the method for classification of ADHD and normal groups proposed in this paper utilizing the coarse segmentation and deep learning is a useful method for the purpose. The classification accuracy of the proposed method is high, and the calculation is simple. And the method is able to extract the unobvious image features better, and can overcome the shortcomings of traditional methods of MRI brain area segmentation, which are time-consuming and highly complicate. The method provides an objective diagnosis approach for ADHD.</t>
  </si>
  <si>
    <t>Boundary-Weighted Domain Adaptive Neural Network for Prostate MR Image Segmentation</t>
  </si>
  <si>
    <t>Accurate segmentation of the prostate from magnetic resonance (MR) images provides useful information for prostate cancer diagnosis and treatment. However, automated prostate segmentation from 3D MR images faces several challenges. The lack of clear edge between the prostate and other anatomical structures makes it challenging to accurately extract the boundaries. The complex background texture and large variation in size, shape and intensity distribution of the prostate itself make segmentation even further complicated. Recently, as deep learning, especially convolutional neural networks (CNNs), emerging as the best performed methods for medical image segmentation, the difficulty in obtaining large number of annotated medical images for training CNNs has become much more pronounced than ever. Since large-scale dataset is one of the critical components for the success of deep learning, lack of sufficient training data makes it difficult to fully train complex CNNs. To tackle the above challenges, in this paper, we propose a boundary-weighted domain adaptive neural network (BOWDA-Net). To make the network more sensitive to the boundaries during segmentation, a boundary-weighted segmentation loss is proposed. Furthermore, an advanced boundary-weighted transfer leaning approach is introduced to address the problem of small medical imaging datasets. We evaluate our proposed model on three different MR prostate datasets. The experimental results demonstrate that the proposed model is more sensitive to object boundaries and outperformed other state-of-the-art methods.</t>
  </si>
  <si>
    <t>Near-Infrared Hyperspectral Imaging Combined with Deep Learning to Identify Cotton Seed Varieties</t>
  </si>
  <si>
    <t>Cotton seed purity is a critical factor influencing the cotton yield. In this study, near-infrared hyperspectral imaging was used to identify seven varieties of cotton seeds. Score images formed by pixel-wise principal component analysis (PCA) showed that there were differences among different varieties of cotton seeds. Effective wavelengths were selected according to PCA loadings. A self-design convolution neural network (CNN) and a Residual Network (ResNet) were used to establish classification models. Partial least squares discriminant analysis (PLS-DA), logistic regression (LR) and support vector machine (SVM) were used as direct classifiers based on full spectra and effective wavelengths for comparison. Furthermore, PLS-DA, LR and SVM models were used for cotton seeds classification based on deep features extracted by self-design CNN and ResNet models. LR and PLS-DA models using deep features as input performed slightly better than those using full spectra and effective wavelengths directly. Self-design CNN based models performed slightly better than ResNet based models. Classification models using full spectra performed better than those using effective wavelengths, with classification accuracy of calibration, validation and prediction sets all over 80% for most models. The overall results illustrated that near-infrared hyperspectral imaging with deep learning was feasible to identify cotton seed varieties.</t>
  </si>
  <si>
    <t>AnatomyNet: Deep learning for fast and fully automated whole-volume segmentation of head and neck anatomy</t>
  </si>
  <si>
    <t>PURPOSE: Radiation therapy (RT) is a common treatment option for head and neck (HaN) cancer. An important step involved in RT planning is the delineation of organs-at-risks (OARs) based on HaN computed tomography (CT). However, manually delineating OARs is time-consuming as each slice of CT images needs to be individually examined and a typical CT consists of hundreds of slices. Automating OARs segmentation has the benefit of both reducing the time and improving the quality of RT planning. Existing anatomy autosegmentation algorithms use primarily atlas-based methods, which require sophisticated atlas creation and cannot adequately account for anatomy variations among patients. In this work, we propose an end-to-end, atlas-free three-dimensional (3D) convolutional deep learning framework for fast and fully automated whole-volume HaN anatomy segmentation. METHODS: Our deep learning model, called AnatomyNet, segments OARs from head and neck CT images in an end-to-end fashion, receiving whole-volume HaN CT images as input and generating masks of all OARs of interest in one shot. AnatomyNet is built upon the popular 3D U-net architecture, but extends it in three important ways: (a) a new encoding scheme to allow autosegmentation on whole-volume CT images instead of local patches or subsets of slices, (b) incorporating 3D squeeze-and-excitation residual blocks in encoding layers for better feature representation, and (c) a new loss function combining Dice scores and focal loss to facilitate the training of the neural model. These features are designed to address two main challenges in deep learning-based HaN segmentation: (a) segmenting small anatomies (i.e., optic chiasm and optic nerves) occupying only a few slices, and (b) training with inconsistent data annotations with missing ground truth for some anatomical structures. RESULTS: We collected 261 HaN CT images to train AnatomyNet and used MICCAI Head and Neck Auto Segmentation Challenge 2015 as a benchmark dataset to evaluate the performance of AnatomyNet. The objective is to segment nine anatomies: brain stem, chiasm, mandible, optic nerve left, optic nerve right, parotid gland left, parotid gland right, submandibular gland left, and submandibular gland right. Compared to previous state-of-the-art results from the MICCAI 2015 competition, AnatomyNet increases Dice similarity coefficient by 3.3% on average. AnatomyNet takes about 0.12 s to fully segment a head and neck CT image of dimension 178 × 302 × 225, significantly faster than previous methods. In addition, the model is able to process whole-volume CT images and delineate all OARs in one pass, requiring little pre- or postprocessing. CONCLUSION: Deep learning models offer a feasible solution to the problem of delineating OARs from CT images. We demonstrate that our proposed model can improve segmentation accuracy and simplify the autosegmentation pipeline. With this method, it is possible to delineate OARs of a head and neck CT within a fraction of a second.</t>
  </si>
  <si>
    <t>W. Zhu, Y. Huang, L. Zeng, X. Chen, Y. Liu, Z. Qian, N. Du, W. Fan and X. Xie</t>
  </si>
  <si>
    <t>PCANet-Based Structural Representation for Nonrigid Multimodal Medical Image Registration</t>
  </si>
  <si>
    <t>Nonrigid multimodal image registration remains a challenging task in medical image processing and analysis. The structural representation (SR)-based registration methods have attracted much attention recently. However, the existing SR methods cannot provide satisfactory registration accuracy due to the utilization of hand-designed features for structural representation. To address this problem, the structural representation method based on the improved version of the simple deep learning network named PCANet is proposed for medical image registration. In the proposed method, PCANet is firstly trained on numerous medical images to learn convolution kernels for this network. Then, a pair of input medical images to be registered is processed by the learned PCANet. The features extracted by various layers in the PCANet are fused to produce multilevel features. The structural representation images are constructed for two input images based on nonlinear transformation of these multilevel features. The Euclidean distance between structural representation images is calculated and used as the similarity metrics. The objective function defined by the similarity metrics is optimized by L-BFGS method to obtain parameters of the free-form deformation (FFD) model. Extensive experiments on simulated and real multimodal image datasets show that compared with the state-of-the-art registration methods, such as modality-independent neighborhood descriptor (MIND), normalized mutual information (NMI), Weber local descriptor (WLD), and the sum of squared differences on entropy images (ESSD), the proposed method provides better registration performance in terms of target registration error (TRE) and subjective human vision.</t>
  </si>
  <si>
    <t>A deep learning radiomics model for preoperative grading in meningioma</t>
  </si>
  <si>
    <t>OBJECTIVES: To noninvasively differentiate meningioma grades by deep learning radiomics (DLR) model based on routine post-contrast MRI. METHODS: We enrolled 181 patients with histopathologic diagnosis of meningioma who received post-contrast MRI preoperative examinations from 2 hospitals (99 in the primary cohort and 82 in the validation cohort). All the tumors were segmented based on post-contrast axial T1 weighted images (T1WI), from which 2048 deep learning features were extracted by the convolutional neural network. The random forest algorithm was used to select features with importance values over 0.001, upon which a deep learning signature was built by a linear discriminant analysis classifier. The performance of our DLR model was assessed by discrimination and calibration in the independent validation cohort. For comparison, a radiomic model based on hand-crafted features and a fusion model were built. RESULTS: The DLR signature comprised 39 deep learning features and showed good discrimination performance in both the primary and validation cohorts. The area under curve (AUC), sensitivity, and specificity for predicting meningioma grades were 0.811(95% CI, 0.635-0.986), 0.769, and 0.898 respectively in the validation cohort. DLR performance was superior over the hand-crafted features. Calibration curves of DLR model showed good agreements between the prediction probability and the observed outcome of high-grade meningioma. CONCLUSIONS: Using routine MRI data, we developed a DLR model with good performance for noninvasively individualized prediction of meningioma grades, which achieved a quantization capability superior over the hand-crafted features. This model has potential to guide and facilitate the clinical decision-making of whether to observe or to treat patients by providing prognostic information.</t>
  </si>
  <si>
    <t>Y. Zhu, C. Man, L. Gong, D. Dong, X. Yu, S. Wang, M. Fang, S. Wang, X. Fang, X. Chen and J. Tian</t>
  </si>
  <si>
    <t>A deep convolutional neural network approach to single-particle recognition in cryo-electron microscopy</t>
  </si>
  <si>
    <t>BACKGROUND: Single-particle cryo-electron microscopy (cryo-EM) has become a mainstream tool for the structural determination of biological macromolecular complexes. However, high-resolution cryo-EM reconstruction often requires hundreds of thousands of single-particle images. Particle extraction from experimental micrographs thus can be laborious and presents a major practical bottleneck in cryo-EM structural determination. Existing computational methods for particle picking often use low-resolution templates for particle matching, making them susceptible to reference-dependent bias. It is critical to develop a highly efficient template-free method for the automatic recognition of particle images from cryo-EM micrographs. RESULTS: We developed a deep learning-based algorithmic framework, DeepEM, for single-particle recognition from noisy cryo-EM micrographs, enabling automated particle picking, selection and verification in an integrated fashion. The kernel of DeepEM is built upon a convolutional neural network (CNN) composed of eight layers, which can be recursively trained to be highly knowledgeable. Our approach exhibits an improved performance and accuracy when tested on the standard KLH dataset. Application of DeepEM to several challenging experimental cryo-EM datasets demonstrated its ability to avoid the selection of un-wanted particles and non-particles even when true particles contain fewer features. CONCLUSIONS: The DeepEM methodology, derived from a deep CNN, allows automated particle extraction from raw cryo-EM micrographs in the absence of a template. It demonstrates an improved performance, objectivity and accuracy. Application of this novel method is expected to free the labor involved in single-particle verification, significantly improving the efficiency of cryo-EM data processing.</t>
  </si>
  <si>
    <t>Y. Zhu, Q. Ouyang and Y. Mao</t>
  </si>
  <si>
    <t>MRI-based prostate cancer detection with high-level representation and hierarchical classification</t>
  </si>
  <si>
    <t>PURPOSE: Extracting the high-level feature representation by using deep neural networks for detection of prostate cancer, and then based on high-level feature representation constructing hierarchical classification to refine the detection results. METHODS: High-level feature representation is first learned by a deep learning network, where multiparametric MR images are used as the input data. Then, based on the learned high-level features, a hierarchical classification method is developed, where multiple random forest classifiers are iteratively constructed to refine the detection results of prostate cancer. RESULTS: The experiments were carried on 21 real patient subjects, and the proposed method achieves an averaged section-based evaluation (SBE) of 89.90%, an averaged sensitivity of 91.51%, and an averaged specificity of 88.47%. CONCLUSIONS: The high-level features learned from our proposed method can achieve better performance than the conventional handcrafted features (e.g., LBP and Haar-like features) in detecting prostate cancer regions, also the context features obtained from the proposed hierarchical classification approach are effective in refining cancer detection result.</t>
  </si>
  <si>
    <t>Y. Zhu, L. Wang, M. Liu, C. Qian, A. Yousuf, A. Oto and D. Shen</t>
  </si>
  <si>
    <t>Fully automatic segmentation on prostate MR images based on cascaded fully convolution network</t>
  </si>
  <si>
    <t>BACKGROUND: Computer-aided diagnosis (CAD) can aid radiologists in quantifying prostate cancer, and MRI segmentation plays an essential role in CAD applications. Clinical experience shows that prostate cancer occurs predominantly in the peripheral zone (PZ) and there exist different evaluation criteria for different regions in the Prostate Imaging Reporting and Data System (PI-RADS). PURPOSE: To develop a fully automatic approach to segmenting the prostate outer contour and the PZ contour with high efficacy. POPULATION: In all, 163 subjects, including 61 healthy subjects and 102 prostate cancer patients. For each subject, all slices that contained prostate gland in diffusion-weighted images (DWIs) and T(2) -weighted images (T(2) WIs) were selected as the datasets. FIELD STRENGTH: T(2) -weighted, DWI at 3.0T. ASSESSMENT: The computer-generated segmentation results were compared with the manual outlining results that were depicted by two experts with more than 5 years' experience. Dice similarity coefficient (DSC), false-positive rate (FPR), and false-negative rate (FNR) were used to compared the algorithm and manual segmentation results. STATISTICAL TESTS: A paired t-test was adopted for comparison between our method and classical U-Net segmentation methods. RESULTS: The mean DSC was 92.7 ± 4.2% for the total whole prostate gland and 79.3 ± 10.4% for the total peripheral zone. Compared with classical U-Net segmentation methods, our segmentation precision was significantly higher (P &lt; 0.001). DATA CONCLUSION: By cropping the region of interest and cascading the two networks, our method balances the positive and negative sample gradually, and results in higher segmentation accuracy. This fully automatic strategy could provide satisfactory performance in prostate DWIs and T(2) WIs-based image segmentation. LEVEL OF EVIDENCE: 2 Technical Efficacy Stage 1 J. Magn. Reson. Imaging 2019;49:1149-1156.</t>
  </si>
  <si>
    <t>A generic deep learning framework to classify thyroid and breast lesions in ultrasound images</t>
  </si>
  <si>
    <t>Breast and thyroid cancers are the two common cancers to affect women worldwide. Ultrasonography (US) is a commonly used non-invasive imaging modality to detect breast and thyroid cancers, but its clinical diagnostic accuracy for these cancers is controversial. Both thyroid and breast cancers share some similar high frequency ultrasound characteristics such as taller-than-wide shape ratio, hypo-echogenicity, and ill-defined margins. This study aims to develop an automatic scheme for classifying thyroid and breast lesions in ultrasound images using deep convolutional neural networks (DCNN). In particular, we propose a generic DCNN architecture with transfer learning and the same architectural parameter settings to train models for thyroid and breast cancers (TNet and BNet) respectively, and test the viability of such a generic approach with ultrasound images collected from clinical practices. In addition, the potentials of the thyroid model in learning the common features and its performance of classifying both breast and thyroid lesions are investigated. A retrospective dataset of 719 thyroid and 672 breast images captured from US machines of different makes between October 2016 and December 2018 is used in this study. Test results show that both TNet and BNet built on the same DCNN architecture have achieved good classification results (86.5% average accuracy for TNet and 89% for BNet). Furthermore, we used TNet to classify breast lesions and the model achieves sensitivity of 86.6% and specificity of 87.1%, indicating its capability in learning features commonly shared by thyroid and breast lesions. We further tested the diagnostic performance of the TNet model against that of three radiologists. The area under curve (AUC) for thyroid nodule classification is 0.861 (95% CI: 0.792-0.929) for the TNet model and 0.757-0.854 (95% CI: 0.658-0.934) for the three radiologists. The AUC for breast cancer classification is 0.875 (95% CI: 0.804-0.947) for the TNet model and 0.698-0.777 (95% CI: 0.593-0.872) for the radiologists, indicating the model's potential in classifying both breast and thyroid cancers with a higher level of accuracy than that of radiologists.</t>
  </si>
  <si>
    <t>Deep learning for identifying radiogenomic associations in breast cancer</t>
  </si>
  <si>
    <t>RATIONALE AND OBJECTIVES: To determine whether deep learning models can distinguish between breast cancer molecular subtypes based on dynamic contrast-enhanced magnetic resonance imaging (DCE-MRI). MATERIALS AND METHODS: In this institutional review board-approved single-center study, we analyzed DCE-MR images of 270 patients at our institution. Lesions of interest were identified by radiologists. The task was to automatically determine whether the tumor is of the Luminal A subtype or of another subtype based on the MR image patches representing the tumor. Three different deep learning approaches were used to classify the tumor according to their molecular subtypes: learning from scratch where only tumor patches were used for training, transfer learning where networks pre-trained on natural images were fine-tuned using tumor patches, and off-the-shelf deep features where the features extracted by neural networks trained on natural images were used for classification with a support vector machine. Network architectures utilized in our experiments were GoogleNet, VGG, and CIFAR. We used 10-fold crossvalidation method for validation and area under the receiver operating characteristic (AUC) as the measure of performance. RESULTS: The best AUC performance for distinguishing molecular subtypes was 0.65 (95% CI:[0.57,0.71]) and was achieved by the off-the-shelf deep features approach. The highest AUC performance for training from scratch was 0.58 (95% CI:[0.51,0.64]) and the best AUC performance for transfer learning was 0.60 (95% CI:[0.52,0.65]) respectively. For the off-the-shelf approach, the features extracted from the fully connected layer performed the best. CONCLUSION: Deep learning may play a role in discovering radiogenomic associations in breast cancer.</t>
  </si>
  <si>
    <t>Joint affine and deformable three-dimensional networks for brain MRI registration</t>
  </si>
  <si>
    <t>PURPOSE: Volumetric medical image registration has important clinical significance. Traditional registration methods may be time-consuming when processing large volumetric data due to their iterative optimizations. In contrast, existing deep learning-based networks can obtain the registration quickly. However, most of them require independent rigid alignment before deformable registration; these two steps are often performed separately and cannot be end-to-end. METHODS: We propose an end-to-end joint affine and deformable network for three-dimensional (3D) medical image registration. The proposed network combines two deformation methods; the first one is for obtaining affine alignment and the second one is a deformable subnetwork for achieving the nonrigid registration. The parameters of the two subnetworks are shared. The global and local similarity measures are used as loss functions for the two subnetworks, respectively. Moreover, an anatomical similarity loss is devised to weakly supervise the training of the whole registration network. Finally, the trained network can perform deformable registration in one forward pass. RESULTS: The efficacy of our network was extensively evaluated on three public brain MRI datasets including Mindboggle101, LPBA40, and IXI. Experimental results demonstrate our network consistently outperformed several state-of-the-art methods with respect to the metrics of Dice index (DSC), Hausdorff distance (HD), and average symmetric surface distance (ASSD). CONCLUSIONS: The proposed network provides accurate and robust volumetric registration without any pre-alignment requirement, which facilitates the end-to-end deformable registration.</t>
  </si>
  <si>
    <t>Unsupervised 3D End-to-end Deformable Network for Brain MRI Registration</t>
  </si>
  <si>
    <t>Volumetric medical image registration has important clinical significance. Traditional registration methods may be time-consuming when processing large volumetric data due to their iterative optimizations. In contrast, existing deep learning-based networks can obtain the registration quickly. However, most of them require independent rigid alignment before deformable registration; these two steps are often performed separately and cannot be end-to-end. Moreover, registration ground-truth is difficult to obtain for supervised learning methods. To tackle the above issues, we propose an unsupervised 3D end-to-end deformable registration network. The proposed network cascades two subnetworks; the first one is for obtaining affine alignment, and the second one is a deformable subnetwork for achieving the non-rigid registration. The parameters of the two subnetworks are shared. The global and local similarity measures are used as loss functions for the two subnetworks, respectively. The trained network can perform end-to-end deformable registration. We conducted experiments on brain MRI datasets (LPBA40, Mindboggle101, and IXI) and experimental results demonstrate the efficacy of the proposed registration network.</t>
  </si>
  <si>
    <t>Deep learning analysis of breast MRIs for prediction of occult invasive disease in ductal carcinoma in situ</t>
  </si>
  <si>
    <t>PURPOSE: To determine whether deep learning-based algorithms applied to breast MR images can aid in the prediction of occult invasive disease following the diagnosis of ductal carcinoma in situ (DCIS) by core needle biopsy. MATERIALS AND METHODS: Our study is retrospective. The data was collected from 2000 to 2014. In this institutional review board-approved study, we analyzed dynamic contrast-enhanced fat-saturated T1-weighted MRI sequences from 131 patients with a core needle biopsy-confirmed diagnosis of DCIS. We explored two different deep learning approaches to predict whether there was an occult invasive component in the analyzed tumors that was ultimately identified at surgical excision. In the first approach, we adopted the transfer learning strategy. Specifically, we used the pre-trained GoogleNet. In the second approach, we used a pre-trained network to extract deep features, and a support vector machine (SVM) that utilizes these features to predict the upstaging of DCIS. We used nested 10-fold cross validation and the area under the ROC curve (AUC) to estimate the performance of the predictive models. RESULTS: The best classification performance was obtained using the deep features approach with GoogleNet model pre-trained on ImageNet as the feature extractor and a polynomial kernel SVM used as the classifier (AUC = 0.70, 95% CI: 0.58-0.79). For the transfer learning based approach, the highest AUC obtained was 0.68 (95% CI: 0.57-0.77). CONCLUSIONS: Convolutional neural networks might be used to identify occult invasive disease in patients diagnosed with DCIS by core needle biopsy.</t>
  </si>
  <si>
    <t>Evaluation of algorithms for Multi-Modality Whole Heart Segmentation: An open-access grand challenge</t>
  </si>
  <si>
    <t>Knowledge of whole heart anatomy is a prerequisite for many clinical applications. Whole heart segmentation (WHS), which delineates substructures of the heart, can be very valuable for modeling and analysis of the anatomy and functions of the heart. However, automating this segmentation can be challenging due to the large variation of the heart shape, and different image qualities of the clinical data. To achieve this goal, an initial set of training data is generally needed for constructing priors or for training. Furthermore, it is difficult to perform comparisons between different methods, largely due to differences in the datasets and evaluation metrics used. This manuscript presents the methodologies and evaluation results for the WHS algorithms selected from the submissions to the Multi-Modality Whole Heart Segmentation (MM-WHS) challenge, in conjunction with MICCAI 2017. The challenge provided 120 three-dimensional cardiac images covering the whole heart, including 60 CT and 60 MRI volumes, all acquired in clinical environments with manual delineation. Ten algorithms for CT data and eleven algorithms for MRI data, submitted from twelve groups, have been evaluated. The results showed that the performance of CT WHS was generally better than that of MRI WHS. The segmentation of the substructures for different categories of patients could present different levels of challenge due to the difference in imaging and variations of heart shapes. The deep learning (DL)-based methods demonstrated great potential, though several of them reported poor results in the blinded evaluation. Their performance could vary greatly across different network structures and training strategies. The conventional algorithms, mainly based on multi-atlas segmentation, demonstrated good performance, though the accuracy and computational efficiency could be limited. The challenge, including provision of the annotated training data and the blinded evaluation for submitted algorithms on the test data, continues as an ongoing benchmarking resource via its homepage (www.sdspeople.fudan.edu.cn/zhuangxiahai/0/mmwhs/).</t>
  </si>
  <si>
    <t>Breast ultrasound lesion classification based on image decomposition and transfer learning</t>
  </si>
  <si>
    <t>PURPOSE: In medical image analysis, deep learning has great application potential. Discovering a method for extracting valuable information from medical images and integrating that information closely with medical treatment has recently become a major topic of interest. Because obtaining large volumes of breast lesion ultrasound image data is difficult, transfer learning is usually employed to obtain benign and malignant classification of breast lesions. However, because of blurred unclear regions of interest in breast lesion ultrasound images and severe speckle noise interference, convolutional neural networks have proven ineffective in extracting features, thus providing unreliable classification results. METHODS: This study employs image decomposition to obtain fuzzy enhanced and bilateral filtered images to enrich input information of breast lesions. Fuzzy enhanced, bilateral filtered, and original ultrasound images comprise multifeature data, which are presented as inputs to a pre-trained model to realize knowledge fusion. Therefore, effective features of breast lesions are extracted and then used to train fully connected layers with ground truths provided by a doctor to accomplish the classification. RESULTS: A pre-trained VGG16 model was used to extract features from multifeature data, and these features were fused to train the fully connected layers to realize classification. The performance score reported is as follows: accuracy of 93%, sensitivity of 95%, specificity of 88%, F1 score of 0.93, and AUC of 0.97. CONCLUSIONS: Compared with using a single original ultrasound image for feature extraction, multifeature data based on image decomposition enables the pre-trained model to extract more relevant features, thereby providing better classification results than those from traditional transfer learning techniques.</t>
  </si>
  <si>
    <t>An RDAU-NET model for lesion segmentation in breast ultrasound images</t>
  </si>
  <si>
    <t>Breast cancer is a common gynecological disease that poses a great threat to women health due to its high malignant rate. Breast cancer screening tests are used to find any warning signs or symptoms for early detection and currently, Ultrasound screening is the preferred method for breast cancer diagnosis. The localization and segmentation of the lesions in breast ultrasound (BUS) images are helpful for clinical diagnosis of the disease. In this paper, an RDAU-NET (Residual-Dilated-Attention-Gate-UNet) model is proposed and employed to segment the tumors in BUS images. The model is based on the conventional U-Net, but the plain neural units are replaced with residual units to enhance the edge information and overcome the network performance degradation problem associated with deep networks. To increase the receptive field and acquire more characteristic information, dilated convolutions were used to process the feature maps obtained from the encoder stages. The traditional cropping and copying between the encoder-decoder pipelines were replaced by the Attention Gate modules which enhanced the learning capabilities through suppression of background information. The model, when tested with BUS images with benign and malignant tumor presented excellent segmentation results as compared to other Deep Networks. A variety of quantitative indicators including Accuracy, Dice coefficient, AUC(Area-Under-Curve), Precision, Sensitivity, Specificity, Recall, F1score and M-IOU (Mean-Intersection-Over-Union) provided performances above 80%. The experimental results illustrate that the proposed RDAU-NET model can accurately segment breast lesions when compared to other deep learning models and thus has a good prospect for clinical diagnosis.</t>
  </si>
  <si>
    <t>Machine Learning Approaches to Improve Three Basic Plant Phenotyping Tasks Using Three-Dimensional Point Clouds</t>
  </si>
  <si>
    <t>Developing automated methods to efficiently process large volumes of point cloud data remains a challenge for three-dimensional (3D) plant phenotyping applications. Here, we describe the development of machine learning methods to tackle three primary challenges in plant phenotyping: lamina/stem classification, lamina counting, and stem skeletonization. For classification, we assessed and validated the accuracy of our methods on a dataset of 54 3D shoot architectures, representing multiple growth conditions and developmental time points for two Solanaceous species, tomato (Solanum lycopersicum cv 75 m82D) and Nicotiana benthamiana Using deep learning, we classified lamina versus stems with 97.8% accuracy. Critically, we also demonstrated the robustness of our method to growth conditions and species that have not been trained on, which is important in practical applications but is often untested. For lamina counting, we developed an enhanced region-growing algorithm to reduce oversegmentation; this method achieved 86.6% accuracy, outperforming prior methods developed for this problem. Finally, for stem skeletonization, we developed an enhanced tip detection technique, which ran an order of magnitude faster and generated more precise skeleton architectures than prior methods. Overall, our improvements enable higher throughput and accurate extraction of phenotypic properties from 3D point cloud data.</t>
  </si>
  <si>
    <t>Plant Physiol</t>
  </si>
  <si>
    <t>Deep Learning of Atomically Resolved Scanning Transmission Electron Microscopy Images: Chemical Identification and Tracking Local Transformations</t>
  </si>
  <si>
    <t>Recent advances in scanning transmission electron and scanning probe microscopies have opened exciting opportunities in probing the materials structural parameters and various functional properties in real space with angstrom-level precision. This progress has been accompanied by an exponential increase in the size and quality of data sets produced by microscopic and spectroscopic experimental techniques. These developments necessitate adequate methods for extracting relevant physical and chemical information from the large data sets, for which a priori information on the structures of various atomic configurations and lattice defects is limited or absent. Here we demonstrate an application of deep neural networks to extract information from atomically resolved images including location of the atomic species and type of defects. We develop a weakly supervised approach that uses information on the coordinates of all atomic species in the image, extracted via a deep neural network, to identify a rich variety of defects that are not part of an initial training set. We further apply our approach to interpret complex atomic and defect transformation, including switching between different coordination of silicon dopants in graphene as a function of time, formation of peculiar silicon dimer with mixed 3-fold and 4-fold coordination, and the motion of molecular rotor. This deep learning-based approach resembles logic of a human operator, but can be scaled leading to significant shift in the way of extracting and analyzing information from raw experimental data.</t>
  </si>
  <si>
    <t>Deep learning approach to describe and classify fungi microscopic images</t>
  </si>
  <si>
    <t>Preliminary diagnosis of fungal infections can rely on microscopic examination. However, in many cases, it does not allow unambiguous identification of the species due to their visual similarity. Therefore, it is usually necessary to use additional biochemical tests. That involves additional costs and extends the identification process up to 10 days. Such a delay in the implementation of targeted therapy may be grave in consequence as the mortality rate for immunosuppressed patients is high. In this paper, we apply a machine learning approach based on deep neural networks and bag-of-words to classify microscopic images of various fungi species. Our approach makes the last stage of biochemical identification redundant, shortening the identification process by 2-3 days, and reducing the cost of the diagnosis.</t>
  </si>
  <si>
    <t>Can surgical simulation be used to train detection and classification of neural networks?</t>
  </si>
  <si>
    <t>Computer-assisted interventions (CAI) aim to increase the effectiveness, precision and repeatability of procedures to improve surgical outcomes. The presence and motion of surgical tools is a key information input for CAI surgical phase recognition algorithms. Vision-based tool detection and recognition approaches are an attractive solution and can be designed to take advantage of the powerful deep learning paradigm that is rapidly advancing image recognition and classification. The challenge for such algorithms is the availability and quality of labelled data used for training. In this Letter, surgical simulation is used to train tool detection and segmentation based on deep convolutional neural networks and generative adversarial networks. The authors experiment with two network architectures for image segmentation in tool classes commonly encountered during cataract surgery. A commercially-available simulator is used to create a simulated cataract dataset for training models prior to performing transfer learning on real surgical data. To the best of authors' knowledge, this is the first attempt to train deep learning models for surgical instrument detection on simulated data while demonstrating promising results to generalise on real data. Results indicate that simulated data does have some potential for training advanced classification methods for CAI systems.</t>
  </si>
  <si>
    <t>O. Zisimopoulos, E. Flouty, M. Stacey, S. Muscroft, P. Giataganas, J. Nehme, A. Chow and D. Stoyanov</t>
  </si>
  <si>
    <t>10.1097/rmr.0000000000000237</t>
  </si>
  <si>
    <t>Deep Learning AI Applications in the Imaging of Glioma</t>
  </si>
  <si>
    <t>This manuscript will review emerging applications of artificial intelligence, specifically deep learning, and its application to glioblastoma multiforme (GBM), the most common primary malignant brain tumor. Current deep learning approaches, commonly convolutional neural networks (CNNs), that take input data from MR images to grade gliomas (high grade from low grade) and predict overall survival will be shown. There will be more in-depth review of recent articles that have applied different CNNs to predict the genetics of glioma on pre-operative MR images, specifically 1p19q codeletion, MGMT promoter, and IDH mutations, which are important criteria for the diagnosis, treatment management, and prognostication of patients with GBM. Finally, there will be a brief mention of current challenges with DL techniques and their application to image analysis in GBM.</t>
  </si>
  <si>
    <t>10.1007/s10334-019-00782-y</t>
  </si>
  <si>
    <t>Image registration in dynamic renal MRI-current status and prospects</t>
  </si>
  <si>
    <t>Magnetic resonance imaging (MRI) modalities have achieved an increasingly important role in the clinical work-up of chronic kidney diseases (CKD). This comprises among others assessment of hemodynamic parameters by arterial spin labeling (ASL) or dynamic contrast-enhanced (DCE-) MRI. Especially in the latter, images or volumes of the kidney are acquired over time for up to several minutes. Therefore, they are hampered by motion, e.g., by pulsation, peristaltic, or breathing motion. This motion can hinder subsequent image analysis to estimate hemodynamic parameters like renal blood flow or glomerular filtration rate (GFR). To overcome motion artifacts in time-resolved renal MRI, a wide range of strategies have been proposed. Renal image registration approaches could be grouped into (1) image acquisition techniques, (2) post-processing methods, or (3) a combination of image acquisition and post-processing approaches. Despite decades of progress, the translation in clinical practice is still missing. The aim of the present article is to discuss the existing literature on renal image registration techniques and show today's limitations of the proposed techniques that hinder clinical translation. This paper includes transformation, criterion function, and search types as traditional components and emerging registration technologies based on deep learning. The current trend points towards faster registrations and more accurate results. However, a standardized evaluation of image registration in renal MRI is still missing.</t>
  </si>
  <si>
    <t>A deep dive into understanding tumor foci classification using multiparametric MRI based on convolutional neural network</t>
  </si>
  <si>
    <t>PURPOSE: Deep learning models have had a great success in disease classifications using large data pools of skin cancer images or lung X-rays. However, data scarcity has been the roadblock of applying deep learning models directly on prostate multiparametric MRI (mpMRI). Although model interpretation has been heavily studied for natural images for the past few years, there has been a lack of interpretation of deep learning models trained on medical images. In this paper, an efficient convolutional neural network (CNN) was developed and the model interpretation at various convolutional layers was systematically analyzed to improve the understanding of how CNN interprets multimodality medical images and the predictive powers of features at each layer. The problem of small sample size was addressed by feeding the intermediate features into a traditional classification algorithm known as weighted extreme learning machine (wELM), with imbalanced distribution among output categories taken into consideration. METHODS: The training data collection used a retrospective set of prostate MR studies, from SPIE-AAPM-NCI PROSTATEx Challenges held in 2017. Three hundred twenty biopsy samples of lesions from 201 prostate cancer patients were diagnosed and identified as clinically significant (malignant) or not significant (benign). All studies included T2-weighted (T2W), proton density-weighted (PD-W), dynamic contrast enhanced (DCE) and diffusion-weighted (DW) imaging. After registration and lesion-based normalization, a CNN with four convolutional layers were developed and trained on tenfold cross validation. The features from intermediate layers were then extracted as input to wELM to test the discriminative power of each individual layer. The best performing model from the tenfolds was chosen to be tested on the holdout cohort from two sources. Feature maps after each convolutional layer were then visualized to monitor the trend, as the layer propagated. Scatter plotting was used to visualize the transformation of data distribution. Finally, a class activation map was generated to highlight the region of interest based on the model perspective. RESULTS: Experimental trials indicated that the best input for CNN was a modality combination of T2W, apparent diffusion coefficient (ADC) and DWI(b50) . The convolutional features from CNN paired with a weighted extreme learning classifier showed substantial performance compared to a CNN end-to-end training model. The feature map visualization reveals similar findings on natural images where lower layers tend to learn lower level features such as edges, intensity changes, etc, while higher layers learn more abstract and task-related concept such as the lesion region. The generated saliency map revealed that the model was able to focus on the region of interest where the lesion resided and filter out background information, including prostate boundary, rectum, etc. CONCLUSIONS: This work designs a customized workflow for the small and imbalanced dataset of prostate mpMRI where features were extracted from a deep learning model and then analyzed by a traditional machine learning classifier. In addition, this work contributes to revealing how deep learning models interpret mpMRI for prostate cancer patient stratification.</t>
  </si>
  <si>
    <t>10.1155/2019/6509357</t>
  </si>
  <si>
    <t>A Technical Review of Convolutional Neural Network-Based Mammographic Breast Cancer Diagnosis</t>
  </si>
  <si>
    <t>This study reviews the technique of convolutional neural network (CNN) applied in a specific field of mammographic breast cancer diagnosis (MBCD). It aims to provide several clues on how to use CNN for related tasks. MBCD is a long-standing problem, and massive computer-aided diagnosis models have been proposed. The models of CNN-based MBCD can be broadly categorized into three groups. One is to design shallow or to modify existing models to decrease the time cost as well as the number of instances for training; another is to make the best use of a pretrained CNN by transfer learning and fine-tuning; the third is to take advantage of CNN models for feature extraction, and the differentiation of malignant lesions from benign ones is fulfilled by using machine learning classifiers. This study enrolls peer-reviewed journal publications and presents technical details and pros and cons of each model. Furthermore, the findings, challenges and limitations are summarized and some clues on the future work are also given. Conclusively, CNN-based MBCD is at its early stage, and there is still a long way ahead in achieving the ultimate goal of using deep learning tools to facilitate clinical practice. This review benefits scientific researchers, industrial engineers, and those who are devoted to intelligent cancer diagnosis.</t>
  </si>
  <si>
    <t>10.7507/1001-5515.201810004</t>
  </si>
  <si>
    <t>[Research progress and challenges of deep learning in medical image registration]</t>
  </si>
  <si>
    <t>With the development of image-guided surgery and radiotherapy, the demand for medical image registration is stronger and the challenge is greater. In recent years, deep learning, especially deep convolution neural networks, has made excellent achievements in medical image processing, and its research in registration has developed rapidly. In this paper, the research progress of medical image registration based on deep learning at home and abroad is reviewed according to the category of technical methods, which include similarity measurement with an iterative optimization strategy, direct estimation of transform parameters, etc. Then, the challenge of deep learning in medical image registration is analyzed, and the possible solutions and open research are proposed.</t>
  </si>
  <si>
    <t>A promising approach for screening pulmonary hypertension based on frontal chest radiographs using deep learning: A retrospective study</t>
  </si>
  <si>
    <t>BACKGROUND: To date, the missed diagnosis rate of pulmonary hypertension (PH) was high, and there has been limited development of a rapid, simple, and effective way to screen the disease. The purpose of this study is to develop a deep learning approach to achieve rapid detection of possible abnormalities in chest radiographs suggesting PH for screening patients suspected of PH. METHODS: We retrospectively collected frontal chest radiographs and the pulmonary artery systolic pressure (PASP) value measured by Doppler transthoracic echocardiography from 762 patients (357 healthy controls and 405 with PH) from three institutes in China from January 2013 to May 2019. The wohle sample comprised 762 images (641 for training, 80 for internal test, and 41 for external test). We firstly performed a 8-fold cross-validation on the 641 images selected for training (561 for pre-training, 80 for validation), then decided to tune learning rate to 0.0008 according to the best score on validation data. Finally, we used all the pre-training and validation data (561+80 = 641) to train our models (Resnet50, Xception, and Inception V3), evaluated them on internal and external test dataset to classify the images as having manifestations of PH or healthy according to the area under the receiver operating characteristic curve (AUC/ROC). After that, the three deep learning models were further used for prediction of PASP using regression algorithm. Moreover, we invited an experienced chest radiologist to classify the images in the test dataset as having PH or not, and compared the prediction accuracy performed by deep learing models with that of manual classification. RESULTS: The AUC performed by the best model (Inception V3) achieved 0.970 in the internal test, and slightly declined in the external test (0.967) when using deep learning algorithms to classify PH from normal based on chest X-rays. The mean absolute error (MAE) of the best model for prediction of PASP value was smaller in the internal test (7.45) compared to 9.95 in the external test. Manual classification of PH based on chest X-rays showed much lower AUCs compared to that performed by deep learning models both in the internal and external test. CONCLUSIONS: The present study used deep learning algorithms to classify abnormalities suggesting PH in chest radiographs with high accuracy and good generalizability. Once tested prospectively in clinical settings, the technology could provide a non-invasive and easy-to-use method to screen patients suspected of having PH.</t>
  </si>
  <si>
    <t>Deep learning analysis of the myocardium in coronary CT angiography for identification of patients with functionally significant coronary artery stenosis</t>
  </si>
  <si>
    <t>In patients with coronary artery stenoses of intermediate severity, the functional significance needs to be determined. Fractional flow reserve (FFR) measurement, performed during invasive coronary angiography (ICA), is most often used in clinical practice. To reduce the number of ICA procedures, we present a method for automatic identification of patients with functionally significant coronary artery stenoses, employing deep learning analysis of the left ventricle (LV) myocardium in rest coronary CT angiography (CCTA). The study includes consecutively acquired CCTA scans of 166 patients who underwent invasive FFR measurements. To identify patients with a functionally significant coronary artery stenosis, analysis is performed in several stages. First, the LV myocardium is segmented using a multiscale convolutional neural network (CNN). To characterize the segmented LV myocardium, it is subsequently encoded using unsupervised convolutional autoencoder (CAE). As ischemic changes are expected to appear locally, the LV myocardium is divided into a number of spatially connected clusters, and statistics of the encodings are computed as features. Thereafter, patients are classified according to the presence of functionally significant stenosis using an SVM classifier based on the extracted features. Quantitative evaluation of LV myocardium segmentation in 20 images resulted in an average Dice coefficient of 0.91 and an average mean absolute distance between the segmented and reference LV boundaries of 0.7 mm. Twenty CCTA images were used to train the LV myocardium encoder. Classification of patients was evaluated in the remaining 126 CCTA scans in 50 10-fold cross-validation experiments and resulted in an area under the receiver operating characteristic curve of 0.74 ± 0.02. At sensitivity levels 0.60, 0.70 and 0.80, the corresponding specificity was 0.77, 0.71 and 0.59, respectively. The results demonstrate that automatic analysis of the LV myocardium in a single CCTA scan acquired at rest, without assessment of the anatomy of the coronary arteries, can be used to identify patients with functionally significant coronary artery stenosis. This might reduce the number of patients undergoing unnecessary invasive FFR measurements.</t>
  </si>
  <si>
    <t>M. Zreik, N. Lessmann, R. W. van Hamersvelt, J. M. Wolterink, M. Voskuil, M. A. Viergever, T. Leiner and I. Išgum</t>
  </si>
  <si>
    <t>DOI</t>
  </si>
  <si>
    <t>Title</t>
  </si>
  <si>
    <t>Abstract</t>
  </si>
  <si>
    <t>Year</t>
  </si>
  <si>
    <t>Journal</t>
  </si>
  <si>
    <t>Column1.1</t>
  </si>
  <si>
    <t>Publisher: Abstract available from the publisher.</t>
  </si>
  <si>
    <t>review</t>
  </si>
  <si>
    <t>列1</t>
  </si>
  <si>
    <t>Digital Object ID</t>
  </si>
  <si>
    <t>Article Title</t>
  </si>
  <si>
    <t xml:space="preserve"> </t>
    <phoneticPr fontId="0" type="noConversion"/>
  </si>
  <si>
    <t>radiological subspecialty [neuroradiology, head and neck, thyroid, breast, thoracic, cardiac, abdominal, musculoskeletal, genitourinary, or miscellaneous (not conforming to one of the aforementioned categories)]</t>
  </si>
  <si>
    <t>imaging technique(s) [US, CT, MRI, PET,mammography， pathological image(H&amp;E，WSI，ICH), mixed (more than one radiological technique), or OTHER]</t>
  </si>
  <si>
    <t>deep learning architectures(CNN,DNN,RNN)specific machine learning techniques used for feature selection</t>
    <phoneticPr fontId="0" type="noConversion"/>
  </si>
  <si>
    <t xml:space="preserve">study purpose [image acquisition, pre-processing,  characterization, monitoring (prediction of therapy response, risk assessment, and prognosis), or reporting; according to consensus in the radiology field (25)], </t>
    <phoneticPr fontId="0" type="noConversion"/>
  </si>
  <si>
    <t>图像/患者数量</t>
  </si>
  <si>
    <t>sample size&lt;=500,501-1000,1000-3000,&gt;3000, not mentioned</t>
    <phoneticPr fontId="0" type="noConversion"/>
  </si>
  <si>
    <t>sample related</t>
    <phoneticPr fontId="0" type="noConversion"/>
  </si>
  <si>
    <t xml:space="preserve">study setting (single center or validated on multiple centers), </t>
    <phoneticPr fontId="0" type="noConversion"/>
  </si>
  <si>
    <t>study design (prospective or retrospective),</t>
    <phoneticPr fontId="0" type="noConversion"/>
  </si>
  <si>
    <t>statistical analysis (used or not used),</t>
    <phoneticPr fontId="0" type="noConversion"/>
  </si>
  <si>
    <t xml:space="preserve">funding sources (government, private, or other), </t>
  </si>
  <si>
    <t>author number 这列不需要查</t>
  </si>
  <si>
    <t>author number (&lt;4, 4–7, &gt;7)</t>
    <phoneticPr fontId="0" type="noConversion"/>
  </si>
  <si>
    <t>first author’s affiliation [radiology (including radiology, nuclear medicine, and other imaging-related specialties) medicine or related specialties (including internal medicine, paediatrics, psychiatry, neurology, dermatology, etc ), surgery or related specialties (including surgery, obstetrics and gynaecology, orthopaedics, anaesthesiology, pathology, etc ), or other (including basic science, laboratory, or other research institutes)]</t>
  </si>
  <si>
    <t>Journal: Title</t>
  </si>
  <si>
    <t>Affiliation</t>
  </si>
  <si>
    <t>All Authors (Last, Initials)</t>
  </si>
  <si>
    <t>Language</t>
  </si>
  <si>
    <t>Journal: Abbreviation</t>
  </si>
  <si>
    <t>Journal: NLM ID</t>
  </si>
  <si>
    <t>Journal: Year</t>
  </si>
  <si>
    <t>10 1016/j media 2019 101557</t>
  </si>
  <si>
    <t xml:space="preserve">Exploring uncertainty measures in deep networks for Multiple sclerosis lesion detection and segmentation </t>
  </si>
  <si>
    <t xml:space="preserve">Deep learning networks have recently been shown to outperform other segmentation methods on various public, medical-image challenge datasets, particularly on metrics focused on large pathologies  For diseases such as Multiple Sclerosis (MS), however, monitoring all the focal lesions visible on MRI sequences, even very small ones, is essential for disease staging, prognosis, and evaluating treatment efficacy  Small lesion segmentation presents significant challenges to popular deep learning models  This, coupled with their deterministic predictions, hinders their clinical adoption  Uncertainty estimates for these predictions would permit subsequent revision by clinicians  We present the first exploration of multiple uncertainty estimates based on Monte Carlo (MC) dropout (Gal and Ghahramani, 2016) in the context of deep networks for lesion detection and segmentation in medical images  Specifically, we develop a 3D MS lesion segmentation CNN, augmented to provide four different voxel-based uncertainty measures based on MC dropout  We train the network on a proprietary, large-scale, multi-site, multi-scanner, clinical MS dataset, and compute lesion-wise uncertainties by accumulating evidence from voxel-wise uncertainties within detected lesions  We analyze the performance of voxel-based segmentation and lesion-level detection by choosing operating points based on the uncertainty  Uncertainty filtering improves both voxel and lesion-wise TPR and FDR on remaining, certain predictions compared to sigmoid-based TPR/FDR curves  Small lesions and lesion-boundaries are the most uncertain regions, which is consistent with human-rater variability </t>
  </si>
  <si>
    <t>head and neck</t>
  </si>
  <si>
    <t>MRI</t>
  </si>
  <si>
    <t>CNN</t>
    <phoneticPr fontId="0" type="noConversion"/>
  </si>
  <si>
    <t>characterization-detection</t>
  </si>
  <si>
    <t>1000-3000</t>
  </si>
  <si>
    <t>imagine</t>
  </si>
  <si>
    <t>multi-center</t>
  </si>
  <si>
    <t>RETROSPECTIVE</t>
  </si>
  <si>
    <t>USED</t>
  </si>
  <si>
    <t>government</t>
  </si>
  <si>
    <t>4-7</t>
  </si>
  <si>
    <t>other</t>
  </si>
  <si>
    <t>Canada</t>
    <phoneticPr fontId="0" type="noConversion"/>
  </si>
  <si>
    <t>Medical image analysis</t>
  </si>
  <si>
    <t xml:space="preserve">Centre for Intelligent Machines, McGill University, Montréal, Canada  Electronic address: tanya nair@mail mcgill ca </t>
  </si>
  <si>
    <t>Nair, T; Precup, D; Arnold, DL; Arbel, T</t>
  </si>
  <si>
    <t>eng</t>
  </si>
  <si>
    <t>Med Image Anal</t>
    <phoneticPr fontId="0" type="noConversion"/>
  </si>
  <si>
    <t>9713490</t>
  </si>
  <si>
    <t>10 1016/j ejmp 2019 10 001</t>
  </si>
  <si>
    <t xml:space="preserve">MFP-Unet: A novel deep learning based approach for left ventricle segmentation in echocardiography </t>
  </si>
  <si>
    <t xml:space="preserve">Segmentation of the Left ventricle (LV) is a crucial step for quantitative measurements such as area, volume, and ejection fraction  However, the automatic LV segmentation in 2D echocardiographic images is a challenging task due to ill-defined borders, and operator dependence issues (insufficient reproducibility)  U-net, which is a well-known architecture in medical image segmentation, addressed this problem through an encoder-decoder path  Despite outstanding overall performance, U-net ignores the contribution of all semantic strengths in the segmentation procedure  In the present study, we have proposed a novel architecture to tackle this drawback  Feature maps in all levels of the decoder path of U-net are concatenated, their depths are equalized, and up-sampled to a fixed dimension  This stack of feature maps would be the input of the semantic segmentation layer  The performance of the proposed model was evaluated using two sets of echocardiographic images: one public dataset and one prepared dataset  The proposed network yielded significantly improved results when comparing with results from U-net, dilated U-net, Unet++, ACNN, SHG, and deeplabv3  An average Dice Metric (DM) of 0 953, Hausdorff Distance (HD) of 3 49, and Mean Absolute Distance (MAD) of 1 12 are achieved in the public dataset  The correlation graph, bland-altman analysis, and box plot showed a great agreement between automatic and manually calculated volume, area, and length </t>
  </si>
  <si>
    <t>cardiac</t>
    <phoneticPr fontId="0" type="noConversion"/>
  </si>
  <si>
    <t>US</t>
  </si>
  <si>
    <t>CNN,Unet</t>
  </si>
  <si>
    <t>characterization-segmention</t>
  </si>
  <si>
    <t>private</t>
  </si>
  <si>
    <t>&gt;7</t>
  </si>
  <si>
    <t>Iran</t>
    <phoneticPr fontId="0" type="noConversion"/>
  </si>
  <si>
    <t>Physica medica : PM : an international journal devoted to the applications of physics to medicine and biology : official journal of the Italian Association of Biomedical Physics (AIFB)</t>
  </si>
  <si>
    <t xml:space="preserve">Research and Development Department, Med Fanavarn Plus Co , Karaj, Iran; Department of Electrical Engineering, Sharif University of Technology, Tehran, Iran </t>
  </si>
  <si>
    <t>Moradi, S; Oghli, MG; Alizadehasl, A; Shiri, I; Oveisi, N; Oveisi, M; Maleki, M; Dhooge, J</t>
  </si>
  <si>
    <t>9302888</t>
  </si>
  <si>
    <t>10 1109/JBHI 2019 2949837</t>
  </si>
  <si>
    <t xml:space="preserve">Deep Learning-Based Classification of Liver Cancer Histopathology Images Using Only Global Labels </t>
  </si>
  <si>
    <t xml:space="preserve">Liver cancer is a leading cause of cancer deaths worldwide due to its high morbidity and mortality  Histopathological image analysis (HIA) is a crucial step in the early diagnosis of liver cancer and is routinely performed manually  However, this process is time-consuming, error-prone, and easily affected by the expertise of pathologists  Recently, computer-aided methods have been widely applied to medical image analysis; however, the current medical image analysis studies have not yet focused on the histopathological morphology of liver cancer due to its complex features and the insufficiency of training images with detailed annotations  This paper proposes a deep learning method for liver cancer histopathological image classification using only global labels  To compensate for the lack of detailed cancer region annotations in those images, patch features are extracted and fully utilized  Transfer learning is used to obtain the patch-level features and then combined with multiple-instance learning to acquire the image-level features for classification  The method proposed here solves the processing of large-scale images and training sample insufficiency in liver cancer histopathological images for image classification  The proposed method can distinguish and classify liver histopathological images as abnormal or normal with high accuracy, thus providing support for the early diagnosis of liver cancer </t>
  </si>
  <si>
    <t>abdominal</t>
  </si>
  <si>
    <t>WSI</t>
  </si>
  <si>
    <t>CNN,Resnet</t>
  </si>
  <si>
    <t>characterization-classification</t>
  </si>
  <si>
    <t>250-500</t>
  </si>
  <si>
    <t>single center</t>
  </si>
  <si>
    <t>NOT USED</t>
  </si>
  <si>
    <t>China</t>
    <phoneticPr fontId="0" type="noConversion"/>
  </si>
  <si>
    <t>IEEE journal of biomedical and health informatics</t>
  </si>
  <si>
    <t>Sun, C; Xu, A; Liu, D; Xiong, Z; Zhao, F; Ding, W</t>
  </si>
  <si>
    <t>101604520</t>
  </si>
  <si>
    <t>10 1016/j mehy 2019 109431</t>
  </si>
  <si>
    <t xml:space="preserve">Cascaded deep convolutional encoder-decoder neural networks for efficient liver tumor segmentation </t>
  </si>
  <si>
    <t xml:space="preserve">Liver and hepatic tumor segmentation remains a challenging problem in Computer Tomography (CT) images analysis due to its shape variation and vague boundary  The general hypothesis says that deep learning methods produce improved results on medical image segmentation  This paper formulates the segmentation of liver tumor in CT abdominal images as a classification problem, and then solves it using a cascaded classifier framework based on deep convolutional neural networks  Two deep encoder-decoder convolutional neural networks (EDCNN) were constructed and trained to cascade segments of both the liver and lesions in CT images with limited image quantity  In other words, an EDCNN segments the liver image as the input for the training of a second EDCNN  The second EDCNN then segments the tumor regions within the liver ROI regions as predicted by the first EDCNN  Segmenting the hepatic tumor inside the liver ROI also significantly reduces false-positives  The proposed model was then tested using a public dataset (3DIRCADb), and several metrics were used in order to quantitatively evaluate its performance  The proposed method produced an average DICE score of 95 22% for the test set of CT images  The proposed method was then compared with some of the existing methods  The experimental results demonstrated that the proposed EDCNN achieved improved performance in segmentation accuracy over some existing methods </t>
  </si>
  <si>
    <t>CT</t>
  </si>
  <si>
    <t>Turkey</t>
    <phoneticPr fontId="0" type="noConversion"/>
  </si>
  <si>
    <t>Medical hypotheses</t>
    <phoneticPr fontId="0" type="noConversion"/>
  </si>
  <si>
    <t xml:space="preserve">Electrical and Electronics Engineering Dept , Engineering Faculty, Bitlis Eren University, Bitlis, Turkey </t>
  </si>
  <si>
    <t>Budak, Ü; Guo, Y; Tanyildizi, E; Şengür, A</t>
  </si>
  <si>
    <t>7505668</t>
  </si>
  <si>
    <t>10 1002/mp 13880</t>
  </si>
  <si>
    <t xml:space="preserve">Distributed Deep Learning Across Multi-site Datasets for Generalized CT Hemorrhage Segmentation </t>
  </si>
  <si>
    <t xml:space="preserve">As deep neural networks achieve more success in the wide field of computer vision, greater emphasis is being placed on the generalizations of these models for production deployment  With sufficiently large training datasets, models can typically avoid overfitting their data; however, for medical imaging it is often difficult to obtain enough data from a single site  Sharing data between institutions is also frequently nonviable or prohibited due to security measures and research compliance constraints, enforced to guard protected health information (PHI) and patient anonymity In this paper, we implement cyclic weight transfer with independent datasets from multiple geographically disparate sites without compromising PHI  We compare results between single-site learning (SSL) and multi-site learning (MSL) models on testing data drawn from each of the training sites as well as two other institutions The MSL model attains an average Dice Similarity Coefficient (DSC) of 0:690 on the holdout institution datasets with a volume correlation of 0:914, respectively corresponding to a 7% and 5% statistically significant improvement over the average of both SSL models, which attained an average DSC of 0:646 and average correlation of 0:871 We show that a neural network can be efficiently trained on data from two physically remote sites without consolidating patient data to a single location  The resulting network improves model generalization and achieves higher average DSCs on external datasets than neural networks trained on data from a single source </t>
  </si>
  <si>
    <t xml:space="preserve">CNN,Unet </t>
  </si>
  <si>
    <t>&lt;=100</t>
  </si>
  <si>
    <t>medical or related specialties</t>
  </si>
  <si>
    <t>the United States of America</t>
  </si>
  <si>
    <t>Medical physics</t>
  </si>
  <si>
    <t>Center for Neuroscience and Regenerative Medicine, Henry Jackson Foundation, Bethesda, MD, 20817, USA</t>
    <phoneticPr fontId="0" type="noConversion"/>
  </si>
  <si>
    <t>Remedios, SW; Roy, S; Bermudez, C; Patel, MB; Butman, JA; Landman, BA; Pham, DL</t>
  </si>
  <si>
    <t>0425746</t>
  </si>
  <si>
    <t>10 1007/s10278-019-00282-4</t>
  </si>
  <si>
    <t xml:space="preserve">A Deep Convolutional Neural Network for Annotation of Magnetic Resonance Imaging Sequence Type </t>
  </si>
  <si>
    <t xml:space="preserve">The explosion of medical imaging data along with the advent of big data analytics has launched an exciting era for clinical research  One factor affecting the ability to aggregate large medical image collections for research is the lack of infrastructure for automated data annotation  Among all imaging modalities, annotation of magnetic resonance (MR) images is particularly challenging due to the non-standard labeling of MR image types  In this work, we aimed to train a deep neural network to annotate MR image sequence type for scans of brain tumor patients  We focused on the four most common MR sequence types within neuroimaging: T1-weighted (T1W), T1-weighted post-gadolinium contrast (T1Gd), T2-weighted (T2W), and T2-weighted fluid-attenuated inversion recovery (FLAIR)  Our repository contains images acquired using a variety of pulse sequences, sequence parameters, field strengths, and scanner manufacturers  Image selection was agnostic to patient demographics, diagnosis, and the presence of tumor in the imaging field of view  We used a total of 14,400 two-dimensional images, each visualizing a different part of the brain  Data was split into train, validation, and test sets (9600, 2400, and 2400 images, respectively) and sets consisted of equal-sized groups of image types  Overall, the model reached an accuracy of 99% on the test set  Our results showed excellent performance of deep learning techniques in predicting sequence types for brain tumor MR images  We conclude deep learning models can serve as tools to support clinical research and facilitate efficient database management </t>
  </si>
  <si>
    <t>CNN,VGG</t>
  </si>
  <si>
    <t>&gt;3000</t>
  </si>
  <si>
    <t>Journal of digital imaging</t>
  </si>
  <si>
    <t>Mathematical NeuroOncology Lab, Precision Neurotherapeutics Innovation Program, Mayo Clinic, 5777 East Mayo Blvd, Support Services Building Suite 2-700, Phoenix, AZ, 85054, USA</t>
    <phoneticPr fontId="0" type="noConversion"/>
  </si>
  <si>
    <t>Ranjbar, S; Singleton, KW; Jackson, PR; Rickertsen, CR; Whitmire, SA; Clark-Swanson, KR; Mitchell, JR; Swanson, KR; Hu, LS</t>
  </si>
  <si>
    <t>9100529</t>
  </si>
  <si>
    <t>10 1016/j compmedimag 2019 101673</t>
  </si>
  <si>
    <t xml:space="preserve">Convolutional neural networks for multi-class brain disease detection using MRI images </t>
  </si>
  <si>
    <t xml:space="preserve">The brain disorders may cause loss of some critical functions such as thinking, speech, and movement  So, the early detection of brain diseases may help to get the timely best treatment  One of the conventional methods used to diagnose these disorders is the magnetic resonance imaging (MRI) technique  Manual diagnosis of brain abnormalities is time-consuming and difficult to perceive the minute changes in the MRI images, especially in the early stages of abnormalities  Proper selection of the features and classifiers to obtain the highest performance is a challenging task  Hence, deep learning models have been widely used for medical image analysis over the past few years  In this study, we have employed the AlexNet, Vgg-16, ResNet-18, ResNet-34, and ResNet-50 pre-trained models to automatically classify MR images in to normal, cerebrovascular, neoplastic, degenerative, and inflammatory diseases classes  We have also compared their classification performance with pre-trained models, which are the state-of-art architectures  We have obtained the best classification accuracy of 95 23% ± 0 6 with the ResNet-50 model among the five pre-trained models  Our model is ready to be tested with huge MRI images of brain abnormalities  The outcome of the model will also help the clinicians to validate their findings after manual reading of the MRI images </t>
  </si>
  <si>
    <t>CNN,AlexNet, Vgg, ResNet</t>
  </si>
  <si>
    <t>Computerized medical imaging and graphics : the official journal of the Computerized Medical Imaging Society</t>
  </si>
  <si>
    <t xml:space="preserve">Department of Computer Engineering, Munzur University, Tunceli, Turkey </t>
  </si>
  <si>
    <t>Talo, M; Yildirim, O; Baloglu, UB; Aydin, G; Acharya, UR</t>
    <phoneticPr fontId="0" type="noConversion"/>
  </si>
  <si>
    <t>8806104</t>
  </si>
  <si>
    <t>10 1109/JBHI 2019 2947506</t>
  </si>
  <si>
    <t xml:space="preserve">MR-Forest: A Deep Decision Framework for False Positive Reduction in Pulmonary Nodule Detection </t>
  </si>
  <si>
    <t xml:space="preserve">With the development of deep learning methods such as convolutional neural network (CNN), the accuracy of automated pulmonary nodule detection has been greatly improved  However, the high computational and storage costs of the large-scale network have been a potential concern for the future widespread clinical application  In this paper, an alternative Multi-ringed (MR)-Forest framework, against the resource-consuming neural networks (NN)-based architectures, has been proposed for false positive reduction in pulmonary nodule detection, which consists of three steps  First, a novel multi-ringed scanning method is used to extract the order ring facets (ORFs) from the surface voxels of the volumetric nodule models; Second, Mesh-LBP and mapping deformation are employed to estimate the texture and shape features  By sliding and resampling the multi-ringed ORFs, feature volumes with different lengths are generated  Finally, the outputs of multilevel are cascaded to predict the candidate class  On 1034 scans merging the dataset from the Affiliated Hospital of Liaoning University of Traditional Chinese Medicine (AH-LUTCM) and the LUNA16 Challenge dataset, our framework performs enough competitiveness than state-of-the-art in false positive reduction task (CPM score of 0 865)  Experimental results demonstrate that MR-Forest is a successful substitution to satisfied both resource-consuming and effectiveness for automated pulmonary nodule detection systems  The proposed MR-forest is a general architecture for 3D target detection, it can be easily extended in many other medical imaging analysis tasks, where the growth trend of the targeting object is approximated as a spheroidal expansion </t>
  </si>
  <si>
    <t>thoracic</t>
  </si>
  <si>
    <t>CNN</t>
  </si>
  <si>
    <t>Zhu, H; Zhao, H; Song, C; Bian, Z; Bi, Y; Liu, T; He, X; Yang, D; Cai, W</t>
  </si>
  <si>
    <t>10 1016/j jneumeth 2019 108418</t>
  </si>
  <si>
    <t xml:space="preserve">Decentralized distribution-sampled classification models with application to brain imaging </t>
  </si>
  <si>
    <t xml:space="preserve">In this age of big data, certain models require very large data stores in order to be informative and accurate  In many cases however, the data are stored in separate locations requiring data transfer between local sites which can cause various practical hurdles, such as privacy concerns or heavy network load  This is especially true for medical imaging data, which can be constrained due to the health insurance portability and accountability act (HIPAA) which provides security protocols for medical data  Medical imaging datasets can also contain many thousands or millions of features, requiring heavy network load Our research expands upon current decentralized classification research by implementing a new singleshot method for both neural networks and support vector machines  Our approach is to estimate the statistical distribution of the data at each local site and pass this information to the other local sites where each site resamples from the individual distributions and trains a model on both locally available data and the resampled data  The model for each local site produces its own accuracy value which are then averaged together to produce the global average accuracy We show applications of our approach to handwritten digit classification as well as to multi-subject classification of brain imaging data collected from patients with schizophrenia and healthy controls  Overall, the results showed comparable classification accuracy to the centralized model with lower network load than multishot methods Many decentralized classifiers are multishot, requiring heavy network traffic  Our model attempts to alleviate this load while preserving prediction accuracy We show that our proposed approach performs comparably to a centralized approach while minimizing network traffic compared to multishot methods </t>
  </si>
  <si>
    <t>DNN</t>
  </si>
  <si>
    <t>Journal of neuroscience methods</t>
  </si>
  <si>
    <t xml:space="preserve">Tri-institutional Center for Translational Research in Neuroimaging and Data Science (TReNDS), Georgia State University, Georgia Institute of Technology, Emory University, Atlanta, GA, United States; Department of Computer Science, The University of New Mexico, Albuquerque, NM, United States </t>
  </si>
  <si>
    <t>Lewis, N; Gazula, H; Plis, SM; Calhoun, VD</t>
  </si>
  <si>
    <t>7905558</t>
  </si>
  <si>
    <t>10 1016/j compbiomed 2019 103485</t>
  </si>
  <si>
    <t xml:space="preserve">Joint optic disc and cup segmentation using semi-supervised conditional GANs </t>
  </si>
  <si>
    <t xml:space="preserve">Glaucoma is a chronic and widespread eye disease threatening humans' irreversible vision loss  The cup-to-disc ratio (CDR), one of the most important measurements used for glaucoma screening and diagnosis, requires accurate segmentation of optic disc and cup from fundus images  However, most existing techniques fail to obtain satisfactory segmentation performance because a significant number of pixel-level annotated data are often unavailable during training  To cope with this limitation, in this paper, we propose an effective joint optic disc and cup segmentation method based on semi-supervised conditional Generative Adversarial Nets (GANs)  Our architecture consists of a segmentation net, a generator and a discriminator, to learn a mapping between the fundus images and the corresponding segmentation maps  Additionally, we employ both labeled and unlabeled data to improve the segmentation performance  The extensive experiments show that our method achieves state-of-the-art optic disc and cup segmentation results on both ORIGA and REFUGE datasets </t>
  </si>
  <si>
    <t>eyes</t>
  </si>
  <si>
    <t>CFP(fundus images)</t>
  </si>
  <si>
    <t>CNN,GAN</t>
  </si>
  <si>
    <t>Computers in biology and medicine</t>
  </si>
  <si>
    <t xml:space="preserve">Department of Computer Science, Guangdong Polytechnic Normal University, Guangzhou, 510006, China; Guangdong Key Laboratory of Big Data Analysis and Processing, Guangzhou, 510006, China </t>
  </si>
  <si>
    <t>Liu, S; Hong, J; Lu, X; Jia, X; Lin, Z; Zhou, Y; Liu, Y; Zhang, H</t>
  </si>
  <si>
    <t>1250250</t>
  </si>
  <si>
    <t>10 1016/j media 2019 101587</t>
  </si>
  <si>
    <t xml:space="preserve">Squeeze &amp; excite' guided few-shot segmentation of volumetric images </t>
  </si>
  <si>
    <t xml:space="preserve">Deep neural networks enable highly accurate image segmentation, but require large amounts of manually annotated data for supervised training  Few-shot learning aims to address this shortcoming by learning a new class from a few annotated support examples  We introduce, a novel few-shot framework, for the segmentation of volumetric medical images with only a few annotated slices  Compared to other related works in computer vision, the major challenges are the absence of pre-trained networks and the volumetric nature of medical scans  We address these challenges by proposing a new architecture for few-shot segmentation that incorporates 'squeeze &amp; excite' blocks  Our two-armed architecture consists of a conditioner arm, which processes the annotated support input and generates a task-specific representation  This representation is passed on to the segmenter arm that uses this information to segment the new query image  To facilitate efficient interaction between the conditioner and the segmenter arm, we propose to use 'channel squeeze &amp; spatial excitation' blocks - a light-weight computational module - that enables heavy interaction between both the arms with negligible increase in model complexity  This contribution allows us to perform image segmentation without relying on a pre-trained model, which generally is unavailable for medical scans  Furthermore, we propose an efficient strategy for volumetric segmentation by optimally pairing a few slices of the support volume to all the slices of the query volume  We perform experiments for organ segmentation on whole-body contrast-enhanced CT scans from the Visceral Dataset  Our proposed model outperforms multiple baselines and existing approaches with respect to the segmentation accuracy by a significant margin  The source code is available at https://github com/abhi4ssj/few-shot-segmentation </t>
  </si>
  <si>
    <t>patient</t>
  </si>
  <si>
    <t>both</t>
  </si>
  <si>
    <t>radiology</t>
  </si>
  <si>
    <t>Germany</t>
    <phoneticPr fontId="0" type="noConversion"/>
  </si>
  <si>
    <t xml:space="preserve">Artificial Intelligence in Medical Imaging (AI-Med), Department of Child and Adolescent Psychiatry, LMU München, Germany; Computer Aided Medical Procedures, Department of Informatics, Technical University of Munich, Germany </t>
  </si>
  <si>
    <t>Guha Roy, A; Siddiqui, S; Pölsterl, S; Navab, N; Wachinger, C</t>
  </si>
  <si>
    <t>10 1016/j media 2019 101570</t>
  </si>
  <si>
    <t xml:space="preserve">REFUGE Challenge: A unified framework for evaluating automated methods for glaucoma assessment from fundus photographs </t>
  </si>
  <si>
    <t xml:space="preserve">Glaucoma is one of the leading causes of irreversible but preventable blindness in working age populations  Color fundus photography (CFP) is the most cost-effective imaging modality to screen for retinal disorders  However, its application to glaucoma has been limited to the computation of a few related biomarkers such as the vertical cup-to-disc ratio  Deep learning approaches, although widely applied for medical image analysis, have not been extensively used for glaucoma assessment due to the limited size of the available data sets  Furthermore, the lack of a standardize benchmark strategy makes difficult to compare existing methods in a uniform way  In order to overcome these issues we set up the Retinal Fundus Glaucoma Challenge, REFUGE (https://refuge grand-challenge org), held in conjunction with MICCAI 2018  The challenge consisted of two primary tasks, namely optic disc/cup segmentation and glaucoma classification  As part of REFUGE, we have publicly released a data set of 1200 fundus images with ground truth segmentations and clinical glaucoma labels, currently the largest existing one  We have also built an evaluation framework to ease and ensure fairness in the comparison of different models, encouraging the development of novel techniques in the field  12 teams qualified and participated in the online challenge  This paper summarizes their methods and analyzes their corresponding results  In particular, we observed that two of the top-ranked teams outperformed two human experts in the glaucoma classification task  Furthermore, the segmentation results were in general consistent with the ground truth annotations, with complementary outcomes that can be further exploited by ensembling the results </t>
  </si>
  <si>
    <t>XCEPTION,INCEPTION,CNN,ResNet,Unet,VGG,DenseNet</t>
  </si>
  <si>
    <t>Austria</t>
    <phoneticPr fontId="0" type="noConversion"/>
  </si>
  <si>
    <t xml:space="preserve">Christian Doppler Laboratory for Ophthalmic Image Analysis (OPTIMA), Vienna Reading Center (VRC), Department of Ophthalmology and Optometry, Medical University of Vienna, Spitalgasse 23, 1090 Vienna, Austria </t>
  </si>
  <si>
    <t>Orlando, JI; Fu, H; Barbossa Breda, J; van Keer, K; Bathula, DR; Diaz-Pinto, A; Fang, R; Heng, PA; Kim, J; Lee, J; Lee, J; Li, X; Liu, P; Lu, S; Murugesan, B; Naranjo, V; Phaye, SSR; Shankaranarayana, SM; Sikka, A; Son, J; van den Hengel, A; Wang, S; Wu, J; Wu, Z; Xu, G; Xu, Y; Yin, P; Li, F; Zhang, X; Xu, Y; Bogunović, H</t>
  </si>
  <si>
    <t>10 1016/j media 2019 101565</t>
  </si>
  <si>
    <t xml:space="preserve">Semi-supervised mp-MRI data synthesis with StitchLayer and auxiliary distance maximization </t>
  </si>
  <si>
    <t xml:space="preserve">The availability of a large amount of annotated data is critical for many medical image analysis applications, in particular for those relying on deep learning methods which are known to be data-hungry  However, annotated medical data, especially multimodal data, is often scarce and costly to obtain  In this paper, we address the problem of synthesizing multi-parameter magnetic resonance imaging data (i e  mp-MRI), which typically consists of Apparent Diffusion Coefficient (ADC) and T2-weighted (T2w) images, containing clinically significant (CS) prostate cancer (PCa) via semi-supervised learning and adversarial learning  Specifically, our synthesizer generates mp-MRI data in a sequential manner: first utilizing a decoder to generate an ADC map from a 128-d latent vector, followed by translating the ADC to the T2w image via U-Net  The synthesizer is trained in a semi-supervised manner  In the supervised training process, a limited amount of paired ADC-T2w images and the corresponding ADC encodings are provided and the synthesizer learns the paired relationship by explicitly minimizing the reconstruction losses between synthetic and real images  To avoid overfitting limited ADC encodings, an unlimited amount of random latent vectors and unpaired ADC-T2w Images are utilized in the unsupervised training process for learning the marginal image distributions of real images  To improve the robustness for training the synthesizer, we decompose the difficult task of generating full-size images into several simpler tasks which generate sub-images only  A StitchLayer is then employed to seamlessly fuse sub-images together in an interlaced manner into a full-size image  In addition, to enforce the synthetic images to indeed contain distinguishable CS PCa lesions, we propose to also maximize an auxiliary distance of Jensen-Shannon divergence (JSD) between CS and nonCS images  Experimental results show that our method can effectively synthesize a large variety of mp-MRI images which contain meaningful CS PCa lesions, display a good visual quality and have the correct paired relationship between the two modalities of a pair  Compared to the state-of-the-art methods based on adversarial learning (Liu and Tuzel, 2016; Costa et al , 2017), our method achieves a significant improvement in terms of both visual quality and several popular quantitative evaluation metrics </t>
  </si>
  <si>
    <t>genitourinary</t>
  </si>
  <si>
    <t>image acquisition</t>
  </si>
  <si>
    <t>501-1000</t>
  </si>
  <si>
    <t xml:space="preserve">Department of Electronic Information and Communications, Huazhong University of Science and Technology, Wuhan 430074, China </t>
  </si>
  <si>
    <t>Wang, Z; Lin, Y; Cheng, KT; Yang, X</t>
  </si>
  <si>
    <t>10 1016/j cmpb 2019 105121</t>
  </si>
  <si>
    <t xml:space="preserve">GC-Net: Global context network for medical image segmentation </t>
  </si>
  <si>
    <t xml:space="preserve">Medical image segmentation plays an important role in many clinical applications such as disease diagnosis, surgery planning, and computer-assisted therapy  However, it is a very challenging task due to variant images qualities, complex shapes of objects, and the existence of outliers  Recently, researchers have presented deep learning methods to segment medical images  However, these methods often use the high-level features of the convolutional neural network directly or the high-level features combined with the shallow features, thus ignoring the role of the global context features for the segmentation task  Consequently, they have limited capability on extensive medical segmentation tasks  The purpose of this work is to devise a neural network with global context feature information for accomplishing medical image segmentation of different tasks The proposed global context network (GC-Net) consists of two components; feature encoding and decoding modules  We use multiple convolutions and batch normalization layers in the encoding module  On the other hand, the decoding module is formed by a proposed global context attention (GCA) block and squeeze and excitation pyramid pooling (SEPP) block  The GCA module connects low-level and high-level features to produce more representative features, while the SEPP module increases the size of the receptive field and the ability of multi-scale feature fusion  Moreover, a weighted cross entropy loss is designed to better balance the segmented and non-segmented regions The proposed GC-Net is validated on three publicly available datasets and one local dataset  The tested medical segmentation tasks include segmentation of intracranial blood vessel, retinal vessels, cell contours, and lung  Experiments demonstrate that, our network outperforms state-of-the-art methods concerning several commonly used evaluation metrics Medical segmentation of different tasks can be accurately and effectively achieved by devising a deep convolutional neural network with a global context attention mechanism </t>
  </si>
  <si>
    <t>lung,eyes,head and neck,miscellaneous</t>
  </si>
  <si>
    <t>CNN,Unet,SEGNET,FCN,RESNET</t>
  </si>
  <si>
    <t>Computer methods and programs in biomedicine</t>
  </si>
  <si>
    <t xml:space="preserve">Shenzhen Institutes of Advanced Technology, Chinese Academy of Sciences, China; College of Internet of Things Engineering, HoHai University Changzhou, China </t>
  </si>
  <si>
    <t>Ni, J; Wu, J; Tong, J; Chen, Z; Zhao, J</t>
  </si>
  <si>
    <t>8506513</t>
  </si>
  <si>
    <t>10 1088/1361-6560/ab4e3e</t>
  </si>
  <si>
    <t xml:space="preserve">A dual-stream deep convolutional network for reducing metal streak artifacts in CT images </t>
  </si>
  <si>
    <t xml:space="preserve">Machine learning and deep learning are rapidly finding applications in the medical imaging field  In this paper, we address the long-standing problem of metal artifacts in computed tomography (CT) images by training a dual-stream deep convolutional neural network for streak removal  While many metal artifact reduction methods exist, even state-of-the-art algorithms fall short in some clinical applications  Specifically, proton therapy planning requires high image quality with accurate tumor volumes to ensure treatment success  We explore a dual-stream deep network structure with residual learning to correct metal streak artifacts after a first-pass by a state-of-the-art interpolation-based algorithm, NMAR  We provide the network with a mask of the streaks in order to focus attention on those areas  Our experiments compare a mean squared error loss function with a perceptual loss function to emphasize preservation of image features and texture  Both visual and quantitative metrics are used to assess the resulting image quality for metal implant cases  Success may be due to the duality of information processing, with one network stream performing local structure correction, while the other stream provides an attention mechanism to destreak effectively  This study shows that image-domain deep learning can be highly effective for metal artifact reduction (MAR), and highlights the benefits and drawbacks of different loss functions for solving a major CT reconstruction challenge </t>
  </si>
  <si>
    <t>musculoskeletal</t>
  </si>
  <si>
    <t>Physics in medicine and biology</t>
  </si>
  <si>
    <t xml:space="preserve">Biomedical Engineering, Rensselaer Polytechnic Institute, Troy, UNITED STATES </t>
  </si>
  <si>
    <t>Gjesteby, LA; Shan, H; Yang, Q; Xi, Y; Jin, Y; Giantsoudi, D; Paganetti, H; De Man, B; Wang, G</t>
  </si>
  <si>
    <t>0401220</t>
  </si>
  <si>
    <t>10 1016/j neunet 2019 09 017</t>
  </si>
  <si>
    <t xml:space="preserve">Reprint of: The quantization error in a Self-Organizing Map as a contrast and colour specific indicator of single-pixel change in large random patterns </t>
  </si>
  <si>
    <t xml:space="preserve">The quantization error in a fixed-size Self-Organizing Map (SOM) with unsupervised winner-take-all learning has previously been used successfully to detect, in minimal computation time, highly meaningful changes across images in medical time series and in time series of satellite images  Here, the functional properties of the quantization error in SOM are explored further to show that the metric is capable of reliably discriminating between the finest differences in local contrast intensities and contrast signs  While this capability of the QE is akin to functional characteristics of a specific class of retinal ganglion cells (the so-called Y-cells) in the visual systems of the primate and the cat, the sensitivity of the QE surpasses the capacity limits of human visual detection  Here, the quantization error in the SOM is found to reliably signal changes in contrast or colour when contrast information is removed from or added to the image, but not when the amount and relative weight of contrast information is constant and only the local spatial position of contrast elements in the pattern changes  While the RGB Mean reflects coarser changes in colour or contrast well enough, the SOM-QE is shown to outperform the RGB Mean in the detection of single-pixel changes in images with up to five million pixels  This could have important implications in the context of unsupervised image learning and computational building block approaches to large sets of image data (big data), including deep learning blocks, and automatic detection of contrast change at the nanoscale in Transmission or Scanning Electron Micrographs (TEM, SEM), or at the subpixel level in multispectral and hyper-spectral imaging data </t>
  </si>
  <si>
    <t>neuroradiology</t>
  </si>
  <si>
    <t>microscopy image</t>
  </si>
  <si>
    <t>ANN</t>
  </si>
  <si>
    <t>&lt;4</t>
  </si>
  <si>
    <t>Kenya</t>
    <phoneticPr fontId="0" type="noConversion"/>
  </si>
  <si>
    <t>Neural networks : the official journal of the International Neural Network Society</t>
  </si>
  <si>
    <t xml:space="preserve">Dedan Kimathi University of Technology, Department of Information Technology, Nyeri, Kenya </t>
  </si>
  <si>
    <t>Wandeto, JM; Dresp-Langley, B</t>
  </si>
  <si>
    <t>8805018</t>
  </si>
  <si>
    <t>10 1117/12 2511997</t>
  </si>
  <si>
    <t xml:space="preserve">Distributed deep learning for robust multi-site segmentation of CT imaging after traumatic brain injury </t>
  </si>
  <si>
    <t xml:space="preserve">Machine learning models are becoming commonplace in the domain of medical imaging, and with these methods comes an ever-increasing need for more data  However, to preserve patient anonymity it is frequently impractical or prohibited to transfer protected health information (PHI) between institutions  Additionally, due to the nature of some studies, there may not be a large public dataset available on which to train models  To address this conundrum, we analyze the efficacy of transferring the model itself in lieu of data between different sites  By doing so we accomplish two goals: 1) the model gains access to training on a larger dataset that it could not normally obtain and 2) the model better generalizes, having trained on data from separate locations  In this paper, we implement multi-site learning with disparate datasets from the National Institutes of Health (NIH) and Vanderbilt University Medical Center (VUMC) without compromising PHI  Three neural networks are trained to convergence on a computed tomography (CT) brain hematoma segmentation task: one only with NIH data, one only with VUMC data, and one multi-site model alternating between NIH and VUMC data  Resultant lesion masks with the multi-site model attain an average Dice similarity coefficient of 0 64 and the automatically segmented hematoma volumes correlate to those done manu+D22ally with a Pearson correlation coefficient of 0 87, corresponding to an 8% and 5% improvement, respectively, over the single-site model counterparts </t>
  </si>
  <si>
    <t>CNN,Inception</t>
  </si>
  <si>
    <t>UK</t>
    <phoneticPr fontId="0" type="noConversion"/>
  </si>
  <si>
    <t>Proceedings of SPIE--the International Society for Optical Engineering</t>
  </si>
  <si>
    <t xml:space="preserve">Center for Neuroscience and Regenerative Medicine, Henry Jackson Foundation </t>
  </si>
  <si>
    <t>Remedios, S; Roy, S; Blaber, J; Bermudez, C; Nath, V; Patel, MB; Butman, JA; Landman, BA; Pham, DL</t>
  </si>
  <si>
    <t>101524122</t>
  </si>
  <si>
    <t>10 1002/cyto a 23899</t>
  </si>
  <si>
    <t xml:space="preserve">Generic Isolated Cell Image Generator </t>
  </si>
  <si>
    <t xml:space="preserve">Building automated cancer screening systems based on image analysis is currently a hot topic in computer vision and medical imaging community  One of the biggest challenges of such systems, especially those using state-of-the-art deep learning techniques, is that they usually require a large amount of training data to be accurate  However, in the medical field, the confidentiality of the data and the need for medical expertise to label them significantly reduce the amount of training data available  A common practice to overcome this problem is to apply data set augmentation techniques to artificially increase the size of the training data set  Classical data set augmentation methods such as geometrical or color transformations are efficient but still produce a limited amount of new data  Hence, there has been interest in data set augmentation methods using generative models able to synthesize a wider variety of new data  VitaDX is actually developing an automated bladder cancer screening system based on the analysis of cell images contained in urinary cytology digital slides  Currently, the number of available labeled cell images is limited and therefore exploitation of the full potential of deep learning techniques is not possible  In an attempt to increase the number of labeled cell images, a new generic generator for 2D cell images has been developed and is described in this article  This framework combines previous works on cell image generation and a recent style transfer method referred to as doodle-style transfer in this article  To the best of our knowledge, we are the first to use a doodle-style transfer method for synthetic cell image generation  This framework is quite modular and could be applied to other cell image generation problems  A statistical evaluation has shown that features of real and synthetic cell images followed roughly the same distribution  Finally, the realism of the synthetic cell images has been assessed through a visual evaluation performed with the help of medical experts  © 2019 The Authors  Cytometry Part A published by Wiley Periodicals, Inc  on behalf of International Society for Advancement of Cytometry </t>
  </si>
  <si>
    <t>OTHER</t>
  </si>
  <si>
    <t>single center</t>
    <phoneticPr fontId="0" type="noConversion"/>
  </si>
  <si>
    <t>France</t>
    <phoneticPr fontId="0" type="noConversion"/>
  </si>
  <si>
    <t>Cytometry  Part A : the journal of the International Society for Analytical Cytology</t>
  </si>
  <si>
    <t xml:space="preserve">Department of Research &amp; Development, VitaDX, Paris, France </t>
  </si>
  <si>
    <t>Scalbert, M; Couzinie-Devy, F; Fezzani, R</t>
  </si>
  <si>
    <t>101235694</t>
  </si>
  <si>
    <t>10 1016/S1470-2045(19)30637-0</t>
  </si>
  <si>
    <t xml:space="preserve">Real-time artificial intelligence for detection of upper gastrointestinal cancer by endoscopy: a multicentre, case-control, diagnostic study </t>
    <phoneticPr fontId="0" type="noConversion"/>
  </si>
  <si>
    <t xml:space="preserve">Upper gastrointestinal cancers (including oesophageal cancer and gastric cancer) are the most common cancers worldwide  Artificial intelligence platforms using deep learning algorithms have made remarkable progress in medical imaging but their application in upper gastrointestinal cancers has been limited  We aimed to develop and validate the Gastrointestinal Artificial Intelligence Diagnostic System (GRAIDS) for the diagnosis of upper gastrointestinal cancers through analysis of imaging data from clinical endoscopies This multicentre, case-control, diagnostic study was done in six hospitals of different tiers (ie, municipal, provincial, and national) in China  The images of consecutive participants, aged 18 years or older, who had not had a previous endoscopy were retrieved from all participating hospitals  All patients with upper gastrointestinal cancer lesions (including oesophageal cancer and gastric cancer) that were histologically proven malignancies were eligible for this study  Only images with standard white light were deemed eligible  The images from Sun Yat-sen University Cancer Center were randomly assigned (8:1:1) to the training and intrinsic verification datasets for developing GRAIDS, and the internal validation dataset for evaluating the performance of GRAIDS  Its diagnostic performance was evaluated using an internal and prospective validation set from Sun Yat-sen University Cancer Center (a national hospital) and additional external validation sets from five primary care hospitals  The performance of GRAIDS was also compared with endoscopists with three degrees of expertise: expert, competent, and trainee  The diagnostic accuracy, sensitivity, specificity, positive predictive value, and negative predictive value of GRAIDS and endoscopists for the identification of cancerous lesions were evaluated by calculating the 95% CIs using the Clopper-Pearson method 1 036 496 endoscopy images from 84 424 individuals were used to develop and test GRAIDS  The diagnostic accuracy in identifying upper gastrointestinal cancers was 0·955 (95% CI 0·952-0·957) in the internal validation set, 0·927 (0·925-0·929) in the prospective set, and ranged from 0·915 (0·913-0·917) to 0·977 (0·977-0·978) in the five external validation sets  GRAIDS achieved diagnostic sensitivity similar to that of the expert endoscopist (0·942 [95% CI 0·924-0·957] vs 0·945 [0·927-0·959]; p=0·692) and superior sensitivity compared with competent (0·858 [0·832-0·880], p&lt;0·0001) and trainee (0·722 [0·691-0·752], p&lt;0·0001) endoscopists  The positive predictive value was 0·814 (95% CI 0·788-0·838) for GRAIDS, 0·932 (0·913-0·948) for the expert endoscopist, 0·974 (0·960-0·984) for the competent endoscopist, and 0·824 (0·795-0·850) for the trainee endoscopist  The negative predictive value was 0·978 (95% CI 0·971-0·984) for GRAIDS, 0·980 (0·974-0·985) for the expert endoscopist, 0·951 (0·942-0·959) for the competent endoscopist, and 0·904 (0·893-0·916) for the trainee endoscopist GRAIDS achieved high diagnostic accuracy in detecting upper gastrointestinal cancers, with sensitivity similar to that of expert endoscopists and was superior to that of non-expert endoscopists  This system could assist community-based hospitals in improving their effectiveness in upper gastrointestinal cancer diagnoses The National Key R&amp;D Program of China, the Natural Science Foundation of Guangdong Province, the Science and Technology Program of Guangdong, the Science and Technology Program of Guangzhou, and the Fundamental Research Funds for the Central Universities </t>
  </si>
  <si>
    <t>endoscopy</t>
  </si>
  <si>
    <t>CNN,DEEPLAB</t>
  </si>
  <si>
    <t>characterization-diagnose</t>
  </si>
  <si>
    <t>The Lancet  Oncology</t>
  </si>
  <si>
    <t xml:space="preserve">Department of Medical Oncology, State Key Laboratory of Oncology in South China, Collaborative Innovation Center for Cancer Medicine, Sun Yat-sen University Cancer Center, Guangzhou, China </t>
  </si>
  <si>
    <t>Luo, H; Xu, G; Li, C; He, L; Luo, L; Wang, Z; Jing, B; Deng, Y; Jin, Y; Li, Y; Li, B; Tan, W; He, C; Seeruttun, SR; Wu, Q; Huang, J; Huang, DW; Chen, B; Lin, SB; Chen, QM; Yuan, CM; Chen, HX; Pu, HY; Zhou, F; He, Y; Xu, RH</t>
  </si>
  <si>
    <t>100957246</t>
  </si>
  <si>
    <t>10 1109/ACCESS 2019 2891970</t>
  </si>
  <si>
    <t xml:space="preserve">Semi Supervised Learning with Deep Embedded Clustering for Image Classification and Segmentation </t>
  </si>
  <si>
    <t xml:space="preserve">Deep neural networks usually require large labeled datasets to construct accurate models; however, in many real-world scenarios, such as medical image segmentation, labelling data is a time-consuming and costly human (expert) intelligent task  Semi-supervised methods leverage this issue by making use of a small labeled dataset and a larger set of unlabeled data  In this article, we present a flexible framework for semi-supervised learning that combines the power of supervised methods that learn feature representations using state-of-the-art deep convolutional neural networks with the deep embedded clustering algorithm that assigns data points to clusters based on their probability distributions and feature representations learned by the networks  Our proposed semi-supervised learning algorithm based on deep embedded clustering (SSLDEC) learns feature representations via iterations by alternatively using labeled and unlabeled data points and computing target distributions from predictions  During this iterative procedure the algorithm uses labeled samples to keep the model consistent and tuned with labeling, as it simultaneously learns to improve feature representation and predictions  SSLDEC requires few hyper-parameters and thus does not need large labeled validation sets, which addresses one of the main limitations of many semi-supervised learning algorithms  It is also flexible and can be used with many state-of-the-art deep neural network configurations for image classification and segmentation tasks  To this end, we implemented and tested our approach on benchmark image classification tasks as well as in a challenging medical image segmentation scenario  In benchmark classification tasks, SSLDEC outperformed several state-of-the-art semi-supervised learning methods, achieving 0 46% error on MNIST with 1000 labeled points, and 4 43% error on SVHN with 500 labeled points  In the iso-intense infant brain MRI tissue segmentation task, we implemented SSLDEC on a 3D densely connected fully convolutional neural network where we achieved significant improvement over supervised-only training as well as a semi-supervised method based on pseudo-labelling  Our results show that SSLDEC can be effectively used to reduce the need for costly expert annotations, enhancing applications such as automatic medical image segmentation </t>
  </si>
  <si>
    <t>IEEE access : practical innovations, open solutions</t>
  </si>
  <si>
    <t xml:space="preserve">Computational Radiology Laboratory, Department of Radiology, Boston Children's Hospital, Boston, MA 02115, USA </t>
  </si>
  <si>
    <t>Enguehard, J; O'Halloran, P; Gholipour, A</t>
  </si>
  <si>
    <t>101639462</t>
  </si>
  <si>
    <t>10 1016/j cmpb 2019 105059</t>
  </si>
  <si>
    <t xml:space="preserve">Super-resolution reconstruction of knee magnetic resonance imaging based on deep learning </t>
  </si>
  <si>
    <t xml:space="preserve">With the rapid development of medical imaging and intelligent diagnosis, artificial intelligence methods have become a research hotspot of radiography processing technology in recent years  The low definition of knee magnetic resonance image texture seriously affects the diagnosis of knee osteoarthritis  This paper presents a super-resolution reconstruction method to address this problem In this paper, we propose an efficient medical image super-resolution (EMISR) method, in which we mainly adopted three hidden layers of super-resolution convolution neural network (SRCNN) and a sub-pixel convolution layer of efficient sub-pixel convolution neural network (ESPCN)  The addition of the efficient sub-pixel convolutional layer in the hidden layer and the small network replacement consisting of concatenated convolutions to address low-resolution images but not high-resolution images are important  The EMISR method also uses cascaded small convolution kernels to improve reconstruction speed and deepen the convolution neural network to improve reconstruction quality The proposed method is tested in the public dataset IDI, and the reconstruction quality of the algorithm is higher than that of the sparse coding-based network (SCN) method, the SRCNN method, and the ESPCN method (+ 2 306 dB, + 2 540 dB, + 1 089 dB improved); moreover, the reconstruction speed is faster than its counterparts (+ 4 272 s, + 1 967 s, and + 0 073 s improved) The experimental results show that our EMISR framework has improved performance and greatly reduces the number of parameters and training time  Furthermore, the reconstructed image presents more details, and the edges are more complete  Therefore, the EMISR technique provides a more powerful medical analysis in knee osteoarthritis examinations </t>
  </si>
  <si>
    <t>super-resolution CNN,efficient sub-pixel CNN</t>
  </si>
  <si>
    <t xml:space="preserve">Engineering Research Centre in Industrial Intellectual Techniques and Systems of Fujian Providence College of Engineering, Huaqiao University, Chenghua North Road, Fengze District, Quanzhou, Fujian 362021, China  Electronic address: 17014084010@hqu edu cn </t>
  </si>
  <si>
    <t>Qiu, D; Zhang, S; Liu, Y; Zhu, J; Zheng, L</t>
  </si>
  <si>
    <t>10 1109/TMI 2019 2943841</t>
  </si>
  <si>
    <t xml:space="preserve">Spatio-Temporal Convolutional LSTMs for Tumor Growth Prediction by Learning 4D Longitudinal Patient Data </t>
  </si>
  <si>
    <t xml:space="preserve">Prognostic tumor growth modeling via volumetric medical imaging observations can potentially lead to better outcomes of tumor treatment management and surgical planning  Recent advances of convolutional networks (ConvNets) have demonstrated higher accuracy than traditional mathematical models can be achieved in predicting future tumor volumes  This indicates that deep learning based data-driven techniques may have great potentials on addressing such problem  However, current 2D image patch based modeling approaches can not make full use of the spatio-temporal imaging context of the tumor's longitudinal 4D (3D + time) patient data  Moreover, they are incapable to predict clinically-relevant tumor properties, other than the tumor volumes  In this paper, we exploit to formulate the tumor growth process through convolutional Long Short-Term Memory (ConvLSTM) that extract tumor's static imaging appearances and simultaneously capture its temporal dynamic changes within a single network  We extend ConvLSTM into the spatio-temporal domain (ST-ConvLSTM) by jointly learning the inter-slice 3D contexts and the longitudinal or temporal dynamics from multiple patient studies  Our approach can incorporate other nonimaging patient information in an end-to-end trainable manner  Experiments are conducted on the largest 4D longitudinal tumor dataset of 33 patients to date  Results validate that the proposed ST-ConvLSTM model produces a Dice score of 83 2%±5 1% and a RVD of 11 2%±10 8%, both statistically significantly outperforming (p &lt;0 05) other compared methods of traditional linear model, ConvLSTM, and generative adversarial network (GAN) under the metric of predicting future tumor volumes  Additionally, our new method enables the prediction of both cell density and CT intensity numbers  Last, we demonstrate the generalizability of ST-ConvLSTM by employing it in 4D medical image segmentation task, which achieves an averaged Dice score of 86 3%±1 2% for left-ventricle segmentation in 4D ultrasound with 3 seconds per patient case </t>
  </si>
  <si>
    <t>cardiac</t>
  </si>
  <si>
    <t>mixed (more than one radiological technique)</t>
  </si>
  <si>
    <t>RNN,LSTM, GAN</t>
  </si>
  <si>
    <t>monitoring</t>
  </si>
  <si>
    <t>100-250</t>
  </si>
  <si>
    <t>IEEE transactions on medical imaging</t>
  </si>
  <si>
    <t xml:space="preserve">*L  Zhang is with PAII Inc , Bethesda, MD 20817, USA </t>
  </si>
  <si>
    <t>Zhang, L; Lu, L; Wang, X; Zhu, RM; Bagheri, M; Summers, RM; Yao, J</t>
  </si>
  <si>
    <t>8310780</t>
  </si>
  <si>
    <t>10 1117/12 2513089</t>
  </si>
  <si>
    <t xml:space="preserve">Evaluating the Impact of Intensity Normalization on MR Image Synthesis </t>
  </si>
  <si>
    <t xml:space="preserve">Image synthesis learns a transformation from the intensity features of an input image to yield a different tissue contrast of the output image  This process has been shown to have application in many medical image analysis tasks including imputation, registration, and segmentation  To carry out synthesis, the intensities of the input images are typically scaled-i e , normalized-both in training to learn the transformation and in testing when applying the transformation, but it is not presently known what type of input scaling is optimal  In this paper, we consider seven different intensity normalization algorithms and three different synthesis methods to evaluate the impact of normalization  Our experiments demonstrate that intensity normalization as a preprocessing step improves the synthesis results across all investigated synthesis algorithms  Furthermore, we show evidence that suggests intensity normalization is vital for successful deep learning-based MR image synthesis </t>
  </si>
  <si>
    <t>thoracic, head and neck</t>
  </si>
  <si>
    <t>DNN,Unet</t>
  </si>
  <si>
    <t xml:space="preserve">Department of Electrical and Computer Engineering, Johns Hopkins University, Baltimore, MD, USA 21218 </t>
  </si>
  <si>
    <t>Reinhold, JC; Dewey, BE; Carass, A; Prince, JL</t>
  </si>
  <si>
    <t>10 1109/JBHI 2019 2942429</t>
  </si>
  <si>
    <t xml:space="preserve">Progressive Transfer Learning and Adversarial Domain Adaptation for Cross-Domain Skin Disease Classification </t>
  </si>
  <si>
    <t xml:space="preserve">Deep learning has been used to analyze and diag-nose various skin diseases through medical imaging  However,recent researches show that a well trained deep learning modelmay not generalize well to data from different cohorts due todomain shift  Simple data fusion techniques such as combiningdisease samples from different data sources are not effective tosolve this problem  In this paper, we present two methods for anovel task of cross-domain skin disease recognition  Starting froma fully supervised deep convolutional neural network classifierpre-trained on ImageNet, we explore a two-step progressivetransfer learning technique by fine-tuning the network on twoskin disease datasets  We then propose to adopt adversariallearning as a domain adaptation technique to perform invariantattribute translation from source to target domain in orderto improve the recognition performance  In order to evaluatethese two methods, we analyze generalization capability of thetrained model on melanoma detection, cancer detection andcross-modality learning tasks on two skin image datasets collectedfrom different clinical settings and cohorts with different diseasedistributions  The experiments prove the effectiveness of ourmethod in solving the domain shift problem </t>
  </si>
  <si>
    <t>skin</t>
  </si>
  <si>
    <t>Dermoscopic image</t>
  </si>
  <si>
    <t>GAN</t>
    <phoneticPr fontId="0" type="noConversion"/>
  </si>
  <si>
    <t>Australia</t>
  </si>
  <si>
    <t>Y  Gu and J  Zhou are with Griffith University, Nathan, QLD 4111 Australia</t>
  </si>
  <si>
    <t>Gu, Y; Ge, Z; Bonnington, CP; Zhou, J</t>
  </si>
  <si>
    <t>10 1016/j eururo 2019 08 032</t>
  </si>
  <si>
    <t xml:space="preserve">Augmented Bladder Tumor Detection Using Deep Learning </t>
  </si>
  <si>
    <t xml:space="preserve">Adequate tumor detection is critical in complete transurethral resection of bladder tumor (TURBT) to reduce cancer recurrence, but up to 20% of bladder tumors are missed by standard white light cystoscopy  Deep learning augmented cystoscopy may improve tumor localization, intraoperative navigation, and surgical resection of bladder cancer  We aimed to develop a deep learning algorithm for augmented cystoscopic detection of bladder cancer  Patients undergoing cystoscopy/TURBT were recruited and white light videos were recorded  Video frames containing histologically confirmed papillary urothelial carcinoma were selected and manually annotated  We constructed CystoNet, an image analysis platform based on convolutional neural networks, for automated bladder tumor detection using a development dataset of 95 patients for algorithm training and five patients for testing  Diagnostic performance of CystoNet was validated prospectively in an additional 54 patients  In the validation dataset, per-frame sensitivity and specificity were 90 9% (95% confidence interval [CI], 90 3-91 6%) and 98 6% (95% CI, 98 5-98 8%), respectively  Per-tumor sensitivity was 90 9% (95% CI, 90 3-91 6%)  CystoNet detected 39 of 41 papillary and three of three flat bladder cancers  With high sensitivity and specificity, CystoNet may improve the diagnostic yield of cystoscopy and efficacy of TURBT  PATIENT SUMMARY: Conventional cystoscopy has recognized shortcomings in bladder cancer detection, with implications for recurrence  Cystoscopy augmented with artificial intelligence may improve cancer detection and resection </t>
  </si>
  <si>
    <t>PROSPECTIVE</t>
  </si>
  <si>
    <t>surgery or related specialties</t>
  </si>
  <si>
    <t>European urology</t>
  </si>
  <si>
    <t xml:space="preserve">Department of Urology, Stanford University School of Medicine, Stanford, CA, USA; Veterans Affairs Palo Alto Health Care System, Palo Alto, CA, USA </t>
  </si>
  <si>
    <t>Shkolyar, E; Jia, X; Chang, TC; Trivedi, D; Mach, KE; Meng, MQ; Xing, L; Liao, JC</t>
  </si>
  <si>
    <t>7512719</t>
  </si>
  <si>
    <t>10 1016/j neunet 2019 08 025</t>
  </si>
  <si>
    <t xml:space="preserve">MultiResUNet : Rethinking the U-Net architecture for multimodal biomedical image segmentation </t>
  </si>
  <si>
    <t xml:space="preserve">In recent years Deep Learning has brought about a breakthrough in Medical Image Segmentation  In this regard, U-Net has been the most popular architecture in the medical imaging community  Despite outstanding overall performance in segmenting multimodal medical images, through extensive experimentations on some challenging datasets, we demonstrate that the classical U-Net architecture seems to be lacking in certain aspects  Therefore, we propose some modifications to improve upon the already state-of-the-art U-Net model  Following these modifications, we develop a novel architecture, MultiResUNet, as the potential successor to the U-Net architecture  We have tested and compared MultiResUNet with the classical U-Net on a vast repertoire of multimodal medical images  Although only slight improvements in the cases of ideal images are noticed, remarkable gains in performance have been attained for the challenging ones  We have evaluated our model on five different datasets, each with their own unique challenges, and have obtained a relative improvement in performance of 10 15%, 5 07%, 2 63%, 1 41%, and 0 62% respectively  We have also discussed and highlighted some qualitatively superior aspects of MultiResUNet over classical U-Net that are not really reflected in the quantitative measures </t>
  </si>
  <si>
    <t>abdominal,skin</t>
  </si>
  <si>
    <t>CNN,Unet,ResNet</t>
  </si>
  <si>
    <t>Bangladesh</t>
    <phoneticPr fontId="0" type="noConversion"/>
  </si>
  <si>
    <t xml:space="preserve">Samsung R&amp;D Institute, Bangladesh </t>
  </si>
  <si>
    <t>Ibtehaz, N; Rahman, MS</t>
  </si>
  <si>
    <t>10 1109/ACCESS 2018 2886371</t>
  </si>
  <si>
    <t xml:space="preserve">Asymmetric Loss Functions and Deep Densely Connected Networks for Highly Imbalanced Medical Image Segmentation: Application to Multiple Sclerosis Lesion Detection </t>
  </si>
  <si>
    <t xml:space="preserve">Fully convolutional deep neural networks have been asserted to be fast and precise frameworks with great potential in image segmentation  One of the major challenges in training such networks raises when data is unbalanced, which is common in many medical imaging applications such as lesion segmentation where lesion class voxels are often much lower in numbers than non-lesion voxels  A trained network with unbalanced data may make predictions with high precision and low recall, being severely biased towards the non-lesion class which is particularly undesired in most medical applications where false negatives are actually more important than false positives  Various methods have been proposed to address this problem including two step training, sample re-weighting, balanced sampling, and more recently similarity loss functions, and focal loss  In this work we trained fully convolutional deep neural networks using an asymmetric similarity loss function to mitigate the issue of data imbalance and achieve much better trade-off between precision and recall  To this end, we developed a 3D fully convolutional densely connected network (FC-DenseNet) with large overlapping image patches as input and an asymmetric similarity loss layer based on Tversky index (using F
                        β
                     scores)  We used large overlapping image patches as inputs for intrinsic and extrinsic data augmentation, a patch selection algorithm, and a patch prediction fusion strategy using B-spline weighted soft voting to account for the uncertainty of prediction in patch borders  We applied this method to multiple sclerosis (MS) lesion segmentation based on two different datasets of MSSEG 2016 and ISBI longitudinal MS lesion segmentation challenge, where we achieved average Dice similarity coefficients of 69 9% and 65 74%, respectively, achieving top performance in both challenges  We compared the performance of our network trained with F
                        β
                     loss, focal loss, and generalized Dice loss (GDL) functions  Through September 2018 our network trained with focal loss ranked first according to the ISBI challenge overall score and resulted in the lowest reported lesion false positive rate among all submitted methods  Our network trained with the asymmetric similarity loss led to the lowest surface distance and the best lesion true positive rate that is arguably the most important performance metric in a clinical decision support system for lesion detection  The asymmetric similarity loss function based on F
                        β
                     scores allows training networks that make a better balance between precision and recall in highly unbalanced image segmentation  We achieved superior performance in MS lesion segmentation using a patchwise 3D FC-DenseNet with a patch prediction fusion strategy, trained with asymmetric similarity loss functions </t>
  </si>
  <si>
    <t>CNN,Unet,DenseNet</t>
  </si>
  <si>
    <t xml:space="preserve">Computational Radiology Laboratory, Boston Children's Hospital, and Harvard Medical School, Boston MA 02115 </t>
  </si>
  <si>
    <t>Hashemi, SR; Salehi, SSM; Erdogmus, D; Prabhu, SP; Warfield, SK; Gholipour, A</t>
  </si>
  <si>
    <t>10 1016/j artmed 2019 06 008</t>
  </si>
  <si>
    <t xml:space="preserve">Convolutional neural networks for skull-stripping in brain MR imaging using silver standard masks </t>
  </si>
  <si>
    <t xml:space="preserve">Manual annotation is considered to be the "gold standard" in medical imaging analysis  However, medical imaging datasets that include expert manual segmentation are scarce as this step is time-consuming, and therefore expensive  Moreover, single-rater manual annotation is most often used in data-driven approaches making the network biased to only that single expert  In this work, we propose a CNN for brain extraction in magnetic resonance (MR) imaging, that is fully trained with what we refer to as "silver standard" masks  Therefore, eliminating the cost associated with manual annotation  Silver standard masks are generated by forming the consensus from a set of eight, public, non-deep-learning-based brain extraction methods using the Simultaneous Truth and Performance Level Estimation (STAPLE) algorithm  Our method consists of (1) developing a dataset with "silver standard" masks as input, and implementing (2) a tri-planar method using parallel 2D U-Net-based convolutional neural networks (CNNs) (referred to as CONSNet)  This term refers to our integrated approach, i e , training with silver standard masks and using a 2D U-Net-based architecture  We conducted our analysis using three public datasets: the Calgary-Campinas-359 (CC-359), the LONI Probabilistic Brain Atlas (LPBA40), and the Open Access Series of Imaging Studies (OASIS)  Five performance metrics were used in our experiments: Dice coefficient, sensitivity, specificity, Hausdorff distance, and symmetric surface-to-surface mean distance  Our results showed that we outperformed (i e , larger Dice coefficients) the current state-of-the-art skull-stripping methods without using gold standard annotation for the CNNs training stage  CONSNet is the first deep learning approach that is fully trained using silver standard data and is, thus, more generalizable  Using these masks, we eliminate the cost of manual annotation, decreased inter-/intra-rater variability, and avoided CNN segmentation overfitting towards one specific manual annotation guideline that can occur when gold standard masks are used  Moreover, once trained, our method takes few seconds to process a typical brain image volume using modern a high-end GPU  In contrast, many of the other competitive methods have processing times in the order of minutes </t>
  </si>
  <si>
    <t>Artificial intelligence in medicine</t>
  </si>
  <si>
    <t xml:space="preserve">School of Biomedical Engineering and Imaging Sciences, King's College London, UK; Medical Image Computing Laboratory (MICLab), Department of Computer Engineering and Industrial Automation, School of Electrical and Computer Engineering, University of Campinas, Campinas, São Paulo, Brazil  Electronic address: oeslle lucena@kcl ac uk </t>
  </si>
  <si>
    <t>Lucena, O; Souza, R; Rittner, L; Frayne, R; Lotufo, R</t>
  </si>
  <si>
    <t>8915031</t>
  </si>
  <si>
    <t>10 3390/jcm8091446</t>
  </si>
  <si>
    <t xml:space="preserve">Aiding the Diagnosis of Diabetic and Hypertensive Retinopathy Using Artificial Intelligence-Based Semantic Segmentation </t>
  </si>
  <si>
    <t xml:space="preserve">Automatic segmentation of retinal images is an important task in computer-assisted medical image analysis for the diagnosis of diseases such as hypertension, diabetic and hypertensive retinopathy, and arteriosclerosis  Among the diseases, diabetic retinopathy, which is the leading cause of vision detachment, can be diagnosed early through the detection of retinal vessels  The manual detection of these retinal vessels is a time-consuming process that can be automated with the help of artificial intelligence with deep learning  The detection of vessels is difficult due to intensity variation and noise from non-ideal imaging  Although there are deep learning approaches for vessel segmentation, these methods require many trainable parameters, which increase the network complexity  To address these issues, this paper presents a dual-residual-stream-based vessel segmentation network (Vess-Net), which is not as deep as conventional semantic segmentation networks, but provides good segmentation with few trainable parameters and layers  The method takes advantage of artificial intelligence for semantic segmentation to aid the diagnosis of retinopathy  To evaluate the proposed Vess-Net method, experiments were conducted with three publicly available datasets for vessel segmentation: digital retinal images for vessel extraction (DRIVE), the Child Heart Health Study in England (CHASE-DB1), and structured analysis of retina (STARE)  Experimental results show that Vess-Net achieved superior performance for all datasets with sensitivity (Se), specificity (Sp), area under the curve (AUC), and accuracy (Acc) of 80 22%, 98 1%, 98 2%, and 96 55% for DRVIE; 82 06%, 98 41%, 98 0%, and 97 26% for CHASE-DB1; and 85 26%, 97 91%, 98 83%, and 96 97% for STARE dataset </t>
    <phoneticPr fontId="0" type="noConversion"/>
  </si>
  <si>
    <t>FCN</t>
  </si>
  <si>
    <t>South Korea</t>
  </si>
  <si>
    <t>Journal of clinical medicine</t>
  </si>
  <si>
    <t xml:space="preserve">Division of Electronics and Electrical Engineering, Dongguk University, 30 Pildong-ro 1-gil, Jung-gu, Seoul 04620, Korea  </t>
  </si>
  <si>
    <t>Arsalan, M; Owais, M; Mahmood, T; Cho, SW; Park, KR</t>
  </si>
  <si>
    <t>101606588</t>
  </si>
  <si>
    <t>10 1109/JBHI 2019 2940695</t>
  </si>
  <si>
    <t xml:space="preserve">Decoding Brain States from fMRI Signals by using Unsupervised Domain Adaptation </t>
  </si>
  <si>
    <t xml:space="preserve">With the development of deep learning in medical image analysis, decoding brain states from functional magnetic resonance imaging (fMRI) signals has made significant progress  Previous studies often utilized deep neural networks to automatically classify brain activity patterns related to diverse cognitive states  However, due to the individual differences between subjects and the variation in acquisition parameters across devices, the inconsistency in data distributions degrades the performance of cross-subject decoding  Besides, most current networks were trained in a supervised way, which is not suitable for the actual scenarios in which massive amounts of data are unlabeled  To address these problems, we proposed the deep crosssubject adaptation decoding (DCAD) framework to decipher the brain states  The proposed volume-based 3D feature extraction architecture can automatically learn the common spatiotemporal features of labeled source data to generate a distinct descriptor  Then, the distance between the source and target distributions is minimized via an unsupervised domain adaptation (UDA) method, which can help to accurately decode the cognitive states across subjects  The performance of the DCAD was evaluated on task-fMRI (tfMRI) dataset from the Human Connectome Project (HCP)  Experimental results showed that the proposed method achieved the state-of-the-art decoding performance with mean 81 9% and 84 9% accuracies under two conditions (4 brain states and 9 brain states respectively) of working memory task  Our findings also demonstrated that UDA can mitigate the impact of the data distribution shift, thereby providing a superior choice for increasing the performance of cross-subject decoding without depending on annotations </t>
  </si>
  <si>
    <t xml:space="preserve">RNN,LSTM,CNN </t>
  </si>
  <si>
    <t>Y  Gao, Z  Cao, and X  Guo are with the College of Information Science and
Technology, Beijing Normal University, Beijing 100875, China</t>
  </si>
  <si>
    <t>Gao, Y; Zhang, Y; Cao, Z; Guo, X; Zhang, J</t>
  </si>
  <si>
    <t>10 1371/journal pone 0221720</t>
  </si>
  <si>
    <t xml:space="preserve">An artificial intelligent diagnostic system on mobile Android terminals for cholelithiasis by lightweight convolutional neural network </t>
  </si>
  <si>
    <t xml:space="preserve">Artificial intelligence (AI) tools have been applied to diagnose or predict disease risk from medical images with recent data disclosure actions, but few of them are designed for mobile terminals due to the limited computational power and storage capacity of mobile devices  In this work, a novel AI diagnostic system is proposed for cholelithiasis recognition on mobile devices with Android platform  To this aim, a data set of CT images of cholelithiasis is firstly collected from The Third Hospital of Shandong Province, China, and then we technically use histogram equalization to preprocess these CT images  As results, a lightweight convolutional neural network is obtained in a constructive way to extract cholelith features and recognize gallstones  In terms of implementation, we compile Java and C++ to adapt to the application of deep learning algorithm on mobile devices with Android platform  Noted that, the training task is completed offline on PC, but cholelithiasis recognition tasks are performed on mobile terminals  We evaluate and compare the performance of our MobileNetV2 with MobileNetV1, Single Shot Detector (SSD), YOLOv2 and original SSD (with VGG-16) as feature extractors for object detection  It is achieved that our MobileNetV2 achieve similar accuracy rate, about 91% with the other four methods, but the number of parameters used is reduced from 36 1M (SSD 300, SSD512), 50 7M (Yolov2) and 5 1M (MobileNetV1) to 4 3M (MobileNetV2)  The complete process on testing mobile devices, including Virtual machine, Xiaomi 7 and Htc One M8 can be controlled within 4 seconds in recognizing cholelithiasis as well as the degree of the disease </t>
    <phoneticPr fontId="0" type="noConversion"/>
  </si>
  <si>
    <t>CNN,VGG, RESNET,MobileNetS</t>
  </si>
  <si>
    <t>PloS one</t>
  </si>
  <si>
    <t xml:space="preserve">College of Computer and Communication Engineering, China University of Petroleum, Qingdao, Shandong, China </t>
  </si>
  <si>
    <t>Pang, S; Wang, S; Rodríguez-Patón, A; Li, P; Wang, X</t>
  </si>
  <si>
    <t>101285081</t>
  </si>
  <si>
    <t>10 1109/JBHI 2019 2939810</t>
  </si>
  <si>
    <t xml:space="preserve">Detection and Monitoring of Thermal Lesions Induced by Microwave Ablation Using Ultrasound Imaging and Convolutional Neural Networks </t>
  </si>
  <si>
    <t xml:space="preserve">Microwave ablation (MWA) for cancer treatment is frequently monitored by ultrasound (US) B-mode imaging in the clinic, which often fails due to the low intrinsic contrast between the thermal lesion and normal tissue  Deep learning, especially convolutional neural network (CNN), has shown significant improvements in medical image analysis  Here, we propose and evaluate an US imaging based on a CNN architecture for the detection and monitoring of thermal lesions induced by MWA in porcine livers  Unlike dealing with images in many visual object recognition tasks, US radiofrequency (RF) data backscattered from the ablated region were utilized to capture features related to the thermal lesion  The dataset comprised of 1640 US RF envelope data matrices and their corresponding gross-pathology images, and were utilized for training and testing  After envelope detection, US B-mode, segmentation results based on CNN ([Formula: see text]), and modified CNN ([Formula: see text]) for US data were simultaneously reconstructed to reveal the suitability for monitoring of MWA  The [Formula: see text] and [Formula: see text] outperformed B-mode images for the detection and monitoring of MWA-induced thermal lesions  The values of the area under the receiver operating characteristic curve were 0 8728 and 0 8948 for the [Formula: see text] and [Formula: see text], respectively, which were both higher than the value of 0 6904 for B-mode images  Ablated regions that were assessed using [Formula: see text] showed a good correlation (J 0 8845, r 0 8739, and E 0 410) to gross-pathology images  This study was the first to illustrate that [Formula: see text] has the potential to detect and monitor thermal lesions, and may be utilized as an alternative modality for image-guided MWA treatments </t>
  </si>
  <si>
    <t>S  Y  Zhang, S  Wu, S  S  Shang, X  W Qin, X  Jia, D  P  Li, Z  W  Cui, T  Q  xu and M  X  Wan are with the Key Laboratory of Biomedical Information Engineering of Ministry of Education, Department of Biomedical Engineering, School of Life Science and Technology, Xi’an Jiaotong University, Xi’an 710049, China</t>
  </si>
  <si>
    <t>Zhang, S; Wu, S; Shang, S; Qin, X; Jia, X; Li, D; Cui, Z; Xu, T; Niu, G; Bouakaz, A; Wan, M</t>
  </si>
  <si>
    <t>10 1016/j media 2019 101551</t>
  </si>
  <si>
    <t xml:space="preserve">Removing segmentation inconsistencies with semi-supervised non-adjacency constraint </t>
  </si>
  <si>
    <t xml:space="preserve">The advent of deep learning has pushed medical image analysis to new levels, rapidly replacing more traditional machine learning and computer vision pipelines  However segmenting and labelling anatomical regions remains challenging owing to appearance variations, imaging artifacts, the paucity and variability of annotated data, and the difficulty of fully exploiting domain constraints such as anatomical knowledge about inter-region relationships  We address the last point, improving the network's region-labeling consistency by introducing NonAdjLoss, an adjacency-graph based auxiliary training loss that penalizes outputs containing regions with anatomically-incorrect adjacency relationships  NonAdjLoss supports both fully-supervised training and a semi-supervised extension in which it is applied to unlabeled supplementary training data  The approach substantially reduces segmentation anomalies on the MICCAI-2012, IBSRv2 brain MRI datasets and the Anatomy3 whole body CT dataset, especially when semi-supervised training is included </t>
  </si>
  <si>
    <t xml:space="preserve">Univ Lyon, INSA-Lyon, Université Claude Bernard Lyon 1, UJM-Saint Etienne, CNRS, Inserm, CREATIS UMR 5220, U1206, F-69100, LYON, France  Electronic address: ganaye@creatis insa-lyon fr </t>
  </si>
  <si>
    <t>Ganaye, PA; Sdika, M; Triggs, B; Benoit-Cattin, H</t>
  </si>
  <si>
    <t>10 1109/TMI 2019 2939044</t>
  </si>
  <si>
    <t xml:space="preserve">Stacked Bidirectional Convolutional LSTMs for Deriving 3D Non-contrast CT from Spatiotemporal 4D CT </t>
  </si>
  <si>
    <t xml:space="preserve">The imaging workup in acute stroke can be simplified by deriving non-contrast CT (NCCT) from CT perfusion (CTP) images  This results in reduced workup time and radiation dose  To achieve this, we present a stacked bidirectional convolutional LSTM (C-LSTM) network to predict 3D volumes from 4D spatiotemporal data  Several parameterizations of the C-LSTM network were trained on a set of 17 CTP-NCCT pairs to learn to derive a NCCT from CTP and were subsequently quantitatively evaluated on a separate cohort of 16 cases  The results show that the C-LSTM network clearly outperforms the baseline and competitive convolutional neural network methods  We show good scalability and performance of the method by continued training and testing on an independent dataset which includes pathology of 80 and 83 CTP-NCCT pairs, respectively  C-LSTM is, therefore, a promising general deep learning approach to learn from high-dimensional spatiotemporal medical images </t>
    <phoneticPr fontId="0" type="noConversion"/>
  </si>
  <si>
    <t>RNN,LSTM</t>
  </si>
  <si>
    <t>Netherlands</t>
  </si>
  <si>
    <t>All authors are with the Department of Radiology and Nuclear Medicine,
Radboud University Medical Center, 6525 GA Nijmegen, The Netherlands</t>
    <phoneticPr fontId="0" type="noConversion"/>
  </si>
  <si>
    <t>van de Leemput, SC; Prokop, M; van Ginneken, B; Manniesing, R</t>
  </si>
  <si>
    <t>10 1038/s41598-019-48995-4</t>
  </si>
  <si>
    <t xml:space="preserve">Deep Learning to Improve Breast Cancer Detection on Screening Mammography </t>
  </si>
  <si>
    <t xml:space="preserve">The rapid development of deep learning, a family of machine learning techniques, has spurred much interest in its application to medical imaging problems  Here, we develop a deep learning algorithm that can accurately detect breast cancer on screening mammograms using an "end-to-end" training approach that efficiently leverages training datasets with either complete clinical annotation or only the cancer status (label) of the whole image  In this approach, lesion annotations are required only in the initial training stage, and subsequent stages require only image-level labels, eliminating the reliance on rarely available lesion annotations  Our all convolutional network method for classifying screening mammograms attained excellent performance in comparison with previous methods  On an independent test set of digitized film mammograms from the Digital Database for Screening Mammography (CBIS-DDSM), the best single model achieved a per-image AUC of 0 88, and four-model averaging improved the AUC to 0 91 (sensitivity: 86 1%, specificity: 80 1%)  On an independent test set of full-field digital mammography (FFDM) images from the INbreast database, the best single model achieved a per-image AUC of 0 95, and four-model averaging improved the AUC to 0 98 (sensitivity: 86 7%, specificity: 96 1%)  We also demonstrate that a whole image classifier trained using our end-to-end approach on the CBIS-DDSM digitized film mammograms can be transferred to INbreast FFDM images using only a subset of the INbreast data for fine-tuning and without further reliance on the availability of lesion annotations  These findings show that automatic deep learning methods can be readily trained to attain high accuracy on heterogeneous mammography platforms, and hold tremendous promise for improving clinical tools to reduce false positive and false negative screening mammography results  Code and model available at: https://github com/lishen/end2end-all-conv  </t>
  </si>
  <si>
    <t>breast</t>
  </si>
  <si>
    <t>mammograms</t>
  </si>
  <si>
    <t>CNN,CNN,VGG,ResNET</t>
  </si>
  <si>
    <t>Scientific reports</t>
  </si>
  <si>
    <t xml:space="preserve">Icahn School of Medicine at Mount Sinai (ISMMS), Department of Neuroscience, New York, 10029, USA  li shen@mssm edu </t>
  </si>
  <si>
    <t>Shen, L; Margolies, LR; Rothstein, JH; Fluder, E; McBride, R; Sieh, W</t>
  </si>
  <si>
    <t>101563288</t>
  </si>
  <si>
    <t>10 3389/fncom 2019 00056</t>
  </si>
  <si>
    <t xml:space="preserve">Automatic Brain Tumor Segmentation Based on Cascaded Convolutional Neural Networks With Uncertainty Estimation </t>
  </si>
  <si>
    <t xml:space="preserve">Automatic segmentation of brain tumors from medical images is important for clinical assessment and treatment planning of brain tumors  Recent years have seen an increasing use of convolutional neural networks (CNNs) for this task, but most of them use either 2D networks with relatively low memory requirement while ignoring 3D context, or 3D networks exploiting 3D features while with large memory consumption  In addition, existing methods rarely provide uncertainty information associated with the segmentation result  We propose a cascade of CNNs to segment brain tumors with hierarchical subregions from multi-modal Magnetic Resonance images (MRI), and introduce a 2 5D network that is a trade-off between memory consumption, model complexity and receptive field  In addition, we employ test-time augmentation to achieve improved segmentation accuracy, which also provides voxel-wise and structure-wise uncertainty information of the segmentation result  Experiments with BraTS 2017 dataset showed that our cascaded framework with 2 5D CNNs was one of the top performing methods (second-rank) for the BraTS challenge  We also validated our method with BraTS 2018 dataset and found that test-time augmentation improves brain tumor segmentation accuracy and that the resulting uncertainty information can indicate potential mis-segmentations and help to improve segmentation accuracy </t>
  </si>
  <si>
    <t>Frontiers in computational neuroscience</t>
  </si>
  <si>
    <t xml:space="preserve">School of Mechanical and Electrical Engineering, University of Electronic Science and Technology of China, Chengdu, China </t>
  </si>
  <si>
    <t>Wang, G; Li, W; Ourselin, S; Vercauteren, T</t>
  </si>
  <si>
    <t>101477956</t>
  </si>
  <si>
    <t>10 1186/s12859-019-2979-y</t>
  </si>
  <si>
    <t xml:space="preserve">Reverse active learning based atrous DenseNet for pathological image classification </t>
  </si>
  <si>
    <t xml:space="preserve">Due to the recent advances in deep learning, this model attracted researchers who have applied it to medical image analysis  However, pathological image analysis based on deep learning networks faces a number of challenges, such as the high resolution (gigapixel) of pathological images and the lack of annotation capabilities  To address these challenges, we propose a training strategy called deep-reverse active learning (DRAL) and atrous DenseNet (ADN) for pathological image classification  The proposed DRAL can improve the classification accuracy of widely used deep learning networks such as VGG-16 and ResNet by removing mislabeled patches in the training set  As the size of a cancer area varies widely in pathological images, the proposed ADN integrates the atrous convolutions with the dense block for multiscale feature extraction The proposed DRAL and ADN are evaluated using the following three pathological datasets: BACH, CCG, and UCSB  The experiment results demonstrate the excellent performance of the proposed DRAL + ADN framework, achieving patch-level average classification accuracies (ACA) of 94 10%, 92 05% and 97 63% on the BACH, CCG, and UCSB validation sets, respectively The DRAL + ADN framework is a potential candidate for boosting the performance of deep learning models for partially mislabeled training datasets </t>
  </si>
  <si>
    <t>H&amp;E</t>
  </si>
  <si>
    <t>CNN,DenseNet</t>
  </si>
  <si>
    <t>BMC bioinformatics</t>
  </si>
  <si>
    <t xml:space="preserve">Computer Vision Institute, College of Computer Science and Software Engineering, Shenzhen University, Shenzhen, China </t>
  </si>
  <si>
    <t>Li, Y; Xie, X; Shen, L; Liu, S</t>
  </si>
  <si>
    <t>100965194</t>
  </si>
  <si>
    <t>10 1016/j compmedimag 2019 101645</t>
  </si>
  <si>
    <t xml:space="preserve">An investigation of CNN models for differentiating malignant from benign lesions using small pathologically proven datasets </t>
  </si>
  <si>
    <t xml:space="preserve">Cancer has been one of the most threatening diseases to human health  There have been many efforts devoted to the advancement of radiology and transformative tools (e g  non-invasive computed tomographic or CT imaging) to detect cancer in early stages  One of the major goals is to identify malignant from benign lesions  In recent years, machine deep learning (DL), e g  convolutional neural network (CNN), has shown encouraging classification performance on medical images  However, DL algorithms always need large datasets with ground truth  Yet in the medical imaging field, especially for cancer imaging, it is difficult to collect such large volume of images with pathological information  Therefore, strategies are needed to learn effectively from small datasets via CNN models  To forward that goal, this paper explores two CNN models by focusing extensively on expansion of training samples from two small pathologically proven datasets (colorectal polyp dataset and lung nodule dataset) and then differentiating malignant from benign lesions  Experimental outcomes indicate that even in very small datasets of less than 70 subjects, malignance can be successfully differentiated from benign via the proposed CNN models, the average AUCs (area under the receiver operating curve) of differentiating colorectal polyps and pulmonary nodules are 0 86 and 0 71, respectively  Our experiments further demonstrate that for these two small datasets, instead of only studying the original raw CT images, feeding additional image features, such as the local binary pattern of the lesions, into the CNN models can significantly improve classification performance  In addition, we find that our explored voxel level CNN model has better performance when facing the small and unbalanced datasets </t>
  </si>
  <si>
    <t>abdominal,lung</t>
  </si>
  <si>
    <t xml:space="preserve">Department of Radiology, Stony Brook University, Stony Brook, NY, 11794 USA </t>
  </si>
  <si>
    <t>Zhang, S; Han, F; Liang, Z; Tan, J; Cao, W; Gao, Y; Pomeroy, M; Ng, K; Hou, W</t>
  </si>
  <si>
    <t>10 1097/WNO 0000000000000827</t>
  </si>
  <si>
    <t xml:space="preserve">Deep Learning and Transfer Learning for Optic Disc Laterality Detection: Implications for Machine Learning in Neuro-Ophthalmology </t>
  </si>
  <si>
    <t xml:space="preserve">Deep learning (DL) has demonstrated human expert levels of performance for medical image classification in a wide array of medical fields, including ophthalmology  In this article, we present the results of our DL system designed to determine optic disc laterality, right eye vs left eye, in the presence of both normal and abnormal optic discs Using transfer learning, we modified the ResNet-152 deep convolutional neural network (DCNN), pretrained on ImageNet, to determine the optic disc laterality  After a 5-fold cross-validation, we generated receiver operating characteristic curves and corresponding area under the curve (AUC) values to evaluate performance  The data set consisted of 576 color fundus photographs (51% right and 49% left)  Both 30° photographs centered on the optic disc (63%) and photographs with varying degree of optic disc centration and/or wider field of view (37%) were included  Both normal (27%) and abnormal (73%) optic discs were included  Various neuro-ophthalmological diseases were represented, such as, but not limited to, atrophy, anterior ischemic optic neuropathy, hypoplasia, and papilledema Using 5-fold cross-validation (70% training; 10% validation; 20% testing), our DCNN for classifying right vs left optic disc achieved an average AUC of 0 999 (±0 002) with optimal threshold values, yielding an average accuracy of 98 78% (±1 52%), sensitivity of 98 60% (±1 72%), and specificity of 98 97% (±1 38%)  When tested against a separate data set for external validation, our 5-fold cross-validation model achieved the following average performance: AUC 0 996 (±0 005), accuracy 97 2% (±2 0%), sensitivity 96 4% (±4 3%), and specificity 98 0% (±2 2%) Small data sets can be used to develop high-performing DL systems for semantic labeling of neuro-ophthalmology images, specifically in distinguishing between right and left optic discs, even in the presence of neuro-ophthalmological pathologies  Although this may seem like an elementary task, this study demonstrates the power of transfer learning and provides an example of a DCNN that can help curate large medical image databases for machine-learning purposes and facilitate ophthalmologist workflow by automatically labeling images according to laterality </t>
  </si>
  <si>
    <t xml:space="preserve"> CNN,ResNet</t>
  </si>
  <si>
    <t>Journal of neuro-ophthalmology : the official journal of the North American Neuro-Ophthalmology Society</t>
  </si>
  <si>
    <t xml:space="preserve">Department of Ophthalmology (TYAL, NRM), Wilmer Eye Institute, Johns Hopkins University, Baltimore, Maryland; Department of Ophthalmology (DSWT), Singapore Eye Research Institute, Singapore National Eye Center, Duke-NUS Medical School, National University of Singapore, Singapore; Department of Radiology (PHY, FKH), Johns Hopkins University, Baltimore, Maryland; Department of Biomedical Engineering (JW), Johns Hopkins University, Baltimore, Maryland; Computational Interaction and Robotics Lab (HZ, GDH), Johns Hopkins University, Baltimore, Maryland; Department of Ophthalmology (PSS), University of Colorado School of Medicine, Aurora, Colorado; School of Medicine (TL), Johns Hopkins University, Baltimore, Maryland; and Malone Center for Engineering in Healthcare (GDH), Johns Hopkins University, Baltimore, Maryland </t>
  </si>
  <si>
    <t>Liu, TYA; Ting, DSW; Yi, PH; Wei, J; Zhu, H; Subramanian, PS; Li, T; Hui, FK; Hager, GD; Miller, NR</t>
  </si>
  <si>
    <t>9431308</t>
  </si>
  <si>
    <t>10 1016/S2589-7500(19)30058-5</t>
  </si>
  <si>
    <t xml:space="preserve">An image-based deep learning framework for individualizing radiotherapy dose </t>
  </si>
  <si>
    <t xml:space="preserve">Radiotherapy continues to be delivered uniformly without consideration of individual tumor characteristics  To advance toward more precise treatments in radiotherapy, we queried the lung computed tomography (CT)-derived feature space to identify radiation sensitivity parameters that can predict treatment failure and hence guide the individualization of radiotherapy dose We used a cohort-based registry of 849 patients with cancer in the lung treated with high dose radiotherapy using stereotactic body radiotherapy  We input pre-therapy lung CT images into a multi-task deep neural network, Deep Profiler, to generate an image fingerprint that primarily predicts time to event treatment outcomes and secondarily approximates classical radiomic features  We validated our findings in an independent study population (n = 95)  Deep Profiler was combined with clinical variables to derive iGray, an individualized dose that estimates treatment failure probability to be &lt;5% Radiation treatments in patients with high Deep Profiler scores fail at a significantly higher rate than in those with low scores  The 3-year cumulative incidences of local failure were 20 3% (95% CI: 16 0-24 9) and 5 7% (95% CI: 3 5-8 8), respectively  Deep Profiler independently predicted local failure (hazard ratio 1 65, 95% 1 02-2 66, p = 0 04)  Models that included Deep Profiler and clinical variables predicted treatment failures with a concordance index of 0 72 (95% CI: 0 67-0 77), a significant improvement compared to classical radiomics or clinical variables alone (p = &lt;0 001 and &lt;0 001, respectively)  Deep Profiler performed well in an external study population (n = 95), accurately predicting treatment failures across diverse clinical settings and CT scanner types (concordance index = 0 77 [95% CI: 0 69-0 92])  iGray had a wide dose range (21 1-277 Gy, BED), suggested dose reductions in 23 3% of patients and can be safely delivered in the majority of cases Our results indicate that there are image-distinct subpopulations that have differential sensitivity to radiotherapy  The image-based deep learning framework proposed herein is the first opportunity to use medical images to individualize radiotherapy dose </t>
  </si>
  <si>
    <t>characterization-identification</t>
  </si>
  <si>
    <t>The Lancet  Digital health</t>
  </si>
  <si>
    <t xml:space="preserve">755 College Road East, Digital Technology and Innovation Division, Siemens Healthineers, Princeton, NJ, 08540 </t>
  </si>
  <si>
    <t>Lou, B; Doken, S; Zhuang, T; Wingerter, D; Gidwani, M; Mistry, N; Ladic, L; Kamen, A; Abazeed, ME</t>
  </si>
  <si>
    <t>101751302</t>
  </si>
  <si>
    <t>10 1109/TVCG 2019 2934369</t>
  </si>
  <si>
    <t xml:space="preserve">DeepOrganNet: On-the-Fly Reconstruction and Visualization of 3D / 4D Lung Models from Single-View Projections by Deep Deformation Network </t>
  </si>
  <si>
    <t xml:space="preserve">This paper introduces a deep neural network based method, i e , DeepOrganNet, to generate and visualize fully high-fidelity 3D / 4D organ geometric models from single-view medical images with complicated background in real time  Traditional 3D / 4D medical image reconstruction requires near hundreds of projections, which cost insufferable computational time and deliver undesirable high imaging / radiation dose to human subjects  Moreover, it always needs further notorious processes to segment or extract the accurate 3D organ models subsequently  The computational time and imaging dose can be reduced by decreasing the number of projections, but the reconstructed image quality is degraded accordingly  To our knowledge, there is no method directly and explicitly reconstructing multiple 3D organ meshes from a single 2D medical grayscale image on the fly  Given single-view 2D medical images, e g , 3D / 4D-CT projections or X-ray images, our end-to-end DeepOrganNet framework can efficiently and effectively reconstruct 3D / 4D lung models with a variety of geometric shapes by learning the smooth deformation fields from multiple templates based on a trivariate tensor-product deformation technique, leveraging an informative latent descriptor extracted from input 2D images  The proposed method can guarantee to generate high-quality and high-fidelity manifold meshes for 3D / 4D lung models; while, all current deep learning based approaches on the shape reconstruction from a single image cannot  The major contributions of this work are to accurately reconstruct the 3D organ shapes from 2D single-view projection, significantly improve the procedure time to allow on-the-fly visualization, and dramatically reduce the imaging dose for human subjects  Experimental results are evaluated and compared with the traditional reconstruction method and the state-of-the-art in deep learning, by using extensive 3D and 4D examples, including both synthetic phantom and real patient datasets  The efficiency of the proposed method shows that it only needs several milliseconds to generate organ meshes with 10K vertices, which has great potential to be used in real-time image guided radiation therapy (IGRT) </t>
  </si>
  <si>
    <t>DNN,MobileNets</t>
  </si>
  <si>
    <t>IEEE transactions on visualization and computer graphics</t>
  </si>
  <si>
    <t xml:space="preserve">Yifan Wang, Zichun Zhong, and Jing Hua are with the Department of
Computer Science, Wayne State University, Detroit, MI 48202 </t>
  </si>
  <si>
    <t>Wang, Y; Zhong, Z; Hua, J</t>
  </si>
  <si>
    <t>9891704</t>
  </si>
  <si>
    <t>10 1016/j cmpb 2019 105012</t>
  </si>
  <si>
    <t xml:space="preserve">Learning from adversarial medical images for X-ray breast mass segmentation </t>
  </si>
  <si>
    <t xml:space="preserve">Simulation of diverse lesions in images is proposed and applied to overcome the scarcity of labeled data, which has hindered the application of deep learning in medical imaging  However, most of current studies focus on generating samples with class labels for classification and detection rather than segmentation, because generating images with precise masks remains a challenge  Therefore, we aim to generate realistic medical images with precise masks for improving lesion segmentation in mammagrams In this paper, we propose a new framework for improving X-ray breast mass segmentation performance aided by generated adversarial lesion images with precise masks  Firstly, we introduce a conditional generative adversarial network (cGAN) to learn the distribution of real mass images as well as a mapping between images and corresponding segmentation masks  Subsequently, a number of lesion images are generated from various binary input masks using the generator in the trained cGAN  Then the generated adversarial samples are concatenated with original samples to produce a dataset with increased diversity  Furthermore, we introduce an improved U-net and train it on the previous augmented dataset for breast mass segmentation To demonstrate the effectiveness of our proposed method, we conduct experiments on publicly available mammogram database of INbreast and a private database provided by Nanfang Hospital in China  Experimental results show that an improvement up to 7% in Jaccard index can be achieved over the same model trained on original real lesion images Our proposed method can be viewed as one of the first steps toward generating realistic X-ray breast mass images with masks for precise segmentation </t>
  </si>
  <si>
    <t>X-ray</t>
  </si>
  <si>
    <t>CNN,Unet,GAN</t>
  </si>
  <si>
    <t>China</t>
  </si>
  <si>
    <t xml:space="preserve">Institute of Automation, Chinese Academy of Sciences, Zhongguancun East Road 95, Beijing 100190, China; Qingdao Academy of Intelligent Industries, Zhilidao Road 1, Qingdao 266000, China; University of Chinese Academy of Sciences, Beijing 100049, China </t>
  </si>
  <si>
    <t>Shen, T; Gou, C; Wang, FY; He, Z; Chen, W</t>
  </si>
  <si>
    <t>10 3389/fnagi 2019 00194</t>
  </si>
  <si>
    <t xml:space="preserve">Layer-Wise Relevance Propagation for Explaining Deep Neural Network Decisions in MRI-Based Alzheimer's Disease Classification </t>
  </si>
  <si>
    <t xml:space="preserve">Deep neural networks have led to state-of-the-art results in many medical imaging tasks including Alzheimer's disease (AD) detection based on structural magnetic resonance imaging (MRI) data  However, the network decisions are often perceived as being highly non-transparent, making it difficult to apply these algorithms in clinical routine  In this study, we propose using layer-wise relevance propagation (LRP) to visualize convolutional neural network decisions for AD based on MRI data  Similarly to other visualization methods, LRP produces a heatmap in the input space indicating the importance/relevance of each voxel contributing to the final classification outcome  In contrast to susceptibility maps produced by guided backpropagation ("Which change in voxels would change the outcome most?"), the LRP method is able to directly highlight positive contributions to the network classification in the input space  In particular, we show that (1) the LRP method is very specific for individuals ("Why does this person have AD?") with high inter-patient variability, (2) there is very little relevance for AD in healthy controls and (3) areas that exhibit a lot of relevance correlate well with what is known from literature  To quantify the latter, we compute size-corrected metrics of the summed relevance per brain area, e g , relevance density or relevance gain  Although these metrics produce very individual "fingerprints" of relevance patterns for AD patients, a lot of importance is put on areas in the temporal lobe including the hippocampus  After discussing several limitations such as sensitivity toward the underlying model and computation parameters, we conclude that LRP might have a high potential to assist clinicians in explaining neural network decisions for diagnosing AD (and potentially other diseases) based on structural MRI data </t>
  </si>
  <si>
    <t>DNN,CNN</t>
  </si>
  <si>
    <t>Germany</t>
  </si>
  <si>
    <t>Frontiers in aging neuroscience</t>
  </si>
  <si>
    <t xml:space="preserve">Berlin Institute of Health, Charité-Universitätsmedizin Berlin, Corporate Member of Freie Universität Berlin, Humboldt-Universität zu Berlin, Berlin, Germany </t>
  </si>
  <si>
    <t>Böhle, M; Eitel, F; Weygandt, M; Ritter, K</t>
  </si>
  <si>
    <t>101525824</t>
  </si>
  <si>
    <t>10 1016/j cmpb 2019 06 016</t>
  </si>
  <si>
    <t xml:space="preserve">Classification of diabetes-related retinal diseases using a deep learning approach in optical coherence tomography </t>
  </si>
  <si>
    <t xml:space="preserve">Spectral Domain Optical Coherence Tomography (SD-OCT) is a volumetric imaging technique that allows measuring patterns between layers such as small amounts of fluid  Since 2012, automatic medical image analysis performance has steadily increased through the use of deep learning models that automatically learn relevant features for specific tasks, instead of designing visual features manually  Nevertheless, providing insights and interpretation of the predictions made by the model is still a challenge  This paper describes a deep learning model able to detect medically interpretable information in relevant images from a volume to classify diabetes-related retinal diseases This article presents a new deep learning model, OCT-NET, which is a customized convolutional neural network for processing scans extracted from optical coherence tomography volumes  OCT-NET is applied to the classification of three conditions seen in SD-OCT volumes  Additionally, the proposed model includes a feedback stage that highlights the areas of the scans to support the interpretation of the results  This information is potentially useful for a medical specialist while assessing the prediction produced by the model The proposed model was tested on the public SERI-CUHK and A2A SD-OCT data sets containing healthy, diabetic retinopathy, diabetic macular edema and age-related macular degeneration  The experimental evaluation shows that the proposed method outperforms conventional convolutional deep learning models from the state of the art reported on the SERI+CUHK and A2A SD-OCT data sets with a precision of 93% and an area under the ROC curve (AUC) of 0 99 respectively The proposed method is able to classify the three studied retinal diseases with high accuracy  One advantage of the method is its ability to produce interpretable clinical information in the form of highlighting the regions of the image that most contribute to the classifier decision </t>
    <phoneticPr fontId="0" type="noConversion"/>
  </si>
  <si>
    <t>OCT</t>
  </si>
  <si>
    <t>CNN,VGG,DNN</t>
  </si>
  <si>
    <t>Colombia</t>
  </si>
  <si>
    <t xml:space="preserve">MindLab Research Group, Universidad Nacional de Colombia, Edificio 453, Laboratorio 207, Bogotá, Colombia </t>
  </si>
  <si>
    <t>Perdomo, O; Rios, H; Rodríguez, FJ; Otálora, S; Meriaudeau, F; Müller, H; González, FA</t>
  </si>
  <si>
    <t>10 1007/s40123-019-00207-y</t>
  </si>
  <si>
    <t xml:space="preserve">Optical Coherence Tomography-Based Deep-Learning Models for Classifying Normal and Age-Related Macular Degeneration and Exudative and Non-Exudative Age-Related Macular Degeneration Changes </t>
  </si>
  <si>
    <t xml:space="preserve">The use of optical coherence tomography (OCT) images is increasing in the medical treatment of age-related macular degeneration (AMD), and thus, the amount of data requiring analysis is increasing  Advances in machine-learning techniques may facilitate processing of large amounts of medical image data  Among deep-learning methods, convolution neural networks (CNNs) show superior image recognition ability  This study aimed to build deep-learning models that could distinguish AMD from healthy OCT scans and to distinguish AMD with and without exudative changes without using a segmentation algorithm This was a cross-sectional observational clinical study  A total of 1621 spectral domain (SD)-OCT images of patients with AMD and a healthy control group were studied  The first CNN model was trained and validated using 1382 AMD images and 239 normal images  The second transfer-learning model was trained and validated with 721 AMD images with exudative changes and 661 AMD images without any exudate  The attention area of the CNN was described as a heat map by class activation mapping (CAM)  In the second model, which classified images into AMD with or without exudative changes, we compared the learning stabilization of models using or not using transfer learning Using the first CNN model, we could classify AMD and normal OCT images with 100% sensitivity, 91 8% specificity, and 99 0% accuracy  In the second, transfer-learning model, we could classify AMD as having or not having exudative changes, with 98 4% sensitivity, 88 3% specificity, and 93 9% accuracy  CAM successfully described the heat-map area on the OCT images  Including the transfer-learning model in the second model resulted in faster stabilization than when the transfer-learning model was not included Two computational deep-learning models were developed and evaluated here; both models showed good performance  Automation of the interpretation process by using deep-learning models can save time and improve efficiency No15073 </t>
    <phoneticPr fontId="0" type="noConversion"/>
  </si>
  <si>
    <t>Japan</t>
  </si>
  <si>
    <t>Ophthalmology and therapy</t>
  </si>
  <si>
    <t xml:space="preserve">Department of Ophthalmology, Kobe City Eye Hospital, Kobe, Japan </t>
  </si>
  <si>
    <t>Motozawa, N; An, G; Takagi, S; Kitahata, S; Mandai, M; Hirami, Y; Yokota, H; Akiba, M; Tsujikawa, A; Takahashi, M; Kurimoto, Y</t>
  </si>
  <si>
    <t>101634502</t>
  </si>
  <si>
    <t>10 1007/s11548-019-02042-9</t>
  </si>
  <si>
    <t xml:space="preserve">Synthesis of CT images from digital body phantoms using CycleGAN </t>
  </si>
  <si>
    <t xml:space="preserve">The potential of medical image analysis with neural networks is limited by the restricted availability of extensive data sets  The incorporation of synthetic training data is one approach to bypass this shortcoming, as synthetic data offer accurate annotations and unlimited data size We evaluated eleven CycleGAN for the synthesis of computed tomography (CT) images based on XCAT body phantoms  The image quality was assessed in terms of anatomical accuracy and realistic noise properties  We performed two studies exploring various network and training configurations as well as a task-based adaption of the corresponding loss function The CycleGAN using the Res-Net architecture and three XCAT input slices achieved the best overall performance in the configuration study  In the task-based study, the anatomical accuracy of the generated synthetic CTs remained high ([Formula: see text] and [Formula: see text])  At the same time, the generated noise texture was close to real data with a noise power spectrum correlation coefficient of [Formula: see text]  Simultaneously, we observed an improvement in annotation accuracy of 65% when using the dedicated loss function  The feasibility of a combined training on both real and synthetic data was demonstrated in a blood vessel segmentation task (dice similarity coefficient [Formula: see text]) CT synthesis using CycleGAN is a feasible approach to generate realistic images from simulated XCAT phantoms  Synthetic CTs generated with a task-based loss function can be used in addition to real data to improve the performance of segmentation networks </t>
  </si>
  <si>
    <t>CNN,Resnet,Unet</t>
  </si>
  <si>
    <t>International journal of computer assisted radiology and surgery</t>
  </si>
  <si>
    <t xml:space="preserve">Computer Assisted Clinical Medicine, Medical Faculty Mannheim, Heidelberg University, Mannheim, Germany  tom russ@medma uni-heidelberg de </t>
  </si>
  <si>
    <t>Russ, T; Goerttler, S; Schnurr, AK; Bauer, DF; Hatamikia, S; Schad, LR; Zöllner, FG; Chung, K</t>
  </si>
  <si>
    <t>101499225</t>
  </si>
  <si>
    <t>10 1002/mp 13735</t>
  </si>
  <si>
    <t xml:space="preserve">Automatic liver segmentation by integrating fully convolutional networks into active contour models </t>
  </si>
  <si>
    <t xml:space="preserve">Automatic and accurate three-dimensional (3D) segmentation of liver with severe diseases from computed tomography (CT) images is a challenging task  Fully convolutional networks (FCNs) have emerged as powerful tools for automatic semantic segmentation, with multiple potential applications in medical imaging  However, the use of a large receptive field and multiple pooling layers in the network leads to poor localization around object boundaries  The network usually makes pixel-wise prediction independently, making it difficult to respect local label consistency and enforce the smoothness of the object boundary We have developed an automatic liver segmentation method based on a novel framework that integrates fully convolutional network predictions into active contour models (ACM)  We use only a single network architecture to generate a pixel label map containing spatial regional information (foreground and background) as well as layered boundary information  We exploit the structured network outcome to define an external constraint force of active contour models  A unique property of the designed force is that both its strength and direction are adaptive to its position and relative distance to the object boundary  The resulting integrated active contour models have the advantages of incorporating both high-level and low-level image information simultaneously, while enforcing the smoothness of the contour  Because the external constraint force can push the evolving contour to the liver boundary and exists everywhere in the image domain, it allows us to place the initial contour far away from the liver boundary  It potentially allows us to control the evolution of the contour in order to preserve the topology of the liver We have trained and evaluated our model on 73 liver CT scans from a clinic study  The integrated ACM model yields mean dice coefficients (DICE) 95 8 ± 1 4 (%)  Without further fine-tuning the network weights for two independent datasets, it yields mean DICE 96 2 ± 0 9 (%) for the SLIVER07 training dataset, and mean DICE 94 3 ± 2 7 (%) for the LiTS training dataset  In comparison with FCN alone model, the integrated ACM model yields improvements in terms of surface distance and DICE values for almost all the cases  Furthermore, the initialization of the active contour can be very far away from the liver boundary Experimental results for segmenting livers (with severe diseases on CT images resulting in shape and density abnormalities) have revealed that our proposed model improves segmentation results in comparison with FCN alone  Without further fine-tuning the network weights for two independent datasets, the model is capable of handling image variations from different datasets due to its inherent deformable nature  It is relatively easy to integrate more advanced (either existing or future) FCN architecture into our framework to further improve the segmentation performance </t>
    <phoneticPr fontId="0" type="noConversion"/>
  </si>
  <si>
    <t>FCN</t>
    <phoneticPr fontId="0" type="noConversion"/>
  </si>
  <si>
    <t xml:space="preserve">Department of Radiology, Columbia University Medical Center, New York, NY, 10032, USA </t>
  </si>
  <si>
    <t>Guo, X; Schwartz, LH; Zhao, B</t>
  </si>
  <si>
    <t>10 2463/mrms mp 2019-0063</t>
  </si>
  <si>
    <t xml:space="preserve">A Fundamental Study Assessing the Diagnostic Performance of Deep Learning for a Brain Metastasis Detection Task </t>
  </si>
  <si>
    <t xml:space="preserve">Increased use of deep convolutional neural networks (DCNNs) in medical imaging diagnosis requires determinate evaluation of diagnostic performance  We performed the fundamental investigation of diagnostic performance of DCNNs using the detection task of brain metastasis We retrospectively investigated AlexNet and GoogLeNet using 3117 positive and 37961 negative MRI images with and without metastasis regarding (1) diagnostic biases, (2) the optimal K number of K-fold cross validations (K-CVs), (3) the optimal positive versus negative image ratio, (4) the accuracy improvement curves, (5) the accuracy range prediction by the bootstrap method, and (6) metastatic lesion detection by regions with CNNs (R-CNNs) Respectively, AlexNet and GoogLeNet had (1) 50 ± 4 6% and 50 ± 4 9% of the maximal mean ± 95% confidence intervals (95% CIs) measured with equal-sized negative versus negative image datasets and positive versus positive image datasets, (2) no less than 10 and 4 of K number in K-CVs fell within the respective maximum biases of 4 6% or 4 9%, (3) 74% of the highest accuracy with equal positive versus negative image ratio dataset and 91% of that with four times of negative-to-positive image ratio dataset, (4) the accuracy improvement curves increasing from 69% to 74% and 73% to 88% as positive versus negative pairs of the training images increased from 500 to 2495, (5) at least nine and six out of 10-CV result sets essential to predict the accuracy ranges by the bootstrap method, and (6) 50% and 45% of metastatic lesion detection accuracies by R-CNNs Our research presented methodological fundamentals to evaluate diagnostic features in the visual recognition of DCNNs  Our series will help to conduct the accuracy investigation of computer diagnosis in medical imaging </t>
  </si>
  <si>
    <t>CNN,AlexNet,GoogLeNet</t>
  </si>
  <si>
    <t>Japan</t>
    <phoneticPr fontId="0" type="noConversion"/>
  </si>
  <si>
    <t>Magnetic resonance in medical sciences : MRMS : an official journal of Japan Society of Magnetic Resonance in Medicine</t>
  </si>
  <si>
    <t xml:space="preserve">Department of Radiology, Center Hospital, National Center for Global Health and Medicine </t>
  </si>
  <si>
    <t>Noguchi, T; Uchiyama, F; Kawata, Y; Machitori, A; Shida, Y; Okafuji, T; Yokoyama, K; Inaba, Y; Tajima, T</t>
  </si>
  <si>
    <t>101153368</t>
  </si>
  <si>
    <t>10 1016/j media 2019 07 004</t>
  </si>
  <si>
    <t xml:space="preserve">Semi-supervised adversarial model for benign-malignant lung nodule classification on chest CT </t>
  </si>
  <si>
    <t xml:space="preserve">Classification of benign-malignant lung nodules on chest CT is the most critical step in the early detection of lung cancer and prolongation of patient survival  Despite their success in image classification, deep convolutional neural networks (DCNNs) always require a large number of labeled training data, which are not available for most medical image analysis applications due to the work required in image acquisition and particularly image annotation  In this paper, we propose a semi-supervised adversarial classification (SSAC) model that can be trained by using both labeled and unlabeled data for benign-malignant lung nodule classification  This model consists of an adversarial autoencoder-based unsupervised reconstruction network R, a supervised classification network C, and learnable transition layers that enable the adaption of the image representation ability learned by R to C  The SSAC model has been extended to the multi-view knowledge-based collaborative learning, aiming to employ three SSACs to characterize each nodule's overall appearance, heterogeneity in shape and texture, respectively, and to perform such characterization on nine planar views  The MK-SSAC model has been evaluated on the benchmark LIDC-IDRI dataset and achieves an accuracy of 92 53% and an AUC of 95 81%, which are superior to the performance of other lung nodule classification and semi-supervised learning approaches </t>
  </si>
  <si>
    <t xml:space="preserve">National Engineering Laboratory for Integrated Aero-Space-Ground-Ocean Big Data Application Technology, School of Computer Science and Engineering, Northwestern Polytechnical University, Xi'an 710072, China </t>
  </si>
  <si>
    <t>Xie, Y; Zhang, J; Xia, Y</t>
  </si>
  <si>
    <t>10 1109/TMI 2019 2928790</t>
  </si>
  <si>
    <t xml:space="preserve">Deep Learning of Static and Dynamic Brain Functional Networks for Early MCI Detection </t>
  </si>
  <si>
    <t xml:space="preserve">While convolutional neural network (CNN) has been demonstrating powerful ability to learn hierarchical spatial features from medical images, it is still difficult to apply it directly to resting-state functional MRI (rs-fMRI) and the derived brain functional networks (BFNs)  We propose a novel CNN framework to simultaneously learn embedded features from BFNs for brain disease diagnosis  Since BFNs can be built by considering both static and dynamic functional connectivity (FC), we first decompose rs-fMRI into multiple static BFNs with modified independent component analysis  Then, voxel-wise variability in dynamic FC is used to quantify BFN dynamics  A set of paired 3D images representing static/dynamic BFNs can be fed into 3D CNNs, from which we can hierarchically and simultaneously learn static/dynamic BFN features  As a result, dynamic BFN features can complement static BFN features and, at meantime, different BFNs can help each other towards a joint and better classification  We validate our method with a publicly accessible, large cohort of rs-fMRI dataset in early-stage mild cognitive impairment (eMCI) diagnosis, which is one of the most challenging problems to the clinicians  By comparing with a conventional method, our method shows significant diagnostic performance improvement by almost 10%  This result demonstrates the effectiveness of deep learning in preclinical Alzheimer's disease diagnosis, based on the complex and high-dimensional voxel-wise spatiotemporal patterns of the resting-state brain functional connectomics  The framework provides a new but intuitive way to fully exploit deeply embedded diagnostic features from rs-fMRI for better individualized diagnosis of various neurological diseases </t>
    <phoneticPr fontId="0" type="noConversion"/>
  </si>
  <si>
    <t>T -E  Kam, H  Zhang, and Z  Jiao are with Department of Radiology and BRIC                          
                                                l,  Chapel  Hill,  NC  27599
USA</t>
  </si>
  <si>
    <t>Kam, TE; Zhang, H; Jiao, Z; Shen, D</t>
  </si>
  <si>
    <t>10 1016/j compbiomed 2019 103351</t>
  </si>
  <si>
    <t xml:space="preserve">MAPGI: Accurate identification of anatomical landmarks and diseased tissue in gastrointestinal tract using deep learning </t>
  </si>
  <si>
    <t xml:space="preserve">Automatic detection of anatomical landmarks and diseases in medical images is a challenging task which could greatly aid medical diagnosis and reduce the cost and time of investigational procedures  Also, two particular challenges of digital image processing in medical applications are the sparsity of annotated medical images and the lack of uniformity across images and image classes  This paper presents methodologies for maximizing classification accuracy on a small medical image dataset, the Kvasir dataset, by performing robust image preprocessing and applying state-of-the-art deep learning  Images are classified as being or involving an anatomical landmark (pylorus, z-line, cecum), a diseased state (esophagitis, ulcerative colitis, polyps), or a medical procedure (dyed lifted polyps, dyed resection margins)  A framework for modular and automatic preprocessing of gastrointestinal tract images (MAPGI) is proposed, which applies edge removal, contrast enhancement, filtering, color mapping and scaling to each image in the dataset  Gamma correction values are automatically calculated for individual images such that the mean pixel value for each image is normalized to 90 ± 1 in a 0-255 pixel value range  Three state-of-the-art neural networks architectures, Inception-ResNet-v2, Inception-v4, and NASNet, are trained on the Kvasir dataset, and their classification performance is juxtaposed on validation data  In each case, 85% of the images from the Kvasir dataset are used for training, while the other 15% are reserved for validation  The resulting accuracies achieved using Inception-v4, Inception-ResNet-v2, and NASNet were 0 9845, 0 9848, and 0 9735, respectively  In addition, Inception-v4 achieved an average of 0 938 precision, 0 939 recall, 0 991 specificity, 0 938 F1 score, and 0 929 Matthews correlation coefficient (MCC)  Bootstrapping provided NASNet, the worst performing model, a lower bound of 0 9723 accuracy on the 95% confidence interval </t>
  </si>
  <si>
    <t>CNN,Inception,ResNet</t>
  </si>
  <si>
    <t xml:space="preserve">Department of Electrical and Computer Engineering, Quality of Life Technology Laboratory, University of Texas at Dallas, Richardson, TX, 75080, USA  Electronic address: timothy cogan@utdallas edu </t>
  </si>
  <si>
    <t>Cogan, T; Cogan, M; Tamil, L</t>
  </si>
  <si>
    <t>10 1016/j media 2019 07 005</t>
  </si>
  <si>
    <t xml:space="preserve">Accurate and robust deep learning-based segmentation of the prostate clinical target volume in ultrasound images </t>
  </si>
  <si>
    <t xml:space="preserve">The goal of this work was to develop a method for accurate and robust automatic segmentation of the prostate clinical target volume in transrectal ultrasound (TRUS) images for brachytherapy  These images can be difficult to segment because of weak or insufficient landmarks or strong artifacts  We devise a method, based on convolutional neural networks (CNNs), that produces accurate segmentations on easy and difficult images alike  We propose two strategies to achieve improved segmentation accuracy on difficult images  First, for CNN training we adopt an adaptive sampling strategy, whereby the training process is encouraged to pay more attention to images that are difficult to segment  Secondly, we train a CNN ensemble and use the disagreement among this ensemble to identify uncertain segmentations and to estimate a segmentation uncertainty map  We improve uncertain segmentations by utilizing the prior shape information in the form of a statistical shape model  Our method achieves Hausdorff distance of 2 7 ± 2 3 mm and Dice score of 93 9 ± 3 5%  Comparisons with several competing methods show that our method achieves significantly better results and reduces the likelihood of committing large segmentation errors  Furthermore, our experiments show that our approach to estimating segmentation uncertainty is better than or on par with recent methods for estimation of prediction uncertainty in deep learning models  Our study demonstrates that estimation of model uncertainty and use of prior shape information can significantly improve the performance of CNN-based medical image segmentation methods, especially on difficult images </t>
  </si>
  <si>
    <t>Canada</t>
  </si>
  <si>
    <t xml:space="preserve">Department of Electrical and Computer Engineering, University of British Columbia, Vancouver, BC, Canada  Electronic address: karimi@ece ubc ca </t>
  </si>
  <si>
    <t>Karimi, D; Zeng, Q; Mathur, P; Avinash, A; Mahdavi, S; Spadinger, I; Abolmaesumi, P; Salcudean, SE</t>
  </si>
  <si>
    <t>10 1016/j media 2019 06 014</t>
  </si>
  <si>
    <t xml:space="preserve">TOP-GAN: Stain-free cancer cell classification using deep learning with a small training set </t>
  </si>
  <si>
    <t xml:space="preserve">We propose a new deep learning approach for medical imaging that copes with the problem of a small training set, the main bottleneck of deep learning, and apply it for classification of healthy and cancer cell lines acquired by quantitative phase imaging  The proposed method, called transferring of pre-trained generative adversarial network (TOP-GAN), is hybridization between transfer learning and generative adversarial networks (GANs)  Healthy cells and cancer cells of different metastatic potential have been imaged by low-coherence off-axis holography  After the acquisition, the optical path delay maps of the cells are extracted and directly used as inputs to the networks  In order to cope with the small number of classified images, we use GANs to train a large number of unclassified images from another cell type (sperm cells)  After this preliminary training, we change the last layers of the network and design automatic classifiers for the correct cell type (healthy/primary cancer/metastatic cancer) with 90-99% accuracies, although small training sets of down to several images are used  These results are better in comparison to other classic methods that aim at coping with the same problem of a small training set  We believe that our approach makes the combination of holographic microscopy and deep learning networks more accessible to the medical field by enabling a rapid, automatic and accurate classification in stain-free imaging flow cytometry  Furthermore, our approach is expected to be applicable to many other medical image classification tasks, suffering from a small training set </t>
  </si>
  <si>
    <t>GAN,CNN</t>
  </si>
  <si>
    <t>Israel</t>
  </si>
  <si>
    <t xml:space="preserve">Department of Biomedical Engineering, Faculty of Engineering, Tel Aviv University, Tel Aviv 69978, Israel; School of Electrical Engineering, Faculty of Engineering, Tel Aviv University, Tel Aviv 69978, Israel </t>
  </si>
  <si>
    <t>Rubin, M; Stein, O; Turko, NA; Nygate, Y; Roitshtain, D; Karako, L; Barnea, I; Giryes, R; Shaked, NT</t>
  </si>
  <si>
    <t>10 1001/jamanetworkopen 2019 7416</t>
  </si>
  <si>
    <t xml:space="preserve">Deep Learning to Assess Long-term Mortality From Chest Radiographs </t>
  </si>
  <si>
    <t xml:space="preserve">Chest radiography is the most common diagnostic imaging test in medicine and may also provide information about longevity and prognosis To develop and test a convolutional neural network (CNN) (named CXR-risk) to predict long-term mortality, including noncancer death, from chest radiographs In this prognostic study, CXR-risk CNN development (n = 41 856) and testing (n = 10 464) used data from the screening radiography arm of the Prostate, Lung, Colorectal, and Ovarian Cancer Screening Trial (PLCO) (n = 52 320), a community cohort of asymptomatic nonsmokers and smokers (aged 55-74 years) enrolled at 10 US sites from November 8, 1993, through July 2, 2001  External testing used data from the screening radiography arm of the National Lung Screening Trial (NLST) (n = 5493), a community cohort of heavy smokers (aged 55-74 years) enrolled at 21 US sites from August 2002, through April 2004  Data analysis was performed from January 1, 2018, to May 23, 2019 Deep learning CXR-risk score (very low, low, moderate, high, and very high) based on CNN analysis of the enrollment radiograph All-cause mortality  Prognostic value was assessed in the context of radiologists' diagnostic findings (eg, lung nodule) and standard risk factors (eg, age, sex, and diabetes) and for cause-specific mortality Among 10 464 PLCO participants (mean [SD] age, 62 4 [5 4] years; 5405 men [51 6%]; median follow-up, 12 2 years [interquartile range, 10 5-12 9 years]) and 5493 NLST test participants (mean [SD] age, 61 7 [5 0] years; 3037 men [55 3%]; median follow-up, 6 3 years [interquartile range, 6 0-6 7 years]), there was a graded association between CXR-risk score and mortality  The very high-risk group had mortality of 53 0% (PLCO) and 33 9% (NLST), which was higher compared with the very low-risk group (PLCO: unadjusted hazard ratio [HR], 18 3 [95% CI, 14 5-23 2]; NLST: unadjusted HR, 15 2 [95% CI, 9 2-25 3]; both P &lt;  001)  This association was robust to adjustment for radiologists' findings and risk factors (PLCO: adjusted HR [aHR], 4 8 [95% CI, 3 6-6 4]; NLST: aHR, 7 0 [95% CI, 4 0-12 1]; both P &lt;  001)  Comparable results were seen for lung cancer death (PLCO: aHR, 11 1 [95% CI, 4 4-27 8]; NLST: aHR, 8 4 [95% CI, 2 5-28 0]; both P ≤  001) and for noncancer cardiovascular death (PLCO: aHR, 3 6 [95% CI, 2 1-6 2]; NLST: aHR, 47 8 [95% CI, 6 1-374 9]; both P &lt;  001) and respiratory death (PLCO: aHR, 27 5 [95% CI, 7 7-97 8]; NLST: aHR, 31 9 [95% CI, 3 9-263 5]; both P ≤  001) In this study, the deep learning CXR-risk score stratified the risk of long-term mortality based on a single chest radiograph  Individuals at high risk of mortality may benefit from prevention, screening, and lifestyle interventions </t>
  </si>
  <si>
    <t>JAMA network open</t>
  </si>
  <si>
    <t xml:space="preserve">Cardiovascular Imaging Research Center, Department of Radiology, Massachusetts General Hospital, Harvard Medical School, Boston </t>
  </si>
  <si>
    <t>Lu, MT; Ivanov, A; Mayrhofer, T; Hosny, A; Aerts, HJWL; Hoffmann, U</t>
  </si>
  <si>
    <t>101729235</t>
  </si>
  <si>
    <t>10 1186/s12911-019-0842-8</t>
  </si>
  <si>
    <t xml:space="preserve">Two-stage framework for optic disc localization and glaucoma classification in retinal fundus images using deep learning </t>
  </si>
  <si>
    <t xml:space="preserve">With the advancement of powerful image processing and machine learning techniques, Computer Aided Diagnosis has become ever more prevalent in all fields of medicine including ophthalmology  These methods continue to provide reliable and standardized large scale screening of various image modalities to assist clinicians in identifying diseases  Since optic disc is the most important part of retinal fundus image for glaucoma detection, this paper proposes a two-stage framework that first detects and localizes optic disc and then classifies it into healthy or glaucomatous The first stage is based on Regions with Convolutional Neural Network (RCNN) and is responsible for localizing and extracting optic disc from a retinal fundus image while the second stage uses Deep Convolutional Neural Network to classify the extracted disc into healthy or glaucomatous  Unfortunately, none of the publicly available retinal fundus image datasets provides any bounding box ground truth required for disc localization  Therefore, in addition to the proposed solution, we also developed a rule-based semi-automatic ground truth generation method that provides necessary annotations for training RCNN based model for automated disc localization The proposed method is evaluated on seven publicly available datasets for disc localization and on ORIGA dataset, which is the largest publicly available dataset with healthy and glaucoma labels, for glaucoma classification  The results of automatic localization mark new state-of-the-art on six datasets with accuracy reaching 100% on four of them  For glaucoma classification we achieved Area Under the Receiver Operating Characteristic Curve equal to 0 874 which is 2 7% relative improvement over the state-of-the-art results previously obtained for classification on ORIGA dataset Once trained on carefully annotated data, Deep Learning based methods for optic disc detection and localization are not only robust, accurate and fully automated but also eliminates the need for dataset-dependent heuristic algorithms  Our empirical evaluation of glaucoma classification on ORIGA reveals that reporting only Area Under the Curve, for datasets with class imbalance and without pre-defined train and test splits, does not portray true picture of the classifier's performance and calls for additional performance metrics to substantiate the results </t>
    <phoneticPr fontId="0" type="noConversion"/>
  </si>
  <si>
    <t>BMC medical informatics and decision making</t>
  </si>
  <si>
    <t xml:space="preserve">Fachbereich Informatik, Technische Universität Kaiserslautern, 67663, Kaiserslautern, Germany </t>
  </si>
  <si>
    <t>Bajwa, MN; Malik, MI; Siddiqui, SA; Dengel, A; Shafait, F; Neumeier, W; Ahmed, S</t>
  </si>
  <si>
    <t>101088682</t>
  </si>
  <si>
    <t>10 1002/mp 13725</t>
  </si>
  <si>
    <t xml:space="preserve">Fully automated identification of skin morphology in raster-scan optoacoustic mesoscopy using artificial intelligence </t>
  </si>
  <si>
    <t xml:space="preserve">Identification of morphological characteristics of skin lesions is of vital importance in diagnosing diseases with dermatological manifestations  This task is often performed manually or in an automated way based on intensity level  Recently, ultra-broadband raster-scan optoacoustic mesoscopy (UWB-RSOM) was developed to offer unique cross-sectional optical imaging of the skin  A machine learning (ML) approach is proposed here to enable, for the first time, automated identification of skin layers in UWB-RSOM data The proposed method, termed SkinSeg, was applied to coronal UWB-RSOM images obtained from 12 human participants  SkinSeg is a multi-step methodology that integrates data processing and transformation, feature extraction, feature selection, and classification  Various image features and learning models were tested for their suitability at discriminating skin layers including traditional machine learning along with more advanced deep learning algorithms  An support vector machines-based postprocessing approach was finally applied to further improve the classification outputs Random forest proved to be the most effective technique, achieving mean classification accuracy of 86 89% evaluated based on a repeated leave-one-out strategy  Insights about the features extracted and their effect on classification accuracy are provided  The highest accuracy was achieved using a small group of four features and remained at the same level or was even slightly decreased when more features were included  Convolutional neural networks provided also promising results at a level of approximately 85%  The application of the proposed postprocessing technique was proved to be effective in terms of both testing accuracy and three-dimensional visualization of classification maps SkinSeg demonstrated unique potential in identifying skin layers  The proposed method may facilitate clinical evaluation, monitoring, and diagnosis of diseases linked to skin inflammation, diabetes, and skin cancer </t>
  </si>
  <si>
    <t>Estonia</t>
  </si>
  <si>
    <t xml:space="preserve">AIDEAS OÜ, Narva mnt 5, Tallinn, Harju maakond, 10117, Estonia </t>
  </si>
  <si>
    <t>Moustakidis, S; Omar, M; Aguirre, J; Mohajerani, P; Ntziachristos, V</t>
  </si>
  <si>
    <t>10 1038/s41467-019-11012-3</t>
  </si>
  <si>
    <t xml:space="preserve">Weakly supervised classification of aortic valve malformations using unlabeled cardiac MRI sequences </t>
    <phoneticPr fontId="0" type="noConversion"/>
  </si>
  <si>
    <t xml:space="preserve">Biomedical repositories such as the UK Biobank provide increasing access to prospectively collected cardiac imaging, however these data are unlabeled, which creates barriers to their use in supervised machine learning  We develop a weakly supervised deep learning model for classification of aortic valve malformations using up to 4,000 unlabeled cardiac MRI sequences  Instead of requiring highly curated training data, weak supervision relies on noisy heuristics defined by domain experts to programmatically generate large-scale, imperfect training labels  For aortic valve classification, models trained with imperfect labels substantially outperform a supervised model trained on hand-labeled MRIs  In an orthogonal validation experiment using health outcomes data, our model identifies individuals with a 1 8-fold increase in risk of a major adverse cardiac event  This work formalizes a deep learning baseline for aortic valve classification and outlines a general strategy for using weak supervision to train machine learning models using unlabeled medical images at scale </t>
  </si>
  <si>
    <t>CNN,LSTM</t>
  </si>
  <si>
    <t>Nature communications</t>
  </si>
  <si>
    <t xml:space="preserve">Department of Computer Science, Stanford University, Stanford, CA, 94305, USA  </t>
  </si>
  <si>
    <t>Fries, JA; Varma, P; Chen, VS; Xiao, K; Tejeda, H; Saha, P; Dunnmon, J; Chubb, H; Maskatia, S; Fiterau, M; Delp, S; Ashley, E; Ré, C; Priest, JR</t>
  </si>
  <si>
    <t>101528555</t>
  </si>
  <si>
    <t>10 1038/s41746-019-0131-z</t>
  </si>
  <si>
    <t xml:space="preserve">Similar image search for histopathology: SMILY </t>
    <phoneticPr fontId="0" type="noConversion"/>
  </si>
  <si>
    <t xml:space="preserve">The increasing availability of large institutional and public histopathology image datasets is enabling the searching of these datasets for diagnosis, research, and education  Although these datasets typically have associated metadata such as diagnosis or clinical notes, even carefully curated datasets rarely contain annotations of the location of regions of interest on each image  As pathology images are extremely large (up to 100,000 pixels in each dimension), further laborious visual search of each image may be needed to find the feature of interest  In this paper, we introduce a deep-learning-based reverse image search tool for histopathology images: Similar Medical Images Like Yours (SMILY)  We assessed SMILY's ability to retrieve search results in two ways: using pathologist-provided annotations, and via prospective studies where pathologists evaluated the quality of SMILY search results  As a negative control in the second evaluation, pathologists were blinded to whether search results were retrieved by SMILY or randomly  In both types of assessments, SMILY was able to retrieve search results with similar histologic features, organ site, and prostate cancer Gleason grade compared with the original query  SMILY may be a useful general-purpose tool in the pathologist's arsenal, to improve the efficiency of searching large archives of histopathology images, without the need to develop and implement specific tools for each application </t>
    <phoneticPr fontId="0" type="noConversion"/>
  </si>
  <si>
    <t>abdominal,breast,genitourinary</t>
  </si>
  <si>
    <t>histopathological images</t>
  </si>
  <si>
    <t>NPJ digital medicine</t>
  </si>
  <si>
    <t xml:space="preserve">Google AI Healthcare, Mountain View, CA 94043 USA </t>
  </si>
  <si>
    <t>Hegde, N; Hipp, JD; Liu, Y; Emmert-Buck, M; Reif, E; Smilkov, D; Terry, M; Cai, CJ; Amin, MB; Mermel, CH; Nelson, PQ; Peng, LH; Corrado, GS; Stumpe, MC</t>
  </si>
  <si>
    <t>101731738</t>
  </si>
  <si>
    <t>10 1038/s41746-018-0065-x</t>
  </si>
  <si>
    <t xml:space="preserve">Deep echocardiography: data-efficient supervised and semi-supervised deep learning towards automated diagnosis of cardiac disease </t>
  </si>
  <si>
    <t xml:space="preserve">Deep learning and computer vision algorithms can deliver highly accurate and automated interpretation of medical imaging to augment and assist clinicians  However, medical imaging presents uniquely pertinent obstacles such as a lack of accessible data or a high-cost of annotation  To address this, we developed data-efficient deep learning classifiers for prediction tasks in cardiology  Using pipeline supervised models to focus relevant structures, we achieve an accuracy of 94 4% for 15-view still-image echocardiographic view classification and 91 2% accuracy for binary left ventricular hypertrophy classification  We then develop semi-supervised generative adversarial network models that can learn from both labeled and unlabeled data in a generalizable fashion  We achieve greater than 80% accuracy in view classification with only 4% of labeled data used in solely supervised techniques and achieve 92 3% accuracy for left ventricular hypertrophy classification  In exploring trade-offs between model type, resolution, data resources, and performance, we present a comprehensive analysis and improvements of efficient deep learning solutions for medical imaging assessment especially in cardiology </t>
  </si>
  <si>
    <t>characterization-diagnose</t>
    <phoneticPr fontId="0" type="noConversion"/>
  </si>
  <si>
    <t xml:space="preserve">1Molecular Cell Biomechanics Laboratory, Departments of Bioengineering and Mechanical Engineering, University of California, Berkeley, California USA </t>
  </si>
  <si>
    <t>Madani, A; Ong, JR; Tibrewal, A; Mofrad, MRK</t>
  </si>
  <si>
    <t>10 1016/j media 2019 07 003</t>
  </si>
  <si>
    <t xml:space="preserve">Holistic decomposition convolution for effective semantic segmentation of medical volume images </t>
  </si>
  <si>
    <t xml:space="preserve">Convolutional Neural Networks (CNNs) have achieved state-of-the-art performance in many different 2D medical image analysis tasks  In clinical practice, however, a large part of the medical imaging data available is in 3D, e g, magnetic resonance imaging (MRI) data, computed tomography (CT) data and data generated by many other modalities  This has motivated the development of 3D CNNs for volumetric image segmentation in order to benefit from more spatial context  Due to GPU memory restrictions caused by moving to fully 3D, state-of-the-art methods depend on subvolume/patch processing and the size of the input patch is usually small, limiting the incorporation of larger context information for a better performance  In this paper, we propose a novel Holistic Decomposition Convolution (HDC), which learns a number of separate kernels within the same layer and can be regarded as an inverse operation to the previously introduced Dense Upsampling Convolution (DUC), for an effective and efficient semantic segmentation of medical volume images  HDC consists of a periodic down-shuffling operation followed by a conventional 3D convolution  HDC has the advantage of significantly reducing the size of the data for sub-sequential processing while using all the information available in the input irrespective of the down-shuffling factors  We apply HDC directly to the input data, whose output will be used as the input to sub-sequential CNNs  In order to achieve volumetric dense prediction at final output, we need to recover full resolution, which is done by using DUC  We show that both HDC and DUC are network agnostic and can be combined with different CNNs for an improved performance in both training and testing phases  Results obtained from comprehensive experiments conducted on both MRI and CT data of different anatomical regions demonstrate the efficacy of the present approach </t>
  </si>
  <si>
    <t>CNN,FCN</t>
  </si>
  <si>
    <t xml:space="preserve">School of Biomedical Engineering, Shanghai Jiao Tong University, No 800 Dongchuan Road, Shanghai 200240, China; Institute for Surgical Technology and Biomechanics (ISTB), University of Bern, Stauffacherstrasse 78, Bern 3014, Switzerland </t>
  </si>
  <si>
    <t>Zeng, G; Zheng, G</t>
  </si>
  <si>
    <t>10 1016/j mri 2019 05 041</t>
  </si>
  <si>
    <t xml:space="preserve">DeepHarmony: A deep learning approach to contrast harmonization across scanner changes </t>
  </si>
  <si>
    <t xml:space="preserve">Magnetic resonance imaging (MRI) is a flexible medical imaging modality that often lacks reproducibility between protocols and scanners  It has been shown that even when care is taken to standardize acquisitions, any changes in hardware, software, or protocol design can lead to differences in quantitative results  This greatly impacts the quantitative utility of MRI in multi-site or long-term studies, where consistency is often valued over image quality  We propose a method of contrast harmonization, called DeepHarmony, which uses a U-Net-based deep learning architecture to produce images with consistent contrast  To provide training data, a small overlap cohort (n = 8) was scanned using two different protocols  Images harmonized with DeepHarmony showed significant improvement in consistency of volume quantification between scanning protocols  A longitudinal MRI dataset of patients with multiple sclerosis was also used to evaluate the effect of a protocol change on atrophy calculations in a clinical research setting  The results show that atrophy calculations were substantially and significantly affected by protocol change, whereas such changes have a less significant effect and substantially reduced overall difference when using DeepHarmony  This establishes that DeepHarmony can be used with an overlap cohort to reduce inconsistencies in segmentation caused by changes in scanner protocol, allowing for modernization of hardware and protocol design in long-term studies without invalidating previously acquired data </t>
  </si>
  <si>
    <t>Magnetic resonance imaging</t>
  </si>
  <si>
    <t xml:space="preserve">Department of Electrical and Computer Engineering, The Johns Hopkins University, 105 Barton Hall, 3400 N  Charles St , Baltimore, MD 21218, USA; Kirby Center for Functional Brain Imaging Research, Kennedy Krieger Institute, Baltimore, MD, USA  Electronic address: blake dewey@jhu edu </t>
  </si>
  <si>
    <t>Dewey, BE; Zhao, C; Reinhold, JC; Carass, A; Fitzgerald, KC; Sotirchos, ES; Saidha, S; Oh, J; Pham, DL; Calabresi, PA; van Zijl, PCM; Prince, JL</t>
  </si>
  <si>
    <t>8214883</t>
  </si>
  <si>
    <t>10 3390/jcm8070986</t>
  </si>
  <si>
    <t xml:space="preserve">Artificial Intelligence-Based Classification of Multiple Gastrointestinal Diseases Using Endoscopy Videos for Clinical Diagnosis </t>
  </si>
  <si>
    <t xml:space="preserve">Various techniques using artificial intelligence (AI) have resulted in a significant contribution to field of medical image and video-based diagnoses, such as radiology, pathology, and endoscopy, including the classification of gastrointestinal (GI) diseases  Most previous studies on the classification of GI diseases use only spatial features, which demonstrate low performance in the classification of multiple GI diseases  Although there are a few previous studies using temporal features based on a three-dimensional convolutional neural network, only a specific part of the GI tract was involved with the limited number of classes  To overcome these problems, we propose a comprehensive AI-based framework for the classification of multiple GI diseases by using endoscopic videos, which can simultaneously extract both spatial and temporal features to achieve better classification performance  Two different residual networks and a long short-term memory model are integrated in a cascaded mode to extract spatial and temporal features, respectively  Experiments were conducted on a combined dataset consisting of one of the largest endoscopic videos with 52,471 frames  The results demonstrate the effectiveness of the proposed classification framework for multi-GI diseases  The experimental results of the proposed model (97 057% area under the curve) demonstrate superior performance over the state-of-the-art methods and indicate its potential for clinical applications </t>
  </si>
  <si>
    <t>CNN,RNN,LSTM</t>
  </si>
  <si>
    <t xml:space="preserve">Division of Electronics and Electrical Engineering, Dongguk University, 30 Pildong-ro 1-gil, Jung-gu, Seoul, 04620, Korea </t>
  </si>
  <si>
    <t>Owais, M; Arsalan, M; Choi, J; Mahmood, T; Park, KR</t>
  </si>
  <si>
    <t>10 1155/2019/4629859</t>
  </si>
  <si>
    <t xml:space="preserve">Application of Deep Learning in Neuroradiology: Brain Haemorrhage Classification Using Transfer Learning </t>
  </si>
  <si>
    <t xml:space="preserve">In this paper, we address the problem of identifying brain haemorrhage which is considered as a tedious task for radiologists, especially in the early stages of the haemorrhage  The problem is solved using a deep learning approach where a convolutional neural network (CNN), the well-known AlexNet neural network, and also a modified novel version of AlexNet with support vector machine (AlexNet-SVM) classifier are trained to classify the brain computer tomography (CT) images into haemorrhage or nonhaemorrhage images  The aim of employing the deep learning model is to address the primary question in medical image analysis and classification: can a sufficient fine-tuning of a pretrained model (transfer learning) eliminate the need of building a CNN from scratch? Moreover, this study also aims to investigate the advantages of using SVM as a classifier instead of a three-layer neural network  We apply the same classification task to three deep networks; one is created from scratch, another is a pretrained model that was fine-tuned to the brain CT haemorrhage classification task, and our modified novel AlexNet model which uses the SVM classifier  The three networks were trained using the same number of brain CT images available  The experiments show that the transfer of knowledge from natural images to medical images classification is possible  In addition, our results proved that the proposed modified pretrained model "AlexNet-SVM" can outperform a convolutional neural network created from scratch and the original AlexNet in identifying the brain haemorrhage </t>
  </si>
  <si>
    <t>CNN,Alexnet</t>
  </si>
  <si>
    <t>Cyprus</t>
  </si>
  <si>
    <t>Computational intelligence and neuroscience</t>
  </si>
  <si>
    <t xml:space="preserve">Department of Computer Engineering, Cyprus International University, Nicosia, Cyprus </t>
  </si>
  <si>
    <t>Dawud, AM; Yurtkan, K; Oztoprak, H</t>
  </si>
  <si>
    <t>101279357</t>
  </si>
  <si>
    <t>10 1007/s00259-019-04380-x</t>
  </si>
  <si>
    <t xml:space="preserve">Novel adversarial semantic structure deep learning for MRI-guided attenuation correction in brain PET/MRI </t>
    <phoneticPr fontId="0" type="noConversion"/>
  </si>
  <si>
    <t xml:space="preserve">Quantitative PET/MR imaging is challenged by the accuracy of synthetic CT (sCT) generation from MR images  Deep learning-based algorithms have recently gained momentum for a number of medical image analysis applications  In this work, a novel sCT generation algorithm based on deep learning adversarial semantic structure (DL-AdvSS) is proposed for MRI-guided attenuation correction in brain PET/MRI The proposed DL-AdvSS algorithm exploits the ASS learning framework to constrain the synthetic CT generation process to comply with the extracted structural features from CT images  The proposed technique was evaluated through comparison to an atlas-based sCT generation method (Atlas), previously developed for MRI-only or PET/MRI-guided radiation planning  Moreover, the commercial segmentation-based approach (Segm) implemented on the Philips TF PET/MRI system was included in the evaluation  Clinical brain studies of 40 patients who underwent PET/CT and MR imaging were used for the evaluation of the proposed method under a two-fold cross validation scheme The accuracy of cortical bone extraction and CT value estimation were investigated for the three different methods  Atlas and DL-AdvSS exhibited similar cortical bone extraction accuracy resulting in a Dice coefficient of 0 78 ± 0 07 and 0 77 ± 0 07, respectively  Likewise, DL-AdvSS and Atlas techniques performed similarly in terms of CT value estimation in the cortical bone region where a mean error (ME) of less than -11 HU was obtained  The Segm approach led to a ME of -1025 HU  Furthermore, the quantitative analysis of corresponding PET images using the three approaches assuming the CT-based attenuation corrected PET (PETCTAC) as reference demonstrated comparative performance of DL-AdvSS and Atlas techniques with a mean standardized uptake value (SUV) bias less than 4% in 63 brain regions  In addition, less that 2% SUV bias was observed in the cortical bone when using Atlas and DL-AdvSS approaches  However, Segm resulted in 14 7 ± 8 9% SUV underestimation in the cortical bone The proposed DL-AdvSS approach demonstrated competitive performance with respect to the state-of-the-art atlas-based technique achieving clinically tolerable errors, thus outperforming the commercial segmentation approach used in the clinic </t>
  </si>
  <si>
    <t>preprocessing</t>
  </si>
  <si>
    <t>Switzerland</t>
  </si>
  <si>
    <t>European journal of nuclear medicine and molecular imaging</t>
  </si>
  <si>
    <t xml:space="preserve">Division of Nuclear Medicine and Molecular Imaging, Geneva University Hospital, CH-1211, Geneva 4, Switzerland </t>
  </si>
  <si>
    <t>Arabi, H; Zeng, G; Zheng, G; Zaidi, H</t>
  </si>
  <si>
    <t>101140988</t>
  </si>
  <si>
    <t>10 1016/j cmpb 2019 06 023</t>
  </si>
  <si>
    <t xml:space="preserve">A transfer learning method with deep residual network for pediatric pneumonia diagnosis </t>
  </si>
  <si>
    <t xml:space="preserve">Computer aided diagnosis systems based on deep learning and medical imaging is increasingly becoming research hotspots  At the moment, the classical convolutional neural network generates classification results by hierarchically abstracting the original image  These abstract features are less sensitive to the position and orientation of the object, and this lack of spatial information limits the further improvement of image classification accuracy  Therefore, how to develop a suitable neural network framework and training strategy in practical clinical applications to avoid this problem is a topic that researchers need to continue to explore We propose a deep learning framework that combines residual thought and dilated convolution to diagnose and detect childhood pneumonia  Specifically, based on an understanding of the nature of the child pneumonia image classification task, the proposed method uses the residual structure to overcome the over-fitting and the degradation problems of the depth model, and utilizes dilated convolution to overcome the problem of loss of feature space information caused by the increment in depth of the model  Furthermore, in order to overcome the problem of difficulty in training model due to insufficient data and the negative impact of the introduction of structured noise on the performance of the model, we use the model parameters learned on large-scale datasets in the same field to initialize our model through transfer learning Our proposed method has been evaluated for extracting texture features associated with pneumonia and for accurately identifying the performance of areas of the image that best indicate pneumonia  The experimental results of the test dataset show that the recall rate of the method on children pneumonia classification task is 96 7%, and the f1-score is 92 7%  Compared with the prior art methods, this approach can effectively solve the problem of low image resolution and partial occlusion of the inflammatory area in children chest X-ray images The novel framework focuses on the application of advanced classification that directly performs lesion characterization, and has high reliability in the classification task of children pneumonia </t>
  </si>
  <si>
    <t xml:space="preserve">CNN,DenseNet, Inception,VGG,Xception </t>
  </si>
  <si>
    <t xml:space="preserve">Fujian Provincial Academic Engineering Research Centre in Industrial Intellectual Techniques and Systems, College of Engineering, Huaqiao University, Quanzhou, China </t>
  </si>
  <si>
    <t>Liang, G; Zheng, L</t>
  </si>
  <si>
    <t xml:space="preserve">Classification of Pulmonary Nodular Findings based on Characterization of Change using Radiology Reports </t>
  </si>
  <si>
    <t xml:space="preserve">Radiology reports contain descriptions of radiological observations followed by diagnosis and follow up recommendations, transcribed by radiologists while reading medical images  One of the most challenging tasks in a radiology workflow is to extract, characterize and structure such content to be able to pair each observation with an appropriate action  This requires classification of the findings based on the provided characterization  In most clinical setups, this is done manually, which is tedious, time-consuming and prone to human error yet of great importance as various types of findings in the reports require different follow-up decision supports and draw different levels of attention  In this work, we present a framework for detection and classification of change characteristics of pulmonary nodular findings in radiology reports  We combine a pre-trained word embedding model with a deep learning based sentence encoder  To overcome the challenge of access to limited labeled data for training, we apply Siamese network with pairwise inputs, which enforces the similarities between findings under the same category  The proposed multitask neural network classifier was evaluated and compared against state-of-the-art approaches and demonstrated promising performance </t>
  </si>
  <si>
    <t>DNN,DAN,CNN,RNN,LSTM</t>
  </si>
  <si>
    <t>not mentioned</t>
  </si>
  <si>
    <t>AMIA Joint Summits on Translational Science proceedings  AMIA Joint Summits on Translational Science</t>
  </si>
  <si>
    <t xml:space="preserve">Department of Computer Science, University of Rochester, Rochester, NY, USA </t>
  </si>
  <si>
    <t>Yuan, J; Zhu, H; Tahmasebi, A</t>
  </si>
  <si>
    <t>AMIA Jt Summits Transl Sci Proc</t>
  </si>
  <si>
    <t>101539486</t>
  </si>
  <si>
    <t>10 1253/circj CJ-19-0420</t>
  </si>
  <si>
    <t xml:space="preserve">Utilization of Artificial Intelligence in Echocardiography </t>
  </si>
  <si>
    <t xml:space="preserve">Echocardiography has a central role in the diagnosis and management of cardiovascular disease  Precise and reliable echocardiographic assessment is required for clinical decision-making  Even if the development of new technologies (3-dimentional echocardiography, speckle-tracking, semi-automated analysis, etc ), the final decision on analysis is strongly dependent on operator experience  Diagnostic errors are a major unresolved problem  Moreover, not only can cardiologists differ from one another in image interpretation, but also the same observer may come to different findings when a reading is repeated  Daily high workloads in clinical practice may lead to this error, and all cardiologists require precise perception in this field  Artificial intelligence (AI) has the potential to improve analysis and interpretation of medical images to a new stage compared with previous algorithms  From our comprehensive review, we believe AI has the potential to improve accuracy of diagnosis, clinical management, and patient care  Although there are several concerns about the required large dataset and "black box" algorithm, AI can provide satisfactory results in this field  In the future, it will be necessary for cardiologists to adapt their daily practice to incorporate AI in this new stage of echocardiography </t>
  </si>
  <si>
    <t>Circulation journal : official journal of the Japanese Circulation Society</t>
  </si>
  <si>
    <t>Department of Computer Science, University of Rochester, Rochester, NY, USA</t>
    <phoneticPr fontId="0" type="noConversion"/>
  </si>
  <si>
    <t>Kusunose, K; Haga, A; Abe, T; Sata, M</t>
  </si>
  <si>
    <t>101137683</t>
  </si>
  <si>
    <t>10 1007/s10916-019-1356-8</t>
  </si>
  <si>
    <t xml:space="preserve">Improved Deep Learning Network Based in combination with Cost-sensitive Learning for Early Detection of Ovarian Cancer in Color Ultrasound Detecting System </t>
  </si>
  <si>
    <t xml:space="preserve">With the development of theories and technologies in medical imaging, most of the tumors can be detected in the early stage  However, the nature of ovarian cysts lacks accurate judgement, leading to that many patients with benign nodules still need Fine Needle Aspiration (FNA) biopsies or surgeries, increasing the physical pain and mental pressure of patients as well as unnecessary medical health care costs  Therefore, we present an image diagnosis system for classifying the ovarian cysts in color ultrasound images, which novelly applies the image features fused by both high-level features from deep learning network and low-level features from texture descriptor  Firstly, the ultrasound images are enhanced to improve the quality of training data set and the rotation invariant uniform local binary pattern (ULBP) features are extracted from each of the images as the low-level texture features  Then the high-level deep features extracted by the fine-tuned GoogLeNet neural network and the low-level ULBP features are normalized and cascaded as one fusion feature that can represent both the semantic context and the texture patterns distributed in the image  Finally, the fusion features are input to the Cost-sensitive Random Forest classifier to classify the images into "malignant" and "benign"  The high-level features extracted by the deep neural network from the medical ultrasound image can reflect the visual features of the lesion region, while the low-level texture features can describe the edges, direction and distribution of intensities  Experimental results indicate that the combination of the two types of features can describe the differences between the lesion regions and other regions, and the differences between lesions regions of malignant and benign ovarian cysts </t>
  </si>
  <si>
    <t xml:space="preserve"> CNN,GoogLeNet</t>
  </si>
  <si>
    <t>Journal of medical systems</t>
  </si>
  <si>
    <t xml:space="preserve">The Ultrasound Centre, Tianjin central hospital of gynecology obstetrics, Tianjin, 300052, China </t>
  </si>
  <si>
    <t>Zhang, L; Huang, J; Liu, L</t>
  </si>
  <si>
    <t>7806056</t>
  </si>
  <si>
    <t>10 1053/j gastro 2019 06 025</t>
  </si>
  <si>
    <t xml:space="preserve">Gastroenterologist-Level Identification of Small-Bowel Diseases and Normal Variants by Capsule Endoscopy Using a Deep-Learning Model </t>
  </si>
  <si>
    <t xml:space="preserve">Capsule endoscopy has revolutionized investigation of the small bowel  However, this technique produces a video that is 8-10 hours long, so analysis is time consuming for gastroenterologists  Deep convolutional neural networks (CNNs) can recognize specific images among a large variety  We aimed to develop a CNN-based algorithm to assist in the evaluation of small bowel capsule endoscopy (SB-CE) images We collected 113,426,569 images from 6970 patients who had SB-CE at 77 medical centers from July 2016 through July 2018  A CNN-based auxiliary reading model was trained to differentiate abnormal from normal images using 158,235 SB-CE images from 1970 patients  Images were categorized as normal, inflammation, ulcer, polyps, lymphangiectasia, bleeding, vascular disease, protruding lesion, lymphatic follicular hyperplasia, diverticulum, parasite, and other  The model was further validated in 5000 patients (no patient was overlap with the 1970 patients in the training set); the same patients were evaluated by conventional analysis and CNN-based auxiliary analysis by 20 gastroenterologists  If there was agreement in image categorization between the conventional analysis and CNN model, no further evaluation was performed  If there was disagreement between the conventional analysis and CNN model, the gastroenterologists re-evaluated the image to confirm or reject the CNN categorization In the SB-CE images from the validation set, 4206 abnormalities in 3280 patients were identified after final consensus evaluation  The CNN-based auxiliary model identified abnormalities with 99 88% sensitivity in the per-patient analysis (95% CI, 99 67-99 96) and 99 90% sensitivity in the per-lesion analysis (95% CI, 99 74-99 97)  Conventional reading by the gastroenterologists identified abnormalities with 74 57% sensitivity (95% CI, 73 05-76 03) in the per-patient analysis and 76 89% in the per-lesion analysis (95% CI, 75 58-78 15)  The mean reading time per patient was 96 6 ± 22 53 minutes by conventional reading and 5 9 ± 2 23 minutes by CNN-based auxiliary reading (P &lt;  001) We validated the ability of a CNN-based algorithm to identify abnormalities in SB-CE images  The CNN-based auxiliary model identified abnormalities with higher levels of sensitivity and significantly shorter reading times than conventional analysis by gastroenterologists  This algorithm provides an important tool to help gastroenterologists analyze SB-CE images more efficiently and more accurately </t>
  </si>
  <si>
    <t>medical or related specialties</t>
    <phoneticPr fontId="0" type="noConversion"/>
  </si>
  <si>
    <t xml:space="preserve">Department of Gastroenterology, Union Hospital, Tongji Medical College, Huazhong University of Science and Technology, Wuhan 430022, China </t>
  </si>
  <si>
    <t>Ding, Z; Shi, H; Zhang, H; Meng, L; Fan, M; Han, C; Zhang, K; Ming, F; Xie, X; Liu, H; Liu, J; Lin, R; Hou, X</t>
  </si>
  <si>
    <t>0374630</t>
  </si>
  <si>
    <t>10 1016/j mri 2019 06 018</t>
  </si>
  <si>
    <t xml:space="preserve">Anatomical context improves deep learning on the brain age estimation task </t>
  </si>
  <si>
    <t xml:space="preserve">Deep learning has shown remarkable improvements in the analysis of medical images without the need for engineered features  In this work, we hypothesize that deep learning is complementary to traditional feature estimation  We propose a network design to include traditional structural imaging features alongside deep convolutional ones and illustrate this approach on the task of imaging-based age prediction in two separate contexts: T1-weighted brain magnetic resonance imaging (MRI) (N = 5121, ages 4-96, healthy controls) and computed tomography (CT) of the head (N = 1313, ages 1-97, healthy controls)  In brain MRI, we can predict age with a mean absolute error of 4 08 years by combining raw images along with engineered structural features, compared to 5 00 years using image-derived features alone and 8 23 years using structural features alone  In head CT, we can predict age with a median absolute error of 9 99 years combining features, compared to 11 02 years with image-derived features alone and 13 28 years with structural features alone  These results show that we can complement traditional feature estimation using deep learning to improve prediction tasks  As the field of medical image processing continues to integrate deep learning, it will be important to use the new techniques to complement traditional imaging features instead of fully displacing them </t>
  </si>
  <si>
    <t>DNN</t>
    <phoneticPr fontId="0" type="noConversion"/>
  </si>
  <si>
    <t xml:space="preserve">Department of Biomedical Engineering, Featheringiill Hall 371, Vanderbilt University, 400 24(th) Ave S, Nashville, TN 37212, USA  Electronic address: camilo bermudez@vanderbilt edu </t>
  </si>
  <si>
    <t>Bermudez, C; Plassard, AJ; Chaganti, S; Huo, Y; Aboud, KS; Cutting, LE; Resnick, SM; Landman, BA</t>
  </si>
  <si>
    <t>10 1007/978-3-030-11723-8_9</t>
  </si>
  <si>
    <t xml:space="preserve">Multi-Institutional Deep Learning Modeling Without Sharing Patient Data: A Feasibility Study on Brain Tumor Segmentation </t>
  </si>
  <si>
    <t xml:space="preserve">Deep learning models for semantic segmentation of images require large amounts of data  In the medical imaging domain, acquiring sufficient data is a significant challenge  Labeling medical image data requires expert knowledge  Collaboration between institutions could address this challenge, but sharing medical data to a centralized location faces various legal, privacy, technical, and data-ownership challenges, especially among international institutions  In this study, we introduce the first use of federated learning for multi-institutional collaboration, enabling deep learning modeling without sharing patient data  Our quantitative results demonstrate that the performance of federated semantic segmentation models (Dice=0 852) on multimodal brain scans is similar to that of models trained by sharing data (Dice=0 862)  We compare federated learning with two alternative collaborative learning methods and find that they fail to match the performance of federated learning </t>
  </si>
  <si>
    <t>Brainlesion : glioma, multiple sclerosis, stroke and traumatic brain injuries  BrainLes (Workshop)</t>
  </si>
  <si>
    <t xml:space="preserve">Intel Corporation, Santa Clara, CA 95052, USA </t>
  </si>
  <si>
    <t>Sheller, MJ; Reina, GA; Edwards, B; Martin, J; Bakas, S</t>
  </si>
  <si>
    <t>101749001</t>
  </si>
  <si>
    <t>10 1002/mp 13677</t>
  </si>
  <si>
    <t xml:space="preserve">Endometrium segmentation on transvaginal ultrasound image using key-point discriminator </t>
  </si>
  <si>
    <t xml:space="preserve">Transvaginal ultrasound imaging provides useful information for diagnosing endometrial pathologies and reproductive health  Endometrium segmentation in transvaginal ultrasound (TVUS) images is very challenging due to ambiguous boundaries and heterogeneous textures  In this study, we developed a new segmentation framework which provides robust segmentation against ambiguous boundaries and heterogeneous textures of TVUS images To achieve endometrium segmentation from TVUS images, we propose a new segmentation framework with a discriminator guided by four key points of the endometrium (namely, the endometrium cavity tip, the internal os of the cervix, and the two thickest points between the two basal layers on the anterior and posterior uterine walls)  The key points of the endometrium are defined as meaningful points that are related to the characteristics of the endometrial morphology, namely the length and thickness of the endometrium  In the proposed segmentation framework, the key-point discriminator distinguishes a predicted segmentation map from a ground-truth segmentation map according to the key-point maps  Meanwhile, the endometrium segmentation network predicts accurate segmentation results that the key-point discriminator cannot discriminate  In this adversarial way, the key-point information containing endometrial morphology characteristics is effectively incorporated in the segmentation network  The segmentation network can accurately find the segmentation boundary while the key-point discriminator learns the shape distribution of the endometrium  Moreover, the endometrium segmentation can be robust to the heterogeneous texture of the endometrium  We conducted an experiment on a TVUS dataset that contained 3,372 sagittal TVUS images and the corresponding key points  The dataset was collected by three hospitals (Ewha Woman's University School of Medicine, Asan Medical Center, and Yonsei University College of Medicine) with the approval of the three hospitals' Institutional Review Board  For verification, fivefold cross-validation was performed The proposed key-point discriminator improved the performance of the endometrium segmentation, achieving 82 67 % for the Dice coefficient and 70 46% for the Jaccard coefficient  In comparison, on the TVUS images UNet, showed 58 69 % for the Dice coefficient and 41 59 % for the Jaccard coefficient  The qualitative performance of the endometrium segmentation was also improved over the conventional deep learning segmentation networks  Our experimental results indicated robust segmentation by the proposed method on TVUS images with heterogeneous texture and unclear boundary  In addition, the effect of the key-point discriminator was verified by an ablation study We proposed a key-point discriminator to train a segmentation network for robust segmentation of the endometrium with TVUS images  By utilizing the key-point information, the proposed method showed more reliable and accurate segmentation performance and outperformed the conventional segmentation networks both in qualitative and quantitative comparisons </t>
  </si>
  <si>
    <t>CNN,Unet,FCN</t>
  </si>
  <si>
    <t xml:space="preserve">School of Electrical Engineering, KAIST, Daejeon, 34141, Republic of Korea </t>
  </si>
  <si>
    <t>Park, H; Lee, HJ; Kim, HG; Ro, YM; Shin, D; Lee, SR; Kim, SH; Kong, M</t>
  </si>
  <si>
    <t>10 1016/j media 2019 06 006</t>
  </si>
  <si>
    <t xml:space="preserve">Fusing learned representations from Riesz Filters and Deep CNN for lung tissue classification </t>
  </si>
  <si>
    <t xml:space="preserve">A novel method to detect and classify several classes of diseased and healthy lung tissue in CT (Computed Tomography), based on the fusion of Riesz and deep learning features, is presented  First, discriminative parametric lung tissue texture signatures are learned from Riesz representations using a one-versus-one approach  The signatures are generated for four diseased tissue types and a healthy tissue class, all of which frequently appear in the publicly available Interstitial Lung Diseases (ILD) dataset used in this article  Because the Riesz wavelets are steerable, they can easily be made invariant to local image rotations, a property that is desirable when analyzing lung tissue micro-architectures in CT images  Second, features from deep Convolutional Neural Networks (CNN) are computed by fine-tuning the Inception V3 architecture using an augmented version of the same ILD dataset  Because CNN features are both deep and non-parametric, they can accurately model virtually any pattern that is useful for tissue discrimination, and they are the de facto standard for many medical imaging tasks  However, invariance to local image rotations is not explicitly implemented and can only be approximated with rotation-based data augmentation  This motivates the fusion of Riesz and deep CNN features, as the two techniques are very complementary  The two learned representations are combined in a joint softmax model for final classification, where early and late feature fusion schemes are compared  The experimental results show that a late fusion of the independent probabilities leads to significant improvements in classification performance when compared to each of the separate feature representations and also compared to an ensemble of deep learning approaches </t>
  </si>
  <si>
    <t>Switzerland</t>
    <phoneticPr fontId="0" type="noConversion"/>
  </si>
  <si>
    <t xml:space="preserve">ETH Zürich, Zürich, Rämistrasse 101, Zurich 8092, Switzerland; HES-SO Valais, Technopôle 3, Sierre 3960, Switzerland  Electronic address: ranveer@icloud com </t>
  </si>
  <si>
    <t>Joyseeree, R; Otálora, S; Müller, H; Depeursinge, A</t>
  </si>
  <si>
    <t>10 1016/j media 2019 06 005</t>
  </si>
  <si>
    <t xml:space="preserve">Convolutional sparse kernel network for unsupervised medical image analysis </t>
  </si>
  <si>
    <t xml:space="preserve">The availability of large-scale annotated image datasets and recent advances in supervised deep learning methods enable the end-to-end derivation of representative image features that can impact a variety of image analysis problems  Such supervised approaches, however, are difficult to implement in the medical domain where large volumes of labelled data are difficult to obtain due to the complexity of manual annotation and inter- and intra-observer variability in label assignment  We propose a new convolutional sparse kernel network (CSKN), which is a hierarchical unsupervised feature learning framework that addresses the challenge of learning representative visual features in medical image analysis domains where there is a lack of annotated training data  Our framework has three contributions: (i) we extend kernel learning to identify and represent invariant features across image sub-patches in an unsupervised manner  (ii) We initialise our kernel learning with a layer-wise pre-training scheme that leverages the sparsity inherent in medical images to extract initial discriminative features  (iii) We adapt a multi-scale spatial pyramid pooling (SPP) framework to capture subtle geometric differences between learned visual features  We evaluated our framework in medical image retrieval and classification on three public datasets  Our results show that our CSKN had better accuracy when compared to other conventional unsupervised methods and comparable accuracy to methods that used state-of-the-art supervised convolutional neural networks (CNNs)  Our findings indicate that our unsupervised CSKN provides an opportunity to leverage unannotated big data in medical imaging repositories </t>
  </si>
  <si>
    <t>CNN,ALEXNET,VGG,GOOGLENET,RESNET,RESNET</t>
  </si>
  <si>
    <t>Australia</t>
    <phoneticPr fontId="0" type="noConversion"/>
  </si>
  <si>
    <t xml:space="preserve">School of Computer Science, University of Sydney, NSW, Australia  Electronic address: eahn4614@uni sydney edu au </t>
  </si>
  <si>
    <t>Ahn, E; Kumar, A; Fulham, M; Feng, D; Kim, J</t>
  </si>
  <si>
    <t>10 1186/s40644-019-0227-3</t>
  </si>
  <si>
    <t xml:space="preserve">Deep learning networks find unique mammographic differences in previous negative mammograms between interval and screen-detected cancers: a case-case study </t>
  </si>
  <si>
    <t xml:space="preserve">To determine if mammographic features from deep learning networks can be applied in breast cancer to identify groups at interval invasive cancer risk due to masking beyond using traditional breast density measures Full-field digital screening mammograms acquired in our clinics between 2006 and 2015 were reviewed  Transfer learning of a deep learning network with weights initialized from ImageNet was performed to classify mammograms that were followed by an invasive interval or screen-detected cancer within 12 months of the mammogram  Hyperparameter optimization was performed and the network was visualized through saliency maps  Prediction loss and accuracy were calculated using this deep learning network  Receiver operating characteristic (ROC) curves and area under the curve (AUC) values were generated with the outcome of interval cancer using the deep learning network and compared to predictions from conditional logistic regression with errors quantified through contingency tables Pre-cancer mammograms of 182 interval and 173 screen-detected cancers were split into training/test cases at an 80/20 ratio  Using Breast Imaging-Reporting and Data System (BI-RADS) density alone, the ability to correctly classify interval cancers was moderate (AUC = 0 65)  The optimized deep learning model achieved an AUC of 0 82  Contingency table analysis showed the network was correctly classifying 75 2% of the mammograms and that incorrect classifications were slightly more common for the interval cancer mammograms  Saliency maps of each cancer case found that local information could highly drive classification of cases more than global image information Pre-cancerous mammograms contain imaging information beyond breast density that can be identified with deep learning networks to predict the probability of breast cancer detection </t>
  </si>
  <si>
    <t>Cancer imaging : the official publication of the International Cancer Imaging Society</t>
  </si>
  <si>
    <t xml:space="preserve">Department of Bioengineering, University of California-San Francisco Berkeley Joint Program, Room A-C106-B, 1 Irving St, San Francisco, CA, 94143, USA  bhinton@berkeley edu </t>
  </si>
  <si>
    <t>Hinton, B; Ma, L; Mahmoudzadeh, AP; Malkov, S; Fan, B; Greenwood, H; Joe, B; Lee, V; Kerlikowske, K; Shepherd, J</t>
  </si>
  <si>
    <t>101172931</t>
  </si>
  <si>
    <t>10 3233/XST-180490</t>
  </si>
  <si>
    <t xml:space="preserve">Deep CNN models for pulmonary nodule classification: Model modification, model integration, and transfer learning </t>
  </si>
  <si>
    <t xml:space="preserve">Deep learning has made spectacular achievements in analysing natural images, but it faces challenges for medical applications partly due to inadequate images Aiming to classify malignant and benign pulmonary nodules using CT images, we explore different strategies to utilize the state-of-the-art deep convolutional neural networks (CNN) Experiments are conducted using the Lung Image Database Consortium image collection (LIDC-IDRI), which is a public database containing 1018 cases  Three strategies are implemented including to 1) modify some state-of-the-art CNN architectures, 2) integrate different CNNs and 3) adopt transfer learning  Totally, 11 deep CNN models are compared using the same dataset Study demonstrates that, for the model modification scheme, a concise CifarNet performs better than the other modified CNNs with more complex architectures, achieving an area under ROC curve of AUC = 0 90  Integrated CNN models do not significantly improve the classification performance, but the model complexity is reduced  Transfer learning outperforms the other two schemes and ResNet with fine-tuning leads to the best performance with an AUC = 0 94, as well as the sensitivity of 91% and an overall accuracy of 88% Model modification, model integration, and transfer learning can play important roles to identify and generate optimal deep CNN models in classifying pulmonary nodules based on CT images efficiently  Transfer learning is preferred when applying deep learning to medical imaging applications </t>
  </si>
  <si>
    <t>CNN,ResNet,LeNet, AlexNet, CifarNet, GoogLeNet</t>
  </si>
  <si>
    <t>Journal of X-ray science and technology</t>
  </si>
  <si>
    <t xml:space="preserve">Sino-Dutch Biomedical and Information Engineering School, Northeastern University, Shenyang, China </t>
  </si>
  <si>
    <t>Zhao, X; Qi, S; Zhang, B; Ma, H; Qian, W; Yao, Y; Sun, J</t>
  </si>
  <si>
    <t>9000080</t>
  </si>
  <si>
    <t>10 1177/1533033819858363</t>
  </si>
  <si>
    <t xml:space="preserve">A Transfer Learning Approach for Malignant Prostate Lesion Detection on Multiparametric MRI </t>
  </si>
  <si>
    <t xml:space="preserve">In prostate focal therapy, it is important to accurately localize malignant lesions in order to increase biological effect of the tumor region while achieving a reduction in dose to noncancerous tissue  In this work, we proposed a transfer learning-based deep learning approach, for classification of prostate lesions in multiparametric magnetic resonance imaging images Magnetic resonance imaging images were preprocessed to remove bias artifact and normalize the data  Two state-of-the-art deep convolutional neural network models, InceptionV3 and VGG-16, were pretrained on ImageNet data set and retuned on the multiparametric magnetic resonance imaging data set  As lesion appearances differ by the prostate zone that it resides in, separate models were trained  Ensembling was performed on each prostate zone to improve area under the curve  In addition, the predictions from lesions on each prostate zone were scaled separately to increase the area under the curve for all lesions combined The models were tuned to produce the highest area under the curve on validation data set  When it was applied to the unseen test data set, the transferred InceptionV3 model achieved an area under the curve of 0 81 and the transferred VGG-16 model achieved an area under the curve of 0 83  This was the third best score among the 72 methods from 33 participating groups in ProstateX competition The transfer learning approach is a promising method for prostate cancer detection on multiparametric magnetic resonance imaging images  Features learned from ImageNet data set can be useful for medical images </t>
  </si>
  <si>
    <t>CNN,InceptionNet,VGG</t>
  </si>
  <si>
    <t>Technology in cancer research &amp; treatment</t>
  </si>
  <si>
    <t xml:space="preserve">1 Department of Radiation Medicine, University of Kentucky, Lexington, KY, USA </t>
  </si>
  <si>
    <t>Chen, Q; Hu, S; Long, P; Lu, F; Shi, Y; Li, Y</t>
  </si>
  <si>
    <t>101140941</t>
  </si>
  <si>
    <t>10 1016/j compmedimag 2019 05 002</t>
  </si>
  <si>
    <t xml:space="preserve">VesselNet: A deep convolutional neural network with multi pathways for robust hepatic vessel segmentation </t>
  </si>
  <si>
    <t xml:space="preserve">Extraction or segmentation of organ vessels is an important task for surgical planning and computer-aided diagnoses  This is a challenging task due to the extremely small size of the vessel structure, low SNR, and varying contrast in medical image data  We propose an automatic and robust vessel segmentation approach that uses a multi-pathways deep learning network  The proposed method trains a deep network for binary classification based on extracted training patches on three planes (sagittal, coronal, and transverse planes) centered on the focused voxels  Thus, it is expected to provide a more reliable recognition performance by exploring the 3D structure  Furthermore, due to the large variety of medical data device values, we transform a raw medical image into a probability map as input to the network  Then, we extract vessels based on the proposed network, which is robust and sufficiently general to handle images with different contrast obtained by various imaging systems  The proposed deep network provides a vessel probability map for voxels in the target medical data, which is used in a post-process to generate the final segmentation result  To validate the effectiveness and efficiency of the proposed method, we conducted experiments with 20 data (public datasets) with different contrast levels and different device value ranges  The results demonstrate impressive performance in comparison with the state-of-the-art methods  We propose the first 3D liver vessel segmentation network using deep learning  Using a multi-pathways network, segmentation results can be improved, and the probability map as input is robust against intensity changes in clinical data </t>
  </si>
  <si>
    <t>CNN,ResNet,Unet,VNET,DenseNet</t>
  </si>
  <si>
    <t xml:space="preserve">Graduate School of Information Science and Engineering, Ritsumeikan University, Shiga, Japan </t>
  </si>
  <si>
    <t>Kitrungrotsakul, T; Han, XH; Iwamoto, Y; Lin, L; Foruzan, AH; Xiong, W; Chen, YW</t>
  </si>
  <si>
    <t>10 1016/j mri 2019 05 042</t>
  </si>
  <si>
    <t xml:space="preserve">Denoising of MR images with Rician noise using a wider neural network and noise range division </t>
  </si>
  <si>
    <t xml:space="preserve">Magnetic resonance (MR) images denoising is important in medical image analysis  Denoising methods based on deep learning have shown great promise and outperform all of the other conventional methods  However, deep-learning methods are limited by the number of training samples  In this article, using a small sample size, we applied a wider denoising neural network to MR images with Rician noise and trained several denoising models  The first model is specific to a certain noise, while the other applies to a wide range of noise levels  We considered the noise range as one interval, two sub-intervals, three sub-intervals, or even more sub-intervals to train the corresponding models  Experimental results demonstrate that for MR images, the proposed deep-learning models are efficient in terms of peak-signal-to-noise ratio, structure-similarity-index metrics and normalized mutual information  In addition, for blind noise, the effect of the three sub-intervals is better than that of the other sub-intervals </t>
  </si>
  <si>
    <t xml:space="preserve">School of Computer and Information, Hohai University, Nanjing 210098, China; School of Mathematics and Statistics, Hubei Normal University, Huangshi 435002, China </t>
  </si>
  <si>
    <t>You, X; Cao, N; Lu, H; Mao, M; Wanga, W</t>
  </si>
  <si>
    <t>10 1109/WNYIPW 2018 8576421</t>
  </si>
  <si>
    <t xml:space="preserve">A Modified U-Net Convolutional Network Featuring a Nearest-neighbor Re-sampling-based Elastic-Transformation for Brain Tissue Characterization and Segmentation </t>
  </si>
  <si>
    <t xml:space="preserve">The detection and segmentation of brain tumors from Magnetic Resonance Imaging (MRI) is a very challenging task, despite the availability of modern medical image processing tools  Neuro-radiologists still diagnose deadly brain cancers such as even glioblastoma using manual segmentation  This approach is not only tedious, but also highly variable, featuring limited accuracy and precision, and hence raising the need for more robust, automated techniques  Deep learning methods such as the U-Net deep convolutional neural networks have been widely used in biomedical image segmentation  Although this model was demonstrated to yield desirable results on the BRATS 2015 dataset by using a pixel-wise segmentation map of the input image as an auto-encoder, which assures best segmentation accuracy, the output only showed limited accuracy and robustness for a number of cases  The goal of this work was to improve the U-net model by replacing the de-convolution component with an up-sampled by the Nearest-neighbor algorithm and also employing an elastic transformation to augment the training dataset to render the model more robust, especially for the segmentation of low-grade tumors  The proposed Nearest-Neighbor Re-sampling Based Elastic-Transformed (NNRET) U-net Deep CNN framework has been trained on 285 glioma patients BRATS 2017 MR dataset available through the MICCAI 2017 grand challenge  The framework has been tested on 146 patients using Dice similarity coefficient (DSC) &amp; Intersection over Union (IoU) performance metrics and outweighed the classic U-net model </t>
  </si>
  <si>
    <t>Proceedings  IEEE Western New York Image and Signal Processing Workshop</t>
  </si>
  <si>
    <t xml:space="preserve">Chester F  Carlson Center for Imaging Science, Visualization and Image-guided Navigation Lab Rochester Institute of Technology, Rochester, NY USA </t>
  </si>
  <si>
    <t>Hasan, SMK; Linte, CA</t>
  </si>
  <si>
    <t>101748394</t>
  </si>
  <si>
    <t>10 1371/journal pone 0217647</t>
  </si>
  <si>
    <t xml:space="preserve">A novel YOLOv3-arch model for identifying cholelithiasis and classifying gallstones on CT images </t>
  </si>
  <si>
    <t xml:space="preserve">Locating diseases precisely from medical images, like ultrasonic and CT images, have been one of the most challenging problems in medical image analysis  In recent years, the vigorous development of deep learning models have greatly improved the accuracy in disease location on medical images  However, there are few artificial intelligent methods for identifying cholelithiasis and classifying gallstones on CT images, since no open source CT images dataset of cholelithiasis and gallstones is available for training the models and verifying their performance  In this paper, we build up the first medical image dataset of cholelithiasis by collecting 223846 CT images with gallstone of 1369 patients  With these CT images, a neural network is trained to "pick up" CT images of high quality as training set, and then a novel Yolo neural network, named Yolov3-arch neural network, is proposed to identify cholelithiasis and classify gallstones on CT images  Identification and classification accuracies are obtained by 10-fold cross-validations  It is obtained that our Yolov3-arch model is with average accuracy 92 7% in identifying granular gallstones and average accuracy 80 3% in identifying muddy gallstones  This achieves 3 5% and 8% improvements in identifying granular and muddy gallstones to general Yolo v3 model, respectively  Also, the average cholelithiasis identifying accuracy is improved to 86 50% from 80 75%  Meanwhile, our method can reduce the misdiagnosis rate of negative samples by the object detection model </t>
  </si>
  <si>
    <t>Pang, S; Ding, T; Qiao, S; Meng, F; Wang, S; Li, P; Wang, X</t>
  </si>
  <si>
    <t>10 1016/j cmpb 2019 04 027</t>
  </si>
  <si>
    <t xml:space="preserve">Double-branched and area-constraint fully convolutional networks for automated serous retinal detachment segmentation in SD-OCT images </t>
    <phoneticPr fontId="0" type="noConversion"/>
  </si>
  <si>
    <t xml:space="preserve">Quantitative assessment of subretinal fluid in spectral domain optical coherence tomography (SD-OCT) images is crucial for the diagnosis of central serous chorioretinopathy  For the subretinal fluid segmentation, the traditional methods need to segment retinal layers and then segment subretinal fluid  The layer segmentation has a high influence on subretinal fluid segmentation, so we aim to develop a deep learning model to segment subretinal fluid automatically without layer segmentation In this paper, we propose a novel image-to-image double-branched and area-constraint fully convolutional networks (DA-FCN) for segmenting subretinal fluid in SD-OCT images  Firstly, the dataset is extended by mirroring image, which helps to overcome the over-fitting problem in the training stage  Then, double-branched structures are designed to learn the shallow coarse and deep representations from the SD-OCT images  DA-FCN model is directly trained using the image and corresponding pixel-based ground truth  Finally, we introduce a novel supervision mechanism by jointing the area loss LA with the softmax loss LS to learn more representative features The testing dataset with 52 SD-OCT volumes from 35 eyes of 35 patients is used for the evaluation of the proposed algorithm based on the cross-validation method  For the three criterions, including the true positive volume fraction, dice similarity coefficient, and positive predicative value, our method can obtain the results of (1) 94 3, 95 3, and 96 4 for dataset 1; (2) 97 3, 95 3, and 93 4 for dataset 2; (3) 93 0, 92 8, and 92 8 for dataset 3; (4) 89 7, 90 1, and 92 6 for dataset 4 In this work, we propose a novel fully convolutional network for the automatic segmentation of the subretinal fluid  By constructing the double branched structures and area constraint term, our method shows higher segmentation accuracy without layer segmentation compared with other methods </t>
  </si>
  <si>
    <t xml:space="preserve">Shandong Provincial Key Laboratory of Network based Intelligent Computing, School of Information Science and Engineering, University of Jinan, Jinan 250022, China </t>
  </si>
  <si>
    <t>Gao, K; Niu, S; Ji, Z; Wu, M; Chen, Q; Xu, R; Yuan, S; Fan, W; Chen, Y; Dong, J</t>
  </si>
  <si>
    <t>10 1259/bjr 20190327</t>
  </si>
  <si>
    <t xml:space="preserve">Deep learning-based muscle segmentation and quantification at abdominal CT: application to a longitudinal adult screening cohort for sarcopenia assessment </t>
  </si>
  <si>
    <t xml:space="preserve">To investigate a fully automated abdominal CT-based muscle tool in a large adult screening population A fully automated validated muscle segmentation algorithm was applied to 9310 non-contrast CT scans, including a primary screening cohort of 8037 consecutive asymptomatic adults (mean age, 57 1±7 8 years; 3555M/4482F)  Sequential follow-up scans were available in a subset of 1171 individuals (mean interval, 5 1 years)  Muscle tissue cross-sectional area and attenuation (Hounsfield unit, HU) at the L3 level were assessed, including change over time Mean values were significantly higher in males for both muscle area (190 6±33 6 vs 133 3±24 1 cm2, p&lt;0 001) and density (34 3±11 1 HU vs 27 3±11 7 HU, p&lt;0 001)  Age-related losses were observed, with mean muscle area reduction of -1 5 cm2/year and attenuation reduction of -1 5 HU/year  Overall age-related muscle density (attenuation) loss was steeper than for muscle area for both sexes up to the age of 70 years  Between ages 50 and 70, relative muscle attenuation decreased significantly more in females (-30 6% vs -18 0%, p&lt;0 001), whereas relative rates of muscle area loss were similar (-8%)  Between ages 70 and 90, males lost more density (-22 4% vs -7 5%) and area (-13 4% vs -6 9%, p&lt;0 001)  Of the 1171 patients with longitudinal follow-up, 1013 (86 5%) showed a decrease in muscle attenuation, 739 (63 1%) showed a decrease in area, and 1119 (95 6%) showed a decrease in at least one of these measures This fully automated CT muscle tool allows for both individualized and population-based assessment  Such data could be automatically derived at abdominal CT regardless of study indication, allowing for opportunistic sarcopenia detection This fully automated tool can be applied to routine abdominal CT scans for prospective or retrospective opportunistic sarcopenia assessment, regardless of the original clinical indication  Mean values were significantly higher in males for both muscle area and muscle density  Overall age-related muscle density (attenuation) loss was steeper than for muscle area for both sexes, and therefore may be a more valuable predictor of adverse outcomes </t>
  </si>
  <si>
    <t>The British journal of radiology</t>
  </si>
  <si>
    <t xml:space="preserve">1 University of Wisconsin School of Medicine and Public Health 600 Highland Avenue, Madison, WI 53705 </t>
  </si>
  <si>
    <t>Graffy, PM; Liu, J; Pickhardt, PJ; Burns, JE; Yao, J; Summers, RM</t>
  </si>
  <si>
    <t>0373125</t>
  </si>
  <si>
    <t>10 1007/s10278-019-00244-w</t>
  </si>
  <si>
    <t xml:space="preserve">Deep-Learning-Based Semantic Labeling for 2D Mammography and Comparison of Complexity for Machine Learning Tasks </t>
  </si>
  <si>
    <t xml:space="preserve">Machine learning has several potential uses in medical imaging for semantic labeling of images to improve radiologist workflow and to triage studies for review  The purpose of this study was to (1) develop deep convolutional neural networks (DCNNs) for automated classification of 2D mammography views, determination of breast laterality, and assessment and of breast tissue density; and (2) compare the performance of DCNNs on these tasks of varying complexity to each other  We obtained 3034 2D-mammographic images from the Digital Database for Screening Mammography, annotated with mammographic view, image laterality, and breast tissue density  These images were used to train a DCNN to classify images for these three tasks  The DCNN trained to classify mammographic view achieved receiver-operating-characteristic (ROC) area under the curve (AUC) of 1  The DCNN trained to classify breast image laterality initially misclassified right and left breasts (AUC 0 75); however, after discontinuing horizontal flips during data augmentation, AUC improved to 0 93 (p &lt; 0 0001)  Breast density classification proved more difficult, with the DCNN achieving 68% accuracy  Automated semantic labeling of 2D mammography is feasible using DCNNs and can be performed with small datasets  However, automated classification of differences in breast density is more difficult, likely requiring larger datasets </t>
  </si>
  <si>
    <t xml:space="preserve"> CNN</t>
  </si>
  <si>
    <t xml:space="preserve">The Russell H  Morgan Department of Radiology and Radiological Science, Johns Hopkins University School of Medicine, 601 N  Caroline St , Room 4223, Baltimore, MD, 21287, USA  Pyi10@jhmi edu </t>
  </si>
  <si>
    <t>Yi, PH; Lin, A; Wei, J; Yu, AC; Sair, HI; Hui, FK; Hager, GD; Harvey, SC</t>
  </si>
  <si>
    <t>10 1186/s12859-019-2926-y</t>
  </si>
  <si>
    <t xml:space="preserve">AutoCryoPicker: an unsupervised learning approach for fully automated single particle picking in Cryo-EM images </t>
  </si>
  <si>
    <t xml:space="preserve">An important task of macromolecular structure determination by cryo-electron microscopy (cryo-EM) is the identification of single particles in micrographs (particle picking)  Due to the necessity of human involvement in the process, current particle picking techniques are time consuming and often result in many false positives and negatives  Adjusting the parameters to eliminate false positives often excludes true particles in certain orientations  The supervised machine learning (e g  deep learning) methods for particle picking often need a large training dataset, which requires extensive manual annotation  Other reference-dependent methods rely on low-resolution templates for particle detection, matching and picking, and therefore, are not fully automated  These issues motivate us to develop a fully automated, unbiased framework for particle picking We design a fully automated, unsupervised approach for single particle picking in cryo-EM micrographs  Our approach consists of three stages: image preprocessing, particle clustering, and particle picking  The image preprocessing is based on multiple techniques including: image averaging, normalization, cryo-EM image contrast enhancement correction (CEC), histogram equalization, restoration, adaptive histogram equalization, guided image filtering, and morphological operations  Image preprocessing significantly improves the quality of original cryo-EM images  Our particle clustering method is based on an intensity distribution model which is much faster and more accurate than traditional K-means and Fuzzy C-Means (FCM) algorithms for single particle clustering  Our particle picking method, based on image cleaning and shape detection with a modified Circular Hough Transform algorithm, effectively detects the shape and the center of each particle and creates a bounding box encapsulating the particles AutoCryoPicker can automatically and effectively recognize particle-like objects from noisy cryo-EM micrographs without the need of labeled training data or human intervention making it a useful tool for cryo-EM protein structure determination </t>
  </si>
  <si>
    <t>miscellaneous (not conforming to one of the aforementioned categories)</t>
  </si>
  <si>
    <t xml:space="preserve">Electrical Engineering and Computer Science Department, University of Missouri, Columbia, MO, 65211, USA </t>
  </si>
  <si>
    <t>Al-Azzawi, A; Ouadou, A; Tanner, JJ; Cheng, J</t>
  </si>
  <si>
    <t>10 1259/bjr 20190067</t>
  </si>
  <si>
    <t xml:space="preserve">MRI-based treatment planning for liver stereotactic body radiotherapy: validation of a deep learning-based synthetic CT generation method </t>
  </si>
  <si>
    <t xml:space="preserve">The purpose of this work is to develop and validate a learning-based method to derive electron density from routine anatomical MRI for potential MRI-based SBRT treatment planning We proposed to integrate dense block into cycle generative adversarial network (GAN) to effectively capture the relationship between the CT and MRI for CT synthesis  A cohort of 21 patients with co-registered CT and MR pairs were used to evaluate our proposed method by the leave-one-out cross-validation  Mean absolute error, peak signal-to-noise ratio and normalized cross-correlation were used to quantify the imaging differences between the synthetic CT (sCT) and CT  The accuracy of Hounsfield unit (HU) values in sCT for dose calculation was evaluated by comparing the dose distribution in sCT-based and CT-based treatment planning  Clinically relevant dose-volume histogram metrics were then extracted from the sCT-based and CT-based plans for quantitative comparison The mean absolute error, peak signal-to-noise ratio and normalized cross-correlation of the sCT were 72 87 ± 18 16 HU, 22 65 ± 3 63 dB and 0 92 ± 0 04, respectively  No significant differences were observed in the majority of the planning target volume and organ at risk dose-volume histogram metrics ( p  &gt;  0 05)  The average pass rate of γ analysis was over 99% with 1%/1 mm acceptance criteria on the coronal plane that intersects with isocenter The image similarity and dosimetric agreement between sCT and original CT warrant further development of an MRI-only workflow for liver stereotactic body radiation therapy This work is the first deep-learning-based approach to generating abdominal sCT through dense-cycle-GAN  This method can successfully generate the small bony structures such as the rib bones and is able to predict the HU values for dose calculation with comparable accuracy to reference CT images </t>
  </si>
  <si>
    <t xml:space="preserve">1 Department of Radiation Oncology and Winship Cancer Institute, Emory University, Atlanta, Georgia </t>
  </si>
  <si>
    <t>Liu, Y; Lei, Y; Wang, T; Kayode, O; Tian, S; Liu, T; Patel, P; Curran, WJ; Ren, L; Yang, X</t>
  </si>
  <si>
    <t>10 3389/fninf 2019 00033</t>
  </si>
  <si>
    <t xml:space="preserve">Evaluation of Enhanced Learning Techniques for Segmenting Ischaemic Stroke Lesions in Brain Magnetic Resonance Perfusion Images Using a Convolutional Neural Network Scheme </t>
  </si>
  <si>
    <t xml:space="preserve">Magnetic resonance (MR) perfusion imaging non-invasively measures cerebral perfusion, which describes the blood's passage through the brain's vascular network  Therefore, it is widely used to assess cerebral ischaemia  Convolutional Neural Networks (CNN) constitute the state-of-the-art method in automatic pattern recognition and hence, in segmentation tasks  But none of the CNN architectures developed to date have achieved high accuracy when segmenting ischaemic stroke lesions, being the main reasons their heterogeneity in location, shape, size, image intensity and texture, especially in this imaging modality  We use a freely available CNN framework, developed for MR imaging lesion segmentation, as core algorithm to evaluate the impact of enhanced machine learning techniques, namely data augmentation, transfer learning and post-processing, in the segmentation of stroke lesions using the ISLES 2017 dataset, which contains expert annotated diffusion-weighted perfusion and diffusion brain MRI of 43 stroke patients  Of all the techniques evaluated, data augmentation with binary closing achieved the best results, improving the mean Dice score in 17% over the baseline model  Consistent with previous works, better performance was obtained in the presence of large lesions </t>
  </si>
  <si>
    <t>Frontiers in neuroinformatics</t>
  </si>
  <si>
    <t xml:space="preserve">School of Informatics, University of Edinburgh, Edinburgh, United Kingdom </t>
  </si>
  <si>
    <t>Pérez Malla, CU; Valdés Hernández, MDC; Rachmadi, MF; Komura, T</t>
  </si>
  <si>
    <t>101477957</t>
  </si>
  <si>
    <t>10 1001/jamanetworkopen 2019 5600</t>
  </si>
  <si>
    <t xml:space="preserve">Deep Learning-Assisted Diagnosis of Cerebral Aneurysms Using the HeadXNet Model </t>
  </si>
  <si>
    <t xml:space="preserve">Deep learning has the potential to augment clinician performance in medical imaging interpretation and reduce time to diagnosis through automated segmentation  Few studies to date have explored this topic To develop and apply a neural network segmentation model (the HeadXNet model) capable of generating precise voxel-by-voxel predictions of intracranial aneurysms on head computed tomographic angiography (CTA) imaging to augment clinicians' intracranial aneurysm diagnostic performance In this diagnostic study, a 3-dimensional convolutional neural network architecture was developed using a training set of 611 head CTA examinations to generate aneurysm segmentations  Segmentation outputs from this support model on a test set of 115 examinations were provided to clinicians  Between August 13, 2018, and October 4, 2018, 8 clinicians diagnosed the presence of aneurysm on the test set, both with and without model augmentation, in a crossover design using randomized order and a 14-day washout period  Head and neck examinations performed between January 3, 2003, and May 31, 2017, at a single academic medical center were used to train, validate, and test the model  Examinations positive for aneurysm had at least 1 clinically significant, nonruptured intracranial aneurysm  Examinations with hemorrhage, ruptured aneurysm, posttraumatic or infectious pseudoaneurysm, arteriovenous malformation, surgical clips, coils, catheters, or other surgical hardware were excluded  All other CTA examinations were considered controls Sensitivity, specificity, accuracy, time, and interrater agreement were measured  Metrics for clinician performance with and without model augmentation were compared The data set contained 818 examinations from 662 unique patients with 328 CTA examinations (40 1%) containing at least 1 intracranial aneurysm and 490 examinations (59 9%) without intracranial aneurysms  The 8 clinicians reading the test set ranged in experience from 2 to 12 years  Augmenting clinicians with artificial intelligence-produced segmentation predictions resulted in clinicians achieving statistically significant improvements in sensitivity, accuracy, and interrater agreement when compared with no augmentation  The clinicians' mean sensitivity increased by 0 059 (95% CI, 0 028-0 091; adjusted P =  01), mean accuracy increased by 0 038 (95% CI, 0 014-0 062; adjusted P =  02), and mean interrater agreement (Fleiss κ) increased by 0 060, from 0 799 to 0 859 (adjusted P =  05)  There was no statistically significant change in mean specificity (0 016; 95% CI, -0 010 to 0 041; adjusted P =  16) and time to diagnosis (5 71 seconds; 95% CI, 7 22-18 63 seconds; adjusted P =  19) The deep learning model developed successfully detected clinically significant intracranial aneurysms on CTA  This suggests that integration of an artificial intelligence-assisted diagnostic model may augment clinician performance with dependable and accurate predictions and thereby optimize patient care </t>
  </si>
  <si>
    <t>CNN,RESNET,UNET</t>
  </si>
  <si>
    <t xml:space="preserve">Department of Computer Science, Stanford University, Stanford, California </t>
  </si>
  <si>
    <t>Park, A; Chute, C; Rajpurkar, P; Lou, J; Ball, RL; Shpanskaya, K; Jabarkheel, R; Kim, LH; McKenna, E; Tseng, J; Ni, J; Wishah, F; Wittber, F; Hong, DS; Wilson, TJ; Halabi, S; Basu, S; Patel, BN; Lungren, MP; Ng, AY; Yeom, KW</t>
  </si>
  <si>
    <t>10 1371/journal pone 0217541</t>
  </si>
  <si>
    <t xml:space="preserve">Reproduction study using public data of: Development and validation of a deep learning algorithm for detection of diabetic retinopathy in retinal fundus photographs </t>
  </si>
  <si>
    <t xml:space="preserve">We have attempted to reproduce the results in Development and validation of a deep learning algorithm for detection of diabetic retinopathy in retinal fundus photographs, published in JAMA 2016; 316(22), using publicly available data sets  We re-implemented the main method in the original study since the source code is not available  The original study used non-public fundus images from EyePACS and three hospitals in India for training  We used a different EyePACS data set from Kaggle  The original study used the benchmark data set Messidor-2 to evaluate the algorithm's performance  We used another distribution of the Messidor-2 data set, since the original data set is no longer available  In the original study, ophthalmologists re-graded all images for diabetic retinopathy, macular edema, and image gradability  We have one diabetic retinopathy grade per image for our data sets, and we assessed image gradability ourselves  We were not able to reproduce the original study's results with publicly available data  Our algorithm's area under the receiver operating characteristic curve (AUC) of 0 951 (95% CI, 0 947-0 956) on the Kaggle EyePACS test set and 0 853 (95% CI, 0 835-0 871) on Messidor-2 did not come close to the reported AUC of 0 99 on both test sets in the original study  This may be caused by the use of a single grade per image, or different data  This study shows the challenges of reproducing deep learning method results, and the need for more replication and reproduction studies to validate deep learning methods, especially for medical image analysis  Our source code and instructions are available at: https://github com/mikevoets/jama16-retina-replication </t>
  </si>
  <si>
    <t>Inception</t>
    <phoneticPr fontId="0" type="noConversion"/>
  </si>
  <si>
    <t>Norway</t>
  </si>
  <si>
    <t xml:space="preserve">Department of Computer Science, UiT The Arctic University of Norway, Tromsø, Norway </t>
  </si>
  <si>
    <t>Voets, M; Møllersen, K; Bongo, LA</t>
  </si>
  <si>
    <t>10 1109/TMI 2019 2919951</t>
  </si>
  <si>
    <t xml:space="preserve">Exploiting Epistemic Uncertainty of Anatomy Segmentation for Anomaly Detection in Retinal OCT </t>
  </si>
  <si>
    <t xml:space="preserve">Diagnosis and treatment guidance are aided by detecting relevant biomarkers in medical images  Although supervised deep learning can perform accurate segmentation of pathological areas, it is limited by requiring a-priori definitions of these regions, large-scale annotations, and a representative patient cohort in the training set  In contrast, anomaly detection is not limited to specific definitions of pathologies and allows for training on healthy samples without annotation  Anomalous regions can then serve as candidates for biomarker discovery  Knowledge about normal anatomical structure brings implicit information for detecting anomalies  We propose to take advantage of this property using bayesian deep learning, based on the assumption that epistemic uncertainties will correlate with anatomical deviations from a normal training set  A Bayesian UNet is trained on a well-defined healthy environment using weak labels of healthy anatomy produced by existing methods  At test time, we capture epistemic uncertainty estimates of our model using Monte Carlo dropout  A novel post-processing technique is then applied to exploit these estimates and transfer their layered appearance to smooth blob-shaped segmentations of the anomalies  We experimentally validated this approach in retinal optical coherence tomography (OCT) images, using weak labels of retinal layers  Our method achieved a Dice index of 0 789 in an independent anomaly test set of age-related macular degeneration (AMD) cases  The resulting segmentations allowed very high accuracy for separating healthy and diseased cases with late wet AMD, dry geographic atrophy (GA), diabetic macular edema (DME) and retinal vein occlusion (RVO)  Finally, we qualitatively observed that our approach can also detect other deviations in normal scans such as cut edge artifacts </t>
  </si>
  <si>
    <t>Austria</t>
  </si>
  <si>
    <t>P  Seeb¨ock and G  Langs are with the Computational Imaging Research
Lab, Department of Biomedical Imaging and Image-guided Therapy, Medical
University Vienna, Austria</t>
  </si>
  <si>
    <t>Seebock, P; Orlando, JI; Schlegl, T; Waldstein, SM; Bogunovic, H; Klimscha, S; Langs, G; Schmidt-Erfurth, U</t>
  </si>
  <si>
    <t>10 1364/OE 27 013581</t>
  </si>
  <si>
    <t xml:space="preserve">Pixel super-resolution for lens-free holographic microscopy using deep learning neural networks </t>
  </si>
  <si>
    <t xml:space="preserve">Lens-free holographic microscopy (LFHM) provides a cost-effective tool for large field-of-view imaging in various biomedical applications  However, due to the unit optical magnification, its spatial resolution is limited by the pixel size of the imager  Pixel super-resolution (PSR) technique tackles this problem by using a series of sub-pixel shifted low-resolution (LR) lens-free holograms to form the high-resolution (HR) hologram  Conventional iterative PSR methods require a large number of measurements and a time-consuming reconstruction process, limiting the throughput of LFHM in practice  Here we report a deep learning-based PSR approach to enhance the resolution of LFHM  Compared with the existing PSR methods, our neural network-based approach outputs the HR hologram in an end-to-end fashion and maintains consistency in resolution improvement with a reduced number of LR holograms  Moreover, by exploiting the resolution degradation model in the imaging process, the network can be trained with a data set synthesized from the LR hologram itself without resorting to the HR ground truth  We validated the effectiveness and the robustness of our method by imaging various types of samples using a single network trained on an entirely different data set  This deep learning-based PSR approach can significantly accelerate both the data acquisition and the HR hologram reconstruction processes, therefore providing a practical solution to fast, lens-free, super-resolution imaging </t>
  </si>
  <si>
    <t>Belgium</t>
  </si>
  <si>
    <t>Optics express</t>
  </si>
  <si>
    <t>Department of Physics and Astronomy, KU Leuven, Celestijnenlaan 200 D, Leuven B-3001, Belgium</t>
    <phoneticPr fontId="0" type="noConversion"/>
  </si>
  <si>
    <t>Luo, Z; Yurt, A; Stahl, R; Lambrechts, A; Reumers, V; Braeken, D; Lagae, L</t>
  </si>
  <si>
    <t>101137103</t>
  </si>
  <si>
    <t>10 1016/j ijmedinf 2019 05 002</t>
  </si>
  <si>
    <t xml:space="preserve">ONCOhabitats: A system for glioblastoma heterogeneity assessment through MRI </t>
  </si>
  <si>
    <t xml:space="preserve">Neuroimaging analysis is currently crucial for an early assessment of glioblastoma, to help improving treatment and tumor follow-up  To this end, multiple functional and morphological MRI sequences are usually employed, requiring the development of automated tools capable to extract the relevant information from these sources  In this work we present ONCOhabitats (https://www oncohabitats upv es): an online open access system for glioblastoma analysis based on MRI data ONCOhabitats provides two main services for untreated glioblastomas: (1) malignant tissue segmentation, and (2) vascular heterogeneity assessment of the tumor  The segmentation service implements a deep patch-wise 3D Convolutional Neural Network with residual connections  The vascular heterogeneity assessment service implements the Hemodynamic Tissue Signature (HTS) method patented in P201431289, which aims to identify habitats within the tumor with early prognostic capabilities The segmentation service was validated against the BRATS 2017 reference dataset, showing comparable results with current state-of-the-art methods (whole tumor Dice segmentation: 0 89)  The vascular heterogeneity assessment service was validated in a retrospective cohort of 50 patients, in a study focused on predicting patient overall survival based on the HTS habitats  Cox proportional hazard regression analysis and Kaplan-Meier survival study showed significant positive correlations (p-value &lt; 05) between the HTS habitats and patient overall survival  ONCOhabitats system also generates radiological reports for each service, including volumetries and perfusion measurements of the different regions of the lesion ONCOhabitats system provides open-access services for glioblastoma heterogeneity assessment, implementing consolidated state-of-the-art techniques for medical image analysis  Additionally, we also give access to the scientific community to our computational resources, offering a computational capacity of about 300 cases per day </t>
  </si>
  <si>
    <t>Spain</t>
  </si>
  <si>
    <t>International journal of medical informatics</t>
  </si>
  <si>
    <t xml:space="preserve">Grupo de Informática Biomédica (IBIME), Instituto de Aplicaciones de las Tecnologías de la Información y de las Comunicaciones Avanzadas (ITACA), Universitat Politècnica de València, Valencia, Spain  Electronic address: jajuaal1@ibime upv es </t>
  </si>
  <si>
    <t>Juan-Albarracín, J; Fuster-Garcia, E; García-Ferrando, GA; García-Gómez, JM</t>
  </si>
  <si>
    <t>9711057</t>
  </si>
  <si>
    <t>10 3233/THC-191718</t>
  </si>
  <si>
    <t xml:space="preserve">Evaluating medical images using deep convolutional neural networks: A simulated CT phantom image study </t>
  </si>
  <si>
    <t xml:space="preserve">Applied research on artificial intelligence, mainly in deep learning, is widely performed  If medical images can be evaluated using artificial intelligence, this could substantially improve examination efficiency We investigated an evaluation system for medical images with different noise characteristics using a deep convolutional neural network Simulated computed tomography images are the targets of the system  We used an AlexNet trained with natural images for the deep convolutional neural network and a support vector machine for classification  Synthetic computed tomography images with circular and rectangular signal bodies at different levels of contrast and added Gaussian noise were used for training and testing Two transfer learning methods were tested: classification by a re-trained support vector machine using the AlexNet features, and a method that fine-tuned the deep convolutional neural network  Using the first method, all the test image noise levels could be classified correctly  The fine-tuning method achieved an accuracy rate of 92 6% An image quality evaluation method using artificial intelligence will be useful for clinical images and different image quality indices in the future </t>
  </si>
  <si>
    <t>CNN,AlexNet</t>
  </si>
  <si>
    <t>Technology and health care : official journal of the European Society for Engineering and Medicine</t>
  </si>
  <si>
    <t xml:space="preserve">Department of Radiological Technology, Gunma Prefectural College of Health Sciences, Gunma 371-0052, Japan </t>
  </si>
  <si>
    <t>Norio, H; Tomoko, M; Yusuke, S; Haruyuki, W; Toshihiro, O; Akio, O</t>
  </si>
  <si>
    <t>9314590</t>
  </si>
  <si>
    <t>10 1016/j ejrad 2019 04 022</t>
  </si>
  <si>
    <t xml:space="preserve">A deep learning radiomics model for preoperative grading in meningioma </t>
  </si>
  <si>
    <t xml:space="preserve">To noninvasively differentiate meningioma grades by deep learning radiomics (DLR) model based on routine post-contrast MRI We enrolled 181 patients with histopathologic diagnosis of meningioma who received post-contrast MRI preoperative examinations from 2 hospitals (99 in the primary cohort and 82 in the validation cohort)  All the tumors were segmented based on post-contrast axial T1 weighted images (T1WI), from which 2048 deep learning features were extracted by the convolutional neural network  The random forest algorithm was used to select features with importance values over 0 001, upon which a deep learning signature was built by a linear discriminant analysis classifier  The performance of our DLR model was assessed by discrimination and calibration in the independent validation cohort  For comparison, a radiomic model based on hand-crafted features and a fusion model were built The DLR signature comprised 39 deep learning features and showed good discrimination performance in both the primary and validation cohorts  The area under curve (AUC), sensitivity, and specificity for predicting meningioma grades were 0 811(95% CI, 0 635-0 986), 0 769, and 0 898 respectively in the validation cohort  DLR performance was superior over the hand-crafted features  Calibration curves of DLR model showed good agreements between the prediction probability and the observed outcome of high-grade meningioma Using routine MRI data, we developed a DLR model with good performance for noninvasively individualized prediction of meningioma grades, which achieved a quantization capability superior over the hand-crafted features  This model has potential to guide and facilitate the clinical decision-making of whether to observe or to treat patients by providing prognostic information </t>
  </si>
  <si>
    <t>CNN,Xception</t>
  </si>
  <si>
    <t>European journal of radiology</t>
  </si>
  <si>
    <t xml:space="preserve">School of Automation, Harbin University of Science and Technology, Heilongjiang, Harbin, 150080, China; CAS Key Laboratory of Molecular Imaging, Institute of Automation, Chinese Academy of Sciences, Beijing, 100190, China; Beijing Advanced Innovation Center for Big Data-Based Precision Medicine, School of Medicine, Beihang University, Beijing, 100191, China </t>
  </si>
  <si>
    <t>Zhu, Y; Man, C; Gong, L; Dong, D; Yu, X; Wang, S; Fang, M; Wang, S; Fang, X; Chen, X; Tian, J</t>
  </si>
  <si>
    <t>8106411</t>
  </si>
  <si>
    <t>10 1016/j compmedimag 2019 05 001</t>
  </si>
  <si>
    <t xml:space="preserve">Brain tumor classification for MR images using transfer learning and fine-tuning </t>
  </si>
  <si>
    <t xml:space="preserve">Accurate and precise brain tumor MR images classification plays important role in clinical diagnosis and decision making for patient treatment  The key challenge in MR images classification is the semantic gap between the low-level visual information captured by the MRI machine and the high-level information perceived by the human evaluator  The traditional machine learning techniques for classification focus only on low-level or high-level features, use some handcrafted features to reduce this gap and require good feature extraction and classification methods  Recent development on deep learning has shown great progress and deep convolution neural networks (CNNs) have succeeded in the images classification task  Deep learning is very powerful for feature representation that can depict low-level and high-level information completely and embed the phase of feature extraction and classification into self-learning but require large training dataset in general  For most of the medical imaging scenario, the training datasets are small, therefore, it is a challenging task to apply the deep learning and train CNN from scratch on the small dataset  Aiming this problem, we use pre-trained deep CNN model and propose a block-wise fine-tuning strategy based on transfer learning  The proposed method is evaluated on T1-weighted contrast-enhanced magnetic resonance images (CE-MRI) benchmark dataset  Our method is more generic as it does not use any handcrafted features, requires minimal preprocessing and can achieve average accuracy of 94 82% under five-fold cross-validation  We compare our results not only with the traditional machine learning but also with deep learning methods using CNNs  Experimental results show that our proposed method outperforms state-of-the-art classification on the CE-MRI dataset </t>
  </si>
  <si>
    <t xml:space="preserve">School of Computer Science and Engineering, Nanjing University of Science and Technology, Nanjing 210094, China; Department of Computer Science, Karakoram International University, Gilgit-Baltistan, Gilgit 15100, Pakistan </t>
  </si>
  <si>
    <t>Swati, ZNK; Zhao, Q; Kabir, M; Ali, F; Ali, Z; Ahmed, S; Lu, J</t>
  </si>
  <si>
    <t>10 1007/s10278-019-00227-x</t>
  </si>
  <si>
    <t xml:space="preserve">Deep Learning Techniques for Medical Image Segmentation: Achievements and Challenges </t>
  </si>
  <si>
    <t xml:space="preserve">Deep learning-based image segmentation is by now firmly established as a robust tool in image segmentation  It has been widely used to separate homogeneous areas as the first and critical component of diagnosis and treatment pipeline  In this article, we present a critical appraisal of popular methods that have employed deep-learning techniques for medical image segmentation  Moreover, we summarize the most common challenges incurred and suggest possible solutions </t>
  </si>
  <si>
    <t>CNN,RNN</t>
  </si>
  <si>
    <t xml:space="preserve">School of Electrical and Data Engineering (SEDE), University of Technology Sydney, 2007, Sydney, Australia  mh hesamian@gmail com </t>
  </si>
  <si>
    <t>Hesamian, MH; Jia, W; He, X; Kennedy, P</t>
  </si>
  <si>
    <t>10 3390/ijerph16111876</t>
  </si>
  <si>
    <t xml:space="preserve">The Use of Deep Learning to Predict Stroke Patient Mortality </t>
  </si>
  <si>
    <t xml:space="preserve">The increase in stroke incidence with the aging of the Korean population will rapidly impose an economic burden on society  Timely treatment can improve stroke prognosis  Awareness of stroke warning signs and appropriate actions in the event of a stroke improve outcomes  Medical service use and health behavior data are easier to collect than medical imaging data  Here, we used a deep neural network to detect stroke using medical service use and health behavior data; we identified 15,099 patients with stroke  Principal component analysis (PCA) featuring quantile scaling was used to extract relevant background features from medical records; we used these to predict stroke  We compared our method (a scaled PCA/deep neural network [DNN] approach) to five other machine-learning methods  The area under the curve (AUC) value of our method was 83 48%; hence; it can be used by both patients and doctors to prescreen for possible stroke </t>
  </si>
  <si>
    <t>International journal of environmental research and public health</t>
  </si>
  <si>
    <t xml:space="preserve">Department of Physical Therapy, Youngsan University, Yangsan 626-790, Korea  1000sh@ysu ac kr </t>
  </si>
  <si>
    <t>Cheon, S; Kim, J; Lim, J</t>
  </si>
  <si>
    <t>101238455</t>
  </si>
  <si>
    <t xml:space="preserve">Atherosclerotic carotid plaque on panoramic radiographs: neural network detection </t>
    <phoneticPr fontId="0" type="noConversion"/>
  </si>
  <si>
    <t xml:space="preserve">Atherosclerotic carotid plaques (ACPs) constitute the main etiological factor in about 15% of strokes  ACPs can be detected on routine dental panoramic radiographs  As these are one of the most commonly performed dental images, they can be used as a source of available data for computerized methods of automatic detection of ACPs in order to significantly increase their timely diagnosis  The aim of this study was to present the potential of applying deep learning methodology to detect ACPs on routine panoramic radiographs with the ultimate goal of preventing strokes The Faster Region-based Convolutional Neural Network (Faster R-CNN) for deep learning was used  The operation of the algorithm was assessed on a small dataset of 65 panoramic images  As the available training data was limited, data augmentation was performed by changing the brightness and randomly flipping and rotating cropped regions of interest in multiple angles  Receiver operating characteristic (ROC) analysis was performed to calculate the accuracy of detection ACPs were detected with a sensitivity of 75%, a specificity of 80%, and an accuracy of 83%  The ROC analysis showed a significant area under curve (AUC), different from 0 5 The novelty of the study lies in showing the efficiency of a deep learning method for the detection of ACPs on routine panoramic images based on a small dataset  Further improvement is needed as regards the application of the algorithm to the level of introducing this methodology in routine dental practice for stroke prevention </t>
  </si>
  <si>
    <t>International journal of computerized dentistry</t>
  </si>
  <si>
    <t>Kats, L; Vered, M; Zlotogorski-Hurvitz, A; Harpaz, I</t>
  </si>
  <si>
    <t>Int J Comput Dent</t>
  </si>
  <si>
    <t>100891504</t>
  </si>
  <si>
    <t>10 1016/j compmedimag 2019 04 005</t>
  </si>
  <si>
    <t xml:space="preserve">Combo loss: Handling input and output imbalance in multi-organ segmentation </t>
  </si>
  <si>
    <t xml:space="preserve">Simultaneous segmentation of multiple organs from different medical imaging modalities is a crucial task as it can be utilized for computer-aided diagnosis, computer-assisted surgery, and therapy planning  Thanks to the recent advances in deep learning, several deep neural networks for medical image segmentation have been introduced successfully for this purpose  In this paper, we focus on learning a deep multi-organ segmentation network that labels voxels  In particular, we examine the critical choice of a loss function in order to handle the notorious imbalance problem that plagues both the input and output of a learning model  The input imbalance refers to the class-imbalance in the input training samples (i e , small foreground objects embedded in an abundance of background voxels, as well as organs of varying sizes)  The output imbalance refers to the imbalance between the false positives and false negatives of the inference model  In order to tackle both types of imbalance during training and inference, we introduce a new curriculum learning based loss function  Specifically, we leverage Dice similarity coefficient to deter model parameters from being held at bad local minima and at the same time gradually learn better model parameters by penalizing for false positives/negatives using a cross entropy term  We evaluated the proposed loss function on three datasets: whole body positron emission tomography (PET) scans with 5 target organs, magnetic resonance imaging (MRI) prostate scans, and ultrasound echocardigraphy images with a single target organ i e , left ventricular  We show that a simple network architecture with the proposed integrative loss function can outperform state-of-the-art methods and results of the competing methods can be improved when our proposed loss is used </t>
    <phoneticPr fontId="0" type="noConversion"/>
  </si>
  <si>
    <t>Vnet,Unet,SegNet</t>
  </si>
  <si>
    <t xml:space="preserve">School of Computing Science, Simon Fraser University, Canada; Medical Imaging Technologies, Siemens Healthineers, Princeton, NJ, USA  Electronic address: sasagarit@sfu ca </t>
  </si>
  <si>
    <t>Taghanaki, SA; Zheng, Y; Kevin Zhou, S; Georgescu, B; Sharma, P; Xu, D; Comaniciu, D; Hamarneh, G</t>
  </si>
  <si>
    <t>10 1016/j ebiom 2019 05 040</t>
  </si>
  <si>
    <t xml:space="preserve">IILS: Intelligent imaging layout system for automatic imaging report standardization and intra-interdisciplinary clinical workflow optimization </t>
  </si>
  <si>
    <t xml:space="preserve">To achieve imaging report standardization and improve the quality and efficiency of the intra-interdisciplinary clinical workflow, we proposed an intelligent imaging layout system (IILS) for a clinical decision support system-based ubiquitous healthcare service, which is a lung nodule management system using medical images We created a lung IILS based on deep learning for imaging report standardization and workflow optimization for the identification of nodules  Our IILS utilized a deep learning plus adaptive auto layout tool, which trained and tested a neural network with imaging data from all the main CT manufacturers from 11,205 patients  Model performance was evaluated by the receiver operating characteristic curve (ROC) and calculating the corresponding area under the curve (AUC)  The clinical application value for our IILS was assessed by a comprehensive comparison of multiple aspects Our IILS is clinically applicable due to the consistency with nodules detected by IILS, with its highest consistency of 0·94 and an AUC of 90·6% for malignant pulmonary nodules versus benign nodules with a sensitivity of 76·5% and specificity of 89·1%  Applying this IILS to a dataset of chest CT images, we demonstrate performance comparable to that of human experts in providing a better layout and aiding in diagnosis in 100% valid images and nodule display  The IILS was superior to the traditional manual system in performance, such as reducing the number of clicks from 14·45 ± 0·38 to 2, time consumed from 16·87 ± 0·38 s to 6·92 ± 0·10 s, number of invalid images from 7·06 ± 0·24 to 0, and missing lung nodules from 46·8% to 0% This IILS might achieve imaging report standardization, and improve the clinical workflow therefore opening a new window for clinical application of artificial intelligence  FUND: The National Natural Science Foundation of China </t>
  </si>
  <si>
    <t>Faster RCNN,CNN,ResNet</t>
  </si>
  <si>
    <t xml:space="preserve">Department of Radiology, the Affiliated Nanjing Drum Tower Hospital of Nanjing University Medical School, Nanjing 210008, China </t>
  </si>
  <si>
    <t>Wang, Y; Yan, F; Lu, X; Zheng, G; Zhang, X; Wang, C; Zhou, K; Zhang, Y; Li, H; Zhao, Q; Zhu, H; Chen, F; Gao, C; Qing, Z; Ye, J; Li, A; Xin, X; Li, D; Wang, H; Yu, H; Cao, L; Zhao, C; Deng, R; Tan, L; Chen, Y; Yuan, L; Zhou, Z; Yang, W; Shao, M; Dou, X; Zhou, N; Zhou, F; Zhu, Y; Lu, G; Zhang, B</t>
  </si>
  <si>
    <t>101647039</t>
  </si>
  <si>
    <t>10 1016/j neuroimage 2019 05 046</t>
  </si>
  <si>
    <t xml:space="preserve">Cerebral microbleed detection using Susceptibility Weighted Imaging and deep learning </t>
  </si>
  <si>
    <t xml:space="preserve">Detecting cerebral microbleeds (CMBs) is important in diagnosing a variety of diseases including dementia, stroke and traumatic brain injury  However, manual detection of CMBs can be time-consuming and prone to errors, whereas the current automatic algorithms for CMB detection are usually limited by large number of false positives  In this study, we present a two-stage CMB detection framework which contains a candidate detection stage based on a 3D fast radial symmetry transform of the composite images from Susceptibility Weighted Imaging (SWI), and a false positive reduction stage based on deep residual neural networks using both the SWI and the high-pass filtered phase images  While the SWI images provide exquisite sensitivity to the presence of blood products, the high-pass filtered phase images enable the differentiation of diamagnetic calcifications from paramagnetic microbleeds  The deep learning model was trained using 154 data sets, and the best models were selected using 25 validation data sets  Finally, the models were tested using 41 cases, including 13 hemodialysis cases, 9 traumatic brain injury cases, 9 stroke cases and 10 healthy controls  Using 3D SWI and high-pass filtered phase images as input, the best model led to a sensitivity of 95 8%, a precision of 70 9%, and 1 6 false positives per case  This model achieved similar performance to the most experienced human rater and outperformed recently reported CMB detection methods  This study demonstrates the potential of applying deep learning techniques to medical imaging for improving efficiency and accuracy in diagnosis </t>
  </si>
  <si>
    <t>NeuroImage</t>
  </si>
  <si>
    <t xml:space="preserve">The MRI Institute for Biomedical Research, Bingham Farms, MI, United States  Electronic address: liusaifeng@gmail com </t>
  </si>
  <si>
    <t>Liu, S; Utriainen, D; Chai, C; Chen, Y; Wang, L; Sethi, SK; Xia, S; Haacke, EM</t>
  </si>
  <si>
    <t>9215515</t>
  </si>
  <si>
    <t>10 1007/s00417-019-04338-7</t>
  </si>
  <si>
    <t xml:space="preserve">Automated OCT angiography image quality assessment using a deep learning algorithm </t>
  </si>
  <si>
    <t xml:space="preserve">To expedite and to standardize the process of image quality assessment in optical coherence tomography angiography (OCTA) using a specialized deep learning algorithm (DLA) Two hundred randomly chosen en-face macular OCTA images of the central 3 × 3 mm2 superficial vascular plexus were evaluated retrospectively by an OCTA experienced reader  Images were defined either as sufficient (group 1, n = 100) or insufficient image quality (group 2, n = 100) based on Motion Artifact Score (MAS) and Segmentation Accuracy Score (SAS)  Subsequently, a pre-trained multi-layer deep convolutional neural network (DCNN) was trained and validated with 160 of these en-face OCTA scans (group 1: 80; group 2: 80)  Training accuracy, validation accuracy, and cross-entropy were computed  The DLA was tested in detecting 40 untrained OCTA images (group 1: 20; group 2: 20)  An insufficient image quality probability score (IPS) and a sufficient image quality probability score (SPS) were calculated Training accuracy was 97%, validation accuracy 100%, and cross entropy 0 12  A total of 90% (18/20) of the OCTA images with insufficient image quality and 90% (18/20) with sufficient image quality were correctly classified by the DLA  Mean IPS was 0 88 ± 0 21, and mean SPS was 0 84 ± 0 19  Discrimination between both groups was highly significant (p &lt; 0 001)  Sensitivity of the DLA was 90 0%, specificity 90 0%, and accuracy 90 0%  Coefficients of variation were 0 96 ± 1 9% (insufficient quality) and 1 14 ± 1 6% (sufficient quality) Deep learning (DL) appears to be a potential approach to automatically distinguish between sufficient and insufficient OCTA image quality  DL may contribute to establish image quality standards in this recent imaging modality </t>
  </si>
  <si>
    <t>Graefe's archive for clinical and experimental ophthalmology = Albrecht von Graefes Archiv fur klinische und experimentelle Ophthalmologie</t>
  </si>
  <si>
    <t xml:space="preserve">Department of Ophthalmology, University of Muenster Medical Center, Domagkstrasse 15, 48149, Muenster, Germany </t>
  </si>
  <si>
    <t>Lauermann, JL; Treder, M; Alnawaiseh, M; Clemens, CR; Eter, N; Alten, F</t>
  </si>
  <si>
    <t>8205248</t>
  </si>
  <si>
    <t>10 3389/fnins 2019 00396</t>
  </si>
  <si>
    <t xml:space="preserve">Use of Overlapping Group LASSO Sparse Deep Belief Network to Discriminate Parkinson's Disease and Normal Control </t>
  </si>
  <si>
    <t xml:space="preserve">As a medical imaging technology which can show the metabolism of the brain, 18F-fluorodeoxyglucose (FDG)-positron emission tomography (PET) is of great value for the diagnosis of Parkinson's Disease (PD)  With the development of pattern recognition technology, analysis of brain images using deep learning are becoming more and more popular  However, existing computer-aided-diagnosis technologies often over fit and have poor generalizability  Therefore, we aimed to improve a framework based on Group Lasso Sparse Deep Belief Network (GLS-DBN) for discriminating PD and normal control (NC) subjects based on FDG-PET imaging  In this study, 225 NC and 125 PD cohorts from Huashan and Wuxi 904 hospitals were selected  They were divided into the training &amp; validation dataset and 2 test datasets  First, in the training &amp; validation set, subjects were randomly partitioned 80:20, with multiple training iterations for the deep learning model  Next, Locally Linear Embedding was used as a dimension reduction algorithm  Then, GLS-DBN was used for feature learning and classification  Different sparse DBN models were used to compare datasets to evaluate the effectiveness of our framework  Accuracy, sensitivity, and specificity were examined to validate the results  Output variables of the network were also correlated with longitudinal changes of rating scales about movement disorders (UPDRS, H&amp;Y)  As a result, accuracy of prediction (90% in Test 1, 86% in Test 2) for classification of PD and NC patients outperformed conventional approaches  Output scores of the network were strongly correlated with UPDRS and H&amp;Y (R = 0 705, p &lt; 0 001; R = 0 697, p &lt; 0 001 in Test 1; R = 0 592, p = 0 0018, R = 0 528, p = 0 0067 in Test 2)  These results show the GLS-DBN is feasible method for early diagnosis of PD </t>
  </si>
  <si>
    <t>PET</t>
  </si>
  <si>
    <t>DBN</t>
    <phoneticPr fontId="0" type="noConversion"/>
  </si>
  <si>
    <t>Frontiers in neuroscience</t>
  </si>
  <si>
    <t xml:space="preserve">Shanghai Institute for Advanced Communication and Data Science, Shanghai University, Shanghai, China </t>
  </si>
  <si>
    <t>Shen, T; Jiang, J; Lin, W; Ge, J; Wu, P; Zhou, Y; Zuo, C; Wang, J; Yan, Z; Shi, K</t>
  </si>
  <si>
    <t>101478481</t>
  </si>
  <si>
    <t>10 1038/s41591-019-0447-x</t>
  </si>
  <si>
    <t xml:space="preserve">End-to-end lung cancer screening with three-dimensional deep learning on low-dose chest computed tomography </t>
  </si>
  <si>
    <t xml:space="preserve">With an estimated 160,000 deaths in 2018, lung cancer is the most common cause of cancer death in the United States1  Lung cancer screening using low-dose computed tomography has been shown to reduce mortality by 20-43% and is now included in US screening guidelines1-6  Existing challenges include inter-grader variability and high false-positive and false-negative rates7-10  We propose a deep learning algorithm that uses a patient's current and prior computed tomography volumes to predict the risk of lung cancer  Our model achieves a state-of-the-art performance (94 4% area under the curve) on 6,716 National Lung Cancer Screening Trial cases, and performs similarly on an independent clinical validation set of 1,139 cases  We conducted two reader studies  When prior computed tomography imaging was not available, our model outperformed all six radiologists with absolute reductions of 11% in false positives and 5% in false negatives  Where prior computed tomography imaging was available, the model performance was on-par with the same radiologists  This creates an opportunity to optimize the screening process via computer assistance and automation  While the vast majority of patients remain unscreened, we show the potential for deep learning models to increase the accuracy, consistency and adoption of lung cancer screening worldwide </t>
  </si>
  <si>
    <t>Nature medicine</t>
  </si>
  <si>
    <t xml:space="preserve">Google AI, Mountain View, CA, USA </t>
  </si>
  <si>
    <t>Ardila, D; Kiraly, AP; Bharadwaj, S; Choi, B; Reicher, JJ; Peng, L; Tse, D; Etemadi, M; Ye, W; Corrado, G; Naidich, DP; Shetty, S</t>
  </si>
  <si>
    <t>9502015</t>
  </si>
  <si>
    <t>10 1007/978-3-030-00931-1_51</t>
  </si>
  <si>
    <t xml:space="preserve">Temporal Correlation Structure Learning for MCI Conversion Prediction </t>
  </si>
  <si>
    <t xml:space="preserve">In Alzheimer's research, Mild Cognitive Impairment (MCI) is an important intermediate stage between normal aging and Alzheimer's  How to distinguish MCI samples that finally convert to AD from those do not is an essential problem in the prevention and diagnosis of Alzheimer's  Traditional methods use various classification models to distinguish MCI converters from non-converters, while the performance is usually limited by the small number of available data  Moreover, previous methods only use the data at baseline time for training but ignore the longitudinal information at other time points along the disease progression  To tackle with these problems, we propose a novel deep learning framework that uncovers the temporal correlation structure between adjacent time points in the disease progression  We also construct a generative framework to learn the inherent data distribution so as to produce more reliable data to strengthen the training process  Extensive experiments on the ADNI cohort validate the superiority of our model </t>
  </si>
  <si>
    <t>Medical image computing and computer-assisted intervention : MICCAI     International Conference on Medical Image Computing and Computer-Assisted Intervention</t>
  </si>
  <si>
    <t xml:space="preserve">Department of Electrical and Computer Engineering, University of Pittsburgh, Pittsburgh, USA </t>
  </si>
  <si>
    <t>Wang, X; Cai, W; Shen, D; Huang, H</t>
  </si>
  <si>
    <t>101249582</t>
  </si>
  <si>
    <t>10 1007/978-3-030-00931-1_34</t>
  </si>
  <si>
    <t xml:space="preserve">A Novel Deep Learning Framework on Brain Functional Networks for Early MCI Diagnosis </t>
  </si>
  <si>
    <t xml:space="preserve">Although alternations of brain functional networks (BFNs) derived from resting-state functional magnetic resonance imaging (rs-fMRI) have been considered as promising biomarkers for early Alzheimer's disease (AD) diagnosis, it is still challenging to perform individualized diagnosis, especially at the very early stage of preclinical stage of AD, i e , early mild cognitive impairment (eMCI)  Recently, convolutional neural networks (CNNs) show powerful ability in computer vision and image analysis applications, but there is still a gap for directly applying CNNs to rs-fMRI-based disease diagnosis  In this paper, we propose a novel multiple-BFN-based 3D CNN framework that can automatically and deeply learn complex, high-level, hierarchical diagnostic features from various independent component analysis-derived BFNs  More importantly, the embedded features of different BFNs could comprehensively support each other towards a more accurate eMCI diagnosis in a unified model  The performance of the proposed method is validated by a large-sample, multisite, rigorously controlled publicly accessible dataset  The proposed framework can also be conveniently and straightforwardly applied to individualized diagnosis of various neurological and psychiatric diseases </t>
  </si>
  <si>
    <t xml:space="preserve">Department of Radiology and BRIC, University of North Carolina at Chapel Hill, Chapel Hill, USA </t>
  </si>
  <si>
    <t>Kam, TE; Zhang, H; Shen, D</t>
  </si>
  <si>
    <t>10 1016/j patcog 2018 05 026</t>
  </si>
  <si>
    <t xml:space="preserve">Polyp detection during colonoscopy using a regression-based convolutional neural network with a tracker </t>
  </si>
  <si>
    <t xml:space="preserve">A computer-aided detection (CAD) tool for locating and detecting polyps can help reduce the chance of missing polyps during colonoscopy  Nevertheless, state-of-the-art algorithms were either computationally complex or suffered from low sensitivity and therefore unsuitable to be used in real clinical setting  In this paper, a novel regression-based Convolutional Neural Network (CNN) pipeline is presented for polyp detection during colonoscopy  The proposed pipeline was constructed in two parts: 1) to learn the spatial features of colorectal polyps, a fast object detection algorithm named ResYOLO was pre-trained with a large non-medical image database and further fine-tuned with colonoscopic images extracted from videos; and 2) temporal information was incorporated via a tracker named Efficient Convolution Operators (ECO) for refining the detection results given by ResYOLO  Evaluated on 17,574 frames extracted from 18 endoscopic videos of the AsuMayoDB, the proposed method was able to detect frames with polyps with a precision of 88 6%, recall of 71 6% and processing speed of 6 5 frames per second, i e  the method can accurately locate polyps in more frames and at a faster speed compared to existing methods  In conclusion, the proposed method has great potential to be used to assist endoscopists in tracking polyps during colonoscopy </t>
  </si>
  <si>
    <t>CNN,YOLO</t>
  </si>
  <si>
    <t>Pattern recognition</t>
  </si>
  <si>
    <t xml:space="preserve">Department of Surgery, The Chinese University of Hong Kong, Hong Kong </t>
  </si>
  <si>
    <t>Zhang, R; Zheng, Y; Poon, CCY; Shen, D; Lau, JYW</t>
  </si>
  <si>
    <t>0250655</t>
  </si>
  <si>
    <t>10 1007/s00428-019-02577-x</t>
  </si>
  <si>
    <t xml:space="preserve">Deep learning for automatic Gleason pattern classification for grade group determination of prostate biopsies </t>
  </si>
  <si>
    <t xml:space="preserve">Histopathologic grading of prostate cancer using Gleason patterns (GPs) is subject to a large inter-observer variability, which may result in suboptimal treatment of patients  With the introduction of digitization and whole-slide images of prostate biopsies, computer-aided grading becomes feasible  Computer-aided grading has the potential to improve histopathological grading and treatment selection for prostate cancer  Automated detection of GPs and determination of the grade groups (GG) using a convolutional neural network  In total, 96 prostate biopsies from 38 patients are annotated on pixel-level  Automated detection of GP 3 and GP ≥ 4 in digitized prostate biopsies is performed by re-training the Inception-v3 convolutional neural network (CNN)  The outcome of the CNN is subsequently converted into probability maps of GP ≥ 3 and GP ≥ 4, and the GG of the whole biopsy is obtained according to these probability maps  Differentiation between non-atypical and malignant (GP ≥ 3) areas resulted in an accuracy of 92% with a sensitivity and specificity of 90 and 93%, respectively  The differentiation between GP ≥ 4 and GP ≤ 3 was accurate for 90%, with a sensitivity and specificity of 77 and 94%, respectively  Concordance of our automated GG determination method with a genitourinary pathologist was obtained in 65% (κ = 0 70), indicating substantial agreement  A CNN allows for accurate differentiation between non-atypical and malignant areas as defined by GPs, leading to a substantial agreement with the pathologist in defining the GG </t>
  </si>
  <si>
    <t>Virchows Archiv : an international journal of pathology</t>
  </si>
  <si>
    <t xml:space="preserve">Department of Biomedical Engineering and Physics, Amsterdam UMC, University of Amsterdam, Amsterdam, The Netherlands  m lucas@amc uva nl </t>
  </si>
  <si>
    <t>Lucas, M; Jansen, I; Savci-Heijink, CD; Meijer, SL; de Boer, OJ; van Leeuwen, TG; de Bruin, DM; Marquering, HA</t>
  </si>
  <si>
    <t>9423843</t>
  </si>
  <si>
    <t>10 1007/s00330-019-06214-8</t>
  </si>
  <si>
    <t xml:space="preserve">Deep learning for liver tumor diagnosis part II: convolutional neural network interpretation using radiologic imaging features </t>
  </si>
  <si>
    <t xml:space="preserve">To develop a proof-of-concept "interpretable" deep learning prototype that justifies aspects of its predictions from a pre-trained hepatic lesion classifier A convolutional neural network (CNN) was engineered and trained to classify six hepatic tumor entities using 494 lesions on multi-phasic MRI, described in Part 1  A subset of each lesion class was labeled with up to four key imaging features per lesion  A post hoc algorithm inferred the presence of these features in a test set of 60 lesions by analyzing activation patterns of the pre-trained CNN model  Feature maps were generated that highlight regions in the original image that correspond to particular features  Additionally, relevance scores were assigned to each identified feature, denoting the relative contribution of a feature to the predicted lesion classification The interpretable deep learning system achieved 76 5% positive predictive value and 82 9% sensitivity in identifying the correct radiological features present in each test lesion  The model misclassified 12% of lesions  Incorrect features were found more often in misclassified lesions than correctly identified lesions (60 4% vs  85 6%)  Feature maps were consistent with original image voxels contributing to each imaging feature  Feature relevance scores tended to reflect the most prominent imaging criteria for each class This interpretable deep learning system demonstrates proof of principle for illuminating portions of a pre-trained deep neural network's decision-making, by analyzing inner layers and automatically describing features contributing to predictions • An interpretable deep learning system prototype can explain aspects of its decision-making by identifying relevant imaging features and showing where these features are found on an image, facilitating clinical translation  • By providing feedback on the importance of various radiological features in performing differential diagnosis, interpretable deep learning systems have the potential to interface with standardized reporting systems such as LI-RADS, validating ancillary features and improving clinical practicality  • An interpretable deep learning system could potentially add quantitative data to radiologic reports and serve radiologists with evidence-based decision support </t>
  </si>
  <si>
    <t>European radiology</t>
  </si>
  <si>
    <t xml:space="preserve">Department of Radiology and Biomedical Imaging, Yale School of Medicine, 333 Cedar Street, New Haven, CT, 06520, USA </t>
  </si>
  <si>
    <t>Wang, CJ; Hamm, CA; Savic, LJ; Ferrante, M; Schobert, I; Schlachter, T; Lin, M; Weinreb, JC; Duncan, JS; Chapiro, J; Letzen, B</t>
  </si>
  <si>
    <t>9114774</t>
  </si>
  <si>
    <t>10 1007/s10278-019-00232-0</t>
  </si>
  <si>
    <t xml:space="preserve">RIL-Contour: a Medical Imaging Dataset Annotation Tool for and with Deep Learning </t>
    <phoneticPr fontId="0" type="noConversion"/>
  </si>
  <si>
    <t xml:space="preserve">Deep-learning algorithms typically fall within the domain of supervised artificial intelligence and are designed to "learn" from annotated data  Deep-learning models require large, diverse training datasets for optimal model convergence  The effort to curate these datasets is widely regarded as a barrier to the development of deep-learning systems  We developed RIL-Contour to accelerate medical image annotation for and with deep-learning  A major goal driving the development of the software was to create an environment which enables clinically oriented users to utilize deep-learning models to rapidly annotate medical imaging  RIL-Contour supports using fully automated deep-learning methods, semi-automated methods, and manual methods to annotate medical imaging with voxel and/or text annotations  To reduce annotation error, RIL-Contour promotes the standardization of image annotations across a dataset  RIL-Contour accelerates medical imaging annotation through the process of annotation by iterative deep learning (AID)  The underlying concept of AID is to iteratively annotate, train, and utilize deep-learning models during the process of dataset annotation and model development  To enable this, RIL-Contour supports workflows in which multiple-image analysts annotate medical images, radiologists approve the annotations, and data scientists utilize these annotations to train deep-learning models  To automate the feedback loop between data scientists and image analysts, RIL-Contour provides mechanisms to enable data scientists to push deep newly trained deep-learning models to other users of the software  RIL-Contour and the AID methodology accelerate dataset annotation and model development by facilitating rapid collaboration between analysts, radiologists, and engineers </t>
  </si>
  <si>
    <t>abdominal, head and neck</t>
  </si>
  <si>
    <t xml:space="preserve">Radiology Informatics Laboratory, Department of Radiology, Mayo Clinic, Rochester, MN, USA  Philbrick Kenneth@mayo edu </t>
  </si>
  <si>
    <t>Philbrick, KA; Weston, AD; Akkus, Z; Kline, TL; Korfiatis, P; Sakinis, T; Kostandy, P; Boonrod, A; Zeinoddini, A; Takahashi, N; Erickson, BJ</t>
  </si>
  <si>
    <t>10 1016/j media 2019 05 001</t>
  </si>
  <si>
    <t xml:space="preserve">Denoising of 3D magnetic resonance images using a residual encoder-decoder Wasserstein generative adversarial network </t>
  </si>
  <si>
    <t xml:space="preserve">Structure-preserved denoising of 3D magnetic resonance imaging (MRI) images is a critical step in medical image analysis  Over the past few years, many algorithms with impressive performances have been proposed  In this paper, inspired by the idea of deep learning, we introduce an MRI denoising method based on the residual encoder-decoder Wasserstein generative adversarial network (RED-WGAN)  Specifically, to explore the structure similarity between neighboring slices, a 3D configuration is utilized as the basic processing unit  Residual autoencoders combined with deconvolution operations are introduced into the generator network  Furthermore, to alleviate the oversmoothing shortcoming of the traditional mean squared error (MSE) loss function, the perceptual similarity, which is implemented by calculating the distances in the feature space extracted by a pretrained VGG-19 network, is incorporated with the MSE and adversarial losses to form the new loss function  Extensive experiments are implemented to assess the performance of the proposed method  The experimental results show that the proposed RED-WGAN achieves performance superior to several state-of-the-art methods in both simulated and real clinical data  In particular, our method demonstrates powerful abilities in both noise suppression and structure preservation </t>
  </si>
  <si>
    <t>GAN,CNN,VGG</t>
  </si>
  <si>
    <t xml:space="preserve">College of Computer Science, Sichuan University, Chengdu 610065, China  Electronic address: maosongran@gmail com </t>
  </si>
  <si>
    <t>Ran, M; Hu, J; Chen, Y; Chen, H; Sun, H; Zhou, J; Zhang, Y</t>
  </si>
  <si>
    <t>10 1097/MD 0000000000015200</t>
  </si>
  <si>
    <t xml:space="preserve">Detection and classification the breast tumors using mask R-CNN on sonograms </t>
  </si>
  <si>
    <t xml:space="preserve">Breast cancer is one of the most harmful diseases for women with the highest morbidity  An efficient way to decrease its mortality is to diagnose cancer earlier by screening  Clinically, the best approach of screening for Asian women is ultrasound images combined with biopsies  However, biopsy is invasive and it gets incomprehensive information of the lesion  The aim of this study is to build a model for automatic detection, segmentation, and classification of breast lesions with ultrasound images  Based on deep learning, a technique using Mask regions with convolutional neural network was developed for lesion detection and differentiation between benign and malignant  The mean average precision was 0 75 for the detection and segmentation  The overall accuracy of benign/malignant classification was 85%  The proposed method provides a comprehensive and noninvasive way to detect and classify breast lesions </t>
  </si>
  <si>
    <t>Mask R-CNN</t>
  </si>
  <si>
    <t>Medicine</t>
  </si>
  <si>
    <t xml:space="preserve">Department of Biomedical Imaging and Radiological Science, China Medical University, Taichung </t>
  </si>
  <si>
    <t>Chiao, JY; Chen, KY; Liao, KY; Hsieh, PH; Zhang, G; Huang, TC</t>
  </si>
  <si>
    <t>2985248R</t>
  </si>
  <si>
    <t>10 1259/dmfr 20190019</t>
  </si>
  <si>
    <t xml:space="preserve">Preliminary study on the application of deep learning system to diagnosis of Sjögren's syndrome on CT images </t>
  </si>
  <si>
    <t xml:space="preserve">This study estimated the diagnostic performance of a deep learning system for detection of Sjögren's syndrome (SjS) on CT, and compared it with the performance of radiologists CT images were assessed from 25 patients confirmed to have SjS based on the both Japanese criteria and American-European Consensus Group criteria and 25 control subjects with no parotid gland abnormalities who were examined for other diseases  10 CT slices were obtained for each patient  From among the total of 500 CT images, 400 images (200 from 20 SjS patients and 200 from 20 control subjects) were employed as the training data set and 100 images (50 from 5 SjS patients and 50 from 5 control subjects) were used as the test data set  The performance of a deep learning system for diagnosing SjS from the CT images was compared with the diagnoses made by six radiologists (three experienced and three inexperienced radiologists) The accuracy, sensitivity, and specificity of the deep learning system were 96 0%, 100% and 92 0%, respectively  The corresponding values of experienced radiologists were 98 3%, 99 3% and 97 3% being equivalent to the deep learning, while those of inexperienced radiologists were 83 5%, 77 9% and 89 2%  The area under the curve of inexperienced radiologists were significantly different from those of the deep learning system and the experienced radiologists The deep learning system showed a high diagnostic performance for SjS, suggesting that it could possibly be used for diagnostic support when interpreting CT images </t>
  </si>
  <si>
    <t>CNN,ALEXNET</t>
  </si>
  <si>
    <t>Dento maxillo facial radiology</t>
  </si>
  <si>
    <t xml:space="preserve">Department of Oral and Maxillofacial Radiology, Aichi Gakuin University, Nagoya, Japan </t>
  </si>
  <si>
    <t>Kise, Y; Ikeda, H; Fujii, T; Fukuda, M; Ariji, Y; Fujita, H; Katsumata, A; Ariji, E</t>
  </si>
  <si>
    <t>7609576</t>
  </si>
  <si>
    <t>10 1371/journal pone 0216487</t>
  </si>
  <si>
    <t xml:space="preserve">Novel stochastic framework for automatic segmentation of human thigh MRI volumes and its applications in spinal cord injured individuals </t>
  </si>
  <si>
    <t xml:space="preserve">Severe spinal cord injury (SCI) leads to skeletal muscle atrophy and adipose tissue infiltration in the skeletal muscle, which can result in compromised muscle mechanical output and lead to health-related complications  In this study, we developed a novel automatic 3-D approach for volumetric segmentation and quantitative assessment of thigh Magnetic Resonance Imaging (MRI) volumes in individuals with chronic SCI as well as non-disabled individuals  In this framework, subcutaneous adipose tissue, inter-muscular adipose tissue and total muscle tissue are segmented using linear combination of discrete Gaussians algorithm  Also, three thigh muscle groups were segmented utilizing the proposed 3-D Joint Markov Gibbs Random Field model that integrates first order appearance model, spatial information, and shape model to localize the muscle groups  The accuracy of the automatic segmentation method was tested both on SCI (N = 16) and on non-disabled (N = 14) individuals, showing an overall 0 93±0 06 accuracy for adipose tissue and muscle compartments segmentation based on Dice Similarity Coefficient  The proposed framework for muscle compartment segmentation showed an overall higher accuracy compared to ANTs and STAPLE, two previously validated atlas-based segmentation methods  Also, the framework proposed in this study showed similar Dice accuracy and better Hausdorff distance measure to that obtained using DeepMedic Convolutional Neural Network structure, a well-known deep learning network for 3-D medical image segmentation  The automatic segmentation method proposed in this study can provide fast and accurate quantification of adipose and muscle tissues, which have important health and functional implications in the SCI population </t>
  </si>
  <si>
    <t xml:space="preserve">Department of Electrical and Computer Engineering, University of Louisville, Louisville, KY, United States of America </t>
  </si>
  <si>
    <t>Mesbah, S; Shalaby, AM; Stills, S; Soliman, AM; Willhite, A; Harkema, SJ; Rejc, E; El-Baz, AS</t>
  </si>
  <si>
    <t>10 1364/BOE 9 006205</t>
  </si>
  <si>
    <t xml:space="preserve">Retinal optical coherence tomography image enhancement via deep learning </t>
  </si>
  <si>
    <t xml:space="preserve">Optical coherence tomography (OCT) images of the retina are a powerful tool for diagnosing and monitoring eye disease  However, they are plagued by speckle noise, which reduces image quality and reliability of assessment  This paper introduces a novel speckle reduction method inspired by the recent successes of deep learning in medical imaging  We present two versions of the network to reflect the needs and preferences of different end-users  Specifically, we train a convolution neural network to denoise cross-sections from OCT volumes of healthy eyes using either (1) mean-squared error, or (2) a generative adversarial network (GAN) with Wasserstein distance and perceptual similarity  We then interrogate the success of both methods with extensive quantitative and qualitative metrics on cross-sections from both healthy and glaucomatous eyes  The results show that the former approach provides state-of-the-art improvement in quantitative metrics such as PSNR and SSIM, and aids layer segmentation  However, the latter approach, which puts more weight on visual perception, outperformed for qualitative comparisons based on accuracy, clarity, and personal preference  Overall, our results demonstrate the effectiveness and efficiency of a deep learning approach to denoising OCT images, while maintaining subtle details in the images </t>
  </si>
  <si>
    <t>Biomedical optics express</t>
  </si>
  <si>
    <t xml:space="preserve">IBM Research, Level 22/60 City Rd , Southbank, Victoria, Australia </t>
  </si>
  <si>
    <t>Halupka, KJ; Antony, BJ; Lee, MH; Lucy, KA; Rai, RS; Ishikawa, H; Wollstein, G; Schuman, JS; Garnavi, R</t>
  </si>
  <si>
    <t>101540630</t>
  </si>
  <si>
    <t>10 1007/s11548-019-01991-5</t>
  </si>
  <si>
    <t xml:space="preserve">Computer-aided diagnosis of cirrhosis and hepatocellular carcinoma using multi-phase abdomen CT </t>
  </si>
  <si>
    <t xml:space="preserve">High mortality rate due to liver cirrhosis has been reported over the globe in the previous years  Early detection of cirrhosis may help in controlling the disease progression toward hepatocellular carcinoma (HCC)  The lack of trained CT radiologists and increased patient population delays the diagnosis and further management  This study proposes a computer-aided diagnosis system for detecting cirrhosis and HCC in a very efficient and less time-consuming approach Contrast-enhanced CT dataset of 40 patients (n = 40; M:F = 5:3; age = 25-55 years) with three groups of subjects: healthy (n = 14), cirrhosis (n = 12) and cirrhosis with HCC (n = 14), were retrospectively analyzed in this study  A novel method for the automatic 3D segmentation of liver using modified region-growing segmentation technique was developed and compared with the state-of-the-art deep learning-based technique  Further, histogram parameters were calculated from segmented CT liver volume for classification between healthy and diseased (cirrhosis and HCC) liver using logistic regression  Multi-phase analysis of CT images was performed to extract 24 temporal features for detecting cirrhosis and HCC liver using support vector machine (SVM) The proposed method produced improved 3D segmentation with Dice coefficient 90% for healthy liver, 86% for cirrhosis and 81% for HCC subjects compared to the deep learning algorithm (healthy: 82%; cirrhosis: 78%; HCC: 70%)  Standard deviation and kurtosis were found to be statistically different (p &lt; 0 05) among healthy and diseased liver, and using logistic regression, classification accuracy obtained was 92 5%  For detecting cirrhosis and HCC liver, SVM with RBF kernel obtained highest slice-wise and patient-wise prediction accuracy of 86 9% (precision = 0 93, recall = 0 7) and 80% (precision = 0 86, recall = 0 75), respectively, than that of linear kernel (slice-wise: accuracy = 85 4%, precision = 0 92, recall = 0 67; patient-wise: accuracy = 73 33%, precision = 0 75, recall = 0 75) The proposed computer-aided diagnosis system for detecting cirrhosis and hepatocellular carcinoma (HCC) showed promising results and can be used as effective screening tool in medical image analysis </t>
  </si>
  <si>
    <t>India</t>
  </si>
  <si>
    <t xml:space="preserve">Department of Electrical Engineering, Indian Institute of Technology Delhi, New Delhi, India </t>
  </si>
  <si>
    <t>Nayak, A; Baidya Kayal, E; Arya, M; Culli, J; Krishan, S; Agarwal, S; Mehndiratta, A</t>
  </si>
  <si>
    <t>10 1364/BOE 10 001601</t>
  </si>
  <si>
    <t xml:space="preserve">Robust deep learning method for choroidal vessel segmentation on swept source optical coherence tomography images </t>
  </si>
  <si>
    <t xml:space="preserve">Accurate choroidal vessel segmentation with swept-source optical coherence tomography (SS-OCT) images provide unprecedented quantitative analysis towards the understanding of choroid-related diseases  Motivated by the leading segmentation performance in medical images from the use of deep learning methods, in this study, we proposed the adoption of a deep learning method, RefineNet, to segment the choroidal vessels from SS-OCT images  We quantitatively evaluated the RefineNet on 40 SS-OCT images consisting of ~3,900 manually annotated choroidal vessels regions  We achieved a segmentation agreement (SA) of 0 840 ± 0 035 with clinician 1 (C1) and 0 823 ± 0 027 with clinician 2 (C2)  These results were higher than inter-observer variability measure in SA between C1 and C2 of 0 821 ± 0 037  Our results demonstrated that the choroidal vessels from SS-OCT can be automatically segmented using a deep learning method and thus provided a new approach towards an objective and reproducible quantitative analysis of vessel regions </t>
  </si>
  <si>
    <t xml:space="preserve">Department of Ophthalmology, Shanghai General Hospital, Shanghai Jiao Tong University School of Medicine, Shanghai, 200080, China </t>
  </si>
  <si>
    <t>Liu, X; Bi, L; Xu, Y; Feng, D; Kim, J; Xu, X</t>
  </si>
  <si>
    <t>10 1016/j media 2019 04 009</t>
  </si>
  <si>
    <t xml:space="preserve">Automatic CNN-based detection of cardiac MR motion artefacts using k-space data augmentation and curriculum learning </t>
  </si>
  <si>
    <t xml:space="preserve">Good quality of medical images is a prerequisite for the success of subsequent image analysis pipelines  Quality assessment of medical images is therefore an essential activity and for large population studies such as the UK Biobank (UKBB), manual identification of artefacts such as those caused by unanticipated motion is tedious and time-consuming  Therefore, there is an urgent need for automatic image quality assessment techniques  In this paper, we propose a method to automatically detect the presence of motion-related artefacts in cardiac magnetic resonance (CMR) cine images  We compare two deep learning architectures to classify poor quality CMR images: 1) 3D spatio-temporal Convolutional Neural Networks (3D-CNN), 2) Long-term Recurrent Convolutional Network (LRCN)  Though in real clinical setup motion artefacts are common, high-quality imaging of UKBB, which comprises cross-sectional population data of volunteers who do not necessarily have health problems creates a highly imbalanced classification problem  Due to the high number of good quality images compared to the relatively low number of images with motion artefacts, we propose a novel data augmentation scheme based on synthetic artefact creation in k-space  We also investigate a learning approach using a predetermined curriculum based on synthetic artefact severity  We evaluate our pipeline on a subset of the UK Biobank data set consisting of 3510 CMR images  The LRCN architecture outperformed the 3D-CNN architecture and was able to detect 2D+time short axis images with motion artefacts in less than 1ms with high recall  We compare our approach to a range of state-of-the-art quality assessment methods  The novel data augmentation and curriculum learning approaches both improved classification performance achieving overall area under the ROC curve of 0 89 </t>
  </si>
  <si>
    <t>CNN,Recurrent CNN</t>
  </si>
  <si>
    <t xml:space="preserve">School of Biomedical Engineering &amp; Imaging Sciences, King's College, London, UK  Electronic address: ilkay oksuz@kcl ac uk </t>
  </si>
  <si>
    <t>Oksuz, I; Ruijsink, B; Puyol-Antón, E; Clough, JR; Cruz, G; Bustin, A; Prieto, C; Botnar, R; Rueckert, D; Schnabel, JA; King, AP</t>
  </si>
  <si>
    <t>10 1007/s11548-019-01984-4</t>
  </si>
  <si>
    <t xml:space="preserve">Extending pretrained segmentation networks with additional anatomical structures </t>
  </si>
  <si>
    <t xml:space="preserve">For comprehensive surgical planning with sophisticated patient-specific models, all relevant anatomical structures need to be segmented  This could be achieved using deep neural networks given sufficiently many annotated samples; however, datasets of multiple annotated structures are often unavailable in practice and costly to procure  Therefore, being able to build segmentation models with datasets from different studies and centers in an incremental fashion is highly desirable We propose a class-incremental framework for extending a deep segmentation network to new anatomical structures using a minimal incremental annotation set  Through distilling knowledge from the current network state, we overcome the need for a full retraining We evaluate our methods on 100 MR volumes from SKI10 challenge with varying incremental annotation ratios  For 50% incremental annotations, our proposed method suffers less than 1% Dice score loss in retaining old-class performance, as opposed to 25% loss of conventional finetuning  Our framework inherently exploits transferable knowledge from previously trained structures to incremental tasks, demonstrated by results superior even to non-incremental training: In a single volume one-shot incremental learning setting, our method outperforms vanilla network performance by&gt;11% in Dice With the presented method, new anatomical structures can be learned while retaining performance for older structures, without a major increase in complexity and memory footprint, hence suitable for lifelong class-incremental learning  By leveraging information from older examples, a fraction of annotations can be sufficient for incrementally building comprehensive segmentation models  With our meta-method, a deep segmentation network is extended with only a minor addition per structure, thus can be applicable also for future network architectures </t>
  </si>
  <si>
    <t xml:space="preserve">Computer-Assisted Applications in Medicine (CAiM), ETH Zurich, Zurich, Switzerland  ozdemirf@vision ee ethz ch </t>
  </si>
  <si>
    <t>Ozdemir, F; Goksel, O</t>
  </si>
  <si>
    <t>10 1155/2019/4180949</t>
  </si>
  <si>
    <t xml:space="preserve">An Efficient Deep Learning Approach to Pneumonia Classification in Healthcare </t>
  </si>
  <si>
    <t xml:space="preserve">This study proposes a convolutional neural network model trained from scratch to classify and detect the presence of pneumonia from a collection of chest X-ray image samples  Unlike other methods that rely solely on transfer learning approaches or traditional handcrafted techniques to achieve a remarkable classification performance, we constructed a convolutional neural network model from scratch to extract features from a given chest X-ray image and classify it to determine if a person is infected with pneumonia  This model could help mitigate the reliability and interpretability challenges often faced when dealing with medical imagery  Unlike other deep learning classification tasks with sufficient image repository, it is difficult to obtain a large amount of pneumonia dataset for this classification task; therefore, we deployed several data augmentation algorithms to improve the validation and classification accuracy of the CNN model and achieved remarkable validation accuracy </t>
  </si>
  <si>
    <t>Journal of healthcare engineering</t>
  </si>
  <si>
    <t xml:space="preserve">Department of Computer Engineering, Dongseo University, Busan, Republic of Korea </t>
  </si>
  <si>
    <t>Stephen, O; Sain, M; Maduh, UJ; Jeong, DU</t>
  </si>
  <si>
    <t>101528166</t>
  </si>
  <si>
    <t>10 1007/s00247-019-04408-2</t>
  </si>
  <si>
    <t xml:space="preserve">Automated semantic labeling of pediatric musculoskeletal radiographs using deep learning </t>
    <phoneticPr fontId="0" type="noConversion"/>
  </si>
  <si>
    <t xml:space="preserve">An automated method for identifying the anatomical region of an image independent of metadata labels could improve radiologist workflow (e g , automated hanging protocols) and help facilitate the automated curation of large medical imaging data sets for machine learning purposes  Deep learning is a potential tool for this purpose To develop and test the performance of deep convolutional neural networks (DCNN) for the automated classification of pediatric musculoskeletal radiographs by anatomical area We utilized a database of 250 pediatric bone radiographs (50 each of the shoulder, elbow, hand, pelvis and knee) to train 5 DCNNs, one to detect each anatomical region amongst the others, based on ResNet-18 pretrained on ImageNet (transfer learning)  For each DCNN, the radiographs were randomly split into training (64%), validation (12%) and test (24%) data sets  The training and validation data sets were augmented 30 times using standard preprocessing methods  We also tested our DCNNs on a separate test set of 100 radiographs from a single institution  Receiver operating characteristics (ROC) with area under the curve (AUC) were used to evaluate DCNN performances All five DCNN trained for classification of the radiographs into anatomical region achieved ROC AUC of 1, respectively, for both test sets  Classification of the test radiographs occurred at a rate of 33 radiographs per s DCNNs trained on a small set of images with 30 times augmentation through standard processing techniques are able to automatically classify pediatric musculoskeletal radiographs into anatomical region with near-perfect to perfect accuracy at superhuman speeds  This concept may apply to other body parts and radiographic views with the potential to create an all-encompassing semantic-labeling DCNN </t>
  </si>
  <si>
    <t>Pediatric radiology</t>
  </si>
  <si>
    <t xml:space="preserve">The Russell H  Morgan Department of Radiology and Radiological Science, Johns Hopkins University School of Medicine, 601 N  Caroline St , Room 4223, Baltimore, MD, 21287, USA </t>
  </si>
  <si>
    <t>Yi, PH; Kim, TK; Wei, J; Shin, J; Hui, FK; Sair, HI; Hager, GD; Fritz, J</t>
  </si>
  <si>
    <t>0365332</t>
  </si>
  <si>
    <t>10 1002/jemt 23281</t>
  </si>
  <si>
    <t xml:space="preserve">Deep learning model integrating features and novel classifiers fusion for brain tumor segmentation </t>
  </si>
  <si>
    <t xml:space="preserve">Automatic and precise segmentation and classification of tumor area in medical images is still a challenging task in medical research  Most of the conventional neural network based models usefully connected or convolutional neural networks to perform segmentation and classification  In this research, we present deep learning models using long short term memory (LSTM) and convolutional neural networks (ConvNet) for accurate brain tumor delineation from benchmark medical images  The two different models, that is, ConvNet and LSTM networks are trained using the same data set and combined to form an ensemble to improve the results  We used publicly available MICCAI BRATS 2015 brain cancer data set consisting of MRI images of four modalities T1, T2, T1c, and FLAIR  To enhance the quality of input images, multiple combinations of preprocessing methods such as noise removal, histogram equalization, and edge enhancement are formulated and best performer combination is applied  To cope with the class imbalance problem, class weighting is used in proposed models  The trained models are tested on validation data set taken from the same image set and results obtained from each model are reported  The individual score (accuracy) of ConvNet is found 75% whereas for LSTM based network produced 80% and ensemble fusion produced 82 29% accuracy </t>
  </si>
  <si>
    <t>FCN,RNN,LSTM</t>
  </si>
  <si>
    <t>Pakistan</t>
  </si>
  <si>
    <t>Microscopy research and technique</t>
  </si>
  <si>
    <t xml:space="preserve">Department of Computer Science, Bahauddin Zakariya University, Multan, Pakistan </t>
  </si>
  <si>
    <t>Iqbal, S; Ghani Khan, MU; Saba, T; Mehmood, Z; Javaid, N; Rehman, A; Abbasi, R</t>
  </si>
  <si>
    <t>9203012</t>
  </si>
  <si>
    <t>10 1088/1361-6560/ab1cee</t>
  </si>
  <si>
    <t xml:space="preserve">Development of a deep neural network for generating synthetic dual-energy chest x-ray images with single x-ray exposure </t>
  </si>
  <si>
    <t xml:space="preserve">Dual-energy chest radiography (DECR) is a medical imaging technology that can improve diagnostic accuracy  This technique can decompose single-energy chest radiography (SECR) images into separate bone- and soft tissue-only images  This can, however, double the radiation exposure to the patient  To address this limitation, we developed an algorithm for the synthesis of DECR from a SECR through deep learning  To predict high resolution images, we developed a novel deep learning architecture by modifying a conventional U-net to take advantage of the high frequency-dominant information that propagates from the encoding part to the decoding part  In addition, we used the anticorrelated relationship (ACR) of DECR for improving the quality of the predicted images  For training data, 300 pairs of SECR and their corresponding DECR images were used  To test the trained model, 50 DECR images from Yonsei University Severance Hospital and 662 publicly accessible SECRs were used  To evaluate the performance of the proposed method, we compared DECR and predicted images using a structural similarity approach (SSIM)  In addition, we quantitatively evaluated image quality calculating the modulation transfer function and coefficient of variation  The proposed model selectively predicted the bone- and soft tissue-only CR images from an SECR image  The strategy for improving the spatial resolution by ACR was effective  Quantitative evaluation showed that the proposed method with ACR showed relatively high SSIM (over 0 85)  In addition, predicted images with the proposed ACR model achieved better image quality measures than those of U-net  In conclusion, the proposed method can obtain high-quality bone- and soft tissue-only CR images without the need for additional hardware for double x-ray exposures in clinical practice </t>
  </si>
  <si>
    <t xml:space="preserve">Department of Radiation Convergence Engineering, Research Institute of Health Science, Yonsei University, 1 Yonseidae-gil, Wonju, Gangwon, Republic of Korea </t>
  </si>
  <si>
    <t>Lee, D; Kim, H; Choi, B; Kim, HJ</t>
  </si>
  <si>
    <t>10 1177/0954411919845747</t>
  </si>
  <si>
    <t xml:space="preserve">Automatic localization of anatomical regions in medical ultrasound images of rheumatoid arthritis using deep learning </t>
  </si>
  <si>
    <t xml:space="preserve">The pace of population aging is growing faster worldwide  The quality of life of the aging population is mostly affected by rheumatic diseases  With the increasing rate of rheumatoid arthritis in the aging population, technological advances in the field of automatic image processing and analysis have paved way for automatic detection and diagnosis of arthritis based on how the grade of the synovial region is designed  The proposed method is based on spatial analysis using intensity-based approach to segment the skin border, thresholding and connectivity algorithm for bone region segmentation, hit-or-miss transform for bone line segmentation and distance measure with image profile to detect the joint region  After this process of localization, the synovial region is determined using the active contour technique  In arthritis condition, synovitis also occurs which is categorized into four different grades based on the fluid expansion in the synovial region  The different grades are defined and analyzed through deep learning  Convolutional neural network in a deep learning algorithm is used to diagnose the particular grade of synovitis to describe the nature of arthritis  With these results, a module to detect the nature of arthritis automatically is defined </t>
  </si>
  <si>
    <t>Proceedings of the Institution of Mechanical Engineers  Part H, Journal of engineering in medicine</t>
  </si>
  <si>
    <t xml:space="preserve">1 Sathyabama University, Chennai, India </t>
  </si>
  <si>
    <t>Hemalatha, RJ; Vijaybaskar, V; Thamizhvani, TR</t>
  </si>
  <si>
    <t>8908934</t>
  </si>
  <si>
    <t>10 22608/APO 201976</t>
  </si>
  <si>
    <t xml:space="preserve">Artificial Intelligence in Diabetic Eye Disease Screening </t>
  </si>
  <si>
    <t xml:space="preserve">Systematic or national screening programs for diabetic retinopathy (DR) and diabetic macular edema (DME), using digital fundus photography and optical coherence tomography (OCT), are currently implemented at primary care level, aiming to provide timely referral for vision-threatening DR and DME to ophthalmologists for timely treatment and vision loss prevention  However, interpretation of retinal images requires specialized knowledge and expertise in diabetic eye disease  Furthermore, current DR screening programs are capital- and labor-intensive, which makes it difficult to rapidly scale up and expand diabetic eye screening to meet the needs of this growing global epidemic  Deep learning (DL), a new branch of machine learning technology under the broad term of artificial intelligence (AI), has made remarkable breakthrough in medical imaging in particular for pattern recognition and image classification  In ophthalmology, AI and DL technology has been developed from big image datasets in assessment of retinal photographs for detection and screening of DR as well as the segmentation and assessment of OCT images for diagnosis and screening of DME  This review aimed to summarize the current progress and the development of using AI and DL technology for diabetic eye disease screening as well as current challenges in the actual implementation of DL in screening programs, and translating DL research into direct clinical applications of screening in a community setting </t>
  </si>
  <si>
    <t>CNN,AlexNet,Inception,Unet,VGG</t>
  </si>
  <si>
    <t>Asia-Pacific journal of ophthalmology (Philadelphia, Pa )</t>
  </si>
  <si>
    <t xml:space="preserve">Department of Ophthalmology and Visual Sciences, The Chinese University of Hong Kong, Hong Kong </t>
  </si>
  <si>
    <t>Cheung, CY; Tang, F; Ting, DSW; Tan, GSW; Wong, TY</t>
  </si>
  <si>
    <t>101583622</t>
  </si>
  <si>
    <t>10 1007/s00330-019-06205-9</t>
  </si>
  <si>
    <t xml:space="preserve">Deep learning for liver tumor diagnosis part I: development of a convolutional neural network classifier for multi-phasic MRI </t>
  </si>
  <si>
    <t xml:space="preserve">To develop and validate a proof-of-concept convolutional neural network (CNN)-based deep learning system (DLS) that classifies common hepatic lesions on multi-phasic MRI A custom CNN was engineered by iteratively optimizing the network architecture and training cases, finally consisting of three convolutional layers with associated rectified linear units, two maximum pooling layers, and two fully connected layers  Four hundred ninety-four hepatic lesions with typical imaging features from six categories were utilized, divided into training (n = 434) and test (n = 60) sets  Established augmentation techniques were used to generate 43,400 training samples  An Adam optimizer was used for training  Monte Carlo cross-validation was performed  After model engineering was finalized, classification accuracy for the final CNN was compared with two board-certified radiologists on an identical unseen test set The DLS demonstrated a 92% accuracy, a 92% sensitivity (Sn), and a 98% specificity (Sp)  Test set performance in a single run of random unseen cases showed an average 90% Sn and 98% Sp  The average Sn/Sp on these same cases for radiologists was 82 5%/96 5%  Results showed a 90% Sn for classifying hepatocellular carcinoma (HCC) compared to 60%/70% for radiologists  For HCC classification, the true positive and false positive rates were 93 5% and 1 6%, respectively, with a receiver operating characteristic area under the curve of 0 992  Computation time per lesion was 5 6 ms This preliminary deep learning study demonstrated feasibility for classifying lesions with typical imaging features from six common hepatic lesion types, motivating future studies with larger multi-institutional datasets and more complex imaging appearances • Deep learning demonstrates high performance in the classification of liver lesions on volumetric multi-phasic MRI, showing potential as an eventual decision-support tool for radiologists  • Demonstrating a classification runtime of a few milliseconds per lesion, a deep learning system could be incorporated into the clinical workflow in a time-efficient manner </t>
  </si>
  <si>
    <t>Hamm, CA; Wang, CJ; Savic, LJ; Ferrante, M; Schobert, I; Schlachter, T; Lin, M; Duncan, JS; Weinreb, JC; Chapiro, J; Letzen, B</t>
  </si>
  <si>
    <t>10 1038/s41551-018-0195-0</t>
  </si>
  <si>
    <t xml:space="preserve">Prediction of cardiovascular risk factors from retinal fundus photographs via deep learning </t>
  </si>
  <si>
    <t xml:space="preserve">Traditionally, medical discoveries are made by observing associations, making hypotheses from them and then designing and running experiments to test the hypotheses  However, with medical images, observing and quantifying associations can often be difficult because of the wide variety of features, patterns, colours, values and shapes that are present in real data  Here, we show that deep learning can extract new knowledge from retinal fundus images  Using deep-learning models trained on data from 284,335 patients and validated on two independent datasets of 12,026 and 999 patients, we predicted cardiovascular risk factors not previously thought to be present or quantifiable in retinal images, such as age (mean absolute error within 3 26 years), gender (area under the receiver operating characteristic curve (AUC) = 0 97), smoking status (AUC = 0 71), systolic blood pressure (mean absolute error within 11 23 mmHg) and major adverse cardiac events (AUC = 0 70)  We also show that the trained deep-learning models used anatomical features, such as the optic disc or blood vessels, to generate each prediction </t>
  </si>
  <si>
    <t>eyes, cardiac</t>
  </si>
  <si>
    <t>DNN,Inception</t>
  </si>
  <si>
    <t>Nature biomedical engineering</t>
  </si>
  <si>
    <t xml:space="preserve">Google Research, Google, Mountain View, CA, USA </t>
  </si>
  <si>
    <t>Poplin, R; Varadarajan, AV; Blumer, K; Liu, Y; McConnell, MV; Corrado, GS; Peng, L; Webster, DR</t>
  </si>
  <si>
    <t>101696896</t>
  </si>
  <si>
    <t>10 1038/s41551-018-0301-3</t>
  </si>
  <si>
    <t xml:space="preserve">Development and validation of a deep-learning algorithm for the detection of polyps during colonoscopy </t>
    <phoneticPr fontId="0" type="noConversion"/>
  </si>
  <si>
    <t xml:space="preserve">The detection and removal of precancerous polyps via colonoscopy is the gold standard for the prevention of colon cancer  However, the detection rate of adenomatous polyps can vary significantly among endoscopists  Here, we show that a machine-learning algorithm can detect polyps in clinical colonoscopies, in real time and with high sensitivity and specificity  We developed the deep-learning algorithm by using data from 1,290 patients, and validated it on newly collected 27,113 colonoscopy images from 1,138 patients with at least one detected polyp (per-image-sensitivity, 94 38%; per-image-specificity, 95 92%; area under the receiver operating characteristic curve, 0 984), on a public database of 612 polyp-containing images (per-image-sensitivity, 88 24%), on 138 colonoscopy videos with histologically confirmed polyps (per-image-sensitivity of 91 64%; per-polyp-sensitivity, 100%), and on 54 unaltered full-range colonoscopy videos without polyps (per-image-specificity, 95 40%)  By using a multi-threaded processing system, the algorithm can process at least 25 frames per second with a latency of 76 80 ± 5 60 ms in real-time video analysis  The software may aid endoscopists while performing colonoscopies, and help assess differences in polyp and adenoma detection performance among endoscopists </t>
    <phoneticPr fontId="0" type="noConversion"/>
  </si>
  <si>
    <t>SegNet</t>
    <phoneticPr fontId="0" type="noConversion"/>
  </si>
  <si>
    <t xml:space="preserve">Sichuan Academy of Medical Sciences &amp; Sichuan Provincial People's Hospital, Chengdu, China </t>
  </si>
  <si>
    <t>Wang, P; Xiao, X; Glissen Brown, JR; Berzin, TM; Tu, M; Xiong, F; Hu, X; Liu, P; Song, Y; Zhang, D; Yang, X; Li, L; He, J; Yi, X; Liu, J; Liu, X</t>
  </si>
  <si>
    <t>10 1007/s10278-019-00216-0</t>
  </si>
  <si>
    <t xml:space="preserve">A Region-Based Deep Level Set Formulation for Vertebral Bone Segmentation of Osteoporotic Fractures </t>
    <phoneticPr fontId="0" type="noConversion"/>
  </si>
  <si>
    <t xml:space="preserve">Accurate segmentation of the vertebrae from medical images plays an important role in computer-aided diagnoses (CADs)  It provides an initial and early diagnosis of various vertebral abnormalities to doctors and radiologists  Vertebrae segmentation is very important but difficult task in medical imaging due to low-contrast imaging and noise  It becomes more challenging when dealing with fractured (osteoporotic) cases  This work is dedicated to address the challenging problem of vertebra segmentation  In the past, various segmentation techniques of vertebrae have been proposed  Recently, deep learning techniques have been introduced in biomedical image processing for segmentation and characterization of several abnormalities  These techniques are becoming popular for segmentation purposes due to their robustness and accuracy  In this paper, we present a novel combination of traditional region-based level set with deep learning framework in order to predict shape of vertebral bones accurately; thus, it would be able to handle the fractured cases efficiently  We termed this novel Framework as "FU-Net" which is a powerful and practical framework to handle fractured vertebrae segmentation efficiently  The proposed method was successfully evaluated on two different challenging datasets: (1) 20 CT scans, 15 healthy cases, and 5 fractured cases provided at spine segmentation challenge CSI 2014; (2) 25 CT image data (both healthy and fractured cases) provided at spine segmentation challenge CSI 2016 or xVertSeg v1 challenge  We have achieved promising results on our proposed technique especially on fractured cases  Dice score was found to be 96 4 ± 0 8% without fractured cases and 92 8 ± 1 9% with fractured cases in CSI 2014 dataset (lumber and thoracic)  Similarly, dice score was 95 2 ± 1 9% on 15 CT dataset (with given ground truths) and 95 4 ± 2 1% on total 25 CT dataset for CSI 2016 datasets (with 10 annotated CT datasets)  The proposed technique outperformed other state-of-the-art techniques and handled the fractured cases for the first time efficiently </t>
  </si>
  <si>
    <t>Pakistan</t>
    <phoneticPr fontId="0" type="noConversion"/>
  </si>
  <si>
    <t xml:space="preserve">Department of Robotics &amp; Intelligent Machine Engineering, School of Mechanical &amp; Manufacturing Engineering (SMME), National University of Sciences and Technology (NUST), Islamabad, Pakistan  faisalrehman0003@gmail com </t>
  </si>
  <si>
    <t>Rehman, F; Ali Shah, SI; Riaz, MN; Gilani, SO; R, F</t>
  </si>
  <si>
    <t>10 1158/1078-0432 CCR-18-2495</t>
  </si>
  <si>
    <t xml:space="preserve">Deep Learning Predicts Lung Cancer Treatment Response from Serial Medical Imaging </t>
  </si>
  <si>
    <t xml:space="preserve">Tumors are continuously evolving biological systems, and medical imaging is uniquely positioned to monitor changes throughout treatment  Although qualitatively tracking lesions over space and time may be trivial, the development of clinically relevant, automated radiomics methods that incorporate serial imaging data is far more challenging  In this study, we evaluated deep learning networks for predicting clinical outcomes through analyzing time series CT images of patients with locally advanced non-small cell lung cancer (NSCLC) Experimental Design: Dataset A consists of 179 patients with stage III NSCLC treated with definitive chemoradiation, with pretreatment and posttreatment CT images at 1, 3, and 6 months follow-up (581 scans)  Models were developed using transfer learning of convolutional neural networks (CNN) with recurrent neural networks (RNN), using single seed-point tumor localization  Pathologic response validation was performed on dataset B, comprising 89 patients with NSCLC treated with chemoradiation and surgery (178 scans) Deep learning models using time series scans were significantly predictive of survival and cancer-specific outcomes (progression, distant metastases, and local-regional recurrence)  Model performance was enhanced with each additional follow-up scan into the CNN model (e g , 2-year overall survival: AUC = 0 74, P &lt; 0 05)  The models stratified patients into low and high mortality risk groups, which were significantly associated with overall survival [HR = 6 16; 95% confidence interval (CI), 2 17-17 44; P &lt; 0 001]  The model also significantly predicted pathologic response in dataset B (P = 0 016) We demonstrate that deep learning can integrate imaging scans at multiple timepoints to improve clinical outcome predictions  AI-based noninvasive radiomics biomarkers can have a significant impact in the clinic given their low cost and minimal requirements for human input </t>
  </si>
  <si>
    <t>Clinical cancer research : an official journal of the American Association for Cancer Research</t>
  </si>
  <si>
    <t xml:space="preserve">Department of Radiation Oncology, Brigham and Women's Hospital, Dana-Farber Cancer Institute, Harvard Medical School, Boston, Massachusetts </t>
  </si>
  <si>
    <t>Xu, Y; Hosny, A; Zeleznik, R; Parmar, C; Coroller, T; Franco, I; Mak, RH; Aerts, HJWL</t>
  </si>
  <si>
    <t>9502500</t>
  </si>
  <si>
    <t>10 1016/j compbiomed 2019 03 011</t>
  </si>
  <si>
    <t xml:space="preserve">Binary tree-like network with two-path Fusion Attention Feature for cervical cell nucleus segmentation </t>
    <phoneticPr fontId="0" type="noConversion"/>
  </si>
  <si>
    <t xml:space="preserve">Early detection of cervical lesion is of great significance in reducing mortality from cervical cancer, and segmentation of cervical cell nuclei plays an important role in screening for cervical lesion  Compared with traditional algorithms, several deep learning methods can improve the segmentation; however, due to blurred boundaries and complex gradients of medical images, the segmentation remains unsatisfactory  In addition, the existing datasets used by cervical cell nucleus segmentation research are lacking in terms of both quantity and diversity, so methods based on those datasets cannot effectively cope with challenging cases  This paper releases a new cervical cell dataset and proposes a network named Binary Tree-like Network with Two-path Fusion Attention Feature (BTTFA)  The simplified diagram of BTTFA is similar to a binary tree structure and combines ResNeXt's last four layers of information by integrating adjacent pairs of layers each time; therefore, the information of multilayers can be fully integrated, and the information lost by the pooling layers can be recovered  BTTFA also applies a two-path fusion attention to selectively utilize information close to the root nodes, thereby taking full advantage of low-level detail and high-level semantic information and selectively emphasizing important features while suppressing less useful ones  Meanwhile, at some nodes of the binary tree-like network, focal loss is imposed to calculate the loss between the ground truth and the feature map during the training process  Experiments demonstrate that BTTFA performs better than the existing technology on our dataset and another public dataset </t>
  </si>
  <si>
    <t>CNN,FCN,UNET,ResNeXt</t>
  </si>
  <si>
    <t xml:space="preserve">School of Computer Science and Engineering, South China University of Technology, China  Electronic address: jwzhang@scut edu cn </t>
  </si>
  <si>
    <t>Zhang, J; Liu, Z; Du, B; He, J; Li, G; Chen, D</t>
  </si>
  <si>
    <t>10 1016/j compbiomed 2019 03 014</t>
  </si>
  <si>
    <t xml:space="preserve">A novel end-to-end brain tumor segmentation method using improved fully convolutional networks </t>
  </si>
  <si>
    <t xml:space="preserve">Accurate brain magnetic resonance imaging (MRI) tumor segmentation continues to be an active research topic in medical image analysis since it provides doctors with meaningful and reliable quantitative information in diagnosing and monitoring neurological diseases  Successful deep learning-based proposals have been designed, and most of them are built upon image patches  In this paper, a novel end-to-end brain tumor segmentation method is developed using an improved fully convolutional network by modifying the U-Net architecture  In our network, an innovative structure referred to as an up skip connection is first proposed between the encoding path and decoding path to enhance information flow  Moreover, an inception module is adopted in each block to help our network learn richer representations, and an efficient cascade training strategy is introduced to segment brain tumor subregions sequentially  In contrast to those patchwise methods, our model can automatically generate segmentation maps slice by slice  We have validated our proposal by using imaging data from the Multimodal Brain Tumor Image Segmentation Challenge (BRATS) 2015 and BRATS 2016  Experimental results compared with U-Net suggest that our method is 2 6%, 3 9%, and 5 2% higher (by using the BRATS 2015 training dataset) as well as 2 8%, 3 7%, and 8 1% (by using the BRATS 2017 training dataset) higher in terms of complete, core and enhancing tumor regions, respectively  Quantitative and visual evaluation of our method has revealed the effectiveness of the proposed improvements and indicated that our end-to-end segmentation method can achieve a performance that can compete with state-of-the-art brain tumor segmentation approaches </t>
  </si>
  <si>
    <t>CNN,FCN,Unet</t>
  </si>
  <si>
    <t xml:space="preserve">School of Information Science and Technology, and Centers for Biomedical Engineering, University of Science and Technology of China, Hefei, AH 230027, China </t>
  </si>
  <si>
    <t>Li, H; Li, A; Wang, M</t>
  </si>
  <si>
    <t>10 1016/j media 2019 03 010</t>
  </si>
  <si>
    <t xml:space="preserve">Pulmonary nodule detection in CT scans with equivariant CNNs </t>
  </si>
  <si>
    <t xml:space="preserve">Convolutional Neural Networks (CNNs) require a large amount of annotated data to learn from, which is often difficult to obtain for medical imaging problems  In this work we show that the sample complexity of CNNs can be significantly improved by using 3D roto-translation group convolutions instead of standard translational convolutions  3D CNNs with group convolutions (3D G-CNNs) were applied to the problem of false positive reduction for pulmonary nodule detection in CT scans, and proved to be substantially more effective in terms of accuracy, sensitivity to malignant nodules, and speed of convergence compared to a strong and comparable baseline architecture with regular convolutions, extensive data augmentation and a similar number of parameters  For every dataset size tested, the G-CNN achieved a FROC score close to the CNN trained on ten times more data </t>
  </si>
  <si>
    <t xml:space="preserve">University of Amsterdam, Netherlands; Aidence B V , Netherlands  Electronic address: marysia@aidence com </t>
  </si>
  <si>
    <t>Winkels, M; Cohen, TS</t>
  </si>
  <si>
    <t>10 3390/diagnostics9020038</t>
  </si>
  <si>
    <t xml:space="preserve">Visual Interpretation of Convolutional Neural Network Predictions in Classifying Medical Image Modalities </t>
  </si>
  <si>
    <t xml:space="preserve">Deep learning (DL) methods are increasingly being applied for developing reliable computer-aided detection (CADe), diagnosis (CADx), and information retrieval algorithms  However, challenges in interpreting and explaining the learned behavior of the DL models hinders their adoption and use in real-world systems  In this study, we propose a novel method called "Class-selective Relevance Mapping" (CRM) for localizing and visualizing discriminative regions of interest (ROI) within a medical image  Such visualizations offer improved explanation of the convolutional neural network (CNN)-based DL model predictions  We demonstrate CRM effectiveness in classifying medical imaging modalities toward automatically labeling them for visual information retrieval applications  The CRM is based on linear sum of incremental mean squared errors (MSE) calculated at the output layer of the CNN model  It measures both positive and negative contributions of each spatial element in the feature maps produced from the last convolution layer leading to correct classification of an input image  A series of experiments on a "multi-modality" CNN model designed for classifying seven different types of image modalities shows that the proposed method is significantly better in detecting and localizing the discriminative ROIs than other state of the art class-activation methods  Further, to visualize its effectiveness we generate "class-specific" ROI maps by averaging the CRM scores of images in each modality class, and characterize the visual explanation through their different size, shape, and location for our multi-modality CNN model that achieved over 98% performance on a dataset constructed from publicly available images </t>
  </si>
  <si>
    <t>abdominal,eyes</t>
  </si>
  <si>
    <t>Diagnostics (Basel, Switzerland)</t>
  </si>
  <si>
    <t xml:space="preserve">Lister Hill National Center for Biomedical Communications, National Library of Medicine, 8600 Rockville Pike, Bethesda, MD 20894, USA  ickim@mail nih gov </t>
  </si>
  <si>
    <t>Kim, I; Rajaraman, S; Antani, S</t>
  </si>
  <si>
    <t>101658402</t>
  </si>
  <si>
    <t>10 1016/j neunet 2019 03 014</t>
  </si>
  <si>
    <t xml:space="preserve">Semi-supervised deep learning of brain tissue segmentation </t>
  </si>
  <si>
    <t xml:space="preserve">Brain image segmentation is of great importance not only for clinical use but also for neuroscience research  Recent developments in deep neural networks (DNNs) have led to the application of DNNs to brain image segmentation, which required extensive human annotations of whole brain images  Annotating three-dimensional brain images requires laborious efforts by expert anatomists because of the differences among images in terms of their dimensionality, noise, contrast, or ambiguous boundaries that even prevent these experts from necessarily attaining consistency  This paper proposes a semi-supervised learning framework to train a DNN based on a relatively small number of annotated (labeled) images, named atlases, but also a relatively large number of unlabeled images by leveraging image registration to attach pseudo-labels to images that were originally unlabeled  We applied our proposed method to two different datasets: open human brain images and our original marmoset brain images  When provided with the same number of atlases for training, we found our method achieved superior and more stable segmentation results than those by existing registration-based and DNN-based methods </t>
  </si>
  <si>
    <t>DNN,ResNet</t>
  </si>
  <si>
    <t xml:space="preserve">Graduate School of Informatics, Kyoto University, Yoshida-honmachi, Kyoto, 606-8501, Japan </t>
  </si>
  <si>
    <t>Ito, R; Nakae, K; Hata, J; Okano, H; Ishii, S</t>
  </si>
  <si>
    <t>10 1097/MD 0000000000015133</t>
  </si>
  <si>
    <t xml:space="preserve">Ultrasound image analysis using deep learning algorithm for the diagnosis of thyroid nodules </t>
  </si>
  <si>
    <t xml:space="preserve">Fine needle aspiration (FNA) is the procedure of choice for evaluating thyroid nodules  It is indicated for nodules &gt;2 cm, even in cases of very low suspicion of malignancy  FNA has associated risks and expenses  In this study, we developed an image analysis model using a deep learning algorithm and evaluated if the algorithm could predict thyroid nodules with benign FNA results Ultrasonographic images of thyroid nodules with cytologic or histologic results were retrospectively collected  For algorithm training, 1358 (670 benign, 688 malignant) thyroid nodule images were input into the Inception-V3 network model  The model was pretrained to classify nodules as benign or malignant using the ImageNet database  The diagnostic performance of the algorithm was tested with the prospectively collected internal (n = 55) and external test sets (n = 100) For the internal test set, 20 of the 21 FNA malignant nodules were correctly classified as malignant by the algorithm (sensitivity, 95 2%); and of the 22 nodules algorithm classified as benign, 21 were FNA benign (negative predictive value [NPV], 95 5%)  For the external test set, 47 of the 50 FNA malignant nodules were correctly classified by the algorithm (sensitivity, 94 0%); and of the 31 nodules the algorithm classified as benign, 28 were FNA benign (NPV, 90 3%) The sensitivity and NPV of the deep learning algorithm shown in this study are promising  Artificial intelligence may assist clinicians to recognize nodules that are likely to be benign and avoid unnecessary FNA </t>
  </si>
  <si>
    <t>thyroid</t>
  </si>
  <si>
    <t xml:space="preserve">Graduate School of Convergence Science and Technology, Seoul National University, Suwon </t>
  </si>
  <si>
    <t>Song, J; Chai, YJ; Masuoka, H; Park, SW; Kim, SJ; Choi, JY; Kong, HJ; Lee, KE; Lee, J; Kwak, N; Yi, KH; Miyauchi, A</t>
  </si>
  <si>
    <t>10 1007/s10278-019-00206-2</t>
  </si>
  <si>
    <t xml:space="preserve">High Efficiency Video Coding (HEVC)-Based Surgical Telementoring System Using Shallow Convolutional Neural Network </t>
  </si>
  <si>
    <t xml:space="preserve">Surgical telementoring systems have gained lots of interest, especially in remote locations  However, bandwidth constraint has been the primary bottleneck for efficient telementoring systems  This study aims to establish an efficient surgical telementoring system, where the qualified surgeon (mentor) provides real-time guidance and technical assistance for surgical procedures to the on-spot physician (surgeon)  High Efficiency Video Coding (HEVC/H 265)-based video compression has shown promising results for telementoring applications  However, there is a trade-off between the bandwidth resources required for video transmission and quality of video received by the remote surgeon  In order to efficiently compress and transmit real-time surgical videos, a hybrid lossless-lossy approach is proposed where surgical incision region is coded in high quality whereas the background region is coded in low quality based on distance from the surgical incision region  For surgical incision region extraction, state-of-the-art deep learning (DL) architectures for semantic segmentation can be used  However, the computational complexity of these architectures is high resulting in large training and inference times  For telementoring systems, encoding time is crucial; therefore, very deep architectures are not suitable for surgical incision extraction  In this study, we propose a shallow convolutional neural network (S-CNN)-based segmentation approach that consists of encoder network only for surgical region extraction  The segmentation performance of S-CNN is compared with one of the state-of-the-art image segmentation networks (SegNet), and results demonstrate the effectiveness of the proposed network  The proposed telementoring system is efficient and explicitly considers the physiological nature of the human visual system to encode the video by providing good overall visual impact in the location of surgery  The results of the proposed S-CNN-based segmentation demonstrated a pixel accuracy of 97% and a mean intersection over union accuracy of 79%  Similarly, HEVC experimental results showed that the proposed surgical region-based encoding scheme achieved an average bitrate reduction of 88 8% at high-quality settings in comparison with default full-frame HEVC encoding  The average gain in encoding performance (signal-to-noise) of the proposed algorithm is 11 5 dB in the surgical region  The bitrate saving and visual quality of the proposed optimal bit allocation scheme are compared with the mean shift segmentation-based coding scheme for fair comparison  The results show that the proposed scheme maintains high visual quality in surgical incision region along with achieving good bitrate saving  Based on comparison and results, the proposed encoding algorithm can be considered as an efficient and effective solution for surgical telementoring systems for low-bandwidth networks </t>
  </si>
  <si>
    <t>CNN,SegNet</t>
  </si>
  <si>
    <t xml:space="preserve">Department of Computer Science, COMSATS University, Islamabad, Pakistan </t>
  </si>
  <si>
    <t>Hassan, A; Ghafoor, M; Tariq, SA; Zia, T; Ahmad, W</t>
  </si>
  <si>
    <t>10 3969/j issn 1671-7104 2019 02 002</t>
  </si>
  <si>
    <t xml:space="preserve">[Application of Deep Learning in Early Diagnosis Assistant System of Keratoconus] </t>
  </si>
  <si>
    <t xml:space="preserve">In view of the problem that there is no standard diagnosis for early stage keratoconus disease,at the same time to assist the special examiner and ophthalmologist to make the early diagnosis effectively,the advantages and disadvantages of each testing instrument were analyzed In order to construct an assistant system for early diagnosis of keratoconus,a deep learning technique was applied in corneal OCT examination The system used improved VGG-16 to realize the recognition accuracy of about 68% keratoconus keratopathy,and the clinical results showed that the system can help doctors to give diagnosis confidence to a certain extent At the same time,the physician's re-marking of OCT can help train the system for more accurate judgment </t>
  </si>
  <si>
    <t>CNN,VGG,AlexNet,ResNet</t>
  </si>
  <si>
    <t>Zhongguo yi liao qi xie za zhi = Chinese journal of medical instrumentation</t>
  </si>
  <si>
    <t xml:space="preserve">The Eye Hospital of Wenzhou Medical University, Wenzhou, 325000 </t>
  </si>
  <si>
    <t>Tan, A; Yu, M; Chen, X; Hu, L</t>
  </si>
  <si>
    <t>9426153</t>
  </si>
  <si>
    <t>10 3390/ijerph16071281</t>
  </si>
  <si>
    <t xml:space="preserve">A Deep Neural Network-Based Method for Early Detection of Osteoarthritis Using Statistical Data </t>
  </si>
  <si>
    <t xml:space="preserve">A large number of people suffer from certain types of osteoarthritis, such as knee, hip, and spine osteoarthritis  A correct prediction of osteoarthritis is an essential step to effectively diagnose and prevent severe osteoarthritis  Osteoarthritis is commonly diagnosed by experts through manual inspection of patients' medical images, which are usually collected in hospitals  Checking the occurrence of osteoarthritis is somewhat time-consuming for patients  In addition, the current studies are focused on automatically detecting osteoarthritis through image-based deep learning algorithms  This needs patients' medical images, which requires patients to visit the hospital  However, medical utilization and health behavior information as statistical data are easier to collect and access than medical images  Using indirect statistical data without any medical images to predict the occurrence of diverse forms of OA can have significant impacts on pro-active and preventive medical care  In this study, we used a deep neural network for detecting the occurrence of osteoarthritis using patient's statistical data of medical utilization and health behavior information  The study was based on 5749 subjects  Principal component analysis with quantile transformer scaling was employed to generate features from the patients' simple background medical records and identify the occurrence of osteoarthritis  Our experiments showed that the proposed method using deep neural network with scaled PCA resulted in 76 8% of area under the curve (AUC) and minimized the effort to generate features  Hence, this methos can be a promising tool for patients and doctors to prescreen for possible osteoarthritis to reduce health costs and patients' time in hospitals </t>
  </si>
  <si>
    <t xml:space="preserve">Department of Healthcare Management, Youngsan University, Yangsan 626-790, Korea  limjiart@ysu ac kr </t>
  </si>
  <si>
    <t>Lim, J; Kim, J; Cheon, S</t>
  </si>
  <si>
    <t>10 1007/s10278-019-00196-1</t>
  </si>
  <si>
    <t xml:space="preserve">Diagnosis of Autism Spectrum Disorders in Young Children Based on Resting-State Functional Magnetic Resonance Imaging Data Using Convolutional Neural Networks </t>
  </si>
  <si>
    <t xml:space="preserve">Statistics show that the risk of autism spectrum disorder (ASD) is increasing in the world  Early diagnosis is most important factor in treatment of ASD  Thus far, the childhood diagnosis of ASD has been done based on clinical interviews and behavioral observations  There is a significant need to reduce the use of traditional diagnostic techniques and to diagnose this disorder in the right time and before the manifestation of behavioral symptoms  The purpose of this study is to present the intelligent model to diagnose ASD in young children based on resting-state functional magnetic resonance imaging (rs-fMRI) data using convolutional neural networks (CNNs)  CNNs, which are by far one of the most powerful deep learning algorithms, are mainly trained using datasets with large numbers of samples  However, obtaining comprehensive datasets such as ImageNet and achieving acceptable results in medical imaging domain have become challenges  In order to overcome these two challenges, the two methods of "combining classifiers," both dynamic (mixture of experts) and static (simple ‌Bayes) approaches, and "transfer learning" were used in this analysis  In addition, since diagnosis of ASD will be much more effective at an early age, samples ranging in age from 5 to 10 years from global Autism Brain Imaging Data Exchange I and II (ABIDE I and ABIDE II) datasets were used in this research  The accuracy, sensitivity, and specificity of presented model outperform the results of previous studies conducted on ABIDE I dataset (the best results obtained from Adamax optimization technique: accuracy = 0 7273, sensitivity = 0 712, specificity = 0 7348)  Furthermore, acceptable classification results were obtained from ABIDE II dataset (the best results obtained from Adamax optimization technique: accuracy = 0 7, sensitivity = 0 582, specificity = 0 804) and the combination of ABIDE I and ABIDE II datasets (the best results obtained from Adam optimization technique: accuracy = 0 7045, sensitivity = 0 679, specificity = 0 7421)  We can conclude that the proposed architecture can be considered as an efficient tool for diagnosis of ASD in young children  From another perspective, this proposed method can be applied to analyzing rs-fMRI data related to brain dysfunctions </t>
  </si>
  <si>
    <t>Iran</t>
  </si>
  <si>
    <t xml:space="preserve">Department of Computer Engineering, Science and Research Branch, Islamic Azad University, Tehran, Iran </t>
  </si>
  <si>
    <t>Aghdam, MA; Sharifi, A; Pedram, MM</t>
  </si>
  <si>
    <t>10 1038/s41598-019-42042-y</t>
  </si>
  <si>
    <t xml:space="preserve">Generating retinal flow maps from structural optical coherence tomography with artificial intelligence </t>
  </si>
  <si>
    <t xml:space="preserve">Despite advances in artificial intelligence (AI), its application in medical imaging has been burdened and limited by expert-generated labels  We used images from optical coherence tomography angiography (OCTA), a relatively new imaging modality that measures retinal blood flow, to train an AI algorithm to generate flow maps from standard optical coherence tomography (OCT) images, exceeding the ability and bypassing the need for expert labeling  Deep learning was able to infer flow from single structural OCT images with similar fidelity to OCTA and significantly better than expert clinicians (P &lt; 0 00001)  Our model allows generating flow maps from large volumes of previously collected OCT data in existing clinical trials and clinical practice  This finding demonstrates a novel application of AI to medical imaging, whereby subtle regularities between different modalities are used to image the same body part and AI is used to generate detailed inferences of tissue function from structure imaging </t>
  </si>
  <si>
    <t>CNN,AUTOENCODER</t>
  </si>
  <si>
    <t xml:space="preserve">Department of Ophthalmology, University of Washington, Seattle, WA, USA </t>
  </si>
  <si>
    <t>Lee, CS; Tyring, AJ; Wu, Y; Xiao, S; Rokem, AS; DeRuyter, NP; Zhang, Q; Tufail, A; Wang, RK; Lee, AY</t>
  </si>
  <si>
    <t>10 1016/j tice 2019 02 001</t>
  </si>
  <si>
    <t xml:space="preserve">Comparative assessment of CNN architectures for classification of breast FNAC images </t>
  </si>
  <si>
    <t xml:space="preserve">Fine needle aspiration cytology (FNAC) entails using a narrow gauge (25-22 G) needle to collect a sample of a lesion for microscopic examination  It allows a minimally invasive, rapid diagnosis of tissue but does not preserve its histological architecture  FNAC is commonly used for diagnosis of breast cancer, with traditional practice being based on the subjective visual assessment of the breast cytopathology cell samples under a microscope to evaluate the state of various cytological features  Therefore, there are many challenges in maintaining consistency and reproducibility of findings  However, the advent of digital imaging and computational aid in diagnosis can improve the diagnostic accuracy and reduce the effective workload of pathologists  This paper presents a comparison of various deep convolutional neural network (CNN) based fine-tuned transfer learned classification approach for the diagnosis of the cell samples  The proposed approach has been tested using VGG16, VGG19, ResNet-50 and GoogLeNet-V3 (aka Inception V3) architectures of CNN on an image dataset of 212 images (99 benign and 113 malignant), later augmented and cleansed to 2120 images (990 benign and 1130 malignant), where the network was trained using images of 80% cell samples and tested on the rest  This paper presents a comparative assessment of the models giving a new dimension to FNAC study where GoogLeNet-V3 (fine-tuned) achieved an accuracy of 96 25% which is highly satisfactory </t>
  </si>
  <si>
    <t>CNN,VGG, ResNet,GoogLeNet</t>
  </si>
  <si>
    <t>India</t>
    <phoneticPr fontId="0" type="noConversion"/>
  </si>
  <si>
    <t>Tissue &amp; cell</t>
  </si>
  <si>
    <t xml:space="preserve">The Department of Computer Science and Engineering, Assam Engineering College, Guwahati 781013, Assam, India  Electronic address: ar5saikia@gmail com </t>
  </si>
  <si>
    <t>Saikia, AR; Bora, K; Mahanta, LB; Das, AK</t>
  </si>
  <si>
    <t>0214745</t>
  </si>
  <si>
    <t>10 1016/j ultras 2019 03 014</t>
  </si>
  <si>
    <t xml:space="preserve">Robust segmentation of arterial walls in intravascular ultrasound images using Dual Path U-Net </t>
  </si>
  <si>
    <t xml:space="preserve">A Fully Convolutional Network (FCN) based deep architecture called Dual Path U-Net (DPU-Net) is proposed for automatic segmentation of the lumen and media-adventitia in IntraVascular UltraSound (IVUS) frames, which is crucial for diagnosis of many cardiovascular diseases and also for facilitating 3D reconstructions of human arteries  One of the most prevalent problems in medical image analysis is the lack of training data  To overcome this limitation, we propose a twofold solution  First, we introduce a deep architecture that is able to learn using a small number of training images and still achieves a high degree of generalization ability  Second, we strengthen the proposed DPU-Net by having a real-time augmentor control the image augmentation process  Our real-time augmentor contains specially-designed operations that simulate three types of IVUS artifacts and integrate them into the training images  We exhaustively assessed our twofold contribution over Balocco's standard publicly available IVUS 20 MHz and 40 MHz B-mode dataset, which contain 109 training image, 326 test images and 19 training images, 59 test images, respectively  Models are trained from scratch with the training images provided and evaluated with two commonly used metrics in the IVUS segmentation literature, namely Jaccard Measure (JM) and Hausdorff Distance (HD)  Experimental results show that DPU-Net achieves 0 87 JM, 0 82 mm HD and 0 86 JM, 1 07 mm HD over 40 MHz dataset for segmenting the lumen and the media, respectively  Also, DPU-Net achieves 0 90 JM, 0 25 mm HD and 0 92 JM, 0 30 mm HD over 20 MHz images for segmenting the lumen and the media, respectively  In addition, DPU-Net outperforms existing methods by 8-15% in terms of HD distance  DPU-Net also shows a strong generalization property for predicting images in the test sets that contain a significant amount of major artifacts such as bifurcations, shadows, and side branches that are not common in the training set  Furthermore, DPU-Net runs within 0 03 s to segment each frame with a single modern GPU (Nvidia GTX 1080)  The proposed work leverages modern deep learning-based method for segmentation of lumen and the media vessel walls in both 20 MHz and 40 MHz IVUS B-mode images and achieves state-of-the-art results without any manual intervention  The code is available online at https://github com/Kulbear/IVUS-Ultrasonic </t>
  </si>
  <si>
    <t xml:space="preserve">Department of Computing Science, University of Alberta, Canada  Electronic address: jyang7@ualberta ca </t>
  </si>
  <si>
    <t>Yang, J; Faraji, M; Basu, A</t>
  </si>
  <si>
    <t>0050452</t>
  </si>
  <si>
    <t>10 1155/2019/2717454</t>
  </si>
  <si>
    <t xml:space="preserve">Breast Microcalcification Diagnosis Using Deep Convolutional Neural Network from Digital Mammograms </t>
  </si>
  <si>
    <t xml:space="preserve">Mammography is successfully used as an effective screening tool for cancer diagnosis  A calcification cluster on mammography is a primary sign of cancer  Early researches have proved the diagnostic value of the calcification, yet their performance is highly dependent on handcrafted image descriptors  Characterizing the calcification mammography in an automatic and robust way remains a challenge  In this paper, the calcification was characterized by descriptors obtained from deep learning and handcrafted descriptors  We compared the performances of different image feature sets on digital mammograms  The feature sets included the deep features alone, the handcrafted features, their combination, and the filtered deep features  Experimental results have demonstrated that the deep features outperform handcrafted features, but the handcrafted features can provide complementary information for deep features  We achieved a classification precision of 89 32% and sensitivity of 86 89% using the filtered deep features, which is the best performance among all the feature sets </t>
  </si>
  <si>
    <t>mammograms</t>
    <phoneticPr fontId="0" type="noConversion"/>
  </si>
  <si>
    <t>Computational and mathematical methods in medicine</t>
  </si>
  <si>
    <t xml:space="preserve">School of Computer Science and Engineering, South China University of Technology, Guangzhou 510000, China </t>
  </si>
  <si>
    <t>Cai, H; Huang, Q; Rong, W; Song, Y; Li, J; Wang, J; Chen, J; Li, L</t>
  </si>
  <si>
    <t>101277751</t>
  </si>
  <si>
    <t>10 1007/s11548-019-01954-w</t>
  </si>
  <si>
    <t xml:space="preserve">Automatic biplane left ventricular ejection fraction estimation with mobile point-of-care ultrasound using multi-task learning and adversarial training </t>
  </si>
  <si>
    <t xml:space="preserve">Left ventricular ejection fraction (LVEF) is one of the key metrics to assess the heart functionality, and cardiac ultrasound (echo) is a standard imaging modality for EF measurement  There is an emerging interest to exploit the point-of-care ultrasound (POCUS) usability due to low cost and ease of access  In this work, we aim to present a computationally efficient mobile application for accurate LVEF estimation Our proposed mobile application for LVEF estimation runs in real time on Android mobile devices that have either a wired or wireless connection to a cardiac POCUS device  We propose a pipeline for biplane ejection fraction estimation using apical two-chamber (AP2) and apical four-chamber (AP4) echo views  A computationally efficient multi-task deep fully convolutional network is proposed for simultaneous LV segmentation and landmark detection in these views, which is integrated into the LVEF estimation pipeline  An adversarial critic model is used in the training phase to impose a shape prior on the LV segmentation output The system is evaluated on a dataset of 427 patients  Each patient has a pair of captured AP2 and AP4 echo studies, resulting in a total of more than 40,000 echo frames  The mobile system reaches a noticeably high average Dice score of 92% for LV segmentation, an average Euclidean distance error of 2 85 pixels for the detection of anatomical landmarks used in LVEF calculation, and a median absolute error of 6 2% for LVEF estimation compared to the expert cardiologist's annotations and measurements The proposed system runs in real time on mobile devices  The experiments show the effectiveness of the proposed system for automatic LVEF estimation by demonstrating an adequate correlation with the cardiologist's examination </t>
  </si>
  <si>
    <t xml:space="preserve">The University of British Columbia, Vancouver, Canada  mohammadj@ece ubc ca </t>
  </si>
  <si>
    <t>Jafari, MH; Girgis, H; Van Woudenberg, N; Liao, Z; Rohling, R; Gin, K; Abolmaesumi, P; Tsang, T</t>
  </si>
  <si>
    <t>10 1002/mp 13521</t>
  </si>
  <si>
    <t xml:space="preserve">Temporal stability assessment in shear wave elasticity images validated by deep learning neural network for chronic liver disease fibrosis stage assessment </t>
  </si>
  <si>
    <t xml:space="preserve">To automatically detect and isolate areas of low and high stiffness temporal stability in shear wave elastography (SWE) image sequences and define their impact in chronic liver disease (CLD) diagnosis improvement by means of clinical examination study and deep learning algorithm employing convolutional neural networks (CNNs) Two hundred SWE image sequences from 88 healthy individuals (F0 fibrosis stage) and 112 CLD patients (46 with mild fibrosis (F1), 16 with significant fibrosis (F2), 22 with severe fibrosis (F3), and 28 with cirrhosis (F4)) were analyzed to detect temporal stiffness stability between frames  An inverse Red, Green, Blue (RGB) colormap-to-stiffness process was performed for each image sequence, followed by a wavelet transform and fuzzy c-means clustering algorithm  This resulted in a binary mask depicting areas of high and low stiffness temporal stability  The mask was then applied to the first image of the SWE sequence, and the derived, masked SWE image was used to estimate its impact in standard clinical examination and CNN classification  Regarding the impact of the masked SWE image in clinical examination, one measurement by two radiologists was performed in each SWE image and two in the corresponding masked image measuring areas with high and low stiffness temporal stability  Then, stiffness stability parameters, interobserver variability evaluation and diagnostic performance by means of ROC analysis were assessed  The masked and unmasked sets of SWE images were fed into a CNN scheme for comparison The clinical impact evaluation study showed that the masked SWE images decreased the interobserver variability of the radiologists' measurements in the high stiffness temporal stability areas (interclass correlation coefficient (ICC) = 0 92) compared to the corresponding unmasked ones (ICC = 0 76)  In terms of diagnostic accuracy, measurements in the high-stability areas of the masked SWE images (area-under-the-curve (AUC) ranging from 0 800 to 0 851) performed similarly to those in the unmasked SWE images (AUC ranging from 0 805 to 0 893)  Regarding the measurements in the low stiffness temporal stability areas of the masked SWE images, results for interobserver variability (ICC = 0 63) and diagnostic accuracy (AUC ranging from 0 622 to 0 791) were poor  Regarding the CNN classification, the masked SWE images showed improved accuracy (ranging from 82 5% to 95 5%) compared to the unmasked ones (ranging from 79 5% to 93 2%) for various CLD stage combinations Our detection algorithm excludes unreliable areas in SWE images, reduces interobserver variability, and augments CNN's accuracy scores for many combinations of fibrosis stages </t>
  </si>
  <si>
    <t>Greece</t>
  </si>
  <si>
    <t xml:space="preserve">Department of Medical Physics, University of Patras, Rion, GR, 26504, Greece </t>
  </si>
  <si>
    <t>Gatos, I; Tsantis, S; Spiliopoulos, S; Karnabatidis, D; Theotokas, I; Zoumpoulis, P; Loupas, T; Hazle, JD; Kagadis, GC</t>
  </si>
  <si>
    <t>10 1002/mp 13519</t>
  </si>
  <si>
    <t xml:space="preserve">A deep learning framework for automatic detection of arbitrarily shaped fiducial markers in intrafraction fluoroscopic images </t>
  </si>
  <si>
    <t xml:space="preserve">Real-time image-guided adaptive radiation therapy (IGART) requires accurate marker segmentation to resolve three-dimensional (3D) motion based on two-dimensional (2D) fluoroscopic images  Most common marker segmentation methods require prior knowledge of marker properties to construct a template  If marker properties are not known, an additional learning period is required to build the template which exposes the patient to an additional imaging dose  This work investigates a deep learning-based fiducial marker classifier for use in real-time IGART that requires no prior patient-specific data or additional learning periods  The proposed tracking system uses convolutional neural network (CNN) models to segment cylindrical and arbitrarily shaped fiducial markers The tracking system uses a tracking window approach to perform sliding window classification of each implanted marker  Three cylindrical marker training datasets were generated from phantom kilovoltage (kV) and patient intrafraction images with increasing levels of megavoltage (MV) scatter  The cylindrical shaped marker CNNs were validated on unseen kV fluoroscopic images from 12 fractions of 10 prostate cancer patients with implanted gold fiducials  For the training and validation of the arbitrarily shaped marker CNNs, cone beam computed tomography (CBCT) projection images from ten fractions of seven lung cancer patients with implanted coiled markers were used  The arbitrarily shaped marker CNNs were trained using three patients and the other four unseen patients were used for validation  The effects of full training using a compact CNN (four layers with learnable weights) and transfer learning using a pretrained CNN (AlexNet, eight layers with learnable weights) were analyzed  Each CNN was evaluated using a Precision-Recall curve (PRC), the area under the PRC plot (AUC), and by the calculation of sensitivity and specificity  The tracking system was assessed using the validation data and the accuracy was quantified by calculating the mean error, root-mean-square error (RMSE) and the 1st and 99th percentiles of the error The fully trained CNN on the dataset with moderate noise levels had a sensitivity of 99 00% and specificity of 98 92%  Transfer learning of AlexNet resulted in a sensitivity and specificity of 99 42% and 98 13%, respectively, for the same datasets  For the arbitrarily shaped marker CNNs, the sensitivity was 98 58% and specificity was 98 97% for the fully trained CNN  The transfer learning CNN had a sensitivity and specificity of 98 49% and 99 56%, respectively  The CNNs were successfully incorporated into a multiple object tracking system for both cylindrical and arbitrarily shaped markers  The cylindrical shaped marker tracking had a mean RMSE of 1 6 ± 0 2 pixels and 1 3 ± 0 4 pixels in the x- and y-directions, respectively  The arbitrarily shaped marker tracking had a mean RMSE of 3 0 ± 0 5 pixels and 2 2 ± 0 4 pixels in the x- and y-directions, respectively With deep learning CNNs, high classification performances on unseen patient images were achieved for both cylindrical and arbitrarily shaped markers  Furthermore, the application of CNN models to intrafraction monitoring was demonstrated using a simple tracking system  The results demonstrate that CNN models can be used to track markers without prior knowledge of the marker properties or an additional learning period </t>
  </si>
  <si>
    <t>genitourinary,lung</t>
  </si>
  <si>
    <t xml:space="preserve">Faculty of Medicine and Health, ACRF Image X Institute, The University of Sydney, Sydney, NSW, Australia </t>
  </si>
  <si>
    <t>Mylonas, A; Keall, PJ; Booth, JT; Shieh, CC; Eade, T; Poulsen, PR; Nguyen, DT</t>
  </si>
  <si>
    <t>10 1016/j ejrad 2019 01 028</t>
  </si>
  <si>
    <t xml:space="preserve">Deep learning for segmentation of 49 selected bones in CT scans: First step in automated PET/CT-based 3D quantification of skeletal metastases </t>
  </si>
  <si>
    <t xml:space="preserve">The aim of this study was to develop a deep learning-based method for segmentation of bones in CT scans and test its accuracy compared to manual delineation, as a first step in the creation of an automated PET/CT-based method for quantifying skeletal tumour burden Convolutional neural networks (CNNs) were trained to segment 49 bones using manual segmentations from 100 CT scans  After training, the CNN-based segmentation method was tested on 46 patients with prostate cancer, who had undergone 18F-choline-PET/CT and 18F-NaF PET/CT less than three weeks apart  Bone volumes were calculated from the segmentations  The network's performance was compared with manual segmentations of five bones made by an experienced physician  Accuracy of the spatial overlap between automated CNN-based and manual segmentations of these five bones was assessed using the Sørensen-Dice index (SDI)  Reproducibility was evaluated applying the Bland-Altman method The median (SD) volumes of the five selected bones were by CNN and manual segmentation: Th7 41 (3 8) and 36 (5 1), L3 76 (13) and 75 (9 2), sacrum 284 (40) and 283 (26), 7th rib 33 (3 9) and 31 (4 8), sternum 80 (11) and 72 (9 2), respectively  Median SDIs were 0 86 (Th7), 0 85 (L3), 0 88 (sacrum), 0 84 (7th rib) and 0 83 (sternum)  The intraobserver volume difference was less with CNN-based than manual approach: Th7 2% and 14%, L3 7% and 8%, sacrum 1% and 3%, 7th rib 1% and 6%, sternum 3% and 5%, respectively  The average volume difference measured as ratio volume difference/mean volume between the two CNN-based segmentations was 5-6% for the vertebral column and ribs and ≤3% for other bones The new deep learning-based method for automated segmentation of bones in CT scans provided highly accurate bone volumes in a fast and automated way and, thus, appears to be a valuable first step in the development of a clinical useful processing procedure providing reliable skeletal segmentation as a key part of quantification of skeletal metastases </t>
  </si>
  <si>
    <t>Sweden</t>
    <phoneticPr fontId="0" type="noConversion"/>
  </si>
  <si>
    <t xml:space="preserve">Department of Translational Medicine, Lund University, Malmö, Sweden  Electronic address: sarah lindgren_belal@med lu se </t>
  </si>
  <si>
    <t>Lindgren Belal, S; Sadik, M; Kaboteh, R; Enqvist, O; Ulén, J; Poulsen, MH; Simonsen, J; Høilund-Carlsen, PF; Edenbrandt, L; Trägårdh, E</t>
  </si>
  <si>
    <t>10 1016/j mri 2019 03 021</t>
  </si>
  <si>
    <t xml:space="preserve">A deep learning approach to estimation of subject-level bias and variance in high angular resolution diffusion imaging </t>
    <phoneticPr fontId="0" type="noConversion"/>
  </si>
  <si>
    <t xml:space="preserve">The ability to evaluate empirical diffusion MRI acquisitions for quality and to correct the resulting imaging metrics allows for improved inference and increased replicability  Previous work has shown promise for estimation of bias and variance of generalized fractional anisotropy (GFA) but comes at the price of computational complexity  This paper aims to provide methods for estimating GFA, bias of GFA and standard deviation of GFA quickly and accurately  In order to provide a method for bias and variance estimation that can return results faster than the previously studied statistical techniques, three deep, fully-connected neural networks are developed for GFA, bias of GFA, and standard deviation of GFA  The results of these networks are compared to the observed values of the metrics as well as those fit from the statistical techniques (i e  Simulation Extrapolation (SIMEX) for bias estimation and wild bootstrap for variance estimation)  Our GFA network provides predictions that are closer to the true GFA values than a Q-ball fit of the observed data (root-mean-square error (RMSE) 0 0077 vs 0 0082, p &lt;  001)  The bias network also shows statistically significant improvement in comparison to the SIMEX-estimated error of GFA (RMSE 0 0071 vs  0 01, p &lt;  001) </t>
  </si>
  <si>
    <t xml:space="preserve">Biostatistics, Vanderbilt University Medical Center, Nashville, TN, USA </t>
  </si>
  <si>
    <t>Hainline, AE; Nath, V; Parvathaneni, P; Schilling, KG; Blaber, JA; Anderson, AW; Kang, H; Landman, BA</t>
  </si>
  <si>
    <t>10 1016/j diii 2019 02 009</t>
  </si>
  <si>
    <t xml:space="preserve">Diagnosis of focal liver lesions from ultrasound using deep learning </t>
  </si>
  <si>
    <t xml:space="preserve">The purpose of this study was to create an algorithm that simultaneously detects and characterizes (benign vs  malignant) focal liver lesion (FLL) using deep learning We trained our algorithm on a dataset proposed during a data challenge organized at the 2018 Journées Francophones de Radiologie  The dataset was composed of 367 two-dimensional ultrasound images from 367 individual livers, captured at various institutions  The algorithm was guided using an attention mechanism with annotations made by a radiologist  The algorithm was then tested on a new data set from 177 patients The models reached mean ROC-AUC scores of 0 935 for FLL detection and 0 916 for FLL characterization over three shuffled three-fold cross-validations performed with the training data  On the new dataset of 177 patients, our models reached a weighted mean ROC-AUC scores of 0 891 for seven different tasks This study that uses a supervised-attention mechanism focused on FLL detection and characterization from liver ultrasound images  This method could prove to be highly relevant for medical imaging once validated on a larger independent cohort </t>
  </si>
  <si>
    <t>CNN,DenseNet,ResNet</t>
  </si>
  <si>
    <t>France</t>
  </si>
  <si>
    <t>Diagnostic and interventional imaging</t>
  </si>
  <si>
    <t xml:space="preserve">Owkin Inc, Research and Development Laboratory, 75, rue de Turbigo, 75003 Paris, France </t>
  </si>
  <si>
    <t>Schmauch, B; Herent, P; Jehanno, P; Dehaene, O; Saillard, C; Aubé, C; Luciani, A; Lassau, N; Jégou, S</t>
  </si>
  <si>
    <t>101568499</t>
  </si>
  <si>
    <t>10 3390/molecules24061181</t>
  </si>
  <si>
    <t xml:space="preserve">Deep Learning for Validating and Estimating Resolution of Cryo-Electron Microscopy Density Maps † </t>
  </si>
  <si>
    <t xml:space="preserve">Cryo-electron microscopy (cryo-EM) is becoming the imaging method of choice for determining protein structures  Many atomic structures have been resolved based on an exponentially growing number of published three-dimensional (3D) high resolution cryo-EM density maps  However, the resolution value claimed for the reconstructed 3D density map has been the topic of scientific debate for many years  The Fourier Shell Correlation (FSC) is the currently accepted cryo-EM resolution measure, but it can be subjective, manipulated, and has its own limitations  In this study, we first propose supervised deep learning methods to extract representative 3D features at high, medium and low resolutions from simulated protein density maps and build classification models that objectively validate resolutions of experimental 3D cryo-EM maps  Specifically, we build classification models based on dense artificial neural network (DNN) and 3D convolutional neural network (3D CNN) architectures  The trained models can classify a given 3D cryo-EM density map into one of three resolution levels: high, medium, low  The preliminary DNN and 3D CNN models achieved 92 73% accuracy and 99 75% accuracy on simulated test maps, respectively  Applying the DNN and 3D CNN models to thirty experimental cryo-EM maps achieved an agreement of 60 0% and 56 7%, respectively, with the author published resolution value of the density maps  We further augment these previous techniques and present preliminary results of a 3D U-Net model for local resolution classification  The model was trained to perform voxel-wise classification of 3D cryo-EM density maps into one of ten resolution classes, instead of a single global resolution value  The U-Net model achieved 88 3% and 94 7% accuracy when evaluated on experimental maps with local resolutions determined by MonoRes and ResMap methods, respectively  Our results suggest deep learning can potentially improve the resolution evaluation process of experimental cryo-EM maps </t>
  </si>
  <si>
    <t>DNN,CNN,Unet</t>
  </si>
  <si>
    <t>Molecules (Basel, Switzerland)</t>
  </si>
  <si>
    <t xml:space="preserve">Computing and Software Systems, University of Washington, Bothell, WA 98011, USA  tavramov@uw edu </t>
  </si>
  <si>
    <t>Avramov, TK; Vyenielo, D; Gomez-Blanco, J; Adinarayanan, S; Vargas, J; Si, D</t>
  </si>
  <si>
    <t>100964009</t>
  </si>
  <si>
    <t>10 1371/journal pcbi 1006269</t>
  </si>
  <si>
    <t xml:space="preserve">Evaluating reproducibility of AI algorithms in digital pathology with DAPPER </t>
  </si>
  <si>
    <t xml:space="preserve">Artificial Intelligence is exponentially increasing its impact on healthcare  As deep learning is mastering computer vision tasks, its application to digital pathology is natural, with the promise of aiding in routine reporting and standardizing results across trials  Deep learning features inferred from digital pathology scans can improve validity and robustness of current clinico-pathological features, up to identifying novel histological patterns, e g , from tumor infiltrating lymphocytes  In this study, we examine the issue of evaluating accuracy of predictive models from deep learning features in digital pathology, as an hallmark of reproducibility  We introduce the DAPPER framework for validation based on a rigorous Data Analysis Plan derived from the FDA's MAQC project, designed to analyze causes of variability in predictive biomarkers  We apply the framework on models that identify tissue of origin on 787 Whole Slide Images from the Genotype-Tissue Expression (GTEx) project  We test three different deep learning architectures (VGG, ResNet, Inception) as feature extractors and three classifiers (a fully connected multilayer, Support Vector Machine and Random Forests) and work with four datasets (5, 10, 20 or 30 classes), for a total of 53, 000 tiles at 512 × 512 resolution  We analyze accuracy and feature stability of the machine learning classifiers, also demonstrating the need for diagnostic tests (e g , random labels) to identify selection bias and risks for reproducibility  Further, we use the deep features from the VGG model from GTEx on the KIMIA24 dataset for identification of slide of origin (24 classes) to train a classifier on 1, 060 annotated tiles and validated on 265 unseen ones  The DAPPER software, including its deep learning pipeline and the Histological Imaging-Newsy Tiles (HINT) benchmark dataset derived from GTEx, is released as a basis for standardization and validation initiatives in AI for digital pathology </t>
  </si>
  <si>
    <t>VGG,CNN,ResNet,Inception</t>
  </si>
  <si>
    <t>Italy</t>
  </si>
  <si>
    <t>PLoS computational biology</t>
  </si>
  <si>
    <t xml:space="preserve">Fondazione Bruno Kessler, Trento, Italy </t>
  </si>
  <si>
    <t>Bizzego, A; Bussola, N; Chierici, M; Maggio, V; Francescatto, M; Cima, L; Cristoforetti, M; Jurman, G; Furlanello, C</t>
  </si>
  <si>
    <t>101238922</t>
  </si>
  <si>
    <t>10 1002/mp 13510</t>
  </si>
  <si>
    <t xml:space="preserve">Attention-aware fully convolutional neural network with convolutional long short-term memory network for ultrasound-based motion tracking </t>
  </si>
  <si>
    <t xml:space="preserve">One of the promising options for motion management in radiation therapy (RT) is the use of LINAC-compatible robotic-arm-mounted ultrasound imaging system due to its high soft tissue contrast, real-time capability, absence of ionizing radiation, and low cost  The purpose of this work is to develop a novel deep learning-based real-time motion tracking strategy for ultrasound image-guided RT The proposed tracker combined the attention-aware fully convolutional neural network (FCNN) and the convolutional long short-term memory network (CLSTM) that is end-to-end trainable  The glimpse sensor module was built inside the attention-aware FCNN to discard majority of background by focusing on a region containing the object of interest  FCNN extracted discriminating spatial features of glimpse to facilitate temporal modeling for CLSTM  The saliency mask computed from CLSTM refined the features particular to the tracked landmarks  Moreover, the multitask loss strategy including bounding box loss, localization loss, saliency loss, and adaptive loss weighting term was utilized to facilitate training convergence and avoid over/underfitting  The tracker was tested on the databases provided by MICCAI 2015 challenges, and the ground truth data were obtained with the help of brute force-based template matching technology The mean tracking error of 0 97 ± 0 52 mm and maximum tracking error of 1 94 mm were observed for 85 point landmarks across 39 ultrasound cases compared to the ground truth annotations  The tracking speed per frame per landmark with the GPU implementation ranged from 66 and 101 frames per second, which largely exceeded the ultrasound imaging rate The results demonstrated the robustness and accuracy of the proposed deep learning-based motion estimation, despite the existence of some known shortcomings of ultrasound imaging such as speckle noise  The tracking speed of the system was found to be remarkable, sufficiently fast for real-time applications in RT environment  The approach provides a valuable tool to guide RT treatment with beam gating or multileaf collimator (MLC) tracking in real time </t>
  </si>
  <si>
    <t>FCNN,CNN,LSTM</t>
  </si>
  <si>
    <t xml:space="preserve">Shandong Province Key Laboratory of Medical Physics and Image Processing Technology, School of Physics and Electronics, Shandong Normal University, Jinan, Shandong, 250358, China </t>
  </si>
  <si>
    <t>Huang, P; Yu, G; Lu, H; Liu, D; Xing, L; Yin, Y; Kovalchuk, N; Xing, L; Li, D</t>
  </si>
  <si>
    <t>10 1007/s11548-019-01951-z</t>
  </si>
  <si>
    <t xml:space="preserve">Learning needle tip localization from digital subtraction in 2D ultrasound </t>
  </si>
  <si>
    <t xml:space="preserve">This paper addresses localization of needles inserted both in-plane and out-of-plane in challenging ultrasound-guided interventions where the shaft and tip have low intensity  Our approach combines a novel digital subtraction scheme for enhancement of low-level intensity changes caused by tip movement in the ultrasound image and a state-of-the-art deep learning scheme for tip detection As the needle tip moves through tissue, it causes subtle spatiotemporal variations in intensity  Relying on these intensity changes, we formulate a foreground detection scheme for enhancing the tip from consecutive ultrasound frames  The tip is augmented by solving a spatial total variation regularization problem using the split Bregman method  Lastly, we filter irrelevant motion events with a deep learning-based end-to-end data-driven method that models the appearance of the needle tip in ultrasound images, resulting in needle tip detection The detection model is trained and evaluated on an extensive ex vivo dataset collected with 17G and 22G needles inserted in-plane and out-of-plane in bovine, porcine and chicken phantoms  We use 5000 images extracted from 20 video sequences for training and 1000 images from 10 sequences for validation  The overall framework is evaluated on 700 images from 20 sequences not used in training and validation, and achieves a tip localization error of 0 72 ± 0 04 mm and an overall processing time of 0 094 s per frame (~ 10 frames per second) The proposed method is faster and more accurate than state of the art and is resilient to spatiotemporal redundancies  The promising results demonstrate its potential for accurate needle localization in challenging ultrasound-guided interventions </t>
  </si>
  <si>
    <t xml:space="preserve">Department of Biomedical Engineering, Rutgers University, Piscataway, NJ, 08854, USA  cosmas mwikirize@rutgers edu </t>
  </si>
  <si>
    <t>Mwikirize, C; Nosher, JL; Hacihaliloglu, I</t>
  </si>
  <si>
    <t>10 1016/j neuroimage 2019 03 041</t>
  </si>
  <si>
    <t xml:space="preserve">3D whole brain segmentation using spatially localized atlas network tiles </t>
  </si>
  <si>
    <t xml:space="preserve">Detailed whole brain segmentation is an essential quantitative technique in medical image analysis, which provides a non-invasive way of measuring brain regions from a clinical acquired structural magnetic resonance imaging (MRI)  Recently, deep convolution neural network (CNN) has been applied to whole brain segmentation  However, restricted by current GPU memory, 2D based methods, downsampling based 3D CNN methods, and patch-based high-resolution 3D CNN methods have been the de facto standard solutions  3D patch-based high resolution methods typically yield superior performance among CNN approaches on detailed whole brain segmentation (&gt;100 labels), however, whose performance are still commonly inferior compared with state-of-the-art multi-atlas segmentation methods (MAS) due to the following challenges: (1) a single network is typically used to learn both spatial and contextual information for the patches, (2) limited manually traced whole brain volumes are available (typically less than 50) for training a network  In this work, we propose the spatially localized atlas network tiles (SLANT) method to distribute multiple independent 3D fully convolutional networks (FCN) for high-resolution whole brain segmentation  To address the first challenge, multiple spatially distributed networks were used in the SLANT method, in which each network learned contextual information for a fixed spatial location  To address the second challenge, auxiliary labels on 5111 initially unlabeled scans were created by multi-atlas segmentation for training  Since the method integrated multiple traditional medical image processing methods with deep learning, we developed a containerized pipeline to deploy the end-to-end solution  From the results, the proposed method achieved superior performance compared with multi-atlas segmentation methods, while reducing the computational time from &gt;30 h to 15 min  The method has been made available in open source (https://github com/MASILab/SLANTbrainSeg) </t>
  </si>
  <si>
    <t xml:space="preserve">Department of Electrical Engineering and Computer Science, Vanderbilt University, Nashville, TN, USA  Electronic address: yuankai huo@vanderbilt edu </t>
  </si>
  <si>
    <t>Huo, Y; Xu, Z; Xiong, Y; Aboud, K; Parvathaneni, P; Bao, S; Bermudez, C; Resnick, SM; Cutting, LE; Landman, BA</t>
  </si>
  <si>
    <t>10 3390/s19061425</t>
  </si>
  <si>
    <t xml:space="preserve">Baseball Player Behavior Classification System Using Long Short-Term Memory with Multimodal Features </t>
  </si>
  <si>
    <t xml:space="preserve">In this paper, a preliminary baseball player behavior classification system is proposed  By using multiple IoT sensors and cameras, the proposed method accurately recognizes many of baseball players' behaviors by analyzing signals from heterogeneous sensors  The contribution of this paper is threefold: (i) signals from a depth camera and from multiple inertial sensors are obtained and segmented, (ii) the time-variant skeleton vector projection from the depth camera and the statistical features extracted from the inertial sensors are used as features, and (iii) a deep learning-based scheme is proposed for training behavior classifiers  The experimental results demonstrate that the proposed deep learning behavior system achieves an accuracy of greater than 95% compared to the proposed dataset </t>
  </si>
  <si>
    <t>Sensors (Basel, Switzerland)</t>
  </si>
  <si>
    <t xml:space="preserve">Department of New Media Art, Taipei National University of the Arts, Taipei 112, Taiwan  swsun@newmedia tnua edu tw </t>
  </si>
  <si>
    <t>Sun, SW; Mou, TC; Fang, CC; Chang, PC; Hua, KL; Shih, HC</t>
  </si>
  <si>
    <t>101204366</t>
  </si>
  <si>
    <t>10 1109/TMI 2019 2906677</t>
  </si>
  <si>
    <t xml:space="preserve">Arterial Spin Labeling Images Synthesis From sMRI Using Unbalanced Deep Discriminant Learning </t>
    <phoneticPr fontId="0" type="noConversion"/>
  </si>
  <si>
    <t xml:space="preserve">Adequate medical images are often indispensable in contemporary deep learning-based medical imaging studies, although the acquisition of certain image modalities may be limited due to several issues including high costs and patients issues  However, thanks to recent advances in deep learning techniques, the above tough problem can be substantially alleviated by medical images synthesis, by which various modalities including T1/T2/DTI MRI images, PET images, cardiac ultrasound images, retinal images, and so on, have already been synthesized  Unfortunately, the arterial spin labeling (ASL) image, which is an important fMRI indicator in dementia diseases diagnosis nowadays, has never been comprehensively investigated for the synthesis purpose yet  In this paper, ASL images have been successfully synthesized from structural magnetic resonance images for the first time  Technically, a novel unbalanced deep discriminant learning-based model equipped with new ResNet sub-structures is proposed to realize the synthesis of ASL images from structural magnetic resonance images  The extensive experiments have been conducted  Comprehensive statistical analyses reveal that: 1) this newly introduced model is capable to synthesize ASL images that are similar towards real ones acquired by actual scanning; 2) synthesized ASL images obtained by the new model have demonstrated outstanding performance when undergoing rigorous tests of region-based and voxel-based corrections of partial volume effects, which are essential in ASL images processing; and 3) it is also promising that the diagnosis performance of dementia diseases can be significantly improved with the help of synthesized ASL images obtained by the new model, based on a multi-modal MRI dataset containing 355 demented patients in this paper </t>
  </si>
  <si>
    <t xml:space="preserve">CNN,ResNet </t>
  </si>
  <si>
    <t>Taiwan</t>
    <phoneticPr fontId="0" type="noConversion"/>
  </si>
  <si>
    <t>Department of New Media Art, Taipei National University of the Arts, Taipei 112, Taiwan</t>
    <phoneticPr fontId="0" type="noConversion"/>
  </si>
  <si>
    <t>Huang, W; Luo, M; Liu, X; Zhang, P; Ding, H; Xue, W; Ni, D</t>
  </si>
  <si>
    <t>10 1007/978-3-030-00928-1_25</t>
  </si>
  <si>
    <t xml:space="preserve">Ultra-Fast T2-Weighted MR Reconstruction Using Complementary T1-Weighted Information </t>
  </si>
  <si>
    <t xml:space="preserve">T1-weighted image (T1WI) and T2-weighted image (T2WI) are the two routinely acquired Magnetic Resonance Imaging (MRI) protocols that provide complementary information for diagnosis  However, the total acquisition time of ~10 min yields the image quality vulnerable to artifacts such as motion  To speed up MRI process, various algorithms have been proposed to reconstruct high quality images from under-sampled k-space data  These algorithms only employ the information of an individual protocol (e g , T2WI)  In this paper, we propose to combine complementary MRI protocols (i e , T1WI and under-sampled T2WI particularly) to reconstruct the high-quality image (i e , fully-sampled T2WI)  To the best of our knowledge, this is the first work to utilize data from different MRI protocols to speed up the reconstruction of a target sequence  Specifically, we present a novel deep learning approach, namely Dense-Unet, to accomplish the reconstruction task  The Dense-Unet requires fewer parameters and less computation, but achieves better performance  Our results have shown that Dense-Unet can reconstruct a 3D T2WI volume in less than 10 s, i e , with the acceleration rate as high as 8 or more but with negligible aliasing artefacts and signal-noise-ratio (SNR) loss </t>
  </si>
  <si>
    <t>cnn,Unet</t>
  </si>
  <si>
    <t xml:space="preserve">Institute for Medical Imaging Technology, School of Biomedical Engineering, Shanghai Jiao Tong University, Shanghai, China </t>
  </si>
  <si>
    <t>Xiang, L; Chen, Y; Chang, W; Zhan, Y; Lin, W; Wang, Q; Shen, D</t>
  </si>
  <si>
    <t>10 1007/s11548-019-01950-0</t>
  </si>
  <si>
    <t xml:space="preserve">Deep neural maps for unsupervised visualization of high-grade cancer in prostate biopsies </t>
  </si>
  <si>
    <t xml:space="preserve">Prostate cancer (PCa) is the most frequent noncutaneous cancer in men  Early detection of PCa is essential for clinical decision making, and reducing metastasis and mortality rates  The current approach for PCa diagnosis is histopathologic analysis of core biopsies taken under transrectal ultrasound guidance (TRUS-guided)  Both TRUS-guided systematic biopsy and MR-TRUS-guided fusion biopsy have limitations in accurately identifying PCa, intraoperatively  There is a need to augment this process by visualizing highly probable areas of PCa  Temporal enhanced ultrasound (TeUS) has emerged as a promising modality for PCa detection  Prior work focused on supervised classification of PCa verified by gold standard pathology  Pathology labels are noisy, and data from an entire core have a single label even when significantly heterogeneous  Additionally, supervised methods are limited by data from cores with known pathology, and a significant portion of prostate data is discarded without being used  We provide an end-to-end unsupervised solution to map PCa distribution from TeUS data using an innovative representation learning method, deep neural maps  TeUS data are transformed to a topologically arranged hyper-lattice, where similar samples are closer together in the lattice  Therefore, similar regions of malignant and benign tissue in the prostate are clustered together  Our proposed method increases the number of training samples by several orders of magnitude  Data from biopsy cores with known labels are used to associate the clusters with PCa  Cancer probability maps generated using the unsupervised clustering of TeUS data help intuitively visualize the distribution of abnormal tissue for augmenting TRUS-guided biopsies </t>
  </si>
  <si>
    <t>AUTOENCODER</t>
  </si>
  <si>
    <t xml:space="preserve">Queen's University, Kingston, ON, Canada  Sedghi@cs queensu ca </t>
  </si>
  <si>
    <t>Sedghi, A; Pesteie, M; Javadi, G; Azizi, S; Yan, P; Kwak, JT; Xu, S; Turkbey, B; Choyke, P; Pinto, P; Wood, B; Rohling, R; Abolmaesumi, P; Mousavi, P</t>
  </si>
  <si>
    <t>10 1016/j cmpb 2019 02 006</t>
  </si>
  <si>
    <t xml:space="preserve">Deep learning and SURF for automated classification and detection of calcaneus fractures in CT images </t>
  </si>
  <si>
    <t xml:space="preserve">The calcaneus is the most fracture-prone tarsal bone and injuries to the surrounding tissue are some of the most difficult to treat  Currently there is a lack of consensus on treatment or interpretation of computed tomography (CT) images for calcaneus fractures  This study proposes a novel computer-assisted method for automated classification and detection of fracture locations in calcaneus CT images using a deep learning algorithm Two types of Convolutional Neural Network (CNN) architectures with different network depths, a Residual network (ResNet) and a Visual geometry group (VGG), were evaluated and compared for the classification performance of CT scans into fracture and non-fracture categories based on coronal, sagittal, and transverse views  The bone fracture detection algorithm incorporated fracture area matching using the speeded-up robust features (SURF) method, Canny edge detection, and contour tracing Results showed that ResNet was comparable in accuracy (98%) to the VGG network for bone fracture classification but achieved better performance for involving a deeper neural network architecture  ResNet classification results were used as the input for detecting the location and type of bone fracture using SURF algorithm Results from real patient fracture data sets demonstrate the feasibility using deep CNN and SURF for computer-aided classification and detection of the location of calcaneus fractures in CT images </t>
  </si>
  <si>
    <t>CNN,ResNet,VGG</t>
  </si>
  <si>
    <t xml:space="preserve">Department of Computer Science and Information Engineering, National Central University, Jhongli County, Taoyuan City, Taiwan </t>
  </si>
  <si>
    <t>Pranata, YD; Wang, KC; Wang, JC; Idram, I; Lai, JY; Liu, JW; Hsieh, IH</t>
  </si>
  <si>
    <t>10 1007/s10916-019-1228-2</t>
  </si>
  <si>
    <t xml:space="preserve">Glioma Tumor Grade Identification Using Artificial Intelligent Techniques </t>
  </si>
  <si>
    <t xml:space="preserve">Computer aided diagnosis using artificial intelligent techniques made tremendous improvement in medical applications especially for easy detection of tumor area, tumor type and grades  This paper presents automatic glioma tumor grade identification from magnetic resonant images using Wndchrm tool based classifier (Weighted Neighbour Distance using Compound Heirarchy of Algorithms Representing Morphology) and VGG-19 deep convolutional neural network (DNN)  For experimentation, DICOM images are collected from reputed government hospital and the proposed intelligent system categorized the tumor into four grades such as low grade glioma, oligodendroglioma, anaplastic glioma and glioblastoma multiform  After preprocessing, features are extracted, optimized and then classified using Windchrm tool where the most significant features are selected on the basis of Fisher score  In the case of DNN classifier, data augmentation is also performed before applying the images into the deep learning network  The performance of the classifiers are analysed with various measures such as accuracy, precision, sensitivity, specificity and F1-score  The results showed reasonably good performance with a maximum classification accuracy of 92 86% for the Wndchrm classifier and 98 25% for VGG-19 DNN classifier  The results are also compared with similar recent works and the proposed system is found to have better performance </t>
  </si>
  <si>
    <t xml:space="preserve">Department of Electrical Engineering, National Institute of Technology Calicut, 673601, Calicut, India  ahammedcet@gmail com </t>
  </si>
  <si>
    <t>Ahammed Muneer K V, ; Rajendran, VR; K, PJ</t>
  </si>
  <si>
    <t>10 1016/j neuroimage 2019 03 026</t>
  </si>
  <si>
    <t xml:space="preserve">Unsupervised domain adaptation for medical imaging segmentation with self-ensembling </t>
  </si>
  <si>
    <t xml:space="preserve">Recent advances in deep learning methods have redefined the state-of-the-art for many medical imaging applications, surpassing previous approaches and sometimes even competing with human judgment in several tasks  Those models, however, when trained to reduce the empirical risk on a single domain, fail to generalize when applied to other domains, a very common scenario in medical imaging due to the variability of images and anatomical structures, even across the same imaging modality  In this work, we extend the method of unsupervised domain adaptation using self-ensembling for the semantic segmentation task and explore multiple facets of the method on a small and realistic publicly-available magnetic resonance (MRI) dataset  Through an extensive evaluation, we show that self-ensembling can indeed improve the generalization of the models even when using a small amount of unlabeled data </t>
  </si>
  <si>
    <t xml:space="preserve">NeuroPoly Lab, Institute of Biomedical Engineering, Polytechnique Montreal, Montreal, QC, Canada  Electronic address: christian perone@gmail com </t>
  </si>
  <si>
    <t>Perone, CS; Ballester, P; Barros, RC; Cohen-Adad, J</t>
  </si>
  <si>
    <t>10 1007/978-3-030-00928-1_57</t>
  </si>
  <si>
    <t xml:space="preserve">Subject2Vec: Generative-Discriminative Approach from a Set of Image Patches to a Vector </t>
  </si>
  <si>
    <t xml:space="preserve">We propose an attention-based method that aggregates local image features to a subject-level representation for predicting disease severity  In contrast to classical deep learning that requires a fixed dimensional input, our method operates on a set of image patches; hence it can accommodate variable length input image without image resizing  The model learns a clinically interpretable subject-level representation that is reflective of the disease severity  Our model consists of three mutually dependent modules which regulate each other: (1) a discriminative network that learns a fixed-length representation from local features and maps them to disease severity; (2) an attention mechanism that provides interpretability by focusing on the areas of the anatomy that contribute the most to the prediction task; and (3) a generative network that encourages the diversity of the local latent features  The generative term ensures that the attention weights are non-degenerate while maintaining the relevance of the local regions to the disease severity  We train our model end-to-end in the context of a large-scale lung CT study of Chronic Obstructive Pulmonary Disease (COPD)  Our model gives state-of-the art performance in predicting clinical measures of severity for COPD The distribution of the attention provides the regional relevance of lung tissue to the clinical measurements </t>
  </si>
  <si>
    <t xml:space="preserve">Computer Science Department, University of Pittsburgh, USA </t>
  </si>
  <si>
    <t>Singla, S; Gong, M; Ravanbakhsh, S; Sciurba, F; Poczos, B; Batmanghelich, KN</t>
  </si>
  <si>
    <t>10 1016/j compmedimag 2019 02 001</t>
  </si>
  <si>
    <t xml:space="preserve">3D convolutional neural networks for tumor segmentation using long-range 2D context </t>
  </si>
  <si>
    <t xml:space="preserve">We present an efficient deep learning approach for the challenging task of tumor segmentation in multisequence MR images  In recent years, Convolutional Neural Networks (CNN) have achieved state-of-the-art performances in a large variety of recognition tasks in medical imaging  Because of the considerable computational cost of CNNs, large volumes such as MRI are typically processed by subvolumes, for instance slices (axial, coronal, sagittal) or small 3D patches  In this paper we introduce a CNN-based model which efficiently combines the advantages of the short-range 3D context and the long-range 2D context  Furthermore, we propose a network architecture with modality-specific subnetworks in order to be more robust to the problem of missing MR sequences during the training phase  To overcome the limitations of specific choices of neural network architectures, we describe a hierarchical decision process to combine outputs of several segmentation models  Finally, a simple and efficient algorithm for training large CNN models is introduced  We evaluate our method on the public benchmark of the BRATS 2017 challenge on the task of multiclass segmentation of malignant brain tumors  Our method achieves good performances and produces accurate segmentations with median Dice scores of 0 918 (whole tumor), 0 883 (tumor core) and 0 854 (enhancing core) </t>
  </si>
  <si>
    <t xml:space="preserve">Université Côte d'Azur, Inria Sophia Antipolis, France  Electronic address: pawel mlynarski@inria fr </t>
  </si>
  <si>
    <t>Mlynarski, P; Delingette, H; Criminisi, A; Ayache, N</t>
  </si>
  <si>
    <t>10 1002/mp 13500</t>
  </si>
  <si>
    <t xml:space="preserve">A deep learning- and partial least square regression-based model observer for a low-contrast lesion detection task in CT </t>
  </si>
  <si>
    <t xml:space="preserve">This work aims to develop a new framework of image quality assessment using deep learning-based model observer (DL-MO) and to validate it in a low-contrast lesion detection task that involves CT images with patient anatomical background The DL-MO was developed using the transfer learning strategy to incorporate a pretrained deep convolutional neural network (CNN), a partial least square regression discriminant analysis (PLS-DA) model and an internal noise component  The CNN was previously trained to achieve the state-of-the-art classification accuracy over a natural image database  The earlier layers of the CNN were used as a deep feature extractor, with the assumption that similarity exists between the CNN and the human visual system  The PLSR model was used to further engineer the deep feature for the lesion detection task in CT images  The internal noise component was incorporated to model the inefficiency and variability of human observer (HO) performance, and to generate the ultimate DL-MO test statistics  Seven abdominal CT exams were retrospectively collected from the same type of CT scanners  To compare DL-MO with HO, 12 experimental conditions with varying lesion size, lesion contrast, radiation dose, and reconstruction types were generated, each condition with 154 trials  CT images of a real liver metastatic lesion were numerically modified to generate lesion models with four lesion sizes (5, 7, 9, and 11 mm) and three contrast levels (15, 20, and 25 HU)  The lesions were inserted into patient liver images using a projection-based method  A validated noise insertion tool was used to synthesize CT exams with 50% and 25% of routine radiation dose level  CT images were reconstructed using the weighted filtered back projection algorithm and an iterative reconstruction algorithm  Four medical physicists performed a two-alternative forced choice (2AFC) detection task (with multislice scrolling viewing mode) on patient images across the 12 experimental conditions  DL-MO was operated on the same datasets  Statistical analyses were performed to evaluate the correlation and agreement between DL-MO and HO A statistically significant positive correlation was observed between DL-MO and HO for the 2AFC low-contrast detection task that involves patient liver background  The corresponding Pearson product moment correlation coefficient was 0 986 [95% confidence interval (0 950, 0 996)]  Bland-Altman agreement analysis did not indicate statistically significant differences The proposed DL-MO is highly correlated with HO in a low-contrast detection task that involves realistic patient liver background  This study demonstrated the potential of the proposed DL-MO to assess image quality directly based on patient images in realistic, clinically relevant CT tasks </t>
  </si>
  <si>
    <t xml:space="preserve">Department of Radiology, Mayo Clinic, Rochester, MN, 55905, USA </t>
  </si>
  <si>
    <t>Gong, H; Yu, L; Leng, S; Dilger, SK; Ren, L; Zhou, W; Fletcher, JG; McCollough, CH</t>
  </si>
  <si>
    <t>10 1007/s11548-019-01937-x</t>
  </si>
  <si>
    <t xml:space="preserve">Toward an automatic preoperative pipeline for image-guided temporal bone surgery </t>
  </si>
  <si>
    <t xml:space="preserve">Minimally invasive surgery is often built upon a time-consuming preoperative step consisting of segmentation and trajectory planning  At the temporal bone, a complete automation of these two tasks might lead to faster interventions and more reproducible results, benefiting clinical workflow and patient health We propose an automatic segmentation and trajectory planning pipeline for image-guided interventions at the temporal bone  For segmentation, we use a shape regularized deep learning approach that is capable of automatically detecting even the cluttered tiny structures specific for this anatomy  We then perform trajectory planning for both linear and nonlinear interventions on these automatically segmented risk structures We evaluate the usability of segmentation algorithms for planning access canals to the cochlea and the internal auditory canal on 24 CT data sets of real patients  Our new approach achieves similar results to the existing semiautomatic method in terms of Dice but provides more accurate organ shapes for the subsequent trajectory planning step  The source code of the algorithms is publicly available Automatic segmentation and trajectory planning for various clinical procedures at the temporal bone are feasible  The proposed automatic pipeline leads to an efficient and unbiased workflow for preoperative planning </t>
  </si>
  <si>
    <t xml:space="preserve">Department of Computer Science, Technische Universität Darmstadt, Darmstadt, Germany  johannes fauser@gris tu-darmstadt de </t>
  </si>
  <si>
    <t>Fauser, J; Stenin, I; Bauer, M; Hsu, WH; Kristin, J; Klenzner, T; Schipper, J; Mukhopadhyay, A</t>
  </si>
  <si>
    <t>10 1007/s11604-019-00831-5</t>
  </si>
  <si>
    <t xml:space="preserve">Distinction between benign and malignant breast masses at breast ultrasound using deep learning method with convolutional neural network </t>
  </si>
  <si>
    <t xml:space="preserve">We aimed to use deep learning with convolutional neural network (CNN) to discriminate between benign and malignant breast mass images from ultrasound We retrospectively gathered 480 images of 96 benign masses and 467 images of 144 malignant masses for training data  Deep learning model was constructed using CNN architecture GoogLeNet and analyzed test data: 48 benign masses, 72 malignant masses  Three radiologists interpreted these test data  Sensitivity, specificity, accuracy, and area under the receiver operating characteristic curve (AUC) were calculated The CNN model and radiologists had a sensitivity of 0 958 and 0 583-0 917, specificity of 0 925 and 0 604-0 771, and accuracy of 0 925 and 0 658-0 792, respectively  The CNN model had equal or better diagnostic performance compared to radiologists (AUC = 0 913 and 0 728-0 845, p = 0 01-0 14) Deep learning with CNN shows high diagnostic performance to discriminate between benign and malignant breast masses on ultrasound </t>
  </si>
  <si>
    <t>CNN,GoogLeNet</t>
  </si>
  <si>
    <t>Japanese journal of radiology</t>
  </si>
  <si>
    <t xml:space="preserve">Department of Radiology, Tokyo Medical and Dental University, 1-5-45 Yushima, Bunkyo-ku, Tokyo, 113-8510, Japan </t>
  </si>
  <si>
    <t>Fujioka, T; Kubota, K; Mori, M; Kikuchi, Y; Katsuta, L; Kasahara, M; Oda, G; Ishiba, T; Nakagawa, T; Tateishi, U</t>
  </si>
  <si>
    <t>101490689</t>
  </si>
  <si>
    <t>10 1002/mp 13495</t>
  </si>
  <si>
    <t xml:space="preserve">A convolutional neural network algorithm for automatic segmentation of head and neck organs at risk using deep lifelong learning </t>
  </si>
  <si>
    <t xml:space="preserve">This study suggests a lifelong learning-based convolutional neural network (LL-CNN) algorithm as a superior alternative to single-task learning approaches for automatic segmentation of head and neck (OARs) organs at risk Lifelong learning-based convolutional neural network was trained on twelve head and neck OARs simultaneously using a multitask learning framework  Once the weights of the shared network were established, the final multitask convolutional layer was replaced by a single-task convolutional layer  The single-task transfer learning network was trained on each OAR separately with early stoppage  The accuracy of LL-CNN was assessed based on Dice score and root-mean-square error (RMSE) compared to manually delineated contours set as the gold standard  LL-CNN was compared with 2D-UNet, 3D-UNet, a single-task CNN (ST-CNN), and a pure multitask CNN (MT-CNN)  Training, validation, and testing followed Kaggle competition rules, where 160 patients were used for training, 20 were used for internal validation, and 20 in a separate test set were used to report final prediction accuracies On average contours generated with LL-CNN had higher Dice coefficients and lower RMSE than 2D-UNet, 3D-Unet, ST- CNN, and MT-CNN  LL-CNN required ~72 hrs to train using a distributed learning framework on 2 Nvidia 1080Ti graphics processing units  LL-CNN required 20 s to predict all 12 OARs, which was approximately as fast as the fastest alternative methods with the exception of MT-CNN This study demonstrated that for head and neck organs at risk, LL-CNN achieves a prediction accuracy superior to all alternative algorithms </t>
  </si>
  <si>
    <t xml:space="preserve">Department of Radiation Oncology, University of California, San Francisco, CA, 94115, USA </t>
  </si>
  <si>
    <t>Chan, JW; Kearney, V; Haaf, S; Wu, S; Bogdanov, M; Reddick, M; Dixit, N; Sudhyadhom, A; Chen, J; Yom, SS; Solberg, TD</t>
  </si>
  <si>
    <t>10 1038/s41592-019-0353-7</t>
  </si>
  <si>
    <t xml:space="preserve">Scalable analysis of cell-type composition from single-cell transcriptomics using deep recurrent learning </t>
    <phoneticPr fontId="0" type="noConversion"/>
  </si>
  <si>
    <t xml:space="preserve">Recent advances in large-scale single-cell RNA-seq enable fine-grained characterization of phenotypically distinct cellular states in heterogeneous tissues  We present scScope, a scalable deep-learning-based approach that can accurately and rapidly identify cell-type composition from millions of noisy single-cell gene-expression profiles </t>
  </si>
  <si>
    <t>Nature methods</t>
  </si>
  <si>
    <t xml:space="preserve">Department of Pharmaceutical Chemistry, University of California, San Francisco, San Francisco, CA, USA </t>
  </si>
  <si>
    <t>Deng, Y; Bao, F; Dai, Q; Wu, LF; Altschuler, SJ</t>
  </si>
  <si>
    <t>101215604</t>
  </si>
  <si>
    <t>10 1007/978-3-030-00931-1_38</t>
  </si>
  <si>
    <t xml:space="preserve">Learning Generalizable Recurrent Neural Networks from Small Task-fMRI Datasets </t>
  </si>
  <si>
    <t xml:space="preserve">Deep learning has become the new state-of-the-art for many problems in image analysis  However, large datasets are often required for such deep networks to learn effectively  This poses a difficult challenge for many medical image analysis problems in which only a small number of subjects are available, e g , patients undergoing a new treatment  In this work, we propose a number of approaches for learning generalizable recurrent neural networks from smaller task-fMRI datasets: 1) a resampling method for ROI-based fMRI analysis to create augmented data; 2) inclusion of a small number of non-imaging variables to provide subject-specific initialization of the recurrent neural network; and 3) selection of the most generalizable model from multiple reinitialized training runs using criteria based on only training loss  Using cross-validation to assess model performance, we demonstrate the effectiveness of the proposed methods to train recurrent neural networks from small datasets to predict treatment outcome for children with autism spectrum disorder (N = 21) and classify autistic vs  typical control subjects (N = 40) from task-fMRI scans </t>
  </si>
  <si>
    <t xml:space="preserve">Department of Radiology &amp; Biomedical Imaging, Yale School of Medicine, New Haven, CT, USA </t>
  </si>
  <si>
    <t>Dvornek, NC; Yang, D; Ventola, P; Duncan, JS</t>
  </si>
  <si>
    <t>10 3389/fnins 2019 00097</t>
  </si>
  <si>
    <t xml:space="preserve">A U-Net Deep Learning Framework for High Performance Vessel Segmentation in Patients With Cerebrovascular Disease </t>
  </si>
  <si>
    <t xml:space="preserve">Brain vessel status is a promising biomarker for better prevention and treatment in cerebrovascular disease  However, classic rule-based vessel segmentation algorithms need to be hand-crafted and are insufficiently validated  A specialized deep learning method-the U-net-is a promising alternative  Using labeled data from 66 patients with cerebrovascular disease, the U-net framework was optimized and evaluated with three metrics: Dice coefficient, 95% Hausdorff distance (95HD) and average Hausdorff distance (AVD)  The model performance was compared with the traditional segmentation method of graph-cuts  Training and reconstruction was performed using 2D patches  A full and a reduced architecture with less parameters were trained  We performed both quantitative and qualitative analyses  The U-net models yielded high performance for both the full and the reduced architecture: A Dice value of ~0 88, a 95HD of ~47 voxels and an AVD of ~0 4 voxels  The visual analysis revealed excellent performance in large vessels and sufficient performance in small vessels  Pathologies like cortical laminar necrosis and a rete mirabile led to limited segmentation performance in few patients  The U-net outperfomed the traditional graph-cuts method (Dice ~0 76, 95HD ~59, AVD ~1 97)  Our work highly encourages the development of clinically applicable segmentation tools based on deep learning  Future works should focus on improved segmentation of small vessels and methodologies to deal with specific pathologies </t>
  </si>
  <si>
    <t xml:space="preserve">Predictive Modelling in Medicine Research Group, Department of Neurosurgery, Charité - Universitätsmedizin Berlin, Berlin, Germany </t>
  </si>
  <si>
    <t>Livne, M; Rieger, J; Aydin, OU; Taha, AA; Akay, EM; Kossen, T; Sobesky, J; Kelleher, JD; Hildebrand, K; Frey, D; Madai, VI</t>
  </si>
  <si>
    <t>10 3390/s19061265</t>
  </si>
  <si>
    <t xml:space="preserve">Application of Convolutional Neural Networks for Automated Ulcer Detection in Wireless Capsule Endoscopy Images </t>
  </si>
  <si>
    <t xml:space="preserve">Detection of abnormalities in wireless capsule endoscopy (WCE) images is a challenging task  Typically, these images suffer from low contrast, complex background, variations in lesion shape and color, which affect the accuracy of their segmentation and subsequent classification  This research proposes an automated system for detection and classification of ulcers in WCE images, based on state-of-the-art deep learning networks  Deep learning techniques, and in particular, convolutional neural networks (CNNs), have recently become popular in the analysis and recognition of medical images  The medical image datasets used in this study were obtained from WCE video frames  In this work, two milestone CNN architectures, namely the AlexNet and the GoogLeNet are extensively evaluated in object classification into ulcer or non-ulcer  Furthermore, we examine and analyze the images identified as containing ulcer objects to evaluate the efficiency of the utilized CNNs  Extensive experiments show that CNNs deliver superior performance, surpassing traditional machine learning methods by large margins, which supports their effectiveness as automated diagnosis tools </t>
  </si>
  <si>
    <t>CNN, AlexNet,GoogLeNet</t>
  </si>
  <si>
    <t>SaudiArabia</t>
  </si>
  <si>
    <t xml:space="preserve">Department of Computer Science, College of Computer Engineering and Sciences Prince Sattam Bin Abdulaziz University, Alkharj 11942, Saudi Arabia  h alaskar@psau edu sa </t>
  </si>
  <si>
    <t>Alaskar, H; Hussain, A; Al-Aseem, N; Liatsis, P; Al-Jumeily, D</t>
  </si>
  <si>
    <t>10 1002/mp 13490</t>
  </si>
  <si>
    <t xml:space="preserve">A deep learning method for prediction of three-dimensional dose distribution of helical tomotherapy </t>
  </si>
  <si>
    <t xml:space="preserve">To develop a deep learning method for prediction of three-dimensional (3D) voxel-by-voxel dose distributions of helical tomotherapy (HT) Using previously treated HT plans as training data, a deep learning model named U-ResNet-D was trained to predict a 3D dose distribution  First, the contoured structures and dose volumes were converted from plan database to 3D matrix with a program based on a developed visualization toolkit (VTK), then transferred to U-ResNet-D for correlating anatomical features and dose distributions at voxel-level  One hundred and ninety nasopharyngeal cancer (NPC) patients treated by HT with multiple planning target volumes (PTVs) in different prescription patterns were studied  The model was typically trained from scratch with weights randomly initialized rather than using transfer-learning method, and used to predict new patient's 3D dose distributions  The predictive accuracy was evaluated with three methods: (a) The dose difference at the position r, δ(r, r) = Dc (r) - Dp (r), was calculated for each voxel  The mean (μδ(r,r) ) and standard deviation (σδ(r,r) ) of δ(r, r) were calculated to assess the prediction bias and precision; (b) The mean absolute differences of dosimetric indexes (DIs) including maximum and mean dose, homogeneity index, conformity index, and dose spillage for PTVs and organ at risks (OARs) were calculated and statistically analyzed with the paired-samples t test; (c) Dice similarity coefficients (DSC) between predicted and clinical isodose volumes were calculated The U-ResNet-D model predicted 3D dose distribution accurately  For twenty tested patients, the prediction bias ranged from -2 0% to 2 3% and prediction error varied from 1 5% to 4 5% (relative to prescription) for 3D dose differences  The mean absolute dose differences for PTVs and OARs are within 2 0% and 4 2%, and nearly all the DIs for PTVs and OARs had no significant differences  The averaged DSC ranged from 0 95 to 1 for different isodose volumes The study developed a new deep learning method for 3D voxel-by-voxel dose prediction, and shown to be able to produce accurately dose predictions for nasopharyngeal patients treated by HT  The predicted 3D dose map can be useful for improving radiotherapy planning design, ensuring plan quality and consistency, making clinical technique comparison, and guiding automatic treatment planning </t>
    <phoneticPr fontId="0" type="noConversion"/>
  </si>
  <si>
    <t>ResNet</t>
    <phoneticPr fontId="0" type="noConversion"/>
  </si>
  <si>
    <t xml:space="preserve">National Cancer Center/National Clinical Research Center for Cancer/Cancer Hospital, Chinese Academy of Medical Sciences and Peking Union Medical College, 17 Panjiayuannanli, Chaoyang District, Beijing, 100021, China </t>
  </si>
  <si>
    <t>Liu, Z; Fan, J; Li, M; Yan, H; Hu, Z; Huang, P; Tian, Y; Miao, J; Dai, J</t>
  </si>
  <si>
    <t>10 1007/s11548-019-01934-0</t>
  </si>
  <si>
    <t xml:space="preserve">Automatic segmentation of bone surfaces from ultrasound using a filter-layer-guided CNN </t>
  </si>
  <si>
    <t xml:space="preserve">Ultrasound (US) provides real-time, two-/three-dimensional safe imaging  Due to these capabilities, it is considered a safe alternative to intra-operative fluoroscopy in various computer-assisted orthopedic surgery (CAOS) procedures  However, interpretation of the collected bone US data is difficult due to high levels of noise, various imaging artifacts, and bone surfaces response appearing several millimeters (mm) in thickness  For US-guided CAOS procedures, it is an essential objective to have a segmentation mechanism, that is both robust and computationally inexpensive In this paper, we present our development of a convolutional neural network-based technique for segmentation of bone surfaces from in vivo US scans  The novelty of our proposed design is that it utilizes fusion of feature maps and employs multi-modal images to abate sensitivity to variations caused by imaging artifacts and low intensity bone boundaries  B-mode US images, and their corresponding local phase filtered images are used as multi-modal inputs for the proposed fusion network  Different fusion architectures are investigated for fusing the B-mode US image and the local phase features The proposed methods was quantitatively and qualitatively evaluated on 546 in vivo scans by scanning 14 healthy subjects  We achieved an average F-score above 95% with an average bone surface localization error of 0 2 mm  The reported results are statistically significant compared to state-of-the-art Reported accurate and robust segmentation results make the proposed method promising in CAOS applications  Further extensive validations are required in order to fully understand the clinical utility of the proposed method </t>
  </si>
  <si>
    <t xml:space="preserve">CNN </t>
  </si>
  <si>
    <t xml:space="preserve">Department of Electrical and Computer Engineering, Rutgers University, Piscataway, NJ, USA </t>
  </si>
  <si>
    <t>Alsinan, AZ; Patel, VM; Hacihaliloglu, I</t>
  </si>
  <si>
    <t>10 1155/2019/8214975</t>
  </si>
  <si>
    <t xml:space="preserve">Zebrafish Embryo Vessel Segmentation Using a Novel Dual ResUNet Model </t>
  </si>
  <si>
    <t xml:space="preserve">Zebrafish embryo fluorescent vessel analysis, which aims to automatically investigate the pathogenesis of diseases, has attracted much attention in medical imaging  Zebrafish vessel segmentation is a fairly challenging task, which requires distinguishing foreground and background vessels from the 3D projection images  Recently, there has been a trend to introduce domain knowledge to deep learning algorithms for handling complex environment segmentation problems with accurate achievements  In this paper, a novel dual deep learning framework called Dual ResUNet is developed to conduct zebrafish embryo fluorescent vessel segmentation  To avoid the loss of spatial and identity information, the U-Net model is extended to a dual model with a new residual unit  To achieve stable and robust segmentation performance, our proposed approach merges domain knowledge with a novel contour term and shape constraint  We compare our method qualitatively and quantitatively with several standard segmentation models  Our experimental results show that the proposed method achieves better results than the state-of-art segmentation methods  By investigating the quality of the vessel segmentation, we come to the conclusion that our Dual ResUNet model can learn the characteristic features in those cases where fluorescent protein is deficient or blood vessels are overlapped and achieves robust performance in complicated environments </t>
  </si>
  <si>
    <t>ResNET,Unet</t>
  </si>
  <si>
    <t xml:space="preserve">School of Electrical Engineering, Nantong University, Nantong 226019, China </t>
  </si>
  <si>
    <t>Zhang, K; Zhang, H; Zhou, H; Crookes, D; Li, L; Shao, Y; Liu, D</t>
  </si>
  <si>
    <t>10 1002/acm2 12554</t>
  </si>
  <si>
    <t xml:space="preserve">MR-based treatment planning in radiation therapy using a deep learning approach </t>
  </si>
  <si>
    <t xml:space="preserve">To develop and evaluate the feasibility of deep learning approaches for MR-based treatment planning (deepMTP) in brain tumor radiation therapy A treatment planning pipeline was constructed using a deep learning approach to generate continuously valued pseudo CT images from MR images  A deep convolutional neural network was designed to identify tissue features in volumetric head MR images training with co-registered kVCT images  A set of 40 retrospective 3D T1-weighted head images was utilized to train the model, and evaluated in 10 clinical cases with brain metastases by comparing treatment plans using deep learning generated pseudo CT and using an acquired planning kVCT  Paired-sample Wilcoxon signed rank sum tests were used for statistical analysis to compare dosimetric parameters of plans made with pseudo CT images generated from deepMTP to those made with kVCT-based clinical treatment plan (CTTP) deepMTP provides an accurate pseudo CT with Dice coefficients for air: 0 95 ± 0 01, soft tissue: 0 94 ± 0 02, and bone: 0 85 ± 0 02 and a mean absolute error of 75 ± 23 HU compared with acquired kVCTs  The absolute percentage differences of dosimetric parameters between deepMTP and CTTP was 0 24% ± 0 46% for planning target volume (PTV) volume, 1 39% ± 1 31% for maximum dose and 0 27% ± 0 79% for the PTV receiving 95% of the prescribed dose (V95)  Furthermore, no significant difference was found for PTV volume (P = 0 50), the maximum dose (P = 0 83) and V95 (P = 0 19) between deepMTP and CTTP We have developed an automated approach (deepMTP) that allows generation of a continuously valued pseudo CT from a single high-resolution 3D MR image and evaluated it in partial brain tumor treatment planning  The deepMTP provided dose distribution with no significant difference relative to a kVCT-based standard volumetric modulated arc therapy plans </t>
  </si>
  <si>
    <t>Journal of applied clinical medical physics</t>
  </si>
  <si>
    <t xml:space="preserve">Department of Radiology, School of Medicine and Public Health, University of Wisconsin, Madison, WI, USA </t>
  </si>
  <si>
    <t>Liu, F; Yadav, P; Baschnagel, AM; McMillan, AB</t>
  </si>
  <si>
    <t>101089176</t>
  </si>
  <si>
    <t>10 1016/j media 2019 02 009</t>
  </si>
  <si>
    <t xml:space="preserve">Constrained-CNN losses for weakly supervised segmentation </t>
  </si>
  <si>
    <t xml:space="preserve">Weakly-supervised learning based on, e g , partially labelled images or image-tags, is currently attracting significant attention in CNN segmentation as it can mitigate the need for full and laborious pixel/voxel annotations  Enforcing high-order (global) inequality constraints on the network output (for instance, to constrain the size of the target region) can leverage unlabeled data, guiding the training process with domain-specific knowledge  Inequality constraints are very flexible because they do not assume exact prior knowledge  However, constrained Lagrangian dual optimization has been largely avoided in deep networks, mainly for computational tractability reasons  To the best of our knowledge, the method of Pathak et al  (2015a) is the only prior work that addresses deep CNNs with linear constraints in weakly supervised segmentation  It uses the constraints to synthesize fully-labeled training masks (proposals) from weak labels, mimicking full supervision and facilitating dual optimization  We propose to introduce a differentiable penalty, which enforces inequality constraints directly in the loss function, avoiding expensive Lagrangian dual iterates and proposal generation  From constrained-optimization perspective, our simple penalty-based approach is not optimal as there is no guarantee that the constraints are satisfied  However, surprisingly, it yields substantially better results than the Lagrangian-based constrained CNNs in Pathak et al  (2015a), while reducing the computational demand for training  By annotating only a small fraction of the pixels, the proposed approach can reach a level of segmentation performance that is comparable to full supervision on three separate tasks  While our experiments focused on basic linear constraints such as the target-region size and image tags, our framework can be easily extended to other non-linear constraints, e g , invariant shape moments (Klodt and Cremers, 2011) and other region statistics (Lim et al , 2014)  Therefore, it has the potential to close the gap between weakly and fully supervised learning in semantic medical image segmentation  Our code is publicly available </t>
  </si>
  <si>
    <t xml:space="preserve">ÉTS Montréal, QC, Canada  Electronic address: hoel kervadec 1@etsmtl net </t>
  </si>
  <si>
    <t>Kervadec, H; Dolz, J; Tang, M; Granger, E; Boykov, Y; Ben Ayed, I</t>
  </si>
  <si>
    <t>10 1001/jamanetworkopen 2019 0442</t>
  </si>
  <si>
    <t xml:space="preserve">Comparison of Artificial Intelligence Techniques to Evaluate Performance of a Classifier for Automatic Grading of Prostate Cancer From Digitized Histopathologic Images </t>
  </si>
  <si>
    <t xml:space="preserve">Proper evaluation of the performance of artificial intelligence techniques in the analysis of digitized medical images is paramount for the adoption of such techniques by the medical community and regulatory agencies To compare several cross-validation (CV) approaches to evaluate the performance of a classifier for automatic grading of prostate cancer in digitized histopathologic images and compare the performance of the classifier when trained using data from 1 expert and multiple experts This quality improvement study used tissue microarray data (333 cores) from 231 patients who underwent radical prostatectomy at the Vancouver General Hospital between June 27, 1997, and June 7, 2011  Digitized images of tissue cores were annotated by 6 pathologists for 4 classes (benign and Gleason grades 3, 4, and 5) between December 12, 2016, and October 5, 2017  Patches of 192 µm2 were extracted from these images  There was no overlap between patches  A deep learning classifier based on convolutional neural networks was trained to predict a class label from among the 4 classes (benign and Gleason grades 3, 4, and 5) for each image patch  The classification performance was evaluated in leave-patches-out CV, leave-cores-out CV, and leave-patients-out 20-fold CV  The analysis was performed between November 15, 2018, and January 1, 2019 The classifier performance was evaluated by its accuracy, sensitivity, and specificity in detection of cancer (benign vs cancer) and in low-grade vs high-grade differentiation (Gleason grade 3 vs grades 4-5)  The statistical significance analysis was performed using the McNemar test  The agreement level between pathologists and the classifier was quantified using a quadratic-weighted κ statistic On 333 tissue microarray cores from 231 participants with prostate cancer (mean [SD] age, 63 2 [6 3] years), 20-fold leave-patches-out CV resulted in mean (SD) accuracy of 97 8% (1 2%), sensitivity of 98 5% (1 0%), and specificity of 97 5% (1 2%) for classifying benign patches vs cancerous patches  By contrast, 20-fold leave-patients-out CV resulted in mean (SD) accuracy of 85 8% (4 3%), sensitivity of 86 3% (4 1%), and specificity of 85 5% (7 2%)  Similarly, 20-fold leave-cores-out CV resulted in mean (SD) accuracy of 86 7% (3 7%), sensitivity of 87 2% (4 0%), and specificity of 87 7% (5 5%)  Results of McNemar tests showed that the leave-patches-out CV accuracy, sensitivity, and specificity were significantly higher than those for both leave-patients-out CV and leave-cores-out CV  Similar results were observed for classifying low-grade cancer vs high-grade cancer  When trained on a single expert, the overall agreement in grading between pathologists and the classifier ranged from 0 38 to 0 58; when trained using the majority vote among all experts, it was 0 60 Results of this study suggest that in prostate cancer classification from histopathologic images, patch-wise CV and single-expert training and evaluation may lead to a biased estimation of classifier's performance  To allow reproducibility and facilitate comparison between automatic classification methods, studies in the field should evaluate their performance using patient-based CV and multiexpert data  Some of these conclusions may be generalizable to other histopathologic applications and to other applications of machine learning in medicine </t>
  </si>
  <si>
    <t xml:space="preserve">Department of Electrical and Computer Engineering, University of British Columbia, Vancouver, British Columbia, Canada </t>
  </si>
  <si>
    <t>Nir, G; Karimi, D; Goldenberg, SL; Fazli, L; Skinnider, BF; Tavassoli, P; Turbin, D; Villamil, CF; Wang, G; Thompson, DJS; Black, PC; Salcudean, SE</t>
  </si>
  <si>
    <t>10 1002/mp 13468</t>
  </si>
  <si>
    <t xml:space="preserve">Separation of bones from soft tissue in chest radiographs: Anatomy-specific orientation-frequency-specific deep neural network convolution </t>
  </si>
  <si>
    <t xml:space="preserve">Lung nodules that are missed by radiologists as well as by computer-aided detection (CAD) systems mostly overlap with ribs and clavicles  Removing the bony structures would result in better visualization of undetectable lesions  Our purpose in this study was to develop a virtual dual-energy imaging system to separate ribs and clavicles from soft tissue in chest radiographs We developed a mixture of anatomy-specific, orientation-frequency-specific (ASOFS) deep neural network convolution (NNC) experts  Anatomy-specific (AS) NNC was designed to separate the bony structures from soft tissue in different lung segments  While an AS design was proposed previously under our massive-training artificial neural networks (MTANN) framework, in this work, we newly mathematically defined an AS experts model as well as its learning and inference strategies in a probabilistic deep-learning framework  In addition, in combination with our AS experts design, we newly proposed the orientation-frequency-specific (OFS) NNC models to decompose bone and soft-tissue structures into specific orientation-frequency components of different scales using a multi-resolution decomposition technique  We trained multiple NNC models, each of which is an expert for a specific orientation-frequency component in a particular anatomic segment  Perfect reconstruction discrete wavelet transform was used for OFS decomposition/reconstruction, while we introduced a soft-gating layer to merge the predictions of AS NNC experts  To train our model, we used the bone images obtained from a dual-energy system as the target (or teaching) images while the standard chest radiographs were used as the input to our model  The training, validation, and test were performed in a nested two-fold cross-validation manner We used a database of 118 chest radiographs with pulmonary nodules to evaluate our NNC scheme  In order to evaluate our scheme, we performed quantitative and qualitative evaluation of the predicted bone and soft-tissue images from our model as well as the ones of a state-of-the-art technique where the "gold-standard" dual-energy bone and soft-tissue images were used as the reference images  Both quantitative and qualitative evaluations demonstrated that our ASOFS NNC was superior to the state-of-the-art bone-suppression technique  Particularly, our scheme was better able to maintain the conspicuity of nodules and lung vessels, comparing to the reference technique, while it separated ribs and clavicles from soft tissue  Comparing to a state-of-the-art bone suppression technique, our bone images had substantially higher (t-test; P &lt; 0 01) similarity, in terms of structural similarity index (SSIM) and peak signal-to-noise ratio (PSNR), to the "gold-standard" dual-energy bone images Our deep ASOFS NNC scheme can decompose chest radiographs into their bone and soft-tissue images accurately, offering the improved conspicuity of lung nodules and vessels, and therefore would be useful for radiologists as well as CAD systems in detecting lung nodules in chest radiographs </t>
  </si>
  <si>
    <t xml:space="preserve">Medical Imaging Research Center &amp; Department of Electrical and Computer Engineering, Illinois Institute of Technology, Chicago, IL, 60616, USA </t>
  </si>
  <si>
    <t>Zarshenas, A; Liu, J; Forti, P; Suzuki, K</t>
  </si>
  <si>
    <t>10 1007/s11548-019-01922-4</t>
  </si>
  <si>
    <t xml:space="preserve">Multi-organ segmentation of the head and neck area: an efficient hierarchical neural networks approach </t>
  </si>
  <si>
    <t xml:space="preserve">In radiation therapy, a key step for a successful cancer treatment is image-based treatment planning  One objective of the planning phase is the fast and accurate segmentation of organs at risk and target structures from medical images  However, manual delineation of organs, which is still the gold standard in many clinical environments, is time-consuming and prone to inter-observer variations  Consequently, many automated segmentation methods have been developed In this work, we train two hierarchical 3D neural networks to segment multiple organs at risk in the head and neck area  First, we train a coarse network on size-reduced medical images to locate the organs of interest  Second, a subsequent fine network on full-resolution images is trained for a final accurate segmentation  The proposed method is purely deep learning based; accordingly, no pre-registration or post-processing is required The approach has been applied on a publicly available computed tomography dataset, created for the MICCAI 2015 Auto-Segmentation challenge  In an extensive evaluation process, the best configurations for the trained networks have been determined  Compared to the existing methods, the presented approach shows state-of-the-art performance for the segmentation of seven different structures in the head and neck area We conclude that 3D neural networks outperform the most existing model- and atlas-based methods for the segmentation of organs at risk in the head and neck area  The ease of use, high accuracy and the test time efficiency of the method make it promising for image-based treatment planning in clinical practice </t>
  </si>
  <si>
    <t xml:space="preserve">Department of Biomedical Computer Science and Mechatronics, University for Health Sciences, Medical Informatics and Technology, 6060, Hall, Tyrol, Austria  elias tappeiner@umit at </t>
  </si>
  <si>
    <t>Tappeiner, E; Pröll, S; Hönig, M; Raudaschl, PF; Zaffino, P; Spadea, MF; Sharp, GC; Schubert, R; Fritscher, K</t>
  </si>
  <si>
    <t>10 1109/TMI 2019 2903562</t>
  </si>
  <si>
    <t xml:space="preserve">CE-Net: Context Encoder Network for 2D Medical Image Segmentation </t>
  </si>
  <si>
    <t xml:space="preserve">Medical image segmentation is an important step in medical image analysis  With the rapid development of a convolutional neural network in image processing, deep learning has been used for medical image segmentation, such as optic disc segmentation, blood vessel detection, lung segmentation, cell segmentation, and so on  Previously, U-net based approaches have been proposed  However, the consecutive pooling and strided convolutional operations led to the loss of some spatial information  In this paper, we propose a context encoder network (CE-Net) to capture more high-level information and preserve spatial information for 2D medical image segmentation  CE-Net mainly contains three major components: a feature encoder module, a context extractor, and a feature decoder module  We use the pretrained ResNet block as the fixed feature extractor  The context extractor module is formed by a newly proposed dense atrous convolution block and a residual multi-kernel pooling block  We applied the proposed CE-Net to different 2D medical image segmentation tasks  Comprehensive results show that the proposed method outperforms the original U-Net method and other state-of-the-art methods for optic disc segmentation, vessel detection, lung segmentation, cell contour segmentation, and retinal optical coherence tomography layer segmentation </t>
  </si>
  <si>
    <t>thoracic,eyes</t>
  </si>
  <si>
    <t>CNN,ResNet,Unet</t>
  </si>
  <si>
    <t xml:space="preserve">Z  Gu is with School of Mechatronic Engineering and Automation, Shanghai
University, Shanghai 200072 and also with Cixi Institute of Biomedical
Engineering, Chinese Academy of Sciences, Zhejiang 315201, China  Email:
guzaiwang@nimte ac cn </t>
  </si>
  <si>
    <t>Gu, Z; Cheng, J; Fu, H; Zhou, K; Hao, H; Zhao, Y; Zhang, T; Gao, S; Liu, J</t>
  </si>
  <si>
    <t>10 1155/2019/1075434</t>
  </si>
  <si>
    <t xml:space="preserve">Automated Segmentation of Colorectal Tumor in 3D MRI Using 3D Multiscale Densely Connected Convolutional Neural Network </t>
  </si>
  <si>
    <t xml:space="preserve">The main goal of this work is to automatically segment colorectal tumors in 3D T2-weighted (T2w) MRI with reasonable accuracy  For such a purpose, a novel deep learning-based algorithm suited for volumetric colorectal tumor segmentation is proposed  The proposed CNN architecture, based on densely connected neural network, contains multiscale dense interconnectivity between layers of fine and coarse scales, thus leveraging multiscale contextual information in the network to get better flow of information throughout the network  Additionally, the 3D level-set algorithm was incorporated as a postprocessing task to refine contours of the network predicted segmentation  The method was assessed on T2-weighted 3D MRI of 43 patients diagnosed with locally advanced colorectal tumor (cT3/T4)  Cross validation was performed in 100 rounds by partitioning the dataset into 30 volumes for training and 13 for testing  Three performance metrics were computed to assess the similarity between predicted segmentation and the ground truth (i e , manual segmentation by an expert radiologist/oncologist), including Dice similarity coefficient (DSC), recall rate (RR), and average surface distance (ASD)  The above performance metrics were computed in terms of mean and standard deviation (mean ± standard deviation)  The DSC, RR, and ASD were 0 8406 ± 0 0191, 0 8513 ± 0 0201, and 2 6407 ± 2 7975 before postprocessing, and these performance metrics became 0 8585 ± 0 0184, 0 8719 ± 0 0195, and 2 5401 ± 2 402 after postprocessing, respectively  We compared our proposed method to other existing volumetric medical image segmentation baseline methods (particularly 3D U-net and DenseVoxNet) in our segmentation tasks  The experimental results reveal that the proposed method has achieved better performance in colorectal tumor segmentation in volumetric MRI than the other baseline techniques </t>
  </si>
  <si>
    <t>CNN,FCN,Unet,DenseNet</t>
  </si>
  <si>
    <t xml:space="preserve">Department of Engineering, University of Roma Tre, Via Vito Volterra 62, 00146 Rome, Italy </t>
  </si>
  <si>
    <t>Soomro, MH; Coppotelli, M; Conforto, S; Schmid, M; Giunta, G; Del Secco, L; Neri, E; Caruso, D; Rengo, M; Laghi, A</t>
  </si>
  <si>
    <t>10 1371/journal pone 0212550</t>
  </si>
  <si>
    <t xml:space="preserve">Exploit fully automatic low-level segmented PET data for training high-level deep learning algorithms for the corresponding CT data </t>
  </si>
  <si>
    <t xml:space="preserve">We present an approach for fully automatic urinary bladder segmentation in CT images with artificial neural networks in this study  Automatic medical image analysis has become an invaluable tool in the different treatment stages of diseases  Especially medical image segmentation plays a vital role, since segmentation is often the initial step in an image analysis pipeline  Since deep neural networks have made a large impact on the field of image processing in the past years, we use two different deep learning architectures to segment the urinary bladder  Both of these architectures are based on pre-trained classification networks that are adapted to perform semantic segmentation  Since deep neural networks require a large amount of training data, specifically images and corresponding ground truth labels, we furthermore propose a method to generate such a suitable training data set from Positron Emission Tomography/Computed Tomography image data  This is done by applying thresholding to the Positron Emission Tomography data for obtaining a ground truth and by utilizing data augmentation to enlarge the dataset  In this study, we discuss the influence of data augmentation on the segmentation results, and compare and evaluate the proposed architectures in terms of qualitative and quantitative segmentation performance  The results presented in this study allow concluding that deep neural networks can be considered a promising approach to segment the urinary bladder in CT images </t>
  </si>
  <si>
    <t xml:space="preserve">Institute for Computer Graphics and Vision, Faculty of Computer Science and Biomedical Engineering, Graz University of Technology, Graz, Austria </t>
  </si>
  <si>
    <t>Gsaxner, C; Roth, PM; Wallner, J; Egger, J</t>
  </si>
  <si>
    <t>10 1109/TMI 2019 2901398</t>
  </si>
  <si>
    <t xml:space="preserve">RETOUCH: The Retinal OCT Fluid Detection and Segmentation Benchmark and Challenge </t>
  </si>
  <si>
    <t xml:space="preserve">Retinal swelling due to the accumulation of fluid is associated with the most vision-threatening retinal diseases  Optical coherence tomography (OCT) is the current standard of care in assessing the presence and quantity of retinal fluid and image-guided treatment management  Deep learning methods have made their impact across medical imaging, and many retinal OCT analysis methods have been proposed  However, it is currently not clear how successful they are in interpreting the retinal fluid on OCT, which is due to the lack of standardized benchmarks  To address this, we organized a challenge RETOUCH in conjunction with MICCAI 2017, with eight teams participating  The challenge consisted of two tasks: fluid detection and fluid segmentation  It featured for the first time: all three retinal fluid types, with annotated images provided by two clinical centers, which were acquired with the three most common OCT device vendors from patients with two different retinal diseases  The analysis revealed that in the detection task, the performance on the automated fluid detection was within the inter-grader variability  However, in the segmentation task, fusing the automated methods produced segmentations that were superior to all individual methods, indicating the need for further improvements in the segmentation performance </t>
  </si>
  <si>
    <t xml:space="preserve">H  Bogunovi´c, S  Klimscha, S  M  Waldstein, B  S  Gerendas, U  Schmidt-
Erfurth are with Christian Doppler Laboratory for Ophthalmic Image Analysis,
Department of Ophthalmology, Medical University of Vienna, Vienna, Austria </t>
  </si>
  <si>
    <t>Bogunovic, H; Venhuizen, F; Klimscha, S; Apostolopoulos, S; Bab-Hadiashar, A; Bagci, U; Beg, MF; Bekalo, L; Chen, Q; Ciller, C; Gopinath, K; Gostar, AK; Jeon, K; Ji, Z; Kang, SH; Koozekanani, DD; Lu, D; Morley, D; Parhi, KK; Park, HS; Rashno, A; Sarunic, M; Shaikh, S; Sivaswamy, J; Tennakoon, R; Yadav, S; De Zanet, S; Waldstein, SM; Gerendas, BS; Klaver, C; Sanchez, CI; Schmidt-Erfurth, U</t>
  </si>
  <si>
    <t>10 1002/mp 13466</t>
  </si>
  <si>
    <t xml:space="preserve">Deep convolutional neural network for segmentation of thoracic organs-at-risk using cropped 3D images </t>
  </si>
  <si>
    <t xml:space="preserve">Automatic segmentation of organs-at-risk (OARs) is a key step in radiation treatment planning to reduce human efforts and bias  Deep convolutional neural networks (DCNN) have shown great success in many medical image segmentation applications but there are still challenges in dealing with large 3D images for optimal results  The purpose of this study is to develop a novel DCNN method for thoracic OARs segmentation using cropped 3D images To segment the five organs (left and right lungs, heart, esophagus and spinal cord) from the thoracic CT scans, preprocessing to unify the voxel spacing and intensity was first performed, a 3D U-Net was then trained on resampled thoracic images to localize each organ, then the original images were cropped to only contain one organ and served as the input to each individual organ segmentation network  The segmentation maps were then merged to get the final results  The network structures were optimized for each step, as well as the training and testing strategies  A novel testing augmentation with multiple iterations of image cropping was used  The networks were trained on 36 thoracic CT scans with expert annotations provided by the organizers of the 2017 AAPM Thoracic Auto-segmentation Challenge and tested on the challenge testing dataset as well as a private dataset The proposed method earned second place in the live phase of the challenge and first place in the subsequent ongoing phase using a newly developed testing augmentation approach  It showed superior-than-human performance on average in terms of Dice scores (spinal cord: 0 893 ± 0 044, right lung: 0 972 ± 0 021, left lung: 0 979 ± 0 008, heart: 0 925 ± 0 015, esophagus: 0 726 ± 0 094), mean surface distance (spinal cord: 0 662 ± 0 248 mm, right lung: 0 933 ± 0 574 mm, left lung: 0 586 ± 0 285 mm, heart: 2 297 ± 0 492 mm, esophagus: 2 341 ± 2 380 mm) and 95% Hausdorff distance (spinal cord: 1 893 ± 0 627 mm, right lung: 3 958 ± 2 845 mm, left lung: 2 103 ± 0 938 mm, heart: 6 570 ± 1 501 mm, esophagus: 8 714 ± 10 588 mm)  It also achieved good performance in the private dataset and reduced the editing time to 7 5 min per patient following automatic segmentation The proposed DCNN method demonstrated good performance in automatic OAR segmentation from thoracic CT scans  It has the potential for eventual clinical adoption of deep learning in radiation treatment planning due to improved accuracy and reduced cost for OAR segmentation </t>
  </si>
  <si>
    <t xml:space="preserve">Department of Biomedical Engineering, University of Virginia, Charlottesville, VA, 22903, USA </t>
  </si>
  <si>
    <t>Feng, X; Qing, K; Tustison, NJ; Meyer, CH; Chen, Q</t>
  </si>
  <si>
    <t>10 1167/iovs 18-25634</t>
  </si>
  <si>
    <t xml:space="preserve">Deep Learning Predicts OCT Measures of Diabetic Macular Thickening From Color Fundus Photographs </t>
  </si>
  <si>
    <t xml:space="preserve">To develop deep learning (DL) models for the automatic detection of optical coherence tomography (OCT) measures of diabetic macular thickening (MT) from color fundus photographs (CFPs) Retrospective analysis on 17,997 CFPs and their associated OCT measurements from the phase 3 RIDE/RISE diabetic macular edema (DME) studies  DL with transfer-learning cascade was applied on CFPs to predict time-domain OCT (TD-OCT)-equivalent measures of MT, including central subfield thickness (CST) and central foveal thickness (CFT)  MT was defined by using two OCT cutoff points: 250 μm and 400 μm  A DL regression model was developed to directly quantify the actual CFT and CST from CFPs The best DL model was able to predict CST ≥ 250 μm and CFT ≥ 250 μm with an area under the curve (AUC) of 0 97 (95% confidence interval [CI], 0 89-1 00) and 0 91 (95% CI, 0 76-0 99), respectively  To predict CST ≥ 400 μm and CFT ≥ 400 μm, the best DL model had an AUC of 0 94 (95% CI, 0 82-1 00) and 0 96 (95% CI, 0 88-1 00), respectively  The best deep convolutional neural network regression model to quantify CST and CFT had an R2 of 0 74 (95% CI, 0 49-0 91) and 0 54 (95% CI, 0 20-0 87), respectively  The performance of the DL models declined when the CFPs were of poor quality or contained laser scars DL is capable of predicting key quantitative TD-OCT measurements related to MT from CFPs  The DL models presented here could enhance the efficiency of DME diagnosis in tele-ophthalmology programs, promoting better visual outcomes  Future research is needed to validate DL algorithms for MT in the real-world </t>
  </si>
  <si>
    <t>Investigative ophthalmology &amp; visual science</t>
  </si>
  <si>
    <t xml:space="preserve">Pharma Research and Early Development (pRED), Roche Innovation Center Basel, Basel, Switzerland </t>
  </si>
  <si>
    <t>Arcadu, F; Benmansour, F; Maunz, A; Michon, J; Haskova, Z; McClintock, D; Adamis, AP; Willis, JR; Prunotto, M</t>
  </si>
  <si>
    <t>7703701</t>
  </si>
  <si>
    <t>10 1002/mp 13464</t>
  </si>
  <si>
    <t xml:space="preserve">Unsupervised abnormality detection through mixed structure regularization (MSR) in deep sparse autoencoders </t>
  </si>
  <si>
    <t xml:space="preserve">The purpose of this study is to introduce and evaluate the mixed structure regularization (MSR) approach for a deep sparse autoencoder aimed at unsupervised abnormality detection in medical images  Unsupervised abnormality detection based on identifying outliers using deep sparse autoencoders is a very appealing approach for computer-aided detection systems as it requires only healthy data for training rather than expert annotated abnormality  However, regularization is required to avoid overfitting of the network to the training data We used coronary computed tomography angiography (CCTA) datasets of 90 subjects with expert annotated centerlines  We segmented coronary lumen and wall using an automatic algorithm with manual corrections where required  We defined normal coronary cross section as cross sections with a ratio between lumen and wall areas larger than 0 8  We divided the datasets into training, validation, and testing groups in a tenfold cross-validation scheme  We trained a deep sparse overcomplete autoencoder model for normality modeling with random structure and noise augmentation  We assessed the performance of our deep sparse autoencoder with MSR without denoising (SAE-MSR) and with denoising (SDAE-MSR) in comparison to deep sparse autoencoder (SAE), and deep sparse denoising autoencoder (SDAE) models in the task of detecting coronary artery disease from CCTA data on the test group The SDAE-MSR achieved the best aggregated area under the curve (AUC) with a 20% improvement and the best aggregated Average Precision (AP) with a 30% improvement upon the SAE and SDAE (AUC: 0 78 to 0 94, AP: 0 66 to 0 86) in distinguishing between coronary cross sections with mild stenosis (stenosis grade &lt; 0 3) and coronary cross sections with severe stenosis (stenosis grade &gt; 0 7)  The improvements were statistically significant (Mann-Whitney U-test, P &lt; 0 001)  Similarly, The SDAE-MSR achieved the best aggregated AUC (AP) with an 18% (18%) improvement upon the SAE and SDAE (AUC: 0 71 to 0 84, AP: 0 68 to 0 80)  The improvements were statistically significant (Mann-Whitney U-test, P &lt; 0 05) Deep sparse autoencoders with MSR in addition to explicit sparsity regularization term and stochastic corruption of the input data with Gaussian noise have the potential to improve unsupervised abnormality detection using deep-learning compared to common deep autoencoders </t>
    <phoneticPr fontId="0" type="noConversion"/>
  </si>
  <si>
    <t>STACKED AUTOENCODER,stacked denoising AUTOENCODER</t>
  </si>
  <si>
    <t xml:space="preserve">CT BU, Global Advanced Technology, Philips Healthcare, Advanced Technologies Center, Building No  34, P O  Box 325, Haifa, 3100202, Israel </t>
  </si>
  <si>
    <t>Freiman, M; Manjeshwar, R; Goshen, L</t>
  </si>
  <si>
    <t>10 1016/j media 2019 02 010</t>
  </si>
  <si>
    <t xml:space="preserve">Medical image classification using synergic deep learning </t>
  </si>
  <si>
    <t xml:space="preserve">The classification of medical images is an essential task in computer-aided diagnosis, medical image retrieval and mining  Although deep learning has shown proven advantages over traditional methods that rely on the handcrafted features, it remains challenging due to the significant intra-class variation and inter-class similarity caused by the diversity of imaging modalities and clinical pathologies  In this paper, we propose a synergic deep learning (SDL) model to address this issue by using multiple deep convolutional neural networks (DCNNs) simultaneously and enabling them to mutually learn from each other  Each pair of DCNNs has their learned image representation concatenated as the input of a synergic network, which has a fully connected structure that predicts whether the pair of input images belong to the same class  Thus, if one DCNN makes a correct classification, a mistake made by the other DCNN leads to a synergic error that serves as an extra force to update the model  This model can be trained end-to-end under the supervision of classification errors from DCNNs and synergic errors from each pair of DCNNs  Our experimental results on the ImageCLEF-2015, ImageCLEF-2016, ISIC-2016, and ISIC-2017 datasets indicate that the proposed SDL model achieves the state-of-the-art performance in these medical image classification tasks </t>
    <phoneticPr fontId="0" type="noConversion"/>
  </si>
  <si>
    <t>CNN,ResNet</t>
  </si>
  <si>
    <t xml:space="preserve">National Engineering Laboratory for Integrated Aero-Space-Ground-Ocean Big Data Application Technology, School of Computer Science and Engineering, Northwestern Polytechnical University, Xi'an 710072, China; School of Computer Science, University of Adelaide, SA 5005, Australia </t>
  </si>
  <si>
    <t>Zhang, J; Xie, Y; Wu, Q; Xia, Y</t>
  </si>
  <si>
    <t>10 1007/s10916-019-1223-7</t>
  </si>
  <si>
    <t xml:space="preserve">An Enhancement of Deep Learning Algorithm for Brain Tumor Segmentation Using Kernel Based CNN with M-SVM </t>
  </si>
  <si>
    <t xml:space="preserve">The brain tumor can be created by uncontrollable increase of abnormal cells in tissue of brain and it has two kinds of tumors: one is benign and another one is malignant tumor  The benign brain tumor does not affect the adjacent normal and healthy tissue but the malignant tumor can affect the neighboring tissues of brain that can lead to the death of person  An early detection of brain tumor can be required to protect the survival of patients  Usually, the brain tumor is detected using MRI scanning method  However, the radiologists are not providing the effective tumor segmentation in MRI image due to the irregular shape of tumors and position of tumor in the brain  Accurate brain tumor segmentation is needed to locate the tumor and it is used to give the correct treatment for a patient and it provides the key to the doctor who must execute the surgery for patient  In this paper, a novel deep learning algorithm (kernel based CNN) with M-SVM is presented to segment the tumor automatically and efficiently  This presented work contains several steps that are preprocessing, feature extraction, image classification and tumor segmentation of brain  The MRI image is smoothed and enhanced by Laplacian of Gaussian filtering method (LoG) with Contrast Limited Adaptive Histrogram Equalization (CLAHE) and feature can be extracted from it based on tumor shape position, shape and surface features in brain  Consequently, the image classification is done using M-SVM depending on the selected features  From MRI image, the tumor is segmented with help of kernel based CNN method   Experimental results of proposed method can show that this presented technique can executes brain tumor segmentation accurately reaching almost 84% in evaluation with existing algorithms </t>
  </si>
  <si>
    <t xml:space="preserve">Department of Electronics and Communication Engineering, Salem College of Engineering and Technology, Salem, India  rthillaikkarasiscet@gmail com </t>
  </si>
  <si>
    <t>Thillaikkarasi, R; Saravanan, S</t>
  </si>
  <si>
    <t>10 1002/mp 13458</t>
  </si>
  <si>
    <t xml:space="preserve">Automatic multiorgan segmentation in thorax CT images using U-net-GAN </t>
  </si>
  <si>
    <t xml:space="preserve">Accurate and timely organs-at-risk (OARs) segmentation is key to efficient and high-quality radiation therapy planning  The purpose of this work is to develop a deep learning-based method to automatically segment multiple thoracic OARs on chest computed tomography (CT) for radiotherapy treatment planning We propose an adversarial training strategy to train deep neural networks for the segmentation of multiple organs on thoracic CT images  The proposed design of adversarial networks, called U-Net-generative adversarial network (U-Net-GAN), jointly trains a set of U-Nets as generators and fully convolutional networks (FCNs) as discriminators  Specifically, the generator, composed of U-Net, produces an image segmentation map of multiple organs by an end-to-end mapping learned from CT image to multiorgan-segmented OARs  The discriminator, structured as an FCN, discriminates between the ground truth and segmented OARs produced by the generator  The generator and discriminator compete against each other in an adversarial learning process to produce the optimal segmentation map of multiple organs  Our segmentation results were compared with manually segmented OARs (ground truth) for quantitative evaluations in geometric difference, as well as dosimetric performance by investigating the dose-volume histogram in 20 stereotactic body radiation therapy (SBRT) lung plans This segmentation technique was applied to delineate the left and right lungs, spinal cord, esophagus, and heart using 35 patients' chest CTs  The averaged dice similarity coefficient for the above five OARs are 0 97, 0 97, 0 90, 0 75, and 0 87, respectively  The mean surface distance of the five OARs obtained with proposed method ranges between 0 4 and 1 5 mm on average among all 35 patients  The mean dose differences on the 20 SBRT lung plans are -0 001 to 0 155 Gy for the five OARs We have investigated a novel deep learning-based approach with a GAN strategy to segment multiple OARs in the thorax using chest CT images and demonstrated its feasibility and reliability  This is a potentially valuable method for improving the efficiency of chest radiotherapy treatment planning </t>
  </si>
  <si>
    <t>CNN,Unet,GAN,FCN</t>
  </si>
  <si>
    <t xml:space="preserve">Department of Radiation Oncology and Winship Cancer Institute, Emory University, Atlanta, GA, 30322, USA </t>
  </si>
  <si>
    <t>Dong, X; Lei, Y; Wang, T; Thomas, M; Tang, L; Curran, WJ; Liu, T; Yang, X</t>
  </si>
  <si>
    <t>10 1038/s41598-019-39206-1</t>
  </si>
  <si>
    <t xml:space="preserve">Deep learning in head &amp; neck cancer outcome prediction </t>
  </si>
  <si>
    <t xml:space="preserve">Traditional radiomics involves the extraction of quantitative texture features from medical images in an attempt to determine correlations with clinical endpoints  We hypothesize that convolutional neural networks (CNNs) could enhance the performance of traditional radiomics, by detecting image patterns that may not be covered by a traditional radiomic framework  We test this hypothesis by training a CNN to predict treatment outcomes of patients with head and neck squamous cell carcinoma, based solely on their pre-treatment computed tomography image  The training (194 patients) and validation sets (106 patients), which are mutually independent and include 4 institutions, come from The Cancer Imaging Archive  When compared to a traditional radiomic framework applied to the same patient cohort, our method results in a AUC of 0 88 in predicting distant metastasis  When combining our model with the previous model, the AUC improves to 0 92  Our framework yields models that are shown to explicitly recognize traditional radiomic features, be directly visualized and perform accurate outcome prediction </t>
  </si>
  <si>
    <t xml:space="preserve">Medical Physics Unit, McGill University and Cedars Cancer Center, 1001 Décarie Blvd, Montréal, QC, H4A 3J1, Canada  andre diamantboustead@mail mcgill ca </t>
  </si>
  <si>
    <t>Diamant, A; Chatterjee, A; Vallières, M; Shenouda, G; Seuntjens, J</t>
  </si>
  <si>
    <t>10 1016/j media 2019 02 006</t>
  </si>
  <si>
    <t xml:space="preserve">OBELISK-Net: Fewer layers to solve 3D multi-organ segmentation with sparse deformable convolutions </t>
  </si>
  <si>
    <t xml:space="preserve">Deep networks have set the state-of-the-art in most image analysis tasks by replacing handcrafted features with learned convolution filters within end-to-end trainable architectures  Still, the specifications of a convolutional network are subject to much manual design - the shape and size of the receptive field for convolutional operations is a very sensitive part that has to be tuned for different image analysis applications  3D fully-convolutional multi-scale architectures with skip-connection that excel at semantic segmentation and landmark localisation have huge memory requirements and rely on large annotated datasets - an important limitation for wider adaptation in medical image analysis  We propose a novel and effective method based on trainable 3D convolution kernels that learns both filter coefficients and spatial filter offsets in a continuous space based on the principle of differentiable image interpolation first introduced for spatial transformer network  A deep network that incorporates this one binary extremely large and inflecting sparse kernel (OBELISK) filter requires fewer trainable parameters and less memory while achieving high quality results compared to fully-convolutional U-Net architectures on two challenging 3D CT multi-organ segmentation tasks  Extensive validation experiments indicate that the performance of sparse deformable convolutions is due to their ability to capture large spatial context with few expressive filter parameters and that network depth is not always necessary to learn complex shape and appearance features  A combination with conventional CNNs further improves the delineation of small organs with large shape variations and the fast inference time using flexible image sampling may offer new potential use cases for deep networks in computer-assisted, image-guided interventions </t>
  </si>
  <si>
    <t xml:space="preserve">Institute of Medical Informatics, University of Lübeck, Germany  Electronic address: heinrich@imi uni-luebeck de </t>
  </si>
  <si>
    <t>Heinrich, MP; Oktay, O; Bouteldja, N</t>
  </si>
  <si>
    <t>10 31557/APJCP 2019 20 2 457</t>
  </si>
  <si>
    <r>
      <t xml:space="preserve">A Novel Hybrid Feature Extraction Model for </t>
    </r>
    <r>
      <rPr>
        <sz val="10"/>
        <color indexed="10"/>
        <rFont val="Arial"/>
        <family val="2"/>
      </rPr>
      <t>Classification</t>
    </r>
    <r>
      <rPr>
        <sz val="10"/>
        <rFont val="Arial"/>
        <family val="2"/>
      </rPr>
      <t xml:space="preserve"> on</t>
    </r>
    <r>
      <rPr>
        <sz val="10"/>
        <color indexed="10"/>
        <rFont val="Arial"/>
        <family val="2"/>
      </rPr>
      <t xml:space="preserve"> Pulmonary Nodules</t>
    </r>
  </si>
  <si>
    <t xml:space="preserve">In this paper an improved Computer Aided Design system can offer a second opinion to radiologists on early
diagnosis of pulmonary nodules on CT (Computer Tomography) images  A Deep Convolutional Neural Network
(DCNN) method is used for feature extraction and hybridize as combination of Convolutional Neural Network (CNN),
Histogram of Oriented Gradient (HOG), Extended Histogram of Oriented Gradients (ExHOG) and Local Binary Pattern
(LBP)  A combination of shape, texture, scaling, rotation, translation features extracted using HOG, LBP and CNN  The
Homogeneous descriptors used to extract the feature of lung images from Lung Image Database Consortium (LIDC)
are given to classifiers Support Vector Machine (SVM), K-Nearest Neighbour (KNN), Decision Tree and Random
Forest to classify nodules and non-nodules  Experimental results demonstrate the effectiveness of the proposed method
in terms of accuracy which gives best result than the competing methods </t>
  </si>
  <si>
    <t>Asian Pacific journal of cancer prevention : APJCP</t>
  </si>
  <si>
    <t>Research Scholar, Research and Development Centre, Bharathiar University,Coimbatore, India  Email: spkpramu@gmail com</t>
  </si>
  <si>
    <t>Kailasam, SP; Sathik, MM</t>
  </si>
  <si>
    <t>101130625</t>
  </si>
  <si>
    <t>10 1038/s42256-019-0019-2</t>
  </si>
  <si>
    <t xml:space="preserve">Deep learning cardiac motion analysis for human survival prediction </t>
  </si>
  <si>
    <t xml:space="preserve">Motion analysis is used in computer vision to understand the behaviour of moving objects in sequences of images  Optimising the interpretation of dynamic biological systems requires accurate and precise motion tracking as well as efficient representations of high-dimensional motion trajectories so that these can be used for prediction tasks  Here we use image sequences of the heart, acquired using cardiac magnetic resonance imaging, to create time-resolved three-dimensional segmentations using a fully convolutional network trained on anatomical shape priors  This dense motion model formed the input to a supervised denoising autoencoder (4Dsurvival), which is a hybrid network consisting of an autoencoder that learns a task-specific latent code representation trained on observed outcome data, yielding a latent representation optimised for survival prediction  To handle right-censored survival outcomes, our network used a Cox partial likelihood loss function  In a study of 302 patients the predictive accuracy (quantified by Harrell's C-index) was significantly higher (p =  0012) for our model C=0 75 (95% CI: 0 70 - 0 79) than the human benchmark of C=0 59 (95% CI: 0 53 - 0 65)  This work demonstrates how a complex computer vision task using high-dimensional medical image data can efficiently predict human survival </t>
  </si>
  <si>
    <t>Nature machine intelligence</t>
  </si>
  <si>
    <t xml:space="preserve">MRC London Institute of Medical Sciences, Imperial College London,UK </t>
  </si>
  <si>
    <t>Bello, GA; Dawes, TJW; Duan, J; Biffi, C; de Marvao, A; Howard, LSGE; Gibbs, JSR; Wilkins, MR; Cook, SA; Rueckert, D; O'Regan, DP</t>
  </si>
  <si>
    <t>101740243</t>
  </si>
  <si>
    <t>10 1364/BOE 10 000622</t>
  </si>
  <si>
    <t xml:space="preserve">CorneaNet: fast segmentation of cornea OCT scans of healthy and keratoconic eyes using deep learning </t>
    <phoneticPr fontId="0" type="noConversion"/>
  </si>
  <si>
    <t xml:space="preserve">Deep learning has dramatically improved object recognition, speech recognition, medical image analysis and many other fields  Optical coherence tomography (OCT) has become a standard of care imaging modality for ophthalmology  We asked whether deep learning could be used to segment cornea OCT images  Using a custom-built ultrahigh-resolution OCT system, we scanned 72 healthy eyes and 70 keratoconic eyes  In total, 20,160 images were labeled and used for the training in a supervised learning approach  A custom neural network architecture called CorneaNet was designed and trained  Our results show that CorneaNet is able to segment both healthy and keratoconus images with high accuracy (validation accuracy: 99 56%)  Thickness maps of the three main corneal layers (epithelium, Bowman's layer and stroma) were generated both in healthy subjects and subjects suffering from keratoconus  CorneaNet is more than 50 times faster than our previous algorithm  Our results show that deep learning algorithms can be used for OCT image segmentation and could be applied in various clinical settings  In particular, CorneaNet could be used for early detection of keratoconus and more generally to study other diseases altering corneal morphology </t>
  </si>
  <si>
    <t xml:space="preserve">Center for Medical Physics and Biomedical Engineering, Medical University of Vienna, Austria </t>
  </si>
  <si>
    <t>Dos Santos, VA; Schmetterer, L; Stegmann, H; Pfister, M; Messner, A; Schmidinger, G; Garhofer, G; Werkmeister, RM</t>
  </si>
  <si>
    <t>10 1016/j media 2019 01 013</t>
  </si>
  <si>
    <t xml:space="preserve">Weakly supervised mitosis detection in breast histopathology images using concentric loss </t>
    <phoneticPr fontId="0" type="noConversion"/>
  </si>
  <si>
    <t xml:space="preserve">Developing new deep learning methods for medical image analysis is a prevalent research topic in machine learning  In this paper, we propose a deep learning scheme with a novel loss function for weakly supervised breast cancer diagnosis  According to the Nottingham Grading System, mitotic count plays an important role in breast cancer diagnosis and grading  To determine the cancer grade, pathologists usually need to manually count mitosis from a great deal of histopathology images, which is a very tedious and time-consuming task  This paper proposes an automatic method for detecting mitosis  We regard the mitosis detection task as a semantic segmentation problem and use a deep fully convolutional network to address it  Different from conventional training data used in semantic segmentation system, the training label of mitosis data is usually in the format of centroid pixel, rather than all the pixels belonging to a mitosis  The centroid label is a kind of weak label, which is much easier to annotate and can save the effort of pathologists a lot  However, technically this weak label is not sufficient for training a mitosis segmentation model  To tackle this problem, we expand the single-pixel label to a novel label with concentric circles, where the inside circle is a mitotic region and the ring around the inside circle is a "middle ground"  During the training stage, we do not compute the loss of the ring region because it may have the presence of both mitotic and non-mitotic pixels  This new loss termed as "concentric loss" is able to make the semantic segmentation network be trained with the weakly annotated mitosis data  On the generated segmentation map from the segmentation model, we filter out low confidence and obtain mitotic cells  On the challenging ICPR 2014 MITOSIS dataset and AMIDA13 dataset, we achieve a 0 562 F-score and 0 673 F-score respectively, outperforming all previous approaches significantly  On the latest TUPAC16 dataset, we obtain a F-score of 0 669, which is also the state-of-the-art result  The excellent results quantitatively demonstrate the effectiveness of the proposed mitosis segmentation network with the concentric loss  All of our code has been made publicly available at https://github com/ChaoLi977/SegMitos_mitosis_detection </t>
  </si>
  <si>
    <t xml:space="preserve">School of Electronics Information and Communications, Huazhong University of Science and Technology, Wuhan, PR China  Electronic address: chaol@hust edu cn </t>
  </si>
  <si>
    <t>Li, C; Wang, X; Liu, W; Latecki, LJ; Wang, B; Huang, J</t>
  </si>
  <si>
    <t>10 3760/cma j issn 0376-2491 2019 07 003</t>
  </si>
  <si>
    <t xml:space="preserve">[Computer-aided assessment of liver fibrosis progression in patients with chronic hepatitis B: an exploratory research] </t>
  </si>
  <si>
    <t xml:space="preserve">Objective: To establish automatic liver fibrosis classification models by using traditional machine learning and deep learning methods and preliminaryly evaluate the efficiency  Methods: Gray scale ultrasound images and corresponding elastic images of 354 patients, 247 males and 107 females, mean age (54±12) years undergoing partial hepatectomy in Zhongshan Hospital of Fudan University from November 2014 to January 2016 were enrolled in this study  By using traditional machine learning and deep learning methods, an automatic classification model of liver fibrosis stages (S0 to S4) were established through feature extraction and classification of ultrasound image data sets and the accuracy in different classification categories of each model were calculated, by using liver biopsy as the reference standard  Results: Pathological examination showed 73 cases in pathological stage S0, 40 cases in S1, 49 cases in S2, 41 cases in S3, and 151 cases in S4  The traditional machine classification model based on support vector machine (SVM) classifier and sparse representation classifier and the deep learning classification model based on LeNet-5 neural network, their accuracy rates in the two categories (S0/S1/S2 and S3/S4) were 89 8%, 91 8% and 90 7% respectively; the accuracy rates in the three categories (S0/S1 and S2/S3 and S4) were 75 3%, 79 4% and 82 8% respectively; the accuracy in the three categories (S0 and S1/S2/S3 and S4) were 79 3%, 82 7% and 87 2% respectively  Conclusions: Computer-aided assessment of liver fibrosis progression in patients with chronic hepatitis B has a high accuracy, and can achieve a more detailed classification  This method is expected to be applied in the non-invasive evaluation of liver fibrosis in patients with hepatitis B in clinical work in the future 目的： 应用传统机器学习和深度学习方法建立计算机辅助诊断肝纤维化自动分类模型，并初步评估其效果。 方法： 选取2014年11月至2016年1月于复旦大学附属中山医院接受肝部分切除术和术前接受肝脏剪切波弹性成像检查的354例患者的灰阶超声图像和相应弹性图像，男247例、女107例，平均年龄（54±12）岁，以病理学诊断肝纤维化分级（S0~S4）为"金标准"，利用传统机器学习和深度学习的方法，对超声图像数据集进行特征提取和分类，建立肝纤维化自动分类模型，统计每种模型不同分类情景的准确率。 结果： 病理学检查显示肿块周边肝实质病理分期S0者73例，S1者40例，S2者49例，S3者41例，S4者151例。基于支持向量机分类器和稀疏表示分类器的传统机器分类模型和基于LeNet-5神经网络的深度学习分类模型，在二分类（S0/S1/S2与S3/S4）的准确率分别为89 8%、91 8%和90 7%；在三分类（S0/S1、S2/S3与S4）的准确率分别为75 3%、79 4%和82 8%；在三分类（S0、S1/S2/S3与S4）的准确率分别为79 3%、82 7%和87 2%。 结论： 计算机辅助诊断慢性乙肝患者肝纤维化进程准确性较高，且可以做到更细化的肝纤维化进程分类。未来有望应用于无创评估乙肝患者肝纤维化进程的临床工作中。 </t>
  </si>
  <si>
    <t>LeNet</t>
  </si>
  <si>
    <t>Zhonghua yi xue za zhi</t>
  </si>
  <si>
    <t xml:space="preserve">Department of Ultrasound, Zhongshan Hospital, Fudan University, Shanghai Institute of Medical Imaging, Fudan University, Shanghai 200032, China </t>
  </si>
  <si>
    <t>Fu, TT; Yao, Z; Ding, H; Xu, ZT; Yang, MR; Yu, JH; Wang, WP</t>
  </si>
  <si>
    <t>7511141</t>
  </si>
  <si>
    <t>10 1167/iovs 18-25325</t>
  </si>
  <si>
    <t xml:space="preserve">Deep Learning for Prediction of AMD Progression: A Pilot Study </t>
  </si>
  <si>
    <t xml:space="preserve">To develop and assess a method for predicting the likelihood of converting from early/intermediate to advanced wet age-related macular degeneration (AMD) using optical coherence tomography (OCT) imaging and methods of deep learning Seventy-one eyes of 71 patients with confirmed early/intermediate AMD with contralateral wet AMD were imaged with OCT three times over 2 years (baseline, year 1, year 2)  These eyes were divided into two groups: eyes that had not converted to wet AMD (n = 40) at year 2 and those that had (n = 31)  Two deep convolutional neural networks (CNN) were evaluated using 5-fold cross validation on the OCT data at baseline to attempt to predict which eyes would convert to advanced AMD at year 2: (1) VGG16, a popular CNN for image recognition was fine-tuned, and (2) a novel, simplified CNN architecture was trained from scratch  Preprocessing was added in the form of a segmentation-based normalization to reduce variance in the data and improve performance Our new architecture, AMDnet, with preprocessing, achieved an area under the receiver operating characteristic (ROC) curve (AUC) of 0 89 at the B-scan level and 0 91 for volumes  Results for VGG16, an established CNN architecture, with preprocessing were 0 82 for B-scans/0 87 for volumes versus 0 66 for B-scans/0 69 for volumes without preprocessing A CNN with layer segmentation-based preprocessing shows strong predictive power for the progression of early/intermediate AMD to advanced AMD  Use of the preprocessing was shown to improve performance regardless of the network architecture </t>
  </si>
  <si>
    <t xml:space="preserve">Voxeleron LLC, Pleasanton, California, United States </t>
  </si>
  <si>
    <t>Russakoff, DB; Lamin, A; Oakley, JD; Dubis, AM; Sivaprasad, S</t>
  </si>
  <si>
    <t>10 1016/j media 2019 02 007</t>
  </si>
  <si>
    <t xml:space="preserve">Evaluating reinforcement learning agents for anatomical landmark detection </t>
  </si>
  <si>
    <t xml:space="preserve">Automatic detection of anatomical landmarks is an important step for a wide range of applications in medical image analysis  Manual annotation of landmarks is a tedious task and prone to observer errors  In this paper, we evaluate novel deep reinforcement learning (RL) strategies to train agents that can precisely and robustly localize target landmarks in medical scans  An artificial RL agent learns to identify the optimal path to the landmark by interacting with an environment, in our case 3D images  Furthermore, we investigate the use of fixed- and multi-scale search strategies with novel hierarchical action steps in a coarse-to-fine manner  Several deep Q-network (DQN) architectures are evaluated for detecting multiple landmarks using three different medical imaging datasets: fetal head ultrasound (US), adult brain and cardiac magnetic resonance imaging (MRI)  The performance of our agents surpasses state-of-the-art supervised and RL methods  Our experiments also show that multi-scale search strategies perform significantly better than fixed-scale agents in images with large field of view and noisy background such as in cardiac MRI  Moreover, the novel hierarchical steps can significantly speed up the searching process by a factor of 4-5 times </t>
  </si>
  <si>
    <t>cardiac,head and neck</t>
  </si>
  <si>
    <t xml:space="preserve">Biomedical Image Analysis Group (BioMedIA), Imperial College London, London, UK  Electronic address: a alansary14@imperial ac uk </t>
  </si>
  <si>
    <t>Alansary, A; Oktay, O; Li, Y; Folgoc, LL; Hou, B; Vaillant, G; Kamnitsas, K; Vlontzos, A; Glocker, B; Kainz, B; Rueckert, D</t>
  </si>
  <si>
    <t>10 1016/j ijmedinf 2019 01 005</t>
  </si>
  <si>
    <t xml:space="preserve">Melanoma lesion detection and segmentation using deep region based convolutional neural network and fuzzy C-means clustering </t>
  </si>
  <si>
    <t xml:space="preserve">Melanoma is a dangerous form of the skin cancer responsible for thousands of deaths every year  Early detection of melanoma is possible through visual inspection of pigmented lesions over the skin, treated with simple excision of the cancerous cells  However, due to the limited availability of dermatologists, the visual inspection alone has the limited and variable accuracy that leads the patient to undergo a series of biopsies and complicates the treatment  In this work, a deep learning method is proposed for automated Melanoma region segmentation using dermoscopic images to overcome the challenges of automated Melanoma region segmentation within dermoscopic images A deep region based convolutional neural network (RCNN) precisely detects the multiple affected regions in the form of bounding boxes that simplify localization through Fuzzy C-mean (FCM) clustering  Our method constitutes of three step process: skin refinement, localization of Melanoma region, and finally segmentation of Melanoma  We applied the proposed method on benchmark dataset ISIC-2016 by International Symposium on biomedical images (ISBI) having 900 training and 376 testing Melanoma dermatological images The performance is evaluated for Melanoma segmentation using various quantitative measures  Our method achieved average values of pixel level specificity (SP) as 0 9417, pixel level sensitivity (SE) as 0 9781, F1 _ s core as 0 9589, pixel level accuracy (Ac) as 0 948  In addition, average dice score (Di) of segmentation was recorded as 0 94, which represents good segmentation performance  Moreover, Jaccard coefficient (Jc) averaged value on entire testing images was 0 93  Comparative analysis with the state of art methods and the results have demonstrated the superiority of the proposed method In contrast with state of the art systems, the RCNN is capable to compute deep features with amen representation of Melanoma, and hence improves the segmentation performance  The RCNN can detect features for multiple skin diseases of the same patient as well as various diseases of different patients with efficient training mechanism  Series of experiments towards Melanoma detection and segmentation validates the effectiveness of our method </t>
  </si>
  <si>
    <t>deep region based CNN</t>
  </si>
  <si>
    <t xml:space="preserve">Department of Computer Engineering, University of Engineering &amp; Technology, Taxila, Pakistan  Electronic address: 16F-PHD-CP-53@uettaxila edu pk </t>
  </si>
  <si>
    <t>Nida, N; Irtaza, A; Javed, A; Yousaf, MH; Mahmood, MT</t>
  </si>
  <si>
    <t>10 3390/mi10020120</t>
  </si>
  <si>
    <t xml:space="preserve">Deep-Learning-Based Polar-Body Detection for Automatic Cell Manipulation </t>
  </si>
  <si>
    <t xml:space="preserve">Polar-body detection is an essential and crucial procedure in various automatic cell manipulations  The polar body can only be observed when it is located near the focal plane of the microscope, so we need to detect the polar body during cell rotation in cell manipulations  However, three-dimensional cell rotation by micropipette causes polar-body defocus and cell/polar-body deformation, which have not been discussed in existing image-level polar-body-detection approaches  Moreover, varying sizes of the polar bodies increase the difficulty of polar-body detection  In this paper, we propose a deep-learning-based framework to realize polar-body detection in cell rotation  The detection problem is interpreted as image segmentation, which separates the polar body from the background  Then, we improve U-net, which is a typical convolutional neural network (CNN) for medical-image segmentation, so that the network can be applied to polar-body detection, especially for the detection of defocused polar bodies and polar bodies of different sizes  For CNN training, we also designed a particular image-transformation method to simulate more cell-rotation situations, including cell- and polar-body deformation, so that the deformed polar body in cell rotation would be detected by the proposed method  Experiment results show that our method achieves high detection accuracy of 98 7% on a test dataset of 1000 images, and performs well in cell-rotation processes  This method can be applied to various automatic cell manipulations in the future </t>
  </si>
  <si>
    <t>Micromachines</t>
  </si>
  <si>
    <t xml:space="preserve">Institute of Robotics and Automatic Information System (IRAIS), Nankai University, No  94 Weijin Road, Nankai District, Tianjin 300000, China  yuqingwang@mail nankai edu cn </t>
  </si>
  <si>
    <t>Wang, Y; Liu, Y; Sun, M; Zhao, X</t>
  </si>
  <si>
    <t>101640903</t>
  </si>
  <si>
    <t>10 1007/s00261-019-01929-0</t>
  </si>
  <si>
    <t xml:space="preserve">Deep learning and radiomics: the utility of Google TensorFlow™ Inception in classifying clear cell renal cell carcinoma and oncocytoma on multiphasic CT </t>
  </si>
  <si>
    <t xml:space="preserve">Currently, all solid enhancing renal masses without microscopic fat are considered malignant until proven otherwise and there is substantial overlap in the imaging findings of benign and malignant renal masses, particularly between clear cell RCC (ccRCC) and benign oncocytoma (ONC)  Radiomics has attracted increased attention for its utility in pre-operative work-up on routine clinical images  Radiomics based approaches have converted medical images into mineable data and identified prognostic imaging signatures that machine learning algorithms can use to construct predictive models by learning the decision boundaries of the underlying data distribution  The TensorFlow™ framework from Google is a state-of-the-art open-source software library that can be used for training deep learning neural networks for performing machine learning tasks  The purpose of this study was to investigate the diagnostic value and feasibility of a deep learning-based renal lesion classifier using open-source Google TensorFlow™ Inception in differentiating ccRCC from ONC on routine four-phase MDCT in patients with pathologically confirmed renal masses With institutional review board approval for this 1996 Health Insurance Portability and Accountability Act compliant retrospective study and a waiver of informed consent, we queried our institution's pathology, clinical, and radiology databases for histologically proven cases of ccRCC and ONC obtained between January 2000 and January 2016 scanned with a an intravenous contrast-enhanced four-phase renal mass protocol (unenhanced (UN), corticomedullary (CM), nephrographic (NP), and excretory (EX) phases)  To extract features to be used for the machine learning model, the entire renal mass was contoured in the axial plane in each of the four phases, resulting in a 3D volume of interest (VOI) representative of the entire renal mass  We investigated thirteen different approaches to convert the acquired VOI data into a set of images that adequately represented each tumor which was used to train the final layer of the neural network model  Training was performed over 4000 iterations  In each iteration, 90% of the data were designated as training data and the remaining 10% served as validation data and a leave-one-out cross-validation scheme was implemented  Accuracy, sensitivity, specificity, positive (PPV) and negative predictive (NPV) values, and CIs were calculated for the classification of the thirteen processing modes We analyzed 179 consecutive patients with 179 lesions (128 ccRCC and 51 ONC)  The ccRCC cohort had a mean size of 3 8 cm (range 0 8-14 6 cm) and the ONC cohort had a mean lesion size of 3 9 cm (range 1 0-13 1 cm)  The highest specificity and PPV (52 9% and 80 3%, respectively) were achieved in the EX phase when we analyzed the single mid-slice of the tumor in the axial, coronal and sagittal plane, and when we increased the number of mid-slices of the tumor to three, with an accuracy of 75 4%, which also increased the sensitivity to 88 3% and the PPV to 79 6%  Using the entire tumor volume also showed that classification performance was best in the EX phase with an accuracy of 74 4%, a sensitivity of 85 8% and a PPV of 80 1%  When the entire tumor volume, plus mid-slices from all phases and all planes presented as tiled images, were submitted to the final layer of the neural network we achieved a PPV of 82 5% The best classification result was obtained in the EX phase among the thirteen classification methods tested  Our proof of concept study is the first step towards understanding the utility of machine learning in the differentiation of ccRCC from ONC on routine CT images  We hope this could lead to future investigation into the development of a multivariate machine learning model which may augment our ability to accurately predict renal lesion histology on imaging </t>
  </si>
  <si>
    <t>Abdominal radiology (New York)</t>
  </si>
  <si>
    <t xml:space="preserve">Department of Radiological Sciences, David Geffen School of Medicine at UCLA, Ronald Reagan-UCLA Medical Center, 924 Westwood Boulevard, Suite 615, Los Angeles, CA, 90024, USA  hcoy@mednet ucla edu </t>
  </si>
  <si>
    <t>Coy, H; Hsieh, K; Wu, W; Nagarajan, MB; Young, JR; Douek, ML; Brown, MS; Scalzo, F; Raman, SS</t>
  </si>
  <si>
    <t>101674571</t>
  </si>
  <si>
    <t>10 1002/mp 13451</t>
  </si>
  <si>
    <t xml:space="preserve">Automated pectoral muscle identification on MLO-view mammograms: Comparison of deep neural network to conventional computer vision </t>
  </si>
  <si>
    <t xml:space="preserve">The aim of this study was to develop a fully automated deep learning approach for identification of the pectoral muscle on mediolateral oblique (MLO) view mammograms and evaluate its performance in comparison to our previously developed texture-field orientation (TFO) method using conventional image feature analysis  Pectoral muscle segmentation is an important step for automated image analyses such as breast density or parenchymal pattern classification, lesion detection, and multiview correlation Institutional Review Board (IRB) approval was obtained before data collection  A dataset of 729 MLO-view mammograms including 637 digitized film mammograms (DFM) and 92 digital mammograms (DM) from our previous study was used for the training and validation of our deep convolutional neural network (DCNN) segmentation method  In addition, we collected an independent set of 203 DMs from 131 patients for testing  The film mammograms were digitized at a pixel size of 50 μm × 50 μm with a Lumiscan digitizer  All DMs were acquired with GE systems at a pixel size of 100 μm × 100 μm  An experienced MQSA radiologist manually drew the pectoral muscle boundary on each mammogram as the reference standard  We trained the DCNN to estimate a probability map of the pectoral muscle region on mammograms  The DCNN consisted of a contracting path to capture multiresolution image context and a symmetric expanding path for prediction of the pectoral muscle region  Three DCNN structures were compared for automated identification of pectoral muscles  Tenfold cross-validation was used in training of the DCNNs  After training, we applied the ten trained models during cross-validation to the independent DM test set  The predicted pectoral muscle region of each test DM was obtained as the mean probability map by averaging the ensemble of probability maps from the ten models  The DCNN-segmented pectoral muscle was evaluated by three performance measures relative to the reference standard: (a) the percent overlap area (POA) of the pectoral muscle regions, (b) the Hausdorff distance (Hdist), and (c) the average Euclidean distance (AvgDist) between the boundaries  The results were compared to those obtained with the TFO method, used as our baseline  A two-tailed paired t test was performed to examine the significance in the differences between the DCNN and the baseline In the ten test partitions of the cross-validation set, the DCNN achieved a mean POA of 96 5 ± 2 9%, a mean Hdist of 2 26 ± 1 31 mm, and a mean AvgDist of 0 78 ± 0 58 mm, while the corresponding measures by the baseline method were 94 2 ± 4 8%, 3 69 ± 2 48 mm, and 1 30 ± 1 22 mm, respectively  For the independent DM test set, the DCNN achieved a mean POA of 93 7% ± 6 9%, a mean Hdist of 3 80 ± 3 21 mm, and a mean AvgDist of 1 49 ± 1 62 mm comparing to 86 9% ± 16 0%, 7 18 ± 14 22 mm, and 3 98 ± 14 13 mm, respectively, by the baseline method In comparison to the TFO method, DCNN significantly improved the accuracy of pectoral muscle identification on mammograms (P &lt; 0 05) </t>
  </si>
  <si>
    <t xml:space="preserve">Department of Radiology, University of Michigan, Ann Arbor, MI, USA </t>
  </si>
  <si>
    <t>Ma, X; Wei, J; Zhou, C; Helvie, MA; Chan, HP; Hadjiiski, LM; Lu, Y</t>
  </si>
  <si>
    <t>10 1007/s10278-019-00182-7</t>
  </si>
  <si>
    <t xml:space="preserve">Breast Cancer Classification from Histopathological Images with Inception Recurrent Residual Convolutional Neural Network </t>
  </si>
  <si>
    <t xml:space="preserve">The Deep Convolutional Neural Network (DCNN) is one of the most powerful and successful deep learning approaches  DCNNs have already provided superior performance in different modalities of medical imaging including breast cancer classification, segmentation, and detection  Breast cancer is one of the most common and dangerous cancers impacting women worldwide  In this paper, we have proposed a method for breast cancer classification with the Inception Recurrent Residual Convolutional Neural Network (IRRCNN) model  The IRRCNN is a powerful DCNN model that combines the strength of the Inception Network (Inception-v4), the Residual Network (ResNet), and the Recurrent Convolutional Neural Network (RCNN)  The IRRCNN shows superior performance against equivalent Inception Networks, Residual Networks, and RCNNs for object recognition tasks  In this paper, the IRRCNN approach is applied for breast cancer classification on two publicly available datasets including BreakHis and Breast Cancer (BC) classification challenge 2015  The experimental results are compared against the existing machine learning and deep learning-based approaches with respect to image-based, patch-based, image-level, and patient-level classification  The IRRCNN model provides superior classification performance in terms of sensitivity, area under the curve (AUC), the ROC curve, and global accuracy compared to existing approaches for both datasets </t>
  </si>
  <si>
    <t>Inception Recurrent Residual CNN</t>
  </si>
  <si>
    <t xml:space="preserve">Department of Electrical and Computer Engineering, University of Dayton, Dayton, OH, USA  alomm1@udayton edu </t>
  </si>
  <si>
    <t>Alom, MZ; Yakopcic, C; Nasrin, MS; Taha, TM; Asari, VK</t>
  </si>
  <si>
    <t>10 1002/mp 13438</t>
  </si>
  <si>
    <t xml:space="preserve">U-Net based deep learning bladder segmentation in CT urography </t>
  </si>
  <si>
    <t xml:space="preserve">To develop a U-Net-based deep learning approach (U-DL) for bladder segmentation in computed tomography urography (CTU) as a part of a computer-assisted bladder cancer detection and treatment response assessment pipeline A dataset of 173 cases including 81 cases in the training/validation set (42 masses, 21 with wall thickening, 18 normal bladders), and 92 cases in the test set (43 masses, 36 with wall thickening, 13 normal bladders) were used with Institutional Review Board approval  An experienced radiologist provided three-dimensional (3D) hand outlines for all cases as the reference standard  We previously developed a bladder segmentation method that used a deep learning convolution neural network and level sets (DCNN-LS) within a user-input bounding box  However, some cases with poor image quality or with advanced bladder cancer spreading into the neighboring organs caused inaccurate segmentation  We have newly developed an automated U-DL method to estimate a likelihood map of the bladder in CTU  The U-DL did not require a user-input box and the level sets for postprocessing  To identify the best model for this task, we compared the following models: (a) two-dimensional (2D) U-DL and 3D U-DL using 2D CT slices and 3D CT volumes, respectively, as input, (b) U-DLs using CT images of different resolutions as input, and (c) U-DLs with and without automated cropping of the bladder as an image preprocessing step  The segmentation accuracy relative to the reference standard was quantified by six measures: average volume intersection ratio (AVI), average percent volume error (AVE), average absolute volume error (AAVE), average minimum distance (AMD), average Hausdorff distance (AHD), and the average Jaccard index (AJI)  As a baseline, the results from our previous DCNN-LS method were used In the test set, the best 2D U-DL model achieved AVI, AVE, AAVE, AMD, AHD, and AJI values of 93 4 ± 9 5%, -4 2 ± 14 2%, 9 2 ± 11 5%, 2 7 ± 2 5 mm, 9 7 ± 7 6 mm, 85 0 ± 11 3%, respectively, while the corresponding measures by the best 3D U-DL were 90 6 ± 11 9%, -2 3 ± 21 7%, 11 5 ± 18 5%, 3 1 ± 3 2 mm, 11 4 ± 10 0 mm, and 82 6 ± 14 2%, respectively  For comparison, the corresponding values obtained with the baseline method were 81 9 ± 12 1%, 10 2 ± 16 2%, 14 0 ± 13 0%, 3 6 ± 2 0 mm, 12 8 ± 6 1 mm, and 76 2 ± 11 8%, respectively, for the same test set  The improvement for all measures between the best U-DL and the DCNN-LS were statistically significant (P &lt; 0 001) Compared to a previous DCNN-LS method, which depended on a user-input bounding box, the U-DL provided more accurate bladder segmentation and was more automated than the previous approach </t>
  </si>
  <si>
    <t xml:space="preserve">Department of Radiology, University of Michigan, Ann Arbor, MI, 48109, USA </t>
  </si>
  <si>
    <t>Ma, X; Hadjiiski, LM; Wei, J; Chan, HP; Cha, KH; Cohan, RH; Caoili, EM; Samala, R; Zhou, C; Lu, Y</t>
  </si>
  <si>
    <t>10 1002/mp 13421</t>
  </si>
  <si>
    <t xml:space="preserve">Technical Note: Deriving ventilation imaging from 4DCT by deep convolutional neural network </t>
  </si>
  <si>
    <t xml:space="preserve">Ventilation images can be derived from four-dimensional computed tomography (4DCT) by analyzing the change in HU values and deformable vector fields between different respiration phases of computed tomography (CT)  As deformable image registration (DIR) is involved, accuracy of 4DCT-derived ventilation image is sensitive to the choice of DIR algorithms  To overcome the uncertainty associated with DIR, we develop a method based on deep convolutional neural network (CNN) to derive ventilation images directly from the 4DCT without explicit image registration A total of 82 sets of 4DCT and ventilation images from patients with lung cancer were used in this study  In the proposed CNN architecture, the CT two-channel input data consist of CT at the end of exhale and the end of inhale phases  The first convolutional layer has 32 different kernels of size 5 × 5 × 5, followed by another eight convolutional layers each of which is equipped with an activation layer (ReLU)  The loss function is the mean-squared-error (MSE) to measure the intensity difference between the predicted and reference ventilation images The predicted images were comparable to the label images of the test data  The similarity index, correlation coefficient, and Gamma index passing rate averaged over the tenfold cross validation were 0 880 ± 0 035, 0 874 ± 0 024, and 0 806 ± 0 014, respectively The results demonstrate that deep CNN can generate ventilation imaging from 4DCT without explicit deformable image registration, reducing the associated uncertainty </t>
  </si>
  <si>
    <t xml:space="preserve">Department of Radiation Oncology, University of Texas Southwestern Medical Center, Dallas, TX, USA </t>
  </si>
  <si>
    <t>Zhong, Y; Vinogradskiy, Y; Chen, L; Myziuk, N; Castillo, R; Castillo, E; Guerrero, T; Jiang, S; Wang, J</t>
  </si>
  <si>
    <t>10 1016/j cmpb 2018 12 031</t>
  </si>
  <si>
    <t xml:space="preserve">A propagation-DNN: Deep combination learning of multi-level features for MR prostate segmentation </t>
  </si>
  <si>
    <t xml:space="preserve">Prostate segmentation on Magnetic Resonance (MR) imaging is problematic because disease changes the shape and boundaries of the gland and it can be difficult to separate the prostate from surrounding tissues  We propose an automated model that extracts and combines multi-level features in a deep neural network to segment prostate on MR images Our proposed model, the Propagation Deep Neural Network (P-DNN), incorporates the optimal combination of multi-level feature extraction as a single model  High level features from the convolved data using DNN are extracted for prostate localization and shape recognition, while labeling propagation, by low level cues, is embedded into a deep layer to delineate the prostate boundary A well-recognized benchmarking dataset (50 training data and 30 testing data from patients) was used to evaluate the P-DNN  When compared it to existing DNN methods, the P-DNN statistically outperformed the baseline DNN models with an average improvement in the DSC of 3 19%  When compared to the state-of-the-art non-DNN prostate segmentation methods, P-DNN was competitive by achieving 89 9 ± 2 8% DSC and 6 84 ± 2 5 mm HD on training sets and 84 13 ± 5 18% DSC and 9 74 ± 4 21 mm HD on testing sets Our results show that P-DNN maximizes multi-level feature extraction for prostate segmentation of MR images </t>
    <phoneticPr fontId="0" type="noConversion"/>
  </si>
  <si>
    <t>Propagation DNN</t>
  </si>
  <si>
    <t xml:space="preserve">Biomedical and Multimedia Information Technology Research Group, School of Computer Science, University of Sydney, Sydney, Australia </t>
  </si>
  <si>
    <t>Yan, K; Wang, X; Kim, J; Khadra, M; Fulham, M; Feng, D</t>
  </si>
  <si>
    <t>10 1016/j compbiomed 2019 01 022</t>
  </si>
  <si>
    <t xml:space="preserve">Automated segmentation of haematoma and perihaematomal oedema in MRI of acute spontaneous intracerebral haemorrhage </t>
  </si>
  <si>
    <t xml:space="preserve">Spontaneous intracerebral haemorrhage (SICH) is a common condition with high morbidity and mortality  Segmentation of haematoma and perihaematoma oedema on medical images provides quantitative outcome measures for clinical trials and may provide important markers of prognosis in people with SICH We take advantage of improved contrast seen on magnetic resonance (MR) images of patients with acute and early subacute SICH and introduce an automated algorithm for haematoma and oedema segmentation from these images  To our knowledge, there is no previously proposed segmentation technique for SICH that utilises MR images directly  The method is based on shape and intensity analysis for haematoma segmentation and voxel-wise dynamic thresholding of hyper-intensities for oedema segmentation Using Dice scores to measure segmentation overlaps between labellings yielded by the proposed algorithm and five different expert raters on 18 patients, we observe that our technique achieves overlap scores that are very similar to those obtained by pairwise expert rater comparison  A further comparison between the proposed method and a state-of-the-art Deep Learning segmentation on a separate set of 32 manually annotated subjects confirms the proposed method can achieve comparable results with very mild computational burden and in a completely training-free and unsupervised way Our technique can be a computationally light and effective way to automatically delineate haematoma and oedema extent directly from MR images  Thus, with increasing use of MR images clinically after intracerebral haemorrhage this technique has the potential to inform clinical practice in the future </t>
  </si>
  <si>
    <t>FCN,CNN,VGG</t>
  </si>
  <si>
    <t xml:space="preserve">Stroke Trials Unit, Division of Clinical Neuroscience, University of Nottingham, UK; Radiological Sciences, Division of Clinical Neuroscience, University of Nottingham, UK  Electronic address: mszspp@nottingham ac uk </t>
  </si>
  <si>
    <t>Pszczolkowski, S; Law, ZK; Gallagher, RG; Meng, D; Swienton, DJ; Morgan, PS; Bath, PM; Sprigg, N; Dineen, RA</t>
  </si>
  <si>
    <t>10 3760/cma j issn 0529-5815 2019 02 007</t>
  </si>
  <si>
    <t xml:space="preserve">[High definition MRI rectal lymph node aided diagnostic system based on deep neural network] </t>
  </si>
  <si>
    <t xml:space="preserve">Objective: To investigate the clinical significance of high definition (HD) MRI rectal lymph node aided diagnostic system based on deep neural network  Methods: The research selected 301 patients with rectal cancer who underwent pelvic HD MRI and reported pelvic lymph node metastasis from July 2016 to December 2017 in Affiliated Hospital of Qingdao University  According to the chronological order, the first 201 cases were used as learning group  The remaining 100 cases were used as verification group  There were 149 males (74 1%) and 52 females in the study group, with an average age of 58 8 years  There were 76 males (76 0%) and 24 females in the validation group, with an average age of 60 2 years  Firstly, Using deep learning technique, researchers trained the 12 060 HD MRI lymph nodes images data of learning group with convolution neural network to simulate the judgment process of radiologists, and established an artificial intelligence automatic recognition system for metastatic lymph nodes of rectal cancer  Then, 6 030 images of the validation group were clinically validated  Artificial intelligence and radiologists simultaneously diagnosed all cases of HD MRI images and made the diagnosis results of metastatic lymph node  Receiver operating characteristic (ROC) curve and area under curve (AUC) were used to compare the diagnostic level of them  Results: After continuous iteration training of the learning group data, the loss function value of artificial intelligence decreased continuously, and the diagnostic error decreased continuously  Among the 6 030 images of verification group, 912 images were considered to exist metastatic lymph nodes in radiologists' diagnosis and 987 in artificial intelligence diagnosis  There were 772 images having identical diagnostic results of lymph node location and number of metastases with the two methods  Compared with manual diagnosis, the AUC of the intelligent platform was 0 886 2, the diagnostic time of a single case was 10 s, but the average diagnostic time of doctors was 600 s  Conclusion: The HD MRI lymph node automatic recognition system based on deep neural network has high accuracy and high efficiency, and has the clinical significance of auxiliary diagnosis 目的： 探讨基于深度神经网络的高分辨MRI直肠淋巴结识别系统的临床应用价值。 方法： 选取青岛大学附属医院2016年7月至2017年12月术前行盆腔高分辨MRI扫描且报告中明确有盆腔淋巴结转移的直肠癌患者301例，按照就诊时间顺序前201例作为学习组，后100例作为验证组。学习组男性149例，女性52例，平均年龄58 8岁；验证组男性76例，女性24例，平均年龄60 2岁。首先，利用深度学习技术及学习组的12 060张淋巴结高分辨MRI图像，在卷积神经网络下进行训练，模拟影像科医师的判断过程，从而建立了直肠癌淋巴结转移的人工智能自动识别系统。然后，对验证组的6 030张淋巴结高分辨MRI图像进行临床验证，人工智能和影像科医师同时对淋巴结转移情况作出诊断，利用受试者工作特征曲线比较两者的诊断水平。 结果： 经过对学习组数据的不断迭代训练，人工智能的损失函数值不断降低，诊断误差不断降低。验证组的6 030张图像，人工诊断共912张存在淋巴结转移，人工智能诊断共987张存在淋巴结转移，两者诊断结果完全相同（淋巴结位置和转移数量完全相符）的图像共772张。相比于人工诊断，人工智能诊断的曲线下面积为0 886 2，单个病例的诊断时间为10 s，而影像科医师的平均判断时间为600 s。 结论： 基于深度神经网络的直肠高分辨MRI淋巴结自动识别系统具有较高的准确率，且效率高，可以辅助进行临床诊断。 </t>
  </si>
  <si>
    <t>Faster R-CNN</t>
  </si>
  <si>
    <t>Zhonghua wai ke za zhi [Chinese journal of surgery]</t>
  </si>
  <si>
    <t xml:space="preserve">Department of Gastrointestinal Surgery, Affiliated Hospital of Qingdao University, Qingdao 266000, China </t>
  </si>
  <si>
    <t>Zhou, YP; Li, S; Zhang, XX; Zhang, ZD; Gao, YX; Ding, L; Lu, Y</t>
  </si>
  <si>
    <t>0153611</t>
  </si>
  <si>
    <t>10 1002/mp 13416</t>
  </si>
  <si>
    <t xml:space="preserve">Deeply supervised 3D fully convolutional networks with group dilated convolution for automatic MRI prostate segmentation </t>
  </si>
  <si>
    <t xml:space="preserve">Reliable automated segmentation of the prostate is indispensable for image-guided prostate interventions  However, the segmentation task is challenging due to inhomogeneous intensity distributions, variation in prostate anatomy, among other problems  Manual segmentation can be time-consuming and is subject to inter- and intraobserver variation  We developed an automated deep learning-based method to address this technical challenge We propose a three-dimensional (3D) fully convolutional networks (FCN) with deep supervision and group dilated convolution to segment the prostate on magnetic resonance imaging (MRI)  In this method, a deeply supervised mechanism was introduced into a 3D FCN to effectively alleviate the common exploding or vanishing gradients problems in training deep models, which forces the update process of the hidden layer filters to favor highly discriminative features  A group dilated convolution which aggregates multiscale contextual information for dense prediction was proposed to enlarge the effective receptive field of convolutional neural networks, which improve the prediction accuracy of prostate boundary  In addition, we introduced a combined loss function including cosine and cross entropy, which measures similarity and dissimilarity between segmented and manual contours, to further improve the segmentation accuracy  Prostate volumes manually segmented by experienced physicians were used as a gold standard against which our segmentation accuracy was measured The proposed method was evaluated on an internal dataset comprising 40 T2-weighted prostate MR volumes  Our method achieved a Dice similarity coefficient (DSC) of 0 86 ± 0 04, a mean surface distance (MSD) of 1 79 ± 0 46 mm, 95% Hausdorff distance (95%HD) of 7 98 ± 2 91 mm, and absolute relative volume difference (aRVD) of 15 65 ± 10 82  A public dataset (PROMISE12) including 50 T2-weighted prostate MR volumes was also employed to evaluate our approach  Our method yielded a DSC of 0 88 ± 0 05, MSD of 1 02 ± 0 35 mm, 95% HD of 9 50 ± 5 11 mm, and aRVD of 8 93 ± 7 56 We developed a novel deeply supervised deep learning-based approach with a group dilated convolution to automatically segment the MRI prostate, demonstrated its clinical feasibility, and validated its accuracy against manual segmentation  The proposed technique could be a useful tool for image-guided interventions in prostate cancer </t>
  </si>
  <si>
    <t>Wang, B; Lei, Y; Tian, S; Wang, T; Liu, Y; Patel, P; Jani, AB; Mao, H; Curran, WJ; Liu, T; Yang, X</t>
  </si>
  <si>
    <t>10 1002/mp 13415</t>
  </si>
  <si>
    <t xml:space="preserve">Artifact correction in low-dose dental CT imaging using Wasserstein generative adversarial networks </t>
  </si>
  <si>
    <t xml:space="preserve">In recent years, health risks concerning high-dose x-ray radiation have become a major concern in dental computed tomography (CT) examinations  Therefore, adopting low-dose computed tomography (LDCT) technology has become a major focus in the CT imaging field  One of these LDCT technologies is downsampling data acquisition during low-dose x-ray imaging processes  However, reducing the radiation dose can adversely affect CT image quality by introducing noise and artifacts in the resultant image that can compromise diagnostic information  In this paper, we propose an artifact correction method for downsampling CT reconstruction based on deep learning We used clinical dental CT data with low-dose artifacts reconstructed by conventional filtered back projection (FBP) as inputs to a deep neural network and corresponding high-quality labeled normal-dose CT data during training  We trained a generative adversarial network (GAN) with Wasserstein distance (WGAN) and mean squared error (MSE) loss, called m-WGAN, to remove artifacts and obtain high-quality CT dental images in a clinical dental CT examination environment The experimental results confirmed that the proposed algorithm effectively removes low-dose artifacts from dental CT scans  In addition, we showed that the proposed method is efficient for removing noise from low-dose CT scan images compared to existing approaches  We compared the performances of the general GAN, convolutional neural networks, and m-WGAN  Through quantitative and qualitative analysis of the results, we concluded that the proposed m-WGAN method resulted in better artifact correction performance preserving the texture in dental CT scanning The image quality evaluation metrics indicated that the proposed method effectively improves image quality when used as a postprocessing technique for dental CT images  To the best of our knowledge, this work is the first deep learning architecture used with a commercial cone-beam dental CT scanner  The artifact correction performance was rigorously evaluated and demonstrated to be effective  Therefore, we believe that the proposed algorithm represents a new direction in the research area of low-dose dental CT artifact correction </t>
  </si>
  <si>
    <t xml:space="preserve">Lauterbur Research Center for Biomedical Imaging, Shenzhen Institutes of Advanced Technology, Chinese Academy of Sciences, Shenzhen, 518055, China </t>
  </si>
  <si>
    <t>Hu, Z; Jiang, C; Sun, F; Zhang, Q; Ge, Y; Yang, Y; Liu, X; Zheng, H; Liang, D</t>
  </si>
  <si>
    <t>10 1038/s41598-018-37492-9</t>
  </si>
  <si>
    <t xml:space="preserve">A Fast and Refined Cancer Regions Segmentation Framework in Whole-slide Breast Pathological Images </t>
  </si>
  <si>
    <t xml:space="preserve">Supervised learning methods are commonly applied in medical image analysis  However, the success of these approaches is highly dependent on the availability of large manually detailed annotated dataset  Thus an automatic refined segmentation of whole-slide image (WSI) is significant to alleviate the annotation workload of pathologists  But most of the current ways can only output a rough prediction of lesion areas and consume much time in each slide  In this paper, we propose a fast and refined cancer regions segmentation framework v3_DCNN, which first preselects tumor regions using a classification model Inception-v3 and then employs a semantic segmentation model DCNN for refined segmentation  Our framework can generate a dense likelihood heatmap with the 1/8 side of original WSI in 11 5 minutes on the Camelyon16 dataset, which saves more than one hour for each WSI compared with the initial DCNN model  Experimental results show that our approach achieves a higher FROC score 83 5% with the champion's method of Camelyon16 challenge 80 7%  Based on v3 DCNN model, we further automatically produce heatmap of WSI and extract polygons of lesion regions for doctors, which is very helpful for their pathological diagnosis, detailed annotation and thus contributes to developing a more powerful deep learning model </t>
  </si>
  <si>
    <t xml:space="preserve">Beijing Key Laboratory of Mobile Computing and Pervasive Device, Institute of Computing Technology, Chinese Academy of Sciences, Beijing, 100190, China </t>
  </si>
  <si>
    <t>Guo, Z; Liu, H; Ni, H; Wang, X; Su, M; Guo, W; Wang, K; Jiang, T; Qian, Y</t>
  </si>
  <si>
    <t>10 12122/j issn 1673-4254 2019 01 14</t>
  </si>
  <si>
    <t xml:space="preserve">[Establishment of a deep feature-based classification model for distinguishing benign and malignant breast tumors on full-filed digital mammography] </t>
  </si>
  <si>
    <t xml:space="preserve">To develop a deep features-based model to classify benign and malignant breast lesions on full- filed digital mammography The data of full-filed digital mammography in both craniocaudal view and mediolateral oblique view from 106 patients with breast neoplasms were analyzed  Twenty-three handcrafted features (HCF) were extracted from the images of the breast tumors and a suitable feature set of HCF was selected using t-test  The deep features (DF) were extracted from the 3 pre-trained deep learning models, namely AlexNet, VGG16 and GoogLeNet  With abundant breast tumor information from the craniocaudal view and mediolateral oblique view, we combined the two extracted features (DF and HCF) as the two-view features  A multi-classifier model was finally constructed based on the combined HCF and DF sets  The classification ability of different deep learning networks was evaluated Quantitative evaluation results showed that the proposed HCF+DF model outperformed HCF model, and AlexNet produced the best performances among the 3 deep learning models The proposed model that combines DF and HCF sets of breast tumors can effectively distinguish benign and malignant breast lesions on full-filed digital mammography </t>
  </si>
  <si>
    <t>CNN,AlexNet,VGG,GoogLeNet</t>
  </si>
  <si>
    <t>Nan fang yi ke da xue xue bao = Journal of Southern Medical University</t>
  </si>
  <si>
    <t xml:space="preserve">Department of Biomedical Engineering, Southern Medical University, Guangzhou 510515, China </t>
  </si>
  <si>
    <t>Liang, C; Li, M; Bian, Z; Lv, W; Zeng, D; Ma, J</t>
  </si>
  <si>
    <t>101266132</t>
  </si>
  <si>
    <t>10 1371/journal pmed 1002730</t>
  </si>
  <si>
    <t xml:space="preserve">Predicting survival from colorectal cancer histology slides using deep learning: A retrospective multicenter study </t>
  </si>
  <si>
    <t xml:space="preserve">For virtually every patient with colorectal cancer (CRC), hematoxylin-eosin (HE)-stained tissue slides are available  These images contain quantitative information, which is not routinely used to objectively extract prognostic biomarkers  In the present study, we investigated whether deep convolutional neural networks (CNNs) can extract prognosticators directly from these widely available images We hand-delineated single-tissue regions in 86 CRC tissue slides, yielding more than 100,000 HE image patches, and used these to train a CNN by transfer learning, reaching a nine-class accuracy of &gt;94% in an independent data set of 7,180 images from 25 CRC patients  With this tool, we performed automated tissue decomposition of representative multitissue HE images from 862 HE slides in 500 stage I-IV CRC patients in the The Cancer Genome Atlas (TCGA) cohort, a large international multicenter collection of CRC tissue  Based on the output neuron activations in the CNN, we calculated a "deep stroma score," which was an independent prognostic factor for overall survival (OS) in a multivariable Cox proportional hazard model (hazard ratio [HR] with 95% confidence interval [CI]: 1 99 [1 27-3 12], p = 0 0028), while in the same cohort, manual quantification of stromal areas and a gene expression signature of cancer-associated fibroblasts (CAFs) were only prognostic in specific tumor stages  We validated these findings in an independent cohort of 409 stage I-IV CRC patients from the "Darmkrebs: Chancen der Verhütung durch Screening" (DACHS) study who were recruited between 2003 and 2007 in multiple institutions in Germany  Again, the score was an independent prognostic factor for OS (HR 1 63 [1 14-2 33], p = 0 008), CRC-specific OS (HR 2 29 [1 5-3 48], p = 0 0004), and relapse-free survival (RFS; HR 1 92 [1 34-2 76], p = 0 0004)  A prospective validation is required before this biomarker can be implemented in clinical workflows In our retrospective study, we show that a CNN can assess the human tumor microenvironment and predict prognosis directly from histopathological images </t>
  </si>
  <si>
    <t>PLoS medicine</t>
  </si>
  <si>
    <t xml:space="preserve">Department of Medical Oncology and Internal Medicine VI, National Center for Tumor Diseases, University Hospital Heidelberg, Heidelberg, Germany </t>
  </si>
  <si>
    <t>Kather, JN; Krisam, J; Charoentong, P; Luedde, T; Herpel, E; Weis, CA; Gaiser, T; Marx, A; Valous, NA; Ferber, D; Jansen, L; Reyes-Aldasoro, CC; Zörnig, I; Jäger, D; Brenner, H; Chang-Claude, J; Hoffmeister, M; Halama, N</t>
  </si>
  <si>
    <t>101231360</t>
  </si>
  <si>
    <t>10 1109/TMI 2019 2894349</t>
  </si>
  <si>
    <t xml:space="preserve">Lung and Pancreatic Tumor Characterization in the Deep Learning Era: Novel Supervised and Unsupervised Learning Approaches </t>
    <phoneticPr fontId="0" type="noConversion"/>
  </si>
  <si>
    <t xml:space="preserve">Risk stratification (characterization) of tumors from radiology images can be more accurate and faster with computer-aided diagnosis (CAD) tools  Tumor characterization through such tools can also enable non-invasive cancer staging, prognosis, and foster personalized treatment planning as a part of precision medicine  In this papet, we propose both supervised and unsupervised machine learning strategies to improve tumor characterization  Our first approach is based on supervised learning for which we demonstrate significant gains with deep learning algorithms, particularly by utilizing a 3D convolutional neural network and transfer learning  Motivated by the radiologists' interpretations of the scans, we then show how to incorporate task-dependent feature representations into a CAD system via a graph-regularized sparse multi-task learning framework  In the second approach, we explore an unsupervised learning algorithm to address the limited availability of labeled training data, a common problem in medical imaging applications  Inspired by learning from label proportion approaches in computer vision, we propose to use proportion-support vector machine for characterizing tumors  We also seek the answer to the fundamental question about the goodness of "deep features" for unsupervised tumor classification  We evaluate our proposed supervised and unsupervised learning algorithms on two different tumor diagnosis challenges: lung and pancreas with 1018 CT and 171 MRI scans, respectively, and obtain the state-of-the-art sensitivity and specificity results in both problems </t>
  </si>
  <si>
    <t>Department of Medical Oncology and Internal Medicine VI, National Center for Tumor Diseases, University
Hospital Heidelberg, Heidelberg, Germany</t>
    <phoneticPr fontId="0" type="noConversion"/>
  </si>
  <si>
    <t>Hussein, S; Kandel, P; Bolan, CW; Wallace, MB; Bagci, U</t>
  </si>
  <si>
    <t>10 1016/j ebiom 2019 01 028</t>
  </si>
  <si>
    <t xml:space="preserve">Dermoscopy diagnosis of cancerous lesions utilizing dual deep learning algorithms via visual and audio (sonification) outputs: Laboratory and prospective observational studies </t>
  </si>
  <si>
    <t xml:space="preserve">Early diagnosis of skin cancer lesions by dermoscopy, the gold standard in dermatological imaging, calls for a diagnostic upscale  The aim of the study was to improve the accuracy of dermoscopic skin cancer diagnosis through use of novel deep learning (DL) algorithms  An additional sonification-derived diagnostic layer was added to the visual classification to increase sensitivity Two parallel studies were conducted: a laboratory retrospective study (LABS, n = 482 biopsies) and a non-interventional prospective observational study (OBS, n = 63 biopsies)  A training data set of biopsy-verified reports, normal and cancerous skin lesions (n = 3954), were used to develop a DL classifier exploring visual features (System A)  The outputs of the classifier were sonified, i e  data conversion into sound (System B)  Derived sound files were analyzed by a second machine learning classifier, either as raw audio (LABS, OBS) or following conversion into spectrograms (LABS) and by image analysis and human heuristics (OBS)  The OBS criteria outcomes were System A specificity and System B sensitivity as raw sounds, spectrogram areas or heuristics LABS employed dermoscopies, half benign half malignant, and compared the accuracy of Systems A and B  System A algorithm resulted in a ROC AUC of 0 976 (95% CI, 0 965-0 987)  Secondary machine learning analysis of raw sound, FFT and Spectrogram ROC curves resulted in AUC's of 0 931 (95% CI 0 881-0 981), 0 90 (95% CI 0 838-0 963) and 0 988 (CI 95% 0 973-1 001), respectively  OBS analysis of raw sound dermoscopies by the secondary machine learning resulted in a ROC AUC of 0 819 (95% CI, 0 7956 to 0 8406)  OBS image analysis of AUC for spectrograms displayed a ROC AUC of 0 808 (CI 95% 0 6945 To 0 9208)  By applying a heuristic analysis of Systems A and B a sensitivity of 86% and specificity of 91% were derived in the clinical study Adding a second stage of processing, which includes a deep learning algorithm of sonification and heuristic inspection with machine learning, significantly improves diagnostic accuracy  A combined two-stage system is expected to assist clinical decisions and de-escalate the current trend of over-diagnosis of skin cancer lesions as pathological  FUND: Bostel Technologies  Trial Registration clinicaltrials gov Identifier: NCT03362138 </t>
  </si>
  <si>
    <t xml:space="preserve">Sonification Lab, School of Psychology, School of Interactive Computing, Georgia Institute of Technology (Walker BN), Georgia </t>
  </si>
  <si>
    <t>Walker, BN; Rehg, JM; Kalra, A; Winters, RM; Drews, P; Dascalu, J; David, EO; Dascalu, A</t>
  </si>
  <si>
    <t>10 1186/s12938-019-0627-4</t>
  </si>
  <si>
    <t xml:space="preserve">Detection of pulmonary ground-glass opacity based on deep learning computer artificial intelligence </t>
  </si>
  <si>
    <t xml:space="preserve">A deep learning computer artificial intelligence system is helpful for early identification of ground glass opacities (GGOs) Images from the Lung Image Database Consortium and Image Database Resource Initiative (LIDC-IDRI) database were used in AlexNet and GoogLeNet to detect pulmonary nodules, and 221 GGO images provided by Xinhua Hospital were used in ResNet50 for detecting GGOs  We used computed tomography image radial reorganization to create the input image of the three-dimensional features, and used the extracted features for deep learning, network training, testing, and analysis In the final evaluation results, we found that the accuracy of identification of lung nodule could reach 88 0%, with an F-score of 0 891  In terms of performance and accuracy, our method was better than the existing solutions  The GGO nodule classification achieved the best F-score of 0 87805  We propose a preprocessing method of red, green, and blue (RGB) superposition in the region of interest to effectively increase the differentiation between nodules and normal tissues, and that is the innovation of our research The method of deep learning proposed in this study is more sensitive than other systems in recent years, and the average false positive is lower than that of others </t>
  </si>
  <si>
    <t>CNN,AlexNet,GoogLeNet,ResNet</t>
  </si>
  <si>
    <t>Biomedical engineering online</t>
  </si>
  <si>
    <t xml:space="preserve">Department of Respiratory Medicine, Xinhua Hospital, School of Medicine, Shanghai Jiao Tong University, Shanghai, 200092, China </t>
  </si>
  <si>
    <t>Ye, W; Gu, W; Guo, X; Yi, P; Meng, Y; Han, F; Yu, L; Chen, Y; Zhang, G; Wang, X</t>
  </si>
  <si>
    <t>101147518</t>
  </si>
  <si>
    <t>10 1117/1 JMI 6 1 014001</t>
  </si>
  <si>
    <t xml:space="preserve">Multiorgan segmentation using distance-aware adversarial networks </t>
  </si>
  <si>
    <t xml:space="preserve">Segmentation of organs at risk (OAR) in computed tomography (CT) is of vital importance in radiotherapy treatment  This task is time consuming and for some organs, it is very challenging due to low-intensity contrast in CT  We propose a framework to perform the automatic segmentation of multiple OAR: esophagus, heart, trachea, and aorta  Different from previous works using deep learning techniques, we make use of global localization information, based on an original distance map that yields not only the localization of each organ, but also the spatial relationship between them  Instead of segmenting directly the organs, we first generate the localization map by minimizing a reconstruction error within an adversarial framework  This map that includes localization information of all organs is then used to guide the segmentation task in a fully convolutional setting  Experimental results show encouraging performance on CT scans of 60 patients totaling 11,084 slices in comparison with other state-of-the-art methods </t>
  </si>
  <si>
    <t>thoracic,cardiac</t>
  </si>
  <si>
    <t>CNN,FCN,GAN</t>
  </si>
  <si>
    <t>Journal of medical imaging (Bellingham, Wash )</t>
  </si>
  <si>
    <t xml:space="preserve">Normandie University, Institut National des Sciences Appliquées Rouen, LITIS, Rouen, France </t>
  </si>
  <si>
    <t>Trullo, R; Petitjean, C; Dubray, B; Ruan, S</t>
  </si>
  <si>
    <t>101643461</t>
  </si>
  <si>
    <t>10 7150/thno 28447</t>
  </si>
  <si>
    <t xml:space="preserve">Artificial intelligence-based decision-making for age-related macular degeneration </t>
  </si>
  <si>
    <t xml:space="preserve">Artificial intelligence (AI) based on convolutional neural networks (CNNs) has a great potential to enhance medical workflow and improve health care quality  Of particular interest is practical implementation of such AI-based software as a cloud-based tool aimed for telemedicine, the practice of providing medical care from a distance using electronic interfaces  Methods: In this study, we used a dataset of labeled 35,900 optical coherence tomography (OCT) images obtained from age-related macular degeneration (AMD) patients and used them to train three types of CNNs to perform AMD diagnosis  Results: Here, we present an AI- and cloud-based telemedicine interaction tool for diagnosis and proposed treatment of AMD  Through deep learning process based on the analysis of preprocessed optical coherence tomography (OCT) imaging data, our AI-based system achieved the same image discrimination rate as that of retinal specialists in our hospital  The AI platform's detection accuracy was generally higher than 90% and was significantly superior (p &lt; 0 001) to that of medical students (69 4% and 68 9%) and equal (p = 0 99) to that of retinal specialists (92 73% and 91 90%)  Furthermore, it provided appropriate treatment recommendations comparable to those of retinal specialists  Conclusions: We therefore developed a website for realistic cloud computing based on this AI platform, available at https://www ym edu tw/~AI-OCT/  Patients can upload their OCT images to the website to verify whether they have AMD and require treatment  Using an AI-based cloud service represents a real solution for medical imaging diagnostics and telemedicine </t>
  </si>
  <si>
    <t>CNN,Inception,ResNet,VGG</t>
  </si>
  <si>
    <t>Taiwan</t>
  </si>
  <si>
    <t xml:space="preserve">Department of Ophthalmology, Taipei Veterans General Hospital, Taipei, Taiwan </t>
  </si>
  <si>
    <t>Hwang, DK; Hsu, CC; Chang, KJ; Chao, D; Sun, CH; Jheng, YC; Yarmishyn, AA; Wu, JC; Tsai, CY; Wang, ML; Peng, CH; Chien, KH; Kao, CL; Lin, TC; Woung, LC; Chen, SJ; Chiou, SH</t>
  </si>
  <si>
    <t>101552395</t>
  </si>
  <si>
    <t>10 3390/ijerph16020250</t>
  </si>
  <si>
    <t xml:space="preserve">Deep Learning Algorithms with Demographic Information Help to Detect Tuberculosis in Chest Radiographs in Annual Workers' Health Examination Data </t>
  </si>
  <si>
    <t xml:space="preserve">We aimed to use deep learning to detect tuberculosis in chest radiographs in annual workers' health examination data and compare the performances of convolutional neural networks (CNNs) based on images only (I-CNN) and CNNs including demographic variables (D-CNN)  The I-CNN and D-CNN models were trained on 1000 chest X-ray images, both positive and negative, for tuberculosis  Feature extraction was conducted using VGG19, InceptionV3, ResNet50, DenseNet121, and InceptionResNetV2  Age, weight, height, and gender were recorded as demographic variables  The area under the receiver operating characteristic (ROC) curve (AUC) was calculated for model comparison  The AUC values of the D-CNN models were greater than that of I-CNN  The AUC values for VGG19 increased by 0 0144 (0 957 to 0 9714) in the training set, and by 0 0138 (0 9075 to 0 9213) in the test set (both p &lt; 0 05)  The D-CNN models show greater sensitivity than I-CNN models (0 815 vs  0 775, respectively) at the same cut-off point for the same specificity of 0 962  The sensitivity of D-CNN does not attenuate as much as that of I-CNN, even when specificity is increased by cut-off points  Conclusion: Our results indicate that machine learning can facilitate the detection of tuberculosis in chest X-rays, and demographic factors can improve this process </t>
  </si>
  <si>
    <t>CNN,VGG,Inception,ResNet,DenseNet</t>
  </si>
  <si>
    <t xml:space="preserve">Department of Biostatistics and Computing, Yonsei University Graduate School, Seoul 03722, Korea  lbthinking91@gmail com </t>
  </si>
  <si>
    <t>Heo, SJ; Kim, Y; Yun, S; Lim, SS; Kim, J; Nam, CM; Park, EC; Jung, I; Yoon, JH</t>
  </si>
  <si>
    <t>10 1371/journal pcbi 1006633</t>
  </si>
  <si>
    <t xml:space="preserve">Deep image reconstruction from human brain activity </t>
  </si>
  <si>
    <t xml:space="preserve">The mental contents of perception and imagery are thought to be encoded in hierarchical representations in the brain, but previous attempts to visualize perceptual contents have failed to capitalize on multiple levels of the hierarchy, leaving it challenging to reconstruct internal imagery  Recent work showed that visual cortical activity measured by functional magnetic resonance imaging (fMRI) can be decoded (translated) into the hierarchical features of a pre-trained deep neural network (DNN) for the same input image, providing a way to make use of the information from hierarchical visual features  Here, we present a novel image reconstruction method, in which the pixel values of an image are optimized to make its DNN features similar to those decoded from human brain activity at multiple layers  We found that our method was able to reliably produce reconstructions that resembled the viewed natural images  A natural image prior introduced by a deep generator neural network effectively rendered semantically meaningful details to the reconstructions  Human judgment of the reconstructions supported the effectiveness of combining multiple DNN layers to enhance the visual quality of generated images  While our model was solely trained with natural images, it successfully generalized to artificial shapes, indicating that our model was not simply matching to exemplars  The same analysis applied to mental imagery demonstrated rudimentary reconstructions of the subjective content  Our results suggest that our method can effectively combine hierarchical neural representations to reconstruct perceptual and subjective images, providing a new window into the internal contents of the brain </t>
  </si>
  <si>
    <t>DNN,VGG</t>
  </si>
  <si>
    <t xml:space="preserve">Computational Neuroscience Laboratories, Advanced Telecommunications Research Institute International, Kyoto, Japan </t>
  </si>
  <si>
    <t>Shen, G; Horikawa, T; Majima, K; Kamitani, Y</t>
  </si>
  <si>
    <t>10 1016/j jflm 2019 01 004</t>
  </si>
  <si>
    <t xml:space="preserve">Artificial intelligence for sex determination of skeletal remains: Application of a deep learning artificial neural network to human skulls </t>
  </si>
  <si>
    <t xml:space="preserve">A deep learning artificial neural network was adapted to the task of sex determination of skeletal remains  The neural network was trained on images of 900 skulls virtually reconstructed from hospital CT scans  When tested on previously unseen images of skulls, the artificial neural network showed 95% accuracy at sex determination  Artificial intelligence methods require no significant expertise to implement once trained, are rapid to use, and have the potential to eliminate human bias from sex estimation of skeletal remains </t>
  </si>
  <si>
    <t>Journal of forensic and legal medicine</t>
  </si>
  <si>
    <t xml:space="preserve">Department of Radiology, Royal Adelaide Hospital, North Terrace, Adelaide, 5000, Australia  Electronic address: bewesj@gmail com </t>
  </si>
  <si>
    <t>Bewes, J; Low, A; Morphett, A; Pate, FD; Henneberg, M</t>
  </si>
  <si>
    <t>101300022</t>
  </si>
  <si>
    <t>10 1016/j cmpb 2018 12 002</t>
  </si>
  <si>
    <t xml:space="preserve">Automatic quantification of the LV function and mass: A deep learning approach for cardiovascular MRI </t>
  </si>
  <si>
    <t xml:space="preserve">This paper proposes a novel approach for automatic left ventricle (LV) quantification using convolutional neural networks (CNN) The general framework consists of one CNN for detecting the LV, and another for tissue classification  Also, three new deep learning architectures were proposed for LV quantification  These new CNNs introduce the ideas of sparsity and depthwise separable convolution into the U-net architecture, as well as, a residual learning strategy level-to-level  To this end, we extend the classical U-net architecture and use the generalized Jaccard distance as optimization objective function The CNNs were trained and evaluated with 140 patients from two public cardiovascular magnetic resonance datasets (Sunnybrook and Cardiac Atlas Project) by using a 5-fold cross-validation strategy  Our results demonstrate a suitable accuracy for myocardial segmentation ( ∼ 0 9 Dice's coefficient), and a strong correlation with the most relevant physiological measures: 0 99 for end-diastolic and end-systolic volume, 0 97 for the left myocardial mass, 0 95 for the ejection fraction and 0 93 for the stroke volume and cardiac output Our simulation and clinical evaluation results demonstrate the capability and merits of the proposed CNN to estimate different structural and functional features such as LV mass and EF which are commonly used for both diagnosis and treatment of different pathologies This paper suggests a new approach for automatic LV quantification based on deep learning where errors are comparable to the inter- and intra-operator ranges for manual contouring </t>
  </si>
  <si>
    <t>Argentina</t>
    <phoneticPr fontId="0" type="noConversion"/>
  </si>
  <si>
    <t xml:space="preserve">CONICET - Departamento de Física Médica, Centro Atómico Bariloche, Av  Bustillo 9500, S  C  de Bariloche, Río Negro, 8400 Argentina  Electronic address: http://www curiale com ar </t>
    <phoneticPr fontId="0" type="noConversion"/>
  </si>
  <si>
    <t>Curiale, AH; Colavecchia, FD; Mato, G</t>
  </si>
  <si>
    <t>10 3390/app8091656</t>
  </si>
  <si>
    <t xml:space="preserve">Fine-Grain Segmentation of the Intervertebral Discs from MR Spine Images Using Deep Convolutional Neural Networks: BSU-Net </t>
  </si>
  <si>
    <t xml:space="preserve">We propose a new deep learning network capable of successfully segmenting intervertebral discs and their complex boundaries from magnetic resonance (MR) spine images  The existing U-network (U-net) is known to perform well in various segmentation tasks in medical images; however, its performance with respect to details of segmentation such as boundaries is limited by the structural limitations of a max-pooling layer that plays a key role in feature extraction process in the U-net  We designed a modified convolutional and pooling layer scheme and applied a cascaded learning method to overcome these structural limitations of the max-pooling layer of a conventional U-net  The proposed network achieved 3% higher Dice similarity coefficient (DSC) than conventional U-net for intervertebral disc segmentation (89 44% vs  86 44%, respectively; p &lt; 0 001)  For intervertebral disc boundary segmentation, the proposed network achieved 10 46% higher DSC than conventional U-net (54 62% vs  44 16%, respectively; p &lt; 0 001) </t>
  </si>
  <si>
    <t>Applied sciences (Basel, Switzerland)</t>
  </si>
  <si>
    <t xml:space="preserve">School of Electrical Engineering, Yonsei University, Seoul 03722, Korea; sewon kim@yonsei ac kr </t>
  </si>
  <si>
    <t>Kim, S; Bae, WC; Masuda, K; Chung, CB; Hwang, D</t>
  </si>
  <si>
    <t>101633495</t>
  </si>
  <si>
    <t>10 5009/gnl18384</t>
  </si>
  <si>
    <t xml:space="preserve">Overview of Deep Learning in Gastrointestinal Endoscopy </t>
  </si>
  <si>
    <t xml:space="preserve">Artificial intelligence is likely to perform several roles currently performed by humans, and the adoption of artificial intelligence-based medicine in gastroenterology practice is expected in the near future  Medical image-based diagnoses, such as pathology, radiology, and endoscopy, are expected to be the first in the medical field to be affected by artificial intelligence  A convolutional neural network, a kind of deep-learning method with multilayer perceptrons designed to use minimal preprocessing, was recently reported as being highly beneficial in the field of endoscopy, including esophagogastroduodenoscopy, colonoscopy, and capsule endoscopy  A convolutional neural network-based diagnostic program was challenged to recognize anatomical locations in esophagogastroduodenoscopy images, Helicobacter pylori infection, and gastric cancer for esophagogastroduodenoscopy; to detect and classify colorectal polyps; to recognize celiac disease and hookworm; and to perform small intestine motility characterization of capsule endoscopy images  Artificial intelligence is expected to help endoscopists provide a more accurate diagnosis by automatically detecting and classifying lesions; therefore, it is essential that endoscopists focus on this novel technology  In this review, we describe the effects of artificial intelligence on gastroenterology with a special focus on automatic diagnosis, based on endoscopic findings </t>
  </si>
  <si>
    <t>Gut and liver</t>
  </si>
  <si>
    <t xml:space="preserve">Department of Internal Medicine, Kyung Hee University School of Medicine, Seoul, Korea </t>
  </si>
  <si>
    <t>Min, JK; Kwak, MS; Cha, JM</t>
  </si>
  <si>
    <t>101316452</t>
  </si>
  <si>
    <t>10 1007/978-3-030-00928-1_83</t>
  </si>
  <si>
    <t xml:space="preserve">Adversarial Similarity Network for Evaluating Image Alignment in Deep Learning based Registration </t>
  </si>
  <si>
    <t xml:space="preserve">This paper introduces an unsupervised adversarial similarity network for image registration  Unlike existing deep learning registration frameworks, our approach does not require ground-truth deformations and specific similarity metrics  We connect a registration network and a discrimination network with a deformable transformation layer  The registration network is trained with feedback from the discrimination network, which is designed to judge whether a pair of registered images are sufficiently similar  Using adversarial training, the registration network is trained to predict deformations that are accurate enough to fool the discrimination network  Experiments on four brain MRI datasets indicate that our method yields registration performance that is promising in both accuracy and efficiency compared with state-of-the-art registration methods, including those based on deep learning </t>
  </si>
  <si>
    <t>Unet</t>
  </si>
  <si>
    <t xml:space="preserve">Department of Radiology and BRIC, University of North Carolina at Chapel Hill, Chapel Hill, NC, USA </t>
  </si>
  <si>
    <t>Fan, J; Cao, X; Xue, Z; Yap, PT; Shen, D</t>
  </si>
  <si>
    <t>10 1109/TMI 2019 2891305</t>
  </si>
  <si>
    <t xml:space="preserve">Fast ScanNet: Fast and Dense Analysis of Multi-Gigapixel Whole-Slide Images for Cancer Metastasis Detection </t>
  </si>
  <si>
    <t xml:space="preserve">Lymph node metastasis is one of the most important indicators in breast cancer diagnosis, that is traditionally observed under the microscope by pathologists  In recent years, with the dramatic advance of high-throughput scanning and deep learning technology, automatic analysis of histology from whole-slide images has received a wealth of interest in the field of medical image computing, which aims to alleviate pathologists' workload and simultaneously reduce misdiagnosis rate  However, the automatic detection of lymph node metastases from whole-slide images remains a key challenge because such images are typically very large, where they can often be multiple gigabytes in size  Also, the presence of hard mimics may result in a large number of false positives  In this paper, we propose a novel method with anchor layers for model conversion, which not only leverages the efficiency of fully convolutional architectures to meet the speed requirement in clinical practice but also densely scans the whole-slide image to achieve accurate predictions on both micro- and macro-metastases  Incorporating the strategies of asynchronous sample prefetching and hard negative mining, the network can be effectively trained  The efficacy of our method is corroborated on the benchmark dataset of 2016 Camelyon Grand Challenge  Our method achieved significant improvements in comparison with the state-of-the-art methods on tumor localization accuracy with a much faster speed and even surpassed human performance on both challenge tasks </t>
  </si>
  <si>
    <t xml:space="preserve">H  Lin, Q  Dou, and P  A  Heng are with the Department of Computer
Science and Engineering, The Chinese University of Hong Kong, China </t>
  </si>
  <si>
    <t>Lin, H; Chen, H; Graham, S; Dou, Q; Rajpoot, N; Heng, PA</t>
  </si>
  <si>
    <t>10 1186/s12957-019-1558-z</t>
  </si>
  <si>
    <t xml:space="preserve">Automatic thyroid nodule recognition and diagnosis in ultrasound imaging with the YOLOv2 neural network </t>
  </si>
  <si>
    <t xml:space="preserve">In this study, images of 2450 benign thyroid nodules and 2557 malignant thyroid nodules were collected and labeled, and an automatic image recognition and diagnosis system was established by deep learning using the YOLOv2 neural network  The performance of the system in the diagnosis of thyroid nodules was evaluated, and the application value of artificial intelligence in clinical practice was investigated The ultrasound images of 276 patients were retrospectively selected  The diagnoses of the radiologists were determined according to the Thyroid Imaging Reporting and Data System; the images were automatically recognized and diagnosed by the established artificial intelligence system  Pathological diagnosis was the gold standard for the final diagnosis  The performances of the established system and the radiologists in diagnosing the benign and malignant thyroid nodules were compared The artificial intelligence diagnosis system correctly identified the lesion area, with an area under the receiver operating characteristic (ROC) curve of 0 902, which is higher than that of the radiologists (0 859)  This finding indicates a higher diagnostic accuracy (p = 0 0434)  The sensitivity, positive predictive value, negative predictive value, and accuracy of the artificial intelligence diagnosis system for the diagnosis of malignant thyroid nodules were 90 5%, 95 22%, 80 99%, and 90 31%, respectively, and the performance did not significantly differ from that of the radiologists (p &gt; 0 05)  The artificial intelligence diagnosis system had a higher specificity (89 91% vs 77 98%, p = 0 026) Compared with the performance of experienced radiologists, the artificial intelligence system has comparable sensitivity and accuracy for the diagnosis of malignant thyroid nodules and better diagnostic ability for benign thyroid nodules  As an auxiliary tool, this artificial intelligence diagnosis system can provide radiologists with sufficient assistance in the diagnosis of benign and malignant thyroid nodules </t>
  </si>
  <si>
    <t>YOLO,Resnet</t>
  </si>
  <si>
    <t>World journal of surgical oncology</t>
  </si>
  <si>
    <t xml:space="preserve">Department of Gastrointestinal Surgery, The Affiliated Hospital of Qingdao University, No  1677 Wutaishan Street, Qingdao, 266555, Shandong Province, China </t>
  </si>
  <si>
    <t>Wang, L; Yang, S; Yang, S; Zhao, C; Tian, G; Gao, Y; Chen, Y; Lu, Y</t>
  </si>
  <si>
    <t>101170544</t>
  </si>
  <si>
    <t>10 3390/s19010194</t>
  </si>
  <si>
    <t xml:space="preserve">An Appraisal of Lung Nodules Automatic Classification Algorithms for CT Images </t>
  </si>
  <si>
    <t xml:space="preserve">Lung cancer is one of the most deadly diseases around the world representing about 26% of all cancers in 2017  The five-year cure rate is only 18% despite great progress in recent diagnosis and treatment  Before diagnosis, lung nodule classification is a key step, especially since automatic classification can help clinicians by providing a valuable opinion  Modern computer vision and machine learning technologies allow very fast and reliable CT image classification  This research area has become very hot for its high efficiency and labor saving  The paper aims to draw a systematic review of the state of the art of automatic classification of lung nodules  This research paper covers published works selected from the Web of Science, IEEEXplore, and DBLP databases up to June 2018  Each paper is critically reviewed based on objective, methodology, research dataset, and performance evaluation  Mainstream algorithms are conveyed and generic structures are summarized  Our work reveals that lung nodule classification based on deep learning becomes dominant for its excellent performance  It is concluded that the consistency of the research objective and integration of data deserves more attention  Moreover, collaborative works among developers, clinicians, and other parties should be strengthened </t>
  </si>
  <si>
    <t>CNN,DBN</t>
  </si>
  <si>
    <t xml:space="preserve">School of Software, Northeastern University, Shenyang 110004, China  wangxinqi7@163 com </t>
  </si>
  <si>
    <t>Wang, X; Mao, K; Wang, L; Yang, P; Lu, D; He, P</t>
  </si>
  <si>
    <t>10 1002/gepi 22182</t>
  </si>
  <si>
    <t xml:space="preserve">Application of deep convolutional neural networks in classification of protein subcellular localization with microscopy images </t>
  </si>
  <si>
    <t xml:space="preserve">Single-cell microscopy image analysis has proved invaluable in protein subcellular localization for inferring gene/protein function  Fluorescent-tagged proteins across cellular compartments are tracked and imaged in response to genetic or environmental perturbations  With a large number of images generated by high-content microscopy while manual labeling is both labor-intensive and error-prone, machine learning offers a viable alternative for automatic labeling of subcellular localizations  Contrarily, in recent years applications of deep learning methods to large datasets in natural images and other domains have become quite successful  An appeal of deep learning methods is that they can learn salient features from complicated data with little data preprocessing  For such purposes, we applied several representative types of deep convolutional neural networks (CNNs) and two popular ensemble methods, random forests and gradient boosting, to predict protein subcellular localization with a moderately large cell image data set  We show a consistently better predictive performance of CNNs over the two ensemble methods  We also demonstrate the use of CNNs for feature extraction  In the end, we share our computer code and pretrained models to facilitate CNN's applications in genetics and computational biology </t>
  </si>
  <si>
    <t>CNN,VGG,ResNet</t>
  </si>
  <si>
    <t>Genetic epidemiology</t>
  </si>
  <si>
    <t xml:space="preserve">Division of Biostatistics, University of Minnesota, Minneapolis, Minnesota </t>
  </si>
  <si>
    <t>Xiao, M; Shen, X; Pan, W</t>
  </si>
  <si>
    <t>8411723</t>
  </si>
  <si>
    <t>10 1007/s00417-018-04224-8</t>
  </si>
  <si>
    <t xml:space="preserve">Fully automated detection of retinal disorders by image-based deep learning </t>
  </si>
  <si>
    <t xml:space="preserve">With the aging population and the global diabetes epidemic, the prevalence of age-related macular degeneration (AMD) and diabetic macular edema (DME) diseases which are the leading causes of blindness is further increasing  Intravitreal injections with anti-vascular endothelial growth factor (anti-VEGF) medications are the standard of care for their indications  Optical coherence tomography (OCT), as a noninvasive imaging modality, plays a major part in guiding the administration of anti-VEGF therapy by providing detailed cross-sectional scans of the retina pathology  Fully automating OCT image detection can significantly decrease the tedious clinician labor and obtain a faithful pre-diagnosis from the analysis of the structural elements of the retina  Thereby, we explore the use of deep transfer learning method based on the visual geometry group 16 (VGG-16) network for classifying AMD and DME in OCT images accurately and automatically A total of 207,130 retinal OCT images between 2013 and 2017 were selected from retrospective cohorts of 5319 adult patients from the Shiley Eye Institute of the University of California San Diego, the California Retinal Research Foundation, Medical Center Ophthalmology Associates, the Shanghai First People's Hospital, and the Beijing Tongren Eye Center, with 109,312 images (37,456 with choroidal neovascularization, 11,599 with diabetic macular edema, 8867 with drusen, and 51,390 normal) for the experiment  After images preprocessing, 1000 images (250 images from each category) from 633 patients were selected as validation dataset while the rest images from another 4686 patients were used as training dataset  We used deep transfer learning method to fine-tune the VGG-16 network pre-trained on the ImageNet dataset, and evaluated its performance on the validation dataset  Then, prediction accuracy, sensitivity, specificity, and receiver-operating characteristic (ROC) were calculated Experimental results proved that the proposed approach had manifested superior performance in retinal OCT images detection, which achieved a prediction accuracy of 98 6%, with a sensitivity of 97 8%, a specificity of 99 4%, and introduced an area under the ROC curve of 100% Deep transfer learning method based on the VGG-16 network shows significant effectiveness on classification of retinal OCT images with a relatively small dataset, which can provide assistant support for medical decision-making  Moreover, the performance of the proposed approach is comparable to that of human experts with significant clinical experience  Thereby, it will find promising applications in an automatic diagnosis and classification of common retinal diseases </t>
  </si>
  <si>
    <t>VGG</t>
  </si>
  <si>
    <t xml:space="preserve">School of Optical-Electrical and Computer Engineering, University of Shanghai for Science and Technology, Shanghai, 200093, China </t>
  </si>
  <si>
    <t>Li, F; Chen, H; Liu, Z; Zhang, X; Wu, Z</t>
  </si>
  <si>
    <t>10 1007/s00432-018-02834-7</t>
  </si>
  <si>
    <t xml:space="preserve">Computer-assisted medical image classification for early diagnosis of oral cancer employing deep learning algorithm </t>
  </si>
  <si>
    <t xml:space="preserve">Oral cancer is a complex wide spread cancer, which has high severity  Using advanced technology and deep learning algorithm early detection and classification are made possible  Medical imaging technique, computer-aided diagnosis and detection can make potential changes in cancer treatment  In this research work, we have developed a deep learning algorithm for automated, computer-aided oral cancer detecting system by investigating patient hyperspectral images To validate the proposed regression-based partitioned deep learning algorithm, we compare the performance with other techniques by its classification accuracy, specificity, and sensitivity  For the accurate medical image classification objective, we demonstrate a new structure of partitioned deep Convolution Neural Network (CNN) with two partitioned layers for labeling and classify by labeling region of interest in multidimensional hyperspectral image The performance of the partitioned deep CNN was verified by classification accuracy  We have obtained classification accuracy of 91 4% with sensitivity 0 94 and a specificity of 0 91 for 100 image data sets training for task classification of cancerous tumor with benign and for task classification of cancerous tumor with normal tissue accuracy of 94 5% for 500 training patterns was obtained We compared the obtained results from another traditional medical image classification algorithm  From the obtained result, we identify that the quality of diagnosis is increased by proposed regression-based partitioned CNN learning algorithm for a complex medical image of oral cancer diagnosis </t>
  </si>
  <si>
    <t>CNN,GoogleNet,Inception</t>
  </si>
  <si>
    <t>Journal of cancer research and clinical oncology</t>
  </si>
  <si>
    <t xml:space="preserve">Department of Electrical and Electronics Engineering, Mepco Schlenk Engineering College (Autonomous), Sivakasi, Tamil Nadu, India  pandiarajan@mepcoeng ac in </t>
  </si>
  <si>
    <t>Jeyaraj, PR; Samuel Nadar, ER</t>
  </si>
  <si>
    <t>7902060</t>
  </si>
  <si>
    <t>10 1016/j jacr 2018 10 020</t>
  </si>
  <si>
    <t xml:space="preserve">Use of Machine Learning to Identify Follow-Up Recommendations in Radiology Reports </t>
  </si>
  <si>
    <t xml:space="preserve">The aims of this study were to assess follow-up recommendations in radiology reports, develop and assess traditional machine learning (TML) and deep learning (DL) models in identifying follow-up, and benchmark them against a natural language processing (NLP) system This HIPAA-compliant, institutional review board-approved study was performed at an academic medical center generating &gt;500,000 radiology reports annually  One thousand randomly selected ultrasound, radiography, CT, and MRI reports generated in 2016 were manually reviewed and annotated for follow-up recommendations  TML (support vector machines, random forest, logistic regression) and DL (recurrent neural nets) algorithms were constructed and trained on 850 reports (training data), with subsequent optimization of model architectures and parameters  Precision, recall, and F1 score were calculated on the remaining 150 reports (test data)  A previously developed and validated NLP system (iSCOUT) was also applied to the test data, with equivalent metrics calculated Follow-up recommendations were present in 12 7% of reports  The TML algorithms achieved F1 scores of 0 75 (random forest), 0 83 (logistic regression), and 0 85 (support vector machine) on the test data  DL recurrent neural nets had an F1 score of 0 71; iSCOUT also had an F1 score of 0 71  Performance of both TML and DL methods by F1 scores appeared to plateau after 500 to 700 samples while training TML and DL are feasible methods to identify follow-up recommendations  These methods have great potential for near real-time monitoring of follow-up recommendations in radiology reports </t>
  </si>
  <si>
    <t>Journal of the American College of Radiology : JACR</t>
  </si>
  <si>
    <t xml:space="preserve">Harvard Medical School, Boston, Massachusetts; Center for Evidence-Based Imaging, Department of Radiology, Brigham and Women's Hospital, Brookline, Massachusetts  Electronic address: emmanuel_carrodeguas@hms harvard edu </t>
    <phoneticPr fontId="0" type="noConversion"/>
  </si>
  <si>
    <t>Carrodeguas, E; Lacson, R; Swanson, W; Khorasani, R</t>
  </si>
  <si>
    <t>101190326</t>
  </si>
  <si>
    <t>10 1016/j ebiom 2018 12 043</t>
  </si>
  <si>
    <t xml:space="preserve">Machine learning for detecting moyamoya disease in plain skull radiography using a convolutional neural network </t>
  </si>
  <si>
    <t xml:space="preserve">Recently, innovative attempts have been made to identify moyamoya disease (MMD) by focusing on the morphological differences in the head of MMD patients  Following the recent revolution in the development of deep learning (DL) algorithms, we designed this study to determine whether DL can distinguish MMD in plain skull radiograph images Three hundred forty-five skull images were collected as an MMD-labeled dataset from patients aged 18 to 50 years with definite MMD  As a control-labeled data set, 408 skull images of trauma patients were selected by age and sex matching  Skull images were partitioned into training and test datasets at a 7:3 ratio using permutation  A total of six convolution layers were designed and trained  The accuracy and area under the receiver operating characteristic (AUROC) curve were evaluated as classifier performance  To identify areas of attention, gradient-weighted class activation mapping was applied  External validation was performed with a new dataset from another hospital For the institutional test set, the classifier predicted the true label with 84·1% accuracy  Sensitivity and specificity were both 0·84  AUROC was 0·91  MMD was predicted by attention to the lower face in most cases  Overall accuracy for external validation data set was 75·9% DL can distinguish MMD cases within specific ages from controls in plain skull radiograph images with considerable accuracy and AUROC  The viscerocranium may play a role in MMD-related skull features  FUND: This work was supported by grant no  18-2018-029 from the Seoul National University Bundang Hospital Research Fund </t>
  </si>
  <si>
    <t xml:space="preserve">Department of Neurosurgery, Seoul National University Bundang Hospital, 82, Gumi-ro 173 Beon-gil, Bundang-gu, Seongnam-si, Gyeonggi-do 13620, Republic of Korea </t>
  </si>
  <si>
    <t>Kim, T; Heo, J; Jang, DK; Sunwoo, L; Kim, J; Lee, KJ; Kang, SH; Park, SJ; Kwon, OK; Oh, CW</t>
  </si>
  <si>
    <t>10 1002/mp 13367</t>
  </si>
  <si>
    <t xml:space="preserve">Prostate cancer classification with multiparametric MRI transfer learning model </t>
  </si>
  <si>
    <t xml:space="preserve">Prostate cancer classification has a significant impact on the prognosis and treatment planning of patients  Currently, this classification is based on the Gleason score analysis of biopsied tissues, which is neither accurate nor risk free  This study aims to learn discriminative features in prostate images and assist physicians in classifying prostate cancer automatically We develop a novel multiparametric magnetic resonance transfer learning (MPTL) method to automatically stage prostate cancer  We first establish a deep convolutional neural network with three branch architectures, which transfer pretrained model to compute features from multiparametric MRI images (mp-MRI): T2w transaxial, T2w sagittal, and apparent diffusion coefficient (ADC)  The learned features are concatenated to represent information of mp-MRI sequences  A new image similarity constraint is then proposed to enable the distribution of the features within the same category in a narrow angle region  With the joint constraints of softmax loss and image similarity loss in the fine-tuning process, the MPTL can provide descriptive features with intraclass compactness and interclass separability Two cohorts: 132 cases from our institutional review board-approved patient database and 112 cases from the PROSTATEx-2 Challenge are utilized to evaluate the robustness and effectiveness of the proposed MPTL model  Our model achieved high accuracy of prostate cancer classification (accuracy of 86 92%)  Moreover, the comparison results demonstrate that our method outperforms both hand-crafted feature-based methods and existing deep learning models in prostate cancer classification with higher accuracy The experiment results showed that the proposed method can learn discriminative features in prostate images and classify the cancer accurately  Our MPTL model could be further applied in the clinical practice to provide valuable information for cancer treatment and precision medicine </t>
  </si>
  <si>
    <t xml:space="preserve">Department of Electronic Engineering, City University of Hong Kong, Kowloon Tong, Hong Kong </t>
  </si>
  <si>
    <t>Yuan, Y; Qin, W; Buyyounouski, M; Ibragimov, B; Hancock, S; Han, B; Xing, L</t>
  </si>
  <si>
    <t>10 1002/mp 13361</t>
  </si>
  <si>
    <t xml:space="preserve">Breast mass classification in sonography with transfer learning using a deep convolutional neural network and color conversion </t>
  </si>
  <si>
    <t xml:space="preserve">We propose a deep learning-based approach to breast mass classification in sonography and compare it with the assessment of four experienced radiologists employing breast imaging reporting and data system 4th edition lexicon and assessment protocol Several transfer learning techniques are employed to develop classifiers based on a set of 882 ultrasound images of breast masses  Additionally, we introduce the concept of a matching layer  The aim of this layer is to rescale pixel intensities of the grayscale ultrasound images and convert those images to red, green, blue (RGB) to more efficiently utilize the discriminative power of the convolutional neural network pretrained on the ImageNet dataset  We present how this conversion can be determined during fine-tuning using back-propagation  Next, we compare the performance of the transfer learning techniques with and without the color conversion  To show the usefulness of our approach, we additionally evaluate it using two publicly available datasets Color conversion increased the areas under the receiver operating curve for each transfer learning method  For the better-performing approach utilizing the fine-tuning and the matching layer, the area under the curve was equal to 0 936 on a test set of 150 cases  The areas under the curves for the radiologists reading the same set of cases ranged from 0 806 to 0 882  In the case of the two separate datasets, utilizing the proposed approach we achieved areas under the curve of around 0 890 The concept of the matching layer is generalizable and can be used to improve the overall performance of the transfer learning techniques using deep convolutional neural networks  When fully developed as a clinical tool, the methods proposed in this paper have the potential to help radiologists with breast mass classification in ultrasound </t>
  </si>
  <si>
    <t xml:space="preserve">Department of Radiology, University of California, San Diego, 9500 Gilman Drive, La Jolla, CA, 92093, USA </t>
  </si>
  <si>
    <t>Byra, M; Galperin, M; Ojeda-Fournier, H; Olson, L; O'Boyle, M; Comstock, C; Andre, M</t>
  </si>
  <si>
    <t>10 1016/j zemedi 2018 11 004</t>
  </si>
  <si>
    <t xml:space="preserve">Analysis of intensity normalization for optimal segmentation performance of a fully convolutional neural network </t>
  </si>
  <si>
    <t xml:space="preserve">Convolutional neural networks have begun to surpass classical statistical- and atlas based machine learning techniques in medical image segmentation in recent years, proving to be superior in performance and speed  However, a major challenge that the community faces are mismatch between variability within training and evaluation datasets and therefore a dependency on proper data pre-processing  Intensity normalization is a widely applied technique for reducing the variance of the data for which there are several methods available ranging from uniformity transformation to histogram equalization  The current study analyses the influence of intensity normalization on cerebellum segmentation performance of a convolutional neural network (CNN) The study included three population samples with a total number of 218 datasets, all including a T1w MRI data set acquired at 3T and a ground truth segmentation delineating the cerebellum  A 12 layer deep 3D fully convolutional neural network was trained using 150 datasets from one of the population samples  Four different intensity normalization methods were separately applied to pre-process the data, and the CNN was correspondingly trained four times with respect to the different normalization techniques  A quantitative analysis of the segmentation performance, assessed via the Sørensen-Dice similarity coefficient (DSC) of all four CNNs, was performed to investigate the intensity sensitivity of the CNNs  Additionally, the optimal network performance was determined by identifying the best parameter set for intensity normalization All four normalization methods led to excellent (mean DSC score=0 96) segmentation results when evaluated using known data; however, the segmentation performance differed depending on the applied intensity normalization method when testing with formerly unseen data, in which case the histogram equalization methods outperformed the unit distribution methods  A detailed, systematic analysis of intensity manipulations revealed, that the distribution of input intensities clearly affected the segmentation performance and that for each input dataset a linear intensity modification (shifting and scaling) existed leading to optimal segmentation results  This was further proven by an optimization analysis to find the optimal adjustment for an individual input evaluation sample within each normalization configuration The findings suggest that proper preparation of the evaluation data is more crucial than the exact choice of normalization method to prepare the training data  The histogram equalization methods tested in this study were found to perform this task best, although leaving room for further improvements, as shown by the optimization analysis </t>
  </si>
  <si>
    <t>Zeitschrift fur medizinische Physik</t>
  </si>
  <si>
    <t xml:space="preserve">Medical Physics Group, Institute for Diagnostic and Interventional Radiology, University Hospital Jena, Jena, Germany </t>
  </si>
  <si>
    <t>Jacobsen, N; Deistung, A; Timmann, D; Goericke, SL; Reichenbach, JR; Güllmar, D</t>
  </si>
  <si>
    <t>100886455</t>
  </si>
  <si>
    <t>10 1016/j media 2018 11 010</t>
  </si>
  <si>
    <t xml:space="preserve">A deep learning framework for unsupervised affine and deformable image registration </t>
  </si>
  <si>
    <t xml:space="preserve">Image registration, the process of aligning two or more images, is the core technique of many (semi-)automatic medical image analysis tasks  Recent studies have shown that deep learning methods, notably convolutional neural networks (ConvNets), can be used for image registration  Thus far training of ConvNets for registration was supervised using predefined example registrations  However, obtaining example registrations is not trivial  To circumvent the need for predefined examples, and thereby to increase convenience of training ConvNets for image registration, we propose the Deep Learning Image Registration (DLIR) framework for unsupervised affine and deformable image registration  In the DLIR framework ConvNets are trained for image registration by exploiting image similarity analogous to conventional intensity-based image registration  After a ConvNet has been trained with the DLIR framework, it can be used to register pairs of unseen images in one shot  We propose flexible ConvNets designs for affine image registration and for deformable image registration  By stacking multiple of these ConvNets into a larger architecture, we are able to perform coarse-to-fine image registration  We show for registration of cardiac cine MRI and registration of chest CT that performance of the DLIR framework is comparable to conventional image registration while being several orders of magnitude faster </t>
  </si>
  <si>
    <t>Netherlands</t>
    <phoneticPr fontId="0" type="noConversion"/>
  </si>
  <si>
    <t xml:space="preserve">Image Sciences Institute, University Medical Center Utrecht and Utrecht University, Utrecht, The Netherlands  Electronic address: bob@isi uu nl </t>
  </si>
  <si>
    <t>de Vos, BD; Berendsen, FF; Viergever, MA; Sokooti, H; Staring, M; Išgum, I</t>
  </si>
  <si>
    <t>10 3174/ajnr A5911</t>
  </si>
  <si>
    <t xml:space="preserve">Deep Learning-Based Detection of Intracranial Aneurysms in 3D TOF-MRA </t>
  </si>
  <si>
    <t xml:space="preserve">The rupture of an intracranial aneurysm is a serious incident, causing subarachnoid hemorrhage associated with high fatality and morbidity rates  Because the demand for radiologic examinations is steadily growing, physician fatigue due to an increased workload is a real concern and may lead to mistaken diagnoses of potentially relevant findings  Our aim was to develop a sufficient system for automated detection of intracranial aneurysms In a retrospective study, we established a system for the detection of intracranial aneurysms from 3D TOF-MRA data  The system is based on an open-source neural network, originally developed for segmentation of anatomic structures in medical images  Eighty-five datasets of patients with a total of 115 intracranial aneurysms were used to train the system and evaluate its performance  Manual annotation of aneurysms based on radiologic reports and critical revision of image data served as the reference standard  Sensitivity, false-positives per case, and positive predictive value were determined for different pipelines with modified pre- and postprocessing The highest overall sensitivity of our system for the detection of intracranial aneurysms was 90% with a sensitivity of 96% for aneurysms with a diameter of 3-7 mm and 100% for aneurysms of &gt;7 mm  The best location-dependent performance was in the posterior circulation  Pre- and postprocessing sufficiently reduced the number of false-positives Our system, based on a deep learning convolutional network, can detect intracranial aneurysms with a high sensitivity from 3D TOF-MRA data </t>
  </si>
  <si>
    <t>AJNR  American journal of neuroradiology</t>
  </si>
  <si>
    <t xml:space="preserve">From the Department of Diagnostic and Interventional Neuroradiology (T S , A F , R S , N T , J F , M W ), University Hospital RWTH Aachen, Aachen, Germany tsichtermann@ukaachen de </t>
  </si>
  <si>
    <t>Sichtermann, T; Faron, A; Sijben, R; Teichert, N; Freiherr, J; Wiesmann, M</t>
  </si>
  <si>
    <t>8003708</t>
  </si>
  <si>
    <t>10 1109/JBHI 2018 2886276</t>
  </si>
  <si>
    <t xml:space="preserve">Extending 2-D Convolutional Neural Networks to 3-D for Advancing Deep Learning Cancer Classification With Application to MRI Liver Tumor Differentiation </t>
  </si>
  <si>
    <t xml:space="preserve">Deep learning (DL) architectures have opened new horizons in medical image analysis attaining unprecedented performance in tasks such as tissue classification and segmentation as well as prediction of several clinical outcomes  In this paper, we propose and evaluate a novel three-dimensional (3-D) convolutional neural network (CNN) designed for tissue classification in medical imaging and applied for discriminating between primary and metastatic liver tumors from diffusion weighted MRI (DW-MRI) data  The proposed network consists of four consecutive strided 3-D convolutional layers with 3 × 3 × 3 kernel size and rectified linear unit (ReLU) as activation function, followed by a fully connected layer with 2048 neurons and a Softmax layer for binary classification  A dataset comprising 130 DW-MRI scans was used for the training and validation of the network  To the best of our knowledge this is the first DL solution for the specific clinical problem and the first 3-D CNN for cancer classification operating directly on whole 3-D tomographic data without the need of any preprocessing step such as region cropping, annotating, or detecting regions of interest  The classification performance results, 83% (3-D) versus 69 6% and 65 2% (2-D), demonstrated significant tissue classification accuracy improvement compared to two 2-D CNNs of different architectures also designed for the specific clinical problem with the same dataset  These results suggest that the proposed 3-D CNN architecture can bring significant benefit in DW-MRI liver discrimination and potentially, in numerous other tissue classification problems based on tomographic data, especially in size-limited, disease-specific clinical datasets </t>
  </si>
  <si>
    <t xml:space="preserve">Eleftherios Trivizakis and Kostas Marias are with the Department of
Informatics Engineering, Technological Educational Institute of Crete,
Heraklion, Greece and the Foundation for Research and Technology - Hellas
(FORTH), Institute of Computer Science, Computational Biomedicine Lab,
Heraklion, Greece (e-mail: trivizakis@ics forth gr, kmarias@ics forth gr) </t>
  </si>
  <si>
    <t>Trivizakis, E; Manikis, GC; Nikiforaki, K; Drevelegas, K; Constantinides, M; Drevelegas, A; Marias, K</t>
  </si>
  <si>
    <t>10 1038/s41592-018-0239-0</t>
  </si>
  <si>
    <t xml:space="preserve">Deep learning enables cross-modality super-resolution in fluorescence microscopy </t>
  </si>
  <si>
    <t xml:space="preserve">We present deep-learning-enabled super-resolution across different fluorescence microscopy modalities  This data-driven approach does not require numerical modeling of the imaging process or the estimation of a point-spread-function, and is based on training a generative adversarial network (GAN) to transform diffraction-limited input images into super-resolved ones  Using this framework, we improve the resolution of wide-field images acquired with low-numerical-aperture objectives, matching the resolution that is acquired using high-numerical-aperture objectives  We also demonstrate cross-modality super-resolution, transforming confocal microscopy images to match the resolution acquired with a stimulated emission depletion (STED) microscope  We further demonstrate that total internal reflection fluorescence (TIRF) microscopy images of subcellular structures within cells and tissues can be transformed to match the results obtained with a TIRF-based structured illumination microscope  The deep network rapidly outputs these super-resolved images, without any iterations or parameter search, and could serve to democratize super-resolution imaging </t>
  </si>
  <si>
    <t xml:space="preserve">Electrical and Computer Engineering Department, University of California, Los Angeles, CA, USA </t>
  </si>
  <si>
    <t>Wang, H; Rivenson, Y; Jin, Y; Wei, Z; Gao, R; Günaydın, H; Bentolila, LA; Kural, C; Ozcan, A</t>
  </si>
  <si>
    <t>10 1002/mp 13338</t>
  </si>
  <si>
    <t xml:space="preserve">Deep learning for patient-specific quality assurance: Identifying errors in radiotherapy delivery by radiomic analysis of gamma images with convolutional neural networks </t>
  </si>
  <si>
    <t xml:space="preserve">Patient-specific quality assurance (QA) for intensity-modulated radiation therapy (IMRT) is a ubiquitous clinical procedure, but conventional methods have often been criticized as being insensitive to errors or less effective than other common physics checks  Recently, there has been interest in the application of radiomics, quantitative extraction of image features, to radiotherapy QA  In this work, we investigate a deep learning approach to classify the presence or absence of introduced radiotherapy treatment delivery errors from patient-specific QA Planar dose maps from 186 IMRT beams from 23 IMRT plans were evaluated  Each plan was transferred to a cylindrical phantom CT geometry  Three sets of planar doses were exported from each plan corresponding to (a) the error-free case, (b) a random multileaf collimator (MLC) error case, and (c) a systematic MLC error case  Each plan was delivered to the electronic portal imaging device (EPID), and planned and measured doses were used to calculate gamma images in an EPID dosimetry software package (for a total of 558 gamma images)  Two radiomic approaches were used  In the first, a convolutional neural network with triplet learning was used to extract image features from the gamma images  In the second, a handcrafted approach using texture features was used  The resulting metrics from both approaches were input into four machine learning classifiers (support vector machines, multilayer perceptrons, decision trees, and k-nearest-neighbors) in order to determine whether images contained the introduced errors  Two experiments were considered: the two-class experiment classified images as error-free or containing any MLC error, and the three-class experiment classified images as error-free, containing a random MLC error, or containing a systematic MLC error  Additionally, threshold-based passing criteria were calculated for comparison In total, 303 gamma images were used for model training and 255 images were used for model testing  The highest classification accuracy was achieved with the deep learning approach, with a maximum accuracy of 77 3% in the two-class experiment and 64 3% in the three-class experiment  The performance of the handcrafted approach with texture features was lower, with a maximum accuracy of 66 3% in the two-class experiment and 53 7% in the three-class experiment  Variability between the results of the four machine learning classifiers was lower for the deep learning approach vs the texture feature approach  Both radiomic approaches were superior to threshold-based passing criteria Deep learning with convolutional neural networks can be used to classify the presence or absence of introduced radiotherapy treatment delivery errors from patient-specific gamma images  The performance of the deep learning network was superior to a handcrafted approach with texture features, and both radiomic approaches were better than threshold-based passing criteria  The results suggest that radiomic QA is a promising direction for clinical radiotherapy </t>
  </si>
  <si>
    <t xml:space="preserve">Department of Radiation Oncology, University of Washington, Seattle, WA, USA </t>
  </si>
  <si>
    <t>Nyflot, MJ; Thammasorn, P; Wootton, LS; Ford, EC; Chaovalitwongse, WA</t>
  </si>
  <si>
    <t>10 1088/1361-6560/aaf09f</t>
  </si>
  <si>
    <t xml:space="preserve">Incorporating automatically learned pulmonary nodule attributes into a convolutional neural network to improve accuracy of benign-malignant nodule classification </t>
  </si>
  <si>
    <t xml:space="preserve">Existing deep-learning-based pulmonary nodule classification models usually use images and benign-malignant labels as inputs for training  Image attributes of the nodules, as human-nameable high-level semantic labels, are rarely used to build a convolutional neural network (CNN)  In this paper, a new method is proposed to combine the advantages of two classifications, which are pulmonary nodule benign-malignant classification and pulmonary nodule image attributes classification, into a deep learning network to improve the accuracy of pulmonary nodule classification  For this purpose, a unique 3D CNN is built to learn image attribute and benign-malignant classification simultaneously  A novel loss function is designed to balance the influence of two different kinds of classifications  The CNN is trained by a publicly available lung image database consortium (LIDC) dataset and is tested by a cross-validation method to predict the risk of a pulmonary nodule being malignant  This proposed method generates the accuracy of 91 47%, which is better than many existing models  Experimental findings show that if the CNN is built properly, the nodule attributes classification and benign-malignant classification can benefit from each other  By using nodule attribute learning as a control factor in a deep learning scheme, the accuracy of pulmonary nodule classification can be significantly improved by using a deep learning scheme </t>
  </si>
  <si>
    <t xml:space="preserve">School of Medical Instrument and Food Engineering, University of Shanghai for Science and Technology, Shanghai, People's Republic of China </t>
  </si>
  <si>
    <t>Dai, Y; Yan, S; Zheng, B; Song, C</t>
  </si>
  <si>
    <t>10 1088/1361-6560/aaf11c</t>
  </si>
  <si>
    <t xml:space="preserve">Fully automated organ segmentation in male pelvic CT images </t>
  </si>
  <si>
    <t xml:space="preserve">Accurate segmentation of prostate and surrounding organs at risk is important for prostate cancer radiotherapy treatment planning  We present a fully automated workflow for male pelvic CT image segmentation using deep learning  The architecture consists of a 2D organ volume localization network followed by a 3D segmentation network for volumetric segmentation of prostate, bladder, rectum, and femoral heads  We used a multi-channel 2D U-Net followed by a 3D U-Net with encoding arm modified with aggregated residual networks, known as ResNeXt  The models were trained and tested on a pelvic CT image dataset comprising 136 patients  Test results show that 3D U-Net based segmentation achieves mean (±SD) Dice coefficient values of 90 (±2 0)%, 96 (±3 0)%, 95 (±1 3)%, 95 (±1 5)%, and 84 (±3 7)% for prostate, left femoral head, right femoral head, bladder, and rectum, respectively, using the proposed fully automated segmentation method </t>
  </si>
  <si>
    <t>Unet,ResNeXt</t>
  </si>
  <si>
    <t xml:space="preserve">Department of Radiation Oncology, Medical Artificial Intelligence and Automation Laboratory, University of Texas Southwestern, Dallas, TX, United States of America  Co-first authors </t>
  </si>
  <si>
    <t>Balagopal, A; Kazemifar, S; Nguyen, D; Lin, MH; Hannan, R; Owrangi, A; Jiang, S</t>
  </si>
  <si>
    <t>10 1088/1361-6560/aaf44b</t>
  </si>
  <si>
    <t xml:space="preserve">Tumor co-segmentation in PET/CT using multi-modality fully convolutional neural network </t>
  </si>
  <si>
    <t xml:space="preserve">Automatic tumor segmentation from medical images is an important step for computer-aided cancer diagnosis and treatment  Recently, deep learning has been successfully applied to this task, leading to state-of-the-art performance  However, most of existing deep learning segmentation methods only work for a single imaging modality  PET/CT scanner is nowadays widely used in the clinic, and is able to provide both metabolic information and anatomical information through integrating PET and CT into the same utility  In this study, we proposed a novel multi-modality segmentation method based on a 3D fully convolutional neural network (FCN), which is capable of taking account of both PET and CT information simultaneously for tumor segmentation  The network started with a multi-task training module, in which two parallel sub-segmentation architectures constructed using deep convolutional neural networks (CNNs) were designed to automatically extract feature maps from PET and CT respectively  A feature fusion module was subsequently designed based on cascaded convolutional blocks, which re-extracted features from PET/CT feature maps using a weighted cross entropy minimization strategy  The tumor mask was obtained as the output at the end of the network using a softmax function  The effectiveness of the proposed method was validated on a clinic PET/CT dataset of 84 patients with lung cancer  The results demonstrated that the proposed network was effective, fast and robust and achieved significantly performance gain over CNN-based methods and traditional methods using PET or CT only, two V-net based co-segmentation methods, two variational co-segmentation methods based on fuzzy set theory and a deep learning co-segmentation method using W-net </t>
  </si>
  <si>
    <t>FCN,CNN</t>
  </si>
  <si>
    <t xml:space="preserve">Key Laboratory of Image Processing and Intelligent Control of Ministry of Education of China, School of Automation, Huazhong University of Science and Technology, Wuhan 430074, People's Republic of China </t>
  </si>
  <si>
    <t>Zhao, X; Li, L; Lu, W; Tan, S</t>
  </si>
  <si>
    <t>10 1088/1361-6560/aaf241</t>
  </si>
  <si>
    <t xml:space="preserve">Bag of deep features for preoperative prediction of sentinel lymph node metastasis in breast cancer </t>
  </si>
  <si>
    <t xml:space="preserve">Breast cancer is the most common female malignancy among women  Sentinel lymph node (SLN) status is a crucial prognostic factor for breast cancer  In this paper, we propose an integrated scheme of deep learning and bag-of-features (BOF) model for preoperative prediction of SLN metastasis  Specifically, convolution neural networks (CNNs) are used to extract deep features from the three 2D representative orthogonal views of a segmented 3D volume of interest  Then, we use a BOF model to furtherly encode the all deep features, which makes features more compact and products high-dimension sparse representation  In particular, a kernel fusion method that assembles all features is proposed to build a discriminative support vector machine (SVM) classifier  The bag of deep feature model is evaluated using the diffusion-weighted magnetic resonance imaging (DWI) database of 172 patients, including 74 SLN and 98 non-SLN  The results show that the proposed method achieves area under the curve (AUC) as high as 0 852 (95% confidence interval (CI): 0 716-0 988) at test set  The results demonstrate that the proposed model can potentially provide a noninvasive approach for automatically predicting prediction of SLN metastasis in patients with breast cancer </t>
  </si>
  <si>
    <t xml:space="preserve">CNN, </t>
  </si>
  <si>
    <t xml:space="preserve">School of Biomedical Engineering, Southern Medical University, Guangzhou, Guangdong 510515, People's Republic of China </t>
  </si>
  <si>
    <t>Luo, J; Ning, Z; Zhang, S; Feng, Q; Zhang, Y</t>
  </si>
  <si>
    <t>10 1038/s41598-018-36047-2</t>
  </si>
  <si>
    <t xml:space="preserve">A Perlin Noise-Based Augmentation Strategy for Deep Learning with Small Data Samples of HRCT Images </t>
  </si>
  <si>
    <t xml:space="preserve">Deep learning is now widely used as an efficient tool for medical image classification and segmentation  However, conventional machine learning techniques are still more accurate than deep learning when only a small dataset is available  In this study, we present a general data augmentation strategy using Perlin noise, applying it to pixel-by-pixel image classification and quantification of various kinds of image patterns of diffuse interstitial lung disease (DILD)  Using retrospectively obtained high-resolution computed tomography (HRCT) images from 106 patients, 100 regions-of-interest (ROIs) for each of six classes of image patterns (normal, ground-glass opacity, reticular opacity, honeycombing, emphysema, and consolidation) were selected for deep learning classification by experienced thoracic radiologists  For extra-validation, the deep learning quantification of the six classification patterns was evaluated for 92 HRCT whole lung images for which hand-labeled segmentation masks created by two experienced radiologists were available  FusionNet, a convolutional neural network (CNN), was used for training, test, and extra-validation on classifications of DILD image patterns  The accuracy of FusionNet with data augmentation using Perlin noise (89 5%, 49 8%, and 55 0% for ROI-based classification and whole lung quantifications by two radiologists, respectively) was significantly higher than that with conventional data augmentation (82 1%, 45 7%, and 49 9%, respectively)  This data augmentation strategy using Perlin noise could be widely applied to deep learning studies for image classification and segmentation, especially in cases with relatively small datasets </t>
  </si>
  <si>
    <t xml:space="preserve">Department of Convergence Medicine, University of Ulsan College of Medicine &amp; Asan Medical Center, Seoul, Republic of Korea </t>
  </si>
  <si>
    <t>Bae, HJ; Kim, CW; Kim, N; Park, B; Kim, N; Seo, JB; Lee, SM</t>
  </si>
  <si>
    <t>10 1002/mp 13331</t>
  </si>
  <si>
    <t xml:space="preserve">Simultaneous cosegmentation of tumors in PET-CT images using deep fully convolutional networks </t>
  </si>
  <si>
    <t xml:space="preserve">To investigate the use and efficiency of 3-D deep learning, fully convolutional networks (DFCN) for simultaneous tumor cosegmentation on dual-modality nonsmall cell lung cancer (NSCLC) and positron emission tomography (PET)-computed tomography (CT) images We used DFCN cosegmentation for NSCLC tumors in PET-CT images, considering both the CT and PET information  The proposed DFCN-based cosegmentation method consists of two coupled three-dimensional (3D)-UNets with an encoder-decoder architecture, which can communicate with the other in order to share complementary information between PET and CT  The weighted average sensitivity and positive predictive values denoted as Scores, dice similarity coefficients (DSCs), and the average symmetric surface distances were used to assess the performance of the proposed approach on 60 pairs of PET/CTs  A Simultaneous Truth and Performance Level Estimation Algorithm (STAPLE) of 3 expert physicians' delineations were used as a reference  The proposed DFCN framework was compared to 3 graph-based cosegmentation methods Strong agreement was observed when using the STAPLE references for the proposed DFCN cosegmentation on the PET-CT images  The average DSCs on CT and PET are 0 861 ± 0 037 and 0 828 ± 0 087, respectively, using DFCN, compared to 0 638 ± 0 165 and 0 643 ± 0 141, respectively, when using the graph-based cosegmentation method  The proposed DFCN cosegmentation using both PET and CT also outperforms the deep learning method using either PET or CT alone The proposed DFCN cosegmentation is able to outperform existing graph-based segmentation methods  The proposed DFCN cosegmentation shows promise for further integration with quantitative multimodality imaging tools in clinical trials </t>
  </si>
  <si>
    <t xml:space="preserve">Department of Electrical and Computer Engineering, The University of Iowa, Iowa City, IA, 52242, USA </t>
  </si>
  <si>
    <t>Zhong, Z; Kim, Y; Plichta, K; Allen, BG; Zhou, L; Buatti, J; Wu, X</t>
  </si>
  <si>
    <t>10 1002/mrm 27627</t>
  </si>
  <si>
    <t xml:space="preserve">SUSAN: segment unannotated image structure using adversarial network </t>
  </si>
  <si>
    <t xml:space="preserve">To describe and evaluate a segmentation method using joint adversarial and segmentation convolutional neural network to achieve accurate segmentation using unannotated MR image datasets A segmentation pipeline was built using joint adversarial and segmentation network  A convolutional neural network technique called cycle-consistent generative adversarial network (CycleGAN) was applied as the core of the method to perform unpaired image-to-image translation between different MR image datasets  A joint segmentation network was incorporated into the adversarial network to obtain additional functionality for semantic segmentation  The fully automated segmentation method termed as SUSAN was tested for segmenting bone and cartilage on 2 clinical knee MR image datasets using images and annotated segmentation masks from an online publicly available knee MR image dataset  The segmentation results were compared using quantitative segmentation metrics with the results from a supervised U-Net segmentation method and 2 registration methods  The Wilcoxon signed-rank test was used to evaluate the value difference of quantitative metrics between different methods The proposed method SUSAN provided high segmentation accuracy with results comparable to the supervised U-Net segmentation method (most quantitative metrics having P &gt; 0 05) and significantly better than a multiatlas registration method (all quantitative metrics having P &lt; 0 001) and a direct registration method (all quantitative metrics having P&lt; 0 0001) for the clinical knee image datasets  SUSAN also demonstrated the applicability for segmenting knee MR images with different tissue contrasts SUSAN performed rapid and accurate tissue segmentation for multiple MR image datasets without the need for sequence specific segmentation annotation  The joint adversarial and segmentation network and training strategy have promising potential applications in medical image segmentation </t>
  </si>
  <si>
    <t>GAN,Unet</t>
  </si>
  <si>
    <t>Magnetic resonance in medicine</t>
  </si>
  <si>
    <t xml:space="preserve">Department of Radiology, University of Wisconsin School of Medicine and Public Health, Madison, Wisconsin </t>
  </si>
  <si>
    <t>Liu, F</t>
  </si>
  <si>
    <t>8505245</t>
  </si>
  <si>
    <t>10 1109/JBHI 2018 2885214</t>
  </si>
  <si>
    <t xml:space="preserve">Cloud Deployment of High-Resolution Medical Image Analysis With TOMAAT </t>
  </si>
  <si>
    <t xml:space="preserve">Deep learning has been recently applied to a multitude of computer vision and medical image analysis problems  Although recent research efforts have improved the state of the art, most of the methods cannot be easily accessed, compared or used by other researchers or clinicians  Even if developers publish their code and pre-trained models on the internet, integration in stand-alone applications and existing workflows is often not straightforward, especially for clinical research partners  In this paper, we propose an open-source framework to provide AI-enabled medical image analysis through the network TOMAAT provides a cloud environment for general medical image analysis, composed of three basic components: (i) an announcement service, maintaining a public registry of (ii) multiple distributed server nodes offering various medical image analysis solutions, and (iii) client software offering simple interfaces for users  Deployment is realized through HTTP-based communication, along with an API and wrappers for common image manipulations during pre- and post-processing We demonstrate the utility and versatility of TOMAAT on several hallmark medical image analysis tasks: segmentation, diffeomorphic deformable atlas registration, landmark localization, and workflow integration  Through TOMAAT, the high hardware demands, setup and model complexity of demonstrated approaches are transparent to users, who are provided with simple client interfaces  We present example clients in three-dimensional Slicer, in the web browser, on iOS devices and in a commercially available, certified medical image analysis suite TOMAAT enables deployment of state-of-the-art image segmentation in the cloud, fostering interaction among deep learning researchers and medical collaborators in the clinic  Currently, a public announcement service is hosted by the authors, and several ready-to-use services are registered and enlisted at http://tomaat cloud </t>
  </si>
  <si>
    <t>FCN,VNET</t>
  </si>
  <si>
    <t xml:space="preserve">F  Milletari is with Nvidia Inc , 2788 San Tomas Expressway, Santa Clara,
CA 95051, USA </t>
  </si>
  <si>
    <t>Milletari, F; Frei, J; Aboulatta, M; Vivar, G; Ahmadi, SA</t>
  </si>
  <si>
    <t>10 1016/j media 2018 11 009</t>
  </si>
  <si>
    <t xml:space="preserve">Automated segmentation of knee bone and cartilage combining statistical shape knowledge and convolutional neural networks: Data from the Osteoarthritis Initiative </t>
  </si>
  <si>
    <t xml:space="preserve">We present a method for the automated segmentation of knee bones and cartilage from magnetic resonance imaging (MRI) that combines a priori knowledge of anatomical shape with Convolutional Neural Networks (CNNs)  The proposed approach incorporates 3D Statistical Shape Models (SSMs) as well as 2D and 3D CNNs to achieve a robust and accurate segmentation of even highly pathological knee structures  The shape models and neural networks employed are trained using data from the Osteoarthritis Initiative (OAI) and the MICCAI grand challenge "Segmentation of Knee Images 2010" (SKI10), respectively  We evaluate our method on 40 validation and 50 submission datasets from the SKI10 challenge  For the first time, an accuracy equivalent to the inter-observer variability of human readers is achieved in this challenge  Moreover, the quality of the proposed method is thoroughly assessed using various measures for data from the OAI, i e  507 manual segmentations of bone and cartilage, and 88 additional manual segmentations of cartilage  Our method yields sub-voxel accuracy for both OAI datasets  We make the 507 manual segmentations as well as our experimental setup publicly available to further aid research in the field of medical image segmentation  In conclusion, combining localized classification via CNNs with statistical anatomical knowledge via SSMs results in a state-of-the-art segmentation method for knee bones and cartilage from MRI data </t>
  </si>
  <si>
    <t xml:space="preserve">Therapy Planning Group, Zuse Institute Berlin, Berlin, Germany  Electronic address: ambellan@zib de </t>
  </si>
  <si>
    <t>Ambellan, F; Tack, A; Ehlke, M; Zachow, S</t>
  </si>
  <si>
    <t>10 1016/j lungcan 2018 11 001</t>
  </si>
  <si>
    <t xml:space="preserve">Automated detection of lung cancer at ultralow dose PET/CT by deep neural networks - Initial results </t>
  </si>
  <si>
    <t xml:space="preserve">We evaluated whether machine learning may be helpful for the detection of lung cancer in FDG-PET imaging in the setting of ultralow dose PET scans We studied the performance of an artificial neural network discriminating lung cancer patients (n = 50) from controls (n = 50) without pulmonary malignancies  A total of 3936 PET slices including images in which the lung tumor is visually present and image slices of patients with no lung cancer were exported  The diagnostic performance of the artificial neural network based on clinical standard dose PET images (PET100%) as well as with a tenfold (PET10%) and thirtyfold (PET3 3%) reduced radiation dose (∼0 11 mSv) was assessed The area under the curve of the deep learning algorithm for lung cancer detection was 0 989, 0 983 and 0 970 for standard dose images (PET100%), and reduced dose PET10%, and PET3 3% reconstruction, respectively  The artificial neural network achieved a sensitivity of 95 9% and 91 5% and a specificity of 98 1% and 94 2%, at standard dose and ultralow dose PET3 3%, respectively Our results suggest that machine learning algorithms may aid fully automated lung cancer detection even at very low effective radiation doses of 0 11 mSv  Further improvement of this technology might improve the specificity of lung cancer screening efforts and could lead to new applications of FDG-PET </t>
  </si>
  <si>
    <t>Lung cancer (Amsterdam, Netherlands)</t>
  </si>
  <si>
    <t xml:space="preserve">Department of Nuclear Medicine, University Hospital Zurich, University of Zurich, Switzerland; Institute of Diagnostic and Interventional Radiology, University Hospital Zurich, University of Zurich, Switzerland </t>
  </si>
  <si>
    <t>Schwyzer, M; Ferraro, DA; Muehlematter, UJ; Curioni-Fontecedro, A; Huellner, MW; von Schulthess, GK; Kaufmann, PA; Burger, IA; Messerli, M</t>
  </si>
  <si>
    <t>8800805</t>
  </si>
  <si>
    <t>10 1002/mp 13326</t>
  </si>
  <si>
    <t xml:space="preserve">Deep-learning convolutional neural network: Inner and outer bladder wall segmentation in CT urography </t>
  </si>
  <si>
    <t xml:space="preserve">We are developing a computerized segmentation tool for the inner and outer bladder wall as a part of an image analysis pipeline for CT urography (CTU) A data set of 172 CTU cases was collected retrospectively with Institutional Review Board (IRB) approval  The data set was randomly split into two independent sets of training (81 cases) and testing (92 cases) which were manually outlined for both the inner and outer wall  We trained a deep-learning convolutional neural network (DL-CNN) to distinguish the bladder wall from the inside and outside of the bladder using neighborhood information  Approximately, 240 000 regions of interest (ROIs) of 16 × 16 pixels in size were extracted from regions in the training cases identified by the manually outlined inner and outer bladder walls to form a training set for the DL-CNN; half of the ROIs were selected to include the bladder wall and the other half were selected to exclude the bladder wall with some of these ROIs being inside the bladder and the rest outside the bladder entirely  The DL-CNN trained on these ROIs was applied to the cases in the test set slice-by-slice to generate a bladder wall likelihood map where the gray level of a given pixel represents the likelihood that a given pixel would belong to the bladder wall  We then used the DL-CNN likelihood map as an energy term in the energy equation of a cascaded level sets method to segment the inner and outer bladder wall  The DL-CNN segmentation with level sets was compared to the three-dimensional (3D) hand-segmented contours as a reference standard For the inner wall contour, the training set achieved the average volume intersection, average volume error, average absolute volume error, and average distance of 90 0 ± 8 7%, -4 2 ± 18 4%, 12 9 ± 13 9%, and 3 0 ± 1 6 mm, respectively  The corresponding values for the test set were 86 9 ± 9 6%, -8 3 ± 37 7%, 18 4 ± 33 8%, and 3 4 ± 1 8 mm, respectively  For the outer wall contour, the training set achieved the values of 93 7 ± 3 9%, -7 8 ± 11 4%, 10 3 ± 9 3%, and 3 0 ± 1 2 mm, respectively  The corresponding values for the test set were 87 5 ± 9 9%, -1 2 ± 20 8%, 11 9 ± 17 0%, and 3 5 ± 2 3 mm, respectively Our study demonstrates that DL-CNN-assisted level sets can effectively segment bladder walls from the inner bladder and outer structures despite a lack of consistent distinctions along the inner wall  However, even with the addition of level sets, the inner and outer walls may still be over-segmented and the DL-CNN-assisted level sets may incorrectly segment parts of the prostate that overlap with the outer bladder wall  The outer wall segmentation was improved compared to our previous method and the DL-CNN-assisted level sets were also able to segment the inner bladder wall with similar performance  This study shows the DL-CNN-assisted level set segmentation tool can effectively segment the inner and outer wall of the bladder </t>
  </si>
  <si>
    <t xml:space="preserve">Department of Radiology, The University of Michigan, Ann Arbor, MI, 48109-0904, USA </t>
  </si>
  <si>
    <t>Gordon, MN; Hadjiiski, LM; Cha, KH; Samala, RK; Chan, HP; Cohan, RH; Caoili, EM</t>
  </si>
  <si>
    <t>10 1002/mp 13317</t>
  </si>
  <si>
    <t xml:space="preserve">A learning-based material decomposition pipeline for multi-energy x-ray imaging </t>
  </si>
  <si>
    <t xml:space="preserve">Benefiting from multi-energy x-ray imaging technology, material decomposition facilitates the characterization of different materials in x-ray imaging  However, the performance of material decomposition is limited by the accuracy of the decomposition model  Due to the presence of nonideal effects in x-ray imaging systems, it is difficult to explicitly build the imaging system models for material decomposition  As an alternative, this paper explores the feasibility of using machine learning approaches for material decomposition tasks In this work, we propose a learning-based pipeline to perform material decomposition  In this pipeline, the step of feature extraction is implemented to integrate more informative features, such as neighboring information, to facilitate material decomposition tasks, and the step of hold-out validation with continuous interleaved sampling is employed to perform model evaluation and selection  We demonstrate the material decomposition capability of our proposed pipeline with promising machine learning algorithms in both simulation and experimentation, the algorithms of which are artificial neural network (ANN), Random Tree, REPTree and Random Forest  The performance was quantitatively evaluated using a simulated XCAT phantom and an anthropomorphic torso phantom  In order to evaluate the proposed method, two measurement-based material decomposition methods were used as the reference methods for comparison studies  In addition, deep learning-based solutions were also investigated to complete this work as a comprehensive comparison of machine learning solution for material decomposition In both the simulation study and the experimental study, the introduced machine learning algorithms are able to train models for the material decomposition tasks  With the application of neighboring information, the performance of each machine learning algorithm is strongly improved  Compared to the state-of-the-art method, the performance of ANN in the simulation study is an improvement of over 24% in the noiseless scenarios and over 169% in the noisy scenario, while the performance of the Random Forest is an improvement of over 40% and 165%, respectively  Similarly, the performance of ANN in the experimental study is an improvement of over 42% in the denoised scenario and over 45% in the original scenario, while the performance of Random Forest is an improvement by over 33% and 40%, respectively The proposed pipeline is able to build generic material decomposition models for different scenarios, and it was validated by quantitative evaluation in both simulation and experimentation  Compared to the reference methods, appropriate features and machine learning algorithms can significantly improve material decomposition performance  The results indicate that it is feasible and promising to perform material decomposition using machine learning methods, and our study will facilitate future efforts toward clinical applications </t>
  </si>
  <si>
    <t>CNN,RESNET</t>
  </si>
  <si>
    <t xml:space="preserve">Pattern Recognition Lab, Department of Computer Science, Friedrich-Alexander-University Erlangen-Nuremberg, 91058, Erlangen, Germany </t>
  </si>
  <si>
    <t>Lu, Y; Kowarschik, M; Huang, X; Xia, Y; Choi, JH; Chen, S; Hu, S; Ren, Q; Fahrig, R; Hornegger, J; Maier, A</t>
  </si>
  <si>
    <t>10 1109/TPAMI 2018 2883941</t>
  </si>
  <si>
    <t xml:space="preserve">ADMM-CSNet: A Deep Learning Approach for Image Compressive Sensing </t>
    <phoneticPr fontId="0" type="noConversion"/>
  </si>
  <si>
    <t xml:space="preserve">Compressive sensing (CS) is an effective technique for reconstructing image from a small amount of sampled data  It has been widely applied in medical imaging, remote sensing, image compression, etc  In this paper, we propose two versions of a novel deep learning architecture, dubbed as ADMM-CSNet, by combining the traditional model-based CS method and data-driven deep learning method for image reconstruction from sparsely sampled measurements  We first consider a generalized CS model for image reconstruction with undetermined regularizations in undetermined transform domains, and then two efficient solvers using Alternating Direction Method of Multipliers (ADMM) algorithm for optimizing the model are proposed  We further unroll and generalize the ADMM algorithm to be two deep architectures, in which all parameters of the CS model and the ADMM algorithm are discriminatively learned by end-to-end training  For both applications of fast CS complex-valued MR imaging and CS imaging of real-valued natural images, the proposed ADMM-CSNet achieved favorable reconstruction accuracy in fast computational speed compared with the traditional and the other deep learning methods </t>
  </si>
  <si>
    <t>IEEE transactions on pattern analysis and machine intelligence</t>
  </si>
  <si>
    <t>Pattern Recognition Lab, Department of Computer Science,
Friedrich-Alexander-University Erlangen-Nuremberg, 91058 Erlangen, Germany</t>
    <phoneticPr fontId="0" type="noConversion"/>
  </si>
  <si>
    <t>Yang, Y; Sun, J; Li, H; Xu, Z</t>
  </si>
  <si>
    <t>9885960</t>
  </si>
  <si>
    <t>10 1016/j neuroimage 2018 11 042</t>
  </si>
  <si>
    <t xml:space="preserve">QuickNAT: A fully convolutional network for quick and accurate segmentation of neuroanatomy </t>
  </si>
  <si>
    <t xml:space="preserve">Whole brain segmentation from structural magnetic resonance imaging (MRI) is a prerequisite for most morphological analyses, but is computationally intense and can therefore delay the availability of image markers after scan acquisition  We introduce QuickNAT, a fully convolutional, densely connected neural network that segments a MRI brain scan in 20 s  To enable training of the complex network with millions of learnable parameters using limited annotated data, we propose to first pre-train on auxiliary labels created from existing segmentation software  Subsequently, the pre-trained model is fine-tuned on manual labels to rectify errors in auxiliary labels  With this learning strategy, we are able to use large neuroimaging repositories without manual annotations for training  In an extensive set of evaluations on eight datasets that cover a wide age range, pathology, and different scanners, we demonstrate that QuickNAT achieves superior segmentation accuracy and reliability in comparison to state-of-the-art methods, while being orders of magnitude faster  The speed up facilitates processing of large data repositories and supports translation of imaging biomarkers by making them available within seconds for fast clinical decision making </t>
  </si>
  <si>
    <t>CNN,UNET</t>
  </si>
  <si>
    <t xml:space="preserve">Artificial Intelligence in Medical Imaging (AI-Med), Department of Child and Adolescent Psychiatry, LMU, München, Germany; Computer Aided Medical Procedures, Department of Informatics, Technical University of Munich, Germany  Electronic address: abhi4ssj@gmail com </t>
  </si>
  <si>
    <t xml:space="preserve">Guha Roy, A; Conjeti, S; Navab, N; Wachinger, C; , </t>
  </si>
  <si>
    <t>10 1111/echo 14220</t>
  </si>
  <si>
    <t xml:space="preserve">Deep learning for predicting in-hospital mortality among heart disease patients based on echocardiography </t>
  </si>
  <si>
    <t xml:space="preserve">Heart disease (HD) is the leading cause of global death; there are several mortality prediction models of HD for identifying critically-ill patients and for guiding decision making  The existing models, however, cannot be used during initial treatment or screening  This study aimed to derive and validate an echocardiography-based mortality prediction model for HD using deep learning (DL) In this multicenter retrospective cohort study, the subjects were admitted adult (age ≥ 18 years) HD patients who underwent echocardiography  The outcome was in-hospital mortality  We extracted predictor variables from echocardiography reports using text mining  We developed deep learning-based prediction model using derivation data of a hospital A  And we conducted external validation using echocardiography report of hospital B  We conducted subgroup analysis of coronary heart disease (CHD) and heart failure (HF) patients of hospital B and compared DL with the currently used predictive models (eg, Global Registry of Acute Coronary Events (GRACE) score, Thrombolysis in Myocardial Infarction score (TIMI), Meta-Analysis Global Group in Chronic Heart Failure (MAGGIC) score, and Get With The Guidelines-Heart Failure (GWTG-HF) score) The study subjects comprised 25 776 patients with 1026 mortalities  The areas under the receiver operating characteristic curve (AUROC) of the DL model were 0 912, 0 898, 0 958, and 0 913 for internal validation, external validation, CHD, and HF, respectively, and these results significantly outperformed other comparison models This echocardiography-based deep learning model predicted in-hospital mortality among HD patients more accurately than existing prediction models and other machine learning models </t>
  </si>
  <si>
    <t>aNN</t>
  </si>
  <si>
    <t>Echocardiography (Mount Kisco, N Y )</t>
  </si>
  <si>
    <t xml:space="preserve">Department of Emergency Medicine, Mediplex Sejong Hospital, Incheon, Korea </t>
  </si>
  <si>
    <t>Kwon, JM; Kim, KH; Jeon, KH; Park, J</t>
  </si>
  <si>
    <t>8511187</t>
  </si>
  <si>
    <t>10 1155/2018/5049390</t>
  </si>
  <si>
    <t xml:space="preserve">A Deep Learning Approach to Vascular Structure Segmentation in Dermoscopy Colour Images </t>
  </si>
  <si>
    <t xml:space="preserve">Atypical vascular pattern is one of the most important features by differentiating between benign and malignant pigmented skin lesions  Detection and analysis of vascular structures is a necessary initial step for skin mole assessment; it is a prerequisite step to provide an accurate outcome for the widely used 7-point checklist diagnostic algorithm In this research we present a fully automated machine learning approach for segmenting vascular structures in dermoscopy colour images  The U-Net architecture is based on convolutional networks and designed for fast and precise segmentation of images  After preprocessing the images are randomly divided into 146516 patches of 64 × 64 pixels each On the independent validation dataset including 74 images our implemented method showed high segmentation accuracy  For the U-Net convolutional neural network, an average DSC of 0 84, sensitivity 0 85, and specificity 0 81 has been achieved Vascular structures due to small size and similarity to other local structures create enormous difficulties during the segmentation and assessment process  The use of advanced segmentation methods like deep learning, especially convolutional neural networks, has the potential to improve the accuracy of advanced local structure detection </t>
  </si>
  <si>
    <t>Poland</t>
  </si>
  <si>
    <t>BioMed research international</t>
  </si>
  <si>
    <t xml:space="preserve">Department of Automatic Control and Robotics, AGH University of Science and Technology, Cracow, Poland </t>
  </si>
  <si>
    <t>Jaworek-Korjakowska, J</t>
  </si>
  <si>
    <t>101600173</t>
  </si>
  <si>
    <t>10 3389/fninf 2018 00082</t>
  </si>
  <si>
    <t xml:space="preserve">Deep Synthesis of Realistic Medical Images: A Novel Tool in Clinical Research and Training </t>
  </si>
  <si>
    <t xml:space="preserve">Making clinical decisions based on medical images is fundamentally an exercise in statistical decision-making  This is because in this case, the decision-maker must distinguish between image features that are clinically diagnostic (i e , signal) from a large amount of non-diagnostic features  (i e , noise)  To perform this task, the decision-maker must have learned the underlying statistical distributions of the signal and noise to begin with  The same is true for machine learning algorithms that perform a given diagnostic task  In order to train and test human experts or expert machine systems in any diagnostic or analytical task, it is advisable to use large sets of images, so as to capture the underlying statistical distributions adequately  Large numbers of images are also useful in clinical and scientific research about the underlying diagnostic process, which remains poorly understood  Unfortunately, it is often difficult to obtain medical images of given specific descriptions in sufficiently large numbers  This represents a significant barrier to progress in the arenas of clinical care, education, and research  Here we describe a novel methodology that helps overcome this barrier  This method leverages the burgeoning technologies of deep learning (DL) and deep synthesis (DS) to synthesize medical images de novo  We provide a proof-of-principle of this approach using mammograms as an illustrative case  During the initial, prerequisite DL phase of the study, we trained a publicly available deep learning neural network (DNN), using open-sourced, radiologically vetted mammograms as labeled examples  During the subsequent DS phase of the study, the fully trained DNN was made to synthesize, de novo, images that capture the image statistics of a given input image  The resulting images indicated that our DNN was able to faithfully capture the image statistics of visually diverse sets of mammograms  We also briefly outline rigorous psychophysical testing methods to measure the extent to which synthesized mammography were sufficiently alike their original counterparts to human experts  These tests reveal that mammography experts fail to distinguish synthesized mammograms from their original counterparts at a statistically significant level, suggesting that the synthesized images were sufficiently realistic  Taken together, these results demonstrate that deep synthesis has the potential to be impactful in all fields in which medical images play a key role, most notably in radiology and pathology </t>
    <phoneticPr fontId="0" type="noConversion"/>
  </si>
  <si>
    <t xml:space="preserve">Palo Alto Research Center, Palo Alto, CA, United States </t>
  </si>
  <si>
    <t>Bart, E; Hegdé, J</t>
  </si>
  <si>
    <t>10 1088/1361-6560/aaef0a</t>
  </si>
  <si>
    <t xml:space="preserve">Visually interpretable deep network for diagnosis of breast masses on mammograms </t>
  </si>
  <si>
    <t xml:space="preserve">Recently, deep learning technology has achieved various successes in medical image analysis studies including computer-aided diagnosis (CADx)  However, current CADx approaches based on deep learning have a limitation in interpreting diagnostic decisions  The limited interpretability is a major challenge for practical use of current deep learning approaches  In this paper, a novel visually interpretable deep network framework is proposed to provide diagnostic decisions with visual interpretation  The proposed method is motivated by the fact that the radiologists characterize breast masses according to the breast imaging reporting and data system (BIRADS)  The proposed deep network framework consists of a BIRADS guided diagnosis network and a BIRADS critic network  A 2D map, named BIRADS guide map, is generated in the inference process of the deep network  The visual features extracted from the breast masses could be refined by the BIRADS guide map, which helps the deep network to focus on more informative areas  The BIRADS critic network makes the BIRADS guide map to be relevant to the characterization of masses in terms of BIRADS description  To verify the proposed method, comparative experiments have been conducted on public mammogram database  On the independent test set (170 malignant masses and 170 benign masses), the proposed method was found to have significantly higher performance compared to the deep network approach without using the BIRADS guide map (p  &lt;  0 05)  Moreover, the visualization was conducted to show the location where the deep network exploited more information  This study demonstrated that the proposed visually interpretable CADx framework could be a promising approach for visually interpreting the diagnostic decision of the deep network </t>
  </si>
  <si>
    <t xml:space="preserve">School of Electrical Engineering, KAIST, 291, Daehak-ro, Yuseong-gu, Daejeon 34141, Republic of Korea </t>
  </si>
  <si>
    <t>Kim, ST; Lee, JH; Lee, H; Ro, YM</t>
  </si>
  <si>
    <t>10 1155/2018/1382309</t>
  </si>
  <si>
    <t xml:space="preserve">Convolutional Neural Networks Promising in Lung Cancer T-Parameter Assessment on Baseline FDG-PET/CT </t>
  </si>
  <si>
    <t xml:space="preserve">To develop an algorithm, based on convolutional neural network (CNN), for the classification of lung cancer lesions as T1-T2 or T3-T4 on staging fluorodeoxyglucose positron emission tomography (FDG-PET)/CT images We retrospectively selected a cohort of 472 patients (divided in the training, validation, and test sets) submitted to staging FDG-PET/CT within 60 days before biopsy or surgery  TNM system seventh edition was used as reference  Postprocessing was performed to generate an adequate dataset  The input of CNNs was a bounding box on both PET and CT images, cropped around the lesion centre  The results were classified as Correct (concordance between reference and prediction) and Incorrect (discordance between reference and prediction)  Accuracy (Correct/[Correct + Incorrect]), recall (Correctly predicted T3-T4/[all T3-T4]), and specificity (Correctly predicted T1-T2/[all T1-T2]), as commonly defined in deep learning models, were used to evaluate CNN performance  The area under the curve (AUC) was calculated for the final model The algorithm, composed of two networks (a "feature extractor" and a "classifier"), developed and tested achieved an accuracy, recall, specificity, and AUC of 87%, 69%, 69%, and 0 83; 86%, 77%, 70%, and 0 73; and 90%, 47%, 67%, and 0 68 in the training, validation, and test sets, respectively We obtained proof of concept that CNNs can be used as a tool to assist in the staging of patients affected by lung cancer </t>
  </si>
  <si>
    <t>Contrast media &amp; molecular imaging</t>
  </si>
  <si>
    <t xml:space="preserve">Department of Biomedical Sciences, Humanitas University, Milan, Pieve Emanuele, Italy </t>
  </si>
  <si>
    <t>Kirienko, M; Sollini, M; Silvestri, G; Mognetti, S; Voulaz, E; Antunovic, L; Rossi, A; Antiga, L; Chiti, A</t>
  </si>
  <si>
    <t>101286760</t>
  </si>
  <si>
    <t>10 1186/s12880-018-0286-0</t>
  </si>
  <si>
    <t xml:space="preserve">Classification of lung nodules in CT scans using three-dimensional deep convolutional neural networks with a checkpoint ensemble method </t>
  </si>
  <si>
    <t xml:space="preserve">Accurately detecting and examining lung nodules early is key in diagnosing lung cancers and thus one of the best ways to prevent lung cancer deaths  Radiologists spend countless hours detecting small spherical-shaped nodules in computed tomography (CT) images  In addition, even after detecting nodule candidates, a considerable amount of effort and time is required for them to determine whether they are real nodules  The aim of this paper is to introduce a high performance nodule classification method that uses three dimensional deep convolutional neural networks (DCNNs) and an ensemble method to distinguish nodules between non-nodules In this paper, we use a three dimensional deep convolutional neural network (3D DCNN) with shortcut connections and a 3D DCNN with dense connections for lung nodule classification  The shortcut connections and dense connections successfully alleviate the gradient vanishing problem by allowing the gradient to pass quickly and directly  Connections help deep structured networks to obtain general as well as distinctive features of lung nodules  Moreover, we increased the dimension of DCNNs from two to three to capture 3D features  Compared with shallow 3D CNNs used in previous studies, deep 3D CNNs more effectively capture the features of spherical-shaped nodules  In addition, we use an alternative ensemble method called the checkpoint ensemble method to boost performance The performance of our nodule classification method is compared with that of the state-of-the-art methods which were used in the LUng Nodule Analysis 2016 Challenge  Our method achieves higher competition performance metric (CPM) scores than the state-of-the-art methods using deep learning  In the experimental setup ESB-ALL, the 3D DCNN with shortcut connections and the 3D DCNN with dense connections using the checkpoint ensemble method achieved the highest CPM score of 0 910 The result demonstrates that our method of using a 3D DCNN with shortcut connections, a 3D DCNN with dense connections, and the checkpoint ensemble method is effective for capturing 3D features of nodules and distinguishing nodules between non-nodules </t>
  </si>
  <si>
    <t>BMC medical imaging</t>
  </si>
  <si>
    <t xml:space="preserve">Department of Computer Science and Engineering, Korea University, Seoul, Republic of Korea </t>
  </si>
  <si>
    <t>Jung, H; Kim, B; Lee, I; Lee, J; Kang, J</t>
  </si>
  <si>
    <t>100968553</t>
  </si>
  <si>
    <t>10 1371/journal pcbi 1006238</t>
  </si>
  <si>
    <t xml:space="preserve">Tox_(R)CNN: Deep learning-based nuclei profiling tool for drug toxicity screening </t>
  </si>
  <si>
    <t xml:space="preserve">Toxicity is an important factor in failed drug development, and its efficient identification and prediction is a major challenge in drug discovery  We have explored the potential of microscopy images of fluorescently labeled nuclei for the prediction of toxicity based on nucleus pattern recognition  Deep learning algorithms obtain abstract representations of images through an automated process, allowing them to efficiently classify complex patterns, and have become the state-of-the art in machine learning for computer vision  Here, deep convolutional neural networks (CNN) were trained to predict toxicity from images of DAPI-stained cells pre-treated with a set of drugs with differing toxicity mechanisms  Different cropping strategies were used for training CNN models, the nuclei-cropping-based Tox_CNN model outperformed other models classifying cells according to health status  Tox_CNN allowed automated extraction of feature maps that clustered compounds according to mechanism of action  Moreover, fully automated region-based CNNs (RCNN) were implemented to detect and classify nuclei, providing per-cell toxicity prediction from raw screening images  We validated both Tox_(R)CNN models for detection of pre-lethal toxicity from nuclei images, which proved to be more sensitive and have broader specificity than established toxicity readouts  These models predicted toxicity of drugs with mechanisms of action other than those they had been trained for and were successfully transferred to other cell assays  The Tox_(R)CNN models thus provide robust, sensitive, and cost-effective tools for in vitro screening of drug-induced toxicity  These models can be adopted for compound prioritization in drug screening campaigns, and could thereby increase the efficiency of drug discovery </t>
  </si>
  <si>
    <t xml:space="preserve">Cellomics Unit, Cell &amp; Developmental Biology Area, Centro Nacional de Investigaciones Cardiovasculares (CNIC), Madrid, Spain </t>
  </si>
  <si>
    <t>Jimenez-Carretero, D; Abrishami, V; Fernández-de-Manuel, L; Palacios, I; Quílez-Álvarez, A; Díez-Sánchez, A; Del Pozo, MA; Montoya, MC</t>
  </si>
  <si>
    <t>10 1371/journal pmed 1002711</t>
  </si>
  <si>
    <t xml:space="preserve">Deep learning for lung cancer prognostication: A retrospective multi-cohort radiomics study </t>
  </si>
  <si>
    <t xml:space="preserve">Non-small-cell lung cancer (NSCLC) patients often demonstrate varying clinical courses and outcomes, even within the same tumor stage  This study explores deep learning applications in medical imaging allowing for the automated quantification of radiographic characteristics and potentially improving patient stratification We performed an integrative analysis on 7 independent datasets across 5 institutions totaling 1,194 NSCLC patients (age median = 68 3 years [range 32 5-93 3], survival median = 1 7 years [range 0 0-11 7])  Using external validation in computed tomography (CT) data, we identified prognostic signatures using a 3D convolutional neural network (CNN) for patients treated with radiotherapy (n = 771, age median = 68 0 years [range 32 5-93 3], survival median = 1 3 years [range 0 0-11 7])  We then employed a transfer learning approach to achieve the same for surgery patients (n = 391, age median = 69 1 years [range 37 2-88 0], survival median = 3 1 years [range 0 0-8 8])  We found that the CNN predictions were significantly associated with 2-year overall survival from the start of respective treatment for radiotherapy (area under the receiver operating characteristic curve [AUC] = 0 70 [95% CI 0 63-0 78], p &lt; 0 001) and surgery (AUC = 0 71 [95% CI 0 60-0 82], p &lt; 0 001) patients  The CNN was also able to significantly stratify patients into low and high mortality risk groups in both the radiotherapy (p &lt; 0 001) and surgery (p = 0 03) datasets  Additionally, the CNN was found to significantly outperform random forest models built on clinical parameters-including age, sex, and tumor node metastasis stage-as well as demonstrate high robustness against test-retest (intraclass correlation coefficient = 0 91) and inter-reader (Spearman's rank-order correlation = 0 88) variations  To gain a better understanding of the characteristics captured by the CNN, we identified regions with the most contribution towards predictions and highlighted the importance of tumor-surrounding tissue in patient stratification  We also present preliminary findings on the biological basis of the captured phenotypes as being linked to cell cycle and transcriptional processes  Limitations include the retrospective nature of this study as well as the opaque black box nature of deep learning networks Our results provide evidence that deep learning networks may be used for mortality risk stratification based on standard-of-care CT images from NSCLC patients  This evidence motivates future research into better deciphering the clinical and biological basis of deep learning networks as well as validation in prospective data </t>
  </si>
  <si>
    <t xml:space="preserve">Department of Radiation Oncology, Dana-Farber Cancer Institute, Brigham and Women's Hospital, Harvard Medical School, Boston, Massachusetts, United States of America </t>
  </si>
  <si>
    <t>Hosny, A; Parmar, C; Coroller, TP; Grossmann, P; Zeleznik, R; Kumar, A; Bussink, J; Gillies, RJ; Mak, RH; Aerts, HJWL</t>
  </si>
  <si>
    <t>10 1007/s11604-018-0796-2</t>
  </si>
  <si>
    <t xml:space="preserve">Improvement of image quality at CT and MRI using deep learning </t>
  </si>
  <si>
    <t xml:space="preserve">Deep learning has been developed by computer scientists  Here, we discuss techniques for improving the image quality of diagnostic computed tomography and magnetic resonance imaging with the aid of deep learning  We categorize the techniques for improving the image quality as "noise and artifact reduction", "super resolution" and "image acquisition and reconstruction"  For each category, we present and outline the features of some studies </t>
  </si>
  <si>
    <t>abdominal,thoracic,head and neck</t>
  </si>
  <si>
    <t xml:space="preserve">Department of Diagnostic Radiology, Graduate School of Biomedical and Health Science, Hiroshima University, 1-2-3 Kasumi, Minami-ku, Hiroshima, 734-8551, Japan  higaki@hiroshima-u ac jp </t>
  </si>
  <si>
    <t>Higaki, T; Nakamura, Y; Tatsugami, F; Nakaura, T; Awai, K</t>
  </si>
  <si>
    <t>10 1016/j oooo 2018 10 002</t>
  </si>
  <si>
    <t xml:space="preserve">Contrast-enhanced computed tomography image assessment of cervical lymph node metastasis in patients with oral cancer by using a deep learning system of artificial intelligence </t>
  </si>
  <si>
    <t xml:space="preserve">Although the deep learning system has been applied to interpretation of medical images, its application to the diagnosis of cervical lymph nodes in patients with oral cancer has not yet been reported  The purpose of this study was to evaluate the performance of deep learning image classification for diagnosis of lymph node metastasis The imaging data used for evaluation consisted of computed tomography (CT) images of 127 histologically proven positive cervical lymph nodes and 314 histologically proven negative lymph nodes from 45 patients with oral squamous cell carcinoma  The performance of a deep learning image classification system for the diagnosis of lymph node metastasis on CT images was compared with the diagnostic interpretations of 2 experienced radiologists by using the Mann-Whitney U test and χ2 analysis The performance of the deep learning image classification system resulted in accuracy of 78 2%, sensitivity of 75 4%, specificity of 81 0%, positive predictive value of 79 9%, negative predictive value of 77 1%, and area under the receiver operating characteristic curve of 0 80  These values were not significantly different from those found by the radiologists The deep learning system yielded diagnostic results similar to those of the radiologists, which suggests that this system may be valuable for diagnostic support </t>
  </si>
  <si>
    <t>Oral surgery, oral medicine, oral pathology and oral radiology</t>
  </si>
  <si>
    <t xml:space="preserve">Associate Proffessor, Department of Oral and Maxillofacial Radiology, Aichi-Gakuin University School of dentistry, Nagoya, Japan  Electronic address: Yoshiko@dpc agu ac jp </t>
  </si>
  <si>
    <t>Ariji, Y; Fukuda, M; Kise, Y; Nozawa, M; Yanashita, Y; Fujita, H; Katsumata, A; Ariji, E</t>
  </si>
  <si>
    <t>101576782</t>
  </si>
  <si>
    <t>10 1007/s11548-018-1884-6</t>
  </si>
  <si>
    <t xml:space="preserve">Automated anatomical labeling of coronary arteries via bidirectional tree LSTMs </t>
  </si>
  <si>
    <t xml:space="preserve">Automated anatomical labeling facilitates the diagnostic process for physicians and radiologists  One of the challenges in automated anatomical labeling problems is the robustness to handle the large individual variability inherited in human anatomy  A novel deep neural network framework, referred to Tree Labeling Network (TreeLab-Net), is proposed to resolve this problem in this work A multi-layer perceptron (MLP) encoder network and a bidirectional tree-structural long short-term memory (Bi-TreeLSTM) are combined to construct the TreeLab-Net  Vessel spatial locations and directions are selected as features, where a spherical coordinate transform is utilized to normalize vessel spatial variations  The dataset includes 436 coronary computed tomography angiography images  Tenfold cross-validation is performed for evaluation The precision-recall curve of TreeLab-Net shows that the four main branch classes, LM, LAD, LCX and RCA, have the area under the curve (AUC) higher than 97%  Other major side branch classes, D, OM, and R-PLB, also have AUC higher than 90%  Comparing with four other methods (i e , AdaBoost, MLP, Up-to-Down and Down-to-Up TreeLSTM), the TreeLab-Net achieves higher F1 scores with less topological errors The TreeLab-Net is able to capture the characteristics of tree structures by learning the spatial and topological dependencies of blood vessels effectively  The results demonstrate that TreeLab-Net is able to yield competitive performances on a large dataset with great variance among subjects </t>
  </si>
  <si>
    <t>MLP,LSTM</t>
  </si>
  <si>
    <t xml:space="preserve">CuraCloud Corporation, 999 3rd Ave, Ste 700, Seattle, WA, 98004, USA </t>
  </si>
  <si>
    <t>Wu, D; Wang, X; Bai, J; Xu, X; Ouyang, B; Li, Y; Zhang, H; Song, Q; Cao, K; Yin, Y</t>
  </si>
  <si>
    <t>10 1186/s12938-018-0609-y</t>
  </si>
  <si>
    <t xml:space="preserve">Metal artifact reduction on cervical CT images by deep residual learning </t>
  </si>
  <si>
    <t xml:space="preserve">Cervical cancer is the fifth most common cancer among women, which is the third leading cause of cancer death in women worldwide  Brachytherapy is the most effective treatment for cervical cancer  For brachytherapy, computed tomography (CT) imaging is necessary since it conveys tissue density information which can be used for dose planning  However, the metal artifacts caused by brachytherapy applicators remain a challenge for the automatic processing of image data for image-guided procedures or accurate dose calculations  Therefore, developing an effective metal artifact reduction (MAR) algorithm in cervical CT images is of high demand A novel residual learning method based on convolutional neural network (RL-ARCNN) is proposed to reduce metal artifacts in cervical CT images  For MAR, a dataset is generated by simulating various metal artifacts in the first step, which will be applied to train the CNN  This dataset includes artifact-insert, artifact-free, and artifact-residual images  Numerous image patches are extracted from the dataset for training on deep residual learning artifact reduction based on CNN (RL-ARCNN)  Afterwards, the trained model can be used for MAR on cervical CT images The proposed method provides a good MAR result with a PSNR of 38 09 on the test set of simulated artifact images  The PSNR of residual learning (38 09) is higher than that of ordinary learning (37 79) which shows that CNN-based residual images achieve favorable artifact reduction  Moreover, for a 512 × 512 image, the average removal artifact time is less than 1 s The RL-ARCNN indicates that residual learning of CNN remarkably reduces metal artifacts and improves critical structure visualization and confidence of radiation oncologists in target delineation  Metal artifacts are eliminated efficiently free of sinogram data and complicated post-processing procedure </t>
  </si>
  <si>
    <t xml:space="preserve">School of Biomedical Engineering, Southern Medical University, Guangzhou, 510515, Guangdong, China </t>
  </si>
  <si>
    <t>Huang, X; Wang, J; Tang, F; Zhong, T; Zhang, Y</t>
  </si>
  <si>
    <t>10 1371/journal pone 0207982</t>
  </si>
  <si>
    <t xml:space="preserve">A deep learning model for the detection of both advanced and early glaucoma using fundus photography </t>
  </si>
  <si>
    <t xml:space="preserve">To build a deep learning model to diagnose glaucoma using fundus photography Cross sectional case study Subjects, Participants and Controls: A total of 1,542 photos (786 normal controls, 467 advanced glaucoma and 289 early glaucoma patients) were obtained by fundus photography The whole dataset of 1,542 images were split into 754 training, 324 validation and 464 test datasets  These datasets were used to construct simple logistic classification and convolutional neural network using Tensorflow  The same datasets were used to fine tune pre-trained GoogleNet Inception v3 model The simple logistic classification model showed a training accuracy of 82 9%, validation accuracy of 79 9% and test accuracy of 77 2%  Convolutional neural network achieved accuracy and area under the receiver operating characteristic curve (AUROC) of 92 2% and 0 98 on the training data, 88 6% and 0 95 on the validation data, and 87 9% and 0 94 on the test data  Transfer-learned GoogleNet Inception v3 model achieved accuracy and AUROC of 99 7% and 0 99 on training data, 87 7% and 0 95 on validation data, and 84 5% and 0 93 on test data Both advanced and early glaucoma could be correctly detected via machine learning, using only fundus photographs  Our new model that is trained using convolutional neural network is more efficient for the diagnosis of early glaucoma than previously published models </t>
  </si>
  <si>
    <t xml:space="preserve">Department of Bioinformatics and Life Science, Soongsil University, Seoul, Korea </t>
  </si>
  <si>
    <t>Ahn, JM; Kim, S; Ahn, KS; Cho, SH; Lee, KB; Kim, US</t>
  </si>
  <si>
    <t>10 1371/journal pmed 1002699</t>
  </si>
  <si>
    <t xml:space="preserve">Deep-learning-assisted diagnosis for knee magnetic resonance imaging: Development and retrospective validation of MRNet </t>
  </si>
  <si>
    <t xml:space="preserve">Magnetic resonance imaging (MRI) of the knee is the preferred method for diagnosing knee injuries  However, interpretation of knee MRI is time-intensive and subject to diagnostic error and variability  An automated system for interpreting knee MRI could prioritize high-risk patients and assist clinicians in making diagnoses  Deep learning methods, in being able to automatically learn layers of features, are well suited for modeling the complex relationships between medical images and their interpretations  In this study we developed a deep learning model for detecting general abnormalities and specific diagnoses (anterior cruciate ligament [ACL] tears and meniscal tears) on knee MRI exams  We then measured the effect of providing the model's predictions to clinical experts during interpretation Our dataset consisted of 1,370 knee MRI exams performed at Stanford University Medical Center between January 1, 2001, and December 31, 2012 (mean age 38 0 years; 569 [41 5%] female patients)  The majority vote of 3 musculoskeletal radiologists established reference standard labels on an internal validation set of 120 exams  We developed MRNet, a convolutional neural network for classifying MRI series and combined predictions from 3 series per exam using logistic regression  In detecting abnormalities, ACL tears, and meniscal tears, this model achieved area under the receiver operating characteristic curve (AUC) values of 0 937 (95% CI 0 895, 0 980), 0 965 (95% CI 0 938, 0 993), and 0 847 (95% CI 0 780, 0 914), respectively, on the internal validation set  We also obtained a public dataset of 917 exams with sagittal T1-weighted series and labels for ACL injury from Clinical Hospital Centre Rijeka, Croatia  On the external validation set of 183 exams, the MRNet trained on Stanford sagittal T2-weighted series achieved an AUC of 0 824 (95% CI 0 757, 0 892) in the detection of ACL injuries with no additional training, while an MRNet trained on the rest of the external data achieved an AUC of 0 911 (95% CI 0 864, 0 958)  We additionally measured the specificity, sensitivity, and accuracy of 9 clinical experts (7 board-certified general radiologists and 2 orthopedic surgeons) on the internal validation set both with and without model assistance  Using a 2-sided Pearson's chi-squared test with adjustment for multiple comparisons, we found no significant differences between the performance of the model and that of unassisted general radiologists in detecting abnormalities  General radiologists achieved significantly higher sensitivity in detecting ACL tears (p-value = 0 002; q-value = 0 019) and significantly higher specificity in detecting meniscal tears (p-value = 0 003; q-value = 0 019)  Using a 1-tailed t test on the change in performance metrics, we found that providing model predictions significantly increased clinical experts' specificity in identifying ACL tears (p-value &lt; 0 001; q-value = 0 006)  The primary limitations of our study include lack of surgical ground truth and the small size of the panel of clinical experts Our deep learning model can rapidly generate accurate clinical pathology classifications of knee MRI exams from both internal and external datasets  Moreover, our results support the assertion that deep learning models can improve the performance of clinical experts during medical imaging interpretation  Further research is needed to validate the model prospectively and to determine its utility in the clinical setting </t>
  </si>
  <si>
    <t xml:space="preserve">Department of Computer Science, Stanford University, Stanford, California, United States of America </t>
  </si>
  <si>
    <t>Bien, N; Rajpurkar, P; Ball, RL; Irvin, J; Park, A; Jones, E; Bereket, M; Patel, BN; Yeom, KW; Shpanskaya, K; Halabi, S; Zucker, E; Fanton, G; Amanatullah, DF; Beaulieu, CF; Riley, GM; Stewart, RJ; Blankenberg, FG; Larson, DB; Jones, RH; Langlotz, CP; Ng, AY; Lungren, MP</t>
  </si>
  <si>
    <t>10 1002/mp 13300</t>
  </si>
  <si>
    <t xml:space="preserve">AnatomyNet: Deep learning for fast and fully automated whole-volume segmentation of head and neck anatomy </t>
  </si>
  <si>
    <t xml:space="preserve">Radiation therapy (RT) is a common treatment option for head and neck (HaN) cancer  An important step involved in RT planning is the delineation of organs-at-risks (OARs) based on HaN computed tomography (CT)  However, manually delineating OARs is time-consuming as each slice of CT images needs to be individually examined and a typical CT consists of hundreds of slices  Automating OARs segmentation has the benefit of both reducing the time and improving the quality of RT planning  Existing anatomy autosegmentation algorithms use primarily atlas-based methods, which require sophisticated atlas creation and cannot adequately account for anatomy variations among patients  In this work, we propose an end-to-end, atlas-free three-dimensional (3D) convolutional deep learning framework for fast and fully automated whole-volume HaN anatomy segmentation Our deep learning model, called AnatomyNet, segments OARs from head and neck CT images in an end-to-end fashion, receiving whole-volume HaN CT images as input and generating masks of all OARs of interest in one shot  AnatomyNet is built upon the popular 3D U-net architecture, but extends it in three important ways: (a) a new encoding scheme to allow autosegmentation on whole-volume CT images instead of local patches or subsets of slices, (b) incorporating 3D squeeze-and-excitation residual blocks in encoding layers for better feature representation, and (c) a new loss function combining Dice scores and focal loss to facilitate the training of the neural model  These features are designed to address two main challenges in deep learning-based HaN segmentation: (a) segmenting small anatomies (i e , optic chiasm and optic nerves) occupying only a few slices, and (b) training with inconsistent data annotations with missing ground truth for some anatomical structures We collected 261 HaN CT images to train AnatomyNet and used MICCAI Head and Neck Auto Segmentation Challenge 2015 as a benchmark dataset to evaluate the performance of AnatomyNet  The objective is to segment nine anatomies: brain stem, chiasm, mandible, optic nerve left, optic nerve right, parotid gland left, parotid gland right, submandibular gland left, and submandibular gland right  Compared to previous state-of-the-art results from the MICCAI 2015 competition, AnatomyNet increases Dice similarity coefficient by 3 3% on average  AnatomyNet takes about 0 12 s to fully segment a head and neck CT image of dimension 178 × 302 × 225, significantly faster than previous methods  In addition, the model is able to process whole-volume CT images and delineate all OARs in one pass, requiring little pre- or postprocessing Deep learning models offer a feasible solution to the problem of delineating OARs from CT images  We demonstrate that our proposed model can improve segmentation accuracy and simplify the autosegmentation pipeline  With this method, it is possible to delineate OARs of a head and neck CT within a fraction of a second </t>
  </si>
  <si>
    <t xml:space="preserve">Department of Computer Science, University of California, Irvine, CA, USA </t>
  </si>
  <si>
    <t>Zhu, W; Huang, Y; Zeng, L; Chen, X; Liu, Y; Qian, Z; Du, N; Fan, W; Xie, X</t>
  </si>
  <si>
    <t>10 1038/s41592-018-0216-7</t>
  </si>
  <si>
    <t xml:space="preserve">Content-aware image restoration: pushing the limits of fluorescence microscopy </t>
  </si>
  <si>
    <t xml:space="preserve">Fluorescence microscopy is a key driver of discoveries in the life sciences, with observable phenomena being limited by the optics of the microscope, the chemistry of the fluorophores, and the maximum photon exposure tolerated by the sample  These limits necessitate trade-offs between imaging speed, spatial resolution, light exposure, and imaging depth  In this work we show how content-aware image restoration based on deep learning extends the range of biological phenomena observable by microscopy  We demonstrate on eight concrete examples how microscopy images can be restored even if 60-fold fewer photons are used during acquisition, how near isotropic resolution can be achieved with up to tenfold under-sampling along the axial direction, and how tubular and granular structures smaller than the diffraction limit can be resolved at 20-times-higher frame rates compared to state-of-the-art methods  All developed image restoration methods are freely available as open source software in Python, FIJI, and KNIME </t>
  </si>
  <si>
    <t xml:space="preserve">Center for Systems Biology Dresden, Dresden, Germany  mweigert@mpi-cbg de </t>
  </si>
  <si>
    <t>Weigert, M; Schmidt, U; Boothe, T; Müller, A; Dibrov, A; Jain, A; Wilhelm, B; Schmidt, D; Broaddus, C; Culley, S; Rocha-Martins, M; Segovia-Miranda, F; Norden, C; Henriques, R; Zerial, M; Solimena, M; Rink, J; Tomancak, P; Royer, L; Jug, F; Myers, EW</t>
  </si>
  <si>
    <t>10 1016/j artmed 2018 11 004</t>
  </si>
  <si>
    <t xml:space="preserve">Comparative effectiveness of convolutional neural network (CNN) and recurrent neural network (RNN) architectures for radiology text report classification </t>
  </si>
  <si>
    <t xml:space="preserve">This paper explores cutting-edge deep learning methods for information extraction from medical imaging free text reports at a multi-institutional scale and compares them to the state-of-the-art domain-specific rule-based system - PEFinder and traditional machine learning methods - SVM and Adaboost  We proposed two distinct deep learning models - (i) CNN Word - Glove, and (ii) Domain phrase attention-based hierarchical recurrent neural network (DPA-HNN), for synthesizing information on pulmonary emboli (PE) from over 7370 clinical thoracic computed tomography (CT) free-text radiology reports collected from four major healthcare centers  Our proposed DPA-HNN model encodes domain-dependent phrases into an attention mechanism and represents a radiology report through a hierarchical RNN structure composed of word-level, sentence-level and document-level representations  Experimental results suggest that the performance of the deep learning models that are trained on a single institutional dataset, are better than rule-based PEFinder on our multi-institutional test sets  The best F1 score for the presence of PE in an adult patient population was 0 99 (DPA-HNN) and for a pediatrics population was 0 99 (HNN) which shows that the deep learning models being trained on adult data, demonstrated generalizability to pediatrics population with comparable accuracy  Our work suggests feasibility of broader usage of neural network models in automated classification of multi-institutional imaging text reports for a variety of applications including evaluation of imaging utilization, imaging yield, clinical decision support tools, and as part of automated classification of large corpus for medical imaging deep learning work </t>
  </si>
  <si>
    <t>CNN,hierarchical RNN,LSTM</t>
  </si>
  <si>
    <t xml:space="preserve">Department of Biomedical Data Science, Stanford University School of Medicine, Stanford, CA, USA  Electronic address: imonb@stanford edu </t>
  </si>
  <si>
    <t>Banerjee, I; Ling, Y; Chen, MC; Hasan, SA; Langlotz, CP; Moradzadeh, N; Chapman, B; Amrhein, T; Mong, D; Rubin, DL; Farri, O; Lungren, MP</t>
  </si>
  <si>
    <t>10 1155/2018/8923028</t>
  </si>
  <si>
    <t xml:space="preserve">Fully Automated Delineation of Gross Tumor Volume for Head and Neck Cancer on PET-CT Using Deep Learning: A Dual-Center Study </t>
  </si>
  <si>
    <t xml:space="preserve">In this study, we proposed an automated deep learning (DL) method for head and neck cancer (HNC) gross tumor volume (GTV) contouring on positron emission tomography-computed tomography (PET-CT) images PET-CT images were collected from 22 newly diagnosed HNC patients, of whom 17 (Database 1) and 5 (Database 2) were from two centers, respectively  An oncologist and a radiologist decided the gold standard of GTV manually by consensus  We developed a deep convolutional neural network (DCNN) and trained the network based on the two-dimensional PET-CT images and the gold standard of GTV in the training dataset  We did two experiments: Experiment 1, with Database 1 only, and Experiment 2, with both Databases 1 and 2  In both Experiment 1 and Experiment 2, we evaluated the proposed method using a leave-one-out cross-validation strategy  We compared the median results in Experiment 2 (GTVa) with the performance of other methods in the literature and with the gold standard (GTVm) A tumor segmentation task for a patient on coregistered PET-CT images took less than one minute  The dice similarity coefficient (DSC) of the proposed method in Experiment 1 and Experiment 2 was 0 481∼0 872 and 0 482∼0 868, respectively  The DSC of GTVa was better than that in previous studies  A high correlation was found between GTVa and GTVm (R = 0 99, P &lt; 0 001)  The median volume difference (%) between GTVm and GTVa was 10 9%  The median values of DSC, sensitivity, and precision of GTVa were 0 785, 0 764, and 0 789, respectively A fully automatic GTV contouring method for HNC based on DCNN and PET-CT from dual centers has been successfully proposed with high accuracy and efficiency  Our proposed method is of help to the clinicians in HNC management </t>
  </si>
  <si>
    <t xml:space="preserve">School of Biomedical Engineering, Health Science Center, Shenzhen University, Shenzhen, China </t>
  </si>
  <si>
    <t>Huang, B; Chen, Z; Wu, PM; Ye, Y; Feng, ST; Wong, CO; Zheng, L; Liu, Y; Wang, T; Li, Q; Huang, B</t>
  </si>
  <si>
    <t>10 1016/j ultrasmedbio 2018 07 024</t>
  </si>
  <si>
    <t xml:space="preserve">Real-Time Standard View Classification in Transthoracic Echocardiography Using Convolutional Neural Networks </t>
  </si>
  <si>
    <t xml:space="preserve">Transthoracic echocardiography examinations are usually performed according to a protocol comprising different probe postures providing standard views of the heart  These are used as a basis when assessing cardiac function, and it is essential that the morphophysiological representations are correct  Clinical analysis is often initialized with the current view, and automatic classification can thus be useful in improving today's workflow  In this article, convolutional neural networks (CNNs) are used to create classification models predicting up to seven different cardiac views  Data sets of 2-D ultrasound acquired from studies totaling more than 500 patients and 7000 videos were included  State-of-the-art accuracies of 98 3% ± 0 6% and 98 9% ± 0 6% on single frames and sequences, respectively, and real-time performance with 4 4 ± 0 3 ms per frame were achieved  Further, it was found that CNNs have the potential for use in automatic multiplanar reformatting and orientation guidance  Using 3-D data to train models applicable for 2-D classification, we achieved a median deviation of 4° ± 3° from the optimal orientations </t>
  </si>
  <si>
    <t>CNN, AlexNet,Inception</t>
  </si>
  <si>
    <t>Ultrasound in medicine &amp; biology</t>
  </si>
  <si>
    <t xml:space="preserve">Department of Circulation and Medical Imaging, Faculty of Medicine and Health Sciences, Norwegian University of Science and Technology, Trondheim, Norway  Electronic address: andreas ostvik@ntnu no </t>
  </si>
  <si>
    <t>Østvik, A; Smistad, E; Aase, SA; Haugen, BO; Lovstakken, L</t>
  </si>
  <si>
    <t>0410553</t>
  </si>
  <si>
    <t>10 1007/s10334-018-0718-4</t>
  </si>
  <si>
    <t xml:space="preserve">Development and testing of a deep learning-based strategy for scar segmentation on CMR-LGE images </t>
  </si>
  <si>
    <t xml:space="preserve">The aim of this paper is to investigate the use of fully convolutional neural networks (FCNNs) to segment scar tissue in the left ventricle from cardiac magnetic resonance with late gadolinium enhancement (CMR-LGE) images A successful FCNN in the literature (the ENet) was modified and trained to provide scar-tissue segmentation  Two segmentation protocols (Protocol 1 and Protocol 2) were investigated, the latter limiting the scar-segmentation search area to the left ventricular myocardial tissue region  CMR-LGE from 30 patients with ischemic-heart disease were retrospectively analyzed, for a total of 250 images, presenting high variability in terms of scar dimension and location  Segmentation results were assessed against manual scar-tissue tracing using one-patient-out cross validation Protocol 2 outperformed Protocol 1 significantly (p value &lt; 0 05), with median sensitivity and Dice similarity coefficient equal to 88 07% [inter-quartile range (IQR) 18 84%] and 71 25% (IQR 31 82%), respectively Both segmentation protocols were able to detect scar tissues in the CMR-LGE images but higher performance was achieved when limiting the search area to the myocardial region  The findings of this paper represent an encouraging starting point for the use of FCNNs for the segmentation of nonviable scar tissue from CMR-LGE images </t>
  </si>
  <si>
    <t>Magma (New York, N Y )</t>
  </si>
  <si>
    <t xml:space="preserve">Department of Information Engineering, Universitá Politecnica delle Marche, Ancona, Italy </t>
  </si>
  <si>
    <t>Moccia, S; Banali, R; Martini, C; Muscogiuri, G; Pontone, G; Pepi, M; Caiani, EG</t>
  </si>
  <si>
    <t>MAGMA</t>
  </si>
  <si>
    <t>9310752</t>
  </si>
  <si>
    <t>10 1016/j compmedimag 2018 10 007</t>
  </si>
  <si>
    <t xml:space="preserve">Fusing fine-tuned deep features for skin lesion classification </t>
  </si>
  <si>
    <t xml:space="preserve">Malignant melanoma is one of the most aggressive forms of skin cancer  Early detection is important as it significantly improves survival rates  Consequently, accurate discrimination of malignant skin lesions from benign lesions such as seborrheic keratoses or benign nevi is crucial, while accurate computerised classification of skin lesion images is of great interest to support diagnosis  In this paper, we propose a fully automatic computerised method to classify skin lesions from dermoscopic images  Our approach is based on a novel ensemble scheme for convolutional neural networks (CNNs) that combines intra-architecture and inter-architecture network fusion  The proposed method consists of multiple sets of CNNs of different architecture that represent different feature abstraction levels  Each set of CNNs consists of a number of pre-trained networks that have identical architecture but are fine-tuned on dermoscopic skin lesion images with different settings  The deep features of each network were used to train different support vector machine classifiers  Finally, the average prediction probability classification vectors from different sets are fused to provide the final prediction  Evaluated on the 600 test images of the ISIC 2017 skin lesion classification challenge, the proposed algorithm yields an area under receiver operating characteristic curve of 87 3% for melanoma classification and an area under receiver operating characteristic curve of 95 5% for seborrheic keratosis classification, outperforming the top-ranked methods of the challenge while being simpler compared to them  The obtained results convincingly demonstrate our proposed approach to represent a reliable and robust method for feature extraction, model fusion and classification of dermoscopic skin lesion images </t>
  </si>
  <si>
    <t>CNN,AlexNet,VGG,ResNet</t>
  </si>
  <si>
    <t xml:space="preserve">Institute of Pathophysiology and Allergy Research, Medical University of Vienna, Vienna, Austria; Research and Development Department of TissueGnostics GmbH, Vienna, Austria  Electronic address: amirreza mahbod@tissuegnostics com </t>
  </si>
  <si>
    <t>Mahbod, A; Schaefer, G; Ellinger, I; Ecker, R; Pitiot, A; Wang, C</t>
  </si>
  <si>
    <t>10 1371/journal pmed 1002697</t>
  </si>
  <si>
    <t xml:space="preserve">Automated detection of moderate and large pneumothorax on frontal chest X-rays using deep convolutional neural networks: A retrospective study </t>
  </si>
  <si>
    <t xml:space="preserve">Pneumothorax can precipitate a life-threatening emergency due to lung collapse and respiratory or circulatory distress  Pneumothorax is typically detected on chest X-ray; however, treatment is reliant on timely review of radiographs  Since current imaging volumes may result in long worklists of radiographs awaiting review, an automated method of prioritizing X-rays with pneumothorax may reduce time to treatment  Our objective was to create a large human-annotated dataset of chest X-rays containing pneumothorax and to train deep convolutional networks to screen for potentially emergent moderate or large pneumothorax at the time of image acquisition In all, 13,292 frontal chest X-rays (3,107 with pneumothorax) were visually annotated by radiologists  This dataset was used to train and evaluate multiple network architectures  Images showing large- or moderate-sized pneumothorax were considered positive, and those with trace or no pneumothorax were considered negative  Images showing small pneumothorax were excluded from training  Using an internal validation set (n = 1,993), we selected the 2 top-performing models; these models were then evaluated on a held-out internal test set based on area under the receiver operating characteristic curve (AUC), sensitivity, specificity, and positive predictive value (PPV)  The final internal test was performed initially on a subset with small pneumothorax excluded (as in training; n = 1,701), then on the full test set (n = 1,990), with small pneumothorax included as positive  External evaluation was performed using the National Institutes of Health (NIH) ChestX-ray14 set, a public dataset labeled for chest pathology based on text reports  All images labeled with pneumothorax were considered positive, because the NIH set does not classify pneumothorax by size  In internal testing, our "high sensitivity model" produced a sensitivity of 0 84 (95% CI 0 78-0 90), specificity of 0 90 (95% CI 0 89-0 92), and AUC of 0 94 for the test subset with small pneumothorax excluded  Our "high specificity model" showed sensitivity of 0 80 (95% CI 0 72-0 86), specificity of 0 97 (95% CI 0 96-0 98), and AUC of 0 96 for this set  PPVs were 0 45 (95% CI 0 39-0 51) and 0 71 (95% CI 0 63-0 77), respectively  Internal testing on the full set showed expected decreased performance (sensitivity 0 55, specificity 0 90, and AUC 0 82 for high sensitivity model and sensitivity 0 45, specificity 0 97, and AUC 0 86 for high specificity model)  External testing using the NIH dataset showed some further performance decline (sensitivity 0 28-0 49, specificity 0 85-0 97, and AUC 0 75 for both)  Due to labeling differences between internal and external datasets, these findings represent a preliminary step towards external validation We trained automated classifiers to detect moderate and large pneumothorax in frontal chest X-rays at high levels of performance on held-out test data  These models may provide a high specificity screening solution to detect moderate or large pneumothorax on images collected when human review might be delayed, such as overnight  They are not intended for unsupervised diagnosis of all pneumothoraces, as many small pneumothoraces (and some larger ones) are not detected by the algorithm  Implementation studies are warranted to develop appropriate, effective clinician alerts for the potentially critical finding of pneumothorax, and to assess their impact on reducing time to treatment </t>
  </si>
  <si>
    <t xml:space="preserve">Department of Radiology and Biomedical Imaging, University of California, San Francisco, San Francisco, California, United States of America </t>
  </si>
  <si>
    <t>Taylor, AG; Mielke, C; Mongan, J</t>
  </si>
  <si>
    <t>10 1371/journal pmed 1002686</t>
  </si>
  <si>
    <t xml:space="preserve">Deep learning for chest radiograph diagnosis: A retrospective comparison of the CheXNeXt algorithm to practicing radiologists </t>
  </si>
  <si>
    <t xml:space="preserve">Chest radiograph interpretation is critical for the detection of thoracic diseases, including tuberculosis and lung cancer, which affect millions of people worldwide each year  This time-consuming task typically requires expert radiologists to read the images, leading to fatigue-based diagnostic error and lack of diagnostic expertise in areas of the world where radiologists are not available  Recently, deep learning approaches have been able to achieve expert-level performance in medical image interpretation tasks, powered by large network architectures and fueled by the emergence of large labeled datasets  The purpose of this study is to investigate the performance of a deep learning algorithm on the detection of pathologies in chest radiographs compared with practicing radiologists We developed CheXNeXt, a convolutional neural network to concurrently detect the presence of 14 different pathologies, including pneumonia, pleural effusion, pulmonary masses, and nodules in frontal-view chest radiographs  CheXNeXt was trained and internally validated on the ChestX-ray8 dataset, with a held-out validation set consisting of 420 images, sampled to contain at least 50 cases of each of the original pathology labels  On this validation set, the majority vote of a panel of 3 board-certified cardiothoracic specialist radiologists served as reference standard  We compared CheXNeXt's discriminative performance on the validation set to the performance of 9 radiologists using the area under the receiver operating characteristic curve (AUC)  The radiologists included 6 board-certified radiologists (average experience 12 years, range 4-28 years) and 3 senior radiology residents, from 3 academic institutions  We found that CheXNeXt achieved radiologist-level performance on 11 pathologies and did not achieve radiologist-level performance on 3 pathologies  The radiologists achieved statistically significantly higher AUC performance on cardiomegaly, emphysema, and hiatal hernia, with AUCs of 0 888 (95% confidence interval [CI] 0 863-0 910), 0 911 (95% CI 0 866-0 947), and 0 985 (95% CI 0 974-0 991), respectively, whereas CheXNeXt's AUCs were 0 831 (95% CI 0 790-0 870), 0 704 (95% CI 0 567-0 833), and 0 851 (95% CI 0 785-0 909), respectively  CheXNeXt performed better than radiologists in detecting atelectasis, with an AUC of 0 862 (95% CI 0 825-0 895), statistically significantly higher than radiologists' AUC of 0 808 (95% CI 0 777-0 838); there were no statistically significant differences in AUCs for the other 10 pathologies  The average time to interpret the 420 images in the validation set was substantially longer for the radiologists (240 minutes) than for CheXNeXt (1 5 minutes)  The main limitations of our study are that neither CheXNeXt nor the radiologists were permitted to use patient history or review prior examinations and that evaluation was limited to a dataset from a single institution In this study, we developed and validated a deep learning algorithm that classified clinically important abnormalities in chest radiographs at a performance level comparable to practicing radiologists  Once tested prospectively in clinical settings, the algorithm could have the potential to expand patient access to chest radiograph diagnostics </t>
  </si>
  <si>
    <t>Rajpurkar, P; Irvin, J; Ball, RL; Zhu, K; Yang, B; Mehta, H; Duan, T; Ding, D; Bagul, A; Langlotz, CP; Patel, BN; Yeom, KW; Shpanskaya, K; Blankenberg, FG; Seekins, J; Amrhein, TJ; Mong, DA; Halabi, SS; Zucker, EJ; Ng, AY; Lungren, MP</t>
  </si>
  <si>
    <t>10 1007/s10916-018-1116-1</t>
  </si>
  <si>
    <t xml:space="preserve">Deep Semantic Segmentation of Kidney and Space-Occupying Lesion Area Based on SCNN and ResNet Models Combined with SIFT-Flow Algorithm </t>
  </si>
  <si>
    <t xml:space="preserve">Renal segmentation is one of the most fundamental and challenging task in computer aided diagnosis systems  In order to overcome the shortcomings of automatic kidney segmentation based on deep network for abdominal CT images, a two-stage semantic segmentation of kidney and space-occupying lesion area based on SCNN and ResNet models combined with SIFT-flow transformation is proposed in paper, which is divided into two stages: image retrieval and semantic segmentation  To facilitate the image retrieval, a metric learning-based approach is firstly adopted to construct a deep convolutional neural network structure using SCNN and ResNet network to extract image features and minimize the impact of interference factors on features, so as to obtain the ability to represent the abdominal CT scan image with the same angle under different imaging conditions  And then, SIFT Flow transformation is introduced, which adopts MRF to fuse label information, priori spatial information and smoothing information to establish the dense matching relationship of pixels so that the semantics can be transferred from the known image to the target image so as to obtain the semantic segmentation result of kidney and space-occupying lesion area  In order to validate effectiveness and efficiency of our proposed method, we conduct experiments on self-establish CT dataset, focus on kidney organ and most of which have tumors inside of the kidney, and abnormal deformed shape of kidney  The experimental results qualitatively and quantitatively show that the accuracy of kidney segmentation is greatly improved, and the key information of the proportioned tumor occupying a small area of the image are exhibited a good segmentation results  In addition, our algorithm has also achieved ideal results in the clinical verification, which is suitable for intelligent medicine equipment applications </t>
  </si>
  <si>
    <t xml:space="preserve">School of Information and Control Engineering, China University of Mining and Technology, Xuzhou, 221116, Jiangsu, China  xiakaijian@163 com </t>
  </si>
  <si>
    <t>Xia, KJ; Yin, HS; Zhang, YD</t>
  </si>
  <si>
    <t>10 1038/s41598-018-35274-x</t>
  </si>
  <si>
    <t xml:space="preserve">Deep transfer learning-based hologram classification for molecular diagnostics </t>
  </si>
  <si>
    <t xml:space="preserve">Lens-free digital in-line holography (LDIH) is a promising microscopic tool that overcomes several drawbacks (e g , limited field of view) of traditional lens-based microcopy  However, extensive computation is required to reconstruct object images from the complex diffraction patterns produced by LDIH  This limits LDIH utility for point-of-care applications, particularly in resource limited settings  We describe a deep transfer learning (DTL) based approach to process LDIH images in the context of cellular analyses  Specifically, we captured holograms of cells labeled with molecular-specific microbeads and trained neural networks to classify these holograms without reconstruction  Using raw holograms as input, the trained networks were able to classify individual cells according to the number of cell-bound microbeads  The DTL-based approach including a VGG19 pretrained network showed robust performance with experimental data  Combined with the developed DTL approach, LDIH could be realized as a low-cost, portable tool for point-of-care diagnostics </t>
  </si>
  <si>
    <t xml:space="preserve"> DTL,CNN,VGG,MLP</t>
  </si>
  <si>
    <t xml:space="preserve">Department of Biomedical Engineering, Worcester Polytechnic Institute, Worcester, Massachusetts, USA </t>
  </si>
  <si>
    <t>Kim, SJ; Wang, C; Zhao, B; Im, H; Min, J; Choi, HJ; Tadros, J; Choi, NR; Castro, CM; Weissleder, R; Lee, H; Lee, K</t>
  </si>
  <si>
    <t>10 1002/mp 13296</t>
  </si>
  <si>
    <t xml:space="preserve">Technical Note: More accurate and efficient segmentation of organs-at-risk in radiotherapy with convolutional neural networks cascades </t>
  </si>
  <si>
    <t xml:space="preserve">Manual delineation of organs-at-risk (OARs) in radiotherapy is both time-consuming and subjective  Automated and more accurate segmentation is of the utmost importance in clinical application  The purpose of this study is to further improve the segmentation accuracy and efficiency with a novel network named convolutional neural networks (CNN) Cascades CNN Cascades was a two-step, coarse-to-fine approach that consisted of a simple region detector (SRD) and a fine segmentation unit (FSU)  The SRD first used a relative shallow network to define the region of interest (ROI) where the organ was located, and then, the FSU took the smaller ROI as input and adopted a deep network for fine segmentation  The imaging data (14,651 slices) of 100 head-and-neck patients with segmentations were used for this study  The performance was compared with the state-of-the-art single CNN in terms of accuracy with metrics of Dice similarity coefficient (DSC) and Hausdorff distance (HD) values The proposed CNN Cascades outperformed the single CNN on accuracy for each OAR  Similarly, for the average of all OARs, it was also the best with mean DSC of 0 90 (SRD: 0 86, FSU: 0 87, and U-Net: 0 85) and the mean HD of 3 0 mm (SRD: 4 0, FSU: 3 6, and U-Net: 4 4)  Meanwhile, the CNN Cascades reduced the mean segmentation time per patient by 48% (FSU) and 5% (U-Net), respectively The proposed two-step network demonstrated superior performance by reducing the input region  This potentially can be an effective segmentation method that provides accurate and consistent delineation with reduced clinician interventions for clinical applications as well as for quality assurance of a multicenter clinical trial </t>
  </si>
  <si>
    <t xml:space="preserve">University of Pennsylvania, Philadelphia, PA, 19104, USA </t>
  </si>
  <si>
    <t>Men, K; Geng, H; Cheng, C; Zhong, H; Huang, M; Fan, Y; Plastaras, JP; Lin, A; Xiao, Y</t>
  </si>
  <si>
    <t>10 1002/mp 13284</t>
  </si>
  <si>
    <t xml:space="preserve">Cycle-consistent adversarial denoising network for multiphase coronary CT angiography </t>
  </si>
  <si>
    <t xml:space="preserve">In multiphase coronary CT angiography (CTA), a series of CT images are taken at different levels of radiation dose during the examination  Although this reduces the total radiation dose, the image quality during the low-dose phases is significantly degraded  Recently, deep neural network approaches based on supervised learning technique have demonstrated impressive performance improvement over conventional model-based iterative methods for low-dose CT  However, matched low- and routine-dose CT image pairs are difficult to obtain in multiphase CT  To address this problem, we aim at developing a new deep learning framework We propose an unsupervised learning technique that can remove the noise of the CT images in the low-dose phases by learning from the CT images in the routine dose phases  Although a supervised learning approach is not applicable due to the differences in the underlying heart structure in two phases, the images are closely related in two phases, so we propose a cycle-consistent adversarial denoising network to learn the mapping between the low- and high-dose cardiac phases Experimental results showed that the proposed method effectively reduces the noise in the low-dose CT image while preserving detailed texture and edge information  Moreover, thanks to the cyclic consistency and identity loss, the proposed network does not create any artificial features that are not present in the input images  Visual grading and quality evaluation also confirm that the proposed method provides significant improvement in diagnostic quality The proposed network can learn the image distributions from the routine-dose cardiac phases, which is a big advantage over the existing supervised learning networks that need exactly matched low- and routine-dose CT images  Considering the effectiveness and practicability of the proposed method, we believe that the proposed can be applied for many other CT acquisition protocols </t>
  </si>
  <si>
    <t xml:space="preserve">Bio Imaging and Signal Processing Laboratory, Department of Bio and Brain Engineering, KAIST, Daejeon, Republic of Korea </t>
  </si>
  <si>
    <t>Kang, E; Koo, HJ; Yang, DH; Seo, JB; Ye, JC</t>
  </si>
  <si>
    <t>10 1109/EMBC 2018 8513556</t>
  </si>
  <si>
    <t xml:space="preserve">Deep Learning and Multi-Sensor Fusion for Glioma Classification Using Multistream 2D Convolutional Networks </t>
  </si>
  <si>
    <t xml:space="preserve">This paper addresses issues of brain tumor, glioma, grading from multi-sensor images  Different types of scanners (or sensors) like enhanced T1-MRI, T2-MRI and FLAIR, show different contrast and are sensitive to different brain tissues and fluid regions  Most existing works use 3D brain images from single sensor  In this paper, we propose a novel multistream deep Convolutional Neural Network (CNN) architecture that extracts and fuses the features from multiple sensors for glioma tumor grading/subcategory grading  The main contributions of the paper are: (a) propose a novel multistream deep CNN architecture for glioma grading; (b) apply sensor fusion from T1-MRI, T2-MRI and/or FLAIR for enhancing performance through feature aggregation; (c) mitigate overfitting by using 2D brain image slices in combination with 2D image augmentation  Two datasets were used for our experiments, one for classifying low/high grade gliomas, another for classifying glioma with/without 1p19q codeletion  Experiments using the proposed scheme have shown good results (with test accuracy of 90 87% for former case, and 89 39 % for the latter case)  Comparisons with several existing methods have provided further support to the proposed scheme  keywords: brain tumor classification, glioma, 1p19q codeletion, glioma grading, deep learning, multi-stream convolutional neural networks, sensor fusion, T1-MR image, T2-MR image, FLAIR </t>
  </si>
  <si>
    <t>Conference proceedings :     Annual International Conference of the IEEE Engineering in Medicine and Biology Society  IEEE Engineering in Medicine and Biology Society  Annual Conference</t>
  </si>
  <si>
    <t>Chenjie Ge and Irene Yu-Hua Gu are with Dept  of Electrical Engineering,
Chalmers Univ  of Technology, Gothenburg, 41296, Sweden (fchenjie,
irenegug@chalmers se)</t>
  </si>
  <si>
    <t>Ge, C; Gu, IY; Jakola, AS; Yang, J</t>
  </si>
  <si>
    <t>Conf Proc IEEE Eng Med Biol Soc</t>
  </si>
  <si>
    <t>101243413</t>
  </si>
  <si>
    <t>10 1109/EMBC 2018 8513560</t>
  </si>
  <si>
    <t xml:space="preserve">Extraction of Aortic Knuckle Contour in Chest Radiographs Using Deep Learning </t>
  </si>
  <si>
    <t xml:space="preserve">In this paper, we aim to extract the aortic knuckle (AK) contour in chest radiographs, an anatomical structure rarely being addressed in the literature  Since the AK structure is small and thin, simply adopting the deep network methods that are successful for large organ segmentation is inadequate for achieving good pixel-level accuracy and resolving local ambiguities  To address this challenge, we propose a new coarse-to-fine segmentation approach which focuses on global and local information contexts, respectively  Two convolutional networks are used  For the coarse segmentation, we use FasterRCNN; for the fine segmentation, we use U-Net  Our evaluation uses the publicly available JSRT dataset; the results are promising  Besides presenting these results, we analyze issues such as the imprecision of manual contour marking, and automatic generation of the coarse segmentation ground-truth mask used for deep network training  Our approach is general and can be applied to extract other curve-like objects-of-interest </t>
  </si>
  <si>
    <t>CNN,FCN,Unet,Faster R-CNN</t>
  </si>
  <si>
    <t>All the authors are with the National Library of Medicine, Bethesda, MD
20894 USA</t>
    <phoneticPr fontId="0" type="noConversion"/>
  </si>
  <si>
    <t>Xue, Z; Long, R; Jaeger, S; Folio, L; George Thoma, R; Antani, AS</t>
  </si>
  <si>
    <t>10 1109/EMBC 2018 8513140</t>
  </si>
  <si>
    <t xml:space="preserve">Computational Platform Based on Deep Learning for Segmenting Ventricular Endocardium in Long-axis Cardiac MR Imaging </t>
  </si>
  <si>
    <t xml:space="preserve">This paper presents an automated computational platform based on deep learning (DL) approach for left ventricular (LV) and right ventricular (RV) endocardium segmentation in long-axis cine cardiovascular magnetic resonance (CMR)  The proposed method uses modified deep U-Net convolutional networks  We trained our model using 4800 images from 40 human subjects (20 healthy volunteers, 20 patients with various cardiac diseases) and validated the technique in 6000 images from 50 subjects (10 healthy volunteers, 40 patients)  An average Dice metric of 0 929 ± 0 036 along with an average Jaccard index of 0 869 ± 0 059 were achieved for all the studied subjects  In addition, a high level of correlation and agreement with the ground truth contours for LV ejection fraction (R=0 975), LV fractional area change (R=0 959 to 0 971), and RV fractional area change (R=0 927) were observed  The proposed DL-based segmentation process took less than 3 seconds per subject (or &lt; 30 milliseconds per image over 120 images for each subject)  Therefore, our proposed framework offers a promising means to achieve fully automated and rapid segmentation for both LV and RV endocardium in long-axis cine CMR images using an appropriately trained deep convolutional neural network </t>
  </si>
  <si>
    <t>Singapore</t>
  </si>
  <si>
    <t xml:space="preserve">1S  Leng et al  are with National Heart Centre Singapore, 5 Hospital
Drive, 169609, Singapore </t>
  </si>
  <si>
    <t>Leng, S; Yang, X; Zhao, X; Zeng, Z; Su, Y; Koh, AS; Sim, D; Le Tan, J; Tan, RS; Zhong, L</t>
  </si>
  <si>
    <t>10 1109/EMBC 2018 8513063</t>
  </si>
  <si>
    <t xml:space="preserve">Automated Myocardial Wall Motion Classification using Handcrafted Features vs a Deep CNN-based mapping </t>
  </si>
  <si>
    <t xml:space="preserve">Compared to other modalities such as computed tomography or magnetic resonance imaging, the appearance of ultrasound images is highly dependent on the expertise of the sonographer or clinician making the image acquisition, as well as the machine used, making it a challenge to analyze due to the frequent presence of artefacts, missing boundaries, attenuation, shadows, and speckle  In addition, manual contouring of the epicardial and endocardial walls exhibits large inconsistencies and variations as it is strongly dependent on the sonographer's training and expertise  Hence, in this paper we propose a fully automated image analysis framework to ultimately perform wall motion abnormality classification in 2D+T images  We explore both traditional Random Forests classification with handcrafted features and spatio-temporal hierarchical aggregation of information with a deep learning CNN-based approach  Regarding the later classifier, we also investigate the effect of local phase information retrieval through the use of Feature Asymmetry (FA), and demonstrate that pre-processing videos with FA enables the spatio-temporal CNN to better discover relevant left ventricle endocardial abstractions from low-level features to high-level representations automatically </t>
  </si>
  <si>
    <t>H A Omar, Arijit Patra, J S  Domingos and J A  Noble is with the
Institute of Biomedical Engineering, University of Oxford</t>
  </si>
  <si>
    <t>Omar, HA; Patra, A; Domingos, JS; Leeson, P; Noblel, AJ</t>
  </si>
  <si>
    <t>10 1109/EMBC 2018 8512833</t>
  </si>
  <si>
    <t xml:space="preserve">Unsupervised Deep Learning Features for Lung Cancer Overall Survival Analysis </t>
  </si>
  <si>
    <t xml:space="preserve">Lung cancer overall survival analysis using computed tomography (CT) images plays an important role in treatment planning  Most current analysis methods involve hand-crafted image features for survival time prediction  However, hand-crafted features require domain knowledge and may lack specificity to lung cancer  Advanced self-learning models such as deep learning have showed superior performance in many medical image tasks, but they require large amount of data which is difficult to collect for survival analysis because of the long follow-up time  Although data with survival time is difficult to acquire, it is relatively easy to collect lung cancer patients without survival time  In this paper, we proposed an unsupervised deep learning method to take advantage of the unlabeled data for survival analysis, and demonstrated better performance than using hand-crafted features  We proposed a residual convolutional auto encoder and trained the model using images from 274 patients without survival time  Afterwards, we extracted deep learning features through the encoder model, and constructed a Cox proportional hazards model on 129 patients with survival time  The experiment results showed that our unsupervised deep learning feature gained better performance (C-Index = 0 70) than using hand-crafted features (C-Index = 0 62)  Furthermore, we divided the patients into two groups according to their Cox hazard value  Kaplan-Meier analysis indicated that our model can divide patients into high and low risk groups and the survival time of these two groups had significant difference (p &lt; 0 01) </t>
  </si>
  <si>
    <t>CNN,residual CNN</t>
  </si>
  <si>
    <t>S  Wang (wangshuo2014@ia ac cn), +Z  Liu, Y  Zhu, Z  Tang, W 
Wei, D  Dong, Y  Zang, and _x0003_J  Tian (tian@ieee org) are with the CAS
Key Laboratory of Molecular Imaging, Institute of Automation, Chinese
Academy of Sciences; University of Chinese Academy of Sciences, Beijing
100190, China  _x0003_ are corresponding authors  + are co-first author</t>
  </si>
  <si>
    <t>Wang, S; Liu, Z; Chen, X; Zhu, Y; Zhou, H; Tang, Z; Wei, W; Dong, D; Wang, M; Tian, J</t>
  </si>
  <si>
    <t>10 1109/EMBC 2018 8512556</t>
  </si>
  <si>
    <t xml:space="preserve">A Deep Unsupervised Learning Approach Toward MTBI Identification Using Diffusion MRI </t>
  </si>
  <si>
    <t xml:space="preserve">Mild traumatic brain injury is a growing public health problem with an estimated incidence of over 1 7 million people annually in US  Diagnosis is based on clinical history and symptoms, and accurate, concrete measures of injury are lacking  This work aims to directly use diffusion MR images obtained within one month of trauma to detect injury, by incorporating deep learning techniques  To overcome the challenge due to limited training data, we describe each brain region using the bag of word representation, which specifies the distribution of representative patch patterns  We apply a convolutional auto-encoder to learn the patch-level features, from overlapping image patches extracted from the MR images, to learn features from diffusion MR images of brain using an unsupervised approach  Our experimental results show that the bag of word representation using patch level features learnt by the auto encoder provides similar performance as that using the raw patch patterns, both significantly outperform earlier work relying on the mean values of MR metrics in selected brain regions </t>
  </si>
  <si>
    <t xml:space="preserve">convolutional autoencoder </t>
  </si>
  <si>
    <t>Electrical and Computer Engineering Department, New York University</t>
    <phoneticPr fontId="0" type="noConversion"/>
  </si>
  <si>
    <t>Minaee, S; Wang, Y; Choromanska, A; Chung, S; Wang, X; Fieremans, E; Flanagan, S; Rath, J; Lui, YW</t>
  </si>
  <si>
    <t>10 1109/EMBC 2018 8512550</t>
  </si>
  <si>
    <t xml:space="preserve">Multiview Sequential Learning and Dilated Residual Learning for a Fully Automatic Delineation of the Left Atrium and Pulmonary Veins from Late Gadolinium-Enhanced Cardiac MRI Images </t>
  </si>
  <si>
    <t xml:space="preserve">Accurate delineation of heart substructures is a prerequisite for abnormality detection, for making quantitative and functional measurements, and for computer-aided diagnosis and treatment planning  Late Gadolinium-Enhanced Cardiac MRI (LGE-CMRI) is an emerging imaging technology for myocardial infarction or scar detection based on the differences in the volume of residual gadolinium distribution between scar and healthy tissues  While LGE-CMRI is a well-established non-invasive tool for detecting myocardial scar tissues in the ventricles, its application to left atrium (LA) imaging is more challenging due to its very thin wall of the LA and poor quality images, which may be produced because of motion artefacts and low signal-to-noise ratio  As the LGE-CMRI scan is designed to highlight scar tissues by altering the gadolinium kinetics, the anatomy among different heart substructures has less distinguishable boundaries  An accurate, robust and reproducible method for LA segmentation is highly in demand because it can not only provide valuable information of the heart function but also be helpful for the further delineation of scar tissue and measuring the scar percentage  In this study, we proposed a novel deep learning framework working on LGE-CMRI images directly by combining sequential learning and dilated residual learning to delineate LA and pulmonary veins fully automatically  The achieved results showed accurate segmentation results compared to the state-of-the-art methods  The proposed framework leads to an automatic generation of a patient-specific model that can potentially enable an objective atrial scarring assessment for the atrial fibrillation patients </t>
  </si>
  <si>
    <t>UK</t>
  </si>
  <si>
    <t>G  Yang, R  Mohiaddin, J  Keegan and D  Firmin are with the National
Heart and Lung Institute, Imperial College London, SW7 2AZ, London,
United Kingdom and the Cardiovascular Research Centre, Royal Brompton
Hospital, SW3 6NP, London, United Kingdom</t>
  </si>
  <si>
    <t>Yang, G; Chen, J; Gao, Z; Zhang, H; Ni, H; Angelini, E; Mohiaddin, R; Wong, T; Keegan, J; Firmin, D</t>
  </si>
  <si>
    <t>10 1109/EMBC 2018 8512400</t>
  </si>
  <si>
    <t xml:space="preserve">Optic Disc and Cup Segmentation with Blood Vessel Removal from Fundus Images for Glaucoma Detection </t>
  </si>
  <si>
    <t xml:space="preserve">Glaucoma is one of the major causes of blindness  Researchers keep looking for better ways to detect glaucoma in its early stage before it gets worse and cannot be cured  Among existing methods, the vertical cup to disc ratio (CDR) has been found to be effective for glaucoma measurement, which is calculated from the diameters of the optic cup and disc regions  Therefore, in order to achieve a more accurate CDR, a good segmentation of the optic disc and cup regions is quite important  Noting that the shape of the disc and cup regions can be assumed to be an ellipse, in this work we propose to find the minimal bounding boxes for the two regions based on the recent advances of deep learning  Also, considering blood vessels, passing through the disc area in a fundus image, can affect the detection of the bounding boxes, we further propose to remove the blood vessels beforehand in order to further boost the overall performance  Comprehensive experiments show that our proposed method achieves state-of-the-art performance on ORIGA-650 for optic disc and cup segmentation </t>
  </si>
  <si>
    <t>Faster R-CNN,Unet,MNet</t>
  </si>
  <si>
    <t xml:space="preserve">Y  Jiang, H  Xia and L  Duan are with Big Data Research Center
at University of Electronic Science and Technology of China, Chengdu
611731, China </t>
  </si>
  <si>
    <t>Jiang, Y; Xia, H; Xu, Y; Cheng, J; Fu, H; Duan, L; Meng, Z; Liu, J</t>
  </si>
  <si>
    <t>10 1109/EMBC 2018 8512372</t>
  </si>
  <si>
    <t xml:space="preserve">A Novel Multimodal MRI Analysis for Alzheimer's Disease Based on Convolutional Neural Network </t>
  </si>
  <si>
    <t xml:space="preserve">Recent years, Alzheimer's disease (AD) has become a significant threat to human health while the accurate screening and diagnosis of AD remain a tough problem  Multimodal Magnetic resonance imaging (MRI) can help to identify the variation of brain function and structure in a non-invasive way  Deep learning, especially the convolutional neural networks (CNN), can be utilized to automatically detect appropriate features for classification, which is well adapted for computer-aided AD screening and identification  This paper proposed a multimodal MRI analytical method based on CNN, which is also suitable for single type MRI data analysis  First, the human brain network connectivity matrix were extracted from multimodal MRI data, used as the input data for CNN  Then a novel CNN framework was proposed to process the network matrix and classify AD, amnestic mild cognitive impairment (aMCI) patients and normal controls (NC)  The advantage of this method lies in that we combined multimodal MRI information through CNN convolution kernel, and achieved a higher classification accuracy  In our experiments, the comprehensive classification accuracy of AD, aMCI patients and NC was as high as 92 06% when using multimodal MRI data as input, which is effective enough to provide a reference for multimodal MRI data analysis </t>
  </si>
  <si>
    <t xml:space="preserve">Yan Wang, Yanwu Yang, Xin Guo, Chenfei Ye, Na Gao, Yuan Fang,
Heather T  Ma are with the Department of Electronic &amp; Information
Engineering, Harbin Institute of Technology Shenzhen Graduate School,
Shenzhen, China </t>
  </si>
  <si>
    <t>Wang, Y; Yang, Y; Guo, X; Ye, C; Gao, N; Fang, Y; Ma, HT</t>
  </si>
  <si>
    <t>10 1109/EMBC 2018 8512398</t>
  </si>
  <si>
    <t xml:space="preserve">Decision Supporting Model for One-year Conversion Probability from MCI to AD using CNN and SVM </t>
  </si>
  <si>
    <t xml:space="preserve">Prediction of Alzheimer's disease (AD) from Mild Cognitive Impairment (MCI) has become popular in recent years  Especially, deep learning technique has been used to extract high-quality features and for classification in this topic  Whether the patient would converse from MCI into AD is a particular evaluation criteria in clinics  However, there is no such a conversion prediction model in literature  Therefore, the purpose of this study is to propose a decision supporting model based on deep learning and machine learning to predict the conversion probability from MCI into AD within one year  We analyzed 165 samples with MRI scans from Alzheimer's Disease Neuroimaging Initiative (ADNI) database, in which all MCI patients were converted into AD in different time span for conversion  In this model, we first extracted image features based on convolutional neural network (CNN) method, and then we used support vector machine (SVM) classifier to classify these features  The results showed that the classification accuracy using linear, polynomial and RBF kernel could achieve 91 0%, 90 0% and 92 3%  As a result, this study indicated that the decision supporting model is potential to be applied into predicting the conversion probability from MCI into AD within one year </t>
  </si>
  <si>
    <t>MRI</t>
    <phoneticPr fontId="0" type="noConversion"/>
  </si>
  <si>
    <t>characterization-detection</t>
    <phoneticPr fontId="0" type="noConversion"/>
  </si>
  <si>
    <t xml:space="preserve">Ting Shen, Yueng Li, Jiehui Jiang and Zhuangzhi Yan are with Shanghai Institute for Advanced Communication and Data Science, Shanghai University, Shanghai, 200444, China </t>
    <phoneticPr fontId="0" type="noConversion"/>
  </si>
  <si>
    <t>Shen, T; Jiang, J; Li, Y; Wu, P; Zuo, C; Yan, Z</t>
  </si>
  <si>
    <t>10 1109/EMBC 2018 8512379</t>
  </si>
  <si>
    <t xml:space="preserve">A New and Improved Method for Automated Screening of Age-Related Macular Degeneration Using Ensemble Deep Neural Networks </t>
  </si>
  <si>
    <t xml:space="preserve">In this paper, we provide a new framework on deep learning based automated screening method for finding individuals at risk of developing Age-related Macular Degeneration (AMD)  We studied the appropriateness of using the transfer learning to screen AMD by using color fundus images  We make use of the Age-Related Eye Disease Study (AREDS) dataset with nearly 150,000 images, which also provided qualitative grading information by expert graders and ophthalmologists  We use ensemble learning technique with two deep neural networks, namely, Inception-ResNet-V2 and Xception with a custom fine-tuning approach  For our study, we have identified two experiments that are most useful in the screening of AMD  First, we have categorized the images into two classes based on the clinical significance: None or early AMD and Intermediate or Advanced AMD  Second, we have categorized the images into four classes: No AMD, early AMD, Intermediate AMD and Advanced AMD  On AREDS dataset, we have achieved an accuracy of over 95 3% for two-class experiment with our ensemble method  With accuracies ranging from 86% (for four-class) to 95 3% (for two-class), we have demonstrated that the training of a deep neural network with the transfer of learned features with a sufficient number of images fares very well and is comparable to human grading </t>
  </si>
  <si>
    <t>eyes</t>
    <phoneticPr fontId="0" type="noConversion"/>
  </si>
  <si>
    <t>CFP(fundus images)</t>
    <phoneticPr fontId="0" type="noConversion"/>
  </si>
  <si>
    <t>CNN,VGG, Xception ,ResNet</t>
  </si>
  <si>
    <t>USED</t>
    <phoneticPr fontId="0" type="noConversion"/>
  </si>
  <si>
    <t>surgery or related specialties</t>
    <phoneticPr fontId="0" type="noConversion"/>
  </si>
  <si>
    <t xml:space="preserve">2Icahn School of Medicine at Mount Sinai, New York </t>
    <phoneticPr fontId="0" type="noConversion"/>
  </si>
  <si>
    <t>Govindaiah, A; Smith, RT; Bhuiyan, A</t>
    <phoneticPr fontId="0" type="noConversion"/>
  </si>
  <si>
    <t>10 1109/EMBC 2018 8512334</t>
  </si>
  <si>
    <t xml:space="preserve">Automated Assessment of Bone Age Using Deep Learning and Gaussian Process Regression </t>
  </si>
  <si>
    <t xml:space="preserve">Bone age is an essential measure of skeletal maturity in children with growth disorders  It is typically assessed by a trained physician using radiographs of the hand and a reference model  However, it has been described that the reference models leave room for interpretation leading to a large inter-observer and intra-observer variation  In this work, we explore a novel method for automated bone age assessment to assist physicians with their estimation  It consists of a powerful combination of deep learning and Gaussian process regression  Using this combination, sensitivity of the deep learning model to rotations and flips of the input images can be exploited to increase overall predictive performance compared to only using the deep learning network  We validate our approach retrospectively on a set of 12611 radiographs of patients between 0 and 19 years of age </t>
  </si>
  <si>
    <t>musculoskeletal</t>
    <phoneticPr fontId="0" type="noConversion"/>
  </si>
  <si>
    <t>imagine</t>
    <phoneticPr fontId="0" type="noConversion"/>
  </si>
  <si>
    <t>other</t>
    <phoneticPr fontId="0" type="noConversion"/>
  </si>
  <si>
    <t>Belgium</t>
    <phoneticPr fontId="0" type="noConversion"/>
  </si>
  <si>
    <t xml:space="preserve"> are with Ghent University - imec, IDLab, Technologiepark-Zwijnaarde 15, B-9052 Ghent, Belgium tomd vansteenkiste@ugent be</t>
  </si>
  <si>
    <t>Van Steenkiste, T; Ruyssinck, J; Janssens, O; Vandersmissen, B; Vandecasteele, F; Devolder, P; Achten, E; Van Hoecke, S; Deschrijver, D; Dhaene, T</t>
  </si>
  <si>
    <t>10 1109/EMBC 2018 8512371</t>
  </si>
  <si>
    <t xml:space="preserve">Fusing Results of Several Deep Learning Architectures for Automatic Classification of Normal and Diabetic Macular Edema in Optical Coherence Tomography </t>
  </si>
  <si>
    <t xml:space="preserve">Diabetic Macular Edema (DME) is a severe eye disease that can lead to irreversible blindness if it is left untreated  DME diagnosis still relies on manual evaluation from opthalmologists, thus the process is time consuming and diagnosis may be subjective  This paper presents two novel DME detection frameworks: (1) combining features from three pre-trained Convolutional Neural Networks: AlexNet, VggNet and GoogleNet and performing feature space reduction using Principal Component Analysis and (2) a majority voting scheme based on a plurality rule between classifications from AlexNet, VggNet and GoogleNet  Experiments were conducted using Optical Coherence Tomography datasets retrieved from the Singapore Eye Research Institute and the Chinese University Hong Kong  The results are evaluated using a Leave-Two-Patients-Out Cross Validation at the volume level  This method improves DME classification with an accuracy of 93 75%, which is similar to the best algorithms so far on the same data sets </t>
  </si>
  <si>
    <t>CNN,AlexNet,Vgg, ResNet,GoogleNet</t>
  </si>
  <si>
    <t>Malaysia</t>
    <phoneticPr fontId="0" type="noConversion"/>
  </si>
  <si>
    <t xml:space="preserve"> Malaysia genevieve chan94@gmail com</t>
  </si>
  <si>
    <t>Chan, GCY; Kamble, R; Muller, H; Shah, SAA; Tang, TB; Meriaudeau, F</t>
  </si>
  <si>
    <t>10 1109/EMBC 2018 8512285</t>
  </si>
  <si>
    <t xml:space="preserve">Fully Convolutional DenseNets for Segmentation of Microvessels in Two-photon Microscopy </t>
  </si>
  <si>
    <t xml:space="preserve">Segmentation of microvessels measured using two-photon microscopy has been studied in the literature with limited success due to uneven intensities associated with optical imaging and shadowing effects  In this work, we address this problem using a customized version of a recently developed fully convolutional neural network, namely, FC-DensNets  To train and validate the network, manual annotations of 8 angiograms from two-photon microscopy was used  Segmentation results are then compared with that of a state-of-the-art scheme that was developed for the same purpose and also based on deep learning  Experimental results show improved performance of used FC-DenseNet in providing accurate and yet end-to-end segmentation of microvessels in two-photon microscopy </t>
  </si>
  <si>
    <t>CNN,FCN, DenseNet</t>
  </si>
  <si>
    <t>characterization-classification</t>
    <phoneticPr fontId="0" type="noConversion"/>
  </si>
  <si>
    <t xml:space="preserve"> Biomedical Engineering Institute, Ecole Polytechnique de Montreal, Montreal, QC, Canada rafat damseh@polymtl ca</t>
  </si>
  <si>
    <t>Damseh, R; Cheriet, F; Lesage, F</t>
  </si>
  <si>
    <t>10 1109/EMBC 2018 8512458</t>
  </si>
  <si>
    <t xml:space="preserve">Fully Convolutional Mandible Segmentation on a valid Ground- Truth Dataset </t>
  </si>
  <si>
    <t xml:space="preserve">This contribution presents the automatic segmentation of the lower jawbone (mandible) in humans' computed tomography (CT) images with the support of trained deep learning networks  CT acquisitions from the mandible frequently include radiological artifacts e g , from metal dental restorations, ostheosynthesis materials or include trauma related free pieces of bones with missing bone contour anatomy  As a result, manual outlining these slices to generate the ground truth for evaluating segmentation algorithms lead to massive uncertainties and results in significant interphysician disagreement  Simply excluding these slices is also not the option of choice, regarding the treatment outcome  Hence, we defined strict inclusion and exclusion criteria for our datasets to avoid subjectivity or occurring bias in the groundtruth creation  Amongst others, datasets must display a complete physiological mandible without teeth  According to these data selection criteria such images are difficult to find since they originate from the clinical routine and therefore need a medical indication (such as trauma or pathologic lesions) to be provided as CT data  Furthermore, to prove the adequateness of our ground-truth, clinical experts segmented all cases twice manually, showing the great qualitative and quantitative agreement between them  Our dataset collection and the corresponding ground truth is an absolute novelty and the first serious evaluation of segmentation algorithms for the mandible </t>
  </si>
  <si>
    <t>CNN,VGG,FCN</t>
  </si>
  <si>
    <t xml:space="preserve"> j wallner@medunigraz at)  </t>
  </si>
  <si>
    <t>Egger, J; Pfarrkirchner, B; Gsaxner, C; Lindner, L; Schmalstieg, D; Wallner, J</t>
  </si>
  <si>
    <t>10 1109/EMBC 2018 8512353</t>
  </si>
  <si>
    <t xml:space="preserve">Patch-level Tumor Classification in Digital Histopathology Images with Domain Adapted Deep Learning </t>
  </si>
  <si>
    <t xml:space="preserve">Tumor histopathology is a crucial step in cancer diagnosis which involves visual inspection of imaging data to detect the presence of tumor cells among healthy tissues  This manual process can be time-consuming, error-prone, and influenced by the expertise of the pathologist  Recent deep learning methods for image classification and detection using convolutional neural networks (CNNs) have demonstrated marked improvements in the accuracy of a variety of medical imaging analysis tasks  However, most well-established deep learning methods require large annotated training datasets that are specific to the particular problem domain; such datasets are difficult to acquire for histopathology data where visual characteristics differ between different tissue types, in addition to the need for precise annotations  In this study, we overcome the lack of annotated training dataset in histopathology images of a particular domain by adapting annotated histopathology images from different domains (tissue types)  The data from other tissue types are used to pre-train CNNs into a shared histopathology domain (e g , stains, cellular structures) such that it can be further tuned/optimized for a specific tissue type  We evaluated our classification method on publically available datasets of histopathology images; the accuracy and area under the receiver operating characteristic curve (AUC) of our method was higher than CNNs trained from scratch on limited data (accuracy: 84 3% vs  78 3%; AUC: 0 918 vs  0 867), suggesting that domain adaptation can be a valuable approach to histopathological images classification </t>
  </si>
  <si>
    <t xml:space="preserve">CNN,GoogLeNet </t>
  </si>
  <si>
    <t>T  Xia, A  Kumar, D  Feng, and J  Kim are with the School of Information Technologies, the University of Sydney, Australia</t>
  </si>
  <si>
    <t>Xia, T; Kumar, A; Feng, D; Kim, J</t>
  </si>
  <si>
    <t>10 1109/EMBC 2018 8512374</t>
  </si>
  <si>
    <t xml:space="preserve">CardioXNet: Automated Detection for Cardiomegaly Based on Deep Learning </t>
  </si>
  <si>
    <t xml:space="preserve">In this paper, we present an automated procedure to determine the presence of cardiomegaly on chest X-ray image based on deep learning  The proposed algorithm CardioXNet uses deep learning methods U-NET and cardiothoracic ratio for diagnosis of cardiomegaly from chest X-rays  U-NET learns the segmentation task from the ground truth data  OpenCV is used to denoise and maintain the precision of region of interest once minor errors occur  Therefore, Cardiothoracic ratio (CTR) is calculated as a criterion to determine cardiomegaly from U-net segmentations  End-to-end Dense-Net neural network is used as baseline  This study has shown that the feasibility of combing deep learning segmentation and medical criterion to automatically recognize heart disease in medical images with high accuracy and agreement with the clinical results </t>
  </si>
  <si>
    <t xml:space="preserve">CNN,Unet,DenseNet </t>
  </si>
  <si>
    <t xml:space="preserve">Institute of Systems Science, National University of Singapore (NUS-ISS), Singapore </t>
    <phoneticPr fontId="0" type="noConversion"/>
  </si>
  <si>
    <t>Que, Q; Tang, Z; Wang, R; Zeng, Z; Wang, J; Chua, M; Gee, TS; Yang, X; Veeravalli, B</t>
  </si>
  <si>
    <t>10 1109/EMBC 2018 8512328</t>
  </si>
  <si>
    <t xml:space="preserve">Coronary Artery Segmentation by Deep Learning Neural Networks on Computed Tomographic Coronary Angiographic Images </t>
  </si>
  <si>
    <t xml:space="preserve">Coronary artery lumen delineation, to localize and grade stenosis, is an important but tedious and challenging task for coronary heart disease evaluation  Deep learning has recently been successful applied to many applications, including medical imaging  However for small imaged objects such as coronary arteries and their segmentation, it remains a challenge  This paper investigates coronary artery lumen segmentation using 3D U-net convolutional neural networks, and tests its utility with multiple datasets on two settings  We adapted the computed tomography coronary angiography (CTCA) volumes into small patches for the networks and tuned the kernels, layers and the batch size for machine learning  Our experiment involves additional efforts to select and test various data transform, so as to reduce the problem of overfitting  Compared with traditional normalization of data, we showed that subject-specific normalization of dataset was superior to patch based normalization  The results also showed that the proposed deep learning approach outperformed other methods, evaluated by the Dice coefficients </t>
  </si>
  <si>
    <t>1Department of Computer Science and Engineering, Maulana Azad National Institute of Technology, Bhopal 462003, India</t>
    <phoneticPr fontId="0" type="noConversion"/>
  </si>
  <si>
    <t>Huang, W; Huang, L; Lin, Z; Huang, S; Chi, Y; Zhou, J; Zhang, J; Tan, RS; Zhong, L</t>
  </si>
  <si>
    <t>10 1109/EMBC 2018 8512200</t>
  </si>
  <si>
    <t xml:space="preserve">Biophysically interpretable recurrent neural network for functional magnetic resonance imaging analysis and sparsity based causal architecture discovery </t>
  </si>
  <si>
    <t xml:space="preserve">Recent efforts use state-of-the-art Recurrent Neural Networks (RNN) to gain insight into neuroscience  A limitation of these works is that the used generic RNNs lack biophysical meaning, making the interpretation of the results in a neuroscience context difficult  In this paper, we propose a biophysically interpretable RNN built on the Dynamic Causal Modelling (DCM)  DCM is an advanced nonlinear generative model typically used to test hypotheses of brain causal architectures and associated effective connectivities  We show that DCM can be cast faithfully as a special form of a new generalized RNN  In the resulting DCM-RNN, the hidden states are neural activity, blood flow, blood volume, and deoxyhemoglobin content and the parameters are biological quantities such as effective connectivity, oxygen extraction fraction and vessel wall elasticity  DCM-RNN is a versatile tool for neuroscience with great potential especially when combined with deep learning networks  In this study, we explore sparsity- based causal architecture discovery with DCM-RNN  In the experiments, we demonstrate that DCM-RNN equipped with $l_{1}$ connectivity regulation is more robust to noise and more powerful at discovering sparse architectures than classic DCM with $l_{2}$ connectivity regulation </t>
  </si>
  <si>
    <t xml:space="preserve">RNN </t>
  </si>
  <si>
    <t>monitoring</t>
    <phoneticPr fontId="0" type="noConversion"/>
  </si>
  <si>
    <t>Yuan Wang and Yao Wang are with Department of Electrical and Computer Engineering, New Yok University, Brooklyn</t>
    <phoneticPr fontId="0" type="noConversion"/>
  </si>
  <si>
    <t>Wang, Y; Wang, Y; Lui, YW</t>
  </si>
  <si>
    <t>10 1109/EMBC 2018 8513070</t>
  </si>
  <si>
    <t xml:space="preserve">Predicting Lymph Node Metastasis in Head and Neck Cancer by Combining Many-objective Radiomics and 3-dimensioal Convolutional Neural Network through Evidential Reasoning </t>
  </si>
  <si>
    <t xml:space="preserve">Lymph node metastasis (LNM) is a significant prognostic factor in patients with head and neck cancer, and the ability to predict it accurately is essential for treatment optimization  PET and CT imaging are routinely used for LNM identification  However, uncertainties of LNM always exist especially for small size or reactive nodes  Radiomics and deep learning are the two preferred imaging-based strategies for node malignancy prediction  Radiomics models are built based on handcrafted features, and deep learning can learn the features automatically  We proposed a hybrid predictive model that combines many-objective radiomics (MO-radiomics) and 3-dimensional convolutional neural network (3D-CNN) through evidential reasoning (ER) approach  To build a more reliable model, we proposed a new many-objective radiomics model  Meanwhile, we designed a 3D-CNN that fully utilizes spatial contextual information  Finally, the outputs were fused through the ER approach  To study the predictability of the two modalities, three models were built for PET, CT, and PET&amp; CT  The results showed that the model performed best when the two modalities were combined  Moreover, we showed that the quantitative results obtained from the hybrid model were better than those obtained from MO-radiomics and 3D-CNN </t>
  </si>
  <si>
    <t>Zhiguo Zhou, Liyuan Chen, David Sher, Jennifer Shah, Nhat-Long Pham, Steve Jiang, and Jing Wang are with the University of Texas Southwestern Medical Center, Dallas</t>
    <phoneticPr fontId="0" type="noConversion"/>
  </si>
  <si>
    <t>Zhou, Z; Chen, L; Sher, D; Zhang, Q; Shah, J; Pham, NL; Jiang, S; Wang, J</t>
  </si>
  <si>
    <t>10 1364/OL 43 005669</t>
  </si>
  <si>
    <t xml:space="preserve">Deep learning model for ultrafast multifrequency optical property extractions for spatial frequency domain imaging </t>
    <phoneticPr fontId="0" type="noConversion"/>
  </si>
  <si>
    <t xml:space="preserve">Spatial frequency domain imaging (SFDI) is emerging as an important new method in biomedical imaging due to its ability to provide label-free, wide-field tissue optical property maps  Most prior SFDI studies have utilized two spatial frequencies (2-fx) for optical property extractions  The use of more than two frequencies (multi-fx) can vastly improve the accuracy and reduce uncertainties in optical property estimates for some tissue types, but it has been limited in practice due to the slow speed of available inversion algorithms  We present a deep learning solution that eliminates this bottleneck by solving the multi-fx inverse problem 300× to 100,000× faster, with equivalent or improved accuracy compared to competing methods  The proposed deep learning inverse model will help to enable real-time and highly accurate tissue measurements with SFDI </t>
    <phoneticPr fontId="0" type="noConversion"/>
  </si>
  <si>
    <t>Optics letters</t>
  </si>
  <si>
    <t xml:space="preserve">1Boston University, Department of Biomedical Engineering, 44 Cummington Mall, Boston, Massachusetts 02215, USA </t>
    <phoneticPr fontId="0" type="noConversion"/>
  </si>
  <si>
    <t>Zhao, Y; Deng, Y; Bao, F; Peterson, H; Istfan, R; Roblyer, D</t>
  </si>
  <si>
    <t>7708433</t>
  </si>
  <si>
    <t>10 1097/SCS 0000000000004901</t>
  </si>
  <si>
    <t xml:space="preserve">Personal Computer-Based Cephalometric Landmark Detection With Deep Learning, Using Cephalograms on the Internet </t>
  </si>
  <si>
    <t xml:space="preserve">Cephalometric analysis has long been, and still is one of the most important tools in evaluating craniomaxillofacial skeletal profile  To perform this, manual tracing of x-ray film and plotting landmarks have been required  This procedure is time-consuming and demands expertise  In these days, computerized cephalometric systems have been introduced; however, tracing and plotting still have to be done on the monitor display  Artificial intelligence is developing rapidly  Deep learning is one of the most evolving areas in artificial intelligence  The authors made an automated landmark predicting system, based on a deep learning neural network On a personal desktop computer, a convolutional network was built for regression analysis of cephalometric landmarks' coordinate values  Lateral cephalogram images were gathered through the internet and 219 images were obtained  Ten skeletal cephalometric landmarks were manually plotted and coordinate values of them were listed  The images were randomly divided into 153 training images and 66 testing images  Training images were expanded 51 folds  The network was trained with the expanded training images  With the testing images, landmarks were predicted by the network  Prediction errors from manually plotted points were evaluated Average and median prediction errors were 17 02 and 16 22 pixels  Angles and lengths in cephalometric analysis, predicted by the neural network, were not statistically different from those calculated from manually plotted points Despite the variety of image quality, using cephalogram images on the internet is a feasible approach for landmark prediction </t>
  </si>
  <si>
    <t>The Journal of craniofacial surgery</t>
  </si>
  <si>
    <t xml:space="preserve">Department of Plastic Surgery, Hyogo College of Medicine, Nishinomiya, Japan </t>
  </si>
  <si>
    <t>Nishimoto, S; Sotsuka, Y; Kawai, K; Ishise, H; Kakibuchi, M</t>
  </si>
  <si>
    <t>9010410</t>
  </si>
  <si>
    <t>10 1007/s11548-018-1888-2</t>
  </si>
  <si>
    <t xml:space="preserve">Combining MRF-based deformable registration and deep binary 3D-CNN descriptors for large lung motion estimation in COPD patients </t>
  </si>
  <si>
    <t xml:space="preserve">Deep convolutional neural networks in their various forms are currently achieving or outperforming state-of-the-art results on several medical imaging tasks  We aim to make these developments available to the so far unsolved task of accurate correspondence finding-especially with regard to image registration We propose a two-step hybrid approach to make deep learned features accessible to a discrete optimization-based registration method  In a first step, in order to extract expressive binary local descriptors, we train a deep network architecture on a patch-based landmark retrieval problem as auxiliary task  As second step at runtime within a MRF-regularised dense displacement sampling, their binary nature enables highly efficient similarity computations, thus making them an ideal candidate to replace the so far used handcrafted local feature descriptors during the registration process We evaluate our approach on finding correspondences between highly non-rigidly deformed lung CT scans from different breathing states  Although the CNN-based descriptors excell at an auxiliary learning task for finding keypoint correspondences, self-similarity-based descriptors yield more accurate registration results  However, a combination of both approaches turns out to generate the most robust features for registration We present a three-dimensional framework for large lung motion estimation based on the combination of CNN-based and handcrafted descriptors efficiently employed in a discrete registration method  Achieving best results by combining learned and handcrafted features encourages further research in this direction </t>
  </si>
  <si>
    <t xml:space="preserve">CNN,DenseNet </t>
  </si>
  <si>
    <t>&gt;3000</t>
    <phoneticPr fontId="0" type="noConversion"/>
  </si>
  <si>
    <t xml:space="preserve">Institute of Medical Informatics, University of Lübeck, Ratzeburger Allee 160, 23562, Lübeck, Germany  blendowski@imi uni-luebeck de </t>
  </si>
  <si>
    <t>Blendowski, M; Heinrich, MP</t>
  </si>
  <si>
    <t>10 1970567121321</t>
  </si>
  <si>
    <t xml:space="preserve">An Interpretable and Expandable Deep Learning Diagnostic System for Multiple Ocular Diseases: Qualitative Study </t>
  </si>
  <si>
    <t xml:space="preserve">Although artificial intelligence performs promisingly in medicine, few automatic disease diagnosis platforms can clearly explain why a specific medical decision is made We aimed to devise and develop an interpretable and expandable diagnosis framework for automatically diagnosing multiple ocular diseases and providing treatment recommendations for the particular illness of a specific patient As the diagnosis of ocular diseases highly depends on observing medical images, we chose ophthalmic images as research material  All medical images were labeled to 4 types of diseases or normal (total 5 classes); each image was decomposed into different parts according to the anatomical knowledge and then annotated  This process yields the positions and primary information on different anatomical parts and foci observed in medical images, thereby bridging the gap between medical image and diagnostic process  Next, we applied images and the information produced during the annotation process to implement an interpretable and expandable automatic diagnostic framework with deep learning This diagnosis framework comprises 4 stages  The first stage identifies the type of disease (identification accuracy, 93%)  The second stage localizes the anatomical parts and foci of the eye (localization accuracy: images under natural light without fluorescein sodium eye drops, 82%; images under cobalt blue light or natural light with fluorescein sodium eye drops, 90%)  The third stage carefully classifies the specific condition of each anatomical part or focus with the result from the second stage (average accuracy for multiple classification problems, 79%-98%)  The last stage provides treatment advice according to medical experience and artificial intelligence, which is merely involved with pterygium (accuracy, &gt;95%)  Based on this, we developed a telemedical system that can show detailed reasons for a particular diagnosis to doctors and patients to help doctors with medical decision making  This system can carefully analyze medical images and provide treatment advices according to the analysis results and consultation between a doctor and a patient The interpretable and expandable medical artificial intelligence platform was successfully built; this system can identify the disease, distinguish different anatomical parts and foci, discern the diagnostic information relevant to the diagnosis of diseases, and provide treatment suggestions  During this process, the whole diagnostic flow becomes clear and understandable to both doctors and their patients  Moreover, other diseases can be seamlessly integrated into this system without any influence on existing modules or diseases  Furthermore, this framework can assist in the clinical training of junior doctors  Owing to the rare high-grade medical resource, it is impossible that everyone receives high-quality professional diagnosis and treatment service  This framework can not only be applied in hospitals with insufficient medical resources to decrease the pressure on experienced doctors but also deployed in remote areas to help doctors diagnose common ocular diseases </t>
  </si>
  <si>
    <t>CNN,inception,ResNet</t>
  </si>
  <si>
    <t>Journal of medical Internet research</t>
  </si>
  <si>
    <t xml:space="preserve">School of Computer Science and Technology, Xidian University, Xi'an, China </t>
  </si>
  <si>
    <t>Zhang, K; Liu, X; Liu, F; He, L; Zhang, L; Yang, Y; Li, W; Wang, S; Liu, L; Liu, Z; Wu, X; Lin, H</t>
  </si>
  <si>
    <t>100959882</t>
  </si>
  <si>
    <t>10 1002/jum 14860</t>
  </si>
  <si>
    <t xml:space="preserve">Enhanced Point-of-Care Ultrasound Applications by Integrating Automated Feature-Learning Systems Using Deep Learning </t>
  </si>
  <si>
    <t xml:space="preserve">Recent applications of artificial intelligence (AI) and deep learning (DL) in health care include enhanced diagnostic imaging modalities to support clinical decisions and improve patients' outcomes  Focused on using automated DL-based systems to improve point-of-care ultrasound (POCUS), we look at DL-based automation as a key field in expanding and improving POCUS applications in various clinical settings  A promising additional value would be the ability to automate training model selections for teaching POCUS to medical trainees and novice sonologists  The diversity of POCUS applications and ultrasound equipment, each requiring specialized AI models and domain expertise, limits the use of DL as a generic solution  In this article, we highlight the most advanced potential applications of AI in POCUS tailored to high-yield models in automated image interpretations, with the premise of improving the accuracy and efficacy of POCUS scans </t>
  </si>
  <si>
    <t>Journal of ultrasound in medicine : official journal of the American Institute of Ultrasound in Medicine</t>
  </si>
  <si>
    <t xml:space="preserve">Department of Emergency Medicine, Massachusetts General Hospital, Harvard Medical School, Boston, Massachusetts, USA </t>
  </si>
  <si>
    <t>Shokoohi, H; LeSaux, MA; Roohani, YH; Liteplo, A; Huang, C; Blaivas, M</t>
  </si>
  <si>
    <t>8211547</t>
  </si>
  <si>
    <t>10 1007/s11548-018-1883-7</t>
  </si>
  <si>
    <t xml:space="preserve">Automatic bone segmentation in whole-body CT images </t>
  </si>
  <si>
    <t xml:space="preserve">Many diagnostic or treatment planning applications critically depend on the successful localization of bony structures in CT images  Manual or semiautomatic bone segmentation is tedious, however, and often not practical in clinical routine  In this paper, we present a reliable and fully automatic bone segmentation in whole-body CT scans of patients suffering from multiple myeloma We address this problem by using convolutional neural networks with an architecture inspired by the U-Net [17]  In this publication, we compared three training procedures: (1) training from 2D axial slices, (2) a pseudo-3D approach including axial, sagittal and coronal slices and (3) an approach where the network is pre-trained in an unsupervised manner We evaluated the method on an in-house dataset of 18 whole-body CT scans consisting of 6800 axial slices, achieving a dice score of 0 95 and an intersection over union (IOU) of 0 91  Furthermore, we evaluated our method on the dataset used by Peréz-Carrasco et al  (Comput Methods Progr Biomed 156:85-95, 2018)  The data and the ground truth have been made publicly available  The proposed method outperformed the other methods, obtaining a dice score of 0 92 and an IOU of 0 85 These promising results could facilitate the evaluation of bone density and the localization of focal lesions in the future, with a potential impact on both disease staging and treatment planning </t>
  </si>
  <si>
    <t xml:space="preserve">Division of Medical Image Computing, Deutsches Krebsforschungszentrum (DKFZ), Im Neuenheimer Feld 581, Heidelberg, Germany  andre klein@dkfz de </t>
  </si>
  <si>
    <t>Klein, A; Warszawski, J; Hillengaß, J; Maier-Hein, KH</t>
  </si>
  <si>
    <t>10 1007/s11517-018-1925-x</t>
  </si>
  <si>
    <t xml:space="preserve">Automated detection of vulnerable plaque in intravascular ultrasound images </t>
  </si>
  <si>
    <t xml:space="preserve">Acute coronary syndrome (ACS) is a syndrome caused by a decrease in blood flow in the coronary arteries  The ACS is usually related to coronary thrombosis and is primarily caused by plaque rupture followed by plaque erosion and calcified nodule  Thin-cap fibroatheroma (TCFA) is known to be the most similar lesion morphologically to a plaque rupture  In this paper, we propose methods to classify TCFA using various machine learning classifiers including feed-forward neural network (FNN), K-nearest neighbor (KNN), random forest (RF), and convolutional neural network (CNN) to figure out a classifier that shows optimal TCFA classification accuracy  In addition, we suggest pixel range-based feature extraction method to extract the ratio of pixels in the different region of interests to reflect the physician's TCFA discrimination criteria  Our feature extraction method examines the pixel distribution of the intravascular ultrasound (IVUS) image at a given ROI, which allows us to extract general characteristics of the IVUS image while simultaneously reflecting the different properties of the vessel's substances such as necrotic core and calcified nodule depending on the brightness of the pixel  A total of 12,325 IVUS images were labeled with corresponding optical coherence tomography (OCT) images to train and evaluate the classifiers  We achieved 0 859, 0 848, 0 844, and 0 911 area under the ROC curve (AUC) in the order of using FNN, KNN, RF, and CNN classifiers  As a result, the CNN classifier performed best and the top 10 features of the feature-based classifiers (FNN, KNN, RF) were found to be similar to the physician's TCFA diagnostic criteria  Graphical Abstract AUC result of proposed classifiers </t>
  </si>
  <si>
    <t>FNN,KNN,CNN</t>
  </si>
  <si>
    <t>Medical &amp; biological engineering &amp; computing</t>
  </si>
  <si>
    <t xml:space="preserve">School of Computing, Korea Advanced Institute of Science and Technology, Daejeon, Republic of Korea  taejoon89@kaist ac kr </t>
  </si>
  <si>
    <t>Jun, TJ; Kang, SJ; Lee, JG; Kweon, J; Na, W; Kang, D; Kim, D; Kim, D; Kim, YH</t>
  </si>
  <si>
    <t>7704869</t>
  </si>
  <si>
    <t>10 1148/rg 2018170173</t>
  </si>
  <si>
    <t xml:space="preserve">Deep Learning Electronic Cleansing for Single- and Dual-Energy CT Colonography </t>
  </si>
  <si>
    <t xml:space="preserve">Electronic cleansing (EC) is used for computational removal of residual feces and fluid tagged with an orally administered contrast agent on CT colonographic images to improve the visibility of polyps during virtual endoscopic "fly-through" reading  A recent trend in CT colonography is to perform a low-dose CT scanning protocol with the patient having undergone reduced- or noncathartic bowel preparation  Although several EC schemes exist, they have been developed for use with cathartic bowel preparation and high-radiation-dose CT, and thus, at a low dose with noncathartic bowel preparation, they tend to generate cleansing artifacts that distract and mislead readers  Deep learning can be used for improvement of the image quality with EC at CT colonography  Deep learning EC can produce substantially fewer cleansing artifacts at dual-energy than at single-energy CT colonography, because the dual-energy information can be used to identify relevant material in the colon more precisely than is possible with the single x-ray attenuation value  Because the number of annotated training images is limited at CT colonography, transfer learning can be used for appropriate training of deep learning algorithms  The purposes of this article are to review the causes of cleansing artifacts that distract and mislead readers in conventional EC schemes, to describe the applications of deep learning and dual-energy CT colonography to EC of the colon, and to demonstrate the improvements in image quality with EC and deep learning at single-energy and dual-energy CT colonography with noncathartic bowel preparation  ©RSNA, 2018 </t>
  </si>
  <si>
    <t>abdominal</t>
    <phoneticPr fontId="0" type="noConversion"/>
  </si>
  <si>
    <t>Radiographics : a review publication of the Radiological Society of North America, Inc</t>
  </si>
  <si>
    <t xml:space="preserve">From the 3D Imaging Research Lab, Department of Radiology, Massachusetts General Hospital and Harvard Medical School, 25 New Chardon St, Suite 400C, Boston, MA 02114 (R T , J J N , N K , T H , H Y ); Department of Information Science and Technology, National Institute of Technology, Oshima College, Yamaguchi, Japan (R T ); Department of Medical Physics and Engineering, Graduate School of Medicine, Osaka University, Suita, Osaka, Japan (J O ); Department of Medical Physics, University of Applied Sciences Giessen, Giessen, Germany (N K ); Department of Radiology, Seoul National University Hospital, Seoul, Republic of Korea (S H K ); Department of Surgical Sciences, University of Torino, Turin, Italy (D R ); and Candiolo Cancer Institute, Fondazione del Piemonte per l'Oncologia-Istituto di Ricovero e Cura a Carattere Scientifico (FPO-IRCCS), Candiolo, Turin, Italy (D R ) </t>
  </si>
  <si>
    <t>Tachibana, R; Näppi, JJ; Ota, J; Kohlhase, N; Hironaka, T; Kim, SH; Regge, D; Yoshida, H</t>
  </si>
  <si>
    <t>8302501</t>
  </si>
  <si>
    <t>10 2214/AJR 18 19914</t>
  </si>
  <si>
    <t xml:space="preserve">How Cognitive Machines Can Augment Medical Imaging </t>
  </si>
  <si>
    <t xml:space="preserve">Artificial intelligence (AI) neural networks rapidly convert disparate facts and data into highly predictive analytic models  Machine learning maps image-patient phenotype correlations opaque to standard statistics  Deep learning performs accurate image-derived tissue characterization and can generate virtual CT images from MRI datasets  Natural language processing reads medical literature and efficiently reconfigures years of PACS and electronic medical record information AI logistics solve radiology informatics workflow pain points  Imaging professionals and companies will drive health care AI technology insertion  Data science and computer science will jointly potentiate the impact of AI applications for medical imaging </t>
  </si>
  <si>
    <t>CNN,AlexNet,GoogLeNet,VGG,ResNet</t>
  </si>
  <si>
    <t>AJR  American journal of roentgenology</t>
  </si>
  <si>
    <t xml:space="preserve">1 Department of Medicine, Medical College of Georgia at Augusta University, 1120 15th St, Office BBR-6518, Augusta, GA 30912 </t>
  </si>
  <si>
    <t>Miller, DD; Brown, EW</t>
  </si>
  <si>
    <t>7708173</t>
  </si>
  <si>
    <t>10 1007/s13244-018-0669-3</t>
  </si>
  <si>
    <t xml:space="preserve">Radiomics: a critical step towards integrated healthcare </t>
  </si>
  <si>
    <t xml:space="preserve">Medical imaging is a vital part of the clinical decision-making process, especially in an oncological setting  Radiology has experienced a great wave of change, and the advent of quantitative imaging has provided a unique opportunity to analyse patient images objectively  Leveraging radiomics and deep learning, there is increased potential for synergy between physicians and computer networks-via computer-aided diagnosis (CAD), computer-aided prediction of response (CARP), and computer-aided biological profiling (CABP)  The ongoing digitalization of other specialties further opens the door for even greater multidisciplinary integration  We envision the development of an integrated system composed of an aggregation of sub-systems interoperating with the aim of achieving an overarching functionality (in this case' better CAD, CARP, and CABP)  This will require close multidisciplinary cooperation among the clinicians, biomedical scientists, and (bio)engineers as well as an administrative framework where the departments will operate not in isolation but in successful harmony  KEY POINTS: • The advent of quantitative imaging provides a unique opportunity to analyse patient images objectively  • Radiomics and deep learning allow for a more detailed overview of the tumour (i e , CAD, CARP, and CABP) from many different perspectives  • As it currently stands, different medical disciplines have developed different stratification methods, primarily based on their own field-often to the exclusion of other departments  • The digitalization of other specialties further opens the door for multidisciplinary integration  • The long-term vision for precision medicine should focus on the development of integration strategies, wherein data derived from the patients themselves (via multiple disciplines) can be used to guide clinical decisions </t>
  </si>
  <si>
    <t>Insights into imaging</t>
  </si>
  <si>
    <t xml:space="preserve">Department of Radiology, The Netherlands Cancer Institute, Amsterdam, The Netherlands </t>
  </si>
  <si>
    <t>Bodalal, Z; Trebeschi, S; Beets-Tan, R</t>
  </si>
  <si>
    <t>101532453</t>
  </si>
  <si>
    <t>10 1007/s00330-018-5822-3</t>
  </si>
  <si>
    <t xml:space="preserve">Deep learning analysis of left ventricular myocardium in CT angiographic intermediate-degree coronary stenosis improves the diagnostic accuracy for identification of functionally significant stenosis </t>
  </si>
  <si>
    <t xml:space="preserve">To evaluate the added value of deep learning (DL) analysis of the left ventricular myocardium (LVM) in resting coronary CT angiography (CCTA) over determination of coronary degree of stenosis (DS), for identification of patients with functionally significant coronary artery stenosis Patients who underwent CCTA prior to an invasive fractional flow reserve (FFR) measurement were retrospectively selected  Highest DS from CCTA was used to classify patients as having non-significant (≤ 24% DS), intermediate (25-69% DS), or significant stenosis (≥ 70% DS)  Patients with intermediate stenosis were referred for fully automatic DL analysis of the LVM  The DL algorithm characterized the LVM, and likely encoded information regarding shape, texture, contrast enhancement, and more  Based on these encodings, features were extracted and patients classified as having a non-significant or significant stenosis  Diagnostic performance of the combined method was evaluated and compared to DS evaluation only  Functionally significant stenosis was defined as FFR ≤ 0 8 or presence of angiographic high-grade stenosis (≥ 90% DS) The final study population consisted of 126 patients (77% male, 59 ± 9 years)  Eighty-one patients (64%) had a functionally significant stenosis  The proposed method resulted in improved discrimination (AUC = 0 76) compared to classification based on DS only (AUC = 0 68)  Sensitivity and specificity were 92 6% and 31 1% for DS only (≥ 50% indicating functionally significant stenosis), and 84 6% and 48 4% for the proposed method The combination of DS with DL analysis of the LVM in intermediate-degree coronary stenosis may result in improved diagnostic performance for identification of patients with functionally significant coronary artery stenosis • Assessment of degree of coronary stenosis on CCTA has consistently high sensitivity and negative predictive value, but has limited specificity for identifying the functional significance of a stenosis  • Deep learning algorithms are able to learn complex patterns and relationships directly from the images without prior specification of which image features represent presence of disease, and thereby may be more sensitive to subtle changes in the LVM caused by functionally significant stenosis  • Addition of deep learning analysis of the left ventricular myocardium to the evaluation of degree of coronary artery stenosis improves diagnostic performance and increases specificity of resting CCTA  This could potentially decrease the number of patients undergoing invasive coronary angiography </t>
  </si>
  <si>
    <t xml:space="preserve">Department of Radiology, University Medical Center Utrecht, Utrecht University, P O  Box 85500, 3508 GA, Utrecht, the Netherlands  R W vanHamersvelt-3@umcutrecht nl </t>
  </si>
  <si>
    <t>van Hamersvelt, RW; Zreik, M; Voskuil, M; Viergever, MA; Išgum, I; Leiner, T</t>
  </si>
  <si>
    <t>10 1002/acm2 12494</t>
  </si>
  <si>
    <t xml:space="preserve">A study of positioning orientation effect on segmentation accuracy using convolutional neural networks for rectal cancer </t>
  </si>
  <si>
    <t xml:space="preserve">Convolutional neural networks (CNN) have greatly improved medical image segmentation  A robust model requires training data can represent the entire dataset  One of the differing characteristics comes from variability in patient positioning (prone or supine) for radiotherapy  In this study, we investigated the effect of position orientation on segmentation using CNN Data of 100 patients (50 in supine and 50 in prone) with rectal cancer were collected for this study  We designed three sets of experiments for comparison: (a) segmentation using the model trained with data from the same orientation; (b) segmentation using the model trained with data from the opposite orientation; (c) segmentation using the model trained with data from both orientations  We performed fivefold cross-validation  The performance was evaluated on segmentation of the clinical target volume (CTV), bladder, and femurs with Dice similarity coefficient (DSC) and Hausdorff distance (HD) Compared with models trained on cases positioned in the same orientation, the models trained with cases positioned in the opposite orientation performed significantly worse (P &lt; 0 05) on CTV and bladder segmentation, but had comparable accuracy for femurs (P &gt; 0 05)  The average DSC values were 0 74 vs 0 84, 0 85 vs 0 88, and 0 91 vs 0 91 for CTV, bladder, and femurs, respectively  The corresponding HD values (mm) were 16 6 vs 14 6, 8 4 vs 8 1, and 6 3 vs 6 3, respectively  The models trained with data from both orientations have comparable accuracy (P &gt; 0 05), with average DSC of 0 84, 0 88, and 0 91 and HD of 14 4, 8 1, and 6 3, respectively Orientation affects the accuracy for CTV and bladder, but has negligible effect on the femurs  The model trained from data combining both orientations performs as well as a model trained with data from the same orientation for all the organs  These observations can offer guidance on the choice of training data for accurate segmentation </t>
  </si>
  <si>
    <t xml:space="preserve">University of Pennsylvania, Philadelphia, PA, USA </t>
  </si>
  <si>
    <t>Men, K; Boimel, P; Janopaul-Naylor, J; Cheng, C; Zhong, H; Huang, M; Geng, H; Fan, Y; Plastaras, JP; Ben-Josef, E; Xiao, Y</t>
  </si>
  <si>
    <t>10 1155/2018/9128527</t>
  </si>
  <si>
    <t xml:space="preserve">Tumor Segmentation in Contrast-Enhanced Magnetic Resonance Imaging for Nasopharyngeal Carcinoma: Deep Learning with Convolutional Neural Network </t>
  </si>
  <si>
    <t xml:space="preserve">To evaluate the application of a deep learning architecture, based on the convolutional neural network (CNN) technique, to perform automatic tumor segmentation of magnetic resonance imaging (MRI) for nasopharyngeal carcinoma (NPC) In this prospective study, 87 MRI containing tumor regions were acquired from newly diagnosed NPC patients  These 87 MRI were augmented to &gt;60,000 images  The proposed CNN network is composed of two phases: feature representation and scores map reconstruction  We designed a stepwise scheme to train our CNN network  To evaluate the performance of our method, we used case-by-case leave-one-out cross-validation (LOOCV)  The ground truth of tumor contouring was acquired by the consensus of two experienced radiologists The mean values of dice similarity coefficient, percent match, and their corresponding ratio with our method were 0 89±0 05, 0 90±0 04, and 0 84±0 06, respectively, all of which were better than reported values in the similar studies We successfully established a segmentation method for NPC based on deep learning in contrast-enhanced magnetic resonance imaging  Further clinical trials with dedicated algorithms are warranted </t>
  </si>
  <si>
    <t xml:space="preserve">School of Biomedical Engineering, Health Science Centre, Shenzhen University, Shenzhen, China </t>
  </si>
  <si>
    <t>Li, Q; Xu, Y; Chen, Z; Liu, D; Feng, ST; Law, M; Ye, Y; Huang, B</t>
  </si>
  <si>
    <t>10 1016/j cmpb 2018 09 007</t>
  </si>
  <si>
    <t xml:space="preserve">Fully Automatic Brain Tumor Segmentation using End-To-End Incremental Deep Neural Networks in MRI images </t>
  </si>
  <si>
    <t xml:space="preserve">Nowadays, getting an efficient Brain Tumor Segmentation in Multi-Sequence MR images as soon as possible, gives an early clinical diagnosis, treatment and follow-up  The aim of this study is to develop a new deep learning model for the segmentation of brain tumors  The proposed models are used to segment the brain tumors of Glioblastomas (with both high and low grade)  Glioblastomas have four properties: different sizes, shapes, contrasts, in addition, Glioblastomas appear anywhere in the brain In this paper, we propose three end-to-end Incremental Deep Convolutional Neural Networks models for fully automatic Brain Tumor Segmentation  Our proposed models are different from the other CNNs-based models that follow the technique of trial and error process which does not use any guided approach to get the suitable hyper-parameters  Moreover, we adopt the technique of Ensemble Learning to design a more efficient model  For solving the problem of training CNNs model, we propose a new training strategy which takes into account the most influencing hyper-parameters by bounding and setting a roof to these hyper-parameters to accelerate the training Our experiment results reported on BRATS-2017 dataset  The proposed deep learning models achieve the state-of-the-art performance without any post-processing operations  Indeed, our models achieve in average 0 88 Dice score over the complete region  Moreover, the efficient design with the advantage of GPU implementation, allows our three deep learning models to achieve brain segmentation results in average 20 87 s The proposed deep learning models are effective for the segmentation of brain tumors and allow to obtain high accurate results  Moreover, the proposed models could help the physician experts to reduce the time of diagnostic </t>
  </si>
  <si>
    <t>250-500</t>
    <phoneticPr fontId="0" type="noConversion"/>
  </si>
  <si>
    <t xml:space="preserve">Smart Computer Sciences Laboratory, Department of Computer Sciences, University of Biskra, Biskra, Algeria; Gaspard Monge Computer Science Laboratory, ESIEE-Paris, University Paris-Est Marne-la-Vallée, France  Electronic address: mostefa bennaceur@univ-biskra dz </t>
  </si>
  <si>
    <t>Naceur, MB; Saouli, R; Akil, M; Kachouri, R</t>
  </si>
  <si>
    <t>10 1007/s40291-018-0366-4</t>
  </si>
  <si>
    <t xml:space="preserve">The Continuing Evolution of Molecular Functional Imaging in Clinical Oncology: The Road to Precision Medicine and Radiogenomics (Part I) </t>
  </si>
  <si>
    <t xml:space="preserve">The present era of precision medicine sees 'cancer' as a consequence of molecular derangements occurring at the commencement of the disease process, with morphologic changes happening much later in the process of tumorigenesis  Conventional imaging techniques, such as computed tomography (CT), ultrasound, and magnetic resonance imaging (MRI), play an integral role in the detection of disease at a macroscopic level  However, molecular functional imaging (MFI) techniques entail the visualisation and quantification of biochemical and physiological processes occurring during tumorigenesis, and thus has the potential to play a key role in heralding the transition from the concept of 'one size fits all' to 'precision medicine'  Integration of MFI with other fields of tumour biology such as genomics has spawned a novel concept called 'radiogenomics', which could serve as an indispensable tool in translational cancer research  With recent advances in medical image processing, such as texture analysis, deep learning, and artificial intelligence (AI), the future seems promising; however, their clinical utility remains unproven at present  Despite the emergence of novel imaging biomarkers, a majority of these require validation before clinical translation is possible  In this two-part review, we discuss the systematic collaboration across structural, anatomical, and molecular imaging techniques that constitute MFI  Part I reviews positron emission tomography, radiogenomics, AI, and optical imaging, while part II reviews MRI, CT and ultrasound, their current status, and recent advances in the field of precision oncology </t>
  </si>
  <si>
    <t>abdominal,head and neck,breast,musculoskeletal</t>
  </si>
  <si>
    <t>mixed (more than one radiological technique)</t>
    <phoneticPr fontId="0" type="noConversion"/>
  </si>
  <si>
    <t>Molecular diagnosis &amp; therapy</t>
  </si>
  <si>
    <t xml:space="preserve">Department of Radiodiagnosis and Imaging, Tata Memorial Hospital, Tata Memorial Centre, Room no  125, Dr E Borges Road, Parel, Mumbai, Maharashtra, 400012, India </t>
  </si>
  <si>
    <t>Vaidya, T; Agrawal, A; Mahajan, S; Thakur, MH; Mahajan, A</t>
  </si>
  <si>
    <t>101264260</t>
  </si>
  <si>
    <t>10 2214/AJR 18 20331</t>
  </si>
  <si>
    <t xml:space="preserve">What Does Deep Learning See? Insights From a Classifier Trained to Predict Contrast Enhancement Phase From CT Images </t>
  </si>
  <si>
    <t xml:space="preserve">Deep learning has shown great promise for improving medical image classification tasks  However, knowing what aspects of an image the deep learning system uses or, in a manner of speaking, sees to make its prediction is difficult Within a radiologic imaging context, we investigated the utility of methods designed to identify features within images on which deep learning activates  In this study, we developed a classifier to identify contrast enhancement phase from whole-slice CT data  We then used this classifier as an easily interpretable system to explore the utility of class activation map (CAMs), gradient-weighted class activation maps (Grad-CAMs), saliency maps, guided backpropagation maps, and the saliency activation map, a novel map reported here, to identify image features the model used when performing prediction All techniques identified voxels within imaging that the classifier used  SAMs had greater specificity than did guided backpropagation maps, CAMs, and Grad-CAMs at identifying voxels within imaging that the model used to perform prediction  At shallow network layers, SAMs had greater specificity than Grad-CAMs at identifying input voxels that the layers within the model used to perform prediction As a whole, voxel-level visualizations and visualizations of the imaging features that activate shallow network layers are powerful techniques to identify features that deep learning models use when performing prediction </t>
  </si>
  <si>
    <t>CNN,VGG, ResNet, Inception, DenseNet</t>
  </si>
  <si>
    <t>preprocessing</t>
    <phoneticPr fontId="0" type="noConversion"/>
  </si>
  <si>
    <t xml:space="preserve">1 Department of Radiology, Radiology Informatics Laboratory, Mayo Clinic, 3507 17th Ave NW, Rochester, MN 55901 </t>
  </si>
  <si>
    <t>Philbrick, KA; Yoshida, K; Inoue, D; Akkus, Z; Kline, TL; Weston, AD; Korfiatis, P; Takahashi, N; Erickson, BJ</t>
  </si>
  <si>
    <t>10 1007/s00330-018-5791-6</t>
  </si>
  <si>
    <t xml:space="preserve">Forensic age estimation for pelvic X-ray images using deep learning </t>
  </si>
  <si>
    <t xml:space="preserve">To develop a deep learning bone age assessment model based on pelvic radiographs for forensic age estimation and compare its performance to that of the existing cubic regression model A retrospective collection data of 1875 clinical pelvic radiographs between 10 and 25 years of age was obtained to develop the model  Model performance was assessed by comparing the testing results to estimated ages calculated directly using the existing cubic regression model based on ossification staging methods  The mean absolute error (MAE) and root-mean-squared error (RMSE) between the estimated ages and chronological age were calculated for both models For all test samples (between 10 and 25 years old), the mean MAE and RMSE between the automatic estimates using the proposed deep learning model and the reference standard were 0 94 and 1 30 years, respectively  For the test samples comparable to those of the existing cubic regression model (between 14 and 22 years old), the mean MAE and RMSE for the deep learning model were 0 89 and 1 21 years, respectively  For the existing cubic regression model, the mean MAE and RMSE were 1 05 and 1 61 years, respectively The deep learning convolutional neural network model achieves performance on par with the existing cubic regression model, demonstrating predictive ability capable of automated skeletal bone assessment based on pelvic radiographic images • The pelvis has considerable value in determining the bone age  • Deep learning can be used to create an automated bone age assessment model based on pelvic radiographs  • The deep learning convolutional neural network model achieves performance on par with the existing cubic regression model </t>
  </si>
  <si>
    <t xml:space="preserve">Department of Forensic Genetics, West China School of Preclinical and Forensic Medicine, Sichuan University, Chengdu, 610041, Sichuan, People's Republic of China </t>
  </si>
  <si>
    <t>Li, Y; Huang, Z; Dong, X; Liang, W; Xue, H; Zhang, L; Zhang, Y; Deng, Z</t>
  </si>
  <si>
    <t>10 1038/s41433-018-0269-y</t>
  </si>
  <si>
    <t xml:space="preserve">Fundus photograph-based deep learning algorithms in detecting diabetic retinopathy </t>
  </si>
  <si>
    <t xml:space="preserve">Remarkable advances in biomedical research have led to the generation of large amounts of data  Using artificial intelligence, it has become possible to extract meaningful information from large volumes of data, in a shorter frame of time, with very less human interference  In effect, convolutional neural networks (a deep learning method) have been taught to recognize pathological lesions from images  Diabetes has high morbidity, with millions of people who need to be screened for diabetic retinopathy (DR)  Deep neural networks offer a great advantage of screening for DR from retinal images, in improved identification of DR lesions and risk factors for diseases, with high accuracy and reliability  This review aims to compare the current evidences on various deep learning models for diagnosis of diabetic retinopathy (DR) </t>
  </si>
  <si>
    <t>Eye (London, England)</t>
  </si>
  <si>
    <t xml:space="preserve">Shri Bhagwan Mahavir Vitreoretinal Services, Sankara Nethralaya, Chennai, 600006, India  rajivpgraman@gmail com </t>
  </si>
  <si>
    <t>Raman, R; Srinivasan, S; Virmani, S; Sivaprasad, S; Rao, C; Rajalakshmi, R</t>
  </si>
  <si>
    <t>8703986</t>
  </si>
  <si>
    <t>10 1186/s12886-018-0954-4</t>
  </si>
  <si>
    <t xml:space="preserve">Fundus images analysis using deep features for detection of exudates, hemorrhages and microaneurysms </t>
  </si>
  <si>
    <t xml:space="preserve">Convolution neural networks have been considered for automatic analysis of fundus images to detect signs of diabetic retinopathy but suffer from low sensitivity This study has proposed an alternate method using probabilistic output from Convolution neural network to automatically and simultaneously detect exudates, hemorrhages and microaneurysms  The method was evaluated using two approaches: patch and image-based analysis of the fundus images on two public databases: DIARETDB1 and e-Ophtha  The novelty of the proposed method is that the images were analyzed using probability maps generated by score values of the softmax layer instead of the use of the binary output The sensitivity of the proposed approach was 0 96, 0 84 and 0 85 for detection of exudates, hemorrhages and microaneurysms, respectively when considering patch-based analysis  The results show overall accuracy for DIARETDB1 was 97 3% and 86 6% for e-Ophtha  The error rate for image-based analysis was also significantly reduced when compared with other works The proposed method provides the framework for convolution neural network-based analysis of fundus images to identify exudates, hemorrhages, and microaneurysms  It obtained accuracy and sensitivity which were significantly better than the reported studies and makes it suitable for automatic diabetic retinopathy signs detection </t>
  </si>
  <si>
    <t>BMC ophthalmology</t>
  </si>
  <si>
    <t xml:space="preserve">Biosignal Lab, School of Engineering, RMIT University, Melbourne, Australia </t>
  </si>
  <si>
    <t>Khojasteh, P; Aliahmad, B; Kumar, DK</t>
  </si>
  <si>
    <t>100967802</t>
  </si>
  <si>
    <t>10 1371/journal pmed 1002683</t>
  </si>
  <si>
    <t xml:space="preserve">Variable generalization performance of a deep learning model to detect pneumonia in chest radiographs: A cross-sectional study </t>
  </si>
  <si>
    <t xml:space="preserve">There is interest in using convolutional neural networks (CNNs) to analyze medical imaging to provide computer-aided diagnosis (CAD)  Recent work has suggested that image classification CNNs may not generalize to new data as well as previously believed  We assessed how well CNNs generalized across three hospital systems for a simulated pneumonia screening task A cross-sectional design with multiple model training cohorts was used to evaluate model generalizability to external sites using split-sample validation  A total of 158,323 chest radiographs were drawn from three institutions: National Institutes of Health Clinical Center (NIH; 112,120 from 30,805 patients), Mount Sinai Hospital (MSH; 42,396 from 12,904 patients), and Indiana University Network for Patient Care (IU; 3,807 from 3,683 patients)  These patient populations had an age mean (SD) of 46 9 years (16 6), 63 2 years (16 5), and 49 6 years (17) with a female percentage of 43 5%, 44 8%, and 57 3%, respectively  We assessed individual models using the area under the receiver operating characteristic curve (AUC) for radiographic findings consistent with pneumonia and compared performance on different test sets with DeLong's test  The prevalence of pneumonia was high enough at MSH (34 2%) relative to NIH and IU (1 2% and 1 0%) that merely sorting by hospital system achieved an AUC of 0 861 (95% CI 0 855-0 866) on the joint MSH-NIH dataset  Models trained on data from either NIH or MSH had equivalent performance on IU (P values 0 580 and 0 273, respectively) and inferior performance on data from each other relative to an internal test set (i e , new data from within the hospital system used for training data; P values both &lt;0 001)  The highest internal performance was achieved by combining training and test data from MSH and NIH (AUC 0 931, 95% CI 0 927-0 936), but this model demonstrated significantly lower external performance at IU (AUC 0 815, 95% CI 0 745-0 885, P = 0 001)  To test the effect of pooling data from sites with disparate pneumonia prevalence, we used stratified subsampling to generate MSH-NIH cohorts that only differed in disease prevalence between training data sites  When both training data sites had the same pneumonia prevalence, the model performed consistently on external IU data (P = 0 88)  When a 10-fold difference in pneumonia rate was introduced between sites, internal test performance improved compared to the balanced model (10× MSH risk P &lt; 0 001; 10× NIH P = 0 002), but this outperformance failed to generalize to IU (MSH 10× P &lt; 0 001; NIH 10× P = 0 027)  CNNs were able to directly detect hospital system of a radiograph for 99 95% NIH (22,050/22,062) and 99 98% MSH (8,386/8,388) radiographs  The primary limitation of our approach and the available public data is that we cannot fully assess what other factors might be contributing to hospital system-specific biases Pneumonia-screening CNNs achieved better internal than external performance in 3 out of 5 natural comparisons  When models were trained on pooled data from sites with different pneumonia prevalence, they performed better on new pooled data from these sites but not on external data  CNNs robustly identified hospital system and department within a hospital, which can have large differences in disease burden and may confound predictions </t>
  </si>
  <si>
    <t>X-ray</t>
    <phoneticPr fontId="0" type="noConversion"/>
  </si>
  <si>
    <t>CNN,ResNet,DenseNet</t>
  </si>
  <si>
    <t xml:space="preserve">Department of Medicine, California Pacific Medical Center, San Francisco, California, United States of America </t>
  </si>
  <si>
    <t>Zech, JR; Badgeley, MA; Liu, M; Costa, AB; Titano, JJ; Oermann, EK</t>
  </si>
  <si>
    <t>10 1093/gigascience/giy130</t>
  </si>
  <si>
    <t xml:space="preserve">Transfer learning improves resting-state functional connectivity pattern analysis using convolutional neural networks </t>
  </si>
  <si>
    <t xml:space="preserve">Deep learning is gaining importance in the prediction of cognitive states and brain pathology based on neuroimaging data  Including multiple hidden layers in artificial neural networks enables unprecedented predictive power; however, the proper training of deep neural networks requires thousands of exemplars  Collecting this amount of data is not feasible in typical neuroimaging experiments  A handy solution to this problem, which has largely fallen outside the scope of deep learning applications in neuroimaging, is to repurpose deep networks that have already been trained on large datasets by fine-tuning them to target datasets/tasks with fewer exemplars  Here, we investigated how this method, called transfer learning, can aid age category classification and regression based on brain functional connectivity patterns derived from resting-state functional magnetic resonance imaging  We trained a connectome-convolutional neural network on a larger public dataset and then examined how the knowledge learned can be used effectively to perform these tasks on smaller target datasets collected with a different type of scanner and/or imaging protocol and pre-processing pipeline Age classification on the target datasets benefitted from transfer learning  Significant improvement (∼9%-13% increase in accuracy) was observed when the convolutional layers' weights were initialized based on the values learned on the public dataset and then fine-tuned to the target datasets  Transfer learning also appeared promising in improving the otherwise poor prediction of chronological age Transfer learning is a plausible solution to adapt convolutional neural networks to neuroimaging data with few exemplars and different data acquisition and pre-processing protocols </t>
  </si>
  <si>
    <t>Hungary</t>
  </si>
  <si>
    <t>GigaScience</t>
  </si>
  <si>
    <t xml:space="preserve">Brain Imaging Centre, Research Centre for Natural Sciences, Hungarian Academy of Sciences, Magyar tudósok körútja 2 , 1117 Budapest, Hungary </t>
  </si>
  <si>
    <t>Vakli, P; Deák-Meszlényi, RJ; Hermann, P; Vidnyánszky, Z</t>
  </si>
  <si>
    <t>101596872</t>
  </si>
  <si>
    <t>10 1016/j compbiomed 2018 10 011</t>
  </si>
  <si>
    <t xml:space="preserve">Automatic lung nodule detection using a 3D deep convolutional neural network combined with a multi-scale prediction strategy in chest CTs </t>
  </si>
  <si>
    <t xml:space="preserve">A novel computer-aided detection (CAD) scheme for lung nodule detection using a 3D deep convolutional neural network combined with a multi-scale prediction strategy is proposed to assist radiologists by providing a second opinion on accurate lung nodule detection, which is a crucial step in early diagnosis of lung cancer A 3D deep convolutional neural network (CNN) with multi-scale prediction was used to detect lung nodules after the lungs were segmented from chest CT scans, with a comprehensive method utilized  Compared with a 2D CNN, a 3D CNN can utilize richer spatial 3D contextual information and generate more discriminative features after being trained with 3D samples to fully represent lung nodules  Furthermore, a multi-scale lung nodule prediction strategy, including multi-scale cube prediction and cube clustering, is also proposed to detect extremely small nodules The proposed method was evaluated on 888 thin-slice scans with 1186 nodules in the LUNA16 database  All results were obtained via 10-fold cross-validation  Three options of the proposed scheme are provided for selection according to the actual needs  The sensitivity of the proposed scheme with the primary option reached 87 94% and 92 93% at one and four false positives per scan, respectively  Meanwhile, the competition performance metric (CPM) score is very satisfying (0 7967) The experimental results demonstrate the outstanding detection performance of the proposed nodule detection scheme  In addition, the proposed scheme can be extended to other medical image recognition fields </t>
  </si>
  <si>
    <t>thoracic</t>
    <phoneticPr fontId="0" type="noConversion"/>
  </si>
  <si>
    <t xml:space="preserve">School of Computer Engineering and Science, Shanghai University, Shanghai, 200444, China; Inner Mongolia Key Laboratory of Pattern Recognition and Intelligent Image Processing, School of Information Engineering, Inner Mongolia University of Science and Technology, Baotou, 014010, China </t>
  </si>
  <si>
    <t>Gu, Y; Lu, X; Yang, L; Zhang, B; Yu, D; Zhao, Y; Gao, L; Wu, L; Zhou, T</t>
  </si>
  <si>
    <t>10 1016/j media 2018 10 004</t>
  </si>
  <si>
    <t xml:space="preserve">Fully convolutional multi-scale residual DenseNets for cardiac segmentation and automated cardiac diagnosis using ensemble of classifiers </t>
  </si>
  <si>
    <t xml:space="preserve">Deep fully convolutional neural network (FCN) based architectures have shown great potential in medical image segmentation  However, such architectures usually have millions of parameters and inadequate number of training samples leading to over-fitting and poor generalization  In this paper, we present a novel DenseNet based FCN architecture for cardiac segmentation which is parameter and memory efficient  We propose a novel up-sampling path which incorporates long skip and short-cut connections to overcome the feature map explosion in conventional FCN based architectures  In order to process the input images at multiple scales and view points simultaneously, we propose to incorporate Inception module's parallel structures  We propose a novel dual loss function whose weighting scheme allows to combine advantages of cross-entropy and Dice loss leading to qualitative improvements in segmentation  We demonstrate computational efficacy of incorporating conventional computer vision techniques for region of interest detection in an end-to-end deep learning based segmentation framework  From the segmentation maps we extract clinically relevant cardiac parameters and hand-craft features which reflect the clinical diagnostic analysis and train an ensemble system for cardiac disease classification  We validate our proposed network architecture on three publicly available datasets, namely: (i) Automated Cardiac Diagnosis Challenge (ACDC-2017), (ii) Left Ventricular segmentation challenge (LV-2011), (iii) 2015 Kaggle Data Science Bowl cardiac challenge data  Our approach in ACDC-2017 challenge stood second place for segmentation and first place in automated cardiac disease diagnosis tasks with an accuracy of 100% on a limited testing set (n=50)  In the LV-2011 challenge our approach attained 0 74 Jaccard index, which is so far the highest published result in fully automated algorithms  In the Kaggle challenge our approach for LV volume gave a Continuous Ranked Probability Score (CRPS) of 0 0127, which would have placed us tenth in the original challenge  Our approach combined both cardiac segmentation and disease diagnosis into a fully automated framework which is computationally efficient and hence has the potential to be incorporated in computer-aided diagnosis (CAD) tools for clinical application </t>
  </si>
  <si>
    <t>CNN,DenseNet,FCN</t>
  </si>
  <si>
    <t xml:space="preserve">Department of Engineering Design, Indian Institute of Technology Madras, Chennai, India </t>
  </si>
  <si>
    <t>Khened, M; Kollerathu, VA; Krishnamurthi, G</t>
  </si>
  <si>
    <t>10 1007/s11548-018-1879-3</t>
  </si>
  <si>
    <t xml:space="preserve">Dual-modality multi-atlas segmentation of torso organs from [18F]FDG-PET/CT images </t>
  </si>
  <si>
    <t xml:space="preserve">Automated segmentation of torso organs from positron emission tomography/computed tomography (PET/CT) images is a prerequisite step for nuclear medicine image analysis  However, accurate organ segmentation from clinical PET/CT is challenging due to the poor soft tissue contrast in the low-dose CT image and the low spatial resolution of the PET image  To overcome these challenges, we developed a multi-atlas segmentation (MAS) framework for torso organ segmentation from 2-deoxy-2-[18F]fluoro-D-glucose PET/CT images Our key idea is to use PET information to compensate for the imperfect CT contrast and use surface-based atlas fusion to overcome the low PET resolution  First, all the organs are segmented from CT using a conventional MAS method, and then the abdomen region of the PET image is automatically cropped  Focusing on the cropped PET image, a refined MAS segmentation of the abdominal organs is performed, using a surface-based atlas fusion approach to reach subvoxel accuracy This method was validated based on 69 PET/CT images  The Dice coefficients of the target organs were between 0 80 and 0 96, and the average surface distances were between 1 58 and 2 44 mm  Compared to the CT-based segmentation, the PET-based segmentation gained a Dice increase of 0 06 and an ASD decrease of 0 38 mm  The surface-based atlas fusion leads to significant accuracy improvement for the liver and kidneys and saved ~ 10 min computation time compared to volumetric atlas fusion The presented method achieves better segmentation accuracy than conventional MAS method within acceptable computation time for clinical applications </t>
  </si>
  <si>
    <t xml:space="preserve">Department of Biomedical Engineering, Dalian University of Technology, Dalian, Liaoning, China </t>
  </si>
  <si>
    <t>Wang, H; Zhang, N; Huo, L; Zhang, B</t>
  </si>
  <si>
    <t>10 1007/s10916-018-1091-6</t>
  </si>
  <si>
    <t xml:space="preserve">A Deep Automated Skeletal Bone Age Assessment Model with Heterogeneous Features Learning </t>
  </si>
  <si>
    <t xml:space="preserve">Skeletal bone age assessment is a widely used standard procedure in both disease detection and growth prediction for children in endocrinology  Conventional manual assessment methods mainly rely on personal experience in observing X-ray images of left hand and wrist to calculate bone age, which show some intrinsic limitations from low efficiency to unstable accuracy  To address these problems, some automated methods based on image processing or machine learning have been proposed, while their performances are not satisfying enough yet in assessment accuracy  Motivated by the remarkable success of deep learning (DL) techniques in the fields of image classification and speech recognition, we develop a deep automated skeletal bone age assessment model based on convolutional neural networks (CNNs) and support vector regression (SVR) using multiple kernel learning (MKL) algorithm to process heterogeneous features in this paper  This deep framework has been constructed, not only exploring the X-ray images of hand and twist but also some other heterogeneous information like race and gender  The experiment results prove its better performance with higher bone age assessment accuracy on two different data sets compared with the state of the art, indicating that the fused heterogeneous features provide a better description of the degree of bones' maturation </t>
  </si>
  <si>
    <t xml:space="preserve">School of Computer Science and Engineering, Beihang, Beijing, 100191, China </t>
  </si>
  <si>
    <t>Tong, C; Liang, B; Li, J; Zheng, Z</t>
  </si>
  <si>
    <t>10 1007/s11548-018-1875-7</t>
  </si>
  <si>
    <t xml:space="preserve">Learning deep similarity metric for 3D MR-TRUS image registration </t>
  </si>
  <si>
    <t xml:space="preserve">The fusion of transrectal ultrasound (TRUS) and magnetic resonance (MR) images for guiding targeted prostate biopsy has significantly improved the biopsy yield of aggressive cancers  A key component of MR-TRUS fusion is image registration  However, it is very challenging to obtain a robust automatic MR-TRUS registration due to the large appearance difference between the two imaging modalities  The work presented in this paper aims to tackle this problem by addressing two challenges: (i) the definition of a suitable similarity metric and (ii) the determination of a suitable optimization strategy This work proposes the use of a deep convolutional neural network to learn a similarity metric for MR-TRUS registration  We also use a composite optimization strategy that explores the solution space in order to search for a suitable initialization for the second-order optimization of the learned metric  Further, a multi-pass approach is used in order to smooth the metric for optimization The learned similarity metric outperforms the classical mutual information and also the state-of-the-art MIND feature-based methods  The results indicate that the overall registration framework has a large capture range  The proposed deep similarity metric-based approach obtained a mean TRE of 3 86 mm (with an initial TRE of 16 mm) for this challenging problem A similarity metric that is learned using a deep neural network can be used to assess the quality of any given image registration and can be used in conjunction with the aforementioned optimization framework to perform automatic registration that is robust to poor initialization </t>
  </si>
  <si>
    <t>genitourinary</t>
    <phoneticPr fontId="0" type="noConversion"/>
  </si>
  <si>
    <t xml:space="preserve">Department of Biomedical Engineering, Rensselaer Polytechnic Institute, Troy, NY, 12180, USA </t>
  </si>
  <si>
    <t>Haskins, G; Kruecker, J; Kruger, U; Xu, S; Pinto, PA; Wood, BJ; Yan, P</t>
  </si>
  <si>
    <t>10 1259/dmfr 20180218</t>
  </si>
  <si>
    <t xml:space="preserve">A deep-learning artificial intelligence system for assessment of root morphology of the mandibular first molar on panoramic radiography </t>
  </si>
  <si>
    <t xml:space="preserve">The distal root of the mandibular first molar occasionally has an extra root, which can directly affect the outcome of endodontic therapy  In this study, we examined the diagnostic performance of a deep learning system for classification of the root morphology of mandibular first molars on panoramic radiographs  Dental cone-beam CT (CBCT) was used as the gold standard CBCT images and panoramic radiographs of 760 mandibular first molars from 400 patients who had not undergone root canal treatments were analyzed  Distal roots were examined on CBCT images to determine the presence of a single or extra root  Image patches of the roots were segmented from panoramic radiographs and applied to a deep learning system, and its diagnostic performance in the classification of root morphplogy was examined Extra roots were observed in 21 4% of distal roots on CBCT images  The deep learning system had diagnostic accuracy of 86 9% for the determination of whether distal roots were single or had extra roots The deep learning system showed high accuracy in the differential diagnosis of a single or extra root in the distal roots of mandibular first molars </t>
  </si>
  <si>
    <t>CNN,AlexNet,GoogleNet</t>
  </si>
  <si>
    <t>characterization-identification</t>
    <phoneticPr fontId="0" type="noConversion"/>
  </si>
  <si>
    <t xml:space="preserve">1 Department of Oral and Maxillofacial Radiology, Aichi-Gakuin University School of Dentistry , Nagoya , Japan </t>
  </si>
  <si>
    <t>Hiraiwa, T; Ariji, Y; Fukuda, M; Kise, Y; Nakata, K; Katsumata, A; Fujita, H; Ariji, E</t>
  </si>
  <si>
    <t>10 1038/s41598-018-34300-2</t>
  </si>
  <si>
    <t xml:space="preserve">Deep learning enables automated scoring of liver fibrosis stages </t>
  </si>
  <si>
    <t xml:space="preserve">Current liver fibrosis scoring by computer-assisted image analytics is not fully automated as it requires manual preprocessing (segmentation and feature extraction) typically based on domain knowledge in liver pathology  Deep learning-based algorithms can potentially classify these images without the need for preprocessing through learning from a large dataset of images  We investigated the performance of classification models built using a deep learning-based algorithm pre-trained using multiple sources of images to score liver fibrosis and compared them against conventional non-deep learning-based algorithms - artificial neural networks (ANN), multinomial logistic regression (MLR), support vector machines (SVM) and random forests (RF)  Automated feature classification and fibrosis scoring were achieved by using a transfer learning-based deep learning network, AlexNet-Convolutional Neural Networks (CNN), with balanced area under receiver operating characteristic (AUROC) values of up to 0 85-0 95 versus ANN (AUROC of up to 0 87-1 00), MLR (AUROC of up to 0 73-1 00), SVM (AUROC of up to 0 69-0 99) and RF (AUROC of up to 0 94-0 99)  Results indicate that a deep learning-based algorithm with transfer learning enables the construction of a fully automated and accurate prediction model for scoring liver fibrosis stages that is comparable to other conventional non-deep learning-based algorithms that are not fully automated </t>
  </si>
  <si>
    <t>CNN,AlexNet,ANN</t>
  </si>
  <si>
    <t xml:space="preserve">Institute of Bioengineering and Nanotechnology, Agency for Science, Technology and Research (A*STAR), Singapore, 138669, Singapore </t>
  </si>
  <si>
    <t>Yu, Y; Wang, J; Ng, CW; Ma, Y; Mo, S; Fong, ELS; Xing, J; Song, Z; Xie, Y; Si, K; Wee, A; Welsch, RE; So, PTC; Yu, H</t>
  </si>
  <si>
    <t>10 1002/mp 13268</t>
  </si>
  <si>
    <t xml:space="preserve">Automatic tumor segmentation in breast ultrasound images using a dilated fully convolutional network combined with an active contour model </t>
  </si>
  <si>
    <t xml:space="preserve">Due to the low contrast, blurry boundaries, and large amount of shadows in breast ultrasound (BUS) images, automatic tumor segmentation remains a challenging task  Deep learning provides a solution to this problem, since it can effectively extract representative features from lesions and the background in BUS images A novel automatic tumor segmentation method is proposed by combining a dilated fully convolutional network (DFCN) with a phase-based active contour (PBAC) model  The DFCN is an improved fully convolutional neural network with dilated convolution in deeper layers, fewer parameters, and batch normalization techniques; and has a large receptive field that can separate tumors from background  The predictions made by the DFCN are relatively rough due to blurry boundaries and variations in tumor sizes; thus, the PBAC model, which adds both region-based and phase-based energy functions, is applied to further improve segmentation results  The DFCN model is trained and tested in dataset 1 which contains 570 BUS images from 89 patients  In dataset 2, a 10-fold support vector machine (SVM) classifier is employed to verify the diagnostic ability using 460 features extracted from the segmentation results of the proposed method Advantages of the present method were compared with three state-of-the-art networks; the FCN-8s, U-net, and dilated residual network (DRN)  Experimental results from 170 BUS images show that the proposed method had a Dice Similarity coefficient of 88 97 ± 10 01%, a Hausdorff distance (HD) of 35 54 ± 29 70 pixels, and a mean absolute deviation (MAD) of 7 67 ± 6 67 pixels, which showed the best segmentation performance  In dataset 2, the area under curve (AUC) of the 10-fold SVM classifier was 0 795 which is similar to the classification using the manual segmentation results The proposed automatic method may be sufficiently accurate, robust, and efficient for medical ultrasound applications </t>
  </si>
  <si>
    <t>RETROSPECTIVE</t>
    <phoneticPr fontId="0" type="noConversion"/>
  </si>
  <si>
    <t xml:space="preserve">Departmentof Electronic Engineering, Fudan University, Shanghai, 200433, China </t>
  </si>
  <si>
    <t>Hu, Y; Guo, Y; Wang, Y; Yu, J; Li, J; Zhou, S; Chang, C</t>
  </si>
  <si>
    <t xml:space="preserve">[Radiological evaluation of advanced gastric cancer: from image to big data radiomics] </t>
  </si>
  <si>
    <t xml:space="preserve">Following the increased demand of personalized medicine to precise radiology in advanced gastric cancer, there is particular need for objective and powerful surrogate to help the gastro-radiology to break through the bottleneck of imaging resolution and the defect of subjective diagnosis, which can further improve the efficacy of staging and response evaluation  On the basis of the existing imaging resolution, the radiomics can perform massive data mining through texture analysis and big data, using artificial intelligence deep learning and other algorithms to screen and integrate images and clinical features for modeling and diagnosis, which may further improve the efficacy of staging and response evaluation theoretically  In this paper, we focused on gastro-radiology and radiomics, and reviewed five dimensions progressively: (1) As the first choice for staging and response evaluation, CT application is limited by radiologists' ability to excavate image features and information integration, which needs more powerful image processing method  (2) Radiomics texture analysis can provide massive objective image information that can not be identified by the radiologists' naked eye  It is more detailed and provides quantitative evaluation of the characteristics of tumors better than the radiologists' subjective vision analysis, which can dig potential microscopic information  In the recent two years, the research on the application has been progressing rapidly, covering almost all the solid tumors, and solving the various clinical focuses using entropy, skewness, heterogeneity and other texture analysis indicators  (3) The research progress of radiomics in gastric cancer from the following three directions was summarized: differential diagnosis and biological behavior analysis, staging, and response prediction and evaluation  The current research confirmed the high efficiency of radiomics and texture analysis in differentiating different types, stages and responders of gastric cancer, which can act at least as an important supplement for the subjective evaluation of the radiologists (4) The congenital defects of radiomics and the current problems on research were summarized, in order to avoid misuse and pitfalls  (5) The radiologists need not to worry about being replaced in the expectation of the future AI radiomics; on the contrary, AI radiomics will be a good assistant  The radiologist should actively take part in the MDT and cooperate with multi-center colleagues to promote the development of large data radiomics in gastric cancer </t>
  </si>
  <si>
    <t>Zhonghua wei chang wai ke za zhi = Chinese journal of gastrointestinal surgery</t>
  </si>
  <si>
    <t xml:space="preserve">Department of Radiology, Key Laboratory of Carcinogenesis and Translational Research(Ministry of Education), Peking University Cancer Hospital and Institute, Beijing 100142, China Email: terrytang78@163 com </t>
  </si>
  <si>
    <t>Tang, L</t>
  </si>
  <si>
    <t>101177990</t>
  </si>
  <si>
    <t>10 1007/s11548-018-1876-6</t>
  </si>
  <si>
    <t xml:space="preserve">Classification of contrast-enhanced spectral mammography (CESM) images </t>
  </si>
  <si>
    <t xml:space="preserve">Contrast-enhanced spectral mammography (CESM) is a recently developed breast imaging technique  CESM relies on dual-energy acquisition following contrast agent injection to improve mammography sensitivity  CESM is comparable to contrast-enhanced MRI in terms of sensitivity, at a fraction of the cost  However, since lesion variability is large, even with the improved visibility provided by CESM, differentiation between benign and malignant enhancement is not accurate and a biopsy is usually performed for final assessment  Breast biopsies can be stressful to the patient and are expensive to healthcare systems  Moreover, as the biopsies results are most of the time benign, a specificity improvement in the radiologist diagnosis is required  This work presents a deep learning-based decision support system, which aims at improving the specificity of breast cancer diagnosis by CESM without affecting sensitivity We compare two analysis approaches, fine-tuning a pretrained network and fully training a convolutional neural network, for classification of CESM breast mass as benign or malignant  Breast Imaging Reporting and Data Systems (BIRADS) is a radiological lexicon, used with breast images, to categorize lesions  We improve each classification network by incorporating BIRADS textual features as an additional input to the network  We evaluate two ways of BIRADS fusion as network input: feature fusion and decision fusion  This leads to multimodal network architectures  At classification, we also exploit information from apparently normal breast tissue in the CESM of the considered patient, leading to a patient-specific classification We evaluate performance using fivefold cross-validation, on 129 randomly selected breast lesions annotated by an experienced radiologist  Each annotation includes a contour of the mass in the image, biopsy-proven label of benign or malignant lesion and BIRADS descriptors  At 100% sensitivity, specificity of 66% was achieved using a multimodal network, which combines inputs at feature level and patient-specific classification The presented multimodal network may significantly reduce benign biopsies, without compromising sensitivity </t>
  </si>
  <si>
    <t>radiology</t>
    <phoneticPr fontId="0" type="noConversion"/>
  </si>
  <si>
    <t>Israel</t>
    <phoneticPr fontId="0" type="noConversion"/>
  </si>
  <si>
    <t xml:space="preserve">School of Electrical Engineering, Tel Aviv University, Tel Aviv, Israel  shaked rose@gmail com </t>
  </si>
  <si>
    <t>Perek, S; Kiryati, N; Zimmerman-Moreno, G; Sklair-Levy, M; Konen, E; Mayer, A</t>
  </si>
  <si>
    <t>10 1016/j neuroimage 2018 10 054</t>
  </si>
  <si>
    <t xml:space="preserve">Deep neural network predicts emotional responses of the human brain from functional magnetic resonance imaging </t>
  </si>
  <si>
    <t xml:space="preserve">An artificial neural network with multiple hidden layers (known as a deep neural network, or DNN) was employed as a predictive model (DNNp) for the first time to predict emotional responses using whole-brain functional magnetic resonance imaging (fMRI) data from individual subjects  During fMRI data acquisition, 10 healthy participants listened to 80 International Affective Digital Sound stimuli and rated their own emotions generated by each sound stimulus in terms of the arousal, dominance, and valence dimensions  The whole-brain spatial patterns from a general linear model (i e , beta-valued maps) for each sound stimulus and the emotional response ratings were used as the input and output for the DNNP, respectively  Based on a nested five-fold cross-validation scheme, the paired input and output data were divided into training (three-fold), validation (one-fold), and test (one-fold) data  The DNNP was trained and optimized using the training and validation data and was tested using the test data  The Pearson's correlation coefficients between the rated and predicted emotional responses from our DNNP model with weight sparsity optimization (mean ± standard error 0 52 ± 0 02 for arousal, 0 51 ± 0 03 for dominance, and 0 51 ± 0 03 for valence, with an input denoising level of 0 3 and a mini-batch size of 1) were significantly greater than those of DNN models with conventional regularization schemes including elastic net regularization (0 15 ± 0 05, 0 15 ± 0 06, and 0 21 ± 0 04 for arousal, dominance, and valence, respectively), those of shallow models including logistic regression (0 11 ± 0 04, 0 10 ± 0 05, and 0 17 ± 0 04 for arousal, dominance, and valence, respectively; average of logistic regression and sparse logistic regression), and those of support vector machine-based predictive models (SVMps; 0 12 ± 0 06, 0 06 ± 0 06, and 0 10 ± 0 06 for arousal, dominance, and valence, respectively; average of linear and non-linear SVMps)  This difference was confirmed to be significant with a Bonferroni-corrected p-value of less than 0 001 from a one-way analysis of variance (ANOVA) and subsequent paired t-test  The weights of the trained DNNPs were interpreted and input patterns that maximized or minimized the output of the DNNPs (i e , the emotional responses) were estimated  Based on a binary classification of each emotion category (e g , high arousal vs  low arousal), the error rates for the DNNP (31 2% ± 1 3% for arousal, 29 0% ± 1 7% for dominance, and 28 6% ± 3 0% for valence) were significantly lower than those for the linear SVMP (44 7% ± 2 0%, 50 7% ± 1 7%, and 47 4% ± 1 9% for arousal, dominance, and valence, respectively) and the non-linear SVMP (48 8% ± 2 3%, 52 2% ± 1 9%, and 46 4% ± 1 3% for arousal, dominance, and valence, respectively), as confirmed by the Bonferroni-corrected p &lt; 0 001 from the one-way ANOVA  Our study demonstrates that the DNNp model is able to reveal neuronal circuitry associated with human emotional processing - including structures in the limbic and paralimbic areas, which include the amygdala, prefrontal areas, anterior cingulate cortex, insula, and caudate  Our DNNp model was also able to use activation patterns in these structures to predict and classify emotional responses to stimuli </t>
  </si>
  <si>
    <t xml:space="preserve">Department of Brain and Cognitive Engineering, Korea University, Anam-ro 145, Seongbuk-gu, Seoul, 02841, Republic of Korea </t>
  </si>
  <si>
    <t>Kim, HC; Bandettini, PA; Lee, JH</t>
  </si>
  <si>
    <t>10 1002/mp 13258</t>
  </si>
  <si>
    <t xml:space="preserve">High quality imaging from sparsely sampled computed tomography data with deep learning and wavelet transform in various domains </t>
  </si>
  <si>
    <t xml:space="preserve">Sparsely sampled computed tomography (CT) has been attracting attention as a technique that can reduce the high radiation dose of conventional CT  In general, iterative reconstruction techniques have been applied to sparsely sampled CT to realize high quality images  These methodologies require high computing power due to the modeling of the system and the trajectory of radiation rays  Therefore, the purpose of this study was to obtain high quality three-dimensional (3D) reconstructed images with deep learning under sparse sampling conditions We used a deep learning model based on a fully convolutional network and a wavelet transform to predict high quality images  To reduce the spatial resolution loss of predicted images, we replaced the pooling layer with a wavelet transform  Three different domains were evaluated - the sinogram domain, the image domain, and the hybrid domain - to optimize a reconstruction technique based on deep learning  To train and develop a deep learning model, The Cancer Imaging Archive (TCIA) dataset was used Streak artifacts, which generally occur under sparse sampling conditions, were effectively removed from deep learning-based sparsely sampled reconstructed images  However, image characteristics of fine structures varied depending on the application of deep learning technologies  The use of deep learning techniques in the sinogram domain removed streak artifacts well, but some image noise remained  Likewise, when applying deep learning technology to the image domain, a blurring effect occurred  The proposed hybrid domain sparsely sampled reconstruction based on deep learning was able to restore images to a quality similar to fully sampled images  The structural similarity (SSIM) index values of sparsely sampled CT reconstruction based on deep learning technology were 0 85 or higher  Among the three domains studied, the hybrid domain techniques achieved the highest SSIM index values (0 9 or more) We proposed a method of sparsely sampled CT reconstruction from a new perspective - unlike iterative reconstruction  In addition, we developed an optimal deep learning-based sparse sampling reconstruction technique by evaluating image quality with deep learning technologies </t>
  </si>
  <si>
    <t xml:space="preserve">CNN,Unet,FCN </t>
  </si>
  <si>
    <t xml:space="preserve">Department of Radiation Convergence Engineering, Research Institute of Health Science, Yonsei Univeristy, 1 Yonseidae-gil, Wonju, Gangwon, 26493, Korea </t>
  </si>
  <si>
    <t>Lee, D; Choi, S; Kim, HJ</t>
  </si>
  <si>
    <t>10 1161/CIRCULATIONAHA 118 034338</t>
  </si>
  <si>
    <t xml:space="preserve">Fully Automated Echocardiogram Interpretation in Clinical Practice </t>
  </si>
  <si>
    <t xml:space="preserve">Automated cardiac image interpretation has the potential to transform clinical practice in multiple ways, including enabling serial assessment of cardiac function by nonexperts in primary care and rural settings  We hypothesized that advances in computer vision could enable building a fully automated, scalable analysis pipeline for echocardiogram interpretation, including (1) view identification, (2) image segmentation, (3) quantification of structure and function, and (4) disease detection Using 14 035 echocardiograms spanning a 10-year period, we trained and evaluated convolutional neural network models for multiple tasks, including automated identification of 23 viewpoints and segmentation of cardiac chambers across 5 common views  The segmentation output was used to quantify chamber volumes and left ventricular mass, determine ejection fraction, and facilitate automated determination of longitudinal strain through speckle tracking  Results were evaluated through comparison to manual segmentation and measurements from 8666 echocardiograms obtained during the routine clinical workflow  Finally, we developed models to detect 3 diseases: hypertrophic cardiomyopathy, cardiac amyloid, and pulmonary arterial hypertension Convolutional neural networks accurately identified views (eg, 96% for parasternal long axis), including flagging partially obscured cardiac chambers, and enabled the segmentation of individual cardiac chambers  The resulting cardiac structure measurements agreed with study report values (eg, median absolute deviations of 15% to 17% of observed values for left ventricular mass, left ventricular diastolic volume, and left atrial volume)  In terms of function, we computed automated ejection fraction and longitudinal strain measurements (within 2 cohorts), which agreed with commercial software-derived values (for ejection fraction, median absolute deviation=9 7% of observed, N=6407 studies; for strain, median absolute deviation=7 5%, n=419, and 9 0%, n=110) and demonstrated applicability to serial monitoring of patients with breast cancer for trastuzumab cardiotoxicity  Overall, we found automated measurements to be comparable or superior to manual measurements across 11 internal consistency metrics (eg, the correlation of left atrial and ventricular volumes)  Finally, we trained convolutional neural networks to detect hypertrophic cardiomyopathy, cardiac amyloidosis, and pulmonary arterial hypertension with C statistics of 0 93, 0 87, and 0 85, respectively Our pipeline lays the groundwork for using automated interpretation to support serial patient tracking and scalable analysis of millions of echocardiograms archived within healthcare systems </t>
  </si>
  <si>
    <t xml:space="preserve">Cardiovascular Research Institute (J Z , R C D ) </t>
  </si>
  <si>
    <t>Zhang, J; Gajjala, S; Agrawal, P; Tison, GH; Hallock, LA; Beussink-Nelson, L; Lassen, MH; Fan, E; Aras, MA; Jordan, C; Fleischmann, KE; Melisko, M; Qasim, A; Shah, SJ; Bajcsy, R; Deo, RC</t>
  </si>
  <si>
    <t>0147763</t>
  </si>
  <si>
    <t>10 1186/s41747-018-0061-6</t>
  </si>
  <si>
    <t xml:space="preserve">Artificial intelligence in medical imaging: threat or opportunity? Radiologists again at the forefront of innovation in medicine </t>
  </si>
  <si>
    <t xml:space="preserve">One of the most promising areas of health innovation is the application of artificial intelligence (AI), primarily in medical imaging  This article provides basic definitions of terms such as "machine/deep learning" and analyses the integration of AI into radiology  Publications on AI have drastically increased from about 100-150 per year in 2007-2008 to 700-800 per year in 2016-2017  Magnetic resonance imaging and computed tomography collectively account for more than 50% of current articles  Neuroradiology appears in about one-third of the papers, followed by musculoskeletal, cardiovascular, breast, urogenital, lung/thorax, and abdomen, each representing 6-9% of articles  With an irreversible increase in the amount of data and the possibility to use AI to identify findings either detectable or not by the human eye, radiology is now moving from a subjective perceptual skill to a more objective science  Radiologists, who were on the forefront of the digital era in medicine, can guide the introduction of AI into healthcare  Yet, they will not be replaced because radiology includes communication of diagnosis, consideration of patient's values and preferences, medical judgment, quality assurance, education, policy-making, and interventional procedures  The higher efficiency provided by AI will allow radiologists to perform more value-added tasks, becoming more visible to patients and playing a vital role in multidisciplinary clinical teams </t>
  </si>
  <si>
    <t>European radiology experimental</t>
  </si>
  <si>
    <t xml:space="preserve">Postgraduate School in Radiodiagnostics, Università degli Studi di Milano, Via Festa del Perdono 7, 20122, Milan, Italy </t>
  </si>
  <si>
    <t>Pesapane, F; Codari, M; Sardanelli, F</t>
  </si>
  <si>
    <t>101721752</t>
  </si>
  <si>
    <t>10 1002/jemt 23139</t>
  </si>
  <si>
    <t xml:space="preserve">Classification of acute lymphoblastic leukemia using deep learning </t>
  </si>
  <si>
    <t xml:space="preserve">Acute Leukemia is a life-threatening disease common both in children and adults that can lead to death if left untreated  Acute Lymphoblastic Leukemia (ALL) spreads out in children's bodies rapidly and takes the life within a few weeks  To diagnose ALL, the hematologists perform blood and bone marrow examination  Manual blood testing techniques that have been used since long time are often slow and come out with the less accurate diagnosis  This work improves the diagnosis of ALL with a computer-aided system, which yields accurate result by using image processing and deep learning techniques  This research proposed a method for the classification of ALL into its subtypes and reactive bone marrow (normal) in stained bone marrow images  A robust segmentation and deep learning techniques with the convolutional neural network are used to train the model on the bone marrow images to achieve accurate classification results  Experimental results thus obtained and compared with the results of other classifiers Naïve Bayesian, KNN, and SVM  Experimental results reveal that the proposed method achieved 97 78% accuracy  The obtained results exhibit that the proposed approach could be used as a tool to diagnose Acute Lymphoblastic Leukemia and its sub-types that will definitely assist pathologists </t>
  </si>
  <si>
    <t xml:space="preserve">College of Computer and Information Systems, Al Yamamah University, Riyadh, Saudi Arabia </t>
    <phoneticPr fontId="0" type="noConversion"/>
  </si>
  <si>
    <t>Rehman, A; Abbas, N; Saba, T; Rahman, SIU; Mehmood, Z; Kolivand, H</t>
  </si>
  <si>
    <t>10 1148/radiol 2018180901</t>
  </si>
  <si>
    <t xml:space="preserve">Deep Learning for MR Angiography: Automated Detection of Cerebral Aneurysms </t>
  </si>
  <si>
    <t xml:space="preserve">Purpose To develop and evaluate a supportive algorithm using deep learning for detecting cerebral aneurysms at time-of-flight MR angiography to provide a second assessment of images already interpreted by radiologists  Materials and Methods MR images reported by radiologists to contain aneurysms were extracted from four institutions for the period from November 2006 through October 2017  The images were divided into three data sets: training data set, internal test data set, and external test data set  The algorithm was constructed by deep learning with the training data set, and its sensitivity to detect aneurysms in the test data sets was evaluated  To find aneurysms that had been overlooked in the initial reports, two radiologists independently performed a blinded interpretation of aneurysm candidates detected by the algorithm  When there was disagreement, the final diagnosis was made in consensus  The number of newly detected aneurysms was also evaluated  Results The training data set, which provided training and validation data, included 748 aneurysms (mean size, 3 1 mm ± 2 0 [standard deviation]) from 683 examinations; 318 of these examinations were on male patients (mean age, 63 years ± 13) and 365 were on female patients (mean age, 64 years ± 13)  Test data were provided by the internal test data set (649 aneurysms [mean size, 4 1 mm ± 3 2] in 521 examinations, including 177 male patients and 344 female patients with mean age of 66 years ± 12 and 67 years ± 13, respectively) and the external test data set (80 aneurysms [mean size, 4 1 mm ± 2 1] in 67 examinations, including 19 male patients and 48 female patients with mean age of 63 years ± 12 and 68 years ± 12, respectively)  The sensitivity was 91% (592 of 649) and 93% (74 of 80) for the internal and external test data sets, respectively  The algorithm improved aneurysm detection in the internal and external test data sets by 4 8% (31 of 649) and 13% (10 of 80), respectively, compared with the initial reports  Conclusion A deep learning algorithm detected cerebral aneurysms in radiologic reports with high sensitivity and improved aneurysm detection compared with the initial reports  © RSNA, 2018 See also the editorial by Flanders in this issue </t>
  </si>
  <si>
    <t xml:space="preserve">From the Department of Diagnostic and Interventional Radiology (D U , A Y , T S , S D , A S , Y M ) and Department of Premier Preventive Medicine (S F ), Osaka City University Graduate School of Medicine, 1-4-3 Asahi-machi, Abeno-ku, Osaka 545-8585, Japan; LPixel, Tokyo, Japan (M N , A C , Y S ); and Department of Radiology, Osaka City University Hospital, Osaka, Japan (Y K ) </t>
  </si>
  <si>
    <t>Ueda, D; Yamamoto, A; Nishimori, M; Shimono, T; Doishita, S; Shimazaki, A; Katayama, Y; Fukumoto, S; Choppin, A; Shimahara, Y; Miki, Y</t>
  </si>
  <si>
    <t>0401260</t>
  </si>
  <si>
    <t>10 1007/s11517-018-1915-z</t>
  </si>
  <si>
    <t xml:space="preserve">The possibility of the combination of OCT and fundus images for improving the diagnostic accuracy of deep learning for age-related macular degeneration: a preliminary experiment </t>
  </si>
  <si>
    <t xml:space="preserve">Recently, researchers have built new deep learning (DL) models using a single image modality to diagnose age-related macular degeneration (AMD)  Retinal fundus and optical coherence tomography (OCT) images in clinical settings are the most important modalities investigating AMD  Whether concomitant use of fundus and OCT data in DL technique is beneficial has not been so clearly identified  This experimental analysis used OCT and fundus image data of postmortems from the Project Macula  The DL based on OCT, fundus, and combination of OCT and fundus were invented to diagnose AMD  These models consisted of pre-trained VGG-19 and transfer learning using random forest  Following the data augmentation and training process, the DL using OCT alone showed diagnostic efficiency with area under the curve (AUC) of 0 906 (95% confidence interval, 0 891-0 921) and 82 6% (81 0-84 3%) accuracy rate  The DL using fundus alone exhibited AUC of 0 914 (0 900-0 928) and 83 5% (81 8-85 0%) accuracy rate  Combined usage of the fundus with OCT increased the diagnostic power with AUC of 0 969 (0 956-0 979) and 90 5% (89 2-91 8%) accuracy rate  The Delong test showed that the DL using both OCT and fundus data outperformed the DL using OCT alone (P value &lt; 0 001) and fundus image alone (P value &lt; 0 001)  This multimodal random forest model showed even better performance than a restricted Boltzmann machine (P value = 0 002) and deep belief network algorithms (P value = 0 042)  According to Duncan's multiple range test, the multimodal methods significantly improved the performance obtained by the single-modal methods  In this preliminary study, a multimodal DL algorithm based on the combination of OCT and fundus image raised the diagnostic accuracy compared to this data alone  Future diagnostic DL needs to adopt the multimodal process to combine various types of imaging for a more precise AMD diagnosis  Graphical abstract The basic architectural structure of the tested multimodal deep learning model based on pre-trained deep convolutional neural network and random forest using the combination of OCT and fundus image </t>
  </si>
  <si>
    <t>CNN,VGG,MatConvNet,RBM,DBN</t>
  </si>
  <si>
    <t xml:space="preserve">Institute of Vision Research, Department of Ophthalmology, Yonsei University College of Medicine, 50-1 Yonsei-ro, Seodaemun-gu, Seoul, 03722, South Korea  eyetaekeunyoo@gmail com </t>
  </si>
  <si>
    <t>Yoo, TK; Choi, JY; Seo, JG; Ramasubramanian, B; Selvaperumal, S; Kim, DW</t>
  </si>
  <si>
    <t>10 1073/pnas 1806905115</t>
  </si>
  <si>
    <t xml:space="preserve">Deep neural network improves fracture detection by clinicians </t>
  </si>
  <si>
    <t xml:space="preserve">Suspected fractures are among the most common reasons for patients to visit emergency departments (EDs), and X-ray imaging is the primary diagnostic tool used by clinicians to assess patients for fractures  Missing a fracture in a radiograph often has severe consequences for patients, resulting in delayed treatment and poor recovery of function  Nevertheless, radiographs in emergency settings are often read out of necessity by emergency medicine clinicians who lack subspecialized expertise in orthopedics, and misdiagnosed fractures account for upward of four of every five reported diagnostic errors in certain EDs  In this work, we developed a deep neural network to detect and localize fractures in radiographs  We trained it to accurately emulate the expertise of 18 senior subspecialized orthopedic surgeons by having them annotate 135,409 radiographs  We then ran a controlled experiment with emergency medicine clinicians to evaluate their ability to detect fractures in wrist radiographs with and without the assistance of the deep learning model  The average clinician's sensitivity was 80 8% (95% CI, 76 7-84 1%) unaided and 91 5% (95% CI, 89 3-92 9%) aided, and specificity was 87 5% (95 CI, 85 3-89 5%) unaided and 93 9% (95% CI, 92 9-94 9%) aided  The average clinician experienced a relative reduction in misinterpretation rate of 47 0% (95% CI, 37 4-53 9%)  The significant improvements in diagnostic accuracy that we observed in this study show that deep learning methods are a mechanism by which senior medical specialists can deliver their expertise to generalists on the front lines of medicine, thereby providing substantial improvements to patient care </t>
  </si>
  <si>
    <t>Proceedings of the National Academy of Sciences of the United States of America</t>
  </si>
  <si>
    <t xml:space="preserve">Imagen Technologies, New York, NY 10012; rob@imagen ai </t>
  </si>
  <si>
    <t>Lindsey, R; Daluiski, A; Chopra, S; Lachapelle, A; Mozer, M; Sicular, S; Hanel, D; Gardner, M; Gupta, A; Hotchkiss, R; Potter, H</t>
  </si>
  <si>
    <t>7505876</t>
  </si>
  <si>
    <t>10 1186/s12917-018-1638-2</t>
  </si>
  <si>
    <t xml:space="preserve">A methodological approach for deep learning to distinguish between meningiomas and gliomas on canine MR-images </t>
  </si>
  <si>
    <t xml:space="preserve">Distinguishing between meningeal-based and intra-axial lesions by means of magnetic resonance (MR) imaging findings may occasionally be challenging  Meningiomas and gliomas account for most of the total primary brain neoplasms in dogs, and differentiating between these two forms is mandatory in choosing the correct therapy  The aims of the present study are: 1) to determine the accuracy of a deep convolutional neural network (CNN, GoogleNet) in discriminating between meningiomas and gliomas in pre- and post-contrast T1 images and T2 images; 2) to develop an image classifier, based on the combination of CNN and MRI sequence displaying the highest accuracy, to predict whether a lesion is a meningioma or a glioma Eighty cases with a final diagnosis of meningioma (n = 56) and glioma (n = 24) from two different institutions were included in the study  A pre-trained CNN was retrained on our data through a process called transfer learning  To evaluate CNN accuracy in the different imaging sequences, the dataset was divided into a training, a validation and a test set  The accuracy of the CNN was calculated on the test set  The combination between post-contrast T1 images and CNN was chosen in developing the image classifier (trCNN)  Ten images from challenging cases were excluded from the database in order to test trCNN accuracy; the trCNN was trained on the remainder of the dataset of post-contrast T1 images, and correctly classified all the selected images  To compensate for the imbalance between meningiomas and gliomas in the dataset, the Matthews correlation coefficient (MCC) was also calculated  The trCNN showed an accuracy of 94% (MCC = 0 88) on post-contrast T1 images, 91% (MCC = 0 81) on pre-contrast T1-images and 90% (MCC = 0 8) on T2 images The developed trCNN could be a reliable tool in distinguishing between different meningiomas and gliomas from MR images </t>
  </si>
  <si>
    <t>CNN,GoogleNet</t>
  </si>
  <si>
    <t>BMC veterinary research</t>
  </si>
  <si>
    <t xml:space="preserve">Department of Animal Medicine, Production and Health, University of Padua, Viale dell'Università 16, AGRIPOLIS, Legnaro, 35020, Padua, Italy </t>
  </si>
  <si>
    <t>Banzato, T; Bernardini, M; Cherubini, GB; Zotti, A</t>
  </si>
  <si>
    <t>101249759</t>
  </si>
  <si>
    <t>10 1109/ISBI 2018 8363713</t>
  </si>
  <si>
    <t xml:space="preserve">SEMI-SUPERVISED LEARNING FOR PELVIC MR IMAGE SEGMENTATION BASED ON MULTI-TASK RESIDUAL FULLY CONVOLUTIONAL NETWORKS </t>
  </si>
  <si>
    <t xml:space="preserve">Accurate segmentation of pelvic organs from magnetic resonance (MR) images plays an important role in image-guided radiotherapy  However, it is a challenging task due to inconsistent organ appearances and large shape variations  Fully convolutional network (FCN) has recently achieved state-of-the-art performance in medical image segmentation, but it requires a large amount of labeled data for training, which is usually difficult to obtain in real situation  To address these challenges, we propose a deep learning based semi-supervised learning framework  Specifically, we first train an initial multi-task residual fully convolutional network (FCN) based on a limited number of labeled MRI data  Based on the initially trained FCN, those unlabeled new data can be automatically segmented and some reasonable segmentations (after manual/automatic checking) can be included into the training data to fine-tune the network  This step can be repeated to progressively improve the training of our network, until no reasonable segmentations of new data can be included  Experimental results demonstrate the effectiveness of our proposed progressive semi-supervised learning fashion as well as its advantage in terms of accuracy </t>
  </si>
  <si>
    <t>Proceedings  IEEE International Symposium on Biomedical Imaging</t>
  </si>
  <si>
    <t xml:space="preserve">Department of Automation, Tsinghua University </t>
  </si>
  <si>
    <t>Feng, Z; Nie, D; Wang, L; Shen, D</t>
  </si>
  <si>
    <t>101492570</t>
  </si>
  <si>
    <t>10 6009/jjrt 2018_JSRT_74 10 1138</t>
  </si>
  <si>
    <t xml:space="preserve">[Automated Classification of Calcification and Stent on Computed Tomography Coronary Angiography Using Deep Learning] </t>
  </si>
  <si>
    <t xml:space="preserve">In computed tomography coronary angiography (CTCA), calcification and stent make it difficult to evaluate intravascular lumen  This is a cause of low positive-predictive value of coronary stenosis  Therefore, it is expected to develop a computer-aided diagnosis (CAD) system that can automatically detect stenosis in coronary arteries  The purpose of this study is to automatically recognize calcifications or stents in coronary arteries and classify them from the normal coronary artery in CTCA  We used 4960 coronary-cross-sectional images, which consisted of 1113 images with calcification, 1353 images with a stent, and 2494 normal artery images  These images were automatically classified using the deep convolutional neural network (LeNet, AlexNet, and GoogLeNet)  The classification accuracy of LeNet, AlexNet, and GoogLeNet were 58 4%, 75 9%, and 81 3%, respectively  The proposed method would be a fundamental technique of CAD in CTCA </t>
  </si>
  <si>
    <t>CT</t>
    <phoneticPr fontId="0" type="noConversion"/>
  </si>
  <si>
    <t>CNN,Alexnet,GoogleNet</t>
  </si>
  <si>
    <t>Nihon Hoshasen Gijutsu Gakkai zasshi</t>
  </si>
  <si>
    <t xml:space="preserve">School of Health Sciences, Faculty of Medicine, Niigata University </t>
  </si>
  <si>
    <t>Hasegawa, A; Lee, Y; Takeuchi, Y; Ichikawa, K</t>
  </si>
  <si>
    <t>jpn</t>
  </si>
  <si>
    <t>7505722</t>
  </si>
  <si>
    <t>10 1016/j ijmedinf 2018 08 009</t>
  </si>
  <si>
    <t xml:space="preserve">Extraction of BI-RADS findings from breast ultrasound reports in Chinese using deep learning approaches </t>
  </si>
  <si>
    <t xml:space="preserve">The wide adoption of electronic health record systems (EHRs) in hospitals in China has made large amounts of data available for clinical research including breast cancer  Unfortunately, much of detailed clinical information is embedded in clinical narratives e g , breast radiology reports  The American College of Radiology (ACR) has developed a Breast Imaging Reporting and Data System (BI-RADS) to standardize the clinical findings from breast radiology reports This study aims to develop natural language processing (NLP) methods to extract BI-RADS findings from breast ultrasound reports in Chinese, thus to support clinical operation and breast cancer research in China We developed and compared three different types of NLP approaches, including a rule-based method, a traditional machine learning-based method using the Conditional Random Fields (CRF) algorithm, and deep learning-based approaches, to extract all BI-RADS finding categories from breast ultrasound reports in Chinese Using a manually annotated dataset containing 540 reports, our evaluation shows that the deep learning-based method achieved the best F1-score of 0 904, when compared with rule-based and CRF-based approaches (0 848 and 0 881 respectively) This is the first study that applies deep learning technologies to BI-RADS findings extraction in Chinese breast ultrasound reports, demonstrating its potential on enabling international collaborations on breast cancer research </t>
    <phoneticPr fontId="0" type="noConversion"/>
  </si>
  <si>
    <t>RNN</t>
    <phoneticPr fontId="0" type="noConversion"/>
  </si>
  <si>
    <t xml:space="preserve">Department of Information, The First Affiliated Hospital of Nanjing Medical University &amp; Jiangsu Province Hospital, Nanjing, Jiangsu, China; Institute of Medical Informatics and Management, Nanjing Medical University, Nanjing, Jiangsu, China </t>
  </si>
  <si>
    <t>Miao, S; Xu, T; Wu, Y; Xie, H; Wang, J; Jing, S; Zhang, Y; Zhang, X; Yang, Y; Zhang, X; Shan, T; Wang, L; Xu, H; Wang, S; Liu, Y</t>
  </si>
  <si>
    <t>10 1002/mp 13247</t>
  </si>
  <si>
    <t xml:space="preserve">Technical Note: U-net-generated synthetic CT images for magnetic resonance imaging-only prostate intensity-modulated radiation therapy treatment planning </t>
  </si>
  <si>
    <t xml:space="preserve">Clinical implementation of magnetic resonance imaging (MRI)-only radiotherapy requires a method to derive synthetic CT image (S-CT) for dose calculation  This study investigated the feasibility of building a deep convolutional neural network for MRI-based S-CT generation and evaluated the dosimetric accuracy on prostate IMRT planning A paired CT and T2-weighted MR images were acquired from each of 51 prostate cancer patients  Fifteen pairs were randomly chosen as tested set and the remaining 36 pairs as training set  The training subjects were augmented by applying artificial deformations and feed to a two-dimensional U-net which contains 23 convolutional layers and 25 29 million trainable parameters  The U-net represents a nonlinear function with input an MR slice and output the corresponding S-CT slice  The mean absolute error (MAE) of Hounsfield unit (HU) between the true CT and S-CT images was used to evaluate the HU estimation accuracy  IMRT plans with dose 79 2 Gy prescribed to the PTV were applied using the true CT images  The true CT images then were replaced by the S-CT images and the dose matrices were recalculated on the same plan and compared to the one obtained from the true CT using gamma index analysis and absolute point dose discrepancy The U-net was trained from scratch in 58 67 h using a GP100-GPU  The computation time for generating a new S-CT volume image was 3 84-7 65 s  Within body, the (mean ± SD) of MAE was (29 96 ± 4 87) HU  The 1%/1 mm and 2%/2 mm gamma pass rates were over 98 03% and 99 36% respectively  The DVH parameters discrepancy was less than 0 87% and the maximum point dose discrepancy within PTV was less than 1 01% respect to the prescription The U-net can generate S-CT images from conventional MR image within seconds with high dosimetric accuracy for prostate IMRT plan </t>
  </si>
  <si>
    <t xml:space="preserve">Department of Radiation Oncology, William Beaumont Hospital, 3601 W  13 Mile Rd, Royal Oak, MI, 48073, USA </t>
  </si>
  <si>
    <t>Chen, S; Qin, A; Zhou, D; Yan, D</t>
  </si>
  <si>
    <t>10 1016/j compbiomed 2018 10 004</t>
  </si>
  <si>
    <t xml:space="preserve">Retinal image quality assessment using deep learning </t>
  </si>
  <si>
    <t xml:space="preserve">Poor-quality retinal images do not allow an accurate medical diagnosis, and it is inconvenient for a patient to return to a medical center to repeat the fundus photography exam  In this paper, a robust automatic system is proposed to assess the quality of retinal images at the moment of the acquisition, aiming at assisting health care professionals during a fundus photography exam  We propose a convolutional neural network (CNN) pretrained on non-medical images for extracting general image features  The weights of the CNN are further adjusted via a fine-tuning procedure, resulting in a performant classifier obtained only with a small quantity of labeled images  The CNN performance was evaluated on two publicly available databases (i e , DRIMDB and ELSA-Brasil) using two different procedures: intra-database and inter-database cross-validation  The CNN achieved an area under the curve (AUC) of 99 98% on DRIMDB and an AUC of 98 56% on ELSA-Brasil in the inter-database experiment, where training and testing were not performed on the same database  These results show the robustness of the proposed model to various image acquisitions without requiring special adaptation, thus making it a good candidate for use in operational clinical scenarios </t>
  </si>
  <si>
    <t>Spain</t>
    <phoneticPr fontId="0" type="noConversion"/>
  </si>
  <si>
    <t xml:space="preserve">Department of Control and Automation Engineering, Instituto Federal do Espírito Santo, Brazil  Electronic address: gabriel zago@ifes edu br </t>
  </si>
  <si>
    <t>Zago, GT; Andreão, RV; Dorizzi, B; Teatini Salles, EO</t>
  </si>
  <si>
    <t>10 1016/j compmedimag 2018 09 008</t>
  </si>
  <si>
    <t xml:space="preserve">Automatic localization of normal active organs in 3D PET scans </t>
  </si>
  <si>
    <t xml:space="preserve">PET imaging captures the metabolic activity of tissues and is commonly visually interpreted by clinicians for detecting cancer, assessing tumor progression, and evaluating response to treatment  To automate accomplishing these tasks, it is important to distinguish between normal active organs and activity due to abnormal tumor growth  In this paper, we propose a deep learning method to localize and detect normal active organs visible in a 3D PET scan field-of-view  Our method adapts the deep network architecture of YOLO to detect multiple organs in 2D slices and aggregates the results to produce semantically labeled 3D bounding boxes  We evaluate our method on 479 18F-FDG PET scans of 156 patients achieving an average organ detection precision of 75-98%, recall of 94-100%, average bounding box centroid localization error of less than 14 mm, wall localization error of less than 24 mm and a mean IOU of up to 72% </t>
  </si>
  <si>
    <t>abdominal,cardiac,head and neck</t>
  </si>
  <si>
    <t xml:space="preserve">Medical Image Analysis Lab, School of Computing Science, Simon Fraser University, Canada  Electronic address: safshari@sfu ca </t>
  </si>
  <si>
    <t>Afshari, S; BenTaieb, A; Hamarneh, G</t>
  </si>
  <si>
    <t>10 1016/j cmpb 2018 08 003</t>
  </si>
  <si>
    <t xml:space="preserve">The region of interest localization for glaucoma analysis from retinal fundus image using deep learning </t>
  </si>
  <si>
    <t xml:space="preserve">Retinal fundus image analysis without manual intervention has been rising as an imperative analytical approach for early detection of eye-related diseases such as glaucoma and diabetic retinopathy  For analysis and detection of Glaucoma and some other disease from retinal image, there is a significant role of predicting the bounding box coordinates of Optic Disc (OD) that acts as a Region of Interest (ROI) We reframe ROI detection as a solitary regression predicament, from image pixel values to ROI coordinates including class probabilities  A Convolution Neural Network (CNN) has trained on full images to predict bounding boxes along with their analogous probabilities and confidence scores  The publically available MESSIDOR and Kaggle datasets have been used to train the network  We adopted various data augmentation techniques to amplify our dataset so that our network becomes less sensitive to noise  From a very high-level perspective, every image is divided into a 13 × 13 grid  Every grid cell envisages 5 bounding boxes along with the corresponding class probability and a confidence score  Before training, the network and the bounding box priors or anchors are initialized using k-means clustering on the original dataset using a distance metric based on Intersection of the Union (IOU) over ground-truth bounding boxes  During training in fact, a sum-squared loss function is used as the prediction's error function  Finally, Non-maximum suppression is applied by the proposed methodology to reach the concluding prediction The following projected method accomplish an accuracy of 99 05% and 98 78% on the Kaggle and MESSIDOR test sets for ROI detection  Results of proposed methodology indicates that proposed network is able to perceive ROI in fundus images in 0 0045 s at 25 ms of latency, which is far better than the recent-time and using no handcrafted features The network predicts accurate results even on low-quality images without being biased towards any particular type of image  The network prepared to see more summed up depiction rather than past works in the field  Going by the results, our novel method has better diagnosis of eye diseases in the future in a faster and reliable way </t>
  </si>
  <si>
    <t xml:space="preserve">Department of Computer Science and Engineering, Calcutta University Technology Campus, JD-2, Sector-III, Salt Lake, Kolkata 700098, India; Department of Computer Science and Engineering, Academy of Technology, Adisaptagram 712121, West Bengal, India </t>
  </si>
  <si>
    <t>Mitra, A; Banerjee, PS; Roy, S; Roy, S; Setua, SK</t>
  </si>
  <si>
    <t>10 1016/j cmpb 2018 08 012</t>
  </si>
  <si>
    <t xml:space="preserve">Single-view 2D CNNs with fully automatic non-nodule categorization for false positive reduction in pulmonary nodule detection </t>
  </si>
  <si>
    <t xml:space="preserve">In pulmonary nodule detection, the first stage, candidate detection, aims to detect suspicious pulmonary nodules  However, detected candidates include many false positives and thus in the following stage, false positive reduction, such false positives are reliably reduced  Note that this task is challenging due to 1) the imbalance between the numbers of nodules and non-nodules and 2) the intra-class diversity of non-nodules  Although techniques using 3D convolutional neural networks (CNNs) have shown promising performance, they suffer from high computational complexity which hinders constructing deep networks  To efficiently address these problems, we propose a novel framework using the ensemble of 2D CNNs using single views, which outperforms existing 3D CNN-based methods Our ensemble of 2D CNNs utilizes single-view 2D patches to improve both computational and memory efficiency compared to previous techniques exploiting 3D CNNs  We first categorize non-nodules on the basis of features encoded by an autoencoder  Then, all 2D CNNs are trained by using the same nodule samples, but with different types of non-nodules  By extending the learning capability, this training scheme resolves difficulties of extracting representative features from non-nodules with large appearance variations  Note that, instead of manual categorization requiring the heavy workload of radiologists, we propose to automatically categorize non-nodules based on the autoencoder and k-means clustering We performed extensive experiments to validate the effectiveness of our framework based on the database of the lung nodule analysis 2016 challenge  The superiority of our framework is demonstrated through comparing the performance of five frameworks trained with differently constructed training sets  Our proposed framework achieved state-of-the-art performance (0 922 of the competition performance metric score) with low computational demands (789K of parameters and 1024M of floating point operations per second) We presented a novel false positive reduction framework, the ensemble of single-view 2D CNNs with fully automatic non-nodule categorization, for pulmonary nodule detection  Unlike previous 3D CNN-based frameworks, we utilized 2D CNNs using 2D single views to improve computational efficiency  Also, our training scheme using categorized non-nodules, extends the learning capability of representative features of different non-nodules  Our framework achieved state-of-the-art performance with low computational complexity </t>
  </si>
  <si>
    <t xml:space="preserve">School of Electrical Engineering, Korea Advanced Institute of Science and Technology, Republic of Korea </t>
  </si>
  <si>
    <t>Eun, H; Kim, D; Jung, C; Kim, C</t>
  </si>
  <si>
    <t>10 1007/s11886-018-1074-8</t>
  </si>
  <si>
    <t xml:space="preserve">Machine Meets Biology: a Primer on Artificial Intelligence in Cardiology and Cardiac Imaging </t>
  </si>
  <si>
    <t xml:space="preserve">An understanding of the basics concepts of deep learning can be helpful in not only understanding the potential applications of this technique but also in critically reviewing literature in which neural networks are utilized for analysis and modeling The term "deep learning" has been applied to a subset of machine learning that utilizes a "neural network" and is often used interchangeably with "artificial intelligence " It has been increasingly utilized in healthcare for computational "learning", especially for pattern recognition for diagnostic imaging  Another promising application is the potential for these neural networks to improve the accuracy in the identification of patients who are at risk for cardiovascular events and could benefit most from preventive treatment in comparison with more conventional statistical techniques  The importance of such tailored cardiovascular risk assessment and disease management in individual patients is far reaching given that cardiovascular disease is the leading cause of morbidity and mortality in the world  Nearly half of myocardial infarctions and strokes occur in patients who are not predicted to be at risk for cardiovascular events by current guideline-based approaches  Equally important are individuals who are not at risk for cardiovascular events and yet are given expensive and unnecessary preventive treatment with potential untoward side effects  The application of powerful artificial intelligence/deep learning tools in medicine is likely to result in more effective and efficient health care delivery with the potential for significant cost savings by shifting preventative treatment from inappropriate to appropriate patient subgroups </t>
  </si>
  <si>
    <t>Current cardiology reports</t>
  </si>
  <si>
    <t xml:space="preserve">University of Maryland School of Medicine, Baltimore, MD, USA </t>
  </si>
  <si>
    <t>Dilsizian, ME; Siegel, EL</t>
  </si>
  <si>
    <t>100888969</t>
  </si>
  <si>
    <t>10 2214/AJR 18 20218</t>
  </si>
  <si>
    <t xml:space="preserve">State of the Art: Machine Learning Applications in Glioma Imaging </t>
  </si>
  <si>
    <t xml:space="preserve">Machine learning has recently gained considerable attention because of promising results for a wide range of radiology applications  Here we review recent work using machine learning in brain tumor imaging, specifically segmentation and MRI radiomics of gliomas We discuss available resources, state-of-the-art segmentation methods, and machine learning radiomics for glioma  We highlight the challenges of these techniques as well as the future potential in clinical diagnostics, prognostics, and decision making </t>
  </si>
  <si>
    <t xml:space="preserve">1 Department of Radiology, New York University Langone Medical Center, 660 1st Ave, Rm 336, New York, NY 10016 </t>
  </si>
  <si>
    <t>Lotan, E; Jain, R; Razavian, N; Fatterpekar, GM; Lui, YW</t>
  </si>
  <si>
    <t>10 1002/mp 13240</t>
  </si>
  <si>
    <t xml:space="preserve">Multiregion segmentation of bladder cancer structures in MRI with progressive dilated convolutional networks </t>
  </si>
  <si>
    <t xml:space="preserve">Precise segmentation of bladder walls and tumor regions is an essential step toward noninvasive identification of tumor stage and grade, which is critical for treatment decision and prognosis of patients with bladder cancer (BC)  However, the automatic delineation of bladder walls and tumor in magnetic resonance images (MRI) is a challenging task, due to important bladder shape variations, strong intensity inhomogeneity in urine, and very high variability across the population, particularly on tumors' appearance  To tackle these issues, we propose to leverage the representation capacity of deep fully convolutional neural networks The proposed network includes dilated convolutions to increase the receptive field without incurring extra cost or degrading its performance  Furthermore, we introduce progressive dilations in each convolutional block, thereby enabling extensive receptive fields without the need for large dilation rates  The proposed network is evaluated on 3 0T T2-weighted MRI scans from 60 pathologically confirmed patients with BC Experiments show the proposed model to achieve a higher level of accuracy than state-of-the-art methods, with a mean Dice similarity coefficient of 0 98, 0 84, and 0 69 for inner wall, outer wall, and tumor region segmentation, respectively  These results represent a strong agreement with reference contours and an increase in performance compared to existing methods  In addition, inference times are less than a second for a whole three-dimensional (3D) volume, which is between two and three orders of magnitude faster than related state-of-the-art methods for this application We showed that a CNN can yield precise segmentation of bladder walls and tumors in BC patients on MRI  The whole segmentation process is fully automatic and yields results similar to the reference standard, demonstrating the viability of deep learning models for the automatic multiregion segmentation of bladder cancer MRI images </t>
  </si>
  <si>
    <t xml:space="preserve">Laboratory for Imagery, Vision and Artificial Intelligence (LIVIA), École de technologie supérieure, Montréal, QC, H3C 1K3, Canada </t>
  </si>
  <si>
    <t>Dolz, J; Xu, X; Rony, J; Yuan, J; Liu, Y; Granger, E; Desrosiers, C; Zhang, X; Ben Ayed, I; Lu, H</t>
  </si>
  <si>
    <t>10 1016/j neuroimage 2018 10 033</t>
  </si>
  <si>
    <t xml:space="preserve">Axons morphometry in the human spinal cord </t>
  </si>
  <si>
    <t xml:space="preserve">Due to the technical challenges of large-scale microscopy and analysis, to date only limited knowledge has been made available about axon morphometry (diameter, shape, myelin thickness, volume fraction), thereby limiting our understanding of neuronal microstructure and slowing down research on neurodegenerative pathologies  This study addresses this knowledge gap by establishing a state-of-the-art acquisition and analysis framework for mapping axon morphometry, and providing the first comprehensive mapping of axon morphometry in the human spinal cord  We dissected, fixed and stained a human spinal cord with osmium tetroxide, and used a scanning electron microscope to image the entirety of 23 axial slices, covering C1 to L5 spinal levels  An automatic method based on deep learning was then used to segment each axon and myelin sheath to produce maps of axon morphometry  These maps were then registered to a standard spinal cord magnetic resonance imaging (MRI) template  Between 500,000 (lumbar) and 1 million (cervical) myelinated axons were segmented at each level of this human spinal cord  Morphometric features show a large disparity between tracts, but high right-left symmetry  Our results suggest a modality-based organization of the dorsal column in the human, as it has been observed in the rat  The generated axon morphometry template is publicly available at https://osf io/8k7jr/ and could be used as a reference for quantitative MRI studies  The proposed framework for axon morphometry mapping could be extended to other parts of the central or peripheral nervous system that exhibit coherently-oriented axons </t>
  </si>
  <si>
    <t xml:space="preserve">NeuroPoly Lab, Institute of Biomedical Engineering, Polytechnique Montreal, Montreal, QC, Canada </t>
  </si>
  <si>
    <t>Duval, T; Saliani, A; Nami, H; Nanci, A; Stikov, N; Leblond, H; Cohen-Adad, J</t>
  </si>
  <si>
    <t>10 1016/j neuroimage 2018 10 026</t>
  </si>
  <si>
    <t xml:space="preserve">Enlarged perivascular spaces in brain MRI: Automated quantification in four regions </t>
  </si>
  <si>
    <t xml:space="preserve">Enlarged perivascular spaces (PVS) are structural brain changes visible in MRI, are common in aging, and are considered a reflection of cerebral small vessel disease  As such, assessing the burden of PVS has promise as a brain imaging marker  Visual and manual scoring of PVS is a tedious and observer-dependent task  Automated methods would advance research into the etiology of PVS, could aid to assess what a "normal" burden is in aging, and could evaluate the potential of PVS as a biomarker of cerebral small vessel disease  In this work, we propose and evaluate an automated method to quantify PVS in the midbrain, hippocampi, basal ganglia and centrum semiovale  We also compare associations between (earlier established) determinants of PVS and visual PVS scores versus the automated PVS scores, to verify whether automated PVS scores could replace visual scoring of PVS in epidemiological and clinical studies  Our approach is a deep learning algorithm based on convolutional neural network regression, and is contingent on successful brain structure segmentation  In our work we used FreeSurfer segmentations  We trained and validated our method on T2-contrast MR images acquired from 2115 subjects participating in a population-based study  These scans were visually scored by an expert rater, who counted the number of PVS in each brain region  Agreement between visual and automated scores was found to be excellent for all four regions, with intraclass correlation coefficients (ICCs) between 0 75 and 0 88  These values were higher than the inter-observer agreement of visual scoring (ICCs between 0 62 and 0 80)  Scan-rescan reproducibility was high (ICCs between 0 82 and 0 93)  The association between 20 determinants of PVS, including aging, and the automated scores were similar to those between the same 20 determinants of PVS and visual scores  We conclude that this method may replace visual scoring and facilitate large epidemiological and clinical studies of PVS </t>
  </si>
  <si>
    <t xml:space="preserve">Biomedical Imaging Group Rotterdam, Department of Radiology, Department of Medical Informatics, Erasmus MC - University Medical Center Rotterdam, the Netherlands  Electronic address: floriandubost1@gmail com </t>
  </si>
  <si>
    <t>Dubost, F; Yilmaz, P; Adams, H; Bortsova, G; Ikram, MA; Niessen, W; Vernooij, M; de Bruijne, M</t>
  </si>
  <si>
    <t>10 1097/ICO 0000000000001776</t>
  </si>
  <si>
    <t xml:space="preserve">Using Deep Learning in Automated Detection of Graft Detachment in Descemet Membrane Endothelial Keratoplasty: A Pilot Study </t>
  </si>
  <si>
    <t xml:space="preserve">To evaluate a deep learning-based method to automatically detect graft detachment (GD) after Descemet membrane endothelial keratoplasty (DMEK) in anterior segment optical coherence tomography (AS-OCT) In this study, a total of 1172 AS-OCT images (609: attached graft; 563: detached graft) were used to train and test a deep convolutional neural network to automatically detect GD after DMEK surgery in AS-OCT images  GD was defined as a not completely attached graft  After training with 1072 of these images (559: attached graft; 513: detached graft), the created classifier was tested with the remaining 100 AS-OCT scans (50: attached graft; 50 detached: graft)  Hereby, a probability score for GD (GD score) was determined for each of the tested OCT images The mean GD score was 0 88 ± 0 2 in the GD group and 0 08 ± 0 13 in the group with an attached graft  The differences between both groups were highly significant (P &lt; 0 001)  The sensitivity of the classifier was 98%, the specificity 94%, and the accuracy 96%  The coefficient of variation was 3 28 ± 6 90% for the GD group and 2 82 ± 3 81% for the graft attachment group With the presented deep learning-based classifier, reliable automated detection of GD after DMEK is possible  Further work is needed to incorporate information about the size and position of GD and to develop a standardized approach regarding when rebubbling may be needed </t>
  </si>
  <si>
    <t xml:space="preserve">Department of Ophthalmology, University of Muenster Medical Center, Muenster, Germany </t>
  </si>
  <si>
    <t>Treder, M; Lauermann, JL; Alnawaiseh, M; Eter, N</t>
  </si>
  <si>
    <t>8216186</t>
  </si>
  <si>
    <t>10 1148/radiol 2018180694</t>
  </si>
  <si>
    <t xml:space="preserve">Mammographic Breast Density Assessment Using Deep Learning: Clinical Implementation </t>
  </si>
  <si>
    <t xml:space="preserve">Purpose To develop a deep learning (DL) algorithm to assess mammographic breast density  Materials and Methods In this retrospective study, a deep convolutional neural network was trained to assess Breast Imaging Reporting and Data System (BI-RADS) breast density based on the original interpretation by an experienced radiologist of 41 479 digital screening mammograms obtained in 27 684 women from January 2009 to May 2011  The resulting algorithm was tested on a held-out test set of 8677 mammograms in 5741 women  In addition, five radiologists performed a reader study on 500 mammograms randomly selected from the test set  Finally, the algorithm was implemented in routine clinical practice, where eight radiologists reviewed 10 763 consecutive mammograms assessed with the model  Agreement on BI-RADS category for the DL model and for three sets of readings-(a) radiologists in the test set, (b) radiologists working in consensus in the reader study set, and (c) radiologists in the clinical implementation set-were estimated with linear-weighted κ statistics and were compared across 5000 bootstrap samples to assess significance  Results The DL model showed good agreement with radiologists in the test set (κ = 0 67; 95% confidence interval [CI]: 0 66, 0 68) and with radiologists in consensus in the reader study set (κ = 0 78; 95% CI: 0 73, 0 82)  There was very good agreement (κ = 0 85; 95% CI: 0 84, 0 86) with radiologists in the clinical implementation set; for binary categorization of dense or nondense breasts, 10 149 of 10 763 (94%; 95% CI: 94%, 95%) DL assessments were accepted by the interpreting radiologist  Conclusion This DL model can be used to assess mammographic breast density at the level of an experienced mammographer  © RSNA, 2018 Online supplemental material is available for this article   See also the editorial by Chan and Helvie in this issue </t>
  </si>
  <si>
    <t xml:space="preserve">From the Department of Radiology, Massachusetts General Hospital, Harvard Medical School, Avon Comprehensive Breast Evaluation Center, 55 Fruit St, WAC 240, Boston, MA 02114-2698 (C D L , B D , M B ); and Massachusetts Institute of Technology, Cambridge, Mass (A Y , T S , K S , R B ) </t>
  </si>
  <si>
    <t>Lehman, CD; Yala, A; Schuster, T; Dontchos, B; Bahl, M; Swanson, K; Barzilay, R</t>
  </si>
  <si>
    <t>10 1039/c8nr06116e</t>
  </si>
  <si>
    <t xml:space="preserve">Hexa-functional tumour-seeking nano voyagers and annihilators for synergistic cancer theranostic applications </t>
  </si>
  <si>
    <t xml:space="preserve">In order to meet the unmet medical needs for effective cancer treatment, multifunctional nanocarriers based on iron oxide nanoparticles hold tremendous promise  Here we report a superparamagnetic iron oxide nanoparticles based hexa-functional nanosystem for synergistic cancer theranostic applications by offering active tumour targeting, accumulation and complementary imaging capability by combining magnetic resonance imaging as well as near-infrared fluorescence, magnetophotothermia and chemotherapy  The uniquely designed nanosystem exhibited a paramount increase in the antitumour efficacy through the simultaneous application of multiple thermal effects called magnetophotothermia, which outweighed the therapeutic efficacy of the current thermo-chemo therapies or stand-alone therapies  The active tumour-seeking property with prolonged tumour accumulation and complementary imaging capability with improved sensitivity and resolution also augments the therapeutic efficacy of the proposed nanosystem  Additionally, the work proposes a deep-learning-based tumour cell nuclei detection technique from H&amp;E stained images in anticipation of providing much inspiration for the future of precision histology </t>
  </si>
  <si>
    <t xml:space="preserve">Department of Bionanosystem Engineering, Graduate School, Chonbuk National University, Jeonju 561-756, Republic of Korea  afeesh@jbnu ac kr biochan@jbnu ac kr chskim@jbnu ac kr </t>
  </si>
  <si>
    <t>Ramachandra Kurup Sasikala, A; Unnithan, AR; Thomas, RG; Batgerel, T; Jeong, YY; Park, CH; Kim, CS</t>
  </si>
  <si>
    <t>101525249</t>
  </si>
  <si>
    <t>10 1053/j semnuclmed 2018 07 003</t>
  </si>
  <si>
    <t xml:space="preserve">Novel Quantitative PET Techniques for Clinical Decision Support in Oncology </t>
  </si>
  <si>
    <t xml:space="preserve">Quantitative image analysis has deep roots in the usage of positron emission tomography (PET) in clinical and research settings to address a wide variety of diseases  It has been extensively employed to assess molecular and physiological biomarkers in vivo in healthy and disease states, in oncology, cardiology, neurology, and psychiatry  Quantitative PET allows relating the time-varying activity concentration in tissues/organs of interest and the basic functional parameters governing the biological processes being studied  Yet, quantitative PET is challenged by a number of degrading physical factors related to the physics of PET imaging, the limitations of the instrumentation used, and the physiological status of the patient  Moreover, there is no consensus on the most reliable and robust image-derived PET metric(s) that can be used with confidence in clinical oncology owing to the discrepancies between the conclusions reported in the literature  There is also increasing interest in the use of artificial intelligence based techniques, particularly machine learning and deep learning techniques in a variety of applications to extract quantitative features (radiomics) from PET including image segmentation and outcome prediction in clinical oncology  These novel techniques are revolutionizing clinical practice and are now offering unique capabilities to the clinical molecular imaging community and biomedical researchers at large  In this report, we summarize recent developments and future tendencies in quantitative PET imaging and present example applications in clinical decision support to illustrate its potential in the context of clinical oncology </t>
  </si>
  <si>
    <t>thoracic,head and neck</t>
  </si>
  <si>
    <t>Seminars in nuclear medicine</t>
  </si>
  <si>
    <t xml:space="preserve">Division of Nuclear Medicine and Molecular Imaging, Geneva University Hospital, Geneva, Switzerland; Geneva Neuroscience Centre, University of Geneva, Geneva, Switzerland; Department of Nuclear Medicine and Molecular Imaging, University of Groningen, Groningen, the Netherlands; Department of Nuclear Medicine, University of Southern Denmark, Odense, Denmark  Electronic address: habib zaidi@hcuge ch </t>
  </si>
  <si>
    <t>Zaidi, H; Alavi, A; Naqa, IE</t>
  </si>
  <si>
    <t>1264464</t>
  </si>
  <si>
    <t>10 1016/S0140-6736(18)31645-3</t>
  </si>
  <si>
    <t xml:space="preserve">Deep learning algorithms for detection of critical findings in head CT scans: a retrospective study </t>
  </si>
  <si>
    <t xml:space="preserve">Non-contrast head CT scan is the current standard for initial imaging of patients with head trauma or stroke symptoms  We aimed to develop and validate a set of deep learning algorithms for automated detection of the following key findings from these scans: intracranial haemorrhage and its types (ie, intraparenchymal, intraventricular, subdural, extradural, and subarachnoid); calvarial fractures; midline shift; and mass effect We retrospectively collected a dataset containing 313 318 head CT scans together with their clinical reports from around 20 centres in India between Jan 1, 2011, and June 1, 2017  A randomly selected part of this dataset (Qure25k dataset) was used for validation and the rest was used to develop algorithms  An additional validation dataset (CQ500 dataset) was collected in two batches from centres that were different from those used for the development and Qure25k datasets  We excluded postoperative scans and scans of patients younger than 7 years  The original clinical radiology report and consensus of three independent radiologists were considered as gold standard for the Qure25k and CQ500 datasets, respectively  Areas under the receiver operating characteristic curves (AUCs) were primarily used to assess the algorithms The Qure25k dataset contained 21 095 scans (mean age 43 years; 9030 [43%] female patients), and the CQ500 dataset consisted of 214 scans in the first batch (mean age 43 years; 94 [44%] female patients) and 277 scans in the second batch (mean age 52 years; 84 [30%] female patients)  On the Qure25k dataset, the algorithms achieved an AUC of 0·92 (95% CI 0·91-0·93) for detecting intracranial haemorrhage (0·90 [0·89-0·91] for intraparenchymal, 0·96 [0·94-0·97] for intraventricular, 0·92 [0·90-0·93] for subdural, 0·93 [0·91-0·95] for extradural, and 0·90 [0·89-0·92] for subarachnoid)  On the CQ500 dataset, AUC was 0·94 (0·92-0·97) for intracranial haemorrhage (0·95 [0·93-0·98], 0·93 [0·87-1·00], 0·95 [0·91-0·99], 0·97 [0·91-1·00], and 0·96 [0·92-0·99], respectively)  AUCs on the Qure25k dataset were 0·92 (0·91-0·94) for calvarial fractures, 0·93 (0·91-0·94) for midline shift, and 0·86 (0·85-0·87) for mass effect, while AUCs on the CQ500 dataset were 0·96 (0·92-1·00), 0·97 (0·94-1·00), and 0·92 (0·89-0·95), respectively Our results show that deep learning algorithms can accurately identify head CT scan abnormalities requiring urgent attention, opening up the possibility to use these algorithms to automate the triage process Qure ai </t>
  </si>
  <si>
    <t>Lancet (London, England)</t>
  </si>
  <si>
    <t xml:space="preserve">Qure ai, Goregaon East, Mumbai, India  Electronic address: sasank chilamkurthy@qure ai </t>
  </si>
  <si>
    <t>Chilamkurthy, S; Ghosh, R; Tanamala, S; Biviji, M; Campeau, NG; Venugopal, VK; Mahajan, V; Rao, P; Warier, P</t>
  </si>
  <si>
    <t>2985213R</t>
  </si>
  <si>
    <t>10 1007/s10916-018-1072-9</t>
  </si>
  <si>
    <t xml:space="preserve">Generative Adversarial Network for Medical Images (MI-GAN) </t>
  </si>
  <si>
    <t xml:space="preserve">Deep learning algorithms produces state-of-the-art results for different machine learning and computer vision tasks  To perform well on a given task, these algorithms require large dataset for training  However, deep learning algorithms lack generalization and suffer from over-fitting whenever trained on small dataset, especially when one is dealing with medical images  For supervised image analysis in medical imaging, having image data along with their corresponding annotated ground-truths is costly as well as time consuming since annotations of the data is done by medical experts manually  In this paper, we propose a new Generative Adversarial Network for Medical Imaging (MI-GAN)  The MI-GAN generates synthetic medical images and their segmented masks, which can then be used for the application of supervised analysis of medical images  Particularly, we present MI-GAN for synthesis of retinal images  The proposed method generates precise segmented images better than the existing techniques  The proposed model achieves a dice coefficient of 0 837 on STARE dataset and 0 832 on DRIVE dataset which is state-of-the-art performance on both the datasets </t>
  </si>
  <si>
    <t xml:space="preserve">Department of Electrical Engineering, COMSATS University Islamabad, Abbottabad Campus, Islamabad, Pakistan </t>
  </si>
  <si>
    <t>Iqbal, T; Ali, H</t>
  </si>
  <si>
    <t>10 1186/s12938-018-0587-0</t>
  </si>
  <si>
    <t xml:space="preserve">Multimodal MRI-based classification of migraine: using deep learning convolutional neural network </t>
  </si>
  <si>
    <t xml:space="preserve">Recently, deep learning technologies have rapidly expanded into medical image analysis, including both disease detection and classification  As far as we know, migraine is a disabling and common neurological disorder, typically characterized by unilateral, throbbing and pulsating headaches  Unfortunately, a large number of migraineurs do not receive the accurate diagnosis when using traditional diagnostic criteria based on the guidelines of the International Headache Society  As such, there is substantial interest in developing automated methods to assist in the diagnosis of migraine To the best of our knowledge, no studies have evaluated the potential of deep learning technologies in assisting with the classification of migraine patients  Here, we used deep learning methods in combination with three functional measures (the amplitude of low-frequency fluctuations, regional homogeneity and regional functional correlation strength) based on rs-fMRI data to distinguish not only between migraineurs and healthy controls, but also between the two subtypes of migraine  We employed 21 migraine patients without aura, 15 migraineurs with aura, and 28 healthy controls Compared with the traditional support vector machine classifier, which has an accuracy of 83 67%, our Inception module-based convolutional neural network approach showed a significant improvement in classification output (over 86 18%)  Our data also indicate that the Inception module-based CNN performs better than the AlexNet-based CNN (Inception module-based CNN reached an accuracy of 99 25%)  Finally, we also found that regional functional correlation strength (RFCS) could be regarded as the optimum input out of the three indices (ALFF, ReHo, RFCS) Overall, our study shows that combining the three functional measures of rs-fMRI with deep learning classification is a powerful method to distinguish between migraineurs and healthy individuals  Our data also highlight that deep learning-based frameworks could be used to develop more complicated models or systems to aid in clinical decision making in the future </t>
  </si>
  <si>
    <t xml:space="preserve">Department of Medical Information Engineering, School of Electrical Engineering and Information, Sichuan University, Chengdu, Sichuan, China </t>
  </si>
  <si>
    <t>Yang, H; Zhang, J; Liu, Q; Wang, Y</t>
  </si>
  <si>
    <t>10 1371/journal pone 0205390</t>
  </si>
  <si>
    <t xml:space="preserve">PCANet based nonlocal means method for speckle noise removal in ultrasound images </t>
  </si>
  <si>
    <t xml:space="preserve">Speckle reduction remains a critical issue for ultrasound image processing and analysis  The nonlocal means (NLM) filter has recently attached much attention due to its competitive despeckling performance  However, the existing NLM methods usually determine the similarity between two patches by directly utilizing the gray-level information of the noisy image, which renders it difficult to represent the structural similarity of ultrasound images effectively  To address this problem, the NLM method based on the simple deep learning baseline named PCANet is proposed by introducing the intrinsic features of image patches extracted by this network rather than the pixel intensities into the pixel similarity computation  In this approach, the improved two-stage PCANet is proposed by using Parametric Rectified Linear Unit (PReLU) activation function instead of the binary hashing and block histograms in the original PCANet  This model is firstly trained on the ultrasound database to learn the convolution kernels  Then, the trained PCANet is utilized to extract the intrinsic features from the image patches in the pre-denoised version of the noisy image to be despeckled  These obtained features are concatenated together to determine the structural similarity between image patches in the NLM method, based on which the weighted mean of all pixels in a search window is computed to produce the final despeckled image  Extensive experiments have been conducted on a variety of images to demonstrate the superiority of the proposed method over several well-known despeckling algorithm and the PCANet based NLM method using ReLU function and sigmoid function  Visual inspection indicates that the proposed method outperforms the compared methods in reducing speckle noise and preserving image details  The quantitative comparisons show that among all the evaluated methods, our method produces the best structural similarity index metrics (SSIM) values for the synthetic image, as well as the highest equivalent number of looks (ENL) value for the simulated image and the clinical ultrasound images </t>
  </si>
  <si>
    <t>PCANet,CNN</t>
  </si>
  <si>
    <t xml:space="preserve">Department of Biomedical Engineering, School of Life Science and Technology, Ministry of Education Key Laboratory of Molecular Biophysics, Huazhong University of Science and Technology, Wuhan, P R  China </t>
  </si>
  <si>
    <t>Yu, H; Ding, M; Zhang, X; Wu, J</t>
  </si>
  <si>
    <t>10 1097/PAS 0000000000001151</t>
  </si>
  <si>
    <t xml:space="preserve">Impact of Deep Learning Assistance on the Histopathologic Review of Lymph Nodes for Metastatic Breast Cancer </t>
  </si>
  <si>
    <t xml:space="preserve">Advances in the quality of whole-slide images have set the stage for the clinical use of digital images in anatomic pathology  Along with advances in computer image analysis, this raises the possibility for computer-assisted diagnostics in pathology to improve histopathologic interpretation and clinical care  To evaluate the potential impact of digital assistance on interpretation of digitized slides, we conducted a multireader multicase study utilizing our deep learning algorithm for the detection of breast cancer metastasis in lymph nodes  Six pathologists reviewed 70 digitized slides from lymph node sections in 2 reader modes, unassisted and assisted, with a wash-out period between sessions  In the assisted mode, the deep learning algorithm was used to identify and outline regions with high likelihood of containing tumor  Algorithm-assisted pathologists demonstrated higher accuracy than either the algorithm or the pathologist alone  In particular, algorithm assistance significantly increased the sensitivity of detection for micrometastases (91% vs  83%, P=0 02)  In addition, average review time per image was significantly shorter with assistance than without assistance for both micrometastases (61 vs  116 s, P=0 002) and negative images (111 vs  137 s, P=0 018)  Lastly, pathologists were asked to provide a numeric score regarding the difficulty of each image classification  On the basis of this score, pathologists considered the image review of micrometastases to be significantly easier when interpreted with assistance (P=0 0005)  Utilizing a proof of concept assistant tool, this study demonstrates the potential of a deep learning algorithm to improve pathologist accuracy and efficiency in a digital pathology workflow </t>
  </si>
  <si>
    <t>The American journal of surgical pathology</t>
  </si>
  <si>
    <t xml:space="preserve">Google AI Healthcare </t>
  </si>
  <si>
    <t>Steiner, DF; MacDonald, R; Liu, Y; Truszkowski, P; Hipp, JD; Gammage, C; Thng, F; Peng, L; Stumpe, MC</t>
  </si>
  <si>
    <t>7707904</t>
  </si>
  <si>
    <t>10 1007/978-981-13-1396-7_7</t>
  </si>
  <si>
    <t xml:space="preserve">Muscle Segmentation for Orthopedic Interventions </t>
  </si>
  <si>
    <t xml:space="preserve">Skeletal muscle segmentation techniques can help orthopedic interventions in various scenes  In this chapter, we describe two methods of skeletal muscle segmentation on 3D CT images  The first method is based on a computational anatomical model, and the second method is a deep learning-based method  The computational anatomy-based methods are modeling the muscle shape with its running and use it for segmentation  In the deep learning-based methods, the muscle regions are directly acquired automatically  Both approaches can obtain muscle regions including shape, area, volume, and some other image texture features  And it is desirable that the method be selected by the required orthopedic intervention  Here, we show each design philosophy and features of a representative method  We discuss the various examples of site-specific segmentation of skeletal muscle in non-contrast images using torso CT and whole-body CT including in cervical, thoracoabdominal, surface and deep muscles  And we also mention the possibility of application to orthopedic intervention </t>
  </si>
  <si>
    <t>Advances in experimental medicine and biology</t>
  </si>
  <si>
    <t xml:space="preserve">Aichi Prefectural University, Nagakute, Japan  n-kamiya@ist aichi-pu ac jp </t>
  </si>
  <si>
    <t>Kamiya, N</t>
  </si>
  <si>
    <t>0121103</t>
  </si>
  <si>
    <t>10 1007/978-981-13-1396-7_6</t>
  </si>
  <si>
    <t xml:space="preserve">Deep Learning-Based Automatic Segmentation of the Proximal Femur from MR Images </t>
  </si>
  <si>
    <t xml:space="preserve">This chapter addresses the problem of segmentation of proximal femur in 3D MR images  We propose a deeply supervised 3D U-net-like fully convolutional network for segmentation of proximal femur in 3D MR images  After training, our network can directly map a whole volumetric data to its volume-wise labels  Inspired by previous work, multi-level deep supervision is designed to alleviate the potential gradient vanishing problem during training  It is also used together with partial transfer learning to boost the training efficiency when only small set of labeled training data are available  The present method was validated on 20 3D MR images of femoroacetabular impingement patients  The experimental results demonstrate the efficacy of the present method </t>
  </si>
  <si>
    <t xml:space="preserve">Institute for Surgical Technology and Biomechanics, University of Bern, Bern, Switzerland </t>
  </si>
  <si>
    <t>10 1007/s00330-018-5748-9</t>
  </si>
  <si>
    <t xml:space="preserve">Deep-learning-based detection and segmentation of organs at risk in nasopharyngeal carcinoma computed tomographic images for radiotherapy planning </t>
  </si>
  <si>
    <t xml:space="preserve">Accurate detection and segmentation of organs at risks (OARs) in CT image is the key step for efficient planning of radiation therapy for nasopharyngeal carcinoma (NPC) treatment  We develop a fully automated deep-learning-based method (termed organs-at-risk detection and segmentation network (ODS net)) on CT images and investigate ODS net performance in automated detection and segmentation of OARs The ODS net consists of two convolutional neural networks (CNNs)  The first CNN proposes organ bounding boxes along with their scores, and then a second CNN utilizes the proposed bounding boxes to predict segmentation masks for each organ  A total of 185 subjects were included in this study for statistical comparison  Sensitivity and specificity were performed to determine the performance of the detection and the Dice coefficient was used to quantitatively measure the overlap between automated segmentation results and manual segmentation  Paired samples t tests and analysis of variance were employed for statistical analysis ODS net provides an accurate detection result with a sensitivity of 0 997 to 1 for most organs and a specificity of 0 983 to 0 999  Furthermore, segmentation results from ODS net correlated strongly with manual segmentation with a Dice coefficient of more than 0 85 in most organs  A significantly higher Dice coefficient for all organs together (p = 0 0003 &lt; 0 01) was obtained in ODS net (0 861 ± 0 07) than in fully convolutional neural network (FCN) (0 8 ± 0 07)  The Dice coefficients of each OAR did not differ significantly between different T-staging patients The ODS net yielded accurate automated detection and segmentation of OARs in CT images and thereby may improve and facilitate radiotherapy planning for NPC • A fully automated deep-learning method (ODS net) is developed to detect and segment OARs in clinical CT images  • This deep-learning-based framework produces reliable detection and segmentation results and thus can be useful in delineating OARs in NPC radiotherapy planning  • This deep-learning-based framework delineating a single image requires approximately 30 s, which is suitable for clinical workflows </t>
  </si>
  <si>
    <t>characterization-segmention</t>
    <phoneticPr fontId="0" type="noConversion"/>
  </si>
  <si>
    <t xml:space="preserve">Guangdong Provincial Key Laboratory of Medical Image Processing, School of Biomedical Engineering, Southern Medical University, No  1838 Guangzhou Northern Avenue, Baiyun District, Guangzhou, 510515, Guangdong, China </t>
  </si>
  <si>
    <t>Liang, S; Tang, F; Huang, X; Yang, K; Zhong, T; Hu, R; Liu, S; Yuan, X; Zhang, Y</t>
  </si>
  <si>
    <t>10 2214/AJR 18 19974</t>
  </si>
  <si>
    <t xml:space="preserve">Detection of Traumatic Pediatric Elbow Joint Effusion Using a Deep Convolutional Neural Network </t>
  </si>
  <si>
    <t xml:space="preserve">The purpose of this study is to determine whether a deep convolutional neural network (DCNN) trained on a dataset of limited size can accurately diagnose traumatic pediatric elbow effusion on lateral radiographs A total of 901 lateral elbow radiographs from 882 pediatric patients who presented to the emergency department with upper extremity trauma were divided into a training set (657 images), a validation set (115 images), and an independent test set (129 images)  The training set was used to train DCNNs of varying depth, architecture, and parameter initialization, some trained from randomly initialized parameter weights and others trained using parameter weights derived from pretraining on an ImageNet dataset  Hyperparameters were optimized using the validation set, and the DCNN with the highest ROC AUC on the validation set was selected for further performance testing on the test set The final trained DCNN model had an ROC AUC of 0 985 (95% CI, 0 966-1 000) on the validation set and 0 943 (95% CI, 0 884-1 000) on the test set  On the test set, sensitivity was 0 909 (95% CI, 0 788-1 000), specificity was 0 906 (95% CI, 0 844-0 958), and accuracy was 0 907 (95% CI, 0 843-0 951) Accurate diagnosis of traumatic pediatric elbow joint effusion can be achieved using a DCNN </t>
  </si>
  <si>
    <t xml:space="preserve">1 Department of Radiology, Keck School of Medicine of USC, 1441 Eastlake Ave, Ste 2315B, Los Angeles, CA 90033 </t>
  </si>
  <si>
    <t>England, JR; Gross, JS; White, EA; Patel, DB; England, JT; Cheng, PM</t>
  </si>
  <si>
    <t>10 1148/radiol 2018180513</t>
  </si>
  <si>
    <t xml:space="preserve">Deep Learning-based Method for Fully Automatic Quantification of Left Ventricle Function from Cine MR Images: A Multivendor, Multicenter Study </t>
  </si>
  <si>
    <t xml:space="preserve">Purpose To develop a deep learning-based method for fully automated quantification of left ventricular (LV) function from short-axis cine MR images and to evaluate its performance in a multivendor and multicenter setting  Materials and Methods This retrospective study included cine MRI data sets obtained from three major MRI vendors in four medical centers from 2008 to 2016  Three convolutional neural networks (CNNs) with the U-NET architecture were trained on data sets of increasing variability: (a) a single-vendor, single-center, homogeneous cohort of 100 patients (CNN1); (b) a single-vendor, multicenter, heterogeneous cohort of 200 patients (CNN2); and (c) a multivendor, multicenter, heterogeneous cohort of 400 patients (CNN3)  All CNNs were tested on an independent multivendor, multicenter data set of 196 patients  CNN performance was evaluated with respect to the manual annotations from three experienced observers in terms of (a) LV detection accuracy, (b) LV segmentation accuracy, and (c) LV functional parameter accuracy  Automatic and manual results were compared with the paired Wilcoxon test, Pearson correlation, and Bland-Altman analysis  Results CNN3 achieved the highest performance on the independent testing data set  The average perpendicular distance compared with manual analysis was 1 1 mm ± 0 3 for CNN3, compared with 1 5 mm ± 1 0 for CNN1 (P &lt;  05) and 1 3 mm ± 0 6 for CNN2 (P &lt;  05)  The LV function parameters derived from CNN3 showed a high correlation (r2 ≥ 0 98) and agreement with those obtained by experts for data sets from different vendors and centers  Conclusion A deep learning-based method trained on a data set with high variability can achieve fully automated and accurate cine MRI analysis on multivendor, multicenter cine MRI data  © RSNA, 2018 See also the editorial by Colletti in this issue </t>
  </si>
  <si>
    <t xml:space="preserve">From the Department of Radiology, Leiden University Medical Center, Albinusdreef 2, 2333 ZA Leiden, the Netherlands (Q T , E H M P , D P S , A d R , H J L , R J v d G ); Department of Electrical Engineering, Fudan University, Shanghai, China (W Y , Y W ); Multidisciplinary Cardiovascular Research Centre &amp; Leeds Institute of Cardiovascular and Metabolic Medicine, University of Leeds, Leeds, England (P G , S P ); Department of Radiology, Tongji Hospital, Tongji Medical College, Huazhong University of Science and Technology, Wuhan, China (L H , L X ); and Departments of Cardiology (M S ) and Radiology (J T ), Institute for Clinical and Experimental Medicine, Prague, Czech Republic </t>
  </si>
  <si>
    <t>Tao, Q; Yan, W; Wang, Y; Paiman, EHM; Shamonin, DP; Garg, P; Plein, S; Huang, L; Xia, L; Sramko, M; Tintera, J; de Roos, A; Lamb, HJ; van der Geest, RJ</t>
  </si>
  <si>
    <t>10 1155/2018/2061516</t>
  </si>
  <si>
    <t xml:space="preserve">Medical Image Classification Based on Deep Features Extracted by Deep Model and Statistic Feature Fusion with Multilayer Perceptron‬ </t>
  </si>
  <si>
    <t xml:space="preserve">Medical image classification is a key technique of Computer-Aided Diagnosis (CAD) systems  Traditional methods rely mainly on the shape, color, and/or texture features as well as their combinations, most of which are problem-specific and have shown to be complementary in medical images, which leads to a system that lacks the ability to make representations of high-level problem domain concepts and that has poor model generalization ability  Recent deep learning methods provide an effective way to construct an end-to-end model that can compute final classification labels with the raw pixels of medical images  However, due to the high resolution of the medical images and the small dataset size, deep learning models suffer from high computational costs and limitations in the model layers and channels  To solve these problems, in this paper, we propose a deep learning model that integrates Coding Network with Multilayer Perceptron (CNMP), which combines high-level features that are extracted from a deep convolutional neural network and some selected traditional features  The construction of the proposed model includes the following steps  First, we train a deep convolutional neural network as a coding network in a supervised manner, and the result is that it can code the raw pixels of medical images into feature vectors that represent high-level concepts for classification  Second, we extract a set of selected traditional features based on background knowledge of medical images  Finally, we design an efficient model that is based on neural networks to fuse the different feature groups obtained in the first and second step  We evaluate the proposed approach on two benchmark medical image datasets: HIS2828 and ISIC2017  We achieve an overall classification accuracy of 90 1% and 90 2%, respectively, which are higher than the current successful methods </t>
  </si>
  <si>
    <t xml:space="preserve">Department of Computer Science and Engineering, South China University of Technology, Guangzhou 510006, China </t>
  </si>
  <si>
    <t>Lai, Z; Deng, H</t>
  </si>
  <si>
    <t>10 1016/j compmedimag 2018 09 004</t>
  </si>
  <si>
    <t xml:space="preserve">SD-CNN: A shallow-deep CNN for improved breast cancer diagnosis </t>
  </si>
  <si>
    <t xml:space="preserve">Breast cancer is the second leading cause of cancer death among women worldwide  Nevertheless, it is also one of the most treatable malignances if detected early  Screening for breast cancer with full field digital mammography (FFDM) has been widely used  However, it demonstrates limited performance for women with dense breasts  An emerging technology in the field is contrast-enhanced digital mammography (CEDM), which includes a low energy (LE) image similar to FFDM, and a recombined image leveraging tumor neoangiogenesis similar to breast magnetic resonance imaging (MRI)  CEDM has shown better diagnostic accuracy than FFDM  While promising, CEDM is not yet widely available across medical centers  In this research, we propose a Shallow-Deep Convolutional Neural Network (SD-CNN) where a shallow CNN is developed to derive "virtual" recombined images from LE images, and a deep CNN is employed to extract novel features from LE, recombined or "virtual" recombined images for ensemble models to classify the cases as benign vs  cancer  To evaluate the validity of our approach, we first develop a deep-CNN using 49 CEDM cases collected from Mayo Clinic to prove the contributions from recombined images for improved breast cancer diagnosis (0 85 in accuracy, 0 84 in AUC using LE imaging vs  0 89 in accuracy, 0 91 in AUC using both LE and recombined imaging)  We then develop a shallow-CNN using the same 49 CEDM cases to learn the nonlinear mapping from LE to recombined images  Next, we use 89 FFDM cases from INbreast, a public database to generate "virtual" recombined images  Using FFDM alone provides 0 84 in accuracy (AUC = 0 87), whereas SD-CNN improves the diagnostic accuracy to 0 90 (AUC = 0 92) </t>
  </si>
  <si>
    <t xml:space="preserve">School of Computing, Informatics, and Decision Systems Engineering, Arizona State University, Tempe, AZ, 85281, USA </t>
  </si>
  <si>
    <t>Gao, F; Wu, T; Li, J; Zheng, B; Ruan, L; Shang, D; Patel, B</t>
  </si>
  <si>
    <t>10 1186/s13104-018-3813-8</t>
  </si>
  <si>
    <t xml:space="preserve">Chemical crystal identification with deep learning machine vision </t>
  </si>
  <si>
    <t xml:space="preserve">This study was carried out with the purpose of testing the ability of deep learning machine vision to identify microscopic objects and geometries found in chemical crystal structures A database of 6994 images taken with a light microscope showing microscopic crystal details of selected chemical compounds along with 180 images of an unknown chemical was created to train and test, respectively the deep learning models  The models used were GoogLeNet (22 layers deep network) and VGG-16 (16 layers deep network), based on the Caffe framework (University of California, Berkeley, CA) of the DIGITS platform (NVIDIA Corporation, Santa Clara, CA)  The two models were successfully trained with the images, having validation accuracy values of 97 38% and 99 65% respectively  Finally, both models were able to correctly identify the unknown chemical sample with a high probability score of 93 34% (GoogLeNet) and 99 41% (VGG-16)  The positive results found in this study can be further applied to other unknown sample identification tasks using light microscopy coupled with deep learning machine vision </t>
  </si>
  <si>
    <t xml:space="preserve">CNN,GoogLeNet,VGG </t>
  </si>
  <si>
    <t>BMC research notes</t>
  </si>
  <si>
    <t xml:space="preserve">Soil and Water Science Department, Citrus Research and Education Center, University of Florida, 700 Experiment Station Rd, Lake Alfred, FL, 33850, USA </t>
  </si>
  <si>
    <t>Mungofa, P; Schumann, A; Waldo, L</t>
  </si>
  <si>
    <t>101462768</t>
  </si>
  <si>
    <t>10 1016/j pnpbp 2018 09 014</t>
  </si>
  <si>
    <t xml:space="preserve">Translational machine learning for psychiatric neuroimaging </t>
  </si>
  <si>
    <t xml:space="preserve">Despite its initial promise, neuroimaging has not been widely translated into clinical psychiatry to assist in the prediction of diagnoses, prognoses, and optimal therapeutic strategies  Machine learning approaches may enhance the translational potential of neuroimaging because they specifically focus on overcoming biases by optimizing the generalizability of pipelines that measure complex brain patterns to predict targets at a single-subject level  This article introduces some fundamentals of a translational machine learning approach before selectively reviewing literature to-date  Promising initial results are then balanced by the description of limitations that should be considered in order to interpret existing research and maximize the possibility of future translation  Future directions are then presented in order to inspire further research and progress the field towards clinical translation </t>
  </si>
  <si>
    <t>Progress in neuro-psychopharmacology &amp; biological psychiatry</t>
  </si>
  <si>
    <t xml:space="preserve">Department of Psychiatry and Psychotherapy, Eberhard Karls University Tuebingen, Germany  Electronic address: martin walter@med ovgu </t>
  </si>
  <si>
    <t>Walter, M; Alizadeh, S; Jamalabadi, H; Lueken, U; Dannlowski, U; Walter, H; Olbrich, S; Colic, L; Kambeitz, J; Koutsouleris, N; Hahn, T; Dwyer, DB</t>
  </si>
  <si>
    <t>8211617</t>
  </si>
  <si>
    <t>10 1016/j compmedimag 2018 08 010</t>
  </si>
  <si>
    <t xml:space="preserve">Deep learning nuclei detection: A simple approach can deliver state-of-the-art results </t>
  </si>
  <si>
    <t xml:space="preserve">Deep convolutional neural networks have become a widespread tool for the detection of nuclei in histopathology images  Many implementations share a basic approach that includes generation of an intermediate map indicating the presence of a nucleus center, which we refer to as PMap  Nevertheless, these implementations often still differ in several parameters, resulting in different detection qualities We identified several essential parameters and configured the basic PMap approach using combinations of them  We thoroughly evaluated and compared various configurations on multiple datasets with respect to detection quality, efficiency and training effort Post-processing of the PMap was found to have the largest impact on detection quality  Also, two different network architectures were identified that improve either detection quality or runtime performance  The best-performing configuration yields f1-measures of 0 816 on H&amp;E stained images of colorectal adenocarcinomas and 0 819 on Ki-67 stained images of breast tumor tissue  On average, it was fully trained in less than 15,000 iterations and processed 4 15 megapixels per second at prediction time The basic PMap approach is greatly affected by certain parameters  Our evaluation provides guidance on their impact and best settings  When configured properly, this simple and efficient approach can yield equal detection quality as more complex and time-consuming state-of-the-art approaches </t>
  </si>
  <si>
    <t xml:space="preserve">Fraunhofer MEVIS, Am Fallturm 1, 28359, Bremen, Germany  Electronic address: henning hoefener@mevis fraunhofer de </t>
  </si>
  <si>
    <t>Höfener, H; Homeyer, A; Weiss, N; Molin, J; Lundström, CF; Hahn, HK</t>
  </si>
  <si>
    <t>10 1371/journal pone 0204155</t>
  </si>
  <si>
    <t xml:space="preserve">Deep learning in chest radiography: Detection of findings and presence of change </t>
  </si>
  <si>
    <t xml:space="preserve">Deep learning (DL) based solutions have been proposed for interpretation of several imaging modalities including radiography, CT, and MR  For chest radiographs, DL algorithms have found success in the evaluation of abnormalities such as lung nodules, pulmonary tuberculosis, cystic fibrosis, pneumoconiosis, and location of peripherally inserted central catheters  Chest radiography represents the most commonly performed radiological test for a multitude of non-emergent and emergent clinical indications  This study aims to assess accuracy of deep learning (DL) algorithm for detection of abnormalities on routine frontal chest radiographs (CXR), and assessment of stability or change in findings over serial radiographs We processed 874 de-identified frontal CXR from 724 adult patients (&gt; 18 years) with DL (Qure AI)  Scores and prediction statistics from DL were generated and recorded for the presence of pulmonary opacities, pleural effusions, hilar prominence, and enlarged cardiac silhouette  To establish a standard of reference (SOR), two thoracic radiologists assessed all CXR for these abnormalities  Four other radiologists (test radiologists), unaware of SOR and DL findings, independently assessed the presence of radiographic abnormalities  A total 724 radiographs were assessed for detection of findings  A subset of 150 radiographs with follow up examinations was used to asses change over time  Data were analyzed with receiver operating characteristics analyses and post-hoc power analysis About 42% (305/ 724) CXR had no findings according to SOR; single and multiple abnormalities were seen in 23% (168/724) and 35% (251/724) of CXR  There was no statistical difference between DL and SOR for all abnormalities (p = 0 2-0 8)  The area under the curve (AUC) for DL and test radiologists ranged between 0 837-0 929 and 0 693-0 923, respectively  DL had lowest AUC (0 758) for assessing changes in pulmonary opacities over follow up CXR  Presence of chest wall implanted devices negatively affected the accuracy of DL algorithm for evaluation of pulmonary and hilar abnormalities DL algorithm can aid in interpretation of CXR findings and their stability over follow up CXR  However, in its present version, it is unlikely to replace radiologists due to its limited specificity for categorizing specific findings </t>
  </si>
  <si>
    <t xml:space="preserve">Department of Radiology, Massachusetts General Hospital, Boston, Massachusetts, United States of America </t>
  </si>
  <si>
    <t>Singh, R; Kalra, MK; Nitiwarangkul, C; Patti, JA; Homayounieh, F; Padole, A; Rao, P; Putha, P; Muse, VV; Sharma, A; Digumarthy, SR</t>
  </si>
  <si>
    <t>10 1186/s12859-018-2375-z</t>
  </si>
  <si>
    <t xml:space="preserve">A deep learning-based algorithm for 2-D cell segmentation in microscopy images </t>
  </si>
  <si>
    <t xml:space="preserve">Automatic and reliable characterization of cells in cell cultures is key to several applications such as cancer research and drug discovery  Given the recent advances in light microscopy and the need for accurate and high-throughput analysis of cells, automated algorithms have been developed for segmenting and analyzing the cells in microscopy images  Nevertheless, accurate, generic and robust whole-cell segmentation is still a persisting need to precisely quantify its morphological properties, phenotypes and sub-cellular dynamics We present a single-channel whole cell segmentation algorithm  We use markers that stain the whole cell, but with less staining in the nucleus, and without using a separate nuclear stain  We show the utility of our approach in microscopy images of cell cultures in a wide variety of conditions  Our algorithm uses a deep learning approach to learn and predict locations of the cells and their nuclei, and combines that with thresholding and watershed-based segmentation  We trained and validated our approach using different sets of images, containing cells stained with various markers and imaged at different magnifications  Our approach achieved a 86% similarity to ground truth segmentation when identifying and separating cells The proposed algorithm is able to automatically segment cells from single channel images using a variety of markers and magnifications </t>
  </si>
  <si>
    <t xml:space="preserve">GE Global Research, One Research Circle, Niskayuna, 12309, NY, USA  alkofahi@ge com </t>
  </si>
  <si>
    <t>Al-Kofahi, Y; Zaltsman, A; Graves, R; Marshall, W; Rusu, M</t>
  </si>
  <si>
    <t>10 1158/0008-5472 CAN-18-0696</t>
  </si>
  <si>
    <t xml:space="preserve">3D Deep Learning from CT Scans Predicts Tumor Invasiveness of Subcentimeter Pulmonary Adenocarcinomas </t>
  </si>
  <si>
    <t xml:space="preserve">: Identification of early-stage pulmonary adenocarcinomas before surgery, especially in cases of subcentimeter cancers, would be clinically important and could provide guidance to clinical decision making  In this study, we developed a deep learning system based on 3D convolutional neural networks and multitask learning, which automatically predicts tumor invasiveness, together with 3D nodule segmentation masks  The system processes a 3D nodule-centered patch of preprocessed CT and learns a deep representation of a given nodule without the need for any additional information  A dataset of 651 nodules with manually segmented voxel-wise masks and pathological labels of atypical adenomatous hyperplasia (AAH), adenocarcinomas in situ (AIS), minimally invasive adenocarcinoma (MIA), and invasive pulmonary adenocarcinoma (IA) was used in this study  We trained and validated our deep learning system on 523 nodules and tested its performance on 128 nodules  An observer study with 2 groups of radiologists, 2 senior and 2 junior, was also investigated  We merged AAH and AIS into one single category AAH-AIS, comprising a 3-category classification in our study  The proposed deep learning system achieved better classification performance than the radiologists; in terms of 3-class weighted average F1 score, the model achieved 63 3% while the radiologists achieved 55 6%, 56 6%, 54 3%, and 51 0%, respectively  These results suggest that deep learning methods improve the yield of discriminative results and hold promise in the CADx application domain, which could help doctors work efficiently and facilitate the application of precision medicine  SIGNIFICANCE: Machine learning tools are beginning to be implemented for clinical applications  This study represents an important milestone for this emerging technology, which could improve therapy selection for patients with lung cancer </t>
  </si>
  <si>
    <t>Cancer research</t>
  </si>
  <si>
    <t xml:space="preserve">Department of Radiology, Huadong Hospital Affiliated to Fudan University, Shanghai, P R  China </t>
  </si>
  <si>
    <t>Zhao, W; Yang, J; Sun, Y; Li, C; Wu, W; Jin, L; Yang, Z; Ni, B; Gao, P; Wang, P; Hua, Y; Li, M</t>
  </si>
  <si>
    <t>2984705R</t>
  </si>
  <si>
    <t>10 2337/dc18-0147</t>
  </si>
  <si>
    <t xml:space="preserve">An Automated Grading System for Detection of Vision-Threatening Referable Diabetic Retinopathy on the Basis of Color Fundus Photographs </t>
  </si>
  <si>
    <t xml:space="preserve">The goal of this study was to describe the development and validation of an artificial intelligence-based, deep learning algorithm (DLA) for the detection of referable diabetic retinopathy (DR) A DLA using a convolutional neural network was developed for automated detection of vision-threatening referable DR (preproliferative DR or worse, diabetic macular edema, or both)  The DLA was tested by using a set of 106,244 nonstereoscopic retinal images  A panel of ophthalmologists graded DR severity in retinal photographs included in the development and internal validation data sets (n = 71,043); a reference standard grading was assigned once three graders achieved consistent grading outcomes  For external validation, we tested our DLA using 35,201 images of 14,520 eyes (904 eyes with any DR; 401 eyes with vision-threatening referable DR) from population-based cohorts of Malays, Caucasian Australians, and Indigenous Australians Among the 71,043 retinal images in the training and validation data sets, 12,329 showed vision-threatening referable DR  In the internal validation data set, the area under the curve (AUC), sensitivity, and specificity of the DLA for vision-threatening referable DR were 0 989, 97 0%, and 91 4%, respectively  Testing against the independent, multiethnic data set achieved an AUC, sensitivity, and specificity of 0 955, 92 5%, and 98 5%, respectively  Among false-positive cases, 85 6% were due to a misclassification of mild or moderate DR  Undetected intraretinal microvascular abnormalities accounted for 77 3% of all false-negative cases This artificial intelligence-based DLA can be used with high accuracy in the detection of vision-threatening referable DR in retinal images  This technology offers potential to increase the efficiency and accessibility of DR screening programs </t>
  </si>
  <si>
    <t>Diabetes care</t>
  </si>
  <si>
    <t xml:space="preserve">State Key Laboratory of Ophthalmology, Zhongshan Ophthalmic Center, Sun Yat-sen University, Guangzhou, China </t>
  </si>
  <si>
    <t>Li, Z; Keel, S; Liu, C; He, Y; Meng, W; Scheetz, J; Lee, PY; Shaw, J; Ting, D; Wong, TY; Taylor, H; Chang, R; He, M</t>
  </si>
  <si>
    <t>7805975</t>
  </si>
  <si>
    <t>10 1002/jor 24151</t>
  </si>
  <si>
    <t xml:space="preserve">Translation of morphological and functional musculoskeletal imaging </t>
  </si>
  <si>
    <t xml:space="preserve">In an effort to develop quantitative biomarkers for degenerative joint disease and fill the void that exists for diagnosing, monitoring, and assessing the extent of whole joint degeneration, the past decade has been marked by a greatly increased role of noninvasive imaging  This coupled with recent advances in image processing and deep learning opens new possibilities for promising quantitative techniques  The clinical translation of quantitative imaging was previously hampered by tedious non-scalable and subjective image analysis  Osteoarthritis (OA) diagnosis using X-rays can be automated by the use of deep learning models and pilot studies showed feasibility of using similar techniques to reliably segment multiple musculoskeletal tissues and detect and stage the severity of morphological abnormalities in magnetic resonance imaging (MRI)  Automation and more advanced feature extraction techniques have applications on larger more heterogeneous samples  Analyses based on voxel based relaxometry have shown local patterns in relaxation time elevations and local correlations with outcome variables  Bone cartilage interactions are also enhanced by the analysis of three-dimensional bone morphology and the potential for the assessment of metabolic activity with simultaneous Positron Emission Tomography (PET)/MR systems  Novel techniques in image processing and deep learning are augmenting imaging to be a source of quantitative and reliable data and new multidimensional analytics allow us to exploit the interactions of data from various sources  In this review, we aim to summarize recent advances in quantitative imaging, the application of image processing and deep learning techniques to study knee and hip OA  ©2018 Orthopaedic Research Society  Published by Wiley Periodicals, Inc  J Orthop Res XX:XX-XX, 2018 </t>
  </si>
  <si>
    <t>Journal of orthopaedic research : official publication of the Orthopaedic Research Society</t>
  </si>
  <si>
    <t xml:space="preserve">Department of Radiology and Biomedical Imaging, QB3 Building, 2nd Floor, Suite 203, 1700 - 4th Street, University of California, San Francisco, California, 94158 </t>
  </si>
  <si>
    <t>Pedoia, V; Majumdar, S</t>
  </si>
  <si>
    <t>8404726</t>
  </si>
  <si>
    <t>10 1002/mp 13221</t>
  </si>
  <si>
    <t xml:space="preserve">A novel MRI segmentation method using CNN-based correction network for MRI-guided adaptive radiotherapy </t>
  </si>
  <si>
    <t xml:space="preserve">The purpose of this study was to expedite the contouring process for MRI-guided adaptive radiotherapy (MR-IGART), a convolutional neural network (CNN) deep-learning (DL) model is proposed to accurately segment the liver, kidneys, stomach, bowel and duodenum in 3D MR images Images and structure contours for 120 patients were collected retrospectively  Treatment sites included pancreas, liver, stomach, adrenal gland, and prostate  The proposed DL model contains a voxel-wise label prediction CNN and a correction network which consists of two sub-networks  The prediction CNN and sub-networks in the correction network each includes a dense block which consists of twelve densely connected convolutional layers  The correction network was designed to improve the voxel-wise labeling accuracy of a CNN by learning and enforcing implicit anatomical constraints in the segmentation process  Its sub-networks learn to fix the erroneous classification of its previous network by taking as input both the original images and the softmax probability maps generated from its previous sub-network  The parameters of each sub-network were trained independently using piecewise training  The model was trained on 100 datasets, validated on 10 datasets and tested on the remaining 10 datasets  Dice coefficient, Hausdorff distance (HD) were calculated to evaluate the segmentation accuracy The proposed DL model was able to segment the organs with good accuracy  The correction network outperformed the conditional random field (CRF), a most comparable method that is usually applied as a post-processing step  For the 10 testing patients, the average Dice coefficients were 95 3 ± 0 73, 93 1 ± 2 22, 85 0 ± 3 75, 86 6 ± 2 69, and 65 5 ± 8 90 for liver, kidneys, stomach, bowel, and duodenum, respectively  The mean Hausdorff Distance (HD) were 5 41 ± 2 34, 6 23 ± 4 59, 6 88 ± 4 89, 5 90 ± 4 05, and 7 99 ± 6 84 mm, respectively  Manual contouring, as to correct the automatic segmentation results, was four times as fast as manual contouring from scratch The proposed method can automatically segment the liver, kidneys, stomach, bowel, and duodenum in 3D MR images with good accuracy  It is useful to expedite the manual contouring for MR-IGART </t>
  </si>
  <si>
    <t xml:space="preserve">Department of Radiation Oncology, School of Medicine, Washington University in Saint Louis, St Louis, MO, 63110, USA </t>
  </si>
  <si>
    <t>Fu, Y; Mazur, TR; Wu, X; Liu, S; Chang, X; Lu, Y; Li, HH; Kim, H; Roach, MC; Henke, L; Yang, D</t>
  </si>
  <si>
    <t>10 1007/s11517-018-1897-x</t>
  </si>
  <si>
    <t xml:space="preserve">Deep learning fully convolution network for lumen characterization in diabetic patients using carotid ultrasound: a tool for stroke risk </t>
  </si>
  <si>
    <t xml:space="preserve">Manual ultrasound (US)-based methods are adapted for lumen diameter (LD) measurement to estimate the risk of stroke but they are tedious, error prone, and subjective causing variability  We propose an automated deep learning (DL)-based system for lumen detection  The system consists of a combination of two DL systems: encoder and decoder for lumen segmentation  The encoder employs a 13-layer convolution neural network model (CNN) for rich feature extraction  The decoder employs three up-sample layers of fully convolution network (FCN) for lumen segmentation  Three sets of manual tracings were used during the training paradigm leading to the design of three DL systems  Cross-validation protocol was implemented for all three DL systems  Using the polyline distance metric, the precision of merit for three DL systems over 407 US scans was 99 61%, 97 75%, and 99 89%, respectively  The Jaccard index and Dice similarity of DL lumen segmented region against three ground truth (GT) regions were 0 94, 0 94, and 0 93 and 0 97, 0 97, and 0 97, respectively  The corresponding AUC for three DL systems was 0 95, 0 91, and 0 93  The experimental results demonstrated superior performance of proposed deep learning system over conventional methods in literature  Graphical abstract ᅟ </t>
  </si>
  <si>
    <t xml:space="preserve">Department of Computer Science and Engineering, NIT Goa, Ponda, India </t>
  </si>
  <si>
    <t>Biswas, M; Kuppili, V; Saba, L; Edla, DR; Suri, HS; Sharma, A; Cuadrado-Godia, E; Laird, JR; Nicolaides, A; Suri, JS</t>
  </si>
  <si>
    <t>10 1155/2018/2527516</t>
  </si>
  <si>
    <t xml:space="preserve">Image Decomposition Algorithm for Dual-Energy Computed Tomography via Fully Convolutional Network </t>
  </si>
  <si>
    <t xml:space="preserve">Dual-energy computed tomography (DECT) has been widely used due to improved substances identification from additional spectral information  The quality of material-specific image produced by DECT attaches great importance to the elaborated design of the basis material decomposition method The aim of this work is to develop and validate a data-driven algorithm for the image-based decomposition problem A deep neural net, consisting of a fully convolutional net (FCN) and a fully connected net, is proposed to solve the material decomposition problem  The former net extracts the feature representation of input reconstructed images, and the latter net calculates the decomposed basic material coefficients from the joint feature vector  The whole model was trained and tested using a modified clinical dataset The proposed FCN delivers image with about 60% smaller bias and 70% lower standard deviation than the competing algorithms, suggesting its better material separation capability  Moreover, FCN still yields excellent performance in case of photon noise Our deep cascaded network features high decomposition accuracies and noise robust property  The experimental results have shown the strong function fitting ability of the deep neural network  Deep learning paradigm could be a promising way to solve the nonlinear problem in DECT </t>
  </si>
  <si>
    <t xml:space="preserve">National Digital Switching System Engineering &amp; Technological R&amp;D Centre, Zhengzhou 450002, China </t>
  </si>
  <si>
    <t>Xu, Y; Yan, B; Zhang, J; Chen, J; Zeng, L; Wang, L</t>
  </si>
  <si>
    <t>10 1148/radiol 2018180237</t>
  </si>
  <si>
    <t xml:space="preserve">Development and Validation of Deep Learning-based Automatic Detection Algorithm for Malignant Pulmonary Nodules on Chest Radiographs </t>
  </si>
  <si>
    <t xml:space="preserve">Purpose To develop and validate a deep learning-based automatic detection algorithm (DLAD) for malignant pulmonary nodules on chest radiographs and to compare its performance with physicians including thoracic radiologists  Materials and Methods For this retrospective study, DLAD was developed by using 43 292 chest radiographs (normal radiograph-to-nodule radiograph ratio, 34 067:9225) in 34 676 patients (healthy-to-nodule ratio, 30 784:3892; 19 230 men [mean age, 52 8 years; age range, 18-99 years]; 15 446 women [mean age, 52 3 years; age range, 18-98 years]) obtained between 2010 and 2015, which were labeled and partially annotated by 13 board-certified radiologists, in a convolutional neural network  Radiograph classification and nodule detection performances of DLAD were validated by using one internal and four external data sets from three South Korean hospitals and one U S  hospital  For internal and external validation, radiograph classification and nodule detection performances of DLAD were evaluated by using the area under the receiver operating characteristic curve (AUROC) and jackknife alternative free-response receiver-operating characteristic (JAFROC) figure of merit (FOM), respectively  An observer performance test involving 18 physicians, including nine board-certified radiologists, was conducted by using one of the four external validation data sets  Performances of DLAD, physicians, and physicians assisted with DLAD were evaluated and compared  Results According to one internal and four external validation data sets, radiograph classification and nodule detection performances of DLAD were a range of 0 92-0 99 (AUROC) and 0 831-0 924 (JAFROC FOM), respectively  DLAD showed a higher AUROC and JAFROC FOM at the observer performance test than 17 of 18 and 15 of 18 physicians, respectively (P &lt;  05), and all physicians showed improved nodule detection performances with DLAD (mean JAFROC FOM improvement, 0 043; range, 0 006-0 190; P &lt;  05)  Conclusion This deep learning-based automatic detection algorithm outperformed physicians in radiograph classification and nodule detection performance for malignant pulmonary nodules on chest radiographs, and it enhanced physicians' performances when used as a second reader  © RSNA, 2018 Online supplemental material is available for this article </t>
  </si>
  <si>
    <t xml:space="preserve">From the Department of Radiology and Institute of Radiation Medicine, Seoul National University Hospital and College of Medicine, 101 Daehak-ro, Jongno-gu, Seoul 03080, Republic of Korea (J G N , E J H , J M G , C M P ); Lunit Incorporated, Seoul, Republic of Korea (S P ); Department of Radiology, Armed Forces Seoul Hospital, Seoul, Republic of Korea (J H L ); Department of Radiology, Seoul National University Boramae Medical Center, Seoul, Republic of Korea (K N J ); Department of Radiology, National Cancer Center, Goyang, Republic of Korea (K Y L ); Department of Radiology and Biomedical Imaging, University of California, San Francisco, San Francisco, Calif (T H V , J H S ); and Department of Industrial &amp; Information Systems Engineering, Seoul National University of Science and Technology, Seoul, Republic of Korea (S H ) </t>
  </si>
  <si>
    <t>Nam, JG; Park, S; Hwang, EJ; Lee, JH; Jin, KN; Lim, KY; Vu, TH; Sohn, JH; Hwang, S; Goo, JM; Park, CM</t>
  </si>
  <si>
    <t>10 1002/mp 13135</t>
  </si>
  <si>
    <t xml:space="preserve">Opportunities and challenges to utilization of quantitative imaging: Report of the AAPM practical big data workshop </t>
  </si>
  <si>
    <t xml:space="preserve">This article is a summary of the quantitative imaging subgroup of the 2017 AAPM Practical Big Data Workshop (PBDW-2017) on progress and challenges in big data applied to cancer treatment and research supplemented by a draft white paper following an American Association of Physicists in Medicine FOREM meeting on Imaging Genomics in 2014 The goal of PBDW-2017 was to close the gap between theoretical vision and practical experience with encountering and solving challenges in curating and analyzing data Recommendations based on the meetings are summarized </t>
  </si>
  <si>
    <t xml:space="preserve">Department of Medical Physics, University of Wisconsin School of Medicine and Public Health, Madison, WI, 53705, USA </t>
  </si>
  <si>
    <t>Mackie, TR; Jackson, EF; Giger, M</t>
  </si>
  <si>
    <t>10 1177/1533033818798800</t>
  </si>
  <si>
    <t xml:space="preserve">A Generalized Deep Learning-Based Diagnostic System for Early Diagnosis of Various Types of Pulmonary Nodules </t>
  </si>
  <si>
    <t xml:space="preserve">A novel framework for the classification of lung nodules using computed tomography scans is proposed in this article  To get an accurate diagnosis of the detected lung nodules, the proposed framework integrates the following 2 groups of features: (1) appearance features modeled using the higher order Markov Gibbs random field model that has the ability to describe the spatial inhomogeneities inside the lung nodule and (2) geometric features that describe the shape geometry of the lung nodules  The novelty of this article is to accurately model the appearance of the detected lung nodules using a new developed seventh-order Markov Gibbs random field model that has the ability to model the existing spatial inhomogeneities for both small and large detected lung nodules, in addition to the integration with the extracted geometric features  Finally, a deep autoencoder classifier is fed by the above 2 feature groups to distinguish between the malignant and benign nodules  To evaluate the proposed framework, we used the publicly available data from the Lung Image Database Consortium  We used a total of 727 nodules that were collected from 467 patients  The proposed system demonstrates the promise to be a valuable tool for the detection of lung cancer evidenced by achieving a nodule classification accuracy of 91 20% </t>
  </si>
  <si>
    <t xml:space="preserve">1 Bioengineering Department, University of Louisville, Louisville, KY, USA </t>
  </si>
  <si>
    <t>Shaffie, A; Soliman, A; Fraiwan, L; Ghazal, M; Taher, F; Dunlap, N; Wang, B; van Berkel, V; Keynton, R; Elmaghraby, A; El-Baz, A</t>
  </si>
  <si>
    <t>10 1002/jemt 23059</t>
  </si>
  <si>
    <t xml:space="preserve">Molecular imaging with neural training of identification algorithm (neural network localization identification) </t>
  </si>
  <si>
    <t xml:space="preserve">Superresolution localization microscopy strongly relies on robust identification algorithms for accurate reconstruction of the biological systems it is used to measure  The fields of machine learning and computer vision have provided promising solutions for automated object identification, but usually rely on well represented training sets to learn object features  However, using a static training set can result in the learned identification algorithm making mistakes on data that is not well represented by the training set  Here, we present a method for training an artificial neural network without providing a training set in advance  This method uses the data to be analyzed, and the fitting algorithm to train an artificial neural network tailored to that data set  We show that the same artificial neural network can learn to identify at least two types of molecular emissions: the regular point spread functions (PSFs), and the astigmatism PSF  Simulations indicate that this method can be extremely reliable in extracting molecular emission signatures  Additionally, we implemented the artificial neural network calculation to be performed on a graphics processing unit (GPU) for massively parallelized calculation which drastically reduces the time required for the identification process  By implementing the neural identification on a GPU, we allow this method of identification to be used in a real time analysis algorithm  RESEARCH HIGHLIGHTS: Here, we present a machine learning algorithm for identifying point-spread functions without the need for an a priori training set  We show that this method can detect over 90% of molecules with less than 1% false positive identification in simulations  We further show that because this algorithm does not make assumptions of about the shape of molecular emission, it is compatible with models beyond the symmetric 2D Gaussian </t>
  </si>
  <si>
    <t>ANN</t>
    <phoneticPr fontId="0" type="noConversion"/>
  </si>
  <si>
    <t xml:space="preserve">Department of Physics and Astronomy, University of Maine, Orono, Maine, 04469-5709 </t>
  </si>
  <si>
    <t>Nelson, AJ; Hess, ST</t>
  </si>
  <si>
    <t>10 1002/mp 13199</t>
  </si>
  <si>
    <t xml:space="preserve">CT sinogram-consistency learning for metal-induced beam hardening correction </t>
  </si>
  <si>
    <t xml:space="preserve">This paper proposes a sinogram-consistency learning method to deal with beam hardening-related artifacts in polychromatic computerized tomography (CT)  The presence of highly attenuating materials in the scan field causes an inconsistent sinogram that does not match the range space of the Radon transform  When the mismatched data are entered into the range space during CT reconstruction, streaking and shading artifacts are generated owing to the inherent nature of the inverse Radon transform METHODS: The proposed learning method aims to repair inconsistent sinogram by removing the primary metal-induced beam hardening factors along the metal trace in the sinogram  Taking account of the fundamental difficulty in obtaining sufficient training data in a medical environment, the learning method is designed to use simulated training data and a patient's implant type-specific learning model is used to simplify the learning process The feasibility of the proposed method is investigated using a dataset, consisting of real CT scans of pelvises containing simulated hip prostheses  The anatomical areas in training and test data are different, in order to demonstrate that the proposed method extracts the beam hardening features, selectively  The results show that our method successfully corrects sinogram inconsistency by extracting beam hardening sources by means of deep learning This paper proposed a deep learning method of sinogram correction for beam hardening reduction in CT for the first time  Conventional methods for beam hardening reduction are based on regularizations, and have the fundamental drawback of being not easily able to use manifold CT images, while a deep learning approach has the potential to do so </t>
  </si>
  <si>
    <t xml:space="preserve">Division of Integrated Mathematics, National Institute for Mathematical Sciences, Daejeon, 34047, Korea </t>
  </si>
  <si>
    <t>Park, HS; Lee, SM; Kim, HP; Seo, JK; Chung, YE</t>
  </si>
  <si>
    <t>10 1007/s10278-018-0124-5</t>
  </si>
  <si>
    <t xml:space="preserve">Restoration of Full Data from Sparse Data in Low-Dose Chest Digital Tomosynthesis Using Deep Convolutional Neural Networks </t>
  </si>
  <si>
    <t xml:space="preserve">Chest digital tomosynthesis (CDT) provides more limited image information required for diagnosis when compared to computed tomography  Moreover, the radiation dose received by patients is higher in CDT than in chest radiography  Thus, CDT has not been actively used in clinical practice  To increase the usefulness of CDT, the radiation dose should reduce to the level used in chest radiography  Given the trade-off between image quality and radiation dose in medical imaging, a strategy to generating high-quality images from limited data is need  We investigated a novel approach for acquiring low-dose CDT images based on learning-based algorithms, such as deep convolutional neural networks  We used both simulation and experimental imaging data and focused on restoring reconstructed images from sparse to full sampling data  We developed a deep learning model based on end-to-end image translation using U-net  We used 11 and 81 CDT reconstructed input and output images, respectively, to develop the model  To measure the radiation dose of the proposed method, we investigated effective doses using Monte Carlo simulations  The proposed deep learning model effectively restored images with degraded quality due to lack of sampling data  Quantitative evaluation using structure similarity index measure (SSIM) confirmed that SSIM was increased by approximately 20% when using the proposed method  The effective dose required when using sparse sampling data was approximately 0 11 mSv, similar to that used in chest radiography (0 1 mSv) based on a report by the Radiation Society of North America  We investigated a new approach for reconstructing tomosynthesis images using sparse projection data  The model-based iterative reconstruction method has previously been used for conventional sparse sampling reconstruction  However, model-based computing requires high computational power, which limits fast three-dimensional image reconstruction and thus clinical applicability  We expect that the proposed learning-based reconstruction strategy will generate images with excellent quality quickly and thus have the potential for clinical use </t>
  </si>
  <si>
    <t xml:space="preserve">Department of Radiation Convergence Engineering, Research Institute of Health Science, Yonsei University, Wonju, Gangwon, 26493, South Korea </t>
  </si>
  <si>
    <t>Lee, D; Kim, HJ</t>
  </si>
  <si>
    <t>10 1371/journal pone 0204071</t>
  </si>
  <si>
    <t xml:space="preserve">Deep learning-based quantification of abdominal fat on magnetic resonance images </t>
  </si>
  <si>
    <t xml:space="preserve">Obesity is increasingly prevalent and associated with increased risk of developing type 2 diabetes, cardiovascular diseases, and cancer  Magnetic resonance imaging (MRI) is an accurate method for determination of body fat volume and distribution  However, quantifying body fat from numerous MRI slices is tedious and time-consuming  Here we developed a deep learning-based method for measuring visceral and subcutaneous fat in the abdominal region of mice  Congenic mice only differ from C57BL/6 (B6) Apoe knockout (Apoe-/-) mice in chromosome 9 that is replaced by C3H/HeJ genome  Male congenic mice had lighter body weight than B6-Apoe-/- mice after being fed 14 weeks of Western diet  Axial and coronal T1-weighted sequencing at 1-mm-thickness and 1-mm-gap was acquired with a 7T Bruker ClinScan scanner  A deep learning approach was developed for segmenting visceral and subcutaneous fat based on the U-net architecture made publicly available through the open-source ANTsRNet library-a growing repository of well-known neural networks  The volumes of subcutaneous and visceral fat measured through our approach were highly comparable with those from manual measurements  The Dice score, root-mean-square error (RMSE), and correlation analysis demonstrated the similarity between two methods in quantifying visceral and subcutaneous fat  Analysis with the automated method showed significant reductions in volumes of visceral and subcutaneous fat but not non-fat tissues in congenic mice compared to B6 mice  These results demonstrate the accuracy of deep learning in quantification of abdominal fat and its significance in determining body weight </t>
  </si>
  <si>
    <t xml:space="preserve">Departments of Biochemistry &amp; Molecular Genetics, University of Virginia, Charlottesville, Virginia, United States of America </t>
  </si>
  <si>
    <t>Grainger, AT; Tustison, NJ; Qing, K; Roy, R; Berr, SS; Shi, W</t>
  </si>
  <si>
    <t>10 1007/s11604-018-0779-3</t>
  </si>
  <si>
    <t xml:space="preserve">Artificial intelligence using neural network architecture for radiology (AINNAR): classification of MR imaging sequences </t>
  </si>
  <si>
    <t xml:space="preserve">The confusion of MRI sequence names could be solved if MR images were automatically identified after image data acquisition  We revealed the ability of deep learning to classify head MRI sequences Seventy-eight patients with mild cognitive impairment (MCI) having apparently normal head MR images and 78 intracranial hemorrhage (ICH) patients with morphologically deformed head MR images were enrolled  Six imaging protocols were selected to be performed: T2-weighted imaging, fluid attenuated inversion recovery imaging, T2-star-weighted imaging, diffusion-weighted imaging, apparent diffusion coefficient mapping, and source images of time-of-flight magnetic resonance angiography  The proximal first image slices and middle image slices having ambiguous and distinctive contrast patterns, respectively, were classified by two deep learning imaging classifiers, AlexNet and GoogLeNet AlexNet had accuracies of 73 3%, 73 6%, 73 1%, and 60 7% in the middle slices of MCI group, middle slices of ICH group, first slices of MCI group, and first slices of ICH group, while GoogLeNet had accuracies of 100%, 98 1%, 93 1%, and 94 8%, respectively  AlexNet significantly had lower classification ability than GoogLeNet for all datasets GoogLeNet could judge the types of head MRI sequences with a small amount of training data, irrespective of morphological or contrast conditions </t>
  </si>
  <si>
    <t>CNN, AlexNet,GoogLeNeT</t>
  </si>
  <si>
    <t xml:space="preserve">Department of Radiology, National Center for Global Health and Medicine, 1-21-1 Toyama, Shinjuku-ku, Tokyo, 162-8655, Japan  tnogucci@radiol med kyushu-u ac jp </t>
  </si>
  <si>
    <t>Noguchi, T; Higa, D; Asada, T; Kawata, Y; Machitori, A; Shida, Y; Okafuji, T; Yokoyama, K; Uchiyama, F; Tajima, T</t>
  </si>
  <si>
    <t>10 1038/s41598-018-32441-y</t>
  </si>
  <si>
    <t xml:space="preserve">Pretreatment Identification of Head and Neck Cancer Nodal Metastasis and Extranodal Extension Using Deep Learning Neural Networks </t>
  </si>
  <si>
    <t xml:space="preserve">Identification of nodal metastasis and tumor extranodal extension (ENE) is crucial for head and neck cancer management, but currently only can be diagnosed via postoperative pathology  Pretreatment, radiographic identification of ENE, in particular, has proven extremely difficult for clinicians, but would be greatly influential in guiding patient management  Here, we show that a deep learning convolutional neural network can be trained to identify nodal metastasis and ENE with excellent performance that surpasses what human clinicians have historically achieved  We trained a 3-dimensional convolutional neural network using a dataset of 2,875 CT-segmented lymph node samples with correlating pathology labels, cross-validated and fine-tuned on 124 samples, and conducted testing on a blinded test set of 131 samples  On the blinded test set, the model predicted ENE and nodal metastasis each with area under the receiver operating characteristic curve (AUC) of 0 91 (95%CI: 0 85-0 97)  The model has the potential for use as a clinical decision-making tool to help guide head and neck cancer patient management </t>
  </si>
  <si>
    <t xml:space="preserve">Department of Therapeutic Radiology, Yale School of Medicine, New Haven, USA  Benjamin kann@yale edu </t>
  </si>
  <si>
    <t>Kann, BH; Aneja, S; Loganadane, GV; Kelly, JR; Smith, SM; Decker, RH; Yu, JB; Park, HS; Yarbrough, WG; Malhotra, A; Burtness, BA; Husain, ZA</t>
  </si>
  <si>
    <t>10 1016/S2213-2600(18)30286-8</t>
  </si>
  <si>
    <t xml:space="preserve">Deep learning for classifying fibrotic lung disease on high-resolution computed tomography: a case-cohort study </t>
  </si>
  <si>
    <t xml:space="preserve">Based on international diagnostic guidelines, high-resolution CT plays a central part in the diagnosis of fibrotic lung disease  In the correct clinical context, when high-resolution CT appearances are those of usual interstitial pneumonia, a diagnosis of idiopathic pulmonary fibrosis can be made without surgical lung biopsy  We investigated the use of a deep learning algorithm for provision of automated classification of fibrotic lung disease on high-resolution CT according to criteria specified in two international diagnostic guideline statements: the 2011 American Thoracic Society (ATS)/European Respiratory Society (ERS)/Japanese Respiratory Society (JRS)/Latin American Thoracic Association (ALAT) guidelines for diagnosis and management of idiopathic pulmonary fibrosis and the Fleischner Society diagnostic criteria for idiopathic pulmonary fibrosis In this case-cohort study, for algorithm development and testing, a database of 1157 anonymised high-resolution CT scans showing evidence of diffuse fibrotic lung disease was generated from two institutions  We separated the scans into three non-overlapping cohorts (training set, n=929; validation set, n=89; and test set A, n=139) and classified them using 2011 ATS/ERS/JRS/ALAT idiopathic pulmonary fibrosis diagnostic guidelines  For each scan, the lungs were segmented and resampled to create a maximum of 500 unique four slice combinations, which we converted into image montages  The final training dataset consisted of 420 096 unique montages for algorithm training  We evaluated algorithm performance, reported as accuracy, prognostic accuracy, and weighted κ coefficient (κw) of interobserver agreement, on test set A and a cohort of 150 high-resolution CT scans (test set B) with fibrotic lung disease compared with the majority vote of 91 specialist thoracic radiologists drawn from multiple international thoracic imaging societies  We then reclassified high-resolution CT scans according to Fleischner Society diagnostic criteria for idiopathic pulmonary fibrosis  We retrained the algorithm using these criteria and evaluated its performance on 75 fibrotic lung disease specific high-resolution CT scans compared with four specialist thoracic radiologists using weighted κ coefficient of interobserver agreement The accuracy of the algorithm on test set A was 76·4%, with 92·7% of diagnoses within one category  The algorithm took 2·31 s to evaluate 150 four slice montages (each montage representing a single case from test set B)  The median accuracy of the thoracic radiologists on test set B was 70·7% (IQR 65·3-74·7), and the accuracy of the algorithm was 73·3% (93·3% were within one category), outperforming 60 (66%) of 91 thoracic radiologists  Median interobserver agreement between each of the thoracic radiologists and the radiologist's majority opinion was good (κw=0·67 [IQR 0·58-0·72])  Interobserver agreement between the algorithm and the radiologist's majority opinion was good (κw=0·69), outperforming 56 (62%) of 91 thoracic radiologists  The algorithm provided equally prognostic discrimination between usual interstitial pneumonia and non-usual interstitial pneumonia diagnoses (hazard ratio 2·88, 95% CI 1·79-4·61, p&lt;0·0001) compared with the majority opinion of the thoracic radiologists (2·74, 1·67-4·48, p&lt;0·0001)  For Fleischner Society high-resolution CT criteria for usual interstitial pneumonia, median interobserver agreement between the radiologists was moderate (κw=0·56 [IQR 0·55-0·58]), but was good between the algorithm and the radiologists (κw=0·64 [0·55-0·72]) High-resolution CT evaluation by a deep learning algorithm might provide low-cost, reproducible, near-instantaneous classification of fibrotic lung disease with human-level accuracy  These methods could be of benefit to centres at which thoracic imaging expertise is scarce, as well as for stratification of patients in clinical trials None </t>
  </si>
  <si>
    <t>Italy</t>
    <phoneticPr fontId="0" type="noConversion"/>
  </si>
  <si>
    <t>The Lancet  Respiratory medicine</t>
  </si>
  <si>
    <t xml:space="preserve">Department of Radiology, King's College Hospital Foundation Trust, London, UK  Electronic address: slfwalsh@gmail com </t>
  </si>
  <si>
    <t>Walsh, SLF; Calandriello, L; Silva, M; Sverzellati, N</t>
  </si>
  <si>
    <t>101605555</t>
  </si>
  <si>
    <t>10 1016/S2213-2600(18)30371-0</t>
  </si>
  <si>
    <t xml:space="preserve">Deep learning and the evaluation of pulmonary fibrosis </t>
  </si>
  <si>
    <t xml:space="preserve">Mayo College of Medicine, Department of Radiology, Mayo Clinic, Rochester, MN 55905, USA  Electronic address: levin david@mayo edu </t>
  </si>
  <si>
    <t>Levin, DL</t>
  </si>
  <si>
    <t>10 1016/j media 2018 09 001</t>
  </si>
  <si>
    <t xml:space="preserve">Direct delineation of myocardial infarction without contrast agents using a joint motion feature learning architecture </t>
  </si>
  <si>
    <t xml:space="preserve">Changes in mechanical properties of myocardium caused by a infarction can lead to kinematic abnormalities  This phenomenon has inspired us to develop this work for delineation of myocardial infarction area directly from non-contrast agents cardiac MR imaging sequences  The main contribution of this work is to develop a new joint motion feature learning architecture to efficiently establish direct correspondences between motion features and tissue properties  This architecture consists of three seamless connected function layers: the heart localization layers can automatically crop the region of interest (ROI) sequences involving the left ventricle from the cardiac MR imaging sequences; the motion feature extraction layers, using long short-term memory-recurrent neural networks, a) builds patch-based motion features through local intensity changes between fixed-size patch sequences (cropped from image sequences), and b) uses optical flow techniques to build image-based features through global intensity changes between adjacent images to describe the motion of each pixel; the fully connected discriminative layers can combine two types of motion features together in each pixel and then build the correspondences between motion features and tissue identities (that is, infarct or not) in each pixel  We validated the performance of our framework in 165 cine cardiac MR imaging datasets by comparing to the ground truths manually segmented from delayed Gadolinium-enhanced MR cardiac images by two radiologists with more than 10 years of experience  Our experimental results show that our proposed method has a high and stable accuracy (pixel-level: 95 03%) and consistency (Kappa statistic: 0 91; Dice: 89 87%; RMSE: 0 72  mm; Hausdorff distance: 5 91  mm) compared to manual delineation results  Overall, the advantage of our framework is that it can determine the tissue identity in each pixel from its motion pattern captured by normal cine cardiac MR images, which makes it an attractive tool for the clinical diagnosis of infarction </t>
  </si>
  <si>
    <t>RNN,CNN</t>
  </si>
  <si>
    <t xml:space="preserve">Department of Medical Imaging, Western University, London ON, Canada; School of Computer Science and Technology, Anhui University, Hefei, China </t>
  </si>
  <si>
    <t>Xu, C; Xu, L; Gao, Z; Zhao, S; Zhang, H; Zhang, Y; Du, X; Zhao, S; Ghista, D; Liu, H; Li, S</t>
  </si>
  <si>
    <t>10 1371/journal pone 0203355</t>
  </si>
  <si>
    <t xml:space="preserve">Detection of masses in mammograms using a one-stage object detector based on a deep convolutional neural network </t>
  </si>
  <si>
    <t xml:space="preserve">Several computer aided diagnosis (CAD) systems have been developed for mammography  They are widely used in certain countries such as the U S  where mammography studies are conducted more frequently; however, they are not yet globally employed for clinical use due to their inconsistent performance, which can be attributed to their reliance on hand-crafted features  It is difficult to use hand-crafted features for mammogram images that vary due to factors such as the breast density of patients and differences in imaging devices  To address these problems, several studies have leveraged a deep convolutional neural network that does not require hand-crafted features  Among the recent object detectors, RetinaNet is particularly promising as it is a simpler one-stage object detector that is fast and efficient while achieving state-of-the-art performance  RetinaNet has been proven to perform conventional object detection tasks but has not been tested on detecting masses in mammograms  Thus, we propose a mass detection model based on RetinaNet  To validate its performance in diverse use cases, we construct several experimental setups using the public dataset INbreast and the in-house dataset GURO  In addition to training and testing on the same dataset (i e , training and testing on INbreast), we evaluate our mass detection model in setups using additional training data (i e , training on INbreast + GURO and testing on INbreast)  We also evaluate our model in setups using pre-trained weights (i e , using weights pre-trained on GURO, training and testing on INbreast)  In all the experiments, our mass detection model achieves comparable or better performance than more complex state-of-the-art models including the two-stage object detector  Also, the results show that using the weights pre-trained on datasets achieves similar performance as directly using datasets in the training phase  Therefore, we make our mass detection model's weights pre-trained on both GURO and INbreast publicly available  We expect that researchers who train RetinaNet on their in-house dataset for the mass detection task can use our pre-trained weights to leverage the features extracted from the datasets </t>
  </si>
  <si>
    <t>CNN,FCN,FASTER R-CNN,FPN,RESNET</t>
  </si>
  <si>
    <t>Jung, H; Kim, B; Lee, I; Yoo, M; Lee, J; Ham, S; Woo, O; Kang, J</t>
  </si>
  <si>
    <t>10 3233/XST-18386</t>
  </si>
  <si>
    <t xml:space="preserve">Comparison of medical image classification accuracy among three machine learning methods </t>
  </si>
  <si>
    <t xml:space="preserve">Low-quality medical images may influence the accuracy of the machine learning process This study was undertaken to compare accuracy of medical image classification among machine learning methods, as classification is a basic aspect of clinical image inspection Three types of machine learning methods were used, which include Support Vector Machine (SVM), Artificial Neural Network (ANN), and Convolution Neural Network (CNN)  To investigate changes in accuracy related to image quality, we constructed a single dataset using two different file formats of DICOM (Digital Imaging and Communications in Medicine) and JPEG (Joint Photographic Experts Group) The JPEG format contains less color information and data capacity than the DICOM format  CNN classification was accurate for both datasets, whereas SVM and ANN accuracy decreased with the loss of data from DICOM to JPEG formats CNN is more accurate than conventional machine learning methods that utilize the manual feature extraction </t>
  </si>
  <si>
    <t xml:space="preserve">Department of Radiological Technology, Gunma Prefectural College of Health Sciences, Maebashi, Japan </t>
  </si>
  <si>
    <t>Maruyama, T; Hayashi, N; Sato, Y; Hyuga, S; Wakayama, Y; Watanabe, H; Ogura, A; Ogura, T</t>
  </si>
  <si>
    <t>10 1007/s10792-018-1016-x</t>
  </si>
  <si>
    <t xml:space="preserve">Comparison between support vector machine and deep learning, machine-learning technologies for detecting epiretinal membrane using 3D-OCT </t>
  </si>
  <si>
    <t xml:space="preserve">In this study, we compared deep learning (DL) with support vector machine (SVM), both of which use three-dimensional optical coherence tomography (3D-OCT) images for detecting epiretinal membrane (ERM) In total, 529 3D-OCT images from the Tsukazaki hospital ophthalmology database (184 non-ERM subjects and 205 ERM patients) were assessed; 80% of the images were divided for training, and 20% for test as follows: 423 training (non-ERM 245, ERM 178) and 106 test (non-ERM 59, ERM 47) images  Using the 423 training images, a model was created with deep convolutional neural network and SVM, and the test data were evaluated The DL model's sensitivity was 97 6% [95% confidence interval (CI), 87 7-99 9%] and specificity was 98 0% (95% CI, 89 7-99 9%), and the area under the curve (AUC) was 0 993 (95% CI, 0 993-0 994)  In contrast, the SVM model's sensitivity was 97 6% (95% CI, 87 7-99 9%), specificity was 94 2% (95% CI, 84 0-98 7%), and AUC was 0 988 (95% CI, 0 987-0 988) DL model is better than SVM model in detecting ERM by using 3D-OCT images </t>
  </si>
  <si>
    <t>International ophthalmology</t>
  </si>
  <si>
    <t xml:space="preserve">Department of Ophthalmology, Tsukazaki Hospital, 68-1 Waku, Aboshi-ku, Himeji, 671-1227, Japan  t sonobe@tsukazaki-eye net </t>
  </si>
  <si>
    <t>Sonobe, T; Tabuchi, H; Ohsugi, H; Masumoto, H; Ishitobi, N; Morita, S; Enno, H; Nagasato, D</t>
  </si>
  <si>
    <t>7904294</t>
  </si>
  <si>
    <t>10 1186/s12968-018-0471-x</t>
  </si>
  <si>
    <t xml:space="preserve">Automated cardiovascular magnetic resonance image analysis with fully convolutional networks </t>
  </si>
  <si>
    <t xml:space="preserve">Cardiovascular resonance (CMR) imaging is a standard imaging modality for assessing cardiovascular diseases (CVDs), the leading cause of death globally  CMR enables accurate quantification of the cardiac chamber volume, ejection fraction and myocardial mass, providing information for diagnosis and monitoring of CVDs  However, for years, clinicians have been relying on manual approaches for CMR image analysis, which is time consuming and prone to subjective errors  It is a major clinical challenge to automatically derive quantitative and clinically relevant information from CMR images Deep neural networks have shown a great potential in image pattern recognition and segmentation for a variety of tasks  Here we demonstrate an automated analysis method for CMR images, which is based on a fully convolutional network (FCN)  The network is trained and evaluated on a large-scale dataset from the UK Biobank, consisting of 4,875 subjects with 93,500 pixelwise annotated images  The performance of the method has been evaluated using a number of technical metrics, including the Dice metric, mean contour distance and Hausdorff distance, as well as clinically relevant measures, including left ventricle (LV) end-diastolic volume (LVEDV) and end-systolic volume (LVESV), LV mass (LVM); right ventricle (RV) end-diastolic volume (RVEDV) and end-systolic volume (RVESV) By combining FCN with a large-scale annotated dataset, the proposed automated method achieves a high performance in segmenting the LV and RV on short-axis CMR images and the left atrium (LA) and right atrium (RA) on long-axis CMR images  On a short-axis image test set of 600 subjects, it achieves an average Dice metric of 0 94 for the LV cavity, 0 88 for the LV myocardium and 0 90 for the RV cavity  The mean absolute difference between automated measurement and manual measurement is 6 1 mL for LVEDV, 5 3 mL for LVESV, 6 9 gram for LVM, 8 5 mL for RVEDV and 7 2 mL for RVESV  On long-axis image test sets, the average Dice metric is 0 93 for the LA cavity (2-chamber view), 0 95 for the LA cavity (4-chamber view) and 0 96 for the RA cavity (4-chamber view)  The performance is comparable to human inter-observer variability We show that an automated method achieves a performance on par with human experts in analysing CMR images and deriving clinically relevant measures </t>
  </si>
  <si>
    <t>Journal of cardiovascular magnetic resonance : official journal of the Society for Cardiovascular Magnetic Resonance</t>
  </si>
  <si>
    <t xml:space="preserve">Biomedical Image Analysis Group, Department of Computing, Imperial College London, London, UK  w bai@imperial ac uk </t>
  </si>
  <si>
    <t>Bai, W; Sinclair, M; Tarroni, G; Oktay, O; Rajchl, M; Vaillant, G; Lee, AM; Aung, N; Lukaschuk, E; Sanghvi, MM; Zemrak, F; Fung, K; Paiva, JM; Carapella, V; Kim, YJ; Suzuki, H; Kainz, B; Matthews, PM; Petersen, SE; Piechnik, SK; Neubauer, S; Glocker, B; Rueckert, D</t>
  </si>
  <si>
    <t>9815616</t>
  </si>
  <si>
    <t>10 1142/S0129065718500351</t>
  </si>
  <si>
    <r>
      <t xml:space="preserve">Convolutional Neural Networks for </t>
    </r>
    <r>
      <rPr>
        <sz val="10"/>
        <color indexed="10"/>
        <rFont val="Arial"/>
        <family val="2"/>
      </rPr>
      <t>Neuroimaging</t>
    </r>
    <r>
      <rPr>
        <sz val="10"/>
        <rFont val="Arial"/>
        <family val="2"/>
      </rPr>
      <t xml:space="preserve"> in Parkinson's Disease: Is </t>
    </r>
    <r>
      <rPr>
        <sz val="10"/>
        <color indexed="10"/>
        <rFont val="Arial"/>
        <family val="2"/>
      </rPr>
      <t>Preprocessing</t>
    </r>
    <r>
      <rPr>
        <sz val="10"/>
        <rFont val="Arial"/>
        <family val="2"/>
      </rPr>
      <t xml:space="preserve"> Needed?</t>
    </r>
  </si>
  <si>
    <t xml:space="preserve">Spatial and intensity normalizations are nowadays a prerequisite for neuroimaging analysis  Influenced by voxel-wise and other univariate comparisons, where these corrections are key, they are commonly applied to any type of analysis and imaging modalities  Nuclear imaging modalities such as PET-FDG or FP-CIT SPECT, a common modality used in Parkinson's disease diagnosis, are especially dependent on intensity normalization  However, these steps are computationally expensive and furthermore, they may introduce deformations in the images, altering the information contained in them  Convolutional neural networks (CNNs), for their part, introduce position invariance to pattern recognition, and have been proven to classify objects regardless of their orientation, size, angle, etc  Therefore, a question arises: how well can CNNs account for spatial and intensity differences when analyzing nuclear brain imaging? Are spatial and intensity normalizations still needed? To answer this question, we have trained four different CNN models based on well-established architectures, using or not different spatial and intensity normalization preprocessings  The results show that a sufficiently complex model such as our three-dimensional version of the ALEXNET can effectively account for spatial differences, achieving a diagnosis accuracy of 94 1% with an area under the ROC curve of 0 984  The visualization of the differences via saliency maps shows that these models are correctly finding patterns that match those found in the literature, without the need of applying any complex spatial normalization procedure  However, the intensity normalization - and its type - is revealed as very influential in the results and accuracy of the trained model, and therefore must be well accounted </t>
  </si>
  <si>
    <t>PROSPECTIVE</t>
    <phoneticPr fontId="0" type="noConversion"/>
  </si>
  <si>
    <t>International journal of neural systems</t>
  </si>
  <si>
    <t xml:space="preserve">* Department of Signal Theory, Networking and Communications, University of Granada, Granada, Spain </t>
  </si>
  <si>
    <t>Martinez-Murcia, FJ; Górriz, JM; Ramírez, J; Ortiz, A</t>
  </si>
  <si>
    <t>9100527</t>
  </si>
  <si>
    <t>10 1038/s41598-018-31911-7</t>
  </si>
  <si>
    <t xml:space="preserve">Objective Evaluation of Multiple Sclerosis Lesion Segmentation using a Data Management and Processing Infrastructure </t>
  </si>
  <si>
    <t xml:space="preserve">We present a study of multiple sclerosis segmentation algorithms conducted at the international MICCAI 2016 challenge  This challenge was operated using a new open-science computing infrastructure  This allowed for the automatic and independent evaluation of a large range of algorithms in a fair and completely automatic manner  This computing infrastructure was used to evaluate thirteen methods of MS lesions segmentation, exploring a broad range of state-of-theart algorithms, against a high-quality database of 53 MS cases coming from four centers following a common definition of the acquisition protocol  Each case was annotated manually by an unprecedented number of seven different experts  Results of the challenge highlighted that automatic algorithms, including the recent machine learning methods (random forests, deep learning, …), are still trailing human expertise on both detection and delineation criteria  In addition, we demonstrate that computing a statistically robust consensus of the algorithms performs closer to human expertise on one score (segmentation) although still trailing on detection scores </t>
  </si>
  <si>
    <t xml:space="preserve">VISAGES: INSERM U1228 - CNRS UMR6074 - Inria, University of Rennes I, Rennes, France  Olivier Commowick@inria fr </t>
    <phoneticPr fontId="0" type="noConversion"/>
  </si>
  <si>
    <t>Commowick, O; Istace, A; Kain, M; Laurent, B; Leray, F; Simon, M; Pop, SC; Girard, P; Améli, R; Ferré, JC; Kerbrat, A; Tourdias, T; Cervenansky, F; Glatard, T; Beaumont, J; Doyle, S; Forbes, F; Knight, J; Khademi, A; Mahbod, A; Wang, C; McKinley, R; Wagner, F; Muschelli, J; Sweeney, E; Roura, E; Lladó, X; Santos, MM; Santos, WP; Silva-Filho, AG; Tomas-Fernandez, X; Urien, H; Bloch, I; Valverde, S; Cabezas, M; Vera-Olmos, FJ; Malpica, N; Guttmann, C; Vukusic, S; Edan, G; Dojat, M; Styner, M; Warfield, SK; Cotton, F; Barillot, C</t>
  </si>
  <si>
    <t>10 1016/j compmedimag 2018 08 006</t>
  </si>
  <si>
    <t xml:space="preserve">Computer-aided classification of prostate cancer grade groups from MRI images using texture features and stacked sparse autoencoder </t>
  </si>
  <si>
    <t xml:space="preserve">A novel method to determine the Grade Group (GG) in prostate cancer (PCa) using multi-parametric magnetic resonance imaging (mpMRI) biomarkers is investigated in this paper  In this method, high-level features are extracted from hand-crafted texture features using a deep network of stacked sparse autoencoders (SSAE) and classified them using a softmax classifier (SMC)  Transaxial T2 Weighted (T2W), Apparent Diffusion Coefficient (ADC) and high B-Value Diffusion-Weighted (BVAL) images obtained from PROSTATEx-2 2017 challenge dataset are used in this technique  The method was evaluated on the challenge dataset composed of a training set of 112 lesions and a test set of 70 lesions  It achieved a quadratic-weighted Kappa score of 0 2772 on evaluation using test dataset of the challenge  It also reached a Positive Predictive Value (PPV) of 80% in predicting PCa with GG &gt; 1  The method achieved first place in the challenge, winning over 43 methods submitted by 21 groups  A 3-fold cross-validation using training data of the challenge was further performed and the method achieved a quadratic-weighted kappa score of 0 2326 and Positive Predictive Value (PPV) of 80 26% in predicting PCa with GG &gt; 1  Even though the training dataset is a highly imbalanced one, the method was able to achieve a fair kappa score  Being one of the pioneer methods which attempted to classify prostate cancer into 5 grade groups from MRI images, it could serve as a base method for further investigations and improvements </t>
  </si>
  <si>
    <t xml:space="preserve">Department of Computer Science, University of Kerala, Kariavattom, Thiruvananthapuram 695581, Kerala, India  Electronic address: bjoyabraham@gmail com </t>
  </si>
  <si>
    <t>Abraham, B; Nair, MS</t>
  </si>
  <si>
    <t>10 1097/RLI 0000000000000509</t>
  </si>
  <si>
    <t xml:space="preserve">Evaluation of an AI-Based Detection Software for Acute Findings in Abdominal Computed Tomography Scans: Toward an Automated Work List Prioritization of Routine CT Examinations </t>
  </si>
  <si>
    <t xml:space="preserve">The aim of this study was to test the diagnostic performance of a deep learning-based triage system for the detection of acute findings in abdominal computed tomography (CT) examinations Using a RIS/PACS (Radiology Information System/Picture Archiving and Communication System) search engine, we obtained 100 consecutive abdominal CTs with at least one of the following findings: free-gas, free-fluid, or fat-stranding and 100 control cases with absence of these findings  The CT data were analyzed using a convolutional neural network algorithm previously trained for detection of these findings on an independent sample  The validation of the results was performed on a Web-based feedback system by a radiologist with 1 year of experience in abdominal imaging without prior knowledge of image findings through both visual confirmation and comparison with the clinically approved, written report as the standard of reference  All cases were included in the final analysis, except those in which the whole dataset could not be processed by the detection software  Measures of diagnostic accuracy were then calculated A total of 194 cases were included in the analysis, 6 excluded because of technical problems during the extraction of the DICOM datasets from the local PACS  Overall, the algorithm achieved a 93% sensitivity (91/98, 7 false-negative) and 97% specificity (93/96, 3 false-positive) in the detection of acute abdominal findings  Intra-abdominal free gas was detected with a 92% sensitivity (54/59) and 93% specificity (39/42), free fluid with a 85% sensitivity (68/80) and 95% specificity (20/21), and fat stranding with a 81% sensitivity (42/50) and 98% specificity (48/49)  False-positive results were due to streak artifacts, partial volume effects, and a misidentification of a diverticulum (each n = 1) The algorithm's autonomous detection of acute pathological abdominal findings demonstrated a high diagnostic performance, enabling guidance of the radiology workflow toward prioritization of abdominal CT examinations with acute conditions </t>
  </si>
  <si>
    <t>Investigative radiology</t>
  </si>
  <si>
    <t xml:space="preserve">From the Department of Radiology, University Hospital Basel, Basel, Switzerland </t>
  </si>
  <si>
    <t>Winkel, DJ; Heye, T; Weikert, TJ; Boll, DT; Stieltjes, B</t>
  </si>
  <si>
    <t>0045377</t>
  </si>
  <si>
    <t>10 1002/mp 13175</t>
  </si>
  <si>
    <t xml:space="preserve">ScatterNet: A convolutional neural network for cone-beam CT intensity correction </t>
  </si>
  <si>
    <t xml:space="preserve">To demonstrate a proof-of-concept for fast cone-beam CT (CBCT) intensity correction in projection space by the use of deep learning The CBCT scans and corresponding projections were acquired from 30 prostate cancer patients  Reference shading correction was performed using a validated method (CBCT 
                            cor
                     ), which estimates scatter and other low-frequency deviations in the measured CBCT projections on the basis of a prior CT image obtained from warping the planning CT to the CBCT  A convolutional neural network (ScatterNet) was designed, consisting of an attenuation conversion stage followed by a shading correction stage using a UNet-like architecture  The combined network was trained in 2D, utilizing pairs of measured and corrected projections of the reference method, in order to perform shading correction in projection space before reconstruction  The number of patients used for training, testing, and evaluation was 15, 7, and 8, respectively  The reconstructed CBCT 
                            ScatterNet
                     was compared to CBCT 
                            cor
                     in terms of mean and absolute errors (ME and MAE) for the eight evaluation patients (not included in the network training)  Volumetric modulated arc photon therapy (VMAT) and intensity-modulated proton therapy (IMPT) plans were generated on CBCT 
                            cor
                       Dose was recalculated on CBCT 
                            ScatterNet
                     to evaluate its dosimetric accuracy  Single-field uniform dose proton plans were utilized for proton range comparison of CBCT 
                            ScatterNet
                     and CBCT 
                            cor
                      The CBCT 
                            ScatterNet
                     showed no cupping artifacts and a considerably smaller MAE and ME with respect to CBCT 
                            cor
                     than the uncorrected CBCT (on average 144 Hounsfield units (HU) vs 46 HU for MAE and 138 HU vs -3 HU for ME)  The pass-rates using a 2% dose-difference criterion at 50% dose cut-off, were close to 100% for the VMAT plans of all patients when comparing CBCT 
                            ScatterNet
                     to CBCT 
                            cor
                       For IMPT plans pass-rates were clearly lower, ranging from 15% to 81%  Proton range differences of up to 5 mm occurred Using a deep convolutional neural network for CBCT intensity correction was shown to be feasible in the pelvic region for the first time  Dose calculation accuracy on CBCT 
                            ScatterNet
                     was high for VMAT, but unsatisfactory for IMPT  With respect to the reference technique (CBCT 
                            cor
                     ), the neural network enabled a considerable increase in speed for intensity correction and might eventually allow for on-the-fly shading correction during CBCT acquisition </t>
  </si>
  <si>
    <t xml:space="preserve">Department of Medical Physics, Aarhus University Hospital, Aarhus, 8200, Denmark </t>
  </si>
  <si>
    <t>Hansen, DC; Landry, G; Kamp, F; Li, M; Belka, C; Parodi, K; Kurz, C</t>
  </si>
  <si>
    <t>10 1111/exd 13777</t>
  </si>
  <si>
    <t xml:space="preserve">Multimodal skin lesion classification using deep learning </t>
  </si>
  <si>
    <t xml:space="preserve">While convolutional neural networks (CNNs) have successfully been applied for skin lesion classification, previous studies have generally considered only a single clinical/macroscopic image and output a binary decision  In this work, we have presented a method which combines multiple imaging modalities together with patient metadata to improve the performance of automated skin lesion diagnosis  We evaluated our method on a binary classification task for comparison with previous studies as well as a five class classification task representative of a real-world clinical scenario  We showed that our multimodal classifier outperforms a baseline classifier that only uses a single macroscopic image in both binary melanoma detection (AUC 0 866 vs 0 784) and in multiclass classification (mAP 0 729 vs 0 598)  In addition, we have quantitatively showed the automated diagnosis of skin lesions using dermatoscopic images obtains a higher performance when compared to using macroscopic images  We performed experiments on a new data set of 2917 cases where each case contains a dermatoscopic image, macroscopic image and patient metadata </t>
  </si>
  <si>
    <t>Experimental dermatology</t>
  </si>
  <si>
    <t xml:space="preserve">MetaOptima Technology Inc , Vancouver, British Columbia, Canada </t>
  </si>
  <si>
    <t>Yap, J; Yolland, W; Tschandl, P</t>
  </si>
  <si>
    <t>9301549</t>
  </si>
  <si>
    <t>10 1148/radiol 2018180763</t>
  </si>
  <si>
    <t xml:space="preserve">Development and Validation of a Deep Learning System for Staging Liver Fibrosis by Using Contrast Agent-enhanced CT Images in the Liver </t>
  </si>
  <si>
    <t xml:space="preserve">Purpose To develop and validate a deep learning system (DLS) for staging liver fibrosis by using CT images in the liver  Materials and Methods DLS for CT-based staging of liver fibrosis was created by using a development data set that included portal venous phase CT images in 7461 patients with pathologically confirmed liver fibrosis  The diagnostic performance of the DLS was evaluated in separate test data sets for 891 patients  The influence of patient characteristics and CT techniques on the staging accuracy of the DLS was evaluated by logistic regression analysis  In a subset of 421 patients, the diagnostic performance of the DLS was compared with that of the radiologist's assessment, aminotransferase-to-platelet ratio index (APRI), and fibrosis-4 index by using the area under the receiver operating characteristic curve (AUROC) and Obuchowski index  Results In the test data sets, the DLS had a staging accuracy of 79 4% (707 of 891) and an AUROC of 0 96, 0 97, and 0 95 for diagnosing significant fibrosis (F2-4), advanced fibrosis (F3-4), and cirrhosis (F4), respectively  At multivariable analysis, only pathologic fibrosis stage significantly affected the staging accuracy of the DLS (P =  016 and  013 for F1 and F2, respectively, compared with F4), whereas etiology of liver disease and CT technique did not  The DLS (Obuchowski index, 0 94) outperformed the radiologist's interpretation, APRI, and fibrosis-4 index (Obuchowski index range, 0 71-0 81; P ˂  001) for staging liver fibrosis  Conclusion The deep learning system allows for accurate staging of liver fibrosis by using CT images  © RSNA, 2018 Online supplemental material is available for this article </t>
  </si>
  <si>
    <t xml:space="preserve">From the Department of Computer Science, Hanyang University, Seoul, Republic of Korea (K J C ); Department of Radiology and Research Institute of Radiology (J K J , S S L , Y S S , W H S , H S K , J Y , J H K , S Y K ) and Department of Diagnostic Pathology (E S Y ), Asan Medical Center, University of Ulsan College of Medicine, 88 Olympic-ro 43-gil, Songpa-gu, Seoul 05505, South Korea; Department of Radiology, Severance Hospital, Yonsei University College of Medicine, Seoul, Korea (J Y C ); Department of Radiology, Haeundae Paik Hospital, Inje University College of Medicine, Busan, Korea (Y L ); and Department of Radiology, Hanyang University Medical Center, Hanyang University School of Medicine, Seoul, Korea (B K K ) </t>
  </si>
  <si>
    <t>Choi, KJ; Jang, JK; Lee, SS; Sung, YS; Shim, WH; Kim, HS; Yun, J; Choi, JY; Lee, Y; Kang, BK; Kim, JH; Kim, SY; Yu, ES</t>
  </si>
  <si>
    <t>10 1038/s41598-018-31486-3</t>
  </si>
  <si>
    <t xml:space="preserve">Performance of the deep convolutional neural network based magnetic resonance image scoring algorithm for differentiating between tuberculous and pyogenic spondylitis </t>
  </si>
  <si>
    <t xml:space="preserve">The purpose of this study was to evaluate the performance of the deep convolutional neural network (DCNN) in differentiating between tuberculous and pyogenic spondylitis on magnetic resonance (MR) imaging, compared to the performance of three skilled radiologists  This clinical retrospective study used spine MR images of 80 patients with tuberculous spondylitis and 81 patients with pyogenic spondylitis that was bacteriologically and/or histologically confirmed from January 2007 to December 2016  Supervised training and validation of the DCNN classifier was performed with four-fold cross validation on a patient-level independent split  The object detection and classification model was implemented as a DCNN and was designed to calculate the deep-learning scores of individual patients to reach a conclusion  Three musculoskeletal radiologists blindly interpreted the images  The diagnostic performances of the DCNN classifier and of the three radiologists were expressed as receiver operating characteristic (ROC) curves, and the areas under the ROC curves (AUCs) were compared using a bootstrap resampling procedure  When comparing the AUC value of the DCNN classifier (0 802) with the pooled AUC value of the three readers (0 729), there was no significant difference (P = 0 079)  In differentiating between tuberculous and pyogenic spondylitis using MR images, the performance of the DCNN classifier was comparable to that of three skilled radiologists </t>
  </si>
  <si>
    <t xml:space="preserve">Department of Radiology, Gangnam Severance Hospital, Yonsei University College of Medicine, Research Institute of Radiological Science, Center for Clinical Imaging Data Science, Seoul, South Korea </t>
  </si>
  <si>
    <t>Kim, K; Kim, S; Lee, YH; Lee, SH; Lee, HS; Kim, S</t>
  </si>
  <si>
    <t>10 1016/j compmedimag 2018 08 001</t>
  </si>
  <si>
    <t xml:space="preserve">Automatic polyp frame screening using patch based combined feature and dictionary learning </t>
  </si>
  <si>
    <t xml:space="preserve">Polyps in the colon can potentially become malignant cancer tissues where early detection and removal lead to high survival rate  Certain types of polyps can be difficult to detect even for highly trained physicians  Inspired by aforementioned problem our study aims to improve the human detection performance by developing an automatic polyp screening framework as a decision support tool  We use a small image patch based combined feature method  Features include shape and color information and are extracted using histogram of oriented gradient and hue histogram methods  Dictionary learning based training is used to learn features and final feature vector is formed using sparse coding  For classification, we use patch image classification based on linear support vector machine and whole image thresholding  The proposed framework is evaluated using three public polyp databases  Our experimental results show that the proposed scheme successfully classified polyps and normal images with over 95% of classification accuracy, sensitivity, specificity and precision  In addition, we compare performance of the proposed scheme with conventional feature based methods and the convolutional neural network (CNN) based deep learning approach which is the state of the art technique in many image classification applications </t>
  </si>
  <si>
    <t xml:space="preserve">Department Electronic Systems at Norwegian University of Science and Technology (NTNU), Trondheim, Norway  Electronic address: shinyh0919@gmail com </t>
    <phoneticPr fontId="0" type="noConversion"/>
  </si>
  <si>
    <t>Shin, Y; Balasingham, I</t>
  </si>
  <si>
    <t>10 2967/jnumed 118 209288</t>
  </si>
  <si>
    <t xml:space="preserve">Dixon-VIBE Deep Learning (DIVIDE) Pseudo-CT Synthesis for Pelvis PET/MR Attenuation Correction </t>
  </si>
  <si>
    <t xml:space="preserve">Whole-body attenuation correction (AC) is still challenging in combined PET/MR scanners  We describe Dixon-VIBE Deep Learning (DIVIDE), a deep-learning network that allows synthesizing pelvis pseudo-CT maps based only on the standard Dixon volumetric interpolated breath-hold examination (Dixon-VIBE) images currently acquired for AC in some commercial scanners  Methods: We propose a network that maps between the four 2-dimensional (2D) Dixon MR images (water, fat, in-phase, and out-of-phase) and their corresponding 2D CT image  In contrast to previous methods, we used transposed convolutions to learn the up-sampling parameters, we used whole 2D slices to provide context information, and we pretrained the network with brain images  Twenty-eight datasets obtained from 19 patients who underwent PET/CT and PET/MR examinations were used to evaluate the proposed method  We assessed the accuracy of the μ-maps and reconstructed PET images by performing voxel- and region-based analysis comparing the SUVs (in g/mL) obtained after AC using the Dixon-VIBE (PETDixon), DIVIDE (PETDIVIDE), and CT-based (PETCT) methods  Additionally, the bias in quantification was estimated in synthetic lesions defined in the prostate, rectum, pelvis, and spine  Results: Absolute mean relative change values relative to CT AC were lower than 2% on average for the DIVIDE method in every region of interest except for bone tissue, where it was lower than 4% and 6 75 times smaller than the relative change of the Dixon method  There was an excellent voxel-by-voxel correlation between PETCT and PETDIVIDE (R2 = 0 9998, P &lt; 0 01)  The Bland-Altman plot between PETCT and PETDIVIDE showed that the average of the differences and the variability were lower (mean PETCT-PETDIVIDE SUV, 0 0003; PETCT-PETDIVIDE SD, 0 0094; 95% confidence interval, [-0 0180,0 0188]) than the average of differences between PETCT and PETDixon (mean PETCT-PETDixon SUV, 0 0006; PETCT-PETDixon SD, 0 0264; 95% confidence interval, [-0 0510,0 0524])  Statistically significant changes in PET data quantification were observed between the 2 methods in the synthetic lesions, with the largest improvement in femur and spine lesions  Conclusion: The DIVIDE method can accurately synthesize a pelvis pseudo-CT scan from standard Dixon-VIBE images, allowing for accurate AC in combined PET/MR scanners  Additionally, our implementation allows rapid pseudo-CT synthesis, making it suitable for routine applications and even allowing retrospective processing of Dixon-VIBE data </t>
  </si>
  <si>
    <t>Journal of nuclear medicine : official publication, Society of Nuclear Medicine</t>
  </si>
  <si>
    <t xml:space="preserve">Athinoula A  Martinos Center for Biomedical Imaging, Department of Radiology, Massachusetts General Hospital and Harvard Medical School, Charlestown, Massachusetts </t>
  </si>
  <si>
    <t>Torrado-Carvajal, A; Vera-Olmos, J; Izquierdo-Garcia, D; Catalano, OA; Morales, MA; Margolin, J; Soricelli, A; Salvatore, M; Malpica, N; Catana, C</t>
  </si>
  <si>
    <t>0217410</t>
  </si>
  <si>
    <t>10 1055/s-0038-1667083</t>
  </si>
  <si>
    <t xml:space="preserve">Deep Learning on 1-D Biosignals: a Taxonomy-based Survey </t>
  </si>
  <si>
    <t xml:space="preserve"> Deep learning models such as convolutional neural networks (CNNs) have been applied successfully to medical imaging, but biomedical signal analysis has yet to fully benefit from this novel approach  Our survey aims at (i) reviewing deep learning techniques for biosignal analysis in computer- aided diagnosis; and (ii) deriving a taxonomy for organizing the growing number of applications in the field  A comprehensive literature research was performed using PubMed, Scopus, and ACM  Deep learning models were classified with respect to the (i) origin, (ii) dimension, and (iii) type of the biosignal as input to the deep learning model; (iv) the goal of the application; (v) the size and (vi) type of ground truth data; (vii) the type and (viii) schedule of learning the network; and (ix) the topology of the model  Between January 2010 and December 2017, a total 71 papers were published on the topic  The majority (n = 36) of papers are on electrocariography (ECG) signals  Most applications (n = 25) aim at detection of patterns, while only a few (n = 6) at predection of events  Out of 36 ECG-based works, many (n = 17) relate to multi-lead ECG  Other biosignals that have been identified in the survey are electromyography, phonocardiography, photoplethysmography, electrooculography, continuous glucose monitoring, acoustic respiratory signal, blood pressure, and electrodermal activity signal, while ballistocardiography or seismocardiography have yet to be analyzed using deep learning techniques  In supervised and unsupervised applications, CNNs and restricted Boltzmann machines are the most and least frequently used, (n = 34) and (n = 15), respectively  Our key-code classification of relevant papers was used to cluster the approaches that have been published to date and demonstrated a large variability of research with respect to data, application, and network topology  Future research is expected to focus on the standardization of deep learning architectures and on the optimization of the network parameters to increase performance and robustness  Furthermore, application-driven approaches and updated training data from mobile recordings are needed </t>
  </si>
  <si>
    <t>ECG</t>
  </si>
  <si>
    <t>CNN, AlexNet,RNN</t>
  </si>
  <si>
    <t>Yearbook of medical informatics</t>
  </si>
  <si>
    <t xml:space="preserve">Peter L  Reichertz Institute for Medical Informatics, University of Braunschweig - Institute of Technology and Hannover Medical School, Braunschweig, Germany </t>
  </si>
  <si>
    <t>Ganapathy, N; Swaminathan, R; Deserno, TM</t>
  </si>
  <si>
    <t>9312666</t>
  </si>
  <si>
    <t>10 3390/s18092799</t>
  </si>
  <si>
    <t xml:space="preserve">Breast Cancer Detection Using Infrared Thermal Imaging and a Deep Learning Model </t>
  </si>
  <si>
    <t xml:space="preserve">Women's breasts are susceptible to developing cancer; this is supported by a recent study from 2016 showing that 2 8 million women worldwide had already been diagnosed with breast cancer that year  The medical care of a patient with breast cancer is costly and, given the cost and value of the preservation of the health of the citizen, the prevention of breast cancer has become a priority in public health  Over the past 20 years several techniques have been proposed for this purpose, such as mammography, which is frequently used for breast cancer diagnosis  However, false positives of mammography can occur in which the patient is diagnosed positive by another technique  Additionally, the potential side effects of using mammography may encourage patients and physicians to look for other diagnostic techniques  Our review of the literature first explored infrared digital imaging, which assumes that a basic thermal comparison between a healthy breast and a breast with cancer always shows an increase in thermal activity in the precancerous tissues and the areas surrounding developing breast cancer  Furthermore, through our research, we realized that a Computer-Aided Diagnostic (CAD) undertaken through infrared image processing could not be achieved without a model such as the well-known hemispheric model  The novel contribution of this paper is the production of a comparative study of several breast cancer detection techniques using powerful computer vision techniques and deep learning models </t>
  </si>
  <si>
    <t xml:space="preserve">DNN,RNN, </t>
  </si>
  <si>
    <t>The Czech republic</t>
  </si>
  <si>
    <t xml:space="preserve">Center for Basic and Applied Research, Faculty of Informatics and Management, University of Hradec Kralove, Rokitanskeho 62, Hradec Kralove 500 03, Czech Republic  jean mambou@uhk cz </t>
    <phoneticPr fontId="0" type="noConversion"/>
  </si>
  <si>
    <t>Mambou, SJ; Maresova, P; Krejcar, O; Selamat, A; Kuca, K</t>
  </si>
  <si>
    <t>10 1002/mp 13141</t>
  </si>
  <si>
    <t xml:space="preserve">Autosegmentation for thoracic radiation treatment planning: A grand challenge at AAPM 2017 </t>
  </si>
  <si>
    <t xml:space="preserve">This report presents the methods and results of the Thoracic Auto-Segmentation Challenge organized at the 2017 Annual Meeting of American Association of Physicists in Medicine  The purpose of the challenge was to provide a benchmark dataset and platform for evaluating performance of autosegmentation methods of organs at risk (OARs) in thoracic CT images Sixty thoracic CT scans provided by three different institutions were separated into 36 training, 12 offline testing, and 12 online testing scans  Eleven participants completed the offline challenge, and seven completed the online challenge  The OARs were left and right lungs, heart, esophagus, and spinal cord  Clinical contours used for treatment planning were quality checked and edited to adhere to the RTOG 1106 contouring guidelines  Algorithms were evaluated using the Dice coefficient, Hausdorff distance, and mean surface distance  A consolidated score was computed by normalizing the metrics against interrater variability and averaging over all patients and structures The interrater study revealed highest variability in Dice for the esophagus and spinal cord, and in surface distances for lungs and heart  Five out of seven algorithms that participated in the online challenge employed deep-learning methods  Although the top three participants using deep learning produced the best segmentation for all structures, there was no significant difference in the performance among them  The fourth place participant used a multi-atlas-based approach  The highest Dice scores were produced for lungs, with averages ranging from 0 95 to 0 98, while the lowest Dice scores were produced for esophagus, with a range of 0 55-0 72 The results of the challenge showed that the lungs and heart can be segmented fairly accurately by various algorithms, while deep-learning methods performed better on the esophagus  Our dataset together with the manual contours for all training cases continues to be available publicly as an ongoing benchmarking resource </t>
  </si>
  <si>
    <t>CNN,Unet,VGG</t>
  </si>
  <si>
    <t xml:space="preserve">Department of Radiation Physics, The University of Texas MD Anderson Cancer Center, Houston, TX, USA </t>
  </si>
  <si>
    <t>Yang, J; Veeraraghavan, H; Armato, SG; Farahani, K; Kirby, JS; Kalpathy-Kramer, J; van Elmpt, W; Dekker, A; Han, X; Feng, X; Aljabar, P; Oliveira, B; van der Heyden, B; Zamdborg, L; Lam, D; Gooding, M; Sharp, GC</t>
  </si>
  <si>
    <t>10 1109/TMI 2018 2866442</t>
  </si>
  <si>
    <t xml:space="preserve">Real-Time Deep Pose Estimation With Geodesic Loss for Image-to-Template Rigid Registration </t>
  </si>
  <si>
    <t xml:space="preserve">With an aim to increase the capture range and accelerate the performance of state-of-the-art inter-subject and subject-to-template 3-D rigid registration, we propose deep learning-based methods that are trained to find the 3-D position of arbitrarily-oriented subjects or anatomy in a canonical space based on slices or volumes of medical images  For this, we propose regression convolutional neural networks (CNNs) that learn to predict the angle-axis representation of 3-D rotations and translations using image features  We use and compare mean square error and geodesic loss to train regression CNNs for 3-D pose estimation used in two different scenarios: slice-to-volume registration and volume-to-volume registration  As an exemplary application, we applied the proposed methods to register arbitrarily oriented reconstructed images of fetuses scanned in-utero at a wide gestational age range to a standard atlas space  Our results show that in such registration applications that are amendable to learning, the proposed deep learning methods with geodesic loss minimization achieved 3-D pose estimation with a wide capture range in real-time (&lt;100ms)  We also tested the generalization capability of the trained CNNs on an expanded age range and on images of newborn subjects with similar and different MR image contrasts  We trained our models on T2-weighted fetal brain MRI scans and used them to predict the 3-D pose of newborn brains based on T1-weighted MRI scans  We showed that the trained models generalized well for the new domain when we performed image contrast transfer through a conditional generative adversarial network  This indicates that the domain of application of the trained deep regression CNNs can be further expanded to image modalities and contrasts other than those used in training  A combination of our proposed methods with accelerated optimization-based registration algorithms can dramatically enhance the performance of automatic imaging devices and image processing methods of the future </t>
  </si>
  <si>
    <t xml:space="preserve"> This study was supported in part by the McKnight Foundation through a Technological Innovations in Neuroscience Award, and in part by the National Institute of Biomedical Imaging and Bioengineering of the National Institutes of Health (NIH) grant </t>
    <phoneticPr fontId="0" type="noConversion"/>
  </si>
  <si>
    <t>Mohseni Salehi, SS; Khan, S; Erdogmus, D; Gholipour, A</t>
  </si>
  <si>
    <t>10 1371/journal pone 0202708</t>
  </si>
  <si>
    <t xml:space="preserve">Deep neural network based histological scoring of lung fibrosis and inflammation in the mouse model system </t>
  </si>
  <si>
    <t xml:space="preserve">Preclinical studies of novel compounds rely on quantitative readouts from animal models  Frequently employed readouts from histopathological tissue scoring are time consuming, require highly specialized staff and are subject to inherent variability  Recent advances in deep convolutional neural networks (CNN) now allow automating such scoring tasks  Here, we demonstrate this for the case of the Ashcroft fibrosis score and a newly developed inflammation score to characterize fibrotic and inflammatory lung diseases  Sections of lung tissue from mice exhibiting a wide range of fibrotic and inflammatory states were stained with Masson trichrome  Whole slide scans using a 20x objective were acquired and cut into smaller tiles of 512x512 pixels  The tiles were subsequently classified by specialized CNNs, either an "Ashcroft fibrosis CNN" or an "inflammation CNN"  For the Ashcroft fibrosis score the CNN was fine-tuned by using 14000 labelled tiles  For the inflammation score the CNN was trained with 3500 labelled tiles  After training, the Ashcroft fibrosis CNN achieved an accuracy of 79 5% and the inflammation CNN an accuracy of 80 0%  An error analysis revealed that misclassifications are almost exclusively with neighboring scores, which reflects the inherent ambiguity of parts of the data  The variability between two experts was found to be larger than the variability between the CNN classifications and the ground truth  The CNN generated Ashcroft score was in very good agreement with the score of a pathologist (r2 = 0 92)  Our results demonstrate that costly and time consuming scoring tasks can be automated and standardized with deep learning  New scores such as the inflammation score can be easily developed with the approach presented here </t>
  </si>
  <si>
    <t xml:space="preserve">Target Discovery Research, Boehringer Ingelheim Pharma GmbH &amp; Co  KG, Biberach an der Riß, Germany </t>
  </si>
  <si>
    <t>Heinemann, F; Birk, G; Schoenberger, T; Stierstorfer, B</t>
  </si>
  <si>
    <t>10 1002/mp 13147</t>
  </si>
  <si>
    <t xml:space="preserve">Fully automatic multi-organ segmentation for head and neck cancer radiotherapy using shape representation model constrained fully convolutional neural networks </t>
  </si>
  <si>
    <t xml:space="preserve">Intensity modulated radiation therapy (IMRT) is commonly employed for treating head and neck (H&amp;N) cancer with uniform tumor dose and conformal critical organ sparing  Accurate delineation of organs-at-risk (OARs) on H&amp;N CT images is thus essential to treatment quality  Manual contouring used in current clinical practice is tedious, time-consuming, and can produce inconsistent results  Existing automated segmentation methods are challenged by the substantial inter-patient anatomical variation and low CT soft tissue contrast  To overcome the challenges, we developed a novel automated H&amp;N OARs segmentation method that combines a fully convolutional neural network (FCNN) with a shape representation model (SRM) Based on manually segmented H&amp;N CT, the SRM and FCNN were trained in two steps: (a) SRM learned the latent shape representation of H&amp;N OARs from the training dataset; (b) the pre-trained SRM with fixed parameters were used to constrain the FCNN training  The combined segmentation network was then used to delineate nine OARs including the brainstem, optic chiasm, mandible, optical nerves, parotids, and submandibular glands on unseen H&amp;N CT images  Twenty-two and 10 H&amp;N CT scans provided by the Public Domain Database for Computational Anatomy (PDDCA) were utilized for training and validation, respectively  Dice similarity coefficient (DSC), positive predictive value (PPV), sensitivity (SEN), average surface distance (ASD), and 95% maximum surface distance (95%SD) were calculated to quantitatively evaluate the segmentation accuracy of the proposed method  The proposed method was compared with an active appearance model that won the 2015 MICCAI H&amp;N Segmentation Grand Challenge based on the same dataset, an atlas method and a deep learning method based on different patient datasets An average DSC = 0 870 (brainstem), DSC = 0 583 (optic chiasm), DSC = 0 937 (mandible), DSC = 0 653 (left optic nerve), DSC = 0 689 (right optic nerve), DSC = 0 835 (left parotid), DSC = 0 832 (right parotid), DSC = 0 755 (left submandibular), and DSC = 0 813 (right submandibular) were achieved  The segmentation results are consistently superior to the results of atlas and statistical shape based methods as well as a patch-wise convolutional neural network method  Once the networks are trained off-line, the average time to segment all 9 OARs for an unseen CT scan is 9 5 s Experiments on clinical datasets of H&amp;N patients demonstrated the effectiveness of the proposed deep neural network segmentation method for multi-organ segmentation on volumetric CT scans  The accuracy and robustness of the segmentation were further increased by incorporating shape priors using SMR  The proposed method showed competitive performance and took shorter time to segment multiple organs in comparison to state of the art methods </t>
  </si>
  <si>
    <t>FCN,STACKED AUTOENCODER</t>
  </si>
  <si>
    <t xml:space="preserve">Key Lab of Intelligent Perception and Image Understanding of Ministry of Education, Xidian University, Xi'an, Shaanxi, 710071, China </t>
  </si>
  <si>
    <t>Tong, N; Gou, S; Yang, S; Ruan, D; Sheng, K</t>
  </si>
  <si>
    <t>10 1089/thy 2018 0082</t>
  </si>
  <si>
    <t xml:space="preserve">Deep Learning-Based Computer-Aided Diagnosis System for Localization and Diagnosis of Metastatic Lymph Nodes on Ultrasound: A Pilot Study </t>
  </si>
  <si>
    <t xml:space="preserve">The presence of metastatic lymph nodes is a prognostic indicator for patients with thyroid carcinomas and is an important determinant of clinical decision making  However, evaluating neck lymph nodes requires experience and is labor- and time-intensive  Therefore, the development of a computer-aided diagnosis (CAD) system to identify and differentiate metastatic lymph nodes may be useful From January 2008 to December 2016, we retrieved clinical records for 804 consecutive patients with 812 lymph nodes  The status of all lymph nodes was confirmed by fine-needle aspiration  The datasets were split into training (263 benign and 286 metastatic lymph nodes), validation (30 benign and 33 metastatic lymph nodes), and test (100 benign and 100 metastatic lymph nodes)  Using the VGG-Class Activation Map model, we developed a CAD system to localize and differentiate the metastatic lymph nodes  We then evaluated the diagnostic performance of this CAD system in our test set In the test set, the accuracy, sensitivity, and specificity of our model for predicting lymph node malignancy were 83 0%, 79 5%, and 87 5%, respectively  The CAD system clearly detected the locations of the lymph nodes, which not only provided identifying data, but also demonstrated the basis of decisions We developed a deep learning-based CAD system for the localization and differentiation of metastatic lymph nodes from thyroid cancer on ultrasound  This CAD system is highly sensitive and may be used as a screening tool; however, as it is relatively less specific, the screening results should be validated by experienced physicians </t>
  </si>
  <si>
    <t>Thyroid : official journal of the American Thyroid Association</t>
  </si>
  <si>
    <t xml:space="preserve">1 Division of Biomedical Informatics, Seoul National University Biomedical Informatics, Seoul National University College of Medicine , Seoul, Korea </t>
  </si>
  <si>
    <t>Lee, JH; Baek, JH; Kim, JH; Shim, WH; Chung, SR; Choi, YJ; Lee, JH</t>
  </si>
  <si>
    <t>9104317</t>
  </si>
  <si>
    <t>10 1016/j jneumeth 2018 08 019</t>
  </si>
  <si>
    <t xml:space="preserve">Automated dendritic spine detection using convolutional neural networks on maximum intensity projected microscopic volumes </t>
  </si>
  <si>
    <t xml:space="preserve">Dendritic spines are structural correlates of excitatory synapses in the brain  Their density and structure are shaped by experience, pointing to their role in memory encoding  Dendritic spine imaging, followed by manual analysis, is a primary way to study spines  However, an approach that analyses dendritic spines images in an automated and unbiased manner is needed to fully capture how spines change with normal experience, as well as in disease We propose an approach based on fully convolutional neural networks (FCNs) to detect dendritic spines in two-dimensional maximum-intensity projected images from confocal fluorescent micrographs  We experiment on both fractionally strided convolution and efficient sub-pixel convolutions  Dendritic spines far from the dendritic shaft are pruned by extraction of the shaft to reduce false positives  Performance of the proposed method is evaluated by comparing predicted spine positions to those manually marked by experts The averaged distance between predicted and manually annotated spines is 2 81 ± 2 63 pixels (0 082 ± 0 076 microns) and 2 87 ± 2 33 pixels (0 084 ± 0 068 microns) based on two different experts  FCN-based detection achieves F scores &gt; 0 80 for both sets of expert annotations Our method significantly outperforms two well-known software, NeuronStudio and Neurolucida (p-value &lt; 0 02) FCN architectures used in this work allow for automated dendritic spine detection  Superior outcomes are possible even with small training data-sets  The proposed method may generalize to other datasets on larger scales </t>
  </si>
  <si>
    <t xml:space="preserve">Department of Electrical Engineering, Stanford University, David Packard Building, 350 Serra Mall, Stanford, CA 94305, USA  Electronic address: xuerong@stanford edu </t>
  </si>
  <si>
    <t>Xiao, X; Djurisic, M; Hoogi, A; Sapp, RW; Shatz, CJ; Rubin, DL</t>
  </si>
  <si>
    <t>10 1109/TIP 2018 2865684</t>
  </si>
  <si>
    <t xml:space="preserve">VIDOSAT: High-Dimensional Sparsifying Transform Learning for Online Video Denoising </t>
  </si>
  <si>
    <t xml:space="preserve">Techniques exploiting the sparsity of images in a transform domain are effective for various applications in image and video processing  In particular, transform learning methods involve cheap computations and have been demonstrated to perform well in applications, such as image denoising and medical image reconstruction  Recently, we proposed methods for online learning of sparsifying transforms from streaming signals, which enjoy good convergence guarantees and involve lower computational costs than online synthesis dictionary learning  In this paper, we apply online transform learning to video denoising  We present a novel framework for online video denoising based on high-dimensional sparsifying transform learning for spatio-temporal patches  The patches are constructed either from corresponding 2D patches in successive frames or using an online block matching technique  The proposed online video denoising requires little memory and offers efficient processing  Numerical experiments evaluate the performance of the proposed video denoising algorithms on multiple video data sets  The proposed methods outperform several related and recent techniques, including denoising with 3D DCT, prior schemes based on dictionary learning, non-local means, background separation, and deep learning, as well as the popular VBM3D and VBM4D </t>
  </si>
  <si>
    <t xml:space="preserve">CNN </t>
    <phoneticPr fontId="0" type="noConversion"/>
  </si>
  <si>
    <t>video</t>
  </si>
  <si>
    <t>IEEE transactions on image processing : a publication of the IEEE Signal Processing Society</t>
  </si>
  <si>
    <t>Wen, B; Ravishankar, S; Bresler, Y</t>
  </si>
  <si>
    <t>9886191</t>
  </si>
  <si>
    <t>10 1016/j neuroimage 2018 07 005</t>
  </si>
  <si>
    <t xml:space="preserve">Fully convolutional network ensembles for white matter hyperintensities segmentation in MR images </t>
  </si>
  <si>
    <t xml:space="preserve">White matter hyperintensities (WMH) are commonly found in the brains of healthy elderly individuals and have been associated with various neurological and geriatric disorders  In this paper, we present a study using deep fully convolutional network and ensemble models to automatically detect such WMH using fluid attenuation inversion recovery (FLAIR) and T1 magnetic resonance (MR) scans  The algorithm was evaluated and ranked 1st in the WMH Segmentation Challenge at MICCAI 2017  In the evaluation stage, the implementation of the algorithm was submitted to the challenge organizers, who then independently tested it on a hidden set of 110 cases from 5 scanners  Averaged dice score, precision and robust Hausdorff distance obtained on held-out test datasets were 80%, 84% and 6 30 mm respectively  These were the highest achieved in the challenge, suggesting the proposed method is the state-of-the-art  Detailed descriptions and quantitative analysis on key components of the system were provided  Furthermore, a study of cross-scanner evaluation is presented to discuss how the combination of modalities affect the generalization capability of the system  The adaptability of the system to different scanners and protocols is also investigated  A quantitative study is further presented to show the effect of ensemble size and the effectiveness of the ensemble model  Additionally, software and models of our method are made publicly available  The effectiveness and generalization capability of the proposed system show its potential for real-world clinical practice </t>
  </si>
  <si>
    <t xml:space="preserve">School of Data and Computer Science, Sun Yat-sen University, China; Computing, School of Science and Engineering, University of Dundee, UK; Department of Computer Science, Technical University of Munich, Germany </t>
  </si>
  <si>
    <t>Li, H; Jiang, G; Zhang, J; Wang, R; Wang, Z; Zheng, WS; Menze, B</t>
  </si>
  <si>
    <t>10 1038/nbt 4225</t>
  </si>
  <si>
    <t xml:space="preserve">Deep learning is combined with massive-scale citizen science to improve large-scale image classification </t>
  </si>
  <si>
    <t xml:space="preserve">Pattern recognition and classification of images are key challenges throughout the life sciences  We combined two approaches for large-scale classification of fluorescence microscopy images  First, using the publicly available data set from the Cell Atlas of the Human Protein Atlas (HPA), we integrated an image-classification task into a mainstream video game (EVE Online) as a mini-game, named Project Discovery  Participation by 322,006 gamers over 1 year provided nearly 33 million classifications of subcellular localization patterns, including patterns that were not previously annotated by the HPA  Second, we used deep learning to build an automated Localization Cellular Annotation Tool (Loc-CAT)  This tool classifies proteins into 29 subcellular localization patterns and can deal efficiently with multi-localization proteins, performing robustly across different cell types  Combining the annotations of gamers and deep learning, we applied transfer learning to create a boosted learner that can characterize subcellular protein distribution with F1 score of 0 72  We found that engaging players of commercial computer games provided data that augmented deep learning and enabled scalable and readily improved image classification </t>
  </si>
  <si>
    <t>microscopy image</t>
    <phoneticPr fontId="0" type="noConversion"/>
  </si>
  <si>
    <t>Sweden</t>
  </si>
  <si>
    <t>Nature biotechnology</t>
  </si>
  <si>
    <t xml:space="preserve">Science for Life Laboratory, School of Engineering Sciences in Chemistry, Biotechnology and Health, KTH - Royal Institute of Technology, Stockholm, Sweden </t>
  </si>
  <si>
    <t>Sullivan, DP; Winsnes, CF; Åkesson, L; Hjelmare, M; Wiking, M; Schutten, R; Campbell, L; Leifsson, H; Rhodes, S; Nordgren, A; Smith, K; Revaz, B; Finnbogason, B; Szantner, A; Lundberg, E</t>
  </si>
  <si>
    <t>9604648</t>
  </si>
  <si>
    <t>10 1117/12 2293761</t>
  </si>
  <si>
    <t xml:space="preserve">Multiorgan structures detection using deep convolutional neural networks </t>
  </si>
  <si>
    <t xml:space="preserve">Many automatic image analysis algorithms in medical imaging require a good initialization to work properly  A similar problem occurs in many imaging-based clinical workflows, which depend on anatomical landmarks  The localization of anatomic structures based on a defined context provides with a solution to that problem, which turns out to be more challenging in medical imaging where labeled images are difficult to obtain  We propose a two-stage process to detect and regress 2D bounding boxes of predefined anatomical structures based on a 2D surrounding context  First, we use a deep convolutional neural network (DCNN) architecture to detect the optimal slice where an anatomical structure is present, based on relevant landmark features  After this detection, we employ a similar architecture to perform a 2D regression with the aim of proposing a bounding box where the structure is encompassed  We trained and tested our system for 57 anatomical structures defined in axial, sagittal and coronal planes with a dataset of 504 labeled Computed Tomography (CT) scans  We compared our method with a well-known object detection algorithm (Viola Jones) and with the inter-rater error for two human experts  Despite the relatively small number of scans and the exhaustive number of structures analyzed, our method obtained promising and consistent results, which proves our architecture very generalizable to other anatomical structures </t>
  </si>
  <si>
    <t xml:space="preserve">Applied Chest Imaging Laboratory, Dept  of Radiology, Brigham and Women's Hospital, 1249 Boylston St, Boston, MA USA </t>
  </si>
  <si>
    <t>Onieva, JO; Serrano, GG; Young, TP; Washko, GR; Carbayo, MJL; Estépar, RSJ</t>
  </si>
  <si>
    <t>10 1038/s41598-018-30182-6</t>
  </si>
  <si>
    <t xml:space="preserve">Automatic hyoid bone detection in fluoroscopic images using deep learning </t>
  </si>
  <si>
    <t xml:space="preserve">The displacement of the hyoid bone is one of the key components evaluated in the swallow study, as its motion during swallowing is related to overall swallowing integrity  In daily research settings, experts visually detect the hyoid bone in the video frames and manually plot hyoid bone position frame by frame  This study aims to develop an automatic method to localize the location of the hyoid bone in the video sequence  To automatically detect the location of the hyoid bone in a frame, we proposed a single shot multibox detector, a deep convolutional neural network, which is employed to detect and classify the location of the hyoid bone  We also evaluated the performance of two other state-of-art detection methods for comparison  The experimental results clearly showed that the single shot multibox detector can detect the hyoid bone with an average precision of 89 14% and outperform other auto-detection algorithms  We conclude that this automatic hyoid bone tracking system is accurate enough to be widely applied as a pre-processing step for image processing in dysphagia research, as well as a promising development that may be useful in the diagnosis of dysphagia </t>
  </si>
  <si>
    <r>
      <t>CNN,VGG, ZFNet,ResNeT,</t>
    </r>
    <r>
      <rPr>
        <b/>
        <sz val="10"/>
        <rFont val="Arial"/>
        <family val="2"/>
      </rPr>
      <t>Faster R-CNN,YOLO</t>
    </r>
  </si>
  <si>
    <t xml:space="preserve">Department of Electrical and Computer Engineering, Swanson School of Engineering, University of Pittsburgh, Pittsburgh, PA, 15261, USA </t>
  </si>
  <si>
    <t>Zhang, Z; Coyle, JL; Sejdić, E</t>
  </si>
  <si>
    <t>10 1016/j media 2018 07 010</t>
  </si>
  <si>
    <t xml:space="preserve">Building medical image classifiers with very limited data using segmentation networks </t>
  </si>
  <si>
    <t xml:space="preserve">Deep learning has shown promising results in medical image analysis, however, the lack of very large annotated datasets confines its full potential  Although transfer learning with ImageNet pre-trained classification models can alleviate the problem, constrained image sizes and model complexities can lead to unnecessary increase in computational cost and decrease in performance  As many common morphological features are usually shared by different classification tasks of an organ, it is greatly beneficial if we can extract such features to improve classification with limited samples  Therefore, inspired by the idea of curriculum learning, we propose a strategy for building medical image classifiers using features from segmentation networks  By using a segmentation network pre-trained on similar data as the classification task, the machine can first learn the simpler shape and structural concepts before tackling the actual classification problem which usually involves more complicated concepts  Using our proposed framework on a 3D three-class brain tumor type classification problem, we achieved 82% accuracy on 191 testing samples with 91 training samples  When applying to a 2D nine-class cardiac semantic level classification problem, we achieved 86% accuracy on 263 testing samples with 108 training samples  Comparisons with ImageNet pre-trained classifiers and classifiers trained from scratch are presented </t>
  </si>
  <si>
    <t>CNN,VGG,MNet</t>
  </si>
  <si>
    <t xml:space="preserve">IBM Research - Almaden Research Center, San Jose, CA, USA  Electronic address: clwong@us ibm com </t>
  </si>
  <si>
    <t>Wong, KCL; Syeda-Mahmood, T; Moradi, M</t>
  </si>
  <si>
    <t>10 1088/1361-6560/aada93</t>
  </si>
  <si>
    <t xml:space="preserve">Deep learning with cinematic rendering: fine-tuning deep neural networks using photorealistic medical images </t>
  </si>
  <si>
    <t xml:space="preserve">Deep learning has emerged as a powerful artificial intelligence tool to interpret medical images for a growing variety of applications  However, the paucity of medical imaging data with high-quality annotations that is necessary for training such methods ultimately limits their performance  Medical data is challenging to acquire due to privacy issues, shortage of experts available for annotation, limited representation of rare conditions and cost  This problem has previously been addressed by using synthetically generated data  However, networks trained on synthetic data often fail to generalize to real data  Cinematic rendering simulates the propagation and interaction of light passing through tissue models reconstructed from CT data, enabling the generation of photorealistic images  In this paper, we present one of the first applications of cinematic rendering in deep learning, in which we propose to fine-tune synthetic data-driven networks using cinematically rendered CT data for the task of monocular depth estimation in endoscopy  Our experiments demonstrate that: (a) convolutional neural networks (CNNs) trained on synthetic data and fine-tuned on photorealistic cinematically rendered data adapt better to real medical images and demonstrate more robust performance when compared to networks with no fine-tuning, (b) these fine-tuned networks require less training data to converge to an optimal solution, and (c) fine-tuning with data from a variety of photorealistic rendering conditions of the same scene prevents the network from learning patient-specific information and aids in generalizability of the model  Our empirical evaluation demonstrates that networks fine-tuned with cinematically rendered data predict depth with 56 87% less error for rendered endoscopy images and 27 49% less error for real porcine colon endoscopy images </t>
  </si>
  <si>
    <t xml:space="preserve">Department of Biomedical Engineering, Johns Hopkins University, Baltimore, MD, United States of America </t>
  </si>
  <si>
    <t>Mahmood, F; Chen, R; Sudarsky, S; Yu, D; Durr, NJ</t>
  </si>
  <si>
    <t>10 1088/1361-6560/aada6d</t>
  </si>
  <si>
    <t xml:space="preserve">Dose evaluation of fast synthetic-CT generation using a generative adversarial network for general pelvis MR-only radiotherapy </t>
  </si>
  <si>
    <t xml:space="preserve">To enable magnetic resonance (MR)-only radiotherapy and facilitate modelling of radiation attenuation in humans, synthetic CT (sCT) images need to be generated  Considering the application of MR-guided radiotherapy and online adaptive replanning, sCT generation should occur within minutes  This work aims at assessing whether an existing deep learning network can rapidly generate sCT images for accurate MR-based dose calculations in the entire pelvis  A study was conducted on data of 91 patients with prostate (59), rectal (18) and cervical (14) cancer who underwent external beam radiotherapy acquiring both CT and MRI for patients' simulation  Dixon reconstructed water, fat and in-phase images obtained from a conventional dual gradient-recalled echo sequence were used to generate sCT images  A conditional generative adversarial network (cGAN) was trained in a paired fashion on 2D transverse slices of 32 prostate cancer patients  The trained network was tested on the remaining patients to generate sCT images  For 30 patients in the test set, dose recalculations of the clinical plan were performed on sCT images  Dose distributions were evaluated comparing voxel-based dose differences, gamma and dose-volume histogram (DVH) analysis  The sCT generation required 5 6 s and 21 s for a single patient volume on a GPU and CPU, respectively  On average, sCT images resulted in a higher dose to the target of maximum 0 3%  The average gamma pass rates using the 3%, 3 mm and 2%, 2 mm criteria were above 97 and 91%, respectively, for all volumes of interests considered  All DVH points calculated on sCT differed less than  ±2 5% from the corresponding points on CT  Results suggest that accurate MR-based dose calculation using sCT images generated with a cGAN trained on prostate cancer patients is feasible for the entire pelvis  The sCT generation was sufficiently fast for integration in an MR-guided radiotherapy workflow </t>
  </si>
  <si>
    <t xml:space="preserve">Department of Radiotherapy, University Medical Center Utrecht, Utrecht, Netherlands  Center for Image Sciences, University Medical Center Utrecht, Utrecht, Netherlands  Image Science Institute, University Medical Center Utrecht, Utrecht, Netherlands  The authors equally contributed </t>
    <phoneticPr fontId="0" type="noConversion"/>
  </si>
  <si>
    <t>Maspero, M; Savenije, MHF; Dinkla, AM; Seevinck, PR; Intven, MPW; Jurgenliemk-Schulz, IM; Kerkmeijer, LGW; van den Berg, CAT</t>
  </si>
  <si>
    <t>10 1007/s12194-018-0472-3</t>
  </si>
  <si>
    <t xml:space="preserve">Automated prediction of dosimetric eligibility of patients with prostate cancer undergoing intensity-modulated radiation therapy using a convolutional neural network </t>
  </si>
  <si>
    <t xml:space="preserve">The quality of radiotherapy has greatly improved due to the high precision achieved by intensity-modulated radiation therapy (IMRT)  Studies have been conducted to increase the quality of planning and reduce the costs associated with planning through automated planning method; however, few studies have used the deep learning method for optimization of planning  The purpose of this study was to propose an automated method based on a convolutional neural network (CNN) for predicting the dosimetric eligibility of patients with prostate cancer undergoing IMRT  Sixty patients with prostate cancer who underwent IMRT were included in the study  Treatment strategy involved division of the patients into two groups, namely, meeting all dose constraints and not meeting all dose constraints, by experienced medical physicists  We used AlexNet (i e , one of common CNN architectures) for CNN-based methods to predict the two groups  An AlexNet CNN pre-trained on ImageNet was fine-tuned  Two dataset formats were used as input data: planning computed tomography (CT) images and structure labels  Five-fold cross-validation was used, and performance metrics included sensitivity, specificity, and prediction accuracy  Class activation mapping was used to visualize the internal representation learned by the CNN  Prediction accuracies of the model with the planning CT image dataset and that with the structure label dataset were 56 7 ± 9 7% and 70 0 ± 11 3%, respectively  Moreover, the model with structure labels focused on areas associated with dose constraints  These results revealed the potential applicability of deep learning to the treatment planning of patients with prostate cancer undergoing IMRT </t>
  </si>
  <si>
    <t>Radiological physics and technology</t>
  </si>
  <si>
    <t xml:space="preserve">Department of Radiation Oncology, Tohoku University Graduate School of Medicine, 1-1 Seiryo-machi, Aoba-ku, Sendai, 980-8574, Japan </t>
  </si>
  <si>
    <t>Kajikawa, T; Kadoya, N; Ito, K; Takayama, Y; Chiba, T; Tomori, S; Takeda, K; Jingu, K</t>
  </si>
  <si>
    <t>101467995</t>
  </si>
  <si>
    <t>10 1002/ase 1807</t>
  </si>
  <si>
    <t xml:space="preserve">How Haptics and Drawing Enhance the Learning of Anatomy </t>
  </si>
  <si>
    <t xml:space="preserve">Students' engagement with two-dimensional (2D) representations as opposed to three-dimensional (3D) representations of anatomy such as in dissection, is significant in terms of the depth of their comprehension  This qualitative study aimed to understand how students learned anatomy using observational and drawing activities that included touch, called haptics  Five volunteer second year medical students at the University of Cape Town participated in a six-day educational intervention in which a novel "haptico-visual observation and drawing" (HVOD) method was employed  Data were collected through individual interviews as well as a focus group discussion  The HVOD method was successfully applied by all the participants, who reported an improvement of their cognitive understanding and memorization of the 3D form of the anatomical part  All the five participants described the development of a "mental picture" of the object as being central to "deep learning " The use of the haptic senses coupled with the simultaneous act of drawing enrolled sources of information that were reported by the participants to have enabled better memorization  We postulate that the more sources of information about an object, the greater degree of complexity could be appreciated, and therefore the more clearly it could be captured and memorized  The inclusion of haptics has implications for cadaveric dissection versus non-cadaveric forms of learning  This study was limited by its sample size as well as the bias and position of the researchers, but the sample of five produced a sufficient amount of data to generate a conceptual model and hypothesis </t>
  </si>
  <si>
    <t>Africa</t>
  </si>
  <si>
    <t>Anatomical sciences education</t>
  </si>
  <si>
    <t xml:space="preserve">Primary Health Care Directorate, Faculty of Health Sciences, University of Cape Town, Cape Town, South Africa </t>
  </si>
  <si>
    <t>Reid, S; Shapiro, L; Louw, G</t>
  </si>
  <si>
    <t>101392205</t>
  </si>
  <si>
    <t>10 1038/s41591-018-0107-6</t>
  </si>
  <si>
    <t xml:space="preserve">Clinically applicable deep learning for diagnosis and referral in retinal disease </t>
  </si>
  <si>
    <t xml:space="preserve">The volume and complexity of diagnostic imaging is increasing at a pace faster than the availability of human expertise to interpret it  Artificial intelligence has shown great promise in classifying two-dimensional photographs of some common diseases and typically relies on databases of millions of annotated images  Until now, the challenge of reaching the performance of expert clinicians in a real-world clinical pathway with three-dimensional diagnostic scans has remained unsolved  Here, we apply a novel deep learning architecture to a clinically heterogeneous set of three-dimensional optical coherence tomography scans from patients referred to a major eye hospital  We demonstrate performance in making a referral recommendation that reaches or exceeds that of experts on a range of sight-threatening retinal diseases after training on only 14,884 scans  Moreover, we demonstrate that the tissue segmentations produced by our architecture act as a device-independent representation; referral accuracy is maintained when using tissue segmentations from a different type of device  Our work removes previous barriers to wider clinical use without prohibitive training data requirements across multiple pathologies in a real-world setting </t>
  </si>
  <si>
    <t xml:space="preserve">DeepMind, London, UK </t>
  </si>
  <si>
    <t>De Fauw, J; Ledsam, JR; Romera-Paredes, B; Nikolov, S; Tomasev, N; Blackwell, S; Askham, H; Glorot, X; O'Donoghue, B; Visentin, D; van den Driessche, G; Lakshminarayanan, B; Meyer, C; Mackinder, F; Bouton, S; Ayoub, K; Chopra, R; King, D; Karthikesalingam, A; Hughes, CO; Raine, R; Hughes, J; Sim, DA; Egan, C; Tufail, A; Montgomery, H; Hassabis, D; Rees, G; Back, T; Khaw, PT; Suleyman, M; Cornebise, J; Keane, PA; Ronneberger, O</t>
  </si>
  <si>
    <t>10 1016/j media 2018 07 009</t>
  </si>
  <si>
    <t xml:space="preserve">Neural multi-atlas label fusion: Application to cardiac MR images </t>
  </si>
  <si>
    <t xml:space="preserve">Multi-atlas segmentation approach is one of the most widely-used image segmentation techniques in biomedical applications  There are two major challenges in this category of methods, i e , atlas selection and label fusion  In this paper, we propose a novel multi-atlas segmentation method that formulates multi-atlas segmentation in a deep learning framework for better solving these challenges  The proposed method, dubbed deep fusion net (DFN), is a deep architecture that integrates a feature extraction subnet and a non-local patch-based label fusion (NL-PLF) subnet in a single network  The network parameters are learned by end-to-end training for automatically learning deep features that enable optimal performance in a NL-PLF framework  The learned deep features are further utilized in defining a similarity measure for atlas selection  By evaluating on two public cardiac MR datasets of SATA-13 and LV-09 for left ventricle segmentation, our approach achieved 0 833 in averaged Dice metric (ADM) on SATA-13 dataset and 0 95 in ADM for epicardium segmentation on LV-09 dataset, comparing favorably with the other automatic left ventricle segmentation methods  We also tested our approach on Cardiac Atlas Project (CAP) testing set of MICCAI 2013 SATA Segmentation Challenge, and our method achieved 0 815 in ADM, ranking highest at the time of writing </t>
  </si>
  <si>
    <t xml:space="preserve">School of Mathematics and Statistics, Xi'an Jiaotong University, China </t>
  </si>
  <si>
    <t>Yang, H; Sun, J; Li, H; Wang, L; Xu, Z</t>
  </si>
  <si>
    <t>10 1111/epi 14528</t>
  </si>
  <si>
    <t xml:space="preserve">Deep learning applied to whole-brain connectome to determine seizure control after epilepsy surgery </t>
  </si>
  <si>
    <t xml:space="preserve">We evaluated whether deep learning applied to whole-brain presurgical structural connectomes could be used to predict postoperative seizure outcome more accurately than inference from clinical variables in patients with mesial temporal lobe epilepsy (TLE) Fifty patients with unilateral TLE were classified either as having persistent disabling seizures (SZ) or becoming seizure-free (SZF) at least 1 year after epilepsy surgery  Their presurgical structural connectomes were reconstructed from whole-brain diffusion tensor imaging  A deep network was trained based on connectome data to classify seizure outcome using 5-fold cross-validation Classification accuracy of our trained neural network showed positive predictive value (PPV; seizure freedom) of 88 ± 7% and mean negative predictive value (NPV; seizure refractoriness) of 79 ± 8%  Conversely, a classification model based on clinical variables alone yielded &lt;50% accuracy  The specific features that contributed to high accuracy classification of the neural network were located not only in the ipsilateral temporal and extratemporal regions, but also in the contralateral hemisphere Deep learning demonstrated to be a powerful statistical approach capable of isolating abnormal individualized patterns from complex datasets to provide a highly accurate prediction of seizure outcomes after surgery  Features involved in this predictive model were both ipsilateral and contralateral to the clinical foci and spanned across limbic and extralimbic networks </t>
  </si>
  <si>
    <t xml:space="preserve">Department of Neurology, Medical University of South Carolina, Charleston, South Carolina </t>
  </si>
  <si>
    <t>Gleichgerrcht, E; Munsell, B; Bhatia, S; Vandergrift, WA; Rorden, C; McDonald, C; Edwards, J; Kuzniecky, R; Bonilha, L</t>
  </si>
  <si>
    <t>2983306R</t>
  </si>
  <si>
    <t>10 3390/s18082601</t>
  </si>
  <si>
    <t xml:space="preserve">Deep Learning-Based Enhanced Presentation Attack Detection for Iris Recognition by Combining Features from Local and Global Regions Based on NIR Camera Sensor </t>
  </si>
  <si>
    <t xml:space="preserve">Iris recognition systems have been used in high-security-level applications because of their high recognition rate and the distinctiveness of iris patterns  However, as reported by recent studies, an iris recognition system can be fooled by the use of artificial iris patterns and lead to a reduction in its security level  The accuracies of previous presentation attack detection research are limited because they used only features extracted from global iris region image  To overcome this problem, we propose a new presentation attack detection method for iris recognition by combining features extracted from both local and global iris regions, using convolutional neural networks and support vector machines based on a near-infrared (NIR) light camera sensor  The detection results using each kind of image features are fused, based on two fusion methods of feature level and score level to enhance the detection ability of each kind of image features  Through extensive experiments using two popular public datasets (LivDet-Iris-2017 Warsaw and Notre Dame Contact Lens Detection 2015) and their fusion, we validate the efficiency of our proposed method by providing smaller detection errors than those produced by previous studies </t>
  </si>
  <si>
    <t xml:space="preserve">Division of Electronics and Electrical Engineering, Dongguk University, 30 Pildong-ro 1-gil, Jung-gu, Seoul 100-715, Korea  nguyentiendat@dongguk edu </t>
  </si>
  <si>
    <t>Nguyen, DT; Pham, TD; Lee, YW; Park, KR</t>
  </si>
  <si>
    <t>10 1007/s11548-018-1843-2</t>
  </si>
  <si>
    <t xml:space="preserve">Transfer learning with deep convolutional neural network for liver steatosis assessment in ultrasound images </t>
  </si>
  <si>
    <t xml:space="preserve">The nonalcoholic fatty liver disease is the most common liver abnormality  Up to date, liver biopsy is the reference standard for direct liver steatosis quantification in hepatic tissue samples  In this paper we propose a neural network-based approach for nonalcoholic fatty liver disease assessment in ultrasound We used the Inception-ResNet-v2 deep convolutional neural network pre-trained on the ImageNet dataset to extract high-level features in liver B-mode ultrasound image sequences  The steatosis level of each liver was graded by wedge biopsy  The proposed approach was compared with the hepatorenal index technique and the gray-level co-occurrence matrix algorithm  After the feature extraction, we applied the support vector machine algorithm to classify images containing fatty liver  Based on liver biopsy, the fatty liver was defined to have more than 5% of hepatocytes with steatosis  Next, we used the features and the Lasso regression method to assess the steatosis level The area under the receiver operating characteristics curve obtained using the proposed approach was equal to 0 977, being higher than the one obtained with the hepatorenal index method, 0 959, and much higher than in the case of the gray-level co-occurrence matrix algorithm, 0 893  For regression the Spearman correlation coefficients between the steatosis level and the proposed approach, the hepatorenal index and the gray-level co-occurrence matrix algorithm were equal to 0 78, 0 80 and 0 39, respectively The proposed approach may help the sonographers automatically diagnose the amount of fat in the liver  The presented approach is efficient and in comparison with other methods does not require the sonographers to select the region of interest </t>
  </si>
  <si>
    <t xml:space="preserve">Department of Ultrasound, Institute of Fundamental Technological Research, Polish Academy of Sciences, Pawińskiego 5B, 02-106, Warsaw, Poland  mbyra@ippt pan pl </t>
    <phoneticPr fontId="0" type="noConversion"/>
  </si>
  <si>
    <t>Byra, M; Styczynski, G; Szmigielski, C; Kalinowski, P; Michałowski, Ł; Paluszkiewicz, R; Ziarkiewicz-Wróblewska, B; Zieniewicz, K; Sobieraj, P; Nowicki, A</t>
  </si>
  <si>
    <t>10 1007/s00417-018-4098-2</t>
  </si>
  <si>
    <t xml:space="preserve">Deep learning-based detection and classification of geographic atrophy using a deep convolutional neural network classifier </t>
    <phoneticPr fontId="0" type="noConversion"/>
  </si>
  <si>
    <t xml:space="preserve">To automatically detect and classify geographic atrophy (GA) in fundus autofluorescence (FAF) images using a deep learning algorithm In this study, FAF images of patients with GA, a healthy comparable group and a comparable group with other retinal diseases (ORDs) were used to train a multi-layer deep convolutional neural network (DCNN) (1) to detect GA and (2) to differentiate in GA between a diffuse-trickling pattern (dt-GA) and other GA FAF patterns (ndt-GA) in FAF images  1  For the automated detection of GA in FAF images, two classifiers were built (GA vs  healthy/GA vs  ORD)  The DCNN was trained and validated with 400 FAF images in each case (GA 200, healthy 200, or ORD 200)  For the subsequent testing, the built classifiers were then tested with 60 untrained FAF images in each case (AMD 30, healthy 30, or ORD 30)  Hereby, both classifiers automatically determined a GA probability score and a normal FAF probability score or an ORD probability score  2  To automatically differentiate between dt-GA and ndt-GA, the DCNN was trained and validated with 200 FAF images (dt-GA 72; ndt-GA 138)  Afterwards, the built classifier was tested with 20 untrained FAF images (dt-GA 10; ndt-GA 10) and a dt-GA probability score and an ndt-GA probability score was calculated  For both classifiers, the performance of the training and validation procedure after 500 training steps was measured by determining training accuracy, validation accuracy, and cross entropy For the GA classifiers (GA vs  healthy/GA vs  ORD), the achieved training accuracy was 99/98%, the validation accuracy 96/91%, and the cross entropy 0 062/0 100  For the dt-GA classifier, the training accuracy was 99%, the validation accuracy 77%, and the cross entropy 0 166  The mean GA probability score was 0 981 ± 0 048 (GA vs  healthy)/0 972 ± 0 439 (GA vs  ORD) in the GA image group and 0 01 ± 0 016 (healthy)/0 061 ± 0 072 (ORD) in the comparison groups (p &lt; 0 001)  The mean dt-GA probability score was 0 807 ± 0 116 in the dt-GA image group and 0 180 ± 0 100 in the ndt-GA image group (p &lt; 0 001) For the first time, this study describes the use of a deep learning-based algorithm to automatically detect and classify GA in FAF  Hereby, the created classifiers showed excellent results  With further developments, this model may be a tool to predict the individual progression risk of GA and give relevant information for future therapeutic approaches </t>
  </si>
  <si>
    <t>characterization-detection characterization-classification</t>
  </si>
  <si>
    <t xml:space="preserve">Department of Ophthalmology, University of Muenster Medical Center, Domagkstraße 15, 48149, Muenster, Germany  maximilian treder@ukmuenster de </t>
  </si>
  <si>
    <t>Treder, M; Lauermann, JL; Eter, N</t>
  </si>
  <si>
    <t>10 1007/s11548-018-1841-4</t>
  </si>
  <si>
    <t xml:space="preserve">Deep dense multi-path neural network for prostate segmentation in magnetic resonance imaging </t>
  </si>
  <si>
    <t xml:space="preserve">We propose an approach of 3D convolutional neural network to segment the prostate in MR images A 3D deep dense multi-path convolutional neural network that follows the framework of the encoder-decoder design is proposed  The encoder is built based upon densely connected layers that learn the high-level feature representation of the prostate  The decoder interprets the features and predicts the whole prostate volume by utilizing a residual layout and grouped convolution  A set of sub-volumes of MR images, centered at the prostate, is generated and fed into the proposed network for training purpose  The performance of the proposed network is compared to previously reported approaches Two independent datasets were employed to assess the proposed network  In quantitative evaluations, the proposed network achieved 95 11 and 89 01 Dice coefficients for the two datasets  The segmentation results were robust to variations in MR images  In comparison experiments, the segmentation performance of the proposed network was comparable to the previously reported approaches  In qualitative evaluations, the segmentation results by the proposed network were well matched to the ground truth provided by human experts The proposed network is capable of segmenting the prostate in an accurate and robust manner  This approach can be applied to other types of medical images </t>
  </si>
  <si>
    <t xml:space="preserve">Department of Computer Science and Engineering, Sejong University, Seoul, 05006, South Korea </t>
  </si>
  <si>
    <t>To, MNN; Vu, DQ; Turkbey, B; Choyke, PL; Kwak, JT</t>
  </si>
  <si>
    <t>10 1016/j neuroimage 2018 07 070</t>
  </si>
  <si>
    <t xml:space="preserve">TractSeg - Fast and accurate white matter tract segmentation </t>
  </si>
  <si>
    <t xml:space="preserve">The individual course of white matter fiber tracts is an important factor for analysis of white matter characteristics in healthy and diseased brains  Diffusion-weighted MRI tractography in combination with region-based or clustering-based selection of streamlines is a unique combination of tools which enables the in-vivo delineation and analysis of anatomically well-known tracts  This, however, currently requires complex, computationally intensive processing pipelines which take a lot of time to set up  TractSeg is a novel convolutional neural network-based approach that directly segments tracts in the field of fiber orientation distribution function (fODF) peaks without using tractography, image registration or parcellation  We demonstrate that the proposed approach is much faster than existing methods while providing unprecedented accuracy, using a population of 105 subjects from the Human Connectome Project  We also show initial evidence that TractSeg is able to generalize to differently acquired data sets for most of the bundles  The code and data are openly available at https://github com/MIC-DKFZ/TractSeg/ and https://doi org/10 5281/zenodo 1088277, respectively </t>
  </si>
  <si>
    <t xml:space="preserve">Division of Medical Image Computing (MIC), German Cancer Research Center (DKFZ), Im Neuenheimer Feld 581, 69120 Heidelberg, Germany; Medical Faculty Heidelberg, University of Heidelberg, Im Neuenheimer Feld 672, 69120 Heidelberg, Germany  Electronic address: j wasserthal@dkfz de </t>
  </si>
  <si>
    <t>Wasserthal, J; Neher, P; Maier-Hein, KH</t>
  </si>
  <si>
    <t>10 1016/j media 2018 07 004</t>
  </si>
  <si>
    <t xml:space="preserve">Segmentation of glandular epithelium in colorectal tumours to automatically compartmentalise IHC biomarker quantification: A deep learning approach </t>
  </si>
  <si>
    <t xml:space="preserve">In this paper, we propose a method for automatically annotating slide images from colorectal tissue samples  Our objective is to segment glandular epithelium in histological images from tissue slides submitted to different staining techniques, including usual haematoxylin-eosin (H&amp;E) as well as immunohistochemistry (IHC)  The proposed method makes use of Deep Learning and is based on a new convolutional network architecture  Our method achieves better performances than the state of the art on the H&amp;E images of the GlaS challenge contest, whereas it uses only the haematoxylin colour channel extracted by colour deconvolution from the RGB images in order to extend its applicability to IHC  The network only needs to be fine-tuned on a small number of additional examples to be accurate on a new IHC dataset  Our approach also includes a new method of data augmentation to achieve good generalisation when working with different experimental conditions and different IHC markers  We show that our methodology enables to automate the compartmentalisation of the IHC biomarker analysis, results concurring highly with manual annotations </t>
  </si>
  <si>
    <t xml:space="preserve">DIAPath, Center for Microscopy and Molecular Imaging, Université Libre de Bruxelles (ULB), CPI 305/1, Rue Adrienne Bolland, 8, 6041 Gosselies, Belgium; Laboratories of Image, Signal processing &amp; Acoustics, Université Libre de Bruxelles (ULB), CPI 165/57, Avenue Franklin Roosevelt 50, Brussels 1050 , Belgium  Electronic address: yveycke@ulb ac be </t>
  </si>
  <si>
    <t>Van Eycke, YR; Balsat, C; Verset, L; Debeir, O; Salmon, I; Decaestecker, C</t>
  </si>
  <si>
    <t>10 1007/s11548-018-1836-1</t>
  </si>
  <si>
    <t xml:space="preserve">Deep learning-based detection of motion artifacts in probe-based confocal laser endomicroscopy images </t>
  </si>
  <si>
    <t xml:space="preserve">Probe-based confocal laser endomicroscopy (pCLE) is a subcellular in vivo imaging technique capable of producing images that enable diagnosis of malign structural modifications in epithelial tissue  Images acquired with pCLE are, however, often tainted by significant artifacts that impair diagnosis  This is especially detrimental for automated image analysis, which is why said images are often excluded from recognition pipelines We present an approach for the automatic detection of motion artifacts in pCLE images and apply this methodology to a data set of 15 thousand images of epithelial tissue acquired in the oral cavity and the vocal folds  The approach is based on transfer learning from intermediate endpoints within a pre-trained Inception v3 network with tailored preprocessing  For detection within the non-rectangular pCLE images, we perform pooling within the activation maps of the network and evaluate this at different network depths We achieved area under the ROC curve values of 0 92 with the proposed method, compared to 0 80 for the best feature-based machine learning approach  Our overall accuracy with the presented approach is 94 8% Over traditional machine learning approaches with state-of-the-art features, we achieved significantly improved overall performance </t>
  </si>
  <si>
    <t xml:space="preserve">Pattern Recognition Lab, Computer Science, Friedrich-Alexander-Universität Erlangen-Nürnberg, Erlangen, Germany  marc aubreville@fau de </t>
  </si>
  <si>
    <t>Aubreville, M; Stoeve, M; Oetter, N; Goncalves, M; Knipfer, C; Neumann, H; Bohr, C; Stelzle, F; Maier, A</t>
  </si>
  <si>
    <t>10 1128/AEM 01835-18</t>
  </si>
  <si>
    <t xml:space="preserve">Automated Microscopic Analysis of Metal Sulfide Colonization by Acidophilic Microorganisms </t>
  </si>
  <si>
    <t xml:space="preserve">Industrial biomining processes are currently focused on metal sulfides and their dissolution, which is catalyzed by acidophilic iron(II)- and/or sulfur-oxidizing microorganisms  Cell attachment on metal sulfides is important for this process  Biofilm formation is necessary for seeding and persistence of the active microbial community in industrial biomining heaps and tank reactors, and it enhances metal release  In this study, we used a method for direct quantification of the mineral-attached cell population on pyrite or chalcopyrite particles in bioleaching experiments by coupling high-throughput, automated epifluorescence microscopy imaging of mineral particles with algorithms for image analysis and cell quantification, thus avoiding human bias in cell counting  The method was validated by quantifying cell attachment on pyrite and chalcopyrite surfaces with axenic cultures of Acidithiobacillus caldus, Leptospirillum ferriphilum, and Sulfobacillus thermosulfidooxidans  The method confirmed the high affinity of L  ferriphilum cells to colonize pyrite and chalcopyrite surfaces and indicated that biofilm dispersal occurs in mature pyrite batch cultures of this species  Deep neural networks were also applied to analyze biofilms of different microbial consortia  Recent analysis of the L  ferriphilum genome revealed the presence of a diffusible soluble factor (DSF) family quorum sensing system  The respective signal compounds are known as biofilm dispersal agents  Biofilm dispersal was confirmed to occur in batch cultures of L  ferriphilum and S  thermosulfidooxidans upon the addition of DSF family signal compounds IMPORTANCE The presented method for the assessment of mineral colonization allows accurate relative comparisons of the microbial colonization of metal sulfide concentrate particles in a time-resolved manner  Quantitative assessment of the mineral colonization development is important for the compilation of improved mathematical models for metal sulfide dissolution  In addition, deep-learning algorithms proved that axenic or mixed cultures of the three species exhibited characteristic biofilm patterns and predicted the biofilm species composition  The method may be extended to the assessment of microbial colonization on other solid particles and may serve in the optimization of bioleaching processes in laboratory scale experiments with industrially relevant metal sulfide concentrates  Furthermore, the method was used to demonstrate that DSF quorum sensing signals directly influence colonization and dissolution of metal sulfides by mineral-oxidizing bacteria, such as L  ferriphilum and S  thermosulfidooxidans </t>
  </si>
  <si>
    <t>Applied and environmental microbiology</t>
  </si>
  <si>
    <t xml:space="preserve">Fakultät für Chemie, Biofilm Centre, Universität Duisburg-Essen, Essen, Germany soeren bellenberg@uni-due de antoine buetti dinh@usi ch </t>
  </si>
  <si>
    <t>Bellenberg, S; Buetti-Dinh, A; Galli, V; Ilie, O; Herold, M; Christel, S; Boretska, M; Pivkin, IV; Wilmes, P; Sand, W; Vera, M; Dopson, M</t>
  </si>
  <si>
    <t>7605801</t>
  </si>
  <si>
    <t>10 1002/rcs 1947</t>
  </si>
  <si>
    <t xml:space="preserve">Stacked sparse autoencoder networks and statistical shape models for automatic staging of distal femur trochlear dysplasia </t>
  </si>
  <si>
    <t xml:space="preserve">The quantitative morphological analysis of the trochlear region in the distal femur and the precise staging of the potential dysplastic condition constitute a key point for the use of personalized treatment options for the patella-femoral joint  In this paper, we integrated statistical shape models (SSM), able to represent the individual morphology of the trochlea by means of a set of parameters and stacked sparse autoencoder (SSPA) networks, which exploit the parameters to discriminate among different levels of abnormalities Two datasets of distal femur reconstructions were obtained from CT scans, including pathologic and physiologic shapes  Both of them were processed to compute SSM of healthy and dysplastic trochlear regions  The parameters obtained by the 3D-3D reconstruction of a femur shape were fed into a trained SSPA classifier to automatically establish the membership to one of three clinical conditions, namely, healthy, mild dysplasia, and severe dysplasia of the trochlea  The validation was performed on a subset of the shapes not used in the construction of the SSM, by verifying the occurrence of a correct classification A major finding of the work is that SSM are able to represent anomalies of the trochlear geometry by means of specific eigenmodes of variation and to model the interplay between morphologic features related to dysplasia  Exploiting the patient-specific morphing parameters of SSM, computed by means of a 3D-3D reconstruction, SSPA is demonstrated to outperform traditional discriminant analysis in classifying healthy, mild, and severe trochlear dysplasia providing 99%, 97%, and 98% accuracy for each of the three classes, respectively (discriminant analysis accuracy: 85%, 89%, and 77%) From a clinical point of view, this paper contributes to support the increasing role of SSM, integrated with deep learning techniques, in diagnostics and therapy definition as quantitative and advanced visualization tools </t>
  </si>
  <si>
    <t>Stacked sparse autoencoder networks</t>
  </si>
  <si>
    <t>The international journal of medical robotics + computer assisted surgery : MRCAS</t>
  </si>
  <si>
    <t xml:space="preserve">Department of Electronics, Information and Bioengineering, Politecnico di Milano University, Milan, Italy </t>
  </si>
  <si>
    <t>Cerveri, P; Belfatto, A; Baroni, G; Manzotti, A</t>
  </si>
  <si>
    <t>101250764</t>
  </si>
  <si>
    <t>10 1007/s00256-018-3033-2</t>
  </si>
  <si>
    <t xml:space="preserve">Artificial intelligence-assisted interpretation of bone age radiographs improves accuracy and decreases variability </t>
  </si>
  <si>
    <t xml:space="preserve">Radiographic bone age assessment (BAA) is used in the evaluation of pediatric endocrine and metabolic disorders  We previously developed an automated artificial intelligence (AI) deep learning algorithm to perform BAA using convolutional neural networks  We compared the BAA performance of a cohort of pediatric radiologists with and without AI assistance Six board-certified, subspecialty trained pediatric radiologists interpreted 280 age- and gender-matched bone age radiographs ranging from 5 to 18 years  Three of those radiologists then performed BAA with AI assistance  Bone age accuracy and root mean squared error (RMSE) were used as measures of accuracy  Intraclass correlation coefficient evaluated inter-rater variation AI BAA accuracy was 68 2% overall and 98 6% within 1 year, and the mean six-reader cohort accuracy was 63 6 and 97 4% within 1 year  AI RMSE was 0 601 years, while mean single-reader RMSE was 0 661 years  Pooled RMSE decreased from 0 661 to 0 508 years, all individually decreasing with AI assistance  ICC without AI was 0 9914 and with AI was 0 9951 AI improves radiologist's bone age assessment by increasing accuracy and decreasing variability and RMSE  The utilization of AI by radiologists improves performance compared to AI alone, a radiologist alone, or a pooled cohort of experts  This suggests that AI may optimally be utilized as an adjunct to radiologist interpretation of imaging studies to improve performance </t>
  </si>
  <si>
    <t>CNN,LeNet,GoogLeNet</t>
  </si>
  <si>
    <t>Skeletal radiology</t>
  </si>
  <si>
    <t xml:space="preserve">Department of Radiology, Massachusetts General Hospital, Boston, MA, USA  shahein@stajmir com </t>
  </si>
  <si>
    <t>Tajmir, SH; Lee, H; Shailam, R; Gale, HI; Nguyen, JC; Westra, SJ; Lim, R; Yune, S; Gee, MS; Do, S</t>
  </si>
  <si>
    <t>7701953</t>
  </si>
  <si>
    <t>10 1097/RLI 0000000000000503</t>
  </si>
  <si>
    <t xml:space="preserve">Deep Learning in Diagnosis of Maxillary Sinusitis Using Conventional Radiography </t>
  </si>
  <si>
    <t xml:space="preserve">The aim of this study was to compare the diagnostic performance of a deep learning algorithm with that of radiologists in diagnosing maxillary sinusitis on Waters' view radiographs Among 80,475 Waters' view radiographs, examined between May 2003 and February 2017, 9000 randomly selected cases were classified as normal or maxillary sinusitis based on radiographic findings and divided into training (n = 8000) and validation (n = 1000) sets to develop a deep learning algorithm  Two test sets composed of Waters' view radiographs with concurrent paranasal sinus computed tomography were labeled based on computed tomography findings: one with temporal separation (n = 140) and the other with geographic separation (n = 200) from the training set  Area under the receiver operating characteristics curve (AUC), sensitivity, and specificity of the algorithm and 5 radiologists were assessed  Interobserver agreement between the algorithm and majority decision of the radiologists was measured  The correlation coefficient between the predicted probability of the algorithm and average confidence level of the radiologists was determined The AUCs of the deep learning algorithm were 0 93 and 0 88 for the temporal and geographic external test sets, respectively  The AUCs of the radiologists were 0 83 to 0 89 for the temporal and 0 75 to 0 84 for the geographic external test sets  The deep learning algorithm showed statistically significantly higher AUC than radiologist in both test sets  In terms of sensitivity and specificity, the deep learning algorithm was comparable to the radiologists  A strong interobserver agreement was noted between the algorithm and radiologists (Cohen κ coefficient, 0 82)  The correlation coefficient between the predicted probability of the algorithm and confidence level of radiologists was 0 89 and 0 84 for the 2 test sets, respectively The deep learning algorithm could diagnose maxillary sinusitis on Waters' view radiograph with superior AUC and comparable sensitivity and specificity to those of radiologists </t>
  </si>
  <si>
    <t xml:space="preserve">Department of Radiology, Seoul National University Bundang Hospital, Seongnam </t>
  </si>
  <si>
    <t>Kim, Y; Lee, KJ; Sunwoo, L; Choi, D; Nam, CM; Cho, J; Kim, J; Bae, YJ; Yoo, RE; Choi, BS; Jung, C; Kim, JH</t>
  </si>
  <si>
    <t>10 1038/s41592-018-0069-0</t>
  </si>
  <si>
    <t xml:space="preserve">Quanti us: a tool for rapid, flexible, crowd-based annotation of images </t>
  </si>
  <si>
    <t xml:space="preserve">We describe Quanti us , a crowd-based image-annotation platform that provides an accurate alternative to computational algorithms for difficult image-analysis problems  We used Quanti us for a variety of medium-throughput image-analysis tasks and achieved 10-50× savings in analysis time compared with that required for the same task by a single expert annotator  We show equivalent deep learning performance for Quanti us-derived and expert-derived annotations, which should allow scalable integration with tailored machine learning algorithms </t>
  </si>
  <si>
    <t>Hughes, AJ; Mornin, JD; Biswas, SK; Beck, LE; Bauer, DP; Raj, A; Bianco, S; Gartner, ZJ</t>
  </si>
  <si>
    <t>10 1177/1203475418792000</t>
  </si>
  <si>
    <t xml:space="preserve">Deep Tissue Sequencing Using Hypodermoscopy and Augmented Intelligence to Analyze Atypical Pigmented Lesions </t>
  </si>
  <si>
    <t xml:space="preserve">Over the past decade, new technologies, devices, and methods have been developed to assist in the diagnosis of cutaneous melanocytic lesions Our objective was to evaluate the performance of an augmented intelligence system in the assessment of atypical pigmented lesions Nine atypical pigmented lesions on 8 patients were evaluated prior to surgical removal  No lesions had received previous treatment other than a diagnostic biopsy  Prior to surgical removal, each lesion was evaluated by an Augmented Intelligence Dermal Imager (AID) and the assessment parameters reviewed in light of the final histopathological diagnosis The AID was used to evaluate a limited set of atypical pigmented lesions and showed sensitivity and specificity of 82% and 61%, respectively, based on its internal risk assessment algorithms These cases represent early assessments of the AID in a clinical setting, all prior assessments having been carried out on digital images  The information received from these evaluations requires further validation and analysis to be able to extrapolate its clinical usefulness The AID combines dermoscopy, hypodermoscopy, and a trained augmented algorithm to produce a diffusion map representing the features of each lesion compared to the learned characteristics from a database of known dermoscopy images of lesions with definitive prior diagnosis  The information gathered from the diffusion map might be used to calculate a malignancy risk factor for the lesion compared to known melanoma features  This malignancy risk factor could be helpful in providing information to justify the biopsy of an atypical pigmented lesion </t>
  </si>
  <si>
    <t>Journal of cutaneous medicine and surgery</t>
  </si>
  <si>
    <t xml:space="preserve">1 Elucid Labs, Waterloo, ON, Canada </t>
  </si>
  <si>
    <t>Khodadad, I; Shafiee, J; Wong, A; Kazemzadeh, F; Arlette, J</t>
  </si>
  <si>
    <t>9614685</t>
  </si>
  <si>
    <t>10 1148/radiol 2018172986</t>
  </si>
  <si>
    <t xml:space="preserve">Deep Learning Approach for Evaluating Knee MR Images: Achieving High Diagnostic Performance for Cartilage Lesion Detection </t>
  </si>
  <si>
    <t xml:space="preserve">Purpose To determine the feasibility of using a deep learning approach to detect cartilage lesions (including cartilage softening, fibrillation, fissuring, focal defects, diffuse thinning due to cartilage degeneration, and acute cartilage injury) within the knee joint on MR images  Materials and Methods A fully automated deep learning-based cartilage lesion detection system was developed by using segmentation and classification convolutional neural networks (CNNs)  Fat-suppressed T2-weighted fast spin-echo MRI data sets of the knee of 175 patients with knee pain were retrospectively analyzed by using the deep learning method  The reference standard for training the CNN classification was the interpretation provided by a fellowship-trained musculoskeletal radiologist of the presence or absence of a cartilage lesion within 17 395 small image patches placed on the articular surfaces of the femur and tibia  Receiver operating curve (ROC) analysis and the κ statistic were used to assess diagnostic performance and intraobserver agreement for detecting cartilage lesions for two individual evaluations performed by the cartilage lesion detection system  Results The sensitivity and specificity of the cartilage lesion detection system at the optimal threshold according to the Youden index were 84 1% and 85 2%, respectively, for evaluation 1 and 80 5% and 87 9%, respectively, for evaluation 2  Areas under the ROC curve were 0 917 and 0 914 for evaluations 1 and 2, respectively, indicating high overall diagnostic accuracy for detecting cartilage lesions  There was good intraobserver agreement between the two individual evaluations, with a κ of 0 76  Conclusion This study demonstrated the feasibility of using a fully automated deep learning-based cartilage lesion detection system to evaluate the articular cartilage of the knee joint with high diagnostic performance and good intraobserver agreement for detecting cartilage degeneration and acute cartilage injury  © RSNA, 2018 Online supplemental material is available for this article  </t>
  </si>
  <si>
    <t xml:space="preserve">From the Department of Radiology, University of Wisconsin School of Medicine and Public Health, 1111 Highland Ave, Madison, WI 53705-2275 (F L , A S , D B , W L , A K , K L , S K , R K ); and Department of Biomedical Engineering, University of Minnesota, Minneapolis, Minn (Z Z ) </t>
  </si>
  <si>
    <t>Liu, F; Zhou, Z; Samsonov, A; Blankenbaker, D; Larison, W; Kanarek, A; Lian, K; Kambhampati, S; Kijowski, R</t>
  </si>
  <si>
    <t>10 3390/genes9080382</t>
  </si>
  <si>
    <t xml:space="preserve">Multimodal 3D DenseNet for IDH Genotype Prediction in Gliomas </t>
  </si>
  <si>
    <t xml:space="preserve">Non-invasive prediction of isocitrate dehydrogenase (IDH) genotype plays an important role in tumor glioma diagnosis and prognosis  Recently, research has shown that radiology images can be a potential tool for genotype prediction, and fusion of multi-modality data by deep learning methods can further provide complementary information to enhance prediction accuracy  However, it still does not have an effective deep learning architecture to predict IDH genotype with three-dimensional (3D) multimodal medical images  In this paper, we proposed a novel multimodal 3D DenseNet (M3D-DenseNet) model to predict IDH genotypes with multimodal magnetic resonance imaging (MRI) data  To evaluate its performance, we conducted experiments on the BRATS-2017 and The Cancer Genome Atlas breast invasive carcinoma (TCGA-BRCA) dataset to get image data as input and gene mutation information as the target, respectively  We achieved 84 6% accuracy (area under the curve (AUC) = 85 7%) on the validation dataset  To evaluate its generalizability, we applied transfer learning techniques to predict World Health Organization (WHO) grade status, which also achieved a high accuracy of 91 4% (AUC = 94 8%) on validation dataset  With the properties of automatic feature extraction, and effective and high generalizability, M3D-DenseNet can serve as a useful method for other multimodal radiogenomics problems and has the potential to be applied in clinical decision making </t>
  </si>
  <si>
    <t>Genes</t>
  </si>
  <si>
    <t xml:space="preserve">Key Laboratory of Symbol Computation and Knowledge Engineering of Ministry of Education, and College of Computer Science and Technology, Jilin University, Changchun 130012, China  hawkcoder@gmail com </t>
  </si>
  <si>
    <t>Liang, S; Zhang, R; Liang, D; Song, T; Ai, T; Xia, C; Xia, L; Wang, Y</t>
  </si>
  <si>
    <t>101551097</t>
  </si>
  <si>
    <t>10 1016/j compmedimag 2018 07 001</t>
  </si>
  <si>
    <t xml:space="preserve">An effective teeth recognition method using label tree with cascade network structure </t>
  </si>
  <si>
    <t xml:space="preserve">In this article, we apply the deep learning technique to medical field for the teeth detection and classification of dental periapical radiographs, which is important for the medical curing and postmortem identification  We detect teeth in an input X-ray image and distinguish them from different position  An adult usually has 32 teeth, and some of them are similar while others have very different shape  So there are 32 teeth position for us to recognize, which is a challenging task  Convolutional neural network is a popular method to do multi-class detection and classification, but it needs a lot of training data to get a good result if used directly  The lack of data is a common case in medical field due to patients' privacy  In this work, limited to the available data, we propose a new method using label tree to give each tooth several labels and decompose the task, which can deal with the lack of data  Then use cascade network structure to do automatic identification on 32 teeth position, which uses several convolutional neural network as its basic module  Meanwhile, several key strategies are utilized to improve the detection and classification performance  Our method can deal with many complex cases such as X-ray images with tooth loss, decayed tooth and filled tooth, which frequently appear on patients  The experiments on our dataset show: for small training dataset, compared to the precision and recall by training a 33-classes (32 teeth and background) state-of-the-art convolutional neural network directly, the proposed approach reaches a high precision and recall of 95 8% and 96 1% in total, which is a big improvement in such a complex task </t>
  </si>
  <si>
    <t xml:space="preserve">Department of Electronic Engineering, Tsinghua University, Beijing, China  Electronic address: zhangkl17@mails tsinghua edu cn </t>
  </si>
  <si>
    <t>Zhang, K; Wu, J; Chen, H; Lyu, P</t>
  </si>
  <si>
    <t>10 1016/j neuroimage 2018 07 047</t>
  </si>
  <si>
    <t xml:space="preserve">Reading the (functional) writing on the (structural) wall: Multimodal fusion of brain structure and function via a deep neural network based translation approach reveals novel impairments in schizophrenia </t>
  </si>
  <si>
    <t xml:space="preserve">This work presents a novel approach to finding linkage/association between multimodal brain imaging data, such as structural MRI (sMRI) and functional MRI (fMRI)  Motivated by the machine translation domain, we employ a deep learning model, and consider two different imaging views of the same brain like two different languages conveying some common facts  That analogy enables finding linkages between two modalities  The proposed translation-based fusion model contains a computing layer that learns "alignments" (or links) between dynamic connectivity features from fMRI data and static gray matter patterns from sMRI data  The approach is evaluated on a multi-site dataset consisting of eyes-closed resting state imaging data collected from 298 subjects (age- and gender matched 154 healthy controls and 144 patients with schizophrenia)  Results are further confirmed on an independent dataset consisting of eyes-open resting state imaging data from 189 subjects (age- and gender matched 91 healthy controls and 98 patients with schizophrenia)  We used dynamic functional connectivity (dFNC) states as the functional features and ICA-based sources from gray matter densities as the structural features  The dFNC states characterized by weakly correlated intrinsic connectivity networks (ICNs) were found to have stronger association with putamen and insular gray matter pattern, while the dFNC states of profuse strongly correlated ICNs exhibited stronger links with the gray matter pattern in precuneus, posterior cingulate cortex (PCC), and temporal cortex  Further investigation with the estimated link strength (or alignment score) showed significant group differences between healthy controls and patients with schizophrenia in several key regions including temporal lobe, and linked these to connectivity states showing less occupancy in healthy controls  Moreover, this novel approach revealed significant correlation between a cognitive score (attention/vigilance) and the function/structure alignment score that was not detected when data modalities were considered separately </t>
  </si>
  <si>
    <t xml:space="preserve">The Mind Research Network, 1101 Yale Blvd, Albuquerque, NM, 87106, USA  Electronic address: s m plis@gmail com </t>
  </si>
  <si>
    <t>Plis, SM; Amin, MF; Chekroud, A; Hjelm, D; Damaraju, E; Lee, HJ; Bustillo, JR; Cho, K; Pearlson, GD; Calhoun, VD</t>
  </si>
  <si>
    <t>10 3174/ajnr A5742</t>
  </si>
  <si>
    <t xml:space="preserve">Hybrid 3D/2D Convolutional Neural Network for Hemorrhage Evaluation on Head CT </t>
  </si>
  <si>
    <t xml:space="preserve">Convolutional neural networks are a powerful technology for image recognition  This study evaluates a convolutional neural network optimized for the detection and quantification of intraparenchymal, epidural/subdural, and subarachnoid hemorrhages on noncontrast CT This study was performed in 2 phases  First, a training cohort of all NCCTs acquired at a single institution between January 1, 2017, and July 31, 2017, was used to develop and cross-validate a custom hybrid 3D/2D mask ROI-based convolutional neural network architecture for hemorrhage evaluation  Second, the trained network was applied prospectively to all NCCTs ordered from the emergency department between February 1, 2018, and February 28, 2018, in an automated inference pipeline  Hemorrhage-detection accuracy, area under the curve, sensitivity, specificity, positive predictive value, and negative predictive value were assessed for full and balanced datasets and were further stratified by hemorrhage type and size  Quantification was assessed by the Dice score coefficient and the Pearson correlation A 10,159-examination training cohort (512,598 images; 901/8 1% hemorrhages) and an 862-examination test cohort (23,668 images; 82/12% hemorrhages) were used in this study  Accuracy, area under the curve, sensitivity, specificity, positive predictive value, and negative-predictive value for hemorrhage detection were 0 975, 0 983, 0 971, 0 975, 0 793, and 0 997 on training cohort cross-validation and 0 970, 0 981, 0 951, 0 973, 0 829, and 0 993 for the prospective test set  Dice scores for intraparenchymal hemorrhage, epidural/subdural hemorrhage, and SAH were 0 931, 0 863, and 0 772, respectively A customized deep learning tool is accurate in the detection and quantification of hemorrhage on NCCT  Demonstrated high performance on prospective NCCTs ordered from the emergency department suggests the clinical viability of the proposed deep learning tool </t>
  </si>
  <si>
    <t xml:space="preserve">From the Departments of Radiology (P D C , E K , M T , R H , M -Y S , D C ) </t>
  </si>
  <si>
    <t>Chang, PD; Kuoy, E; Grinband, J; Weinberg, BD; Thompson, M; Homo, R; Chen, J; Abcede, H; Shafie, M; Sugrue, L; Filippi, CG; Su, MY; Yu, W; Hess, C; Chow, D</t>
  </si>
  <si>
    <t>10 1148/radiol 2018180445</t>
  </si>
  <si>
    <t xml:space="preserve">Variable-Density Single-Shot Fast Spin-Echo MRI with Deep Learning Reconstruction by Using Variational Networks </t>
  </si>
  <si>
    <t xml:space="preserve">Purpose To develop a deep learning reconstruction approach to improve the reconstruction speed and quality of highly undersampled variable-density single-shot fast spin-echo imaging by using a variational network (VN), and to clinically evaluate the feasibility of this approach  Materials and Methods Imaging was performed with a 3 0-T imager with a coronal variable-density single-shot fast spin-echo sequence at 3 25 times acceleration in 157 patients referred for abdominal imaging (mean age, 11 years; range, 1-34 years; 72 males [mean age, 10 years; range, 1-26 years] and 85 females [mean age, 12 years; range, 1-34 years]) between March 2016 and April 2017  A VN was trained based on the parallel imaging and compressed sensing (PICS) reconstruction of 130 patients  The remaining 27 patients were used for evaluation  Image quality was evaluated in an independent blinded fashion by three radiologists in terms of overall image quality, perceived signal-to-noise ratio, image contrast, sharpness, and residual artifacts with scores ranging from 1 (nondiagnostic) to 5 (excellent)  Wilcoxon tests were performed to test the hypothesis that there was no significant difference between VN and PICS  Results VN achieved improved perceived signal-to-noise ratio (P =  01) and improved sharpness (P &lt;  001), with no difference in image contrast (P =  24) and residual artifacts (P =  07)  In terms of overall image quality, VN performed better than did PICS (P =  02)  Average reconstruction time ± standard deviation was 5 60 seconds ± 1 30 per section for PICS and 0 19 second ± 0 04 per section for VN  Conclusion Compared with the conventional parallel imaging and compressed sensing reconstruction (PICS), the variational network (VN) approach accelerates the reconstruction of variable-density single-shot fast spin-echo sequences and achieves improved overall image quality with higher perceived signal-to-noise ratio and sharpness  © RSNA, 2018 Online supplemental material is available for this article </t>
  </si>
  <si>
    <t>variational network (VN)</t>
    <phoneticPr fontId="0" type="noConversion"/>
  </si>
  <si>
    <t xml:space="preserve">From the Departments of Electrical Engineering (F C , J M P ) and Radiology (J Y C , J S , S T C , S S V ), Stanford University, Stanford, Calif 94305-9510; Global MR Applications and Workflow, GE Healthcare, Menlo Park, Calif (V T ); GE Global Research Center, Herzliya, Israel (I M ); Department of Electrical Engineering and Computer Sciences, University of California-Berkeley, Berkeley, Calif (J I T ); Department of Radiology, VA Palo Alto Healthcare System, Palo Alto, Calif (S T C ); and GE Global Research Center, Niskayuna, NY (C J H ) </t>
  </si>
  <si>
    <t>Chen, F; Taviani, V; Malkiel, I; Cheng, JY; Tamir, JI; Shaikh, J; Chang, ST; Hardy, CJ; Pauly, JM; Vasanawala, SS</t>
  </si>
  <si>
    <t>10 1016/j mri 2018 07 003</t>
  </si>
  <si>
    <t xml:space="preserve">A machine-learning framework for automatic reference-free quality assessment in MRI </t>
  </si>
  <si>
    <t xml:space="preserve">Magnetic resonance (MR) imaging offers a wide variety of imaging techniques  A large amount of data is created per examination which needs to be checked for sufficient quality in order to derive a meaningful diagnosis  This is a manual process and therefore time- and cost-intensive  Any imaging artifacts originating from scanner hardware, signal processing or induced by the patient may reduce the image quality and complicate the diagnosis or any image post-processing  Therefore, the assessment or the ensurance of sufficient image quality in an automated manner is of high interest  Usually no reference image is available or difficult to define  Therefore, classical reference-based approaches are not applicable  Model observers mimicking the human observers (HO) can assist in this task  Thus, we propose a new machine-learning-based reference-free MR image quality assessment framework which is trained on HO-derived labels to assess MR image quality immediately after each acquisition  We include the concept of active learning and present an efficient blinded reading platform to reduce the effort in the HO labeling procedure  Derived image features and the applied classifiers (support-vector-machine, deep neural network) are investigated for a cohort of 250 patients  The MR image quality assessment framework can achieve a high test accuracy of 93 7% for estimating quality classes on a 5-point Likert-scale  The proposed MR image quality assessment framework is able to provide an accurate and efficient quality estimation which can be used as a prospective quality assurance including automatic acquisition adaptation or guided MR scanner operation, and/or as a retrospective quality assessment including support of diagnostic decisions or quality control in cohort studies </t>
  </si>
  <si>
    <t xml:space="preserve">Institute of Signal Processing and System Theory, University of Stuttgart, Stuttgart, Germany; Section on Experimental Radiology, University of Tübingen, Germany  Electronic address: thomas kuestner@iss uni-stuttgart de </t>
  </si>
  <si>
    <t>Küstner, T; Gatidis, S; Liebgott, A; Schwartz, M; Mauch, L; Martirosian, P; Schmidt, H; Schwenzer, NF; Nikolaou, K; Bamberg, F; Yang, B; Schick, F</t>
  </si>
  <si>
    <t>10 1117/1 JMI 5 3 036501</t>
  </si>
  <si>
    <t xml:space="preserve">DeepLesion: automated mining of large-scale lesion annotations and universal lesion detection with deep learning </t>
  </si>
  <si>
    <t xml:space="preserve">Extracting, harvesting, and building large-scale annotated radiological image datasets is a greatly important yet challenging problem  Meanwhile, vast amounts of clinical annotations have been collected and stored in hospitals' picture archiving and communication systems (PACS)  These types of annotations, also known as bookmarks in PACS, are usually marked by radiologists during their daily workflow to highlight significant image findings that may serve as reference for later studies  We propose to mine and harvest these abundant retrospective medical data to build a large-scale lesion image dataset  Our process is scalable and requires minimum manual annotation effort  We mine bookmarks in our institute to develop DeepLesion, a dataset with 32,735 lesions in 32,120 CT slices from 10,594 studies of 4,427 unique patients  There are a variety of lesion types in this dataset, such as lung nodules, liver tumors, enlarged lymph nodes, and so on  It has the potential to be used in various medical image applications  Using DeepLesion, we train a universal lesion detector that can find all types of lesions with one unified framework  In this challenging task, the proposed lesion detector achieves a sensitivity of 81 1% with five false positives per image </t>
    <phoneticPr fontId="0" type="noConversion"/>
  </si>
  <si>
    <t>abdominal,thoracic</t>
  </si>
  <si>
    <t xml:space="preserve">National Institutes of Health, Clinical Center, Imaging Biomarkers and Computer-Aided Diagnosis Laboratory, Bethesda, Maryland, United States </t>
  </si>
  <si>
    <t>Yan, K; Wang, X; Lu, L; Summers, RM</t>
  </si>
  <si>
    <t>10 1016/j ijmedinf 2018 06 003</t>
  </si>
  <si>
    <t xml:space="preserve">A fully integrated computer-aided diagnosis system for digital X-ray mammograms via deep learning detection, segmentation, and classification </t>
  </si>
  <si>
    <t xml:space="preserve">A computer-aided diagnosis (CAD) system requires detection, segmentation, and classification in one framework to assist radiologists efficiently in an accurate diagnosis  In this paper, a completely integrated CAD system is proposed to screen digital X-ray mammograms involving detection, segmentation, and classification of breast masses via deep learning methodologies  In this work, to detect breast mass from entire mammograms, You-Only-Look-Once (YOLO), a regional deep learning approach, is used  To segment the mass, full resolution convolutional network (FrCN), a new deep network model, is proposed and utilized  Finally, a deep convolutional neural network (CNN) is used to recognize the mass and classify it as either benign or malignant  To evaluate the proposed integrated CAD system in terms of the accuracies of detection, segmentation, and classification, the publicly available and annotated INbreast database was utilized  The evaluation results of the proposed CAD system via four-fold cross-validation tests show that a mass detection accuracy of 98 96%, Matthews correlation coefficient (MCC) of 97 62%, and F1-score of 99 24% are achieved with the INbreast dataset  Moreover, the mass segmentation results via FrCN produced an overall accuracy of 92 97%, MCC of 85 93%, and Dice (F1-score) of 92 69% and Jaccard similarity coefficient metrics of 86 37%, respectively  The detected and segmented masses were classified via CNN and achieved an overall accuracy of 95 64%, AUC of 94 78%, MCC of 89 91%, and F1-score of 96 84%, respectively  Our results demonstrate that the proposed CAD system, through all stages of detection, segmentation, and classification, outperforms the latest conventional deep learning methodologies  Our proposed CAD system could be used to assist radiologists in all stages of detection, segmentation, and classification of breast masses </t>
  </si>
  <si>
    <t xml:space="preserve">CNN,VGG,FrCN(full resolution convolutional network) </t>
  </si>
  <si>
    <t xml:space="preserve">Department of Biomedical Engineering, College of Electronics and Information, Kyung Hee University, Yongin, 17104, Republic of Korea  Electronic address: en mualshz@khu ac kr </t>
  </si>
  <si>
    <t>Al-Antari, MA; Al-Masni, MA; Choi, MT; Han, SM; Kim, TS</t>
  </si>
  <si>
    <t>10 1167/iovs 18-23887</t>
  </si>
  <si>
    <t xml:space="preserve">Deep Learning for Predicting Refractive Error From Retinal Fundus Images </t>
  </si>
  <si>
    <t xml:space="preserve">We evaluate how deep learning can be applied to extract novel information such as refractive error from retinal fundus imaging Retinal fundus images used in this study were 45- and 30-degree field of view images from the UK Biobank and Age-Related Eye Disease Study (AREDS) clinical trials, respectively  Refractive error was measured by autorefraction in UK Biobank and subjective refraction in AREDS  We trained a deep learning algorithm to predict refractive error from a total of 226,870 images and validated it on 24,007 UK Biobank and 15,750 AREDS images  Our model used the "attention" method to identify features that are correlated with refractive error The resulting algorithm had a mean absolute error (MAE) of 0 56 diopters (95% confidence interval [CI]: 0 55-0 56) for estimating spherical equivalent on the UK Biobank data set and 0 91 diopters (95% CI: 0 89-0 93) for the AREDS data set  The baseline expected MAE (obtained by simply predicting the mean of this population) was 1 81 diopters (95% CI: 1 79-1 84) for UK Biobank and 1 63 (95% CI: 1 60-1 67) for AREDS  Attention maps suggested that the foveal region was one of the most important areas used by the algorithm to make this prediction, though other regions also contribute to the prediction To our knowledge, the ability to estimate refractive error with high accuracy from retinal fundus photos has not been previously known and demonstrates that deep learning can be applied to make novel predictions from medical images </t>
  </si>
  <si>
    <t xml:space="preserve">Google Research, Google, Inc , Mountain View, California, United States </t>
  </si>
  <si>
    <t>Varadarajan, AV; Poplin, R; Blumer, K; Angermueller, C; Ledsam, J; Chopra, R; Keane, PA; Corrado, GS; Peng, L; Webster, DR</t>
  </si>
  <si>
    <t>10 1007/s00117-018-0426-0</t>
  </si>
  <si>
    <t xml:space="preserve">[Basics and applications of Natural Language Processing (NLP) in radiology] </t>
  </si>
  <si>
    <t xml:space="preserve">Due to the increasing demands in radiology, applications that enable quality assurance and continuous process optimization are required The principles of Natural Language Processing (NLP) as a computer-based method for structuring of free text reports are explained and application scenarios are sketched The structuring of free texts succeeds by several theories, linguistic techniques (word meanings, word context, negations), statistical methods with rules and currently with deep learning approaches  Medical encyclopedias, such as RadLex®, are suitable for coding findings  NLP was used in our own radiology clinic to check the quality of 3756 CT reports In our case study, NLP proved to be a helpful, automated tool for internal quality testing NLP offers numerous application scenarios for decision support and for quality management in radiology </t>
  </si>
  <si>
    <t>Der Radiologe</t>
  </si>
  <si>
    <t xml:space="preserve">Klinik und Poliklinik für Diagnostische und Interventionelle Radiologie, Universitätsmedizin, Johannes Gutenberg-Universität Mainz, Langenbeckstr  1, 55131, Mainz, Deutschland  florian jungmann@unimedizin-mainz de </t>
  </si>
  <si>
    <t>Jungmann, F; Kuhn, S; Kämpgen, B</t>
  </si>
  <si>
    <t>ger</t>
  </si>
  <si>
    <t>0401257</t>
  </si>
  <si>
    <t>10 1007/978-3-319-66179-7_48</t>
  </si>
  <si>
    <t xml:space="preserve">Medical Image Synthesis with Context-Aware Generative Adversarial Networks </t>
  </si>
  <si>
    <t xml:space="preserve">Computed tomography (CT) is critical for various clinical applications, e g , radiation treatment planning and also PET attenuation correction in MRI/PET scanner  However, CT exposes radiation during acquisition, which may cause side effects to patients  Compared to CT, magnetic resonance imaging (MRI) is much safer and does not involve radiations  Therefore, recently researchers are greatly motivated to estimate CT image from its corresponding MR image of the same subject for the case of radiation planning  In this paper, we propose a data-driven approach to address this challenging problem  Specifically, we train a fully convolutional network (FCN) to generate CT given the MR image  To better model the nonlinear mapping from MRI to CT and produce more realistic images, we propose to use the adversarial training strategy to train the FCN  Moreover, we propose an image-gradient-difference based loss function to alleviate the blurriness of the generated CT  We further apply Auto-Context Model (ACM) to implement a context-aware generative adversarial network  Experimental results show that our method is accurate and robust for predicting CT images from MR images, and also outperforms three state-of-the-art methods under comparison </t>
  </si>
  <si>
    <t>FCN,GAN</t>
  </si>
  <si>
    <t>Nie, D; Trullo, R; Lian, J; Petitjean, C; Ruan, S; Wang, Q; Shen, D</t>
  </si>
  <si>
    <t>10 1016/j media 2018 07 001</t>
  </si>
  <si>
    <t xml:space="preserve">Synthesizing retinal and neuronal images with generative adversarial nets </t>
  </si>
  <si>
    <t xml:space="preserve">This paper aims at synthesizing multiple realistic-looking retinal (or neuronal) images from an unseen tubular structured annotation that contains the binary vessel (or neuronal) morphology  The generated phantoms are expected to preserve the same tubular structure, and resemble the visual appearance of the training images  Inspired by the recent progresses in generative adversarial nets (GANs) as well as image style transfer, our approach enjoys several advantages  It works well with a small training set with as few as 10 training examples, which is a common scenario in medical image analysis  Besides, it is capable of synthesizing diverse images from the same tubular structured annotation  Extensive experimental evaluations on various retinal fundus and neuronal imaging applications demonstrate the merits of the proposed approach </t>
  </si>
  <si>
    <t xml:space="preserve">Beijing Institute of Technology, China; Bioinformatics Institute, A*STAR, Singapore </t>
  </si>
  <si>
    <t>Zhao, H; Li, H; Maurer-Stroh, S; Cheng, L</t>
  </si>
  <si>
    <t>10 1186/s12859-018-2232-0</t>
  </si>
  <si>
    <t xml:space="preserve">Effective automated pipeline for 3D reconstruction of synapses based on deep learning </t>
  </si>
  <si>
    <t xml:space="preserve">The locations and shapes of synapses are important in reconstructing connectomes and analyzing synaptic plasticity  However, current synapse detection and segmentation methods are still not adequate for accurately acquiring the synaptic connectivity, and they cannot effectively alleviate the burden of synapse validation We propose a fully automated method that relies on deep learning to realize the 3D reconstruction of synapses in electron microscopy (EM) images  The proposed method consists of three main parts: (1) training and employing the faster region convolutional neural networks (R-CNN) algorithm to detect synapses, (2) using the z-continuity of synapses to reduce false positives, and (3) combining the Dijkstra algorithm with the GrabCut algorithm to obtain the segmentation of synaptic clefts  Experimental results were validated by manual tracking, and the effectiveness of our proposed method was demonstrated  The experimental results in anisotropic and isotropic EM volumes demonstrate the effectiveness of our algorithm, and the average precision of our detection (92 8% in anisotropy, 93 5% in isotropy) and segmentation (88 6% in anisotropy, 93 0% in isotropy) suggests that our method achieves state-of-the-art results Our fully automated approach contributes to the development of neuroscience, providing neurologists with a rapid approach for obtaining rich synaptic statistics </t>
  </si>
  <si>
    <t xml:space="preserve">Institute of Automation, Chinese Academy of Sciences, 95 Zhongguancun East Road, Beijing, 100190, China </t>
  </si>
  <si>
    <t>Xiao, C; Li, W; Deng, H; Chen, X; Yang, Y; Xie, Q; Han, H</t>
  </si>
  <si>
    <t>10 1007/s11517-018-1819-y</t>
  </si>
  <si>
    <t xml:space="preserve">A novel fused convolutional neural network for biomedical image classification </t>
  </si>
  <si>
    <t xml:space="preserve">With the advent of biomedical imaging technology, the number of captured and stored biomedical images is rapidly increasing day by day in hospitals, imaging laboratories and biomedical institutions  Therefore, more robust biomedical image analysis technology is needed to meet the requirement of the diagnosis and classification of various kinds of diseases using biomedical images  However, the current biomedical image classification methods and general non-biomedical image classifiers cannot extract more compact biomedical image features or capture the tiny differences between similar images with different types of diseases from the same category  In this paper, we propose a novel fused convolutional neural network to develop a more accurate and highly efficient classifier for biomedical images, which combines shallow layer features and deep layer features from the proposed deep neural network architecture  In the analysis, it was observed that the shallow layers provided more detailed local features, which could distinguish different diseases in the same category, while the deep layers could convey more high-level semantic information used to classify the diseases among the various categories  A detailed comparison of our approach with traditional classification algorithms and popular deep classifiers across several public biomedical image datasets showed the superior performance of our proposed method for biomedical image classification  In addition, we also evaluated the performance of our method in modality classification of medical images using the ImageCLEFmed dataset  Graphical abstract The graphical abstract shows the fused, deep convolutional neural network architecture proposed for biomedical image classification  In the architecture, we can clearly see the feature-fusing process going from shallow layers and the deep layers </t>
  </si>
  <si>
    <t xml:space="preserve">CNN,AlexNet </t>
  </si>
  <si>
    <t xml:space="preserve">Department of Computational Intelligence, College of Computer Science and Technology, Jilin University, Qianjin Street 2699, Changchun, Jilin Province, China </t>
  </si>
  <si>
    <t>Pang, S; Du, A; Orgun, MA; Yu, Z</t>
  </si>
  <si>
    <t>10 1109/TMI 2018 2837012</t>
  </si>
  <si>
    <t xml:space="preserve">Disc-Aware Ensemble Network for Glaucoma Screening From Fundus Image </t>
  </si>
  <si>
    <t xml:space="preserve">Glaucoma is a chronic eye disease that leads to irreversible vision loss  Most of the existing automatic screening methods first segment the main structure and subsequently calculate the clinical measurement for the detection and screening of glaucoma  However, these measurement-based methods rely heavily on the segmentation accuracy and ignore various visual features  In this paper, we introduce a deep learning technique to gain additional image-relevant information and screen glaucoma from the fundus image directly  Specifically, a novel disc-aware ensemble network for automatic glaucoma screening is proposed, which integrates the deep hierarchical context of the global fundus image and the local optic disc region  Four deep streams on different levels and modules are, respectively, considered as global image stream, segmentation-guided network, local disc region stream, and disc polar transformation stream  Finally, the output probabilities of different streams are fused as the final screening result  The experiments on two glaucoma data sets (SCES and new SINDI data sets) show that our method outperforms other state-of-the-art algorithms </t>
  </si>
  <si>
    <t>Fu, H; Cheng, J; Xu, Y; Zhang, C; Wong, DWK; Liu, J; Cao, X</t>
  </si>
  <si>
    <t>10 1109/TMI 2018 2837002</t>
  </si>
  <si>
    <t xml:space="preserve">Detecting and Locating Gastrointestinal Anomalies Using Deep Learning and Iterative Cluster Unification </t>
  </si>
  <si>
    <t xml:space="preserve">This paper proposes a novel methodology for automatic detection and localization of gastrointestinal (GI) anomalies in endoscopic video frame sequences  Training is performed with weakly annotated images, using only image-level, semantic labels instead of detailed, and pixel-level annotations  This makes it a cost-effective approach for the analysis of large videoendoscopy repositories  Other advantages of the proposed methodology include its capability to suggest possible locations of GI anomalies within the video frames, and its generality, in the sense that abnormal frame detection is based on automatically derived image features  It is implemented in three phases: 1) it classifies the video frames into abnormal or normal using a weakly supervised convolutional neural network (WCNN) architecture; 2) detects salient points from deeper WCNN layers, using a deep saliency detection algorithm; and 3) localizes GI anomalies using an iterative cluster unification (ICU) algorithm  ICU is based on a pointwise cross-feature-map (PCFM) descriptor extracted locally from the detected salient points using information derived from the WCNN  Results, from extensive experimentation using publicly available collections of gastrointestinal endoscopy video frames, are presented  The data sets used include a variety of GI anomalies  Both anomaly detection and localization performance achieved, in terms of the area under receiver operating characteristic (AUC), were &gt;80%  The highest AUC for anomaly detection was obtained on conventional gastroscopy images, reaching 96%, and the highest AUC for anomaly localization was obtained on wireless capsule endoscopy images, reaching 88% </t>
  </si>
  <si>
    <t>D K  Iakovidis, S V  Georgakopoulos, V P  Plagianakos and M  Vasilakakis, are with the Department of Computer Science and Biomedical Informatics, University of Thessaly, Lamia, Greece</t>
  </si>
  <si>
    <t>Iakovidis, DK; Georgakopoulos, SV; Vasilakakis, M; Koulaouzidis, A; Plagianakos, VP</t>
  </si>
  <si>
    <t>10 1109/TMI 2018 2836965</t>
  </si>
  <si>
    <t xml:space="preserve">A Stacked Sparse Autoencoder-Based Detector for Automatic Identification of Neuromagnetic High Frequency Oscillations in Epilepsy </t>
  </si>
  <si>
    <t xml:space="preserve">High-frequency oscillations (HFOs) are spontaneous magnetoencephalography (MEG) patterns that have been acknowledged as a putative biomarker to identify epileptic foci  Correct detection of HFOs in the MEG signals is crucial for the accurate and timely clinical evaluation  Since the visual examination of HFOs is time-consuming, error-prone, and with poor inter-reviewer reliability, an automatic HFOs detector is highly desirable in clinical practice  However, the existing approaches for HFOs detection may not be applicable for MEG signals with noisy background activity  Therefore, we employ the stacked sparse autoencoder (SSAE) and propose an SSAE-based MEG HFOs (SMO) detector to facilitate the clinical detection of HFOs  To the best of our knowledge, this is the first attempt to conduct HFOs detection in MEG using deep learning methods  After configuration optimization, our proposed SMO detector is outperformed other classic peer models by achieving 89 9% in accuracy, 88 2% in sensitivity, and 91 6% in specificity  Furthermore, we have tested the performance consistency of our model using various validation schemes  The distribution of performance metrics demonstrates that our model can achieve steady performance </t>
  </si>
  <si>
    <t xml:space="preserve">JY  Guo is with University of Cincinnati, Cincinnati, USA  </t>
  </si>
  <si>
    <t>Guo, J; Yang, K; Liu, H; Yin, C; Xiang, J; Li, H; Ji, R; Gao, Y</t>
  </si>
  <si>
    <t>10 1109/TMI 2018 2851150</t>
  </si>
  <si>
    <t xml:space="preserve">Deep Learning Global Glomerulosclerosis in Transplant Kidney Frozen Sections </t>
  </si>
  <si>
    <t xml:space="preserve">Transplantable kidneys are in very limited supply  Accurate viability assessment prior to transplantation could minimize organ discard  Rapid and accurate evaluation of intra-operative donor kidney biopsies is essential for determining which kidneys are eligible for transplantation  The criterion for accepting or rejecting donor kidneys relies heavily on pathologist determination of the percent of glomeruli (determined from a frozen section) that are normal and sclerotic  This percentage is a critical measurement that correlates with transplant outcome  Inter- and intra-observer variability in donor biopsy evaluation is, however, significant  An automated method for determination of percent global glomerulosclerosis could prove useful in decreasing evaluation variability, increasing throughput, and easing the burden on pathologists  Here, we describe the development of a deep learning model that identifies and classifies non-sclerosed and sclerosed glomeruli in whole-slide images of donor kidney frozen section biopsies  This model extends a convolutional neural network (CNN) pre-trained on a large database of digital images  The extended model, when trained on just 48 whole slide images, exhibits slide-level evaluation performance on par with expert renal pathologists  Encouragingly, the model's performance is robust to slide preparation artifacts associated with frozen section preparation  The model substantially outperforms a model trained on image patches of isolated glomeruli, in terms of both accuracy and speed  The methodology overcomes the technical challenge of applying a pretrained CNN bottleneck model to whole-slide image classification  The traditional patch-based approach, while exhibiting deceptively good performance classifying isolated patches, does not translate successfully to whole-slide image segmentation in this setting  As the first model reported that identifies and classifies normal and sclerotic glomeruli in frozen kidney sections, and thus the first model reported in the literature relevant to kidney transplantation, it may become an essential part of donor kidney biopsy evaluation in the clinical setting </t>
  </si>
  <si>
    <t xml:space="preserve">J  N  Marsh and S  J  Swamidass are with the Department of Pathology &amp; Immunology and the Institute for Informatics at Washington University School of Medicine, St  Louis, MO, 63110 USA e-mail: (see http://swami wustl edu/contact)  (Jon N  Marsh and Matthew K  Matlock are co-ﬁrst authors ) </t>
  </si>
  <si>
    <t>Marsh, JN; Matlock, MK; Kudose, S; Liu, TC; Stappenbeck, TS; Gaut, JP; Swamidass, SJ</t>
  </si>
  <si>
    <t>10 1109/TMI 2018 2806309</t>
  </si>
  <si>
    <t xml:space="preserve">Automatic Multi-Organ Segmentation on Abdominal CT With Dense V-Networks </t>
  </si>
  <si>
    <t xml:space="preserve">Automatic segmentation of abdominal anatomy on computed tomography (CT) images can support diagnosis, treatment planning, and treatment delivery workflows  Segmentation methods using statistical models and multi-atlas label fusion (MALF) require inter-subject image registrations, which are challenging for abdominal images, but alternative methods without registration have not yet achieved higher accuracy for most abdominal organs  We present a registration-free deep-learning-based segmentation algorithm for eight organs that are relevant for navigation in endoscopic pancreatic and biliary procedures, including the pancreas, the gastrointestinal tract (esophagus, stomach, and duodenum) and surrounding organs (liver, spleen, left kidney, and gallbladder)  We directly compared the segmentation accuracy of the proposed method to the existing deep learning and MALF methods in a cross-validation on a multi-centre data set with 90 subjects  The proposed method yielded significantly higher Dice scores for all organs and lower mean absolute distances for most organs, including Dice scores of 0 78 versus 0 71, 0 74, and 0 74 for the pancreas, 0 90 versus 0 85, 0 87, and 0 83 for the stomach, and 0 76 versus 0 68, 0 69, and 0 66 for the esophagus  We conclude that the deep-learning-based segmentation represents a registration-free method for multi-organ abdominal CT segmentation whose accuracy can surpass current methods, potentially supporting image-guided navigation in gastrointestinal endoscopy procedures </t>
  </si>
  <si>
    <t>FCN,CNN,DenseNet</t>
  </si>
  <si>
    <t xml:space="preserve">∗UCL Centre for Medical Image Computing, Department of Medical Physics &amp; Biomedical Engineering, University College London, UK </t>
  </si>
  <si>
    <t>Gibson, E; Giganti, F; Hu, Y; Bonmati, E; Bandula, S; Gurusamy, K; Davidson, B; Pereira, SP; Clarkson, MJ; Barratt, DC</t>
  </si>
  <si>
    <t>10 1109/TMI 2018 2838550</t>
  </si>
  <si>
    <t xml:space="preserve">Structure-Preserving Guided Retinal Image Filtering and Its Application for Optic Disk Analysis </t>
  </si>
  <si>
    <t xml:space="preserve">Retinal fundus photographs have been used in the diagnosis of many ocular diseases such as glaucoma, pathological myopia, age-related macular degeneration, and diabetic retinopathy  With the development of computer science, computer aided diagnosis has been developed to process and analyze the retinal images automatically  One of the challenges in the analysis is that the quality of the retinal image is often degraded  For example, a cataract in human lens will attenuate the retinal image, just as a cloudy camera lens which reduces the quality of a photograph  It often obscures the details in the retinal images and posts challenges in retinal image processing and analyzing tasks  In this paper, we approximate the degradation of the retinal images as a combination of human-lens attenuation and scattering  A novel structure-preserving guided retinal image filtering (SGRIF) is then proposed to restore images based on the attenuation and scattering model  The proposed SGRIF consists of a step of global structure transferring and a step of global edge-preserving smoothing  Our results show that the proposed SGRIF method is able to improve the contrast of retinal images, measured by histogram flatness measure, histogram spread, and variability of local luminosity  In addition, we further explored the benefits of SGRIF for subsequent retinal image processing and analyzing tasks  In the two applications of deep learning-based optic cup segmentation and sparse learning-based cup-to-disk ratio (CDR) computation, our results show that we are able to achieve more accurate optic cup segmentation and CDR measurements from images processed by SGRIF </t>
  </si>
  <si>
    <t>J  Cheng is with Cixi Institute of Biomedical Engineering, Chinese Academy of Sciences, China</t>
  </si>
  <si>
    <t>Cheng, J; Li, Z; Gu, Z; Fu, H; Wong, DWK; Liu, J</t>
  </si>
  <si>
    <t>10 1109/TMI 2018 2849959</t>
  </si>
  <si>
    <t xml:space="preserve">Deep Recurrent Neural Networks for Prostate Cancer Detection: Analysis of Temporal Enhanced Ultrasound </t>
  </si>
  <si>
    <t xml:space="preserve">Temporal enhanced ultrasound (TeUS), comprising the analysis of variations in backscattered signals from a tissue over a sequence of ultrasound frames, has been previously proposed as a new paradigm for tissue characterization  In this paper, we propose to use deep recurrent neural networks (RNN) to explicitly model the temporal information in TeUS  By investigating several RNN models, we demonstrate that long short-term memory (LSTM) networks achieve the highest accuracy in separating cancer from benign tissue in the prostate  We also present algorithms for in-depth analysis of LSTM networks  Our in vivo study includes data from 255 prostate biopsy cores of 157 patients  We achieve area under the curve, sensitivity, specificity, and accuracy of 0 96, 0 76, 0 98, and 0 93, respectively  Our result suggests that temporal modeling of TeUS using RNN can significantly improve cancer detection accuracy over previously presented works </t>
  </si>
  <si>
    <t xml:space="preserve">S Bayat,S AziziandP AbolmaesumiarewiththeDepartmentofElectrical and Computer Engineering, University of British Columbia, Vancouver, BC, Canada  </t>
  </si>
  <si>
    <t>Azizi, S; Bayat, S; Yan, P; Tahmasebi, A; Kwak, JT; Xu, S; Turkbey, B; Choyke, P; Pinto, P; Wood, B; Mousavi, P; Abolmaesumi, P</t>
  </si>
  <si>
    <t>10 1109/TMI 2018 2809641</t>
  </si>
  <si>
    <t xml:space="preserve">Deep Neural Networks for Ultrasound Beamforming </t>
  </si>
  <si>
    <t xml:space="preserve">We investigate the use of deep neural networks (DNNs) for suppressing off-axis scattering in ultrasound channel data  Our implementation operates in the frequency domain via the short-time Fourier transform  The inputs to the DNN consisted of the separated real and imaginary components (i e  in-phase and quadrature components) observed across the aperture of the array, at a single frequency and for a single depth  Different networks were trained for different frequencies  The output had the same structure as the input and the real and imaginary components were combined as complex data before an inverse short-time Fourier transform was used to reconstruct channel data  Using simulation, physical phantom experiment, and in vivo scans from a human liver, we compared this DNN approach to standard delay-and-sum (DAS) beamforming and an adaptive imaging technique that uses the coherence factor  For a simulated point target, the side lobes when using the DNN approach were about 60 dB below those of standard DAS  For a simulated anechoic cyst, the DNN approach improved contrast ratio (CR) and contrast-to-noise (CNR) ratio by 8 8 dB and 0 3 dB, respectively, compared with DAS  For an anechoic cyst in a physical phantom, the DNN approach improved CR and CNR by 17 1 dB and 0 7 dB, respectively  For two in vivo scans, the DNN approach improved CR and CNR by 13 8 dB and 9 7 dB, respectively  We also explored methods for examining how the networks in this paper function </t>
  </si>
  <si>
    <t xml:space="preserve">DNN </t>
    <phoneticPr fontId="0" type="noConversion"/>
  </si>
  <si>
    <t xml:space="preserve">The authors are with the Department of Biomedical Engineering, Vanderbilt University, Nashville, TN, 37212 USA </t>
    <phoneticPr fontId="0" type="noConversion"/>
  </si>
  <si>
    <t>Luchies, AC; Byram, BC</t>
  </si>
  <si>
    <t>10 1109/TMI 2018 2804799</t>
  </si>
  <si>
    <t xml:space="preserve">Deep Learning for Quantification of Epicardial and Thoracic Adipose Tissue From Non-Contrast CT </t>
  </si>
  <si>
    <t xml:space="preserve">Epicardial adipose tissue (EAT) is a visceral fat deposit related to coronary artery disease  Fully automated quantification of EAT volume in clinical routine could be a timesaving and reliable tool for cardiovascular risk assessment  We propose a new fully automated deep learning framework for EAT and thoracic adipose tissue (TAT) quantification from non-contrast coronary artery calcium computed tomography (CT) scans  The first multi-task convolutional neural network (ConvNet) is used to determine heart limits and perform segmentation of heart and adipose tissues  The second ConvNet, combined with a statistical shape model, allows for pericardium detection  EAT and TAT segmentations are then obtained from outputs of both ConvNets  We evaluate the performance of the method on CT data sets from 250 asymptomatic individuals  Strong agreement between automatic and expert manual quantification is obtained for both EAT and TAT with median Dice score coefficients of 0 823 (inter-quartile range (IQR): 0 779-0 860) and 0 905 (IQR: 0 862-0 928), respectively; with excellent correlations of 0 924 and 0 945 for EAT and TAT volumes  Computations are performed in &lt;6 s on a standard personal computer for one CT scan  Therefore, the proposed method represents a tool for rapid fully automated quantification of adipose tissue and may improve cardiovascular risk stratification in patients referred for routine CT calcium scans </t>
  </si>
  <si>
    <t>characterization-segmention and characterization-detection</t>
    <phoneticPr fontId="0" type="noConversion"/>
  </si>
  <si>
    <t>F  Commandeur, M  Goeller and D  Dey are with the Biomedical Imaging Research Institute, Cedars-Sinai Medical Center, Los Angeles,</t>
  </si>
  <si>
    <t>Commandeur, F; Goeller, M; Betancur, J; Cadet, S; Doris, M; Chen, X; Berman, DS; Slomka, PJ; Tamarappoo, BK; Dey, D</t>
  </si>
  <si>
    <t>10 1109/TNB 2018 2840084</t>
  </si>
  <si>
    <t xml:space="preserve">Microaneurysm Detection Using Principal Component Analysis and Machine Learning Methods </t>
  </si>
  <si>
    <t xml:space="preserve">Diabetic retinopathy (DR) is an eye abnormality caused by long-term diabetes and it is the most common cause of blindness before the age of 50  Microaneurysms (MAs), resulting from leakage from retinal blood vessels, are early indicators of DR  In this paper, we analyzed MA detectability using small 25 by 25 pixel patches extracted from fundus images in the DIAbetic RETinopathy DataBase - Calibration Level 1 (DIARETDB1)  Raw pixel intensities of extracted patches served directly as inputs into the following classifiers: random forest (RF), neural network, and support vector machine  We also explored the use of two techniques (principal component analysis and RF feature importance) for reducing input dimensionality  With traditional machine learning methods and leave-10-patients-out cross validation, our method outperformed a deep learning-based MA detection method, with AUC performance improved from 0 962 to 0 985 and F-measure improved from 0 913 to 0 926, using the same DIARETDB1 database  Furthermore, we validated our method on a different dataset-retinopathy online challenge (ROC) data set  The performance of the three classifiers and the pattern with different percentage of principal components are consistent on the two data sets  Especially, we trained the RF on DIARETDB1 and applied it to ROC; the performance is very similar to that of the RF trained and tested using cross validation on ROC data set  This result indicates that our method has the potential to generalize to different datasets </t>
  </si>
  <si>
    <t>IEEE transactions on nanobioscience</t>
  </si>
  <si>
    <t>Seidenberg School of Computer Science and Information Systems Pace University  New York City</t>
    <phoneticPr fontId="0" type="noConversion"/>
  </si>
  <si>
    <t>Cao, W; Czarnek, N; Shan, J; Li, L</t>
  </si>
  <si>
    <t>101152869</t>
  </si>
  <si>
    <t>10 1109/TNB 2018 2839585</t>
  </si>
  <si>
    <t xml:space="preserve">A Fungus Spores Dataset and a Convolutional Neural Network Based Approach for Fungus Detection </t>
  </si>
  <si>
    <t xml:space="preserve">Fungus is enormously notorious for food, human health, and archives  Fungus sign and symptoms in medical science are non-specific and asymmetrical for extremely large areas resulting into a challenging task of fungal detection  Various traditional and computer vision techniques were applied to meet the challenge of early fungus detection  On the other hand, features learned through the convolutional neural network (CNN) provided state-of-the-art results in many other applications of object detection and classification  However, the large amount of data is an essential prerequisite for its effective application  In pursuing this idea, we present a novel fungus dataset of its kind, with the goal of advancing the state of the art in fungus classification by placing the question of fungus detection  This is achieved by gathering various images of complex fungal spores by extracting samples from contaminated fruits, archives, and laboratory-incubated fungus colonies  These images primarily consisted of five different types of fungus spores and dirt  An optical sensor system was utilized to obtain these images, which were further annotated to mark fungal spores as a region of interest using specially designed graphical user interface  As a result, 40,800 labeled images were used to develop the fungus dataset to aid in precise fungus detection and classification  The other main objective of this research was to develop a CNN-based approach for the detection of fungus and distinguish different types of fungus  A CNN architecture was designed, and it showed the promising results with an accuracy of 94 8%  The obtained results proved the possibility of early detection of several types of fungus spores using CNN and could estimate all possible threats due to fungus </t>
  </si>
  <si>
    <t>M  W  Tahir and N  A  Zaidi work at the Institute for Microsensors, Actuatorsand-Systems(IMSAS),UniversityofBremen</t>
  </si>
  <si>
    <t>Tahir, MW; Zaidi, NA; Rao, AA; Blank, R; Vellekoop, MJ; Lang, W</t>
  </si>
  <si>
    <t>10 1109/TMI 2018 2837502</t>
  </si>
  <si>
    <r>
      <t xml:space="preserve">Deep Learning Techniques for Automatic </t>
    </r>
    <r>
      <rPr>
        <sz val="10"/>
        <color indexed="10"/>
        <rFont val="Arial"/>
        <family val="2"/>
      </rPr>
      <t>MRI Cardiac</t>
    </r>
    <r>
      <rPr>
        <sz val="10"/>
        <rFont val="Arial"/>
        <family val="2"/>
      </rPr>
      <t xml:space="preserve"> Multi-Structures </t>
    </r>
    <r>
      <rPr>
        <sz val="10"/>
        <color indexed="10"/>
        <rFont val="Arial"/>
        <family val="2"/>
      </rPr>
      <t>Segmentation and Diagnosis</t>
    </r>
    <r>
      <rPr>
        <sz val="10"/>
        <rFont val="Arial"/>
        <family val="2"/>
      </rPr>
      <t>: Is the Problem Solved?</t>
    </r>
  </si>
  <si>
    <t xml:space="preserve">Delineation of the left ventricular cavity, myocardium, and right ventricle from cardiac magnetic resonance images (multi-slice 2-D cine MRI) is a common clinical task to establish diagnosis  The automation of the corresponding tasks has thus been the subject of intense research over the past decades  In this paper, we introduce the "Automatic Cardiac Diagnosis Challenge" dataset (ACDC), the largest publicly available and fully annotated dataset for the purpose of cardiac MRI (CMR) assessment  The dataset contains data from 150 multi-equipments CMRI recordings with reference measurements and classification from two medical experts  The overarching objective of this paper is to measure how far state-of-the-art deep learning methods can go at assessing CMRI, i e , segmenting the myocardium and the two ventricles as well as classifying pathologies  In the wake of the 2017 MICCAI-ACDC challenge, we report results from deep learning methods provided by nine research groups for the segmentation task and four groups for the classification task  Results show that the best methods faithfully reproduce the expert analysis, leading to a mean value of 0 97 correlation score for the automatic extraction of clinical indices and an accuracy of 0 96 for automatic diagnosis  These results clearly open the door to highly accurate and fully automatic analysis of cardiac CMRI  We also identify scenarios for which deep learning methods are still failing  Both the dataset and detailed results are publicly available online, while the platform will remain open for new submissions </t>
  </si>
  <si>
    <t>CNN,Unet,RNN</t>
  </si>
  <si>
    <t>characterization-segmentation and diagnosis</t>
    <phoneticPr fontId="0" type="noConversion"/>
  </si>
  <si>
    <t>O  Bernard and F  Cervenansky are with the University of Lyon, CREATIS, CNRS UMR5220, Inserm U1044, INSA-Lyon, University of Lyon 1, Villeurbanne, France</t>
  </si>
  <si>
    <t>Bernard, O; Lalande, A; Zotti, C; Cervenansky, F; Yang, X; Heng, PA; Cetin, I; Lekadir, K; Camara, O; Gonzalez Ballester, MA; Sanroma, G; Napel, S; Petersen, S; Tziritas, G; Grinias, E; Khened, M; Kollerathu, VA; Krishnamurthi, G; Rohe, MM; Pennec, X; Sermesant, M; Isensee, F; Jager, P; Maier-Hein, KH; Full, PM; Wolf, I; Engelhardt, S; Baumgartner, CF; Koch, LM; Wolterink, JM; Isgum, I; Jang, Y; Hong, Y; Patravali, J; Jain, S; Humbert, O; Jodoin, PM</t>
  </si>
  <si>
    <t>10 1109/TMI 2018 2845918</t>
  </si>
  <si>
    <t xml:space="preserve">H-DenseUNet: Hybrid Densely Connected UNet for Liver and Tumor Segmentation From CT Volumes </t>
  </si>
  <si>
    <t xml:space="preserve">Liver cancer is one of the leading causes of cancer death  To assist doctors in hepatocellular carcinoma diagnosis and treatment planning, an accurate and automatic liver and tumor segmentation method is highly demanded in the clinical practice  Recently, fully convolutional neural networks (FCNs), including 2-D and 3-D FCNs, serve as the backbone in many volumetric image segmentation  However, 2-D convolutions cannot fully leverage the spatial information along the third dimension while 3-D convolutions suffer from high computational cost and GPU memory consumption  To address these issues, we propose a novel hybrid densely connected UNet (H-DenseUNet), which consists of a 2-D DenseUNet for efficiently extracting intra-slice features and a 3-D counterpart for hierarchically aggregating volumetric contexts under the spirit of the auto-context algorithm for liver and tumor segmentation  We formulate the learning process of the H-DenseUNet in an end-to-end manner, where the intra-slice representations and inter-slice features can be jointly optimized through a hybrid feature fusion layer  We extensively evaluated our method on the data set of the MICCAI 2017 Liver Tumor Segmentation Challenge and 3DIRCADb data set  Our method outperformed other state-of-the-arts on the segmentation results of tumors and achieved very competitive performance for liver segmentation even with a single model </t>
  </si>
  <si>
    <t>CNN,Unet,ResNet,FCN</t>
  </si>
  <si>
    <t xml:space="preserve">X  M  Li, H  Chen, X  J  Qi, Q  Dou, C  W  Fu and P  A  Heng are with the Department of Computer Science and Engineering, The Chinese University of Hong Kong, Hong Kong </t>
  </si>
  <si>
    <t>Li, X; Chen, H; Qi, X; Dou, Q; Fu, CW; Heng, PA</t>
  </si>
  <si>
    <t>10 1109/TMI 2018 2820742</t>
  </si>
  <si>
    <t xml:space="preserve">3-D Consistent and Robust Segmentation of Cardiac Images by Deep Learning With Spatial Propagation </t>
  </si>
  <si>
    <t xml:space="preserve">We propose a method based on deep learning to perform cardiac segmentation on short axis Magnetic resonance imaging stacks iteratively from the top slice (around the base) to the bottom slice (around the apex)  At each iteration, a novel variant of the U-net is applied to propagate the segmentation of a slice to the adjacent slice below it  In other words, the prediction of a segmentation of a slice is dependent upon the already existing segmentation of an adjacent slice  The 3-D consistency is hence explicitly enforced  The method is trained on a large database of 3078 cases from the U K  Biobank  It is then tested on the 756 different cases from the U K  Biobank and three other state-of-the-art cohorts (ACDC with 100 cases, Sunnybrook with 30 cases, and RVSC with 16 cases)  Results comparable or even better than the state of the art in terms of distance measures are achieved  They also emphasize the assets of our method, namely, enhanced spatial consistency (currently neither considered nor achieved by the state of the art), and the generalization ability to unseen cases even from other databases </t>
  </si>
  <si>
    <t xml:space="preserve">Qiao Zheng, Herv´e Delingette and Nicholas Ayache are with Universit´ e Cˆote d’Azur, Inria, France  </t>
  </si>
  <si>
    <t>Zheng, Q; Delingette, H; Duchateau, N; Ayache, N</t>
  </si>
  <si>
    <t>10 1109/TMI 2018 2828303</t>
  </si>
  <si>
    <t xml:space="preserve">Deep D-Bar: Real-Time Electrical Impedance Tomography Imaging With Deep Neural Networks </t>
  </si>
  <si>
    <t xml:space="preserve">The mathematical problem for electrical impedance tomography (EIT) is a highly nonlinear ill-posed inverse problem requiring carefully designed reconstruction procedures to ensure reliable image generation  D-bar methods are based on a rigorous mathematical analysis and provide robust direct reconstructions by using a low-pass filtering of the associated nonlinear Fourier data  Similarly to low-pass filtering of linear Fourier data, only using low frequencies in the image recovery process results in blurred images lacking sharp features, such as clear organ boundaries  Convolutional neural networks provide a powerful framework for post-processing such convolved direct reconstructions  In this paper, we demonstrate that these CNN techniques lead to sharp and reliable reconstructions even for the highly nonlinear inverse problem of EIT  The network is trained on data sets of simulated examples and then applied to experimental data without the need to perform an additional transfer training  Results for absolute EIT images are presented using experimental EIT data from the ACT4 and KIT4 EIT systems </t>
  </si>
  <si>
    <t xml:space="preserve">S  J  Hamilton is with the Department of Mathematics, Statistics, and Computer Science, Marquette University, Milwaukee, WI, 53233 USA (email: sarah hamilton@marquette edu)  </t>
  </si>
  <si>
    <t>Hamilton, SJ; Hauptmann, A</t>
  </si>
  <si>
    <t>10 1109/TMI 2018 2833385</t>
  </si>
  <si>
    <t xml:space="preserve">Pulmonary Artery-Vein Classification in CT Images Using Deep Learning </t>
  </si>
  <si>
    <t xml:space="preserve">Recent studies show that pulmonary vascular diseases may specifically affect arteries or veins through different physiologic mechanisms  To detect changes in the two vascular trees, physicians manually analyze the chest computed tomography (CT) image of the patients in search of abnormalities  This process is time consuming, difficult to standardize, and thus not feasible for large clinical studies or useful in real-world clinical decision making  Therefore, automatic separation of arteries and veins in CT images is becoming of great interest, as it may help physicians to accurately diagnose pathological conditions  In this paper, we present a novel, fully automatic approach to classify vessels from chest CT images into arteries and veins  The algorithm follows three main steps: first, a scale-space particles segmentation to isolate vessels; then a 3-D convolutional neural network (CNN) to obtain a first classification of vessels; finally, graph-cuts' optimization to refine the results  To justify the usage of the proposed CNN architecture, we compared different 2-D and 3-D CNNs that may use local information from bronchus- and vessel-enhanced images provided to the network with different strategies  We also compared the proposed CNN approach with a random forests (RFs) classifier  The methodology was trained and evaluated on the superior and inferior lobes of the right lung of 18 clinical cases with noncontrast chest CT scans, in comparison with manual classification  The proposed algorithm achieves an overall accuracy of 94%, which is higher than the accuracy obtained using other CNN architectures and RF  Our method was also validated with contrast-enhanced CT scans of patients with chronic thromboembolic pulmonary hypertension to demonstrate that our model generalizes well to contrast-enhanced modalities  The proposed method outperforms state-of-the-art methods, paving the way for future use of 3-D CNN for artery/vein classification in CT images </t>
  </si>
  <si>
    <t xml:space="preserve">P  Nardelli, G  R  Washko, F  N  Rahaghi, and R  San Jos´e Est´epar are with the Applied Chest Imaging Laboratory, Brigham and Women’s Hospital, Harvard Medical School, Boston, MA, 02115 USA  e-mail: pnardelli@bwh harvard edu  </t>
  </si>
  <si>
    <t>Nardelli, P; Jimenez-Carretero, D; Bermejo-Pelaez, D; Washko, GR; Rahaghi, FN; Ledesma-Carbayo, MJ; San Jose Estepar, R</t>
  </si>
  <si>
    <t>10 1109/TPAMI 2018 2826549</t>
  </si>
  <si>
    <t xml:space="preserve">Visual Kinship Recognition of Families in the Wild </t>
  </si>
  <si>
    <t xml:space="preserve">We present the largest database for visual kinship recognition, Families In the Wild (FIW), with over 13,000 family photos of 1,000 family trees with 4-to-38 members  It took only a small team to build FIW with efficient labeling tools and work-flow  To extend FIW, we further improved upon this process with a novel semi-automatic labeling scheme that used annotated faces and unlabeled text metadata to discover labels, which were then used, along with existing FIW data, for the proposed clustering algorithm that generated label proposals for all newly added data-both processes are shared and compared in depth, showing great savings in time and human input required  Essentially, the clustering algorithm proposed is semi-supervised and uses labeled data to produce more accurate clusters  We statistically compare FIW to related datasets, which unarguably shows enormous gains in overall size and amount of information encapsulated in the labels  We benchmark two tasks, kinship verification and family classification, at scales incomparably larger than ever before  Pre-trained CNN models fine-tuned on FIW outscores other conventional methods and achieved state-of-the art on the renowned KinWild datasets  We also measure human performance on kinship recognition and compare to a fine-tuned CNN </t>
  </si>
  <si>
    <t xml:space="preserve"> Joseph P  Robinson, Yue Wu, Hongfu Liu and Timothy Gillis are with the Department of Electrical and Computer Engineering, Northeastern University, MA, 02115, USA</t>
  </si>
  <si>
    <t>Robinson, JP; Shao, M; Wu, Y; Liu, H; Gillis, T; Fu, Y</t>
  </si>
  <si>
    <t>10 1109/TIP 2018 2816821</t>
  </si>
  <si>
    <t xml:space="preserve">Deep Spatiality: Unsupervised Learning of Spatially-Enhanced Global and Local 3D Features by Deep Neural Network with Coupled Softmax </t>
  </si>
  <si>
    <t xml:space="preserve">The discriminability of Bag-of-Words representations can be increased via encoding the spatial relationship among virtual words on 3D shapes  However, this encoding task involves several issues, including arbitrary mesh resolutions, irregular vertex topology, orientation ambiguity on 3D surface, invariance to rigid and non-rigid shape transformations  To address these issues, a novel unsupervised spatial learning framework based on deep neural network, deep spatiality (DS), is proposed  Specifically, DS employs two novel components: spatial context extractor and deep context learner  Spatial context extractor extracts the spatial relationship among virtual words in a local region into a raw spatial representation  Along a consistent circular direction, a directed circular graph is constructed to encode relative positions between pairwise virtual words in each face ring into a relative spatial matrix  By decomposing each relative spatial matrix using SVD, the raw spatial representation is formed, from which deep context learner conducts unsupervised learning of global and local features  Deep context learner is a deep neural network with a novel model structure to adapt the proposed coupled softmax layer, which encodes not only the discriminative information among local regions but also the one among global shapes  Experimental results show that DS outperforms state-of-the-art methods </t>
  </si>
  <si>
    <t xml:space="preserve">Z  Han is with the Tsinghua University and the Northwestern Polytechnical University, P  R  China </t>
  </si>
  <si>
    <t>Han, Z; Liu, Z; Vong, CM; Liua, YS; Bu, S; Han, J; Chen, CLP</t>
  </si>
  <si>
    <t>10 1109/TIP 2018 2829263</t>
  </si>
  <si>
    <t xml:space="preserve">3D Randomized Connection Network with Graph-based Label Inference </t>
  </si>
  <si>
    <t xml:space="preserve">In this paper, a novel 3D deep learning network is proposed for brain MR image segmentation with randomized connection, which can decrease the dependency between layers and increase the network capacity  The convolutional LSTM and 3D convolution are employed as network units to capture the long-term and short-term 3D properties respectively  To assemble these two kinds of spatial-temporal information and refine the deep learning outcomes, we further introduce an efficient graph-based node selection and label inference method  Experiments have been carried out on two publicly available databases and results demonstrate that the proposed method can obtain competitive performances as compared with other state-of-the-art methods </t>
  </si>
  <si>
    <t>*S  Bao, P  Wang, T  Mok and A  Chung are with the Lo Kwee-Seong Medical Image Analysis Laboratory, Department of Computer Science and Engineering, The Hong Kong University of Science and Technology, Clear Water Bay, Hong Kong</t>
  </si>
  <si>
    <t>Bao, S; Wang, P; Mok, TCW; Chung, ACS</t>
  </si>
  <si>
    <t>10 1109/TMI 2018 2830381</t>
  </si>
  <si>
    <t xml:space="preserve">Enhancing the Image Quality via Transferred Deep Residual Learning of Coarse PET Sinograms </t>
  </si>
  <si>
    <t xml:space="preserve">Increasing the image quality of positron emission tomography (PET) is an essential topic in the PET community  For instance, thin-pixelated crystals have been used to provide high spatial resolution images but at the cost of sensitivity and manufacture expense  In this paper, we proposed an approach to enhance the PET image resolution and noise property for PET scanners with large pixelated crystals  To address the problem of coarse blurred sinograms with large parallax errors associated with large crystals, we developed a data-driven, single-image super-resolution (SISR) method for sinograms, based on the novel deep residual convolutional neural network (CNN)  Unlike the CNN-based SISR on natural images, periodically padded sinogram data and dedicated network architecture were used to make it more efficient for PET imaging  Moreover, we included the transfer learning scheme in the approach to process cases with poor labeling and small training data set  The approach was validated via analytically simulated data (with and without noise), Monte Carlo simulated data, and pre-clinical data  Using the proposed method, we could achieve comparable image resolution and better noise property with large crystals of bin sizes of thin crystals with a bin size from to   Our approach uses external PET data as the prior knowledge for training and does not require additional information during inference  Meanwhile, the method can be added into the normal PET imaging framework seamlessly, thus potentially finds its application in designing low-cost high-performance PET systems </t>
  </si>
  <si>
    <t>Xiang Hong1, Yunlong Zan2, Fenghua Weng1, Weijie Tao1, Qiyu Peng3, Qiu Huang∗1,4 1 School of Biomedical Engineering, Shanghai Jiao Tong University, Shanghai, China 200240 2 University of Michigan - Shanghai Jiao Tong University Joint Institute, Shanghai Jiao Tong University, Shanghai, China</t>
  </si>
  <si>
    <t>Hong, X; Zan, Y; Weng, F; Tao, W; Peng, Q; Huang, Q</t>
  </si>
  <si>
    <t>10 1109/JBHI 2018 2841992</t>
  </si>
  <si>
    <t xml:space="preserve">Pattern Classification for Gastrointestinal Stromal Tumors by Integration of Radiomics and Deep Convolutional Features </t>
  </si>
  <si>
    <t xml:space="preserve">Predicting malignant potential is one of the most critical components of a computer-aided diagnosis system for gastrointestinal stromal tumors (GISTs)  These tumors have been studied only on the basis of subjective computed tomography findings  Among various methodologies, radiomics, and deep learning algorithms, specifically convolutional neural networks (CNNs), have recently been confirmed to achieve significant success by outperforming the state-of-the-art performance in medical image pattern classification and have rapidly become leading methodologies in this field  However, the existing methods generally use radiomics or deep convolutional features independently for pattern classification, which tend to take into account only global or local features, respectively  In this paper, we introduce and evaluate a hybrid structure that includes different features selected with radiomics model and CNNs and integrates these features to deal with GISTs classification  The Radiomics model and CNNs are constructed for global radiomics and local convolutional feature selection, respectively  Subsequently, we utilize distinct radiomics and deep convolutional features to perform pattern classification for GISTs  Specifically, we propose a new pooling strategy to assemble the deep convolutional features of 54 three-dimensional patches from the same case and integrate these features with the radiomics features for independent case, followed by random forest classifier  Our method can be extensively evaluated using multiple clinical datasets  The classification performance (area under the curve (AUC): 0 882; 95% confidence interval (CI): 0 816-0 947) consistently outperforms those of independent radiomics (AUC: 0 807; 95% CI: 0 724-0 892) and CNNs (AUC: 0 826; 95% CI: 0 795-0 856) approaches </t>
  </si>
  <si>
    <t>Z  Ning is with the School of Biomedical Engineering, Southern Medical University, Guangzhou, Guangdong</t>
  </si>
  <si>
    <t>Ning, Z; Luo, J; Li, Y; Han, S; Feng, Q; Xu, Y; Chen, W; Chen, T; Zhang, Y</t>
  </si>
  <si>
    <t>10 1109/TPAMI 2018 2841403</t>
  </si>
  <si>
    <t xml:space="preserve">HeadFusion: 360 Head Pose Tracking Combining 3D Morphable Model and 3D Reconstruction </t>
  </si>
  <si>
    <t xml:space="preserve">Head pose estimation is a fundamental task for face and social related research  Although 3D morphable model (3DMM) based methods relying on depth information usually achieve accurate results, they usually require frontal or mid-profile poses which preclude a large set of applications where such conditions can not be garanteed, like monitoring natural interactions from fixed sensors placed in the environment  A major reason is that 3DMM models usually only cover the face region  In this paper, we present a framework which combines the strengths of a 3DMM model fitted online with a prior-free reconstruction of a 3D full head model providing support for pose estimation from any viewpoint  In addition, we also proposes a symmetry regularizer for accurate 3DMM fitting under partial observations, and exploit visual tracking to address natural head dynamics with fast accelerations  Extensive experiments show that our method achieves state-of-the-art performance on the public BIWI dataset, as well as accurate and robust results on UbiPose, an annotated dataset of natural interactions that we make public and where adverse poses, occlusions or fast motions regularly occur </t>
  </si>
  <si>
    <t>Yu Yu received the B Sc  and M Sc  degrees in Pattern Recognition and Intelligent System from Xian Jiaotong University,</t>
  </si>
  <si>
    <t>Yu, Y; Mora, KAF; Odobez, JM</t>
  </si>
  <si>
    <t>10 1109/TMI 2018 2842767</t>
  </si>
  <si>
    <t xml:space="preserve">Unsupervised Reverse Domain Adaptation for Synthetic Medical Images via Adversarial Training </t>
  </si>
  <si>
    <t xml:space="preserve">To realize the full potential of deep learning for medical imaging, large annotated datasets are required for training  Such datasets are difficult to acquire due to privacy issues, lack of experts available for annotation, underrepresentation of rare conditions, and poor standardization  The lack of annotated data has been addressed in conventional vision applications using synthetic images refined via unsupervised adversarial training to look like real images  However, this approach is difficult to extend to general medical imaging because of the complex and diverse set of features found in real human tissues  We propose a novel framework that uses a reverse flow, where adversarial training is used to make real medical images more like synthetic images, and clinically-relevant features are preserved via self-regularization  These domain-adapted synthetic-like images can then be accurately interpreted by networks trained on large datasets of synthetic medical images  We implement this approach on the notoriously difficult task of depth-estimation from monocular endoscopy which has a variety of applications in colonoscopy, robotic surgery, and invasive endoscopic procedures  We train a depth estimator on a large data set of synthetic images generated using an accurate forward model of an endoscope and an anatomically-realistic colon  Our analysis demonstrates that the structural similarity of endoscopy depth estimation in a real pig colon predicted from a network trained solely on synthetic data improved by 78 7% by using reverse domain adaptation </t>
  </si>
  <si>
    <t xml:space="preserve">F M  and N J D  are with the Department of Biomedical Engineering and R C  is with the Department of Computer Science, Johns Hopkins University (JHU), 3400 N Charles St , Baltimore, MD 21218, USA  {faisalm, ndurr, rchen40}@jhu edu </t>
  </si>
  <si>
    <t>Mahmood, F; Chen, R; Durr, NJ</t>
  </si>
  <si>
    <t>10 1109/TPAMI 2018 2840695</t>
  </si>
  <si>
    <t xml:space="preserve">DeepIGeoS: A Deep Interactive Geodesic Framework for Medical Image Segmentation </t>
  </si>
  <si>
    <t xml:space="preserve">Accurate medical image segmentation is essential for diagnosis, surgical planning and many other applications  Convolutional Neural Networks (CNNs) have become the state-of-the-art automatic segmentation methods  However, fully automatic results may still need to be refined to become accurate and robust enough for clinical use  We propose a deep learning-based interactive segmentation method to improve the results obtained by an automatic CNN and to reduce user interactions during refinement for higher accuracy  We use one CNN to obtain an initial automatic segmentation, on which user interactions are added to indicate mis-segmentations  Another CNN takes as input the user interactions with the initial segmentation and gives a refined result  We propose to combine user interactions with CNNs through geodesic distance transforms, and propose a resolution-preserving network that gives a better dense prediction  In addition, we integrate user interactions as hard constraints into a back-propagatable Conditional Random Field  We validated the proposed framework in the context of 2D placenta segmentation from fetal MRI and 3D brain tumor segmentation from FLAIR images  Experimental results show our method achieves a large improvement from automatic CNNs, and obtains comparable and even higher accuracy with fewer user interventions and less time compared with traditional interactive methods </t>
  </si>
  <si>
    <t xml:space="preserve"> G  Wang, M A  Zuluaga, W  Li, R  Pratt, P A  Patel, T  Doel, S  Ourselin and T  Vercauteren are with Translational Imaging Group, Wellcome EPSRC Centre for Interventional and Surgical Sciences (WEISS), </t>
    <phoneticPr fontId="0" type="noConversion"/>
  </si>
  <si>
    <t>Wang, G; Zuluaga, MA; Li, W; Pratt, R; Patel, PA; Aertsen, M; Doel, T; David, AL; Deprest, J; Ourselin, S; Vercauteren, T</t>
  </si>
  <si>
    <t>10 1109/TBME 2018 2814538</t>
  </si>
  <si>
    <t xml:space="preserve">Medical Image Synthesis with Deep Convolutional Adversarial Networks </t>
  </si>
  <si>
    <t xml:space="preserve">Medical imaging plays a critical role in various clinical applications  However, due to multiple considerations such as cost and radiation dose, the acquisition of certain image modalities may be limited  Thus, medical image synthesis can be of great benefit by estimating a desired imaging modality without incurring an actual scan  In this paper, we propose a generative adversarial approach to address this challenging problem  Specifically, we train a fully convolutional network (FCN) to generate a target image given a source image  To better model a nonlinear mapping from source to target and to produce more realistic target images, we propose to use the adversarial learning strategy to better model the FCN  Moreover, the FCN is designed to incorporate an image-gradient-difference-based loss function to avoid generating blurry target images  Long-term residual unit is also explored to help the training of the network  We further apply Auto-Context Model to implement a context-aware deep convolutional adversarial network  Experimental results show that our method is accurate and robust for synthesizing target images from the corresponding source images  In particular, we evaluate our method on three datasets, to address the tasks of generating CT from MRI and generating 7T MRI from 3T MRI images  Our method outperforms the state-of-the-art methods under comparison in all datasets and tasks </t>
  </si>
  <si>
    <t>IEEE transactions on bio-medical engineering</t>
  </si>
  <si>
    <t xml:space="preserve">∗Co-First Authors: Dong Nie is with Department of Computer Science, Department of Radiology and BRIC, UNC-Chapel Hill; Roger Trullo is with Department of Radiology and BRIC, UNC-Chapel Hill, Department of Computer Science, University of Normandy, Rouen, France </t>
  </si>
  <si>
    <t>Nie, D; Trullo, R; Lian, J; Wang, L; Petitjean, C; Ruan, S; Wang, Q; Shen, D</t>
  </si>
  <si>
    <t>0012737</t>
  </si>
  <si>
    <t>10 1109/TBME 2018 2791567</t>
  </si>
  <si>
    <t xml:space="preserve">Representing Medical Images With Encoded Local Projections </t>
  </si>
  <si>
    <t xml:space="preserve">This paper introduces the "encoded local projections" (ELP) as a new dense-sampling image descriptor for search and classification problems  The gradient changes of multiple projections in local windows of gray-level images are encoded to build a histogram that captures spatial projection patterns  Using projections is a conventional technique in both medical imaging and computer vision  Furthermore, powerful dense-sampling methods, such as local binary patterns and the histogram of oriented gradients, are widely used for image classification and recognition  Inspired by many achievements of such existing descriptors, we explore the design of a new class of histogram-based descriptors with particular applications in medical imaging  We experiment with three public datasets (IRMA, Kimia Path24, and CT Emphysema) to comparatively evaluate the performance of ELP histograms  In light of the tremendous success of deep architectures, we also compare the results with deep features generated by pretrained networks  The results are quite encouraging as the ELP descriptor can surpass both conventional and deep descriptors in performance in several experimental settings </t>
  </si>
  <si>
    <t>Hamid Tizhoosh is the director of the Laboratory for Knowledge Inference in Medical Image Analysis (KIMIA Lab), Faculty of Engineering, University of Waterloo, Ontario,</t>
    <phoneticPr fontId="0" type="noConversion"/>
  </si>
  <si>
    <t>Tizhoosh, HR; Babaie, M</t>
  </si>
  <si>
    <t>10 1109/TBME 2018 2828137</t>
  </si>
  <si>
    <t xml:space="preserve">Joint Segment-Level and Pixel-Wise Losses for Deep Learning Based Retinal Vessel Segmentation </t>
  </si>
  <si>
    <t xml:space="preserve">Deep learning based methods for retinal vessel segmentation are usually trained based on pixel-wise losses, which treat all vessel pixels with equal importance in pixel-to-pixel matching between a predicted probability map and the corresponding manually annotated segmentation  However, due to the highly imbalanced pixel ratio between thick and thin vessels in fundus images, a pixel-wise loss would limit deep learning models to learn features for accurate segmentation of thin vessels, which is an important task for clinical diagnosis of eye-related diseases In this paper, we propose a new segment-level loss which emphasizes more on the thickness consistency of thin vessels in the training process  By jointly adopting both the segment-level and the pixel-wise losses, the importance between thick and thin vessels in the loss calculation would be more balanced  As a result, more effective features can be learned for vessel segmentation without increasing the overall model complexity Experimental results on public data sets demonstrate that the model trained by the joint losses outperforms the current state-of-the-art methods in both separate-training and cross-training evaluations Compared to the pixel-wise loss, utilizing the proposed joint-loss framework is able to learn more distinguishable features for vessel segmentation  In addition, the segment-level loss can bring consistent performance improvement for both deep and shallow network architectures The findings from this study of using joint losses can be applied to other deep learning models for performance improvement without significantly changing the network architectures </t>
  </si>
  <si>
    <t xml:space="preserve">Z  Yan and K -T Cheng are with the Department of Computer Science and Engineering, Hong Kong University of Science and Technology, Clearwater Bay, Kowloon, Hong Kong </t>
  </si>
  <si>
    <t>Yan, Z; Yang, X; Cheng, KT</t>
  </si>
  <si>
    <t>10 1109/TBME 2018 2822826</t>
  </si>
  <si>
    <t xml:space="preserve">Deformable Image Registration Using a Cue-Aware Deep Regression Network </t>
  </si>
  <si>
    <t xml:space="preserve">Analysis of modern large-scale, multicenter or diseased data requires deformable registration algorithms that can cope with data of diverse nature We propose a novel deformable registration method, which is based on a cue-aware deep regression network, to deal with multiple databases with minimal parameter tuning Our method learns and predicts the deformation field between a reference image and a subject image  Specifically, given a set of training images, our method learns the displacement vector associated with a pair of reference-subject patches  To achieve this, we first introduce a key-point truncated-balanced sampling strategy to facilitate accurate learning from the image database of limited size  Then, we design a cue-aware deep regression network, where we propose to employ the contextual cue, i e , the scale-adaptive local similarity, to more apparently guide the learning process  The deep regression network is aware of the contextual cue for accurate prediction of local deformation Our experiments show that the proposed method can tackle various registration tasks on different databases, giving consistent good performance without the need of manual parameter tuning, which could be applicable to various clinical applications </t>
  </si>
  <si>
    <t xml:space="preserve">CNN,FCN </t>
  </si>
  <si>
    <t>X  Cao is with the School of Automation, Northwestern Polytechnical University, China; and also with the Department of Radiology and BRIC, University of North Carolina at Chapel Hill, USA</t>
  </si>
  <si>
    <t>Cao, X; Yang, J; Zhang, J; Wang, Q; Yap, PT; Shen, D</t>
  </si>
  <si>
    <t>10 1109/TBME 2018 2821699</t>
  </si>
  <si>
    <t xml:space="preserve">Deep Residual Learning for Accelerated MRI Using Magnitude and Phase Networks </t>
  </si>
  <si>
    <t xml:space="preserve">Accelerated magnetic resonance (MR) image acquisition with compressed sensing (CS) and parallel imaging is a powerful method to reduce MR imaging scan time  However, many reconstruction algorithms have high computational costs  To address this, we investigate deep residual learning networks to remove aliasing artifacts from artifact corrupted images The deep residual learning networks are composed of magnitude and phase networks that are separately trained  If both phase and magnitude information are available, the proposed algorithm can work as an iterative k-space interpolation algorithm using framelet representation  When only magnitude data are available, the proposed approach works as an image domain postprocessing algorithm Even with strong coherent aliasing artifacts, the proposed network successfully learned and removed the aliasing artifacts, whereas current parallel and CS reconstruction methods were unable to remove these artifacts Comparisons using single and multiple coil acquisition show that the proposed residual network provides good reconstruction results with orders of magnitude faster computational time than existing CS methods The proposed deep learning framework may have a great potential for accelerated MR reconstruction by generating accurate results immediately </t>
  </si>
  <si>
    <t>DL, JY and JCY are with the Department of Bio and Brain Engineering, Korea Advanced Institute of Science and Technology (KAIST), Daejeon 34141, Republic of Korea</t>
    <phoneticPr fontId="0" type="noConversion"/>
  </si>
  <si>
    <t>Lee, D; Yoo, J; Tak, S; Ye, JC</t>
  </si>
  <si>
    <t>10 1002/jbio 201800146</t>
  </si>
  <si>
    <t xml:space="preserve">Segmentation of Drosophila heart in optical coherence microscopy images using convolutional neural networks </t>
  </si>
  <si>
    <t xml:space="preserve">Convolutional neural networks (CNNs) are powerful tools for image segmentation and classification  Here, we use this method to identify and mark the heart region of Drosophila at different developmental stages in the cross-sectional images acquired by a custom optical coherence microscopy (OCM) system  With our well-trained CNN model, the heart regions through multiple heartbeat cycles can be marked with an intersection over union of ~86%  Various morphological and dynamical cardiac parameters can be quantified accurately with automatically segmented heart regions  This study demonstrates an efficient heart segmentation method to analyze OCM images of the beating heart in Drosophila </t>
  </si>
  <si>
    <t>Journal of biophotonics</t>
  </si>
  <si>
    <t xml:space="preserve">Department of Electrical and Computer Engineering, Lehigh University, Bethlehem, Pennsylvania </t>
  </si>
  <si>
    <t>Duan, L; Qin, X; He, Y; Sang, X; Pan, J; Xu, T; Men, J; Tanzi, RE; Li, A; Ma, Y; Zhou, C</t>
  </si>
  <si>
    <t>101318567</t>
  </si>
  <si>
    <t>10 1016/j media 2018 06 005</t>
  </si>
  <si>
    <t xml:space="preserve">Deep learning and conditional random fields-based depth estimation and topographical reconstruction from conventional endoscopy </t>
  </si>
  <si>
    <t xml:space="preserve">Colorectal cancer is the fourth leading cause of cancer deaths worldwide and the second leading cause in the United States  The risk of colorectal cancer can be mitigated by the identification and removal of premalignant lesions through optical colonoscopy  Unfortunately, conventional colonoscopy misses more than 20% of the polyps that should be removed, due in part to poor contrast of lesion topography  Imaging depth and tissue topography during a colonoscopy is difficult because of the size constraints of the endoscope and the deforming mucosa  Most existing methods make unrealistic assumptions which limits accuracy and sensitivity  In this paper, we present a method that avoids these restrictions, using a joint deep convolutional neural network-conditional random field (CNN-CRF) framework for monocular endoscopy depth estimation  Estimated depth is used to reconstruct the topography of the surface of the colon from a single image  We train the unary and pairwise potential functions of a CRF in a CNN on synthetic data, generated by developing an endoscope camera model and rendering over 200,000 images of an anatomically-realistic colon We validate our approach with real endoscopy images from a porcine colon, transferred to a synthetic-like domain via adversarial training, with ground truth from registered computed tomography measurements  The CNN-CRF approach estimates depths with a relative error of 0 152 for synthetic endoscopy images and 0 242 for real endoscopy images  We show that the estimated depth maps can be used for reconstructing the topography of the mucosa from conventional colonoscopy images  This approach can easily be integrated into existing endoscopy systems and provides a foundation for improving computer-aided detection algorithms for detection, segmentation and classification of lesions </t>
  </si>
  <si>
    <t xml:space="preserve">Department of Biomedical Engineering, Johns Hopkins University (JHU), Baltimore, MD 21218, USA  Electronic address: faisalm@jhu edu </t>
  </si>
  <si>
    <t>Mahmood, F; Durr, NJ</t>
  </si>
  <si>
    <t>10 1109/JBHI 2017 2775662</t>
  </si>
  <si>
    <t xml:space="preserve">Classification of Medical Images in the Biomedical Literature by Jointly Using Deep and Handcrafted Visual Features </t>
  </si>
  <si>
    <t xml:space="preserve">The classification of medical images and illustrations from the biomedical literature is important for automated literature review, retrieval, and mining  Although deep learning is effective for large-scale image classification, it may not be the optimal choice for this task as there is only a small training dataset  We propose a combined deep and handcrafted visual feature (CDHVF) based algorithm that uses features learned by three fine-tuned and pretrained deep convolutional neural networks (DCNNs) and two handcrafted descriptors in a joint approach  We evaluated the CDHVF algorithm on the ImageCLEF 2016 Subfigure Classification dataset and it achieved an accuracy of 85 47%, which is higher than the best performance of other purely visual approaches listed in the challenge leaderboard  Our results indicate that handcrafted features complement the image representation learned by DCNNs on small training datasets and improve accuracy in certain medical image classification problems </t>
  </si>
  <si>
    <t xml:space="preserve"> CNN ,AlexNet,VGG</t>
  </si>
  <si>
    <t>Zhang, J; Xia, Y; Xie, Y; Fulham, M; Feng, DD</t>
  </si>
  <si>
    <t>10 1109/JBHI 2017 2785389</t>
  </si>
  <si>
    <t xml:space="preserve">Three-Dimensional Feature-Enhanced Network for Automatic Femur Segmentation </t>
  </si>
  <si>
    <t xml:space="preserve">Automatic femur segmentation from computed tomography volume is a crucial but challenging task for computer-aided diagnosis in orthopedic surgeries  The main obstacles are weak bone boundaries, narrowness of joint space, variations in femur density and shape, as well as diverse leg postures  In this paper, we presented a novel 3-D feature-enhanced network to address these challenges  The novelty of our approach lies in two feature enhancement modules, including the edge detection task and the multi-scale features fusion  First, the edge detection task was embedded into femur segmentation from computed tomography volume to solve the problems of narrow joint space and weak femur boundary  Crucially, a task-specific edge detector was used to optimize the performance of femur segmentation in an end-to-end trainable system  Second, the multi-scale features fusion provided both local and global contexts to handle the problems of large variations in leg postures as well as femur shape and density  The results demonstrated that accurate 3-D femur segmentation with a high Dice similarity coefficient of 96 88% was achieved using the developed method, and the segmentation of computed tomography volume took 0 93 s on an average </t>
  </si>
  <si>
    <t xml:space="preserve">F  Chen, J  Liu, M  Zhu and H  Liao are with the Department of Biomedical Engineering, School of Medicine, Tsinghua University, Beijing 100084, China  (e-mail: liao@tsinghua edu cn)  </t>
  </si>
  <si>
    <t>Chen, F; Liu, J; Zhao, Z; Zhu, M; Liao, H</t>
  </si>
  <si>
    <t>10 1109/TCBB 2017 2776910</t>
  </si>
  <si>
    <t xml:space="preserve">Early Diagnosis of Alzheimer's Disease Based on Resting-State Brain Networks and Deep Learning </t>
  </si>
  <si>
    <t xml:space="preserve">Computerized healthcare has undergone rapid development thanks to the advances in medical imaging and machine learning technologies  Especially, recent progress on deep learning opens a new era for multimedia based clinical decision support  In this paper, we use deep learning with brain network and clinical relevant text information to make early diagnosis of Alzheimer's Disease (AD)  The clinical relevant text information includes age, gender, and ApoE gene of the subject  The brain network is constructed by computing the functional connectivity of brain regions using resting-state functional magnetic resonance imaging (R-fMRI) data  A targeted autoencoder network is built to distinguish normal aging from mild cognitive impairment, an early stage of AD  The proposed method reveals discriminative brain network features effectively and provides a reliable classifier for AD detection  Compared to traditional classifiers based on R-fMRI time series data, about 31 21 percent improvement of the prediction accuracy is achieved by the proposed deep learning method, and the standard deviation reduces by 51 23 percent in the best case that means our prediction model is more stable and reliable compared to the traditional methods  Our work excavates deep learning's advantages of classifying high-dimensional multimedia data in medical services, and could help predict and prevent AD at an early stage </t>
  </si>
  <si>
    <t>IEEE/ACM transactions on computational biology and bioinformatics</t>
  </si>
  <si>
    <t xml:space="preserve"> R  Ju and P  Zhou are with the School of Electronic Information and Communications, Huazhong University of Science and Technology, Wuhan, Hubei, 430074 China </t>
  </si>
  <si>
    <t>Ju, R; Hu, C; Zhou, P; Li, Q</t>
  </si>
  <si>
    <t>101196755</t>
  </si>
  <si>
    <t>10 1007/s10916-018-1001-y</t>
  </si>
  <si>
    <t xml:space="preserve">Convolutional Neural Network for Segmentation and Measurement of Intima Media Thickness </t>
  </si>
  <si>
    <t xml:space="preserve">The measurement of Carotid Intima Media Thickness (IMT) on Common Carotid Artery (CCA) is a principle marker of risk of cardiovascular disease  This paper presents a novel method of using deep Convolutional Neural Network (CNN) for identification and measurement of IMT on the far wall of the artery  The Region of Interest (ROI) is extracted using CNN architecture with 8 layers  110 subjects are taken for the study  Each subject is recorded with one Right Common Carotid Artery (RCCA) and Left Common Carotid Artery (LCCA) frame resulting in 220 recordings  Patch based segmentation with 2640 patches are given to the training network for ROI localization  Intima Media Complex (IMC) is the area where IMT is measured  This region is extracted after defining the ROI  Keeping in mind the end objective of measurement of IMT values binary threshold with snake algorithm is applied to extract the lumen-intima and media-adventitia boundary  IMT values are measured for 20 cases and mean difference is found to be 0 08 mm </t>
  </si>
  <si>
    <t xml:space="preserve">Department of Electronics and Communication Engineering, K S Rangasamy College of Technology, Tamil Nadu, India  sudhasubramaniam@gmail com </t>
  </si>
  <si>
    <t>S, S; K B, J; C, R; Madian, N; T, S</t>
  </si>
  <si>
    <t>10 1007/s11604-018-0758-8</t>
  </si>
  <si>
    <t xml:space="preserve">Denoising of 3D magnetic resonance images with multi-channel residual learning of convolutional neural network </t>
  </si>
  <si>
    <t xml:space="preserve">To test if the proposed deep learning based denoising method denoising convolutional neural networks (DnCNN) with residual learning and multi-channel strategy can denoise three dimensional MR images with Rician noise robustly Multi-channel DnCNN (MCDnCNN) method with two training strategies was developed to denoise MR images with and without a specific noise level, respectively  To evaluate our method, three datasets from two public data sources of IXI dataset and Brainweb, including T1 weighted MR images acquired at 1 5 and 3 T as well as MR images simulated with a widely used MR simulator, were randomly selected and artificially added with different noise levels ranging from 1 to 15%  For comparison, four other state-of-the-art denoising methods were also tested using these datasets In terms of the highest peak-signal-to-noise-ratio and global of structure similarity index, our proposed MCDnCNN model for a specific noise level showed the most robust denoising performance in all three datasets  Next to that, our general noise-applicable model also performed better than the rest four methods in two datasets  Furthermore, our training model showed good general applicability Our proposed MCDnCNN model has been demonstrated to robustly denoise three dimensional MR images with Rician noise </t>
  </si>
  <si>
    <t xml:space="preserve">School of Basic Medical Science, Digital Medical Research Center, Fudan University, Shanghai, People's Republic of China </t>
  </si>
  <si>
    <t>Jiang, D; Dou, W; Vosters, L; Xu, X; Sun, Y; Tan, T</t>
  </si>
  <si>
    <t>10 1371/journal pbio 2005970</t>
  </si>
  <si>
    <t xml:space="preserve">CellProfiler 3 0: Next-generation image processing for biology </t>
  </si>
  <si>
    <t xml:space="preserve">CellProfiler has enabled the scientific research community to create flexible, modular image analysis pipelines since its release in 2005  Here, we describe CellProfiler 3 0, a new version of the software supporting both whole-volume and plane-wise analysis of three-dimensional (3D) image stacks, increasingly common in biomedical research  CellProfiler's infrastructure is greatly improved, and we provide a protocol for cloud-based, large-scale image processing  New plugins enable running pretrained deep learning models on images  Designed by and for biologists, CellProfiler equips researchers with powerful computational tools via a well-documented user interface, empowering biologists in all fields to create quantitative, reproducible image analysis workflows </t>
  </si>
  <si>
    <t>PLoS biology</t>
  </si>
  <si>
    <t xml:space="preserve">Imaging Platform, Broad Institute of Harvard and MIT, Cambridge, Massachusetts, United States of America </t>
  </si>
  <si>
    <t>McQuin, C; Goodman, A; Chernyshev, V; Kamentsky, L; Cimini, BA; Karhohs, KW; Doan, M; Ding, L; Rafelski, SM; Thirstrup, D; Wiegraebe, W; Singh, S; Becker, T; Caicedo, JC; Carpenter, AE</t>
  </si>
  <si>
    <t>101183755</t>
  </si>
  <si>
    <t>10 1109/TMI 2018 2791488</t>
  </si>
  <si>
    <t xml:space="preserve">Joint Optic Disc and Cup Segmentation Based on Multi-Label Deep Network and Polar Transformation </t>
  </si>
  <si>
    <t xml:space="preserve">Glaucoma is a chronic eye disease that leads to irreversible vision loss  The cup to disc ratio (CDR) plays an important role in the screening and diagnosis of glaucoma  Thus, the accurate and automatic segmentation of optic disc (OD) and optic cup (OC) from fundus images is a fundamental task  Most existing methods segment them separately, and rely on hand-crafted visual feature from fundus images  In this paper, we propose a deep learning architecture, named M-Net, which solves the OD and OC segmentation jointly in a one-stage multi-label system  The proposed M-Net mainly consists of multi-scale input layer, U-shape convolutional network, side-output layer, and multi-label loss function  The multi-scale input layer constructs an image pyramid to achieve multiple level receptive field sizes  The U-shape convolutional network is employed as the main body network structure to learn the rich hierarchical representation, while the side-output layer acts as an early classifier that produces a companion local prediction map for different scale layers  Finally, a multi-label loss function is proposed to generate the final segmentation map  For improving the segmentation performance further, we also introduce the polar transformation, which provides the representation of the original image in the polar coordinate system  The experiments show that our M-Net system achieves state-of-the-art OD and OC segmentation result on ORIGA data set  Simultaneously, the proposed method also obtains the satisfactory glaucoma screening performances with calculated CDR value on both ORIGA and SCES datasets </t>
  </si>
  <si>
    <t>CNN,MNet,Unet</t>
  </si>
  <si>
    <t xml:space="preserve">H  Fu and D  W  K  Wong are with Institute for Infocomm Research, Agency for Science, Technology and Research, H  Fu and D  W  K  Wong are with Institute for Infocomm Research, Agency for Science, Technology and Research, Singapore 138632  138632 </t>
  </si>
  <si>
    <t>Fu, H; Cheng, J; Xu, Y; Wong, DWK; Liu, J; Cao, X</t>
  </si>
  <si>
    <t>10 1109/TMI 2018 2791721</t>
  </si>
  <si>
    <t xml:space="preserve">Interactive Medical Image Segmentation Using Deep Learning With Image-Specific Fine Tuning </t>
  </si>
  <si>
    <t xml:space="preserve">Convolutional neural networks (CNNs) have achieved state-of-the-art performance for automatic medical image segmentation  However, they have not demonstrated sufficiently accurate and robust results for clinical use  In addition, they are limited by the lack of image-specific adaptation and the lack of generalizability to previously unseen object classes (a k a  zero-shot learning)  To address these problems, we propose a novel deep learning-based interactive segmentation framework by incorporating CNNs into a bounding box and scribble-based segmentation pipeline  We propose image-specific fine tuning to make a CNN model adaptive to a specific test image, which can be either unsupervised (without additional user interactions) or supervised (with additional scribbles)  We also propose a weighted loss function considering network and interaction-based uncertainty for the fine tuning  We applied this framework to two applications: 2-D segmentation of multiple organs from fetal magnetic resonance (MR) slices, where only two types of these organs were annotated for training and 3-D segmentation of brain tumor core (excluding edema) and whole brain tumor (including edema) from different MR sequences, where only the tumor core in one MR sequence was annotated for training  Experimental results show that: 1) our model is more robust to segment previously unseen objects than state-of-the-art CNNs; 2) image-specific fine tuning with the proposed weighted loss function significantly improves segmentation accuracy; and 3) our method leads to accurate results with fewer user interactions and less user time than traditional interactive segmentation methods </t>
  </si>
  <si>
    <t>CNN,PNET,FCN,UNet</t>
  </si>
  <si>
    <t>G  Wang, W  Li, R  Pratt, P  A  Patel, T  Doel, and S  Ourselin are with the Wellcome EPSRC Centre for Interventional and Surgical Sciences, Department of Medical Physics and Biomedical Engineering, University College London, Londo</t>
  </si>
  <si>
    <t>Wang, G; Li, W; Zuluaga, MA; Pratt, R; Patel, PA; Aertsen, M; Doel, T; David, AL; Deprest, J; Ourselin, S; Vercauteren, T</t>
  </si>
  <si>
    <t>10 1016/j media 2018 06 007</t>
  </si>
  <si>
    <t xml:space="preserve">Towards intelligent robust detection of anatomical structures in incomplete volumetric data </t>
  </si>
  <si>
    <t xml:space="preserve">Robust and fast detection of anatomical structures represents an important component of medical image analysis technologies  Current solutions for anatomy detection are based on machine learning, and are generally driven by suboptimal and exhaustive search strategies  In particular, these techniques do not effectively address cases of incomplete data, i e , scans acquired with a partial field-of-view  We address these challenges by following a new paradigm, which reformulates the detection task to teaching an intelligent artificial agent how to actively search for an anatomical structure  Using the principles of deep reinforcement learning with multi-scale image analysis, artificial agents are taught optimal navigation paths in the scale-space representation of an image, while accounting for structures that are missing from the field-of-view  The spatial coherence of the observed anatomical landmarks is ensured using elements from statistical shape modeling and robust estimation theory  Experiments show that our solution outperforms marginal space deep learning, a powerful deep learning method, at detecting different anatomical structures without any failure  The dataset contains 5043 3D-CT volumes from over 2000 patients, totaling over 2,500,000 image slices  In particular, our solution achieves 0% false-positive and 0% false-negative rates at detecting whether the landmarks are captured in the field-of-view of the scan (excluding all border cases), with an average detection accuracy of 2 78 mm  In terms of runtime, we reduce the detection-time of the marginal space deep learning method by 20-30 times to under 40 ms, an unmatched performance for high resolution incomplete 3D-CT data </t>
  </si>
  <si>
    <t xml:space="preserve">Siemens Healthineers, Medical Imaging Technologies, Princeton, NJ, USA; Pattern Recognition Lab, Friedrich-Alexander-Universität Erlangen-Nürnberg, Germany  Electronic address: florin c ghesu@fau de </t>
  </si>
  <si>
    <t>Ghesu, FC; Georgescu, B; Grbic, S; Maier, A; Hornegger, J; Comaniciu, D</t>
  </si>
  <si>
    <t>10 3389/fonc 2018 00215</t>
  </si>
  <si>
    <t xml:space="preserve">Deep Learning Renal Segmentation for Fully Automated Radiation Dose Estimation in Unsealed Source Therapy </t>
  </si>
  <si>
    <t xml:space="preserve">Convolutional neural networks (CNNs) have been shown to be powerful tools to assist with object detection and-like a human observer-may be trained based on a relatively small cohort of reference subjects  Rapid, accurate organ recognition in medical imaging permits a variety of new quantitative diagnostic techniques  In the case of therapy with targeted radionuclides, it may permit comprehensive radiation dose analysis in a manner that would often be prohibitively time-consuming using conventional methods An automated image segmentation tool was developed based on three-dimensional CNNs to detect right and left kidney contours on non-contrast CT images  Model was trained based on 89 manually contoured cases and tested on a cohort of patients receiving therapy with 177Lu-prostate-specific membrane antigen-617 for metastatic prostate cancer  Automatically generated contours were compared with those drawn by an expert and assessed for similarity based on dice score, mean distance-to-agreement, and total segmented volume  Further, the contours were applied to voxel dose maps computed from post-treatment quantitative SPECT imaging to estimate renal radiation dose from therapy Neural network segmentation was able to identify right and left kidneys in all patients with a high degree of accuracy  The system was integrated into the hospital image database, returning contours for a selected study in approximately 90 s  Mean dice score was 0 91 and 0 86 for right and left kidneys, respectively  Poor performance was observed in three patients with cystic kidneys of which only few were included in the training data  No significant difference in mean radiation absorbed dose was observed between the manual and automated algorithms Automated contouring using CNNs shows promise in providing quantitative assessment of functional SPECT and possibly PET images; in this case demonstrating comparable accuracy for radiation dose interpretation in unsealed source therapy relative to a human observer </t>
  </si>
  <si>
    <t>Frontiers in oncology</t>
  </si>
  <si>
    <t xml:space="preserve">Sir Peter MacCallum Department of Oncology, The University of Melbourne, Melbourne, VIC, Australia </t>
  </si>
  <si>
    <t>Jackson, P; Hardcastle, N; Dawe, N; Kron, T; Hofman, MS; Hicks, RJ</t>
  </si>
  <si>
    <t>101568867</t>
  </si>
  <si>
    <t>10 1007/s12021-018-9387-8</t>
  </si>
  <si>
    <t xml:space="preserve">Using Deep Learning Algorithms to Automatically Identify the Brain MRI Contrast: Implications for Managing Large Databases </t>
  </si>
  <si>
    <t xml:space="preserve">Neuroimaging science has seen a recent explosion in dataset size driving the need to develop database management with efficient processing pipelines  Multi-center neuroimaging databases consistently receive magnetic resonance imaging (MRI) data with unlabeled or incorrectly labeled contrast  There is a need to automatically identify the contrast of MRI scans to save database-managing facilities valuable resources spent by trained technicians required for visual inspection  We developed a deep learning (DL) algorithm with convolution neural network architecture to automatically infer the contrast of MRI scans based on the image intensity of multiple slices  For comparison, we developed a random forest (RF) algorithm to automatically infer the contrast of MRI scans based on acquisition parameters  The DL algorithm was able to automatically identify the MRI contrast of an unseen dataset with &lt;0 2% error rate  The RF algorithm was able to identify the MRI contrast of the same dataset with 1 74% error rate  Our analysis showed that reduced dataset sizes caused the DL algorithm to lose generalizability  Finally, we developed a confidence measure, which made it possible to detect, with 100% specificity, all MRI volumes that were misclassified by the DL algorithm  This confidence measure can be used to alert the user on the need to inspect the small fraction of MRI volumes that are prone to misclassification  Our study introduces a practical solution for automatically identifying the MRI contrast  Furthermore, it demonstrates the powerful combination of convolution neural networks and DL for analyzing large MRI datasets </t>
  </si>
  <si>
    <t>CNN,DNN</t>
  </si>
  <si>
    <t xml:space="preserve">Montreal Neurological Institute, Departments of Neurology, Neurosurgery, Physiology, and Biomedical Engineering, McGill University, 3801 University, Room 786, Montreal, QC, H3A 2B4, Canada  ricardo pizarro@mcgill ca </t>
  </si>
  <si>
    <t>Pizarro, R; Assemlal, HE; De Nigris, D; Elliott, C; Antel, S; Arnold, D; Shmuel, A</t>
  </si>
  <si>
    <t>101142069</t>
  </si>
  <si>
    <t>10 1093/bioinformatics/bty241</t>
  </si>
  <si>
    <t xml:space="preserve">DLBI: deep learning guided Bayesian inference for structure reconstruction of super-resolution fluorescence microscopy </t>
  </si>
  <si>
    <t xml:space="preserve">Super-resolution fluorescence microscopy with a resolution beyond the diffraction limit of light, has become an indispensable tool to directly visualize biological structures in living cells at a nanometer-scale resolution  Despite advances in high-density super-resolution fluorescent techniques, existing methods still have bottlenecks, including extremely long execution time, artificial thinning and thickening of structures, and lack of ability to capture latent structures Here, we propose a novel deep learning guided Bayesian inference (DLBI) approach, for the time-series analysis of high-density fluorescent images  Our method combines the strength of deep learning and statistical inference, where deep learning captures the underlying distribution of the fluorophores that are consistent with the observed time-series fluorescent images by exploring local features and correlation along time-axis, and statistical inference further refines the ultrastructure extracted by deep learning and endues physical meaning to the final image  In particular, our method contains three main components  The first one is a simulator that takes a high-resolution image as the input, and simulates time-series low-resolution fluorescent images based on experimentally calibrated parameters, which provides supervised training data to the deep learning model  The second one is a multi-scale deep learning module to capture both spatial information in each input low-resolution image as well as temporal information among the time-series images  And the third one is a Bayesian inference module that takes the image from the deep learning module as the initial localization of fluorophores and removes artifacts by statistical inference  Comprehensive experimental results on both real and simulated datasets demonstrate that our method provides more accurate and realistic local patch and large-field reconstruction than the state-of-the-art method, the 3B analysis, while our method is more than two orders of magnitude faster The main program is available at https://github com/lykaust15/DLBI Supplementary data are available at Bioinformatics online </t>
  </si>
  <si>
    <t>Bioinformatics (Oxford, England)</t>
  </si>
  <si>
    <t xml:space="preserve">King Abdullah University of Science and Technology (KAUST), Computational Bioscience Research Center (CBRC), Computer, Electrical and Mathematical Sciences and Engineering (CEMSE) Division, Thuwal, Saudi Arabia </t>
  </si>
  <si>
    <t>Li, Y; Xu, F; Zhang, F; Xu, P; Zhang, M; Fan, M; Li, L; Gao, X; Han, R</t>
  </si>
  <si>
    <t>9808944</t>
  </si>
  <si>
    <t>10 1007/s11517-018-1835-y</t>
  </si>
  <si>
    <t xml:space="preserve">Classification of pressure ulcer tissues with 3D convolutional neural network </t>
  </si>
  <si>
    <t xml:space="preserve">A 3D convolution neural network (CNN) of deep learning architecture is supplied with essential visual features to accurately classify and segment granulation, necrotic eschar, and slough tissues in pressure ulcer color images  After finding a region of interest (ROI), the features are extracted from both the original and convolved with a pre-selected Gaussian kernel 3D HSI images, combined with first-order models of current and prior visual appearance  The models approximate empirical marginal probability distributions of voxel-wise signals with linear combinations of discrete Gaussians (LCDG)  The framework was trained and tested on 193 color pressure ulcer images  The classification accuracy and robustness were evaluated using the Dice similarity coefficient (DSC), the percentage area distance (PAD), and the area under the ROC curve (AUC)  The obtained preliminary DSC of 92%, PAD of 13%, and AUC of 95% are promising  Graphical Abstract The Classification of Pressure Ulcer Tissues Based on 3D Convolutional Neural Network </t>
  </si>
  <si>
    <t xml:space="preserve">Facultad Ingeniería, Universidad de Deusto, Avda/Universidades 24, 48007, Bilbao, Spain </t>
  </si>
  <si>
    <t>García-Zapirain, B; Elmogy, M; El-Baz, A; Elmaghraby, AS</t>
  </si>
  <si>
    <t>10 1007/s11548-018-1806-7</t>
  </si>
  <si>
    <t xml:space="preserve">Context aware decision support in neurosurgical oncology based on an efficient classification of endomicroscopic data </t>
  </si>
  <si>
    <t xml:space="preserve">Probe-based confocal laser endomicroscopy (pCLE) enables in vivo, in situ tissue characterisation without changes in the surgical setting and simplifies the oncological surgical workflow  The potential of this technique in identifying residual cancer tissue and improving resection rates of brain tumours has been recently verified in pilot studies  The interpretation of endomicroscopic information is challenging, particularly for surgeons who do not themselves routinely review histopathology  Also, the diagnosis can be examiner-dependent, leading to considerable inter-observer variability  Therefore, automatic tissue characterisation with pCLE would support the surgeon in establishing diagnosis as well as guide robot-assisted intervention procedures The aim of this work is to propose a deep learning-based framework for brain tissue characterisation for context aware diagnosis support in neurosurgical oncology  An efficient representation of the context information of pCLE data is presented by exploring state-of-the-art CNN models with different tuning configurations  A novel video classification framework based on the combination of convolutional layers with long-range temporal recursion has been proposed to estimate the probability of each tumour class  The video classification accuracy is compared for different network architectures and data representation and video segmentation methods We demonstrate the application of the proposed deep learning framework to classify Glioblastoma and Meningioma brain tumours based on endomicroscopic data  Results show significant improvement of our proposed image classification framework over state-of-the-art feature-based methods  The use of video data further improves the classification performance, achieving accuracy equal to 99 49% This work demonstrates that deep learning can provide an efficient representation of pCLE data and accurately classify Glioblastoma and Meningioma tumours  The performance evaluation analysis shows the potential clinical value of the technique </t>
  </si>
  <si>
    <t>CNN,AlexNet,VGG,Inception</t>
  </si>
  <si>
    <t xml:space="preserve">Institute of Cyber-Systems and Control, Zhejiang University, Hangzhou, China </t>
  </si>
  <si>
    <t>Li, Y; Charalampaki, P; Liu, Y; Yang, GZ; Giannarou, S</t>
  </si>
  <si>
    <t>10 1007/s00330-018-5595-8</t>
  </si>
  <si>
    <t xml:space="preserve">Fully automated detection and segmentation of meningiomas using deep learning on routine multiparametric MRI </t>
  </si>
  <si>
    <t xml:space="preserve">Magnetic resonance imaging (MRI) is the method of choice for imaging meningiomas  Volumetric assessment of meningiomas is highly relevant for therapy planning and monitoring  We used a multiparametric deep-learning model (DLM) on routine MRI data including images from diverse referring institutions to investigate DLM performance in automated detection and segmentation of meningiomas in comparison to manual segmentations We included 56 of 136 consecutive preoperative MRI datasets [T1/T2-weighted, T1-weighted contrast-enhanced (T1CE), FLAIR] of meningiomas that were treated surgically at the University Hospital Cologne and graded histologically as tumour grade I (n = 38) or grade II (n = 18)  The DLM was trained on an independent dataset of 249 glioma cases and segmented different tumour classes as defined in the brain tumour image segmentation benchmark (BRATS benchmark)  The DLM was based on the DeepMedic architecture  Results were compared to manual segmentations by two radiologists in a consensus reading in FLAIR and T1CE The DLM detected meningiomas in 55 of 56 cases  Further, automated segmentations correlated strongly with manual segmentations: average Dice coefficients were 0 81 ± 0 10 (range, 0 46-0 93) for the total tumour volume (union of tumour volume in FLAIR and T1CE) and 0 78 ± 0 19 (range, 0 27-0 95) for contrast-enhancing tumour volume in T1CE The DLM yielded accurate automated detection and segmentation of meningioma tissue despite diverse scanner data and thereby may improve and facilitate therapy planning as well as monitoring of this highly frequent tumour entity • Deep learning allows for accurate meningioma detection and segmentation • Deep learning helps clinicians to assess patients with meningiomas • Meningioma monitoring and treatment planning can be improved </t>
  </si>
  <si>
    <t>characterization-segmention and characterization-detection</t>
  </si>
  <si>
    <t xml:space="preserve">Institute for Diagnostic and Interventional Radiology, University Hospital Cologne, Cologne, Germany </t>
  </si>
  <si>
    <t>Laukamp, KR; Thiele, F; Shakirin, G; Zopfs, D; Faymonville, A; Timmer, M; Maintz, D; Perkuhn, M; Borggrefe, J</t>
  </si>
  <si>
    <t>10 7507/1001-5515 201611064</t>
  </si>
  <si>
    <t xml:space="preserve">[Medical computer-aided detection method based on deep learning] </t>
  </si>
  <si>
    <t xml:space="preserve">This paper performs a comprehensive study on the computer-aided detection for the medical diagnosis with deep learning  Based on the region convolution neural network and the prior knowledge of target, this algorithm uses the region proposal network, the region of interest pooling strategy, introduces the multi-task loss function: classification loss, bounding box localization loss and object rotation loss, and optimizes it by end-to-end  For medical image it locates the target automatically, and provides the localization result for the next stage task of segmentation  For the detection of left ventricular in echocardiography, proposed additional landmarks such as mitral annulus, endocardial pad and apical position, were used to estimate the left ventricular posture effectively  In order to verify the robustness and effectiveness of the algorithm, the experimental data of ultrasonic and nuclear magnetic resonance images are selected  Experimental results show that the algorithm is fast, accurate and effective 针对自动检测医学图像中指定目标时存在的问题，提出了一种基于深度学习自动检测目标位置和估计对象姿态的算法。该算法基于区域深度卷积神经网络和目标结构的先验知识，采用区域生成候选框网络、感兴趣区域池化策略，引入包括分类损失、边框位置回归定位损失和像平面内朝向损失的多任务损失函数，近似优化一个端到端的有监督定位网络，能快速地对医学图像中目标自动定位，有效地为下一步的分割和参数自动提取提供定位结果。并在超声心动图左心室检测中提出利用检测额外标记点（二尖瓣环、心内膜垫和心尖），能高效地对左心室朝向姿态进行估计。为了验证算法的鲁棒性和有效性，实验数据选取经食管超声心动图和核磁共振图像。实验结果表明算法是快速、精确和有效的。 </t>
  </si>
  <si>
    <t>Sheng wu yi xue gong cheng xue za zhi = Journal of biomedical engineering = Shengwu yixue gongchengxue zazhi</t>
  </si>
  <si>
    <t xml:space="preserve">Chengdu Institute of Computer Applications, Chinese Academy of Sciences, Chengdu 610041, P R China;University of Chinese Academy of Sciences, Beijing 100049, P R China 284792640@qq com </t>
  </si>
  <si>
    <t>Tao, P; Fu, Z; Zhu, K; Wang, L</t>
  </si>
  <si>
    <t>9426398</t>
  </si>
  <si>
    <t>10 1016/j media 2018 06 003</t>
  </si>
  <si>
    <t xml:space="preserve">3D freehand ultrasound without external tracking using deep learning </t>
  </si>
  <si>
    <t xml:space="preserve">This work aims at creating 3D freehand ultrasound reconstructions from 2D probes with image-based tracking, therefore not requiring expensive or cumbersome external tracking hardware  Existing model-based approaches such as speckle decorrelation only partially capture the underlying complexity of ultrasound image formation, thus producing reconstruction accuracies incompatible with current clinical requirements  Here, we introduce an alternative approach that relies on a statistical analysis rather than physical models, and use a convolutional neural network (CNN) to directly estimate the motion of successive ultrasound frames in an end-to-end fashion  We demonstrate how this technique is related to prior approaches, and derive how to further improve its predictive capabilities by incorporating additional information such as data from inertial measurement units (IMU)  This novel method is thoroughly evaluated and analyzed on a dataset of 800 in vivo ultrasound sweeps, yielding unprecedentedly accurate reconstructions with a median normalized drift of 5 2%  Even on long sweeps exceeding 20 cm with complex trajectories, this allows to obtain length measurements with median errors of 3 4%, hence paving the way toward translation into clinical routine </t>
  </si>
  <si>
    <t xml:space="preserve">ImFusion GmbH, Agnes-Pockels-Bogen 1, Munich, Germany  Electronic address: prevost@imfusion de </t>
  </si>
  <si>
    <t>Prevost, R; Salehi, M; Jagoda, S; Kumar, N; Sprung, J; Ladikos, A; Bauer, R; Zettinig, O; Wein, W</t>
  </si>
  <si>
    <t>10 1016/j media 2018 06 006</t>
  </si>
  <si>
    <t xml:space="preserve">Automated sub-cortical brain structure segmentation combining spatial and deep convolutional features </t>
  </si>
  <si>
    <t xml:space="preserve">Sub-cortical brain structure segmentation in Magnetic Resonance Images (MRI) has attracted the interest of the research community for a long time as morphological changes in these structures are related to different neurodegenerative disorders  However, manual segmentation of these structures can be tedious and prone to variability, highlighting the need for robust automated segmentation methods  In this paper, we present a novel convolutional neural network based approach for accurate segmentation of the sub-cortical brain structures that combines both convolutional and prior spatial features for improving the segmentation accuracy  In order to increase the accuracy of the automated segmentation, we propose to train the network using a restricted sample selection to force the network to learn the most difficult parts of the structures  We evaluate the accuracy of the proposed method on the public MICCAI 2012 challenge and IBSR 18 datasets, comparing it with different traditional and deep learning state-of-the-art methods  On the MICCAI 2012 dataset, our method shows an excellent performance comparable to the best participant strategy on the challenge, while performing significantly better than state-of-the-art techniques such as FreeSurfer and FIRST  On the IBSR 18 dataset, our method also exhibits a significant increase in the performance with respect to not only FreeSurfer and FIRST, but also comparable or better results than other recent deep learning approaches  Moreover, our experiments show that both the addition of the spatial priors and the restricted sampling strategy have a significant effect on the accuracy of the proposed method  In order to encourage the reproducibility and the use of the proposed method, a public version of our approach is available to download for the neuroimaging community </t>
  </si>
  <si>
    <t xml:space="preserve">Institute of Computer Vision and Robotics, University of Girona, Ed  P-IV, Campus Montilivi, Girona, 17003, Spain  Electronic address: kaisar kushibar@udg edu </t>
  </si>
  <si>
    <t>Kushibar, K; Valverde, S; González-Villà, S; Bernal, J; Cabezas, M; Oliver, A; Lladó, X</t>
  </si>
  <si>
    <t>10 1016/j media 2018 06 004</t>
  </si>
  <si>
    <t xml:space="preserve">Dual-modality endoscopic probe for tissue surface shape reconstruction and hyperspectral imaging enabled by deep neural networks </t>
    <phoneticPr fontId="0" type="noConversion"/>
  </si>
  <si>
    <t xml:space="preserve">Surgical guidance and decision making could be improved with accurate and real-time measurement of intra-operative data including shape and spectral information of the tissue surface  In this work, a dual-modality endoscopic system has been proposed to enable tissue surface shape reconstruction and hyperspectral imaging (HSI)  This system centers around a probe comprised of an incoherent fiber bundle, whose fiber arrangement is different at the two ends, and miniature imaging optics  For 3D reconstruction with structured light (SL), a light pattern formed of randomly distributed spots with different colors is projected onto the tissue surface, creating artificial texture  Pattern decoding with a Convolutional Neural Network (CNN) model and a customized feature descriptor enables real-time 3D surface reconstruction at approximately 12 frames per second (FPS)  In HSI mode, spatially sparse hyperspectral signals from the tissue surface can be captured with a slit hyperspectral imager in a single snapshot  A CNN based super-resolution model, namely "super-spectral-resolution" network (SSRNet), has also been developed to estimate pixel-level dense hypercubes from the endoscope cameras standard RGB images and the sparse hyperspectral signals, at approximately 2 FPS  The probe, with a 2 1 mm diameter, enables the system to be used with endoscope working channels  Furthermore, since data acquisition in both modes can be accomplished in one snapshot, operation of this system in clinical applications is minimally affected by tissue surface movement and deformation  The whole apparatus has been validated on phantoms and tissue (ex vivo and in vivo), while initial measurements on patients during laryngeal surgery show its potential in real-world clinical applications </t>
  </si>
  <si>
    <t xml:space="preserve">The Hamlyn Centre for Robotic Surgery, Imperial College London, London, UK; Department of Computing, Imperial College London, London, UK  Electronic address: xjtuljy@gmail com </t>
  </si>
  <si>
    <t>Lin, J; Clancy, NT; Qi, J; Hu, Y; Tatla, T; Stoyanov, D; Maier-Hein, L; Elson, DS</t>
  </si>
  <si>
    <t>10 1038/s41598-018-27742-1</t>
  </si>
  <si>
    <t xml:space="preserve">Deep-learned 3D black-blood imaging using automatic labelling technique and 3D convolutional neural networks for detecting metastatic brain tumors </t>
  </si>
  <si>
    <t xml:space="preserve">Black-blood (BB) imaging is used to complement contrast-enhanced 3D gradient-echo (CE 3D-GRE) imaging for detecting brain metastases, requiring additional scan time  In this study, we proposed deep-learned 3D BB imaging with an auto-labelling technique and 3D convolutional neural networks for brain metastases detection without additional BB scan  Patients were randomly selected for training (29 sets) and testing (36 sets)  Two neuroradiologists independently evaluated deep-learned and original BB images, assessing the degree of blood vessel suppression and lesion conspicuity  Vessel signals were effectively suppressed in all patients  The figure of merits, which indicate the diagnostic performance of radiologists, were 0 9708 with deep-learned BB and 0 9437 with original BB imaging, suggesting that the deep-learned BB imaging is highly comparable to the original BB imaging (difference was not significant; p = 0 2142)  In per patient analysis, sensitivities were 100% for both deep-learned and original BB imaging; however, the original BB imaging indicated false positive results for two patients  In per lesion analysis, sensitivities were 90 3% for deep-learned and 100% for original BB images  There were eight false positive lesions on the original BB imaging but only one on the deep-learned BB imaging  Deep-learned 3D BB imaging can be effective for brain metastases detection </t>
  </si>
  <si>
    <t xml:space="preserve">School of Electrical and Electronic Engineering, Yonsei University, Seoul, Korea </t>
  </si>
  <si>
    <t>Jun, Y; Eo, T; Kim, T; Shin, H; Hwang, D; Bae, SH; Park, YW; Lee, HJ; Choi, BW; Ahn, SS</t>
  </si>
  <si>
    <t>10 1053/j gastro 2018 06 037</t>
  </si>
  <si>
    <t xml:space="preserve">Deep Learning Localizes and Identifies Polyps in Real Time With 96% Accuracy in Screening Colonoscopy </t>
  </si>
  <si>
    <t xml:space="preserve">The benefit of colonoscopy for colorectal cancer prevention depends on the adenoma detection rate (ADR)  The ADR should reflect the adenoma prevalence rate, which is estimated to be higher than 50% in the screening-age population  However, the ADR by colonoscopists varies from 7% to 53%  It is estimated that every 1% increase in ADR lowers the risk of interval colorectal cancers by 3%-6%  New strategies are needed to increase the ADR during colonoscopy  We tested the ability of computer-assisted image analysis using convolutional neural networks (CNNs; a deep learning model for image analysis) to improve polyp detection, a surrogate of ADR We designed and trained deep CNNs to detect polyps using a diverse and representative set of 8,641 hand-labeled images from screening colonoscopies collected from more than 2000 patients  We tested the models on 20 colonoscopy videos with a total duration of 5 hours  Expert colonoscopists were asked to identify all polyps in 9 de-identified colonoscopy videos, which were selected from archived video studies, with or without benefit of the CNN overlay  Their findings were compared with those of the CNN using CNN-assisted expert review as the reference When tested on manually labeled images, the CNN identified polyps with an area under the receiver operating characteristic curve of 0 991 and an accuracy of 96 4%  In the analysis of colonoscopy videos in which 28 polyps were removed, 4 expert reviewers identified 8 additional polyps without CNN assistance that had not been removed and identified an additional 17 polyps with CNN assistance (45 in total)  All polyps removed and identified by expert review were detected by the CNN  The CNN had a false-positive rate of 7% In a set of 8,641 colonoscopy images containing 4,088 unique polyps, the CNN identified polyps with a cross-validation accuracy of 96 4% and an area under the receiver operating characteristic curve of 0 991  The CNN system detected and localized polyps well within real-time constraints using an ordinary desktop machine with a contemporary graphics processing unit  This system could increase the ADR and decrease interval colorectal cancers but requires validation in large multicenter trials </t>
  </si>
  <si>
    <t xml:space="preserve">Department of Computer Science, University of California, Irvine, California; Institute for Genomics and Bioinformatics, University of California, Irvine, California </t>
  </si>
  <si>
    <t>Urban, G; Tripathi, P; Alkayali, T; Mittal, M; Jalali, F; Karnes, W; Baldi, P</t>
  </si>
  <si>
    <t>10 1088/1361-6560/aacdd4</t>
  </si>
  <si>
    <t xml:space="preserve">Computed tomography super-resolution using deep convolutional neural network </t>
  </si>
  <si>
    <t xml:space="preserve">The objective of this study is to develop a convolutional neural network (CNN) for computed tomography (CT) image super-resolution  The network learns an end-to-end mapping between low (thick-slice thickness) and high (thin-slice thickness) resolution images using the modified U-Net  To verify the proposed method, we train and test the CNN using axially averaged data of existing thin-slice CT images as input and their middle slice as the label  Fifty-two CT studies are used as the CNN training set, and 13 CT studies are used as the test set  We perform five-fold cross-validation to confirm the performance consistency  Because all input and output images are used in two-dimensional slice format, the total number of slices for training the CNN is 7670  We assess the performance of the proposed method with respect to the resolution and contrast, as well as the noise properties  The CNN generates output images that are virtually equivalent to the ground truth  The most remarkable image-recovery improvement by the CNN is deblurring of boundaries of bone structures and air cavities  The CNN output yields an approximately 10% higher peak signal-to-noise ratio and lower normalized root mean square error than the input (thicker slices)  The CNN output noise level is lower than the ground truth and equivalent to the iterative image reconstruction result  The proposed deep learning method is useful for both super-resolution and de-noising </t>
  </si>
  <si>
    <t xml:space="preserve">Department of Biomedical Sciences, College of Medicine, Seoul National University, Seoul 03080, People's Republic of Korea  Department of Nuclear Medicine, College of Medicine, Seoul National University, Seoul 03080, People's Republic of Korea </t>
  </si>
  <si>
    <t>Park, J; Hwang, D; Kim, KY; Kang, SK; Kim, YK; Lee, JS</t>
  </si>
  <si>
    <t>10 1038/s41598-018-27569-w</t>
  </si>
  <si>
    <t xml:space="preserve">Highly accurate model for prediction of lung nodule malignancy with CT scans </t>
  </si>
  <si>
    <t xml:space="preserve">Computed tomography (CT) examinations are commonly used to predict lung nodule malignancy in patients, which are shown to improve noninvasive early diagnosis of lung cancer  It remains challenging for computational approaches to achieve performance comparable to experienced radiologists  Here we present NoduleX, a systematic approach to predict lung nodule malignancy from CT data, based on deep learning convolutional neural networks (CNN)  For training and validation, we analyze &gt;1000 lung nodules in images from the LIDC/IDRI cohort  All nodules were identified and classified by four experienced thoracic radiologists who participated in the LIDC project  NoduleX achieves high accuracy for nodule malignancy classification, with an AUC of ~0 99  This is commensurate with the analysis of the dataset by experienced radiologists  Our approach, NoduleX, provides an effective framework for highly accurate nodule malignancy prediction with the model trained on a large patient population  Our results are replicable with software available at http://bioinformatics astate edu/NoduleX  </t>
  </si>
  <si>
    <t xml:space="preserve">Department of Computer Science, Arkansas State University, Jonesboro, Arkansas, 72467, United States of America </t>
  </si>
  <si>
    <t>Causey, JL; Zhang, J; Ma, S; Jiang, B; Qualls, JA; Politte, DG; Prior, F; Zhang, S; Huang, X</t>
  </si>
  <si>
    <t>10 1161/CIRCIMAGING 117 007217</t>
  </si>
  <si>
    <t xml:space="preserve">Diagnostic Accuracy of a Machine-Learning Approach to Coronary Computed Tomographic Angiography-Based Fractional Flow Reserve: Result From the MACHINE Consortium </t>
  </si>
  <si>
    <t xml:space="preserve">Coronary computed tomographic angiography (CTA) is a reliable modality to detect coronary artery disease  However, CTA generally overestimates stenosis severity compared with invasive angiography, and angiographic stenosis does not necessarily imply hemodynamic relevance when fractional flow reserve (FFR) is used as reference  CTA-based FFR (CT-FFR), using computational fluid dynamics (CFD), improves the correlation with invasive FFR results but is computationally demanding  More recently, a new machine-learning (ML) CT-FFR algorithm has been developed based on a deep learning model, which can be performed on a regular workstation  In this large multicenter cohort, the diagnostic performance ML-based CT-FFR was compared with CTA and CFD-based CT-FFR for detection of functionally obstructive coronary artery disease At 5 centers in Europe, Asia, and the United States, 351 patients, including 525 vessels with invasive FFR comparison, were included  ML-based and CFD-based CT-FFR were performed on the CTA data, and diagnostic performance was evaluated using invasive FFR as reference  Correlation between ML-based and CFD-based CT-FFR was excellent (R=0 997)  ML-based (area under curve, 0 84) and CFD-based CT-FFR (0 84) outperformed visual CTA (0 69; P&lt;0 0001)  On a per-vessel basis, diagnostic accuracy improved from 58% (95% confidence interval, 54%-63%) by CTA to 78% (75%-82%) by ML-based CT-FFR  The per-patient accuracy improved from 71% (66%-76%) by CTA to 85% (81%-89%) by adding ML-based CT-FFR as 62 of 85 (73%) false-positive CTA results could be correctly reclassified by adding ML-based CT-FFR On-site CT-FFR based on ML improves the performance of CTA by correctly reclassifying hemodynamically nonsignificant stenosis and performs equally well as CFD-based CT-FFR </t>
  </si>
  <si>
    <t>Circulation  Cardiovascular imaging</t>
  </si>
  <si>
    <t xml:space="preserve">Department of Cardiology (A C , M L L , J D , K N ) a coenen@erasmusmc nl </t>
  </si>
  <si>
    <t>Coenen, A; Kim, YH; Kruk, M; Tesche, C; De Geer, J; Kurata, A; Lubbers, ML; Daemen, J; Itu, L; Rapaka, S; Sharma, P; Schwemmer, C; Persson, A; Schoepf, UJ; Kepka, C; Hyun Yang, D; Nieman, K</t>
  </si>
  <si>
    <t>101479935</t>
  </si>
  <si>
    <t>10 1016/j cmpb 2018 05 024</t>
  </si>
  <si>
    <t xml:space="preserve">Fine-grained leukocyte classification with deep residual learning for microscopic images </t>
  </si>
  <si>
    <t xml:space="preserve">Leukocyte classification and cytometry have wide applications in medical domain, previous researches usually exploit machine learning techniques to classify leukocytes automatically  However, constrained by the past development of machine learning techniques, for example, extracting distinctive features from raw microscopic images are difficult, the widely used SVM classifier only has relative few parameters to tune, these methods cannot efficiently handle fine-grained classification cases when the white blood cells have up to 40 categories Based on deep learning theory, a systematic study is conducted on finer leukocyte classification in this paper  A deep residual neural network based leukocyte classifier is constructed at first, which can imitate the domain expert's cell recognition process, and extract salient features robustly and automatically  Then the deep neural network classifier's topology is adjusted according to the prior knowledge of white blood cell test  After that the microscopic image dataset with almost one hundred thousand labeled leukocytes belonging to 40 categories is built, and combined training strategies are adopted to make the designed classifier has good generalization ability The proposed deep residual neural network based classifier was tested on microscopic image dataset with 40 leukocyte categories  It achieves top-1 accuracy of 77 80%, top-5 accuracy of 98 75% during the training procedure  The average accuracy on the test set is nearly 76 84% This paper presents a fine-grained leukocyte classification method for microscopic images, based on deep residual learning theory and medical domain knowledge  Experimental results validate the feasibility and effectiveness of our approach  Extended experiments support that the fine-grained leukocyte classifier could be used in real medical applications, assist doctors in diagnosing diseases, reduce human power significantly </t>
  </si>
  <si>
    <t>CNN,AlexNet, ZFNet, VGG, ResNet, GoogLeNet,DenseNet</t>
  </si>
  <si>
    <t xml:space="preserve">School of Computer Science and Technology, Hangzhou Dianzi University, China  Electronic address: qinfeiwei@hdu edu cn </t>
  </si>
  <si>
    <t>Qin, F; Gao, N; Peng, Y; Wu, Z; Shen, S; Grudtsin, A</t>
  </si>
  <si>
    <t>10 1016/j cmpb 2018 05 027</t>
  </si>
  <si>
    <t xml:space="preserve">Skin lesion segmentation in dermoscopy images via deep full resolution convolutional networks </t>
  </si>
  <si>
    <t xml:space="preserve">Automatic segmentation of skin lesions in dermoscopy images is still a challenging task due to the large shape variations and indistinct boundaries of the lesions  Accurate segmentation of skin lesions is a key prerequisite step for any computer-aided diagnostic system to recognize skin melanoma In this paper, we propose a novel segmentation methodology via full resolution convolutional networks (FrCN)  The proposed FrCN method directly learns the full resolution features of each individual pixel of the input data without the need for pre- or post-processing operations such as artifact removal, low contrast adjustment, or further enhancement of the segmented skin lesion boundaries  We evaluated the proposed method using two publicly available databases, the IEEE International Symposium on Biomedical Imaging (ISBI) 2017 Challenge and PH2 datasets  To evaluate the proposed method, we compared the segmentation performance with the latest deep learning segmentation approaches such as the fully convolutional network (FCN), U-Net, and SegNet Our results showed that the proposed FrCN method segmented the skin lesions with an average Jaccard index of 77 11% and an overall segmentation accuracy of 94 03% for the ISBI 2017 test dataset and 84 79% and 95 08%, respectively, for the PH2 dataset  In comparison to FCN, U-Net, and SegNet, the proposed FrCN outperformed them by 4 94%, 15 47%, and 7 48% for the Jaccard index and 1 31%, 3 89%, and 2 27% for the segmentation accuracy, respectively  Furthermore, the proposed FrCN achieved a segmentation accuracy of 95 62% for some representative clinical benign cases, 90 78% for the melanoma cases, and 91 29% for the seborrheic keratosis cases in the ISBI 2017 test dataset, exhibiting better performance than those of FCN, U-Net, and SegNet We conclude that using the full spatial resolutions of the input image could enable to learn better specific and prominent features, leading to an improvement in the segmentation performance </t>
  </si>
  <si>
    <t>SegNet,CNN,Unet,FCN</t>
  </si>
  <si>
    <t xml:space="preserve">Department of Biomedical Engineering, College of Electronics and Information, Kyung Hee University, Yongin, Republic of Korea  Electronic address: m almasani@khu ac kr </t>
  </si>
  <si>
    <t>Al-Masni, MA; Al-Antari, MA; Choi, MT; Han, SM; Kim, TS</t>
  </si>
  <si>
    <t>10 1016/j cmpb 2018 05 006</t>
  </si>
  <si>
    <t xml:space="preserve">Convolutional neural network-based PSO for lung nodule false positive reduction on CT images </t>
  </si>
  <si>
    <t xml:space="preserve">Detection of lung nodules is critical in CAD systems; this is because of their similar contrast with other structures and low density, which result in the generation of numerous false positives (FPs)  Therefore, this study proposes a methodology to reduce the FP number using a deep learning technique in conjunction with an evolutionary technique The particle swarm optimization (PSO) algorithm was used to optimize the network hyperparameters in the convolutional neural network (CNN) in order to enhance the network performance and eliminate the requirement of manual search The methodology was tested on computed tomography (CT) scans from the Lung Image Database Consortium and Image Database Resource Initiative (LIDC-IDRI) with the highest accuracy of 97 62%, sensitivity of 92 20%, specificity of 98 64%, and area under the receiver operating characteristic (ROC) curve of 0 955 The results demonstrate the high performance-potential of the PSO algorithm in the identification of optimal CNN hyperparameters for lung nodule candidate classification into nodules and non-nodules, increasing the sensitivity rates in the FP reduction step of CAD systems </t>
  </si>
  <si>
    <t xml:space="preserve">Federal University of Maranhão - UFMA, Applied Computing Group - NCA Av  dos Portugueses, SN, Bacanga, São Luís, MA 65085-580, Brazil  Electronic address: giovannilucca@nca ufma br </t>
  </si>
  <si>
    <t>da Silva, GLF; Valente, TLA; Silva, AC; de Paiva, AC; Gattass, M</t>
  </si>
  <si>
    <t>10 1016/j ejmp 2018 05 006</t>
  </si>
  <si>
    <t xml:space="preserve">Fully automatic and robust segmentation of the clinical target volume for radiotherapy of breast cancer using big data and deep learning </t>
  </si>
  <si>
    <t xml:space="preserve">To train and evaluate a very deep dilated residual network (DD-ResNet) for fast and consistent auto-segmentation of the clinical target volume (CTV) for breast cancer (BC) radiotherapy with big data DD-ResNet was an end-to-end model enabling fast training and testing  We used big data comprising 800 patients who underwent breast-conserving therapy for evaluation  The CTV were validated by experienced radiation oncologists  We performed a fivefold cross-validation to test the performance of the model  The segmentation accuracy was quantified by the Dice similarity coefficient (DSC) and the Hausdorff distance (HD)  The performance of the proposed model was evaluated against two different deep learning models: deep dilated convolutional neural network (DDCNN) and deep deconvolutional neural network (DDNN) Mean DSC values of DD-ResNet (0 91 and 0 91) were higher than the other two networks (DDCNN: 0 85 and 0 85; DDNN: 0 88 and 0 87) for both right-sided and left-sided BC  It also has smaller mean HD values of 10 5 mm and 10 7 mm compared with DDCNN (15 1 mm and 15 6 mm) and DDNN (13 5 mm and 14 1 mm)  Mean segmentation time was 4 s, 21 s and 15 s per patient with DDCNN, DDNN and DD-ResNet, respectively  The DD-ResNet was also superior with regard to results in the literature The proposed method could segment the CTV accurately with acceptable time consumption  It was invariant to the body size and shape of patients and could improve the consistency of target delineation and streamline radiotherapy workflows </t>
  </si>
  <si>
    <t xml:space="preserve">National Cancer Center/Cancer Hospital, Chinese Academy of Medical Sciences and Peking Union Medical College, Beijing 100021, China </t>
  </si>
  <si>
    <t>Men, K; Zhang, T; Chen, X; Chen, B; Tang, Y; Wang, S; Li, Y; Dai, J</t>
  </si>
  <si>
    <t>10 1016/j media 2018 05 010</t>
  </si>
  <si>
    <t xml:space="preserve">A deep learning approach for real time prostate segmentation in freehand ultrasound guided biopsy </t>
  </si>
  <si>
    <t xml:space="preserve">Targeted prostate biopsy, incorporating multi-parametric magnetic resonance imaging (mp-MRI) and its registration with ultrasound, is currently the state-of-the-art in prostate cancer diagnosis  The registration process in most targeted biopsy systems today relies heavily on accurate segmentation of ultrasound images  Automatic or semi-automatic segmentation is typically performed offline prior to the start of the biopsy procedure  In this paper, we present a deep neural network based real-time prostate segmentation technique during the biopsy procedure, hence paving the way for dynamic registration of mp-MRI and ultrasound data  In addition to using convolutional networks for extracting spatial features, the proposed approach employs recurrent networks to exploit the temporal information among a series of ultrasound images  One of the key contributions in the architecture is to use residual convolution in the recurrent networks to improve optimization  We also exploit recurrent connections within and across different layers of the deep networks to maximize the utilization of the temporal information  Furthermore, we perform dense and sparse sampling of the input ultrasound sequence to make the network robust to ultrasound artifacts  Our architecture is trained on 2,238 labeled transrectal ultrasound images, with an additional 637 and 1,017 unseen images used for validation and testing, respectively  We obtain a mean Dice similarity coefficient of 93%, a mean surface distance error of 1 10 mm and a mean Hausdorff distance error of 3 0 mm  A comparison of the reported results with those of a state-of-the-art technique indicates statistically significant improvement achieved by the proposed approach </t>
  </si>
  <si>
    <t xml:space="preserve">Laboratory for Computational Sensing and Robotics, Johns Hopkins University, MD, USA  Electronic address: eanas1@jhmi edu </t>
  </si>
  <si>
    <t>Anas, EMA; Mousavi, P; Abolmaesumi, P</t>
  </si>
  <si>
    <t>10 1186/s40708-018-0080-3</t>
  </si>
  <si>
    <t xml:space="preserve">Brain MRI analysis for Alzheimer's disease diagnosis using an ensemble system of deep convolutional neural networks </t>
  </si>
  <si>
    <t xml:space="preserve">Alzheimer's disease is an incurable, progressive neurological brain disorder  Earlier detection of Alzheimer's disease can help with proper treatment and prevent brain tissue damage  Several statistical and machine learning models have been exploited by researchers for Alzheimer's disease diagnosis  Analyzing magnetic resonance imaging (MRI) is a common practice for Alzheimer's disease diagnosis in clinical research  Detection of Alzheimer's disease is exacting due to the similarity in Alzheimer's disease MRI data and standard healthy MRI data of older people  Recently, advanced deep learning techniques have successfully demonstrated human-level performance in numerous fields including medical image analysis  We propose a deep convolutional neural network for Alzheimer's disease diagnosis using brain MRI data analysis  While most of the existing approaches perform binary classification, our model can identify different stages of Alzheimer's disease and obtains superior performance for early-stage diagnosis  We conducted ample experiments to demonstrate that our proposed model outperformed comparative baselines on the Open Access Series of Imaging Studies dataset </t>
  </si>
  <si>
    <t>neuroradiology</t>
    <phoneticPr fontId="0" type="noConversion"/>
  </si>
  <si>
    <t>Brain informatics</t>
  </si>
  <si>
    <t xml:space="preserve">Department of Computer Science, Georgia State University, Atlanta, GA, 30302-5060, USA  jislam2@student gsu edu </t>
  </si>
  <si>
    <t>Islam, J; Zhang, Y</t>
  </si>
  <si>
    <t>101673751</t>
  </si>
  <si>
    <t>10 5120/ijais2018451755</t>
  </si>
  <si>
    <t xml:space="preserve">Real-Time Medical Video Denoising with Deep Learning: Application to Angiography </t>
  </si>
  <si>
    <t xml:space="preserve">This paper describes the design, training, and evaluation of a deep neural network for removing noise from medical fluoroscopy videos  The method described in this work, unlike the current standard techniques for video denoising, is able to deliver a result quickly enough to be used in real-time scenarios  Furthermore, this method is able to produce results of a similar quality to the existing industry-standard denoising techniques </t>
  </si>
  <si>
    <t>International journal of applied information systems</t>
  </si>
  <si>
    <t xml:space="preserve">Yale University, School of Medicine, Cedar St, New Haven, CT, USA </t>
  </si>
  <si>
    <t>Sadda, P; Qarni, T</t>
  </si>
  <si>
    <t>101727637</t>
  </si>
  <si>
    <t>10 1172/jci insight 120178</t>
  </si>
  <si>
    <t xml:space="preserve">Fully automated, real-time 3D ultrasound segmentation to estimate first trimester placental volume using deep learning </t>
  </si>
  <si>
    <t xml:space="preserve">We present a new technique to fully automate the segmentation of an organ from 3D ultrasound (3D-US) volumes, using the placenta as the target organ  Image analysis tools to estimate organ volume do exist but are too time consuming and operator dependant  Fully automating the segmentation process would potentially allow the use of placental volume to screen for increased risk of pregnancy complications  The placenta was segmented from 2,393 first trimester 3D-US volumes using a semiautomated technique  This was quality controlled by three operators to produce the "ground-truth" data set  A fully convolutional neural network (OxNNet) was trained using this ground-truth data set to automatically segment the placenta  OxNNet delivered state-of-the-art automatic segmentation  The effect of training set size on the performance of OxNNet demonstrated the need for large data sets  The clinical utility of placental volume was tested by looking at predictions of small-for-gestational-age babies at term  The receiver-operating characteristics curves demonstrated almost identical results between OxNNet and the ground-truth)  Our results demonstrated good similarity to the ground-truth and almost identical clinical results for the prediction of SGA </t>
  </si>
  <si>
    <t>JCI insight</t>
  </si>
  <si>
    <t xml:space="preserve">Nuffield Department of Women's and Reproductive Health, University of Oxford, Women's Centre, John Radcliffe Hospital, Oxford, United Kingdom </t>
  </si>
  <si>
    <t>Looney, P; Stevenson, GN; Nicolaides, KH; Plasencia, W; Molloholli, M; Natsis, S; Collins, SL</t>
  </si>
  <si>
    <t>101676073</t>
  </si>
  <si>
    <t>10 1007/s11517-018-1850-z</t>
  </si>
  <si>
    <t xml:space="preserve">Automatic recognition of 3D GGO CT imaging signs through the fusion of hybrid resampling and layer-wise fine-tuning CNNs </t>
  </si>
  <si>
    <t xml:space="preserve">Ground-glass opacity (GGO) is a common CT imaging sign on high-resolution CT, which means the lesion is more likely to be malignant compared to common solid lung nodules  The automatic recognition of GGO CT imaging signs is of great importance for early diagnosis and possible cure of lung cancers  The present GGO recognition methods employ traditional low-level features and system performance improves slowly  Considering the high-performance of CNN model in computer vision field, we proposed an automatic recognition method of 3D GGO CT imaging signs through the fusion of hybrid resampling and layer-wise fine-tuning CNN models in this paper  Our hybrid resampling is performed on multi-views and multi-receptive fields, which reduces the risk of missing small or large GGOs by adopting representative sampling panels and processing GGOs with multiple scales simultaneously  The layer-wise fine-tuning strategy has the ability to obtain the optimal fine-tuning model  Multi-CNN models fusion strategy obtains better performance than any single trained model  We evaluated our method on the GGO nodule samples in publicly available LIDC-IDRI dataset of chest CT scans  The experimental results show that our method yields excellent results with 96 64% sensitivity, 71 43% specificity, and 0 83 F1 score  Our method is a promising approach to apply deep learning method to computer-aided analysis of specific CT imaging signs with insufficient labeled images  Graphical abstract We proposed an automatic recognition method of 3D GGO CT imaging signs through the fusion of hybrid resampling and layer-wise fine-tuning CNN models in this paper  Our hybrid resampling reduces the risk of missing small or large GGOs by adopting representative sampling panels and processing GGOs with multiple scales simultaneously  The layer-wise fine-tuning strategy has ability to obtain the optimal fine-tuning model  Our method is a promising approach to apply deep learning method to computer-aided analysis of specific CT imaging signs with insufficient labeled images </t>
  </si>
  <si>
    <t xml:space="preserve">Beijing Lab of Intelligent Information, School of Computer Science, Beijing Institute of Technology, 5 South Zhongguancun Street, Haidian District, Beijing, 100081, China  hanguanghui@bit edu cn </t>
  </si>
  <si>
    <t>Han, G; Liu, X; Zheng, G; Wang, M; Huang, S</t>
  </si>
  <si>
    <t>10 1109/TMI 2018 2832217</t>
  </si>
  <si>
    <t xml:space="preserve">3-D Convolutional Encoder-Decoder Network for Low-Dose CT via Transfer Learning From a 2-D Trained Network </t>
  </si>
  <si>
    <t xml:space="preserve">Low-dose computed tomography (LDCT) has attracted major attention in the medical imaging field, since CT-associated X-ray radiation carries health risks for patients  The reduction of the CT radiation dose, however, compromises the signal-to-noise ratio, which affects image quality and diagnostic performance  Recently, deep-learning-based algorithms have achieved promising results in LDCT denoising, especially convolutional neural network (CNN) and generative adversarial network (GAN) architectures  This paper introduces a conveying path-based convolutional encoder-decoder (CPCE) network in 2-D and 3-D configurations within the GAN framework for LDCT denoising  A novel feature of this approach is that an initial 3-D CPCE denoising model can be directly obtained by extending a trained 2-D CNN, which is then fine-tuned to incorporate 3-D spatial information from adjacent slices  Based on the transfer learning from 2-D to 3-D, the 3-D network converges faster and achieves a better denoising performance when compared with a training from scratch  By comparing the CPCE network with recently published work based on the simulated Mayo data set and the real MGH data set, we demonstrate that the 3-D CPCE denoising model has a better performance in that it suppresses image noise and preserves subtle structures </t>
  </si>
  <si>
    <t xml:space="preserve">H  Shan, Q  Yang, U  Kruger, W  Cong and G  Wang∗ are with Department of Biomedical Engineering, Rensselaer Polytechnic Institute, Troy, NY, 12180 USA </t>
  </si>
  <si>
    <t>Shan, H; Zhang, Y; Yang, Q; Kruger, U; Kalra, MK; Sun, L; Cong, W; Wang, G</t>
  </si>
  <si>
    <t>10 1109/TMI 2018 2820120</t>
  </si>
  <si>
    <t xml:space="preserve">Compressed Sensing MRI Reconstruction Using a Generative Adversarial Network With a Cyclic Loss </t>
  </si>
  <si>
    <t xml:space="preserve">Compressed sensing magnetic resonance imaging (CS-MRI) has provided theoretical foundations upon which the time-consuming MRI acquisition process can be accelerated  However, it primarily relies on iterative numerical solvers, which still hinders their adaptation in time-critical applications  In addition, recent advances in deep neural networks have shown their potential in computer vision and image processing, but their adaptation to MRI reconstruction is still in an early stage  In this paper, we propose a novel deep learning-based generative adversarial model, RefineGAN, for fast and accurate CS-MRI reconstruction  The proposed model is a variant of fully-residual convolutional autoencoder and generative adversarial networks (GANs), specifically designed for CS-MRI formulation; it employs deeper generator and discriminator networks with cyclic data consistency loss for faithful interpolation in the given under-sampled -space data  In addition, our solution leverages a chained network to further enhance the reconstruction quality  RefineGAN is fast and accurate-the reconstruction process is extremely rapid, as low as tens of milliseconds for reconstruction of a image, because it is one-way deployment on a feed-forward network, and the image quality is superior even for extremely low sampling rate (as low as 10%) due to the data-driven nature of the method  We demonstrate that RefineGAN outperforms the state-of-the-art CS-MRI methods by a large margin in terms of both running time and image quality via evaluation using several open-source MRI databases </t>
  </si>
  <si>
    <t xml:space="preserve">The authors are with Ulsan Nat’l Inst  of Science and Technology (UNIST) </t>
  </si>
  <si>
    <t>Quan, TM; Nguyen-Duc, T; Jeong, WK</t>
  </si>
  <si>
    <t>10 1109/TMI 2018 2832613</t>
  </si>
  <si>
    <t xml:space="preserve">Penalized PET Reconstruction Using Deep Learning Prior and Local Linear Fitting </t>
  </si>
  <si>
    <t xml:space="preserve">Motivated by the great potential of deep learning in medical imaging, we propose an iterative positron emission tomography reconstruction framework using a deep learning-based prior  We utilized the denoising convolutional neural network (DnCNN) method and trained the network using full-dose images as the ground truth and low dose images reconstructed from downsampled data by Poisson thinning as input  Since most published deep networks are trained at a predetermined noise level, the noise level disparity of training and testing data is a major problem for their applicability as a generalized prior  In particular, the noise level significantly changes in each iteration, which can potentially degrade the overall performance of iterative reconstruction  Due to insufficient existing studies, we conducted simulations and evaluated the degradation of performance at various noise conditions  Our findings indicated that DnCNN produces additional bias induced by the disparity of noise levels  To address this issue, we propose a local linear fitting function incorporated with the DnCNN prior to improve the image quality by preventing unwanted bias  We demonstrate that the resultant method is robust against noise level disparities despite the network being trained at a predetermined noise level  By means of bias and standard deviation studies via both simulations and clinical experiments, we show that the proposed method outperforms conventional methods based on total variation and non-local means penalties  We thereby confirm that the proposed method improves the reconstruction result both quantitatively and qualitatively </t>
  </si>
  <si>
    <t xml:space="preserve">Kyungsang Kim (email: kkim24@mgh harvard edu), </t>
  </si>
  <si>
    <t>Kim, K; Wu, D; Gong, K; Dutta, J; Kim, JH; Son, YD; Kim, HK; El Fakhri, G; Li, Q</t>
  </si>
  <si>
    <t>10 1109/TMI 2018 2833499</t>
  </si>
  <si>
    <t xml:space="preserve">Deep Learning Computed Tomography: Learning Projection-Domain Weights From Image Domain in Limited Angle Problems </t>
  </si>
  <si>
    <t xml:space="preserve">In this paper, we present a new deep learning framework for 3-D tomographic reconstruction  To this end, we map filtered back-projection-type algorithms to neural networks  However, the back-projection cannot be implemented as a fully connected layer due to its memory requirements  To overcome this problem, we propose a new type of cone-beam back-projection layer, efficiently calculating the forward pass  We derive this layer's backward pass as a projection operation  Unlike most deep learning approaches for reconstruction, our new layer permits joint optimization of correction steps in volume and projection domain  Evaluation is performed numerically on a public data set in a limited angle setting showing a consistent improvement over analytical algorithms while keeping the same computational test-time complexity by design  In the region of interest, the peak signal-to-noise ratio has increased by 23%  In addition, we show that the learned algorithm can be interpreted using known concepts from cone beam reconstruction: the network is able to automatically learn strategies such as compensation weights and apodization windows </t>
  </si>
  <si>
    <t xml:space="preserve"> A  Esteva, B  Kuprel, R  A  Novoa, J  Ko, S  M  Swetter, H  M  Blau, and S  Thrun, “Dermatologist-level classiﬁcation of skin cancer with deep neural networks</t>
  </si>
  <si>
    <t>Wurfl, T; Hoffmann, M; Christlein, V; Breininger, K; Huang, Y; Unberath, M; Maier, AK</t>
  </si>
  <si>
    <t>10 1109/TMI 2018 2832656</t>
  </si>
  <si>
    <t xml:space="preserve">CNN-Based Projected Gradient Descent for Consistent CT Image Reconstruction </t>
  </si>
  <si>
    <t xml:space="preserve">We present a new image reconstruction method that replaces the projector in a projected gradient descent (PGD) with a convolutional neural network (CNN)  Recently, CNNs trained as image-to-image regressors have been successfully used to solve inverse problems in imaging  However, unlike existing iterative image reconstruction algorithms, these CNN-based approaches usually lack a feedback mechanism to enforce that the reconstructed image is consistent with the measurements  We propose a relaxed version of PGD wherein gradient descent enforces measurement consistency, while a CNN recursively projects the solution closer to the space of desired reconstruction images  We show that this algorithm is guaranteed to converge and, under certain conditions, converges to a local minimum of a non-convex inverse problem  Finally, we propose a simple scheme to train the CNN to act like a projector  Our experiments on sparse-view computed-tomography reconstruction show an improvement over total variation-based regularization, dictionary learning, and a state-of-the-art deep learning-based direct reconstruction technique </t>
  </si>
  <si>
    <t>H  Gupta (e-mail: harshit gupta cor@gmail com), K  H  Jin, and M  Unser are with the Biomedical Imaging Group (BIG)</t>
    <phoneticPr fontId="0" type="noConversion"/>
  </si>
  <si>
    <t>Gupta, H; Jin, KH; Nguyen, HQ; McCann, MT; Unser, M</t>
  </si>
  <si>
    <t>10 1109/TMI 2018 2823679</t>
  </si>
  <si>
    <t xml:space="preserve">Intelligent Parameter Tuning in Optimization-Based Iterative CT Reconstruction via Deep Reinforcement Learning </t>
  </si>
  <si>
    <t xml:space="preserve">A number of image-processing problems can be formulated as optimization problems  The objective function typically contains several terms specifically designed for different purposes  Parameters in front of these terms are used to control the relative importance among them  It is of critical importance to adjust these parameters, as quality of the solution depends on their values  Tuning parameters are a relatively straight forward task for a human, as one can intuitively determine the direction of parameter adjustment based on the solution quality  Yet manual parameter tuning is not only tedious in many cases, but also becomes impractical when a number of parameters exist in a problem  Aiming at solving this problem, this paper proposes an approach that employs deep reinforcement learning to train a system that can automatically adjust parameters in a human-like manner  We demonstrate our idea in an example problem of optimization-based iterative computed tomography (CT) reconstruction with a pixel-wise total-variation regularization term  We set up a parameter-tuning policy network (PTPN), which maps a CT image patch to an output that specifies the direction and amplitude by which the parameter at the patch center is adjusted  We train the PTPN via an end-to-end reinforcement learning procedure  We demonstrate that under the guidance of the trained PTPN, reconstructed CT images attain quality similar or better than those reconstructed with manually tuned parameters </t>
  </si>
  <si>
    <t xml:space="preserve">Chenyang Shen (Chenyang Shen@UTSouthwestern edu), Yesenia Gonzalez </t>
  </si>
  <si>
    <t>Shen, C; Gonzalez, Y; Chen, L; Jiang, SB; Jia, X</t>
  </si>
  <si>
    <t>10 1109/TMI 2018 2823768</t>
  </si>
  <si>
    <t xml:space="preserve">Framing U-Net via Deep Convolutional Framelets: Application to Sparse-View CT </t>
  </si>
  <si>
    <t xml:space="preserve">X-ray computed tomography (CT) using sparse projection views is a recent approach to reduce the radiation dose  However, due to the insufficient projection views, an analytic reconstruction approach using the filtered back projection (FBP) produces severe streaking artifacts  Recently, deep learning approaches using large receptive field neural networks such as U-Net have demonstrated impressive performance for sparse-view CT reconstruction  However, theoretical justification is still lacking  Inspired by the recent theory of deep convolutional framelets, the main goal of this paper is, therefore, to reveal the limitation of U-Net and propose new multi-resolution deep learning schemes  In particular, we show that the alternative U-Net variants such as dual frame and tight frame U-Nets satisfy the so-called frame condition which makes them better for effective recovery of high frequency edges in sparse-view CT  Using extensive experiments with real patient data set, we demonstrate that the new network architectures provide better reconstruction performance </t>
  </si>
  <si>
    <t xml:space="preserve">Framing U-Net via Deep Convolutional Framelets: Application to Sparse-view CT Yoseob Han and Jong Chul Ye∗, Senior Member, IEEE
Abstract—X-ray computed tomography (CT) using sparse projectionviewsisarecentapproachtoreducetheradiationdose  However, due to the insufﬁcient projection views, an analytic reconstruction approach using the ﬁltered back projection (FBP) produces severe streaking artifacts  Recently, deep learning approaches using large receptive ﬁeld neural networks such as U-Net have demonstrated impressive performance for sparseview CT reconstruction  However, theoretical justiﬁcation is still lacking  Inspired by the recent theory of deep convolutional framelets, the main goal of this paper is, therefore, to reveal the limitation of U-Net and propose new multi-resolution deep learning schemes  In particular, we show that the alternative UNet variants such as dual frame and the tight frame U-Nets satisfy the so-called frame condition which make them better for effective recovery of high frequency edges in sparse viewCT  Using extensive experiments with real patient data set, we demonstrate that the new network architectures provide better reconstruction performance  </t>
  </si>
  <si>
    <t>Han, Y; Ye, JC</t>
  </si>
  <si>
    <t>10 1109/TMI 2018 2823338</t>
  </si>
  <si>
    <t xml:space="preserve">A Sparse-View CT Reconstruction Method Based on Combination of DenseNet and Deconvolution </t>
  </si>
  <si>
    <t xml:space="preserve">Sparse-view computed tomography (CT) holds great promise for speeding up data acquisition and reducing radiation dose in CT scans  Recent advances in reconstruction algorithms for sparse-view CT, such as iterative reconstruction algorithms, obtained high-quality image while requiring advanced computing power  Lately, deep learning (DL) has been widely used in various applications and has obtained many remarkable outcomes  In this paper, we propose a new method for sparse-view CT reconstruction based on the DL approach  The method can be divided into two steps  First, filter backprojection (FBP) was used to reconstruct the CT image from sparsely sampled sinogram  Then, the FBP results were fed to a DL neural network, which is a DenseNet and deconvolution-based network (DD-Net)  The DD-Net combines the advantages of DenseNet and deconvolution and applies shortcut connections to concatenate DenseNet and deconvolution to accelerate the training speed of the network; all of those operations can greatly increase the depth of network while enhancing the expression ability of the network  After the training, the proposed DD-Net achieved a competitive performance relative to the state-of-the-art methods in terms of streaking artifacts removal and structure preservation  Compared with the other state-of-the-art reconstruction methods, the DD-Net method can increase the structure similarity by up to 18% and reduce the root mean square error by up to 42%  These results indicate that DD-Net has great potential for sparse-view CT image reconstruction </t>
  </si>
  <si>
    <t>multi-center</t>
    <phoneticPr fontId="0" type="noConversion"/>
  </si>
  <si>
    <t xml:space="preserve"> Zhicheng Zhang (e-mail: zc zhang@siat ac cn) is with Institute of Biomedical and Health Engineering, Shenzhen Institutes of Advanced Technology, Chinese Academy of Sciences, Shenzhen, Guangdong</t>
  </si>
  <si>
    <t>Zhang, Z; Liang, X; Dong, X; Xie, Y; Cao, G</t>
  </si>
  <si>
    <t>10 1109/TMI 2018 2820382</t>
  </si>
  <si>
    <t xml:space="preserve">Model-Based Learning for Accelerated, Limited-View 3-D Photoacoustic Tomography </t>
  </si>
  <si>
    <t xml:space="preserve">Recent advances in deep learning for tomographic reconstructions have shown great potential to create accurate and high quality images with a considerable speed up  In this paper, we present a deep neural network that is specifically designed to provide high resolution 3-D images from restricted photoacoustic measurements  The network is designed to represent an iterative scheme and incorporates gradient information of the data fit to compensate for limited view artifacts  Due to the high complexity of the photoacoustic forward operator, we separate training and computation of the gradient information  A suitable prior for the desired image structures is learned as part of the training  The resulting network is trained and tested on a set of segmented vessels from lung computed tomography scans and then applied to in-vivo photoacoustic measurement data </t>
  </si>
  <si>
    <t xml:space="preserve">Andreas Hauptmann, Felix Lucka, Marta Betcke, Sebastien Ourselin, and Simon Arridge are with the Department of Computer Science, University College London, London, United Kingdom </t>
    <phoneticPr fontId="0" type="noConversion"/>
  </si>
  <si>
    <t>Hauptmann, A; Lucka, F; Betcke, M; Huynh, N; Adler, J; Cox, B; Beard, P; Ourselin, S; Arridge, S</t>
  </si>
  <si>
    <t>10 1109/TMI 2018 2823083</t>
  </si>
  <si>
    <t xml:space="preserve">Convolutional Neural Network Based Metal Artifact Reduction in X-Ray Computed Tomography </t>
  </si>
  <si>
    <t xml:space="preserve">In the presence of metal implants, metal artifacts are introduced to x-ray computed tomography CT images  Although a large number of metal artifact reduction (MAR) methods have been proposed in the past decades, MAR is still one of the major problems in clinical x-ray CT  In this paper, we develop a convolutional neural network (CNN)-based open MAR framework, which fuses the information from the original and corrected images to suppress artifacts  The proposed approach consists of two phases  In the CNN training phase, we build a database consisting of metal-free, metal-inserted and pre-corrected CT images, and image patches are extracted and used for CNN training  In the MAR phase, the uncorrected and pre-corrected images are used as the input of the trained CNN to generate a CNN image with reduced artifacts  To further reduce the remaining artifacts, water equivalent tissues in a CNN image are set to a uniform value to yield a CNN prior, whose forward projections are used to replace the metal-affected projections, followed by the FBP reconstruction  The effectiveness of the proposed method is validated on both simulated and real data  Experimental results demonstrate the superior MAR capability of the proposed method to its competitors in terms of artifact suppression and preservation of anatomical structures in the vicinity of metal implants </t>
  </si>
  <si>
    <t xml:space="preserve">Y  Zhang and H  Y  Yu* are with the Department of Electrical and Computer Engineering, University of Massachusetts Lowell, Lowell, </t>
  </si>
  <si>
    <t>Zhang, Y; Yu, H</t>
  </si>
  <si>
    <t>10 1109/TMI 2018 2823756</t>
  </si>
  <si>
    <t xml:space="preserve">Deep Convolutional Framelet Denosing for Low-Dose CT via Wavelet Residual Network </t>
  </si>
  <si>
    <t xml:space="preserve">Model-based iterative reconstruction algorithms for low-dose X-ray computed tomography (CT) are computationally expensive  To address this problem, we recently proposed a deep convolutional neural network (CNN) for low-dose X-ray CT and won the second place in 2016 AAPM Low-Dose CT Grand Challenge  However, some of the textures were not fully recovered  To address this problem, here we propose a novel framelet-based denoising algorithm using wavelet residual network which synergistically combines the expressive power of deep learning and the performance guarantee from the framelet-based denoising algorithms  The new algorithms were inspired by the recent interpretation of the deep CNN as a cascaded convolution framelet signal representation  Extensive experimental results confirm that the proposed networks have significantly improved performance and preserve the detail texture of the original images </t>
    <phoneticPr fontId="0" type="noConversion"/>
  </si>
  <si>
    <t xml:space="preserve">EK,JYandJCYarewiththeDepartmentofBioandBrainEngineering,Korea Advanced Institute of Science and Technology (KAIST), Daejeon 34141, Republic of Korea </t>
    <phoneticPr fontId="0" type="noConversion"/>
  </si>
  <si>
    <t>Kang, E; Chang, W; Yoo, J; Ye, JC</t>
  </si>
  <si>
    <t>10 1109/TMI 2018 2827462</t>
  </si>
  <si>
    <t xml:space="preserve">Low-Dose CT Image Denoising Using a Generative Adversarial Network With Wasserstein Distance and Perceptual Loss </t>
  </si>
  <si>
    <t xml:space="preserve">The continuous development and extensive use of computed tomography (CT) in medical practice has raised a public concern over the associated radiation dose to the patient  Reducing the radiation dose may lead to increased noise and artifacts, which can adversely affect the radiologists' judgment and confidence  Hence, advanced image reconstruction from low-dose CT data is needed to improve the diagnostic performance, which is a challenging problem due to its ill-posed nature  Over the past years, various low-dose CT methods have produced impressive results  However, most of the algorithms developed for this application, including the recently popularized deep learning techniques, aim for minimizing the mean-squared error (MSE) between a denoised CT image and the ground truth under generic penalties  Although the peak signal-to-noise ratio is improved, MSE- or weighted-MSE-based methods can compromise the visibility of important structural details after aggressive denoising  This paper introduces a new CT image denoising method based on the generative adversarial network (GAN) with Wasserstein distance and perceptual similarity  The Wasserstein distance is a key concept of the optimal transport theory and promises to improve the performance of GAN  The perceptual loss suppresses noise by comparing the perceptual features of a denoised output against those of the ground truth in an established feature space, while the GAN focuses more on migrating the data noise distribution from strong to weak statistically  Therefore, our proposed method transfers our knowledge of visual perception to the image denoising task and is capable of not only reducing the image noise level but also trying to keep the critical information at the same time  Promising results have been obtained in our experiments with clinical CT images </t>
  </si>
  <si>
    <t xml:space="preserve">Q  Yang, P  Yan* and G  Wang are with Department of Biomedical Engineering, Rensselaer Polytechnic Institute, Troy, NY, 12180 (e-mail: yangq4@rpi edu, yanp2@rpi edu, wangg6@rpi edu) </t>
  </si>
  <si>
    <t>Yang, Q; Yan, P; Zhang, Y; Yu, H; Shi, Y; Mou, X; Kalra, MK; Zhang, Y; Sun, L; Wang, G</t>
  </si>
  <si>
    <t>10 1109/TMI 2018 2805692</t>
  </si>
  <si>
    <t xml:space="preserve">LEARN: Learned Experts' Assessment-Based Reconstruction Network for Sparse-Data CT </t>
  </si>
  <si>
    <t xml:space="preserve">Compressive sensing (CS) has proved effective for tomographic reconstruction from sparsely collected data or under-sampled measurements, which are practically important for few-view computed tomography (CT), tomosynthesis, interior tomography, and so on  To perform sparse-data CT, the iterative reconstruction commonly uses regularizers in the CS framework  Currently, how to choose the parameters adaptively for regularization is a major open problem  In this paper, inspired by the idea of machine learning especially deep learning, we unfold the state-of-the-art "fields of experts"-based iterative reconstruction scheme up to a number of iterations for data-driven training, construct a learned experts' assessment-based reconstruction network (LEARN) for sparse-data CT, and demonstrate the feasibility and merits of our LEARN network  The experimental results with our proposed LEARN network produces a superior performance with the well-known Mayo Clinic low-dose challenge data set relative to the several state-of-the-art methods, in terms of artifact reduction, feature preservation, and computational speed  This is consistent to our insight that because all the regularization terms and parameters used in the iterative reconstruction are now learned from the training data, our LEARN network utilizes application-oriented knowledge more effectively and recovers underlying images more favorably than competing algorithms  Also, the number of layers in the LEARN network is only 50, reducing the computational complexity of typical iterative algorithms by orders of magnitude </t>
  </si>
  <si>
    <t xml:space="preserve">H  Chen, Y  Zhang*, W  Zhang, and J  Zhou are with the College of Computer Science, Sichuan University, Chengdu 610065, China (e-mail: huchen@scu edu cn; yzhang@scu edu cn; zhangweihua@scu edu cn; zhoujl@scu edu cn)  </t>
  </si>
  <si>
    <t>Chen, H; Zhang, Y; Chen, Y; Zhang, J; Zhang, W; Sun, H; Lv, Y; Liao, P; Zhou, J; Wang, G</t>
  </si>
  <si>
    <t>10 1109/TMI 2018 2799231</t>
  </si>
  <si>
    <t xml:space="preserve">Learned Primal-Dual Reconstruction </t>
  </si>
  <si>
    <t xml:space="preserve">We propose the Learned Primal-Dual algorithm for tomographic reconstruction  The algorithm accounts for a (possibly non-linear) forward operator in a deep neural network by unrolling a proximal primal-dual optimization method, but where the proximal operators have been replaced with convolutional neural networks  The algorithm is trained end-to-end, working directly from raw measured data and it does not depend on any initial reconstruction such as filtered back-projection (FBP)  We compare performance of the proposed method on low dose computed tomography reconstruction against FBP, total variation (TV), and deep learning based post-processing of FBP  For the Shepp-Logan phantom we obtain &gt;6 dB peak signal to noise ratio improvement against all compared methods  For human phantoms the corresponding improvement is 6 6 dB over TV and 2 2 dB over learned post-processing along with a substantial improvement in the structural similarity index  Finally, our algorithm involves only ten forward-back-projection computations, making the method feasible for time critical clinical applications </t>
  </si>
  <si>
    <t xml:space="preserve"> H  Chen, Y  Zhang, M  K  Kalra, F  Lin, Y  Chen, P  Liao, J  Zhou, and G  Wang, “Low-Dose CT with a Residual Encoder-Decoder Convolutional Neural Network (RED-CNN),”</t>
  </si>
  <si>
    <t>Adler, J; Oktem, O</t>
  </si>
  <si>
    <t>10 1109/TMI 2017 2785879</t>
  </si>
  <si>
    <t xml:space="preserve">DAGAN: Deep De-Aliasing Generative Adversarial Networks for Fast Compressed Sensing MRI Reconstruction </t>
  </si>
  <si>
    <t xml:space="preserve">Compressed sensing magnetic resonance imaging (CS-MRI) enables fast acquisition, which is highly desirable for numerous clinical applications  This can not only reduce the scanning cost and ease patient burden, but also potentially reduce motion artefacts and the effect of contrast washout, thus yielding better image quality  Different from parallel imaging-based fast MRI, which utilizes multiple coils to simultaneously receive MR signals, CS-MRI breaks the Nyquist-Shannon sampling barrier to reconstruct MRI images with much less required raw data  This paper provides a deep learning-based strategy for reconstruction of CS-MRI, and bridges a substantial gap between conventional non-learning methods working only on data from a single image, and prior knowledge from large training data sets  In particular, a novel conditional Generative Adversarial Networks-based model (DAGAN)-based model is proposed to reconstruct CS-MRI  In our DAGAN architecture, we have designed a refinement learning method to stabilize our U-Net based generator, which provides an end-to-end network to reduce aliasing artefacts  To better preserve texture and edges in the reconstruction, we have coupled the adversarial loss with an innovative content loss  In addition, we incorporate frequency-domain information to enforce similarity in both the image and frequency domains  We have performed comprehensive comparison studies with both conventional CS-MRI reconstruction methods and newly investigated deep learning approaches  Compared with these methods, our DAGAN method provides superior reconstruction with preserved perceptual image details  Furthermore, each image is reconstructed in about 5 ms, which is suitable for real-time processing </t>
    <phoneticPr fontId="0" type="noConversion"/>
  </si>
  <si>
    <t xml:space="preserve">GAN,CNN,Unet </t>
  </si>
  <si>
    <t xml:space="preserve">G  Yang is with the National Heart &amp; Lung Institute, Imperial College London, </t>
  </si>
  <si>
    <t>Yang, G; Yu, S; Dong, H; Slabaugh, G; Dragotti, PL; Ye, X; Liu, F; Arridge, S; Keegan, J; Guo, Y; Firmin, D; Keegan, J; Slabaugh, G; Arridge, S; Ye, X; Guo, Y; Yu, S; Liu, F; Firmin, D; Dragotti, PL; Yang, G; Dong, H</t>
  </si>
  <si>
    <t>10 1097/RLI 0000000000000484</t>
  </si>
  <si>
    <t xml:space="preserve">Clinical Evaluation of a Multiparametric Deep Learning Model for Glioblastoma Segmentation Using Heterogeneous Magnetic Resonance Imaging Data From Clinical Routine </t>
  </si>
  <si>
    <t xml:space="preserve">The aims of this study were, first, to evaluate a deep learning-based, automatic glioblastoma (GB) tumor segmentation algorithm on clinical routine data from multiple centers and compare the results to a ground truth, manual expert segmentation, and second, to evaluate the quality of the segmentation results across heterogeneous acquisition protocols of routinely acquired clinical magnetic resonance imaging (MRI) examinations from multiple centers The data consisted of preoperative MRI scans (T1, T2, FLAIR, and contrast-enhanced [CE] T1) of 64 patients with an initial diagnosis of primary GB, which were acquired in 15 institutions with varying protocols  All images underwent preprocessing (coregistration, skull stripping, resampling to isotropic resolution, normalization) and were fed into an independently trained deep learning model based on DeepMedic, a multilayer, multiscale convolutional neural network for detection and segmentation of tumor compartments  Automatic segmentation results for the whole tumor, necrosis, and CE tumor were compared with manual segmentations Whole tumor and CE tumor compartments were correctly detected in 100% of the cases; necrosis was correctly detected in 91% of the cases  A high segmentation accuracy comparable to interrater variability was achieved for the whole tumor (mean dice similarity coefficient [DSC], 0 86 ± 0 09) and CE tumor (DSC, 0 78 ± 0 15)  The DSC for tumor necrosis was 0 62 ± 0 30  We have observed robust segmentation quality over heterogeneous image acquisition protocols, for example, there were no correlations between resolution and segmentation accuracy of the single tumor compartments  Furthermore, no relevant correlation was found between quality of automatic segmentation and volume of interest properties (surface-to-volume ratio and volume) The proposed approach for automatic segmentation of GB proved to be robust on routine clinical data and showed on all tumor compartments a high automatic detection rate and a high accuracy, comparable to interrater variability  Further work on improvements of the segmentation accuracy for the necrosis compartments should be guided by the evaluation of the clinical relevance Therefore, we propose this approach as a suitable building block for automatic tumor segmentation to support radiologists or neurosurgeons in the preoperative reading of GB MRI images and characterization of primary GB </t>
  </si>
  <si>
    <t xml:space="preserve">Clinical Applications Research, Philips Research, Aachen </t>
  </si>
  <si>
    <t>Perkuhn, M; Stavrinou, P; Thiele, F; Shakirin, G; Mohan, M; Garmpis, D; Kabbasch, C; Borggrefe, J</t>
  </si>
  <si>
    <t xml:space="preserve">Differential Data Augmentation Techniques for Medical Imaging Classification Tasks </t>
  </si>
  <si>
    <t xml:space="preserve">Data augmentation is an essential part of training discriminative Convolutional Neural Networks (CNNs)  A variety of augmentation strategies, including horizontal flips, random crops, and principal component analysis (PCA), have been proposed and shown to capture important characteristics of natural images  However, while data augmentation has been commonly used for deep learning in medical imaging, little work has been done to determine which augmentation strategies best capture medical image statistics, leading to more discriminative models  This work compares augmentation strategies and shows that the extent to which an augmented training set retains properties of the original medical images determines model performance  Specifically, augmentation strategies such as flips and gaussian filters lead to validation accuracies of 84% and 88%, respectively  On the other hand, a less effective strategy such as adding noise leads to a significantly worse validation accuracy of 66%  Finally, we show that the augmentation affects mass generation </t>
  </si>
  <si>
    <t>AMIA     Annual Symposium proceedings  AMIA Symposium</t>
  </si>
  <si>
    <t xml:space="preserve">Stanford University, Department of Computer Science, Stanford, CA </t>
  </si>
  <si>
    <t>Hussain, Z; Gimenez, F; Yi, D; Rubin, D</t>
  </si>
  <si>
    <t>101209213</t>
  </si>
  <si>
    <t xml:space="preserve">Classifying Acute Ischemic Stroke Onset Time using Deep Imaging Features </t>
  </si>
  <si>
    <t xml:space="preserve">Models have been developed to predict stroke outcomes (e g , mortality) in attempt to provide better guidance for stroke treatment  However, there is little work in developing classification models for the problem of unknown time-since-stroke (TSS), which determines a patient's treatment eligibility based on a clinical defined cutoff time point (i e , &lt;4 5hrs)  In this paper, we construct and compare machine learning methods to classify TSS&lt;4 5hrs using magnetic resonance (MR) imaging features  We also propose a deep learning model to extract hidden representations from the MR perfusion-weighted images and demonstrate classification improvement by incorporating these additional imaging features  Finally, we discuss a strategy to visualize the learned features from the proposed deep learning model  The cross-validation results show that our best classifier achieved an area under the curve of 0 68, which improves significantly over current clinical methods (0 58), demonstrating the potential benefit of using advanced machine learning methods in TSS classification </t>
  </si>
  <si>
    <t xml:space="preserve">Department of Bioengineering; University of California, Los Angeles, CA </t>
  </si>
  <si>
    <t>Ho, KC; Speier, W; El-Saden, S; Arnold, CW</t>
  </si>
  <si>
    <t>10 1007/s11548-018-1797-4</t>
  </si>
  <si>
    <t xml:space="preserve">TernaryNet: faster deep model inference without GPUs for medical 3D segmentation using sparse and binary convolutions </t>
  </si>
  <si>
    <t xml:space="preserve">Deep convolutional neural networks (DCNN) are currently ubiquitous in medical imaging  While their versatility and high-quality results for common image analysis tasks including segmentation, localisation and prediction is astonishing, the large representational power comes at the cost of highly demanding computational effort  This limits their practical applications for image-guided interventions and diagnostic (point-of-care) support using mobile devices without graphics processing units (GPU) We propose a new scheme that approximates both trainable weights and neural activations in deep networks by ternary values and tackles the open question of backpropagation when dealing with non-differentiable functions  Our solution enables the removal of the expensive floating-point matrix multiplications throughout any convolutional neural network and replaces them by energy- and time-preserving binary operators and population counts We evaluate our approach for the segmentation of the pancreas in CT  Here, our ternary approximation within a fully convolutional network leads to more than 90% memory reductions and high accuracy (without any post-processing) with a Dice overlap of 71 0% that comes close to the one obtained when using networks with high-precision weights and activations  We further provide a concept for sub-second inference without GPUs and demonstrate significant improvements in comparison with binary quantisation and without our proposed ternary hyperbolic tangent continuation We present a key enabling technique for highly efficient DCNN inference without GPUs that will help to bring the advances of deep learning to practical clinical applications  It has also great promise for improving accuracies in large-scale medical data retrieval </t>
  </si>
  <si>
    <t>CNN,Unet,VNet</t>
  </si>
  <si>
    <t xml:space="preserve">Institute of Medical Informatics, University of Lübeck, Ratzeburger Allee 160, 23562, Lübeck, Germany  heinrich@imi uni-luebeck de </t>
  </si>
  <si>
    <t>Heinrich, MP; Blendowski, M; Oktay, O</t>
  </si>
  <si>
    <t>10 1007/s11548-018-1794-7</t>
  </si>
  <si>
    <t xml:space="preserve">Evolutionary image simplification for lung nodule classification with convolutional neural networks </t>
  </si>
  <si>
    <t xml:space="preserve">Understanding decisions of deep learning techniques is important  Especially in the medical field, the reasons for a decision in a classification task are as crucial as the pure classification results  In this article, we propose a new approach to compute relevant parts of a medical image  Knowing the relevant parts makes it easier to understand decisions In our approach, a convolutional neural network is employed to learn structures of images of lung nodules  Then, an evolutionary algorithm is applied to compute a simplified version of an unknown image based on the learned structures by the convolutional neural network  In the simplified version, irrelevant parts are removed from the original image In the results, we show simplified images which allow the observer to focus on the relevant parts  In these images, more than 50% of the pixels are simplified  The simplified pixels do not change the meaning of the images based on the learned structures by the convolutional neural network  An experimental analysis shows the potential of the approach  Besides the examples of simplified images, we analyze the run time development Simplified images make it easier to focus on relevant parts and to find reasons for a decision  The combination of an evolutionary algorithm employing a learned convolutional neural network is well suited for the simplification task  From a research perspective, it is interesting which areas of the images are simplified and which parts are taken as relevant </t>
  </si>
  <si>
    <t xml:space="preserve">Computational Health Informatics, Leibniz University Hanover, Schloßwender Str  5, 30159, Hanover, Germany  lueckehe@chi uni-hannover de </t>
  </si>
  <si>
    <t>Lückehe, D; von Voigt, G</t>
  </si>
  <si>
    <t>10 1007/s11548-018-1776-9</t>
  </si>
  <si>
    <t xml:space="preserve">A deep learning framework for segmentation and pose estimation of pedicle screw implants based on C-arm fluoroscopy </t>
  </si>
  <si>
    <t xml:space="preserve">Pedicle screw fixation is a challenging procedure with a concerning rates of reoperation  After insertion of the screws is completed, the most common intraoperative verification approach is to acquire anterior-posterior and lateral radiographic images, based on which the surgeons try to visually assess the correctness of insertion  Given the limited accuracy of the existing verification techniques, we identified the need for an accurate and automated pedicle screw assessment system that can verify the screw insertion intraoperatively  For doing so, this paper offers a framework for automatic segmentation and pose estimation of pedicle screws based on deep learning principles Segmentation of pedicle screw X-ray projections was performed by a convolutional neural network  The network could isolate the input X-rays into three classes: screw head, screw shaft and background  Once all the screw shafts were segmented, knowledge about the spatial configuration of the acquired biplanar X-rays was used to identify the correspondence between the projections  Pose estimation was then performed to estimate the 6 degree-of-freedom pose of each screw  The performance of the proposed pose estimation method was tested on a porcine specimen The developed machine learning framework was capable of segmenting the screw shafts with 93% and 83% accuracy when tested on synthetic X-rays and on clinically realistic X-rays, respectively  The pose estimation accuracy of this method was shown to be [Formula: see text] and [Formula: see text] on clinically realistic X-rays The proposed system offers an accurate and fully automatic pedicle screw segmentation and pose assessment framework  Such a system can help to provide an intraoperative pedicle screw insertion assessment protocol with minimal interference with the existing surgical routines </t>
  </si>
  <si>
    <t xml:space="preserve">Biomedical Engineering, Surgical Technologies Lab, Robert H N  Ho Research Centre, University of British Columbia, 6th Floor, 2635 Laurel St, Vancouver, BC, V5Z 1M9, Canada  hooman esfandiari@ubc ca </t>
  </si>
  <si>
    <t>Esfandiari, H; Newell, R; Anglin, C; Street, J; Hodgson, AJ</t>
  </si>
  <si>
    <t>10 1177/1533034618775530</t>
  </si>
  <si>
    <t xml:space="preserve">Deep Learning Role in Early Diagnosis of Prostate Cancer </t>
  </si>
  <si>
    <t xml:space="preserve">The objective of this work is to develop a computer-aided diagnostic system for early diagnosis of prostate cancer  The presented system integrates both clinical biomarkers (prostate-specific antigen) and extracted features from diffusion-weighted magnetic resonance imaging collected at multiple b values  The presented system performs 3 major processing steps  First, prostate delineation using a hybrid approach that combines a level-set model with nonnegative matrix factorization  Second, estimation and normalization of diffusion parameters, which are the apparent diffusion coefficients of the delineated prostate volumes at different b values followed by refinement of those apparent diffusion coefficients using a generalized Gaussian Markov random field model  Then, construction of the cumulative distribution functions of the processed apparent diffusion coefficients at multiple b values  In parallel, a K-nearest neighbor classifier is employed to transform the prostate-specific antigen results into diagnostic probabilities  Finally, those prostate-specific antigen-based probabilities are integrated with the initial diagnostic probabilities obtained using stacked nonnegativity constraint sparse autoencoders that employ apparent diffusion coefficient-cumulative distribution functions for better diagnostic accuracy  Experiments conducted on 18 diffusion-weighted magnetic resonance imaging data sets achieved 94 4% diagnosis accuracy (sensitivity = 88 9% and specificity = 100%), which indicate the promising results of the presented computer-aided diagnostic system </t>
  </si>
  <si>
    <t>Egypt</t>
  </si>
  <si>
    <t xml:space="preserve">1 Faculty of Computers and Information, Mansoura University, Mansoura, Egypt </t>
  </si>
  <si>
    <t>Reda, I; Khalil, A; Elmogy, M; Abou El-Fetouh, A; Shalaby, A; Abou El-Ghar, M; Elmaghraby, A; Ghazal, M; El-Baz, A</t>
  </si>
  <si>
    <t>10 1001/jamaophthalmol 2018 1934</t>
  </si>
  <si>
    <t xml:space="preserve">Automated Diagnosis of Plus Disease in Retinopathy of Prematurity Using Deep Convolutional Neural Networks </t>
  </si>
  <si>
    <t xml:space="preserve">Retinopathy of prematurity (ROP) is a leading cause of childhood blindness worldwide  The decision to treat is primarily based on the presence of plus disease, defined as dilation and tortuosity of retinal vessels  However, clinical diagnosis of plus disease is highly subjective and variable To implement and validate an algorithm based on deep learning to automatically diagnose plus disease from retinal photographs A deep convolutional neural network was trained using a data set of 5511 retinal photographs  Each image was previously assigned a reference standard diagnosis (RSD) based on consensus of image grading by 3 experts and clinical diagnosis by 1 expert (ie, normal, pre-plus disease, or plus disease)  The algorithm was evaluated by 5-fold cross-validation and tested on an independent set of 100 images  Images were collected from 8 academic institutions participating in the Imaging and Informatics in ROP (i-ROP) cohort study  The deep learning algorithm was tested against 8 ROP experts, each of whom had more than 10 years of clinical experience and more than 5 peer-reviewed publications about ROP  Data were collected from July 2011 to December 2016  Data were analyzed from December 2016 to September 2017 A deep learning algorithm trained on retinal photographs Receiver operating characteristic analysis was performed to evaluate performance of the algorithm against the RSD  Quadratic-weighted κ coefficients were calculated for ternary classification (ie, normal, pre-plus disease, and plus disease) to measure agreement with the RSD and 8 independent experts Of the 5511 included retinal photographs, 4535 (82 3%) were graded as normal, 805 (14 6%) as pre-plus disease, and 172 (3 1%) as plus disease, based on the RSD  Mean (SD) area under the receiver operating characteristic curve statistics were 0 94 (0 01) for the diagnosis of normal (vs pre-plus disease or plus disease) and 0 98 (0 01) for the diagnosis of plus disease (vs normal or pre-plus disease)  For diagnosis of plus disease in an independent test set of 100 retinal images, the algorithm achieved a sensitivity of 93% with 94% specificity  For detection of pre-plus disease or worse, the sensitivity and specificity were 100% and 94%, respectively  On the same test set, the algorithm achieved a quadratic-weighted κ coefficient of 0 92 compared with the RSD, outperforming 6 of 8 ROP experts This fully automated algorithm diagnosed plus disease in ROP with comparable or better accuracy than human experts  This has potential applications in disease detection, monitoring, and prognosis in infants at risk of ROP </t>
  </si>
  <si>
    <t>JAMA ophthalmology</t>
  </si>
  <si>
    <t xml:space="preserve">Athinoula A  Martinos Center for Biomedical Imaging, Department of Radiology, Massachusetts General Hospital, Charlestown </t>
  </si>
  <si>
    <t xml:space="preserve">Brown, JM; Campbell, JP; Beers, A; Chang, K; Ostmo, S; Chan, RVP; Dy, J; Erdogmus, D; Ioannidis, S; Kalpathy-Cramer, J; Chiang, MF; , </t>
  </si>
  <si>
    <t>101589539</t>
  </si>
  <si>
    <t>10 22608/APO 201863</t>
  </si>
  <si>
    <r>
      <rPr>
        <sz val="10"/>
        <color indexed="10"/>
        <rFont val="Arial"/>
        <family val="2"/>
      </rPr>
      <t>Plus Disease</t>
    </r>
    <r>
      <rPr>
        <sz val="10"/>
        <rFont val="Arial"/>
        <family val="2"/>
      </rPr>
      <t xml:space="preserve"> in Retinopathy of Prematurity: More Than Meets the ICROP?</t>
    </r>
  </si>
  <si>
    <t xml:space="preserve">Retinopathy of prematurity (ROP), a vasoproliferative retinal disease affecting premature infants, is a leading cause of childhood blindness throughout the world  Plus disease, defined as venous dilatation and arteriolar tortuosity within the posterior retinal vessels greater than or equal to that of a standard published photograph, is the most critical finding in identifying treatment-requiring ROP  Despite an internationally accepted definition of plus disease, there is significant variability in diagnostic process and outcome, producing variable levels of reported intra- and interexpert agreement  Several potential explanations for poor agreement have been proposed, including attention to undefined vascular features such as venous tortuosity, focus on narrower or wider field of view, unfamiliarity with digital images, the magnification and apparent severity of the standard photograph, and cut-off point differences among experts as to the level of tortuosity and dilation sufficient for "plus disease" along a continuum  Moreover, differences in diagnostic consistency among groups of experts separated both geographically and chronologically have been reported  These findings have implications for clinical care, research, and education, and highlight the need for a more precise definition of plus disease and objective diagnostic methods for ROP </t>
  </si>
  <si>
    <t xml:space="preserve">Department of Ophthalmology, Casey Eye Institute, Oregon Health &amp; Science University, Portland, Oregon </t>
  </si>
  <si>
    <t>Ghergherehchi, L; Kim, SJ; Campbell, JP; Ostmo, S; Chan, RVP; Chiang, MF</t>
  </si>
  <si>
    <t>10 1371/journal pone 0197992</t>
  </si>
  <si>
    <t xml:space="preserve">Concussion classification via deep learning using whole-brain white matter fiber strains </t>
  </si>
  <si>
    <t xml:space="preserve">Developing an accurate and reliable injury predictor is central to the biomechanical studies of traumatic brain injury  State-of-the-art efforts continue to rely on empirical, scalar metrics based on kinematics or model-estimated tissue responses explicitly pre-defined in a specific brain region of interest  They could suffer from loss of information  A single training dataset has also been used to evaluate performance but without cross-validation  In this study, we developed a deep learning approach for concussion classification using implicit features of the entire voxel-wise white matter fiber strains  Using reconstructed American National Football League (NFL) injury cases, leave-one-out cross-validation was employed to objectively compare injury prediction performances against two baseline machine learning classifiers (support vector machine (SVM) and random forest (RF)) and four scalar metrics via univariate logistic regression (Brain Injury Criterion (BrIC), cumulative strain damage measure of the whole brain (CSDM-WB) and the corpus callosum (CSDM-CC), and peak fiber strain in the CC)  Feature-based machine learning classifiers including deep learning, SVM, and RF consistently outperformed all scalar injury metrics across all performance categories (e g , leave-one-out accuracy of 0 828-0 862 vs  0 690-0 776, and  632+ error of 0 148-0 176 vs  0 207-0 292)  Further, deep learning achieved the best cross-validation accuracy, sensitivity, AUC, and  632+ error  These findings demonstrate the superior performances of deep learning in concussion prediction and suggest its promise for future applications in biomechanical investigations of traumatic brain injury </t>
  </si>
  <si>
    <t xml:space="preserve">Department of Biomedical Engineering, Worcester Polytechnic Institute, Worcester, MA, United States of America </t>
  </si>
  <si>
    <t>Cai, Y; Wu, S; Zhao, W; Li, Z; Wu, Z; Ji, S</t>
  </si>
  <si>
    <t>10 1016/j compbiomed 2018 05 015</t>
  </si>
  <si>
    <t xml:space="preserve">Segmentation of histological images and fibrosis identification with a convolutional neural network </t>
  </si>
  <si>
    <t xml:space="preserve">Segmentation of histological images is one of the most crucial tasks for many biomedical analyses involving quantification of certain tissue types, such as fibrosis via Masson's trichrome staining  However, challenges are posed by the high variability and complexity of structural features in such images, in addition to imaging artifacts  Further, the conventional approach of manual thresholding is labor-intensive, and highly sensitive to inter- and intra-image intensity variations  An accurate and robust automated segmentation method is of high interest  We propose and evaluate an elegant convolutional neural network (CNN) designed for segmentation of histological images, particularly those with Masson's trichrome stain  The network comprises 11 successive convolutional - rectified linear unit - batch normalization layers  It outperformed state-of-the-art CNNs on a dataset of cardiac histological images (labeling fibrosis, myocytes, and background) with a Dice similarity coefficient of 0 947  With 100 times fewer (only 300,000) trainable parameters than the state-of-the-art, our CNN is less susceptible to overfitting, and is efficient  Additionally, it retains image resolution from input to output, captures fine-grained details, and can be trained end-to-end smoothly  To the best of our knowledge, this is the first deep CNN tailored to the problem of concern, and may potentially be extended to solve similar segmentation tasks to facilitate investigations into pathology and clinical treatment </t>
  </si>
  <si>
    <t xml:space="preserve">CNN,FCN,Unet </t>
  </si>
  <si>
    <t>NewZealand</t>
  </si>
  <si>
    <t xml:space="preserve">Auckland Bioengineering Institute, The University of Auckland, Auckland, 1142, New Zealand  Electronic address: xfu697@aucklanduni ac nz </t>
  </si>
  <si>
    <t>Fu, X; Liu, T; Xiong, Z; Smaill, BH; Stiles, MK; Zhao, J</t>
  </si>
  <si>
    <t>10 1016/j neuroimage 2018 05 049</t>
  </si>
  <si>
    <t xml:space="preserve">A computational framework for the detection of subcortical brain dysmaturation in neonatal MRI using 3D Convolutional Neural Networks </t>
  </si>
  <si>
    <t xml:space="preserve">Deep neural networks are increasingly being used in both supervised learning for classification tasks and unsupervised learning to derive complex patterns from the input data  However, the successful implementation of deep neural networks using neuroimaging datasets requires adequate sample size for training and well-defined signal intensity based structural differentiation  There is a lack of effective automated diagnostic tools for the reliable detection of brain dysmaturation in the neonatal period, related to small sample size and complex undifferentiated brain structures, despite both translational research and clinical importance  Volumetric information alone is insufficient for diagnosis  In this study, we developed a computational framework for the automated classification of brain dysmaturation from neonatal MRI, by combining a specific deep neural network implementation with neonatal structural brain segmentation as a method for both clinical pattern recognition and data-driven inference into the underlying structural morphology  We implemented three-dimensional convolution neural networks (3D-CNNs) to specifically classify dysplastic cerebelli, a subset of surface-based subcortical brain dysmaturation, in term infants born with congenital heart disease  We obtained a 0 985 ± 0  0241-classification accuracy of subtle cerebellar dysplasia in CHD using 10-fold cross-validation  Furthermore, the hidden layer activations and class activation maps depicted regional vulnerability of the superior surface of the cerebellum, (composed of mostly the posterior lobe and the midline vermis), in regards to differentiating the dysplastic process from normal tissue  The posterior lobe and the midline vermis provide regional differentiation that is relevant to not only to the clinical diagnosis of cerebellar dysplasia, but also genetic mechanisms and neurodevelopmental outcome correlates  These findings not only contribute to the detection and classification of a subset of neonatal brain dysmaturation, but also provide insight to the pathogenesis of cerebellar dysplasia in CHD  In addition, this is one of the first examples of the application of deep learning to a neuroimaging dataset, in which the hidden layer activation revealed diagnostically and biologically relevant features about the clinical pathogenesis  The code developed for this project is open source, published under the BSD License, and designed to be generalizable to applications both within and beyond neonatal brain imaging </t>
  </si>
  <si>
    <t xml:space="preserve">Department of Biomedical Informatics, University of Pittsburgh School of Medicine, Pittsburgh, PA, USA; Department of Radiology, Children's Hospital of Pittsburgh of UPMC, Pittsburgh, PA, USA  Electronic address: Rafael Ceschin@pitt edu </t>
  </si>
  <si>
    <t>Ceschin, R; Zahner, A; Reynolds, W; Gaesser, J; Zuccoli, G; Lo, CW; Gopalakrishnan, V; Panigrahy, A</t>
  </si>
  <si>
    <t>10 1186/s12938-018-0496-2</t>
  </si>
  <si>
    <t xml:space="preserve">Automated chest screening based on a hybrid model of transfer learning and convolutional sparse denoising autoencoder </t>
  </si>
  <si>
    <t xml:space="preserve">In this paper, we aim to investigate the effect of computer-aided triage system, which is implemented for the health checkup of lung lesions involving tens of thousands of chest X-rays (CXRs) that are required for diagnosis  Therefore, high accuracy of diagnosis by an automated system can reduce the radiologist's workload on scrutinizing the medical images We present a deep learning model in order to efficiently detect abnormal levels or identify normal levels during mass chest screening so as to obtain the probability confidence of the CXRs  Moreover, a convolutional sparse denoising autoencoder is designed to compute the reconstruction error  We employ four publicly available radiology datasets pertaining to CXRs, analyze their reports, and utilize their images for mining the correct disease level of the CXRs that are to be submitted to a computer aided triaging system  Based on our approach, we vote for the final decision from multi-classifiers to determine which three levels of the images (i e  normal, abnormal, and uncertain cases) that the CXRs fall into We only deal with the grade diagnosis for physical examination and propose multiple new metric indices  Combining predictors for classification by using the area under a receiver operating characteristic curve, we observe that the final decision is related to the threshold from reconstruction error and the probability value  Our method achieves promising results in terms of precision of 98 7 and 94 3% based on the normal and abnormal cases, respectively The results achieved by the proposed framework show superiority in classifying the disease level with high accuracy  This can potentially save the radiologists time and effort, so as to allow them to focus on higher-level risk CXRs </t>
  </si>
  <si>
    <t xml:space="preserve">Shenzhen Institutes of Advanced Technology, Chinese Academy of Sciences, 1068 Xueyuan Boulevard, Shenzhen, 518055, China </t>
  </si>
  <si>
    <t>Wang, C; Elazab, A; Jia, F; Wu, J; Hu, Q</t>
  </si>
  <si>
    <t>10 1088/1361-6560/aac71a</t>
  </si>
  <si>
    <t xml:space="preserve">Deep learning for undersampled MRI reconstruction </t>
  </si>
  <si>
    <t xml:space="preserve">This paper presents a deep learning method for faster magnetic resonance imaging (MRI) by reducing k-space data with sub-Nyquist sampling strategies and provides a rationale for why the proposed approach works well  Uniform subsampling is used in the time-consuming phase-encoding direction to capture high-resolution image information, while permitting the image-folding problem dictated by the Poisson summation formula  To deal with the localization uncertainty due to image folding, a small number of low-frequency k-space data are added  Training the deep learning net involves input and output images that are pairs of the Fourier transforms of the subsampled and fully sampled k-space data  Our experiments show the remarkable performance of the proposed method; only 29[Formula: see text] of the k-space data can generate images of high quality as effectively as standard MRI reconstruction with the fully sampled data </t>
  </si>
  <si>
    <t xml:space="preserve">Department of Computational Science and Engineering, Yonsei University, Seoul, Republic of Korea </t>
  </si>
  <si>
    <t>Hyun, CM; Kim, HP; Lee, SM; Lee, S; Seo, JK</t>
  </si>
  <si>
    <t>10 1016/j neuroimage 2018 05 042</t>
  </si>
  <si>
    <t xml:space="preserve">Generalized Recurrent Neural Network accommodating Dynamic Causal Modeling for functional MRI analysis </t>
  </si>
  <si>
    <t xml:space="preserve">Dynamic Causal Modeling (DCM) is an advanced biophysical model which explicitly describes the entire process from experimental stimuli to functional magnetic resonance imaging (fMRI) signals via neural activity and cerebral hemodynamics  To conduct a DCM study, one needs to represent the experimental stimuli as a compact vector-valued function of time, which is hard in complex tasks such as book reading and natural movie watching  Deep learning provides the state-of-the-art signal representation solution, encoding complex signals into compact dense vectors while preserving the essence of the original signals  There is growing interest in using Recurrent Neural Networks (RNNs), a major family of deep learning techniques, in fMRI modeling  However, the generic RNNs used in existing studies work as black boxes, making the interpretation of results in a neuroscience context difficult and obscure  In this paper, we propose a new biophysically interpretable RNN built on DCM, DCM-RNN  We generalize the vanilla RNN and show that DCM can be cast faithfully as a special form of the generalized RNN  DCM-RNN uses back propagation for parameter estimation  We believe DCM-RNN is a promising tool for neuroscience  It can fit seamlessly into classical DCM studies  We demonstrate face validity of DCM-RNN in two principal applications of DCM: causal brain architecture hypotheses testing and effective connectivity estimation  We also demonstrate construct validity of DCM-RNN in an attention-visual experiment  Moreover, DCM-RNN enables end-to-end training of DCM and representation learning deep neural networks, extending DCM studies to complex tasks </t>
  </si>
  <si>
    <t>RNN</t>
  </si>
  <si>
    <t xml:space="preserve">NYU WIRELESS, Tandon School of Engineering, New York University, 6 MetroTech Center, Brooklyn, NY 11201, USA  Electronic address: yw1225@nyu edu </t>
  </si>
  <si>
    <t>10 1097/IJG 0000000000000988</t>
  </si>
  <si>
    <t xml:space="preserve">Deep-learning Classifier With an Ultrawide-field Scanning Laser Ophthalmoscope Detects Glaucoma Visual Field Severity </t>
  </si>
  <si>
    <t xml:space="preserve">To evaluate the accuracy of detecting glaucoma visual field defect severity using deep-learning (DL) classifier with an ultrawide-field scanning laser ophthalmoscope One eye of 982 open-angle glaucoma (OAG) patients and 417 healthy eyes were enrolled  We categorized glaucoma patients into 3 groups according to the glaucoma visual field damage (Humphrey Field Analyzer 24-2 program) [early; -6 dB (mean deviation) or better, moderate; between -6 and -12 dB, and severe as mean deviation of -12 dB or worse]  In total, 558 images (446 for training and 112 for grading) from early OAG patients, 203 images (162 for training and 41 for grading) from moderate OAG patients, 221 images (176 for training and 45 for grading) from severe OAG patients and 417 images (333 for training and 84 for grading) from normal subjects were analyzed using DL  The area under the receiver operating characteristic curve (AUC) was used to evaluate the accuracy after 100 trials The mean AUC between normal versus all glaucoma patients was 0 872, the sensitivity was 81 3% and the specificity was 80 2%  In normal versus early OAG, mean AUC was 0 830, the sensitivity was 83 8% and the specificity was 75 3%  In normal versus moderate OAG, mean AUC was 0 864, sensitivity was 77 5%, and specificity was 90 2%  In normal versus severe OAG glaucoma mean AUC was 0 934, sensitivity was 90 9%, and specificity was 95 8% Despite using an ultrawide-field scanning laser ophthalmoscope, DL can detect glaucoma characteristics and glaucoma visual field defect severity with high reliability </t>
  </si>
  <si>
    <t>Journal of glaucoma</t>
  </si>
  <si>
    <t xml:space="preserve">Department of Ophthalmology, Saneikai Tsukazaki Hospital, Himeji </t>
  </si>
  <si>
    <t>Masumoto, H; Tabuchi, H; Nakakura, S; Ishitobi, N; Miki, M; Enno, H</t>
  </si>
  <si>
    <t>9300903</t>
  </si>
  <si>
    <t>10 1007/s11548-018-1779-6</t>
  </si>
  <si>
    <t xml:space="preserve">Intraoperative stent segmentation in X-ray fluoroscopy for endovascular aortic repair </t>
  </si>
  <si>
    <t xml:space="preserve">Fusion of preoperative data with intraoperative X-ray images has proven the potential to reduce radiation exposure and contrast agent, especially for complex endovascular aortic repair (EVAR)  Due to patient movement and introduced devices that deform the vasculature, the fusion can become inaccurate  This is usually detected by comparing the preoperative information with the contrasted vessel  To avoid repeated use of iodine, comparison with an implanted stent can be used to adjust the fusion  However, detecting the stent automatically without the use of contrast is challenging as only thin stent wires are visible We propose a fast, learning-based method to segment aortic stents in single uncontrasted X-ray images  To this end, we employ a fully convolutional network with residual units  Additionally, we investigate whether incorporation of prior knowledge improves the segmentation We use 36 X-ray images acquired during EVAR for training and evaluate the segmentation on 27 additional images  We achieve a Dice coefficient of 0 933 (AUC 0 996) when using X-ray alone, and 0 918 (AUC 0 993) and 0 888 (AUC 0 99) when adding the preoperative model, and information about the expected wire width, respectively The proposed method is fully automatic, fast and segments aortic stent grafts in fluoroscopic images with high accuracy  The quality and performance of the segmentation will allow for an intraoperative comparison with the preoperative information to assess the accuracy of the fusion </t>
  </si>
  <si>
    <t xml:space="preserve">Pattern Recognition Lab, Friedrich-Alexander-Universität Erlangen-Nürnberg, Erlangen, Germany  katharina breininger@fau de </t>
  </si>
  <si>
    <t>Breininger, K; Albarqouni, S; Kurzendorfer, T; Pfister, M; Kowarschik, M; Maier, A</t>
  </si>
  <si>
    <t>10 1016/j compbiomed 2018 05 014</t>
  </si>
  <si>
    <t xml:space="preserve">Deep learning strategy for accurate carotid intima-media thickness measurement: An ultrasound study on Japanese diabetic cohort </t>
  </si>
  <si>
    <t xml:space="preserve">The carotid intima-media thickness (cIMT) is an important biomarker for cardiovascular diseases and stroke monitoring  This study presents an intelligence-based, novel, robust, and clinically-strong strategy that uses a combination of deep-learning (DL) and machine-learning (ML) paradigms A two-stage DL-based system (a class of AtheroEdge™ systems) was proposed for cIMT measurements  Stage I consisted of a convolution layer-based encoder for feature extraction and a fully convolutional network-based decoder for image segmentation  This stage generated the raw inner lumen borders and raw outer interadventitial borders  To smooth these borders, the DL system used a cascaded stage II that consisted of ML-based regression  The final outputs were the far wall lumen-intima (LI) and media-adventitia (MA) borders which were used for cIMT measurements  There were two sets of gold standards during the DL design, therefore two sets of DL systems (DL1 and DL2) were derived A total of 396 B-mode ultrasound images of the right and left common carotid artery were used from 203 patients (Institutional Review Board approved, Toho University, Japan)  For the test set, the cIMT error for the DL1 and DL2 systems with respect to the gold standard was 0 126 ± 0 134 and 0 124 ± 0 100 mm, respectively  The corresponding LI error for the DL1 and DL2 systems was 0 077 ± 0 057 and 0 077 ± 0 049 mm, respectively, while the corresponding MA error for DL1 and DL2 was 0 113 ± 0 105 and 0 109 ± 0 088 mm, respectively  The results showed up to 20% improvement in cIMT readings for the DL system compared to the sonographer's readings  Four statistical tests were conducted to evaluate reliability, stability, and statistical significance The results showed that the performance of the DL-based approach was superior to the nonintelligence-based conventional methods that use spatial intensities alone  The DL system can be used for stroke risk assessment during routine or clinical trial modes </t>
  </si>
  <si>
    <t xml:space="preserve">National Institute of Technology Goa, India </t>
  </si>
  <si>
    <t>Biswas, M; Kuppili, V; Araki, T; Edla, DR; Godia, EC; Saba, L; Suri, HS; Omerzu, T; Laird, JR; Khanna, NN; Nicolaides, A; Suri, JS</t>
  </si>
  <si>
    <t>10 1016/j neuroimage 2018 05 037</t>
  </si>
  <si>
    <t xml:space="preserve">The temporal evolution of conceptual object representations revealed through models of behavior, semantics and deep neural networks </t>
  </si>
  <si>
    <t xml:space="preserve">Visual object representations are commonly thought to emerge rapidly, yet it has remained unclear to what extent early brain responses reflect purely low-level visual features of these objects and how strongly those features contribute to later categorical or conceptual representations  Here, we aimed to estimate a lower temporal bound for the emergence of conceptual representations by defining two criteria that characterize such representations: 1) conceptual object representations should generalize across different exemplars of the same object, and 2) these representations should reflect high-level behavioral judgments  To test these criteria, we compared magnetoencephalography (MEG) recordings between two groups of participants (n = 16 per group) exposed to different exemplar images of the same object concepts  Further, we disentangled low-level from high-level MEG responses by estimating the unique and shared contribution of models of behavioral judgments, semantics, and different layers of deep neural networks of visual object processing  We find that 1) both generalization across exemplars as well as generalization of object-related signals across time increase after 150 ms, peaking around 230 ms; 2) representations specific to behavioral judgments emerged rapidly, peaking around 160 ms  Collectively, these results suggest a lower bound for the emergence of conceptual object representations around 150 ms following stimulus onset </t>
  </si>
  <si>
    <t>DNN,CNN,VGG</t>
  </si>
  <si>
    <t xml:space="preserve">Section on Learning and Plasticity, Laboratory of Brain and Cognition, National Institute of Mental Health, National Institutes of Health, Bethesda, MD 20892, USA  Electronic address: bbb17@pitt edu </t>
  </si>
  <si>
    <t>Bankson, BB; Hebart, MN; Groen, IIA; Baker, CI</t>
  </si>
  <si>
    <t>10 1016/j compmedimag 2018 04 005</t>
  </si>
  <si>
    <t xml:space="preserve">Retinal blood vessel segmentation using fully convolutional network with transfer learning </t>
  </si>
  <si>
    <t xml:space="preserve">Since the retinal blood vessel has been acknowledged as an indispensable element in both ophthalmological and cardiovascular disease diagnosis, the accurate segmentation of the retinal vessel tree has become the prerequisite step for automated or computer-aided diagnosis systems  In this paper, a supervised method is presented based on a pre-trained fully convolutional network through transfer learning  This proposed method has simplified the typical retinal vessel segmentation problem from full-size image segmentation to regional vessel element recognition and result merging  Meanwhile, additional unsupervised image post-processing techniques are applied to this proposed method so as to refine the final result  Extensive experiments have been conducted on DRIVE, STARE, CHASE_DB1 and HRF databases, and the accuracy of the cross-database test on these four databases is state-of-the-art, which also presents the high robustness of the proposed approach  This successful result has not only contributed to the area of automated retinal blood vessel segmentation but also supports the effectiveness of transfer learning when applying deep learning technique to medical imaging </t>
  </si>
  <si>
    <t xml:space="preserve">University of Saskatchewan, Department of Electrical and Computer Engineering, 57 Campus Drive, Saskatoon, Canada S7N 5A9 </t>
  </si>
  <si>
    <t>Jiang, Z; Zhang, H; Wang, Y; Ko, SB</t>
  </si>
  <si>
    <t>10 1002/mrm 27229</t>
  </si>
  <si>
    <t xml:space="preserve">Deep convolutional neural network for segmentation of knee joint anatomy </t>
  </si>
  <si>
    <t xml:space="preserve">To describe and evaluate a new segmentation method using deep convolutional neural network (CNN), 3D fully connected conditional random field (CRF), and 3D simplex deformable modeling to improve the efficiency and accuracy of knee joint tissue segmentation A segmentation pipeline was built by combining a semantic segmentation CNN, 3D fully connected CRF, and 3D simplex deformable modeling  A convolutional encoder-decoder network was designed as the core of the segmentation method to perform high resolution pixel-wise multi-class tissue classification for 12 different joint structures  The 3D fully connected CRF was applied to regularize contextual relationship among voxels within the same tissue class and between different classes  The 3D simplex deformable modeling refined the output from 3D CRF to preserve the overall shape and maintain a desirable smooth surface for joint structures  The method was evaluated on 3D fast spin-echo (3D-FSE) MR image data sets  Quantitative morphological metrics were used to evaluate the accuracy and robustness of the method in comparison to the ground truth data The proposed segmentation method provided good performance for segmenting all knee joint structures  There were 4 tissue types with high mean Dice coefficient above 0 9 including the femur, tibia, muscle, and other non-specified tissues  There were 7 tissue types with mean Dice coefficient between 0 8 and 0 9 including the femoral cartilage, tibial cartilage, patella, patellar cartilage, meniscus, quadriceps and patellar tendon, and infrapatellar fat pad  There was 1 tissue type with mean Dice coefficient between 0 7 and 0 8 for joint effusion and Baker's cyst  Most musculoskeletal tissues had a mean value of average symmetric surface distance below 1 mm The combined CNN, 3D fully connected CRF, and 3D deformable modeling approach was well-suited for performing rapid and accurate comprehensive tissue segmentation of the knee joint  The deep learning-based segmentation method has promising potential applications in musculoskeletal imaging </t>
  </si>
  <si>
    <t xml:space="preserve">Department of Biomedical Engineering, University of Minnesota, Minneapolis, Minnesota </t>
  </si>
  <si>
    <t>Zhou, Z; Zhao, G; Kijowski, R; Liu, F</t>
  </si>
  <si>
    <t>10 1111/bju 14397</t>
  </si>
  <si>
    <t xml:space="preserve">Computer-aided diagnosis of prostate cancer on magnetic resonance imaging using a convolutional neural network algorithm </t>
  </si>
  <si>
    <t xml:space="preserve">To develop a computer-aided diagnosis (CAD) algorithm with a deep learning architecture for detecting prostate cancer on magnetic resonance imaging (MRI) to promote global standardisation and diminish variation in the interpretation of prostate MRI We retrospectively reviewed data from 335 patients with a prostate-specific antigen level of &lt;20 ng/mL who underwent MRI and extended systematic prostate biopsy with or without MRI-targeted biopsy  The data were divided into a training data set (n = 301), which was used to develop the CAD algorithm, and two evaluation data sets (n = 34)  A deep convolutional neural network (CNN) was trained using MR images labelled as 'cancer' or 'no cancer' confirmed by the above-mentioned biopsy  Using the CAD algorithm that showed the best diagnostic accuracy with the two evaluation data sets, the data set not used for evaluation was analysed, and receiver operating curve analysis was performed Graphics processing unit computing required 5 5 h to learn to analyse 2 million images  The time required for the CAD algorithm to evaluate a new image was 30 ms/image  The two algorithms showed area under the curve values of 0 645 and 0 636, respectively, in the validation data sets  The number of patients mistakenly diagnosed as having cancer was 16/17 patients and seven of 17 patients in the two validation data sets, respectively  Zero and two oversights were found in the two validation data sets, respectively We developed a CAD system using a CNN algorithm for the fully automated detection of prostate cancer using MRI, which has the potential to provide reproducible interpretation and a greater level of standardisation and consistency </t>
  </si>
  <si>
    <t>BJU international</t>
  </si>
  <si>
    <t xml:space="preserve">Department of Urology, Tokyo Medical and Dental University Graduate School, Tokyo, Japan </t>
  </si>
  <si>
    <t>Ishioka, J; Matsuoka, Y; Uehara, S; Yasuda, Y; Kijima, T; Yoshida, S; Yokoyama, M; Saito, K; Kihara, K; Numao, N; Kimura, T; Kudo, K; Kumazawa, I; Fujii, Y</t>
  </si>
  <si>
    <t>100886721</t>
  </si>
  <si>
    <t>10 1142/S0129065718500156</t>
  </si>
  <si>
    <t xml:space="preserve">A Novel Method of Building Functional Brain Network Using Deep Learning Algorithm with Application in Proficiency Detection </t>
  </si>
  <si>
    <t xml:space="preserve">Functional brain network (FBN) has become very popular to analyze the interaction between cortical regions in the last decade  But researchers always spend a long time to search the best way to compute FBN for their specific studies  The purpose of this study is to detect the proficiency of operators during their mineral grinding process controlling based on FBN  To save the search time, a novel semi-data-driven method of computing functional brain connection based on stacked autoencoder (BCSAE) is proposed in this paper  This method uses stacked autoencoder (SAE) to encode the multi-channel EEG data into codes and then computes the dissimilarity between the codes from every pair of electrodes to build FBN  The highlight of this method is that the SAE has a multi-layered structure and is semi-supervised, which means it can dig deeper information and generate better features  Then an experiment was performed, the EEG of the operators were collected while they were operating and analyzed to detect their proficiency  The results show that the BCSAE method generated more number of separable features with less redundancy, and the average accuracy of classification (96 18%) is higher than that of the control methods: PLV (92 19%) and PLI (78 39%) </t>
  </si>
  <si>
    <t>EEG</t>
  </si>
  <si>
    <t>STACKED AUTOENCODER</t>
  </si>
  <si>
    <t xml:space="preserve">* Department of Mechanical Engineering and Automation, Northeastern University, Shenyang 110819, P  R  China </t>
  </si>
  <si>
    <t>Hua, C; Wang, H; Wang, H; Lu, S; Liu, C; Khalid, SM</t>
  </si>
  <si>
    <t>10 1007/s11548-018-1785-8</t>
  </si>
  <si>
    <t xml:space="preserve">Prostate segmentation in MRI using a convolutional neural network architecture and training strategy based on statistical shape models </t>
  </si>
  <si>
    <t xml:space="preserve">Most of the existing convolutional neural network (CNN)-based medical image segmentation methods are based on methods that have originally been developed for segmentation of natural images  Therefore, they largely ignore the differences between the two domains, such as the smaller degree of variability in the shape and appearance of the target volume and the smaller amounts of training data in medical applications  We propose a CNN-based method for prostate segmentation in MRI that employs statistical shape models to address these issues Our CNN predicts the location of the prostate center and the parameters of the shape model, which determine the position of prostate surface keypoints  To train such a large model for segmentation of 3D images using small data (1) we adopt a stage-wise training strategy by first training the network to predict the prostate center and subsequently adding modules for predicting the parameters of the shape model and prostate rotation, (2) we propose a data augmentation method whereby the training images and their prostate surface keypoints are deformed according to the displacements computed based on the shape model, and (3) we employ various regularization techniques Our proposed method achieves a Dice score of 0 88, which is obtained by using both elastic-net and spectral dropout for regularization  Compared with a standard CNN-based method, our method shows significantly better segmentation performance on the prostate base and apex  Our experiments also show that data augmentation using the shape model significantly improves the segmentation results Prior knowledge about the shape of the target organ can improve the performance of CNN-based segmentation methods, especially where image features are not sufficient for a precise segmentation  Statistical shape models can also be employed to synthesize additional training data that can ease the training of large CNNs </t>
  </si>
  <si>
    <t>Department of Electrical and Computer Engineering, University of British Columbia, Vancouver, BC, Canada</t>
    <phoneticPr fontId="0" type="noConversion"/>
  </si>
  <si>
    <t>Karimi, D; Samei, G; Kesch, C; Nir, G; Salcudean, SE</t>
  </si>
  <si>
    <t>10 1007/s00330-018-5499-7</t>
  </si>
  <si>
    <t xml:space="preserve">Deep learning for staging liver fibrosis on CT: a pilot study </t>
  </si>
  <si>
    <t xml:space="preserve">To investigate whether liver fibrosis can be staged by deep learning techniques based on CT images This clinical retrospective study, approved by our institutional review board, included 496 CT examinations of 286 patients who underwent dynamic contrast-enhanced CT for evaluations of the liver and for whom histopathological information regarding liver fibrosis stage was available  The 396 portal phase images with age and sex data of patients (F0/F1/F2/F3/F4 = 113/36/56/66/125) were used for training a deep convolutional neural network (DCNN); the data for the other 100 (F0/F1/F2/F3/F4 = 29/9/14/16/32) were utilised for testing the trained network, with the histopathological fibrosis stage used as reference  To improve robustness, additional images for training data were generated by rotating or parallel shifting the images, or adding Gaussian noise  Supervised training was used to minimise the difference between the liver fibrosis stage and the fibrosis score obtained from deep learning based on CT images (FDLCT score) output by the model  Testing data were input into the trained DCNNs to evaluate their performance The FDLCT scores showed a significant correlation with liver fibrosis stage (Spearman's correlation coefficient = 0 48, p &lt; 0 001)  The areas under the receiver operating characteristic curves (with 95% confidence intervals) for diagnosing significant fibrosis (≥ F2), advanced fibrosis (≥ F3) and cirrhosis (F4) by using FDLCT scores were 0 74 (0 64-0 85), 0 76 (0 66-0 85) and 0 73 (0 62-0 84), respectively Liver fibrosis can be staged by using a deep learning model based on CT images, with moderate performance • Liver fibrosis can be staged by a deep learning model based on magnified CT images including the liver surface, with moderate performance  • Scores from a trained deep learning model showed moderate correlation with histopathological liver fibrosis staging  • Further improvement are necessary before utilisation in clinical settings </t>
  </si>
  <si>
    <t xml:space="preserve">Department of Radiology, The Institute of Medical Science, The University of Tokyo, 4-6-1 Shirokanedai, Minato-ku, Tokyo, 108-8639, Japan </t>
  </si>
  <si>
    <t>Yasaka, K; Akai, H; Kunimatsu, A; Abe, O; Kiryu, S</t>
  </si>
  <si>
    <t>10 1038/s41598-018-25842-6</t>
  </si>
  <si>
    <t xml:space="preserve">Automatic anatomical classification of esophagogastroduodenoscopy images using deep convolutional neural networks </t>
  </si>
  <si>
    <t xml:space="preserve">The use of convolutional neural networks (CNNs) has dramatically advanced our ability to recognize images with machine learning methods  We aimed to construct a CNN that could recognize the anatomical location of esophagogastroduodenoscopy (EGD) images in an appropriate manner  A CNN-based diagnostic program was constructed based on GoogLeNet architecture, and was trained with 27,335 EGD images that were categorized into four major anatomical locations (larynx, esophagus, stomach and duodenum) and three subsequent sub-classifications for stomach images (upper, middle, and lower regions)  The performance of the CNN was evaluated in an independent validation set of 17,081 EGD images by drawing receiver operating characteristics (ROC) curves and calculating the area under the curves (AUCs)  ROC curves showed high performance of the trained CNN to classify the anatomical location of EGD images with AUCs of 1 00 for larynx and esophagus images, and 0 99 for stomach and duodenum images  Furthermore, the trained CNN could recognize specific anatomical locations within the stomach, with AUCs of 0 99 for the upper, middle, and lower stomach  In conclusion, the trained CNN showed robust performance in its ability to recognize the anatomical location of EGD images, highlighting its significant potential for future application as a computer-aided EGD diagnostic system </t>
  </si>
  <si>
    <t xml:space="preserve">Tada Tomohiro Institute of Gastroenterology and Proctology, Saitama, Japan </t>
  </si>
  <si>
    <t>Takiyama, H; Ozawa, T; Ishihara, S; Fujishiro, M; Shichijo, S; Nomura, S; Miura, M; Tada, T</t>
  </si>
  <si>
    <t>10 1523/ENEURO 0443-17 2018</t>
  </si>
  <si>
    <t xml:space="preserve">Sharpening of Hierarchical Visual Feature Representations of Blurred Images </t>
  </si>
  <si>
    <t xml:space="preserve">The robustness of the visual system lies in its ability to perceive degraded images  This is achieved through interacting bottom-up, recurrent, and top-down pathways that process the visual input in concordance with stored prior information  The interaction mechanism by which they integrate visual input and prior information is still enigmatic  We present a new approach using deep neural network (DNN) representation to reveal the effects of such integration on degraded visual inputs  We transformed measured human brain activity resulting from viewing blurred images to the hierarchical representation space derived from a feedforward DNN  Transformed representations were found to veer toward the original nonblurred image and away from the blurred stimulus image  This indicated deblurring or sharpening in the neural representation, and possibly in our perception  We anticipate these results will help unravel the interplay mechanism between bottom-up, recurrent, and top-down pathways, leading to more comprehensive models of vision </t>
  </si>
  <si>
    <t xml:space="preserve">Graduate School of Informatics, Kyoto University, Yoshida-Honmachi, Sakyo-Ku, Kyoto 606-8501, Japan </t>
  </si>
  <si>
    <t>Abdelhack, M; Kamitani, Y</t>
  </si>
  <si>
    <t>101647362</t>
  </si>
  <si>
    <t>10 1007/s11548-018-1774-y</t>
  </si>
  <si>
    <t xml:space="preserve">3D/2D model-to-image registration by imitation learning for cardiac procedures </t>
  </si>
  <si>
    <t xml:space="preserve">In cardiac interventions, such as cardiac resynchronization therapy (CRT), image guidance can be enhanced by involving preoperative models  Multimodality 3D/2D registration for image guidance, however, remains a significant research challenge for fundamentally different image data, i e , MR to X-ray  Registration methods must account for differences in intensity, contrast levels, resolution, dimensionality, field of view  Furthermore, same anatomical structures may not be visible in both modalities  Current approaches have focused on developing modality-specific solutions for individual clinical use cases, by introducing constraints, or identifying cross-modality information manually  Machine learning approaches have the potential to create more general registration platforms  However, training image to image methods would require large multimodal datasets and ground truth for each target application This paper proposes a model-to-image registration approach instead, because it is common in image-guided interventions to create anatomical models for diagnosis, planning or guidance prior to procedures  An imitation learning-based method, trained on 702 datasets, is used to register preoperative models to intraoperative X-ray images Accuracy is demonstrated on cardiac models and artificial X-rays generated from CTs  The registration error was [Formula: see text] on 1000 test cases, superior to that of manual ([Formula: see text]) and gradient-based ([Formula: see text]) registration  High robustness is shown in 19 clinical CRT cases Besides the proposed methods feasibility in a clinical environment, evaluation has shown good accuracy and high robustness indicating that it could be applied in image-guided interventions </t>
  </si>
  <si>
    <t>Siemens Healthineers, Frimley, UK</t>
    <phoneticPr fontId="0" type="noConversion"/>
  </si>
  <si>
    <t>Toth, D; Miao, S; Kurzendorfer, T; Rinaldi, CA; Liao, R; Mansi, T; Rhode, K; Mountney, P</t>
  </si>
  <si>
    <t>10 1016/j parkreldis 2018 04 036</t>
  </si>
  <si>
    <t xml:space="preserve">Automated assessment of levodopa-induced dyskinesia: Evaluating the responsiveness of video-based features </t>
  </si>
  <si>
    <t xml:space="preserve">Technological solutions for quantifying Parkinson's disease (PD) symptoms may provide an objective means to track response to treatment, including side effects such as levodopa-induced dyskinesia  Vision-based systems are advantageous as they do not require physical contact with the body and have minimal instrumentation compared to wearables  We have developed a vision-based system to quantify a change in dyskinesia as reported by patients using 2D videos of clinical assessments during acute levodopa infusions Nine participants with PD completed a total of 16 levodopa infusions, where they were asked to report important changes in dyskinesia (i e  onset and remission)  Participants were simultaneously rated using the UDysRS Part III (from video recordings analyzed post-hoc)  Body joint positions and movements were tracked using a state-of-the-art deep learning pose estimation algorithm applied to the videos  416 features (e g  kinematics, frequency distribution) were extracted to characterize movements  The sensitivity and specificity of each feature to patient-reported changes in dyskinesia severity was computed and compared with physician-rated results Features achieved similar or superior performance to the UDysRS for detecting the onset and remission of dyskinesia  The best AUC for detecting onset of dyskinesia was 0 822 and for remission of dyskinesia was 0 958, compared to 0 826 and 0 802 for the UDysRS Video-based features may provide an objective means of quantifying the severity of levodopa-induced dyskinesia, and have responsiveness as good or better than the clinically-rated UDysRS  The results demonstrate encouraging evidence for future integration of video-based technology into clinical research and eventually clinical practice </t>
  </si>
  <si>
    <t>Parkinsonism &amp; related disorders</t>
  </si>
  <si>
    <t>Toronto Rehabilitation Institute, University Health Network, 550 University Ave, Toronto, Ontario, M5G 2A2, Canada; Institute of Biomaterials and Biomedical Engineering, University of Toronto, 164 College St, Room 407, Toronto, Ontario, M5S 3G9, Canada</t>
    <phoneticPr fontId="0" type="noConversion"/>
  </si>
  <si>
    <t>Li, MH; Mestre, TA; Fox, SH; Taati, B</t>
  </si>
  <si>
    <t>9513583</t>
  </si>
  <si>
    <t>10 1186/s12918-018-0572-z</t>
  </si>
  <si>
    <t xml:space="preserve">Hierarchical combinatorial deep learning architecture for pancreas segmentation of medical computed tomography cancer images </t>
  </si>
  <si>
    <t xml:space="preserve">Efficient computational recognition and segmentation of target organ from medical images are foundational in diagnosis and treatment, especially about pancreas cancer  In practice, the diversity in appearance of pancreas and organs in abdomen, makes detailed texture information of objects important in segmentation algorithm  According to our observations, however, the structures of previous networks, such as the Richer Feature Convolutional Network (RCF), are too coarse to segment the object (pancreas) accurately, especially the edge In this paper, we extend the RCF, proposed to the field of edge detection, for the challenging pancreas segmentation, and put forward a novel pancreas segmentation network  By employing multi-layer up-sampling structure replacing the simple up-sampling operation in all stages, the proposed network fully considers the multi-scale detailed contexture information of object (pancreas) to perform per-pixel segmentation  Additionally, using the CT scans, we supply and train our network, thus get an effective pipeline Working with our pipeline with multi-layer up-sampling model, we achieve better performance than RCF in the task of single object (pancreas) segmentation  Besides, combining with multi scale input, we achieve the 76 36% DSC (Dice Similarity Coefficient) value in testing data The results of our experiments show that our advanced model works better than previous networks in our dataset  On the other words, it has better ability in catching detailed contexture information  Therefore, our new single object segmentation model has practical meaning in computational automatic diagnosis </t>
  </si>
  <si>
    <t>BMC systems biology</t>
  </si>
  <si>
    <t xml:space="preserve">Mathematics Department, School of Information, Renmin University of China, Beijing, China </t>
  </si>
  <si>
    <t>Fu, M; Wu, W; Hong, X; Liu, Q; Jiang, J; Ou, Y; Zhao, Y; Gong, X</t>
  </si>
  <si>
    <t>101301827</t>
  </si>
  <si>
    <t>10 1007/s10278-018-0093-8</t>
  </si>
  <si>
    <t xml:space="preserve">Combination of rs-fMRI and sMRI Data to Discriminate Autism Spectrum Disorders in Young Children Using Deep Belief Network </t>
  </si>
  <si>
    <t xml:space="preserve">In recent years, the use of advanced magnetic resonance (MR) imaging methods such as functional magnetic resonance imaging (fMRI) and structural magnetic resonance imaging (sMRI) has recorded a great increase in neuropsychiatric disorders  Deep learning is a branch of machine learning that is increasingly being used for applications of medical image analysis such as computer-aided diagnosis  In a bid to classify and represent learning tasks, this study utilized one of the most powerful deep learning algorithms (deep belief network (DBN)) for the combination of data from Autism Brain Imaging Data Exchange I and II (ABIDE I and ABIDE II) datasets  The DBN was employed so as to focus on the combination of resting-state fMRI (rs-fMRI), gray matter (GM), and white matter (WM) data  This was done based on the brain regions that were defined using the automated anatomical labeling (AAL), in order to classify autism spectrum disorders (ASDs) from typical controls (TCs)  Since the diagnosis of ASD is much more effective at an early age, only 185 individuals (116 ASD and 69 TC) ranging in age from 5 to 10 years were included in this analysis  In contrast, the proposed method is used to exploit the latent or abstract high-level features inside rs-fMRI and sMRI data while the old methods consider only the simple low-level features extracted from neuroimages  Moreover, combining multiple data types and increasing the depth of DBN can improve classification accuracy  In this study, the best combination comprised rs-fMRI, GM, and WM for DBN of depth 3 with 65 56% accuracy (sensitivity = 84%, specificity = 32 96%, F1 score = 74 76%) obtained via 10-fold cross-validation  This result outperforms previously presented methods on ABIDE I dataset </t>
  </si>
  <si>
    <t>DBN</t>
  </si>
  <si>
    <t>Department of Computer Engineering, Science and Research Branch, Islamic Azad University, Tehran, Iran</t>
    <phoneticPr fontId="0" type="noConversion"/>
  </si>
  <si>
    <t>Akhavan Aghdam, M; Sharifi, A; Pedram, MM</t>
  </si>
  <si>
    <t>10 1136/gutjnl-2018-316204</t>
  </si>
  <si>
    <t xml:space="preserve">Deep learning Radiomics of shear wave elastography significantly improved diagnostic performance for assessing liver fibrosis in chronic hepatitis B: a prospective multicentre study </t>
  </si>
  <si>
    <t xml:space="preserve">We aimed to evaluate the performance of the newly developed deep learning Radiomics of elastography (DLRE) for assessing liver fibrosis stages  DLRE adopts the radiomic strategy for quantitative analysis of the heterogeneity in two-dimensional shear wave elastography (2D-SWE) images A prospective multicentre study was conducted to assess its accuracy in patients with chronic hepatitis B, in comparison with 2D-SWE, aspartate transaminase-to-platelet ratio index and fibrosis index based on four factors, by using liver biopsy as the reference standard  Its accuracy and robustness were also investigated by applying different number of acquisitions and different training cohorts, respectively  Data of 654 potentially eligible patients were prospectively enrolled from 12 hospitals, and finally 398 patients with 1990 images were included  Analysis of receiver operating characteristic (ROC) curves was performed to calculate the optimal area under the ROC curve (AUC) for cirrhosis (F4), advanced fibrosis (≥F3) and significance fibrosis (≥F2) AUCs of DLRE were 0 97 for F4 (95% CI 0 94 to 0 99), 0 98 for ≥F3 (95% CI 0 96 to 1 00) and 0 85 (95% CI 0 81 to 0 89) for ≥F2, which were significantly better than other methods except 2D-SWE in ≥F2  Its diagnostic accuracy improved as more images (especially ≥3 images) were acquired from each individual  No significant variation of the performance was found if different training cohorts were applied DLRE shows the best overall performance in predicting liver fibrosis stages compared with 2D-SWE and biomarkers  It is valuable and practical for the non-invasive accurate diagnosis of liver fibrosis stages in HBV-infected patients NCT02313649; Post-results </t>
  </si>
  <si>
    <t xml:space="preserve">Guangdong Key Laboratory of Liver Disease Research, Department of Medical Ultrasound, The Third Affiliated Hospital of Sun Yat-sen University, Guangzhou, China </t>
  </si>
  <si>
    <t>Wang, K; Lu, X; Zhou, H; Gao, Y; Zheng, J; Tong, M; Wu, C; Liu, C; Huang, L; Jiang, T; Meng, F; Lu, Y; Ai, H; Xie, XY; Yin, LP; Liang, P; Tian, J; Zheng, R</t>
  </si>
  <si>
    <t>2985108R</t>
  </si>
  <si>
    <t>10 1016/j neuroimage 2018 04 073</t>
  </si>
  <si>
    <t xml:space="preserve">Brain extraction from normal and pathological images: A joint PCA/Image-Reconstruction approach </t>
  </si>
  <si>
    <t xml:space="preserve">Brain extraction from 3D medical images is a common pre-processing step  A variety of approaches exist, but they are frequently only designed to perform brain extraction from images without strong pathologies  Extracting the brain from images exhibiting strong pathologies, for example, the presence of a brain tumor or of a traumatic brain injury (TBI), is challenging  In such cases, tissue appearance may substantially deviate from normal tissue appearance and hence violates algorithmic assumptions for standard approaches to brain extraction; consequently, the brain may not be correctly extracted  This paper proposes a brain extraction approach which can explicitly account for pathologies by jointly modeling normal tissue appearance and pathologies  Specifically, our model uses a three-part image decomposition: (1) normal tissue appearance is captured by principal component analysis (PCA), (2) pathologies are captured via a total variation term, and (3) the skull and surrounding tissue is captured by a sparsity term  Due to its convexity, the resulting decomposition model allows for efficient optimization  Decomposition and image registration steps are alternated to allow statistical modeling of normal tissue appearance in a fixed atlas coordinate system  As a beneficial side effect, the decomposition model allows for the identification of potentially pathological areas and the reconstruction of a quasi-normal image in atlas space  We demonstrate the effectiveness of our approach on four datasets: the publicly available IBSR and LPBA40 datasets which show normal image appearance, the BRATS dataset containing images with brain tumors, and a dataset containing clinical TBI images  We compare the performance with other popular brain extraction models: ROBEX, BEaST, MASS, BET, BSE and a recently proposed deep learning approach  Our model performs better than these competing approaches on all four datasets  Specifically, our model achieves the best median (97 11) and mean (96 88) Dice scores over all datasets  The two best performing competitors, ROBEX and MASS, achieve scores of 96 23/95 62 and 96 67/94 25 respectively  Hence, our approach is an effective method for high quality brain extraction for a wide variety of images </t>
  </si>
  <si>
    <t>Department of Computer Science, University of North Carolina at Chapel Hill, USA</t>
    <phoneticPr fontId="0" type="noConversion"/>
  </si>
  <si>
    <t>Han, X; Kwitt, R; Aylward, S; Bakas, S; Menze, B; Asturias, A; Vespa, P; Van Horn, J; Niethammer, M</t>
  </si>
  <si>
    <t>10 1002/mp 12945</t>
  </si>
  <si>
    <t xml:space="preserve">Improving resolution of MR images with an adversarial network incorporating images with different contrast </t>
  </si>
  <si>
    <t xml:space="preserve">The routine MRI scan protocol consists of multiple pulse sequences that acquire images of varying contrast  Since high frequency contents such as edges are not significantly affected by image contrast, down-sampled images in one contrast may be improved by high resolution (HR) images acquired in another contrast, reducing the total scan time  In this study, we propose a new deep learning framework that uses HR MR images in one contrast to generate HR MR images from highly down-sampled MR images in another contrast The proposed convolutional neural network (CNN) framework consists of two CNNs: (a) a reconstruction CNN for generating HR images from the down-sampled images using HR images acquired with a different MRI sequence and (b) a discriminator CNN for improving the perceptual quality of the generated HR images  The proposed method was evaluated using a public brain tumor database and in vivo datasets  The performance of the proposed method was assessed in tumor and no-tumor cases separately, with perceptual image quality being judged by a radiologist  To overcome the challenge of training the network with a small number of available in vivo datasets, the network was pretrained using the public database and then fine-tuned using the small number of in vivo datasets  The performance of the proposed method was also compared to that of several compressed sensing (CS) algorithms Incorporating HR images of another contrast improved the quantitative assessments of the generated HR image in reference to ground truth  Also, incorporating a discriminator CNN yielded perceptually higher image quality  These results were verified in regions of normal tissue as well as tumors for various MRI sequences from pseudo k-space data generated from the public database  The combination of pretraining with the public database and fine-tuning with the small number of real k-space datasets enhanced the performance of CNNs in in vivo application compared to training CNNs from scratch  The proposed method outperformed the compressed sensing methods The proposed method can be a good strategy for accelerating routine MRI scanning </t>
  </si>
  <si>
    <t xml:space="preserve">Department of Bio and Brain Engineering, Korea Advanced Institute of Science and Technology, Daejeon, 34141, South Korea </t>
  </si>
  <si>
    <t>Kim, KH; Do, WJ; Park, SH</t>
  </si>
  <si>
    <t>10 1109/TMI 2018 2798293</t>
  </si>
  <si>
    <t xml:space="preserve">Joint Vertebrae Identification and Localization in Spinal CT Images by Combining Short- and Long-Range Contextual Information </t>
  </si>
  <si>
    <t xml:space="preserve">Automatic vertebrae identification and localization from arbitrary computed tomography (CT) images is challenging  Vertebrae usually share similar morphological appearance  Because of pathology and the arbitrary field-of-view of CT scans, one can hardly rely on the existence of some anchor vertebrae or parametric methods to model the appearance and shape  To solve the problem, we argue that: 1) one should make use of the short-range contextual information, such as the presence of some nearby organs (if any), to roughly estimate the target vertebrae; and 2) due to the unique anatomic structure of the spine column, vertebrae have fixed sequential order, which provides the important long-range contextual information to further calibrate the results  We propose a robust and efficient vertebrae identification and localization system that can inherently learn to incorporate both the short- and long-range contextual information in a supervised manner  To this end, we develop a multi-task 3-D fully convolutional neural network to effectively extract the short-range contextual information around the target vertebrae  For the long-range contextual information, we propose a multi-task bidirectional recurrent neural network to encode the spatial and contextual information among the vertebrae of the visible spine column  We demonstrate the effectiveness of the proposed approach on a challenging data set, and the experimental results show that our approach outperforms the state-of-the-art methods by a significant margin </t>
  </si>
  <si>
    <t>Liao, H; Mesfin, A; Luo, J</t>
  </si>
  <si>
    <t>10 1161/STROKEAHA 117 019740</t>
  </si>
  <si>
    <t xml:space="preserve">Prediction of Tissue Outcome and Assessment of Treatment Effect in Acute Ischemic Stroke Using Deep Learning </t>
  </si>
  <si>
    <t xml:space="preserve">Treatment options for patients with acute ischemic stroke depend on the volume of salvageable tissue  This volume assessment is currently based on fixed thresholds and single imagine modalities, limiting accuracy  We wish to develop and validate a predictive model capable of automatically identifying and combining acute imaging features to accurately predict final lesion volume Using acute magnetic resonance imaging, we developed and trained a deep convolutional neural network (CNNdeep) to predict final imaging outcome  A total of 222 patients were included, of which 187 were treated with rtPA (recombinant tissue-type plasminogen activator)  The performance of CNNdeep was compared with a shallow CNN based on the perfusion-weighted imaging biomarker Tmax (CNNTmax), a shallow CNN based on a combination of 9 different biomarkers (CNNshallow), a generalized linear model, and thresholding of the diffusion-weighted imaging biomarker apparent diffusion coefficient (ADC) at 600×10-6 mm2/s (ADCthres)  To assess whether CNNdeep is capable of differentiating outcomes of ±intravenous rtPA, patients not receiving intravenous rtPA were included to train CNNdeep,-rtpa to access a treatment effect  The networks' performances were evaluated using visual inspection, area under the receiver operating characteristic curve (AUC), and contrast CNNdeep yields significantly better performance in predicting final outcome (AUC=0 88±0 12) than generalized linear model (AUC=0 78±0 12; P=0 005), CNNTmax (AUC=0 72±0 14; P&lt;0 003), and ADCthres (AUC=0 66±0 13; P&lt;0 0001) and a substantially better performance than CNNshallow (AUC=0 85±0 11; P=0 063)  Measured by contrast, CNNdeep improves the predictions significantly, showing superiority to all other methods (P≤0 003)  CNNdeep also seems to be able to differentiate outcomes based on treatment strategy with the volume of final infarct being significantly different (P=0 048) The considerable prediction improvement accuracy over current state of the art increases the potential for automated decision support in providing recommendations for personalized treatment plans </t>
  </si>
  <si>
    <t>Denmark</t>
  </si>
  <si>
    <t>From the Department of Clinical Medicine, Center of Functionally Integrative Neuroscience and MINDLAB, Aarhus University, Denmark</t>
    <phoneticPr fontId="0" type="noConversion"/>
  </si>
  <si>
    <t>Nielsen, A; Hansen, MB; Tietze, A; Mouridsen, K</t>
  </si>
  <si>
    <t>0235266</t>
  </si>
  <si>
    <t>10 1186/s13058-018-0961-7</t>
  </si>
  <si>
    <t xml:space="preserve">The combined effect of mammographic texture and density on breast cancer risk: a cohort study </t>
  </si>
  <si>
    <t xml:space="preserve">Texture patterns have been shown to improve breast cancer risk segregation in addition to area-based mammographic density  The additional value of texture pattern scores on top of volumetric mammographic density measures in a large screening cohort has never been studied Volumetric mammographic density and texture pattern scores were assessed automatically for the first available digital mammography (DM) screening examination of 51,400 women (50-75 years of age) participating in the Dutch biennial breast cancer screening program between 2003 and 2011  The texture assessment method was developed in a previous study and validated in the current study  Breast cancer information was obtained from the screening registration system and through linkage with the Netherlands Cancer Registry  All screen-detected breast cancers diagnosed at the first available digital screening examination were excluded  During a median follow-up period of 4 2 (interquartile range (IQR) 2 0-6 2) years, 301 women were diagnosed with breast cancer  The associations between texture pattern scores, volumetric breast density measures and breast cancer risk were determined using Cox proportional hazard analyses  Discriminatory performance was assessed using c-indices The median age of the women at the time of the first available digital mammography examination was 56 years (IQR 51-63)  Texture pattern scores were positively associated with breast cancer risk (hazard ratio (HR) 3 16 (95% CI 2 16-4 62) (p value for trend &lt;0 001), for quartile (Q) 4 compared to Q1)  The c-index of texture was 0 61 (95% CI 0 57-0 64)  Dense volume and percentage dense volume showed positive associations with breast cancer risk (HR 1 85 (95% CI 1 32-2 59) (p value for trend &lt;0 001) and HR 2 17 (95% CI 1 51-3 12) (p value for trend &lt;0 001), respectively, for Q4 compared to Q1)  When adding texture measures to models with dense volume or percentage dense volume, c-indices increased from 0 56 (95% CI 0 53-0 59) to 0 62 (95% CI 0 58-0 65) (p &lt; 0 001) and from 0 58 (95% CI 0 54-0 61) to 0 60 (95% CI 0 57-0 63) (p = 0 054), respectively Deep-learning-based texture pattern scores, measured automatically on digital mammograms, are associated with breast cancer risk, independently of volumetric mammographic density, and augment the capacity to discriminate between future breast cancer and non-breast cancer cases </t>
  </si>
  <si>
    <t>Breast cancer research : BCR</t>
  </si>
  <si>
    <t xml:space="preserve">Julius Center for Health Sciences and Primary Care, University Medical Center Utrecht, P O  Box 85500, 3508 GA, Utrecht, The Netherlands </t>
  </si>
  <si>
    <t>Wanders, JOP; van Gils, CH; Karssemeijer, N; Holland, K; Kallenberg, M; Peeters, PHM; Nielsen, M; Lillholm, M</t>
  </si>
  <si>
    <t>100927353</t>
  </si>
  <si>
    <t>10 3348/kjr 2018 19 3 526</t>
  </si>
  <si>
    <t xml:space="preserve">The Potential Role of Grid-Like Software in Bedside Chest Radiography in Improving Image Quality and Dose Reduction: An Observer Preference Study </t>
  </si>
  <si>
    <t xml:space="preserve">To compare the observer preference of image quality and radiation dose between non-grid, grid-like, and grid images Each of the 38 patients underwent bedside chest radiography with and without a grid  A grid-like image was generated from a non-grid image using SimGrid software (Samsung Electronics Co  Ltd ) employing deep-learning-based scatter correction technology  Two readers recorded the preference for 10 anatomic landmarks and the overall appearance on a five-point scale for a pair of non-grid and grid-like images, and a pair of grid-like and grid images, respectively, which were randomly presented  The dose area product (DAP) was also recorded  Wilcoxon's rank sum test was used to assess the significance of preference Both readers preferred grid-like images to non-grid images significantly (p &lt; 0 001); with a significant difference in terms of the preference for grid images to grid-like images (p = 0 317, 0 034, respectively)  In terms of anatomic landmarks, both readers preferred grid-like images to non-grid images (p &lt; 0 05)  No significant differences existed between grid-like and grid images except for the preference for grid images in proximal airways by two readers, and in retrocardiac lung and thoracic spine by one reader  The median DAP were 1 48 (range, 1 37-2 17) dGy*cm2 in grid images and 1 22 (range, 1 11-1 78) dGy*cm2 in grid-like images with a significant difference (p &lt; 0 001) The SimGrid software significantly improved the image quality of non-grid images to a level comparable to that of grid images with a relatively lower level of radiation exposure </t>
  </si>
  <si>
    <t>Korean journal of radiology</t>
  </si>
  <si>
    <t xml:space="preserve">Department of Radiology, Seoul National University College of Medicine, and Institute of Radiation Medicine, Seoul National University Medical Research Center, Seoul 03080, Korea </t>
  </si>
  <si>
    <t>Ahn, SY; Chae, KJ; Goo, JM</t>
  </si>
  <si>
    <t>100956096</t>
  </si>
  <si>
    <t>10 1016/j cmpb 2018 04 011</t>
  </si>
  <si>
    <t xml:space="preserve">Detection of white matter lesion regions in MRI using SLIC0 and convolutional neural network </t>
  </si>
  <si>
    <t xml:space="preserve">White matter lesions are non-static brain lesions that have a prevalence rate up to 98% in the elderly population  Because they may be associated with several brain diseases, it is important that they are detected as soon as possible  Magnetic Resonance Imaging (MRI) provides three-dimensional data with the possibility to detect and emphasize contrast differences in soft tissues, providing rich information about the human soft tissue anatomy  However, the amount of data provided for these images is far too much for manual analysis/interpretation, representing a difficult and time-consuming task for specialists  This work presents a computational methodology capable of detecting regions of white matter lesions of the brain in MRI of FLAIR modality  The techniques highlighted in this methodology are SLIC0 clustering for candidate segmentation and convolutional neural networks for candidate classification The methodology proposed here consists of four steps: (1) images acquisition, (2) images preprocessing, (3) candidates segmentation and (4) candidates classification The methodology was applied on 91 magnetic resonance images provided by DASA, and achieved an accuracy of 98 73%, specificity of 98 77% and sensitivity of 78 79% with 0 005 of false positives, without any false positives reduction technique, in detection of white matter lesion regions It is demonstrated the feasibility of the analysis of brain MRI using SLIC0 and convolutional neural network techniques to achieve success in detection of white matter lesions regions </t>
  </si>
  <si>
    <t>Brazil</t>
  </si>
  <si>
    <t>Pontifical Catholic University of Rio de Janeiro - PUC - RioR  São Vicente, 225, Gávea, RJ, Rio de Janeiro, 22453-900, Brazil</t>
  </si>
  <si>
    <t>Diniz, PHB; Valente, TLA; Diniz, JOB; Silva, AC; Gattass, M; Ventura, N; Muniz, BC; Gasparetto, EL</t>
  </si>
  <si>
    <t>10 1016/j neuroimage 2018 04 053</t>
  </si>
  <si>
    <t xml:space="preserve">Transferring and generalizing deep-learning-based neural encoding models across subjects </t>
  </si>
  <si>
    <t xml:space="preserve">Recent studies have shown the value of using deep learning models for mapping and characterizing how the brain represents and organizes information for natural vision  However, modeling the relationship between deep learning models and the brain (or encoding models), requires measuring cortical responses to large and diverse sets of natural visual stimuli from single subjects  This requirement limits prior studies to few subjects, making it difficult to generalize findings across subjects or for a population  In this study, we developed new methods to transfer and generalize encoding models across subjects  To train encoding models specific to a target subject, the models trained for other subjects were used as the prior models and were refined efficiently using Bayesian inference with a limited amount of data from the target subject  To train encoding models for a population, the models were progressively trained and updated with incremental data from different subjects  For the proof of principle, we applied these methods to functional magnetic resonance imaging (fMRI) data from three subjects watching tens of hours of naturalistic videos, while a deep residual neural network driven by image recognition was used to model visual cortical processing  Results demonstrate that the methods developed herein provide an efficient and effective strategy to establish both subject-specific and population-wide predictive models of cortical representations of high-dimensional and hierarchical visual features </t>
  </si>
  <si>
    <t>1 2million</t>
  </si>
  <si>
    <t xml:space="preserve">School of Electrical and Computer Engineering, Purdue University, West Lafayette, IN, USA; Purdue Institute for Integrative Neuroscience, Purdue University, West Lafayette, IN, USA </t>
  </si>
  <si>
    <t>Wen, H; Shi, J; Chen, W; Liu, Z</t>
  </si>
  <si>
    <t>10 1016/j media 2018 04 002</t>
  </si>
  <si>
    <t xml:space="preserve">Automatic recognition of holistic functional brain networks using iteratively optimized convolutional neural networks (IO-CNN) with weak label initialization </t>
  </si>
  <si>
    <t xml:space="preserve">fMRI data decomposition techniques have advanced significantly from shallow models such as Independent Component Analysis (ICA) and Sparse Coding and Dictionary Learning (SCDL) to deep learning models such Deep Belief Networks (DBN) and Convolutional Autoencoder (DCAE)  However, interpretations of those decomposed networks are still open questions due to the lack of functional brain atlases, no correspondence across decomposed or reconstructed networks across different subjects, and significant individual variabilities  Recent studies showed that deep learning, especially deep convolutional neural networks (CNN), has extraordinary ability of accommodating spatial object patterns, e g , our recent works using 3D CNN for fMRI-derived network classifications achieved high accuracy with a remarkable tolerance for mistakenly labelled training brain networks  However, the training data preparation is one of the biggest obstacles in these supervised deep learning models for functional brain network map recognitions, since manual labelling requires tedious and time-consuming labours which will sometimes even introduce label mistakes  Especially for mapping functional networks in large scale datasets such as hundreds of thousands of brain networks used in this paper, the manual labelling method will become almost infeasible  In response, in this work, we tackled both the network recognition and training data labelling tasks by proposing a new iteratively optimized deep learning CNN (IO-CNN) framework with an automatic weak label initialization, which enables the functional brain networks recognition task to a fully automatic large-scale classification procedure  Our extensive experiments based on ABIDE-II 1099 brains' fMRI data showed the great promise of our IO-CNN framework </t>
  </si>
  <si>
    <t xml:space="preserve">Cortical Architecture Imaging and Discovery Lab, Department of Computer Science and Bioimaging Research Center, The University of Georgia, Athens, GA, USA </t>
  </si>
  <si>
    <t>Zhao, Y; Ge, F; Liu, T</t>
  </si>
  <si>
    <t>10 1016/j artmed 2018 04 005</t>
  </si>
  <si>
    <t xml:space="preserve">MuDeRN: Multi-category classification of breast histopathological image using deep residual networks </t>
  </si>
  <si>
    <t xml:space="preserve">Identifying carcinoma subtype can help to select appropriate treatment options and determining the subtype of benign lesions can be beneficial to estimate the patients' risk of developing cancer in the future  Pathologists' assessment of lesion subtypes is considered as the gold standard, however, sometimes strong disagreements among pathologists for distinction among lesion subtypes have been previously reported in the literature To propose a framework for classifying hematoxylin-eosin stained breast digital slides either as benign or cancer, and then categorizing cancer and benign cases into four different subtypes each We used data from a publicly available database (BreakHis) of 81 patients where each patient had images at four magnification factors (×40, ×100, ×200, and ×400) available, for a total of 7786 images  The proposed framework, called MuDeRN (MUlti-category classification of breast histopathological image using DEep Residual Networks) consisted of two stages  In the first stage, for each magnification factor, a deep residual network (ResNet) with 152 layers has been trained for classifying patches from the images as benign or malignant  In the next stage, the images classified as malignant were subdivided into four cancer subcategories and those categorized as benign were classified into four subtypes  Finally, the diagnosis for each patient was made by combining outputs of ResNets' processed images in different magnification factors using a meta-decision tree For the malignant/benign classification of images, MuDeRN's first stage achieved correct classification rates (CCR) of 98 52%, 97 90%, 98 33%, and 97 66% in ×40, ×100, ×200, and ×400 magnification factors respectively  For eight-class categorization of images based on the output of MuDeRN's both stages, CCRs in four magnification factors were 95 40%, 94 90%, 95 70%, and 94 60%  Finally, for making patient-level diagnosis, MuDeRN achieved a CCR of 96 25% for eight-class categorization MuDeRN can be helpful in the categorization of breast lesions </t>
  </si>
  <si>
    <t xml:space="preserve">Image Optimisation and Perception, Discipline of Medical Imaging and Radiation Sciences, Faculty of Health Sciences, University of Sydney, Sydney, NSW, Australia </t>
  </si>
  <si>
    <t>Gandomkar, Z; Brennan, PC; Mello-Thoms, C</t>
  </si>
  <si>
    <t>10 1007/s11548-018-1772-0</t>
  </si>
  <si>
    <t xml:space="preserve">Exploiting the potential of unlabeled endoscopic video data with self-supervised learning </t>
    <phoneticPr fontId="0" type="noConversion"/>
  </si>
  <si>
    <t xml:space="preserve">Surgical data science is a new research field that aims to observe all aspects of the patient treatment process in order to provide the right assistance at the right time  Due to the breakthrough successes of deep learning-based solutions for automatic image annotation, the availability of reference annotations for algorithm training is becoming a major bottleneck in the field  The purpose of this paper was to investigate the concept of self-supervised learning to address this issue Our approach is guided by the hypothesis that unlabeled video data can be used to learn a representation of the target domain that boosts the performance of state-of-the-art machine learning algorithms when used for pre-training  Core of the method is an auxiliary task based on raw endoscopic video data of the target domain that is used to initialize the convolutional neural network (CNN) for the target task  In this paper, we propose the re-colorization of medical images with a conditional generative adversarial network (cGAN)-based architecture as auxiliary task  A variant of the method involves a second pre-training step based on labeled data for the target task from a related domain  We validate both variants using medical instrument segmentation as target task The proposed approach can be used to radically reduce the manual annotation effort involved in training CNNs  Compared to the baseline approach of generating annotated data from scratch, our method decreases exploratively the number of labeled images by up to 75% without sacrificing performance  Our method also outperforms alternative methods for CNN pre-training, such as pre-training on publicly available non-medical (COCO) or medical data (MICCAI EndoVis2017 challenge) using the target task (in this instance: segmentation) As it makes efficient use of available (non-)public and (un-)labeled data, the approach has the potential to become a valuable tool for CNN (pre-)training </t>
  </si>
  <si>
    <t>&lt;=100</t>
    <phoneticPr fontId="0" type="noConversion"/>
  </si>
  <si>
    <t xml:space="preserve">Computer Assisted Medical Interventions, German Cancer Research Center, Im Neuenheimer Feld 581, 69210, Heidelberg, Germany </t>
  </si>
  <si>
    <t>Ross, T; Zimmerer, D; Vemuri, A; Isensee, F; Wiesenfarth, M; Bodenstedt, S; Both, F; Kessler, P; Wagner, M; Müller, B; Kenngott, H; Speidel, S; Kopp-Schneider, A; Maier-Hein, K; Maier-Hein, L</t>
  </si>
  <si>
    <t>10 1016/j radonc 2018 04 011</t>
  </si>
  <si>
    <t xml:space="preserve">Automatic quantification of calcifications in the coronary arteries and thoracic aorta on radiotherapy planning CT scans of Western and Asian breast cancer patients </t>
  </si>
  <si>
    <t xml:space="preserve">This study automatically quantified calcifications in coronary arteries (CAC) and thoracic aorta (TAC) on breast planning computed tomography (CT) scans and assessed its reproducibility compared to manual scoring Dutch (n = 1199) and Singaporean (n = 1090) breast cancer patients with radiotherapy planning CT scan were included  CAC and TAC were automatically scored using deep learning algorithm  CVD risk categories were based on Agatson CAC: 0, 1-10, 11-100, 101-400 and &gt;400  Reliability between automatic and manual scoring was assessed in 120 randomly selected CT scans from each population, with linearly weighted kappa for CAC categories and intraclass correlation coefficient for TAC Median age was higher in Dutch patients than Singaporean patients: 57 versus 52 years  CAC and TAC increased with age and were more present in Dutch patients than Singaporean patients: 24 2% versus 17 3% and 73 0% versus 62 2%, respectively  Reliability of CAC categories and TAC was excellent in the Netherlands (0 85 (95% confidence interval (CI) = 0 77-0 93) and 0 98 (95% CI = 0 96-0 98) respectively) and Singapore (0 90 (95% CI = 0 84-0 96) and 0 99 (95% CI = 0 98-0 99) respectively) CAC and TAC prevalence was considerable and increased with age  Deep learning software is a reliable method to automatically measure CAC and TAC on radiotherapy breast CT scans </t>
  </si>
  <si>
    <t>Radiotherapy and oncology : journal of the European Society for Therapeutic Radiology and Oncology</t>
  </si>
  <si>
    <t xml:space="preserve">Julius Center, University Medical Center Utrecht, Utrecht University, The Netherlands </t>
  </si>
  <si>
    <t>Gernaat, SAM; van Velzen, SGM; Koh, V; Emaus, MJ; Išgum, I; Lessmann, N; Moes, S; Jacobson, A; Tan, PW; Grobbee, DE; van den Bongard, DHJ; Tang, JI; Verkooijen, HM</t>
  </si>
  <si>
    <t>8407192</t>
  </si>
  <si>
    <t>10 1038/s41598-018-25005-7</t>
  </si>
  <si>
    <t xml:space="preserve">An improved deep learning approach for detection of thyroid papillary cancer in ultrasound images </t>
  </si>
  <si>
    <t xml:space="preserve">Unlike daily routine images, ultrasound images are usually monochrome and low-resolution  In ultrasound images, the cancer regions are usually blurred, vague margin and irregular in shape  Moreover, the features of cancer region are very similar to normal or benign tissues  Therefore, training ultrasound images with original Convolutional Neural Network (CNN) directly is not satisfactory  In our study, inspired by state-of-the-art object detection network Faster R-CNN, we develop a detector which is more suitable for thyroid papillary carcinoma detection in ultrasound images  In order to improve the accuracy of the detection, we add a spatial constrained layer to CNN so that the detector can extract the features of surrounding region in which the cancer regions are residing  In addition, by concatenating the shallow and deep layers of the CNN, the detector can detect blurrier or smaller cancer regions  The experiments demonstrate that the potential of this new methodology can reduce the workload for pathologists and increase the objectivity of diagnoses  We find that 93:5% of papillary thyroid carcinoma regions could be detected automatically while 81:5% of benign and normal tissue could be excluded without the use of any additional immunohistochemical markers or human intervention </t>
  </si>
  <si>
    <t xml:space="preserve">School of Electronics and Information Technology, Sun Yat-sen University, Guangzhou, 510006, China </t>
  </si>
  <si>
    <t>Li, H; Weng, J; Shi, Y; Gu, W; Mao, Y; Wang, Y; Liu, W; Zhang, J</t>
  </si>
  <si>
    <t>10 1002/mrm 27205</t>
  </si>
  <si>
    <t xml:space="preserve">Single-shot T2 mapping using overlapping-echo detachment planar imaging and a deep convolutional neural network </t>
  </si>
  <si>
    <t xml:space="preserve">An end-to-end deep convolutional neural network (CNN) based on deep residual network (ResNet) was proposed to efficiently reconstruct reliable T2 mapping from single-shot overlapping-echo detachment (OLED) planar imaging The training dataset was obtained from simulations that were carried out on SPROM (Simulation with PRoduct Operator Matrix) software developed by our group  The relationship between the original OLED image containing two echo signals and the corresponding T2 mapping was learned by ResNet training  After the ResNet was trained, it was applied to reconstruct the T2 mapping from simulation and in vivo human brain data Although the ResNet was trained entirely on simulated data, the trained network was generalized well to real human brain data  The results from simulation and in vivo human brain experiments show that the proposed method significantly outperforms the echo-detachment-based method  Reliable T2 mapping with higher accuracy is achieved within 30 ms after the network has been trained, while the echo-detachment-based OLED reconstruction method took approximately 2 min The proposed method will facilitate real-time dynamic and quantitative MR imaging via OLED sequence, and deep convolutional neural network has the potential to reconstruct maps from complex MRI sequences efficiently </t>
  </si>
  <si>
    <t xml:space="preserve">Department of Electronic Science, Fujian Provincial Key Laboratory of Plasma and Magnetic Resonance, Xiamen University, Xiamen, China </t>
  </si>
  <si>
    <t>Cai, C; Wang, C; Zeng, Y; Cai, S; Liang, D; Wu, Y; Chen, Z; Ding, X; Zhong, J</t>
  </si>
  <si>
    <t>10 1007/s11548-018-1764-0</t>
  </si>
  <si>
    <t xml:space="preserve">Effective deep learning training for single-image super-resolution in endomicroscopy exploiting video-registration-based reconstruction </t>
  </si>
  <si>
    <t xml:space="preserve">Probe-based confocal laser endomicroscopy (pCLE) is a recent imaging modality that allows performing in vivo optical biopsies  The design of pCLE hardware, and its reliance on an optical fibre bundle, fundamentally limits the image quality with a few tens of thousands fibres, each acting as the equivalent of a single-pixel detector, assembled into a single fibre bundle  Video registration techniques can be used to estimate high-resolution (HR) images by exploiting the temporal information contained in a sequence of low-resolution (LR) images  However, the alignment of LR frames, required for the fusion, is computationally demanding and prone to artefacts In this work, we propose a novel synthetic data generation approach to train exemplar-based Deep Neural Networks (DNNs)  HR pCLE images with enhanced quality are recovered by the models trained on pairs of estimated HR images (generated by the video registration algorithm) and realistic synthetic LR images  Performance of three different state-of-the-art DNNs techniques were analysed on a Smart Atlas database of 8806 images from 238 pCLE video sequences  The results were validated through an extensive image quality assessment that takes into account different quality scores, including a Mean Opinion Score (MOS) Results indicate that the proposed solution produces an effective improvement in the quality of the obtained reconstructed image The proposed training strategy and associated DNNs allows us to perform convincing super-resolution of pCLE images </t>
  </si>
  <si>
    <t xml:space="preserve">Wellcome/EPSRC Centre for Interventional and Surgical Sciences, University College London, London, UK </t>
  </si>
  <si>
    <t>Ravì, D; Szczotka, AB; Shakir, DI; Pereira, SP; Vercauteren, T</t>
  </si>
  <si>
    <t>10 1021/acs analchem 8b01128</t>
  </si>
  <si>
    <t xml:space="preserve">Phenotypic Antimicrobial Susceptibility Testing with Deep Learning Video Microscopy </t>
  </si>
  <si>
    <t xml:space="preserve">Timely determination of antimicrobial susceptibility for a bacterial infection enables precision prescription, shortens treatment time, and helps minimize the spread of antibiotic resistant infections  Current antimicrobial susceptibility testing (AST) methods often take several days and thus impede these clinical and health benefits  Here, we present an AST method by imaging freely moving bacterial cells in urine in real time and analyzing the videos with a deep learning algorithm  The deep learning algorithm determines if an antibiotic inhibits a bacterial cell by learning multiple phenotypic features of the cell without the need for defining and quantifying each feature  We apply the method to urinary tract infection, a common infection that affects millions of people, to determine the minimum inhibitory concentration of pathogens from human urine specimens spiked with lab strain E  coli (ATCC 43888) and an E  coli strain isolated from a clinical urine sample for different antibiotics within 30 min and validate the results with the gold standard broth macrodilution method  The deep learning video microscopy-based AST holds great potential to contribute to the solution of increasing drug-resistant infections </t>
  </si>
  <si>
    <t>Analytical chemistry</t>
  </si>
  <si>
    <t xml:space="preserve">Institute for Personalized Medicine, School of Biomedical Engineering , Shanghai Jiao Tong University , Shanghai 200030 , China </t>
  </si>
  <si>
    <t>Yu, H; Jing, W; Iriya, R; Yang, Y; Syal, K; Mo, M; Grys, TE; Haydel, SE; Wang, S; Tao, N</t>
  </si>
  <si>
    <t>0370536</t>
  </si>
  <si>
    <t>10 3390/s18041229</t>
  </si>
  <si>
    <t xml:space="preserve">LiteNet: Lightweight Neural Network for Detecting Arrhythmias at Resource-Constrained Mobile Devices </t>
  </si>
  <si>
    <t xml:space="preserve">By running applications and services closer to the user, edge processing provides many advantages, such as short response time and reduced network traffic  Deep-learning based algorithms provide significantly better performances than traditional algorithms in many fields but demand more resources, such as higher computational power and more memory  Hence, designing deep learning algorithms that are more suitable for resource-constrained mobile devices is vital  In this paper, we build a lightweight neural network, termed LiteNet which uses a deep learning algorithm design to diagnose arrhythmias, as an example to show how we design deep learning schemes for resource-constrained mobile devices  Compare to other deep learning models with an equivalent accuracy, LiteNet has several advantages  It requires less memory, incurs lower computational cost, and is more feasible for deployment on resource-constrained mobile devices  It can be trained faster than other neural network algorithms and requires less communication across different processing units during distributed training  It uses filters of heterogeneous size in a convolutional layer, which contributes to the generation of various feature maps  The algorithm was tested using the MIT-BIH electrocardiogram (ECG) arrhythmia database; the results showed that LiteNet outperforms comparable schemes in diagnosing arrhythmias, and in its feasibility for use at the mobile devices </t>
    <phoneticPr fontId="0" type="noConversion"/>
  </si>
  <si>
    <t>SqueezeNet,MobileNet,CNN</t>
  </si>
  <si>
    <t xml:space="preserve">Collaborative Innovation Center for Internet Healthcare, Zhengzhou University, 75 University North Road, Erqi District, Zhengzhou 450000, China </t>
  </si>
  <si>
    <t>He, Z; Zhang, X; Cao, Y; Liu, Z; Zhang, B; Wang, X</t>
  </si>
  <si>
    <t>10 1016/j compbiomed 2018 04 004</t>
  </si>
  <si>
    <t xml:space="preserve">Mass detection in digital breast tomosynthesis data using convolutional neural networks and multiple instance learning </t>
  </si>
  <si>
    <t xml:space="preserve">Digital breast tomosynthesis (DBT) was developed in the field of breast cancer screening as a new tomographic technique to minimize the limitations of conventional digital mammography breast screening methods  A computer-aided detection (CAD) framework for mass detection in DBT has been developed and is described in this paper  The proposed framework operates on a set of two-dimensional (2D) slices  With plane-to-plane analysis on corresponding 2D slices from each DBT, it automatically learns complex patterns of 2D slices through a deep convolutional neural network (DCNN)  It then applies multiple instance learning (MIL) with a randomized trees approach to classify DBT images based on extracted information from 2D slices  This CAD framework was developed and evaluated using 5040 2D image slices derived from 87 DBT volumes  The empirical results demonstrate that this proposed CAD framework achieves much better performance than CAD systems that use hand-crafted features and deep cardinality-restricted Bolzmann machines to detect masses in DBTs </t>
  </si>
  <si>
    <t xml:space="preserve">Department of Computer Science and Software Engineering Concordia University, 1455 De Maisonneuve Blvd  W, Montreal, Quebec H3G 1M8, Canada </t>
  </si>
  <si>
    <t>Yousefi, M; Krzyżak, A; Suen, CY</t>
  </si>
  <si>
    <t>10 1002/mp 12918</t>
  </si>
  <si>
    <t xml:space="preserve">Technical Note: A deep learning-based autosegmentation of rectal tumors in MR images </t>
  </si>
  <si>
    <t xml:space="preserve">Manual contouring of gross tumor volumes (GTV) is a crucial and time-consuming process in rectum cancer radiotherapy  This study aims to develop a simple deep learning-based autosegmentation algorithm to segment rectal tumors on T2-weighted MR images MRI scans (3T, T2-weighted) of 93 patients with locally advanced (cT3-4 and/or cN1-2) rectal cancer treated with neoadjuvant chemoradiotherapy followed by surgery were enrolled in this study  A 2D U-net similar network was established as a training model  The model was trained in two phases to increase efficiency  These phases were tumor recognition and tumor segmentation  An opening (erosion and dilation) process was implemented to smooth contours after segmentation  Data were randomly separated into training (90%) and validation (10%) datasets for a 10-folder cross-validation  Additionally, 20 patients were double contoured for performance evaluation  Four indices were calculated to evaluate the similarity of automated and manual segmentation, including Hausdorff distance (HD), average surface distance (ASD), Dice index (DSC), and Jaccard index (JSC) The DSC, JSC, HD, and ASD (mean ± SD) were 0 74 ± 0 14, 0 60 ± 0 16, 20 44 ± 13 35, and 3 25 ± 1 69 mm for validation dataset; and these indices were 0 71 ± 0 13, 0 57 ± 0 15, 14 91 ± 7 62, and 2 67 ± 1 46 mm between two human radiation oncologists, respectively  No significant difference has been observed between automated segmentation and manual segmentation considering DSC (P = 0 42), JSC (P = 0 35), HD (P = 0 079), and ASD (P = 0 16)  However, significant difference was found for HD (P = 0 0027) without opening process This study showed that a simple deep learning neural network can perform segmentation for rectum cancer based on MRI T2 images with results comparable to a human </t>
  </si>
  <si>
    <t xml:space="preserve">Department of radiation oncology, Fudan University Shanghai Cancer Center, Shanghai, China </t>
  </si>
  <si>
    <t>Wang, J; Lu, J; Qin, G; Shen, L; Sun, Y; Ying, H; Zhang, Z; Hu, W</t>
  </si>
  <si>
    <t>10 1002/jmri 26047</t>
  </si>
  <si>
    <t xml:space="preserve">Computer-aided diagnosis of prostate cancer using a deep convolutional neural network from multiparametric MRI </t>
  </si>
  <si>
    <t xml:space="preserve">Deep learning is the most promising methodology for automatic computer-aided diagnosis of prostate cancer (PCa) with multiparametric MRI (mp-MRI) To develop an automatic approach based on deep convolutional neural network (DCNN) to classify PCa and noncancerous tissues (NC) with mp-MRI Retrospective In all, 195 patients with localized PCa were collected from a PROSTATEx database  In total, 159/17/19 patients with 444/48/55 observations (215/23/23 PCas and 229/25/32 NCs) were randomly selected for training/validation/testing, respectively T2 -weighted, diffusion-weighted, and apparent diffusion coefficient images A radiologist manually labeled the regions of interest of PCas and NCs and estimated the Prostate Imaging Reporting and Data System (PI-RADS) scores for each region  Inspired by VGG-Net, we designed a patch-based DCNN model to distinguish between PCa and NCs based on a combination of mp-MRI data  Additionally, an enhanced prediction method was used to improve the prediction accuracy  The performance of DCNN prediction was tested using a receiver operating characteristic (ROC) curve, and the area under the ROC curve (AUC), sensitivity, specificity, positive predictive value (PPV), and negative predictive value (NPV) were calculated  Moreover, the predicted result was compared with the PI-RADS score to evaluate its clinical value using decision curve analysis Two-sided Wilcoxon signed-rank test with statistical significance set at 0 05 The DCNN produced excellent diagnostic performance in distinguishing between PCa and NC for testing datasets with an AUC of 0 944 (95% confidence interval: 0 876-0 994), sensitivity of 87 0%, specificity of 90 6%, PPV of 87 0%, and NPV of 90 6%  The decision curve analysis revealed that the joint model of PI-RADS and DCNN provided additional net benefits compared with the DCNN model and the PI-RADS scheme The proposed DCNN-based model with enhanced prediction yielded high performance in statistical analysis, suggesting that DCNN could be used in computer-aided diagnosis (CAD) for PCa classification 3 Technical Efficacy: Stage 2 J  Magn  Reson  Imaging 2018;48:1570-1577 </t>
  </si>
  <si>
    <t>Journal of magnetic resonance imaging : JMRI</t>
  </si>
  <si>
    <t xml:space="preserve">Shanghai Key Laboratory of Magnetic Resonance, East China Normal University, Shanghai, China </t>
  </si>
  <si>
    <t>Song, Y; Zhang, YD; Yan, X; Liu, H; Zhou, M; Hu, B; Yang, G</t>
  </si>
  <si>
    <t>9105850</t>
  </si>
  <si>
    <t>10 1038/nbt 4106</t>
  </si>
  <si>
    <t xml:space="preserve">Deep learning massively accelerates super-resolution localization microscopy </t>
  </si>
  <si>
    <t xml:space="preserve">The speed of super-resolution microscopy methods based on single-molecule localization, for example, PALM and STORM, is limited by the need to record many thousands of frames with a small number of observed molecules in each  Here, we present ANNA-PALM, a computational strategy that uses artificial neural networks to reconstruct super-resolution views from sparse, rapidly acquired localization images and/or widefield images  Simulations and experimental imaging of microtubules, nuclear pores, and mitochondria show that high-quality, super-resolution images can be reconstructed from up to two orders of magnitude fewer frames than usually needed, without compromising spatial resolution  Super-resolution reconstructions are even possible from widefield images alone, though adding localization data improves image quality  We demonstrate super-resolution imaging of &gt;1,000 fields of view containing &gt;1,000 cells in ∼3 h, yielding an image spanning spatial scales from ∼20 nm to ∼2 mm  The drastic reduction in acquisition time and sample irradiation afforded by ANNA-PALM enables faster and gentler high-throughput and live-cell super-resolution imaging </t>
  </si>
  <si>
    <t xml:space="preserve">Institut Pasteur, Unité Imagerie et Modélisation, Paris, France </t>
  </si>
  <si>
    <t>Ouyang, W; Aristov, A; Lelek, M; Hao, X; Zimmer, C</t>
  </si>
  <si>
    <t>10 1038/s41598-018-24304-3</t>
  </si>
  <si>
    <t xml:space="preserve">Spinal cord gray matter segmentation using deep dilated convolutions </t>
  </si>
  <si>
    <t xml:space="preserve">Gray matter (GM) tissue changes have been associated with a wide range of neurological disorders and were recently found relevant as a biomarker for disability in amyotrophic lateral sclerosis  The ability to automatically segment the GM is, therefore, an important task for modern studies of the spinal cord  In this work, we devise a modern, simple and end-to-end fully-automated human spinal cord gray matter segmentation method using Deep Learning, that works both on in vivo and ex vivo MRI acquisitions  We evaluate our method against six independently developed methods on a GM segmentation challenge  We report state-of-the-art results in 8 out of 10 evaluation metrics as well as major network parameter reduction when compared to the traditional medical imaging architectures such as U-Nets </t>
  </si>
  <si>
    <t xml:space="preserve">NeuroPoly Lab, Institute of Biomedical Engineering, Polytechnique Montreal, Montreal, QC, H3T 1J4, Canada </t>
  </si>
  <si>
    <t>Perone, CS; Calabrese, E; Cohen-Adad, J</t>
  </si>
  <si>
    <t>10 1016/j ophtha 2018 02 037</t>
  </si>
  <si>
    <t xml:space="preserve">A Deep Learning Algorithm for Prediction of Age-Related Eye Disease Study Severity Scale for Age-Related Macular Degeneration from Color Fundus Photography </t>
  </si>
  <si>
    <t xml:space="preserve">Age-related macular degeneration (AMD) is a common threat to vision  While classification of disease stages is critical to understanding disease risk and progression, several systems based on color fundus photographs are known  Most of these require in-depth and time-consuming analysis of fundus images  Herein, we present an automated computer-based classification algorithm Algorithm development for AMD classification based on a large collection of color fundus images  Validation is performed on a cross-sectional, population-based study We included 120 656 manually graded color fundus images from 3654 Age-Related Eye Disease Study (AREDS) participants  AREDS participants were &gt;55 years of age, and non-AMD sight-threatening diseases were excluded at recruitment  In addition, performance of our algorithm was evaluated in 5555 fundus images from the population-based Kooperative Gesundheitsforschung in der Region Augsburg (KORA; Cooperative Health Research in the Region of Augsburg) study We defined 13 classes (9 AREDS steps, 3 late AMD stages, and 1 for ungradable images) and trained several convolution deep learning architectures  An ensemble of network architectures improved prediction accuracy  An independent dataset was used to evaluate the performance of our algorithm in a population-based study κ Statistics and accuracy to evaluate the concordance between predicted and expert human grader classification A network ensemble of 6 different neural net architectures predicted the 13 classes in the AREDS test set with a quadratic weighted κ of 92% (95% confidence interval, 89%-92%) and an overall accuracy of 63 3%  In the independent KORA dataset, images wrongly classified as AMD were mainly the result of a macular reflex observed in young individuals  By restricting the KORA analysis to individuals &gt;55 years of age and prior exclusion of other retinopathies, the weighted and unweighted κ increased to 50% and 63%, respectively  Importantly, the algorithm detected 84 2% of all fundus images with definite signs of early or late AMD  Overall, 94 3% of healthy fundus images were classified correctly Our deep learning algoritm revealed a weighted κ outperforming human graders in the AREDS study and is suitable to classify AMD fundus images in other datasets using individuals &gt;55 years of age </t>
  </si>
  <si>
    <t xml:space="preserve">Institute of Human Genetics, University of Regensburg, Regensburg, Germany </t>
  </si>
  <si>
    <t>Grassmann, F; Mengelkamp, J; Brandl, C; Harsch, S; Zimmermann, ME; Linkohr, B; Peters, A; Heid, IM; Palm, C; Weber, BHF</t>
  </si>
  <si>
    <t>7802443</t>
  </si>
  <si>
    <t>10 1016/j cmpb 2018 02 018</t>
  </si>
  <si>
    <t xml:space="preserve">Tissue classification and segmentation of pressure injuries using convolutional neural networks </t>
  </si>
  <si>
    <t xml:space="preserve">This paper presents a new approach for automatic tissue classification in pressure injuries  These wounds are localized skin damages which need frequent diagnosis and treatment  Therefore, a reliable and accurate systems for segmentation and tissue type identification are needed in order to achieve better treatment results Our proposed system is based on a Convolutional Neural Network (CNN) devoted to performing optimized segmentation of the different tissue types present in pressure injuries (granulation, slough, and necrotic tissues)  A preprocessing step removes the flash light and creates a set of 5x5 sub-images which are used as input for the CNN network  The network output will classify every sub-image of the validation set into one of the three classes studied The metrics used to evaluate our approach show an overall average classification accuracy of 92 01%, an average total weighted Dice Similarity Coefficient of 91 38%, and an average precision per class of 97 31% for granulation tissue, 96 59% for necrotic tissue, and 77 90% for slough tissue Our system has been proven to make recognition of complicated structures in biomedical images feasible </t>
  </si>
  <si>
    <t xml:space="preserve">Department of Computer Engineering and Computer Science, Duthie Center for Engineering, University of Louisville, Louisville, KY 40292, United States; eVida research laboratory, University of Deusto, Bilbao 48007, Spain </t>
  </si>
  <si>
    <t>Zahia, S; Sierra-Sosa, D; Garcia-Zapirain, B; Elmaghraby, A</t>
  </si>
  <si>
    <t>10 1371/journal pone 0195621</t>
  </si>
  <si>
    <t xml:space="preserve">Identifying tumor in pancreatic neuroendocrine neoplasms from Ki67 images using transfer learning </t>
  </si>
  <si>
    <t xml:space="preserve">The World Health Organization (WHO) has clear guidelines regarding the use of Ki67 index in defining the proliferative rate and assigning grade for pancreatic neuroendocrine tumor (NET)  WHO mandates the quantification of Ki67 index by counting at least 500 positive tumor cells in a hotspot  Unfortunately, Ki67 antibody may stain both tumor and non-tumor cells as positive depending on the phase of the cell cycle  Likewise, the counter stain labels both tumor and non-tumor as negative  This non-specific nature of Ki67 stain and counter stain therefore hinders the exact quantification of Ki67 index  To address this problem, we present a deep learning method to automatically differentiate between NET and non-tumor regions based on images of Ki67 stained biopsies  Transfer learning was employed to recognize and apply relevant knowledge from previous learning experiences to differentiate between tumor and non-tumor regions  Transfer learning exploits a rich set of features previously used to successfully categorize non-pathology data into 1,000 classes  The method was trained and validated on a set of whole-slide images including 33 NETs subject to Ki67 immunohistochemical staining using a leave-one-out cross-validation  When applied to 30 high power fields (HPF) and assessed against a gold standard (evaluation by two expert pathologists), the method resulted in a high sensitivity of 97 8% and specificity of 88 8%  The deep learning method developed has the potential to reduce pathologists' workload by directly identifying tumor boundaries on images of Ki67 stained slides  Moreover, it has the potential to replace sophisticated and expensive imaging methods which are recently developed for identification of tumor boundaries in images of Ki67-stained NETs </t>
  </si>
  <si>
    <t xml:space="preserve">Center for Biomedical Informatics, Wake Forest School of Medicine, Winston Salem, NC, United States of America </t>
  </si>
  <si>
    <t>Niazi, MKK; Tavolara, TE; Arole, V; Hartman, DJ; Pantanowitz, L; Gurcan, MN</t>
  </si>
  <si>
    <t>10 1038/s41598-018-22871-z</t>
  </si>
  <si>
    <t xml:space="preserve">Multimodal and Multiscale Deep Neural Networks for the Early Diagnosis of Alzheimer's Disease using structural MR and FDG-PET images </t>
  </si>
  <si>
    <t xml:space="preserve">Alzheimer's Disease (AD) is a progressive neurodegenerative disease where biomarkers for disease based on pathophysiology may be able to provide objective measures for disease diagnosis and staging  Neuroimaging scans acquired from MRI and metabolism images obtained by FDG-PET provide in-vivo measurements of structure and function (glucose metabolism) in a living brain  It is hypothesized that combining multiple different image modalities providing complementary information could help improve early diagnosis of AD  In this paper, we propose a novel deep-learning-based framework to discriminate individuals with AD utilizing a multimodal and multiscale deep neural network  Our method delivers 82 4% accuracy in identifying the individuals with mild cognitive impairment (MCI) who will convert to AD at 3 years prior to conversion (86 4% combined accuracy for conversion within 1-3 years), a 94 23% sensitivity in classifying individuals with clinical diagnosis of probable AD, and a 86 3% specificity in classifying non-demented controls improving upon results in published literature </t>
  </si>
  <si>
    <t>DNN,STACKED AUTOENCODER</t>
  </si>
  <si>
    <t xml:space="preserve">School of Engineering Science, Simon Fraser University, Burnaby, V5A 1S6, Canada </t>
  </si>
  <si>
    <t xml:space="preserve">Lu, D; Popuri, K; Ding, GW; Balachandar, R; Beg, MF; , </t>
  </si>
  <si>
    <t>10 1142/S0129065718500090</t>
  </si>
  <si>
    <t xml:space="preserve">Deep Neural Architectures for Mapping Scalp to Intracranial EEG </t>
  </si>
  <si>
    <t xml:space="preserve">Data is often plagued by noise which encumbers machine learning of clinically useful biomarkers and electroencephalogram (EEG) data is no exemption  Intracranial EEG (iEEG) data enhances the training of deep learning models of the human brain, yet is often prohibitive due to the invasive recording process  A more convenient alternative is to record brain activity using scalp electrodes  However, the inherent noise associated with scalp EEG data often impedes the learning process of neural models, achieving substandard performance  Here, an ensemble deep learning architecture for nonlinearly mapping scalp to iEEG data is proposed  The proposed architecture exploits the information from a limited number of joint scalp-intracranial recording to establish a novel methodology for detecting the epileptic discharges from the sEEG of a general population of subjects  Statistical tests and qualitative analysis have revealed that the generated pseudo-intracranial data are highly correlated with the true intracranial data  This facilitated the detection of IEDs from the scalp recordings where such waveforms are not often visible  As a real-world clinical application, these pseudo-iEEGs are then used by a convolutional neural network for the automated classification of intracranial epileptic discharges (IEDs) and non-IED of trials in the context of epilepsy analysis  Although the aim of this work was to circumvent the unavailability of iEEG and the limitations of sEEG, we have achieved a classification accuracy of 68% an increase of 6% over the previously proposed linear regression mapping </t>
  </si>
  <si>
    <t xml:space="preserve">* Department of Computer Science, University of Surrey, Guildford, Surrey, GU2 7XH, United Kingdom </t>
  </si>
  <si>
    <t>Antoniades, A; Spyrou, L; Martin-Lopez, D; Valentin, A; Alarcon, G; Sanei, S; Took, CC</t>
  </si>
  <si>
    <t>10 1002/mrm 27198</t>
  </si>
  <si>
    <t xml:space="preserve">MR fingerprinting Deep RecOnstruction NEtwork (DRONE) </t>
  </si>
  <si>
    <t xml:space="preserve">Athinoula A  Martinos Center for Biomedical Imaging, Massachusetts General Hospital, Charlestown, Massachusetts </t>
  </si>
  <si>
    <t>Cohen, O; Zhu, B; Rosen, MS</t>
  </si>
  <si>
    <t>10 1002/mrm 27201</t>
  </si>
  <si>
    <t xml:space="preserve">KIKI-net: cross-domain convolutional neural networks for reconstructing undersampled magnetic resonance images </t>
  </si>
  <si>
    <t xml:space="preserve">To demonstrate accurate MR image reconstruction from undersampled k-space data using cross-domain convolutional neural networks (CNNs) METHODS: Cross-domain CNNs consist of 3 components: (1) a deep CNN operating on the k-space (KCNN), (2) a deep CNN operating on an image domain (ICNN), and (3) an interleaved data consistency operations  These components are alternately applied, and each CNN is trained to minimize the loss between the reconstructed and corresponding fully sampled k-spaces  The final reconstructed image is obtained by forward-propagating the undersampled k-space data through the entire network Performances of K-net (KCNN with inverse Fourier transform), I-net (ICNN with interleaved data consistency), and various combinations of the 2 different networks were tested  The test results indicated that K-net and I-net have different advantages/disadvantages in terms of tissue-structure restoration  Consequently, the combination of K-net and I-net is superior to single-domain CNNs  Three MR data sets, the T2 fluid-attenuated inversion recovery (T2 FLAIR) set from the Alzheimer's Disease Neuroimaging Initiative and 2 data sets acquired at our local institute (T2 FLAIR and T1 weighted), were used to evaluate the performance of 7 conventional reconstruction algorithms and the proposed cross-domain CNNs, which hereafter is referred to as KIKI-net  KIKI-net outperforms conventional algorithms with mean improvements of 2 29 dB in peak SNR and 0 031 in structure similarity KIKI-net exhibits superior performance over state-of-the-art conventional algorithms in terms of restoring tissue structures and removing aliasing artifacts  The results demonstrate that KIKI-net is applicable up to a reduction factor of 3 to 4 based on variable-density Cartesian undersampling </t>
  </si>
  <si>
    <t>Eo, T; Jun, Y; Kim, T; Jang, J; Lee, HJ; Hwang, D</t>
  </si>
  <si>
    <t>10 1016/j ebiom 2018 03 017</t>
  </si>
  <si>
    <t xml:space="preserve">Multi-Site Diagnostic Classification of Schizophrenia Using Discriminant Deep Learning with Functional Connectivity MRI </t>
  </si>
  <si>
    <t xml:space="preserve">A lack of a sufficiently large sample at single sites causes poor generalizability in automatic diagnosis classification of heterogeneous psychiatric disorders such as schizophrenia based on brain imaging scans  Advanced deep learning methods may be capable of learning subtle hidden patterns from high dimensional imaging data, overcome potential site-related variation, and achieve reproducible cross-site classification  However, deep learning-based cross-site transfer classification, despite less imaging site-specificity and more generalizability of diagnostic models, has not been investigated in schizophrenia A large multi-site functional MRI sample (n = 734, including 357 schizophrenic patients from seven imaging resources) was collected, and a deep discriminant autoencoder network, aimed at learning imaging site-shared functional connectivity features, was developed to discriminate schizophrenic individuals from healthy controls Accuracies of approximately 85·0% and 81·0% were obtained in multi-site pooling classification and leave-site-out transfer classification, respectively  The learned functional connectivity features revealed dysregulation of the cortical-striatal-cerebellar circuit in schizophrenia, and the most discriminating functional connections were primarily located within and across the default, salience, and control networks The findings imply that dysfunctional integration of the cortical-striatal-cerebellar circuit across the default, salience, and control networks may play an important role in the "disconnectivity" model underlying the pathophysiology of schizophrenia  The proposed discriminant deep learning method may be capable of learning reliable connectome patterns and help in understanding the pathophysiology and achieving accurate prediction of schizophrenia across multiple independent imaging sites </t>
  </si>
  <si>
    <t>DNN, Discriminant Autoencoder Network,SPARSE AUTOENCODER NETWORK</t>
  </si>
  <si>
    <t xml:space="preserve">College of Mechatronics and Automation, National University of Defense Technology, Changsha, China </t>
  </si>
  <si>
    <t>Zeng, LL; Wang, H; Hu, P; Yang, B; Pu, W; Shen, H; Chen, X; Liu, Z; Yin, H; Tan, Q; Wang, K; Hu, D</t>
  </si>
  <si>
    <t>10 1093/jamia/ocy017</t>
  </si>
  <si>
    <t xml:space="preserve">Distributed deep learning networks among institutions for medical imaging </t>
  </si>
  <si>
    <t xml:space="preserve">Deep learning has become a promising approach for automated support for clinical diagnosis  When medical data samples are limited, collaboration among multiple institutions is necessary to achieve high algorithm performance  However, sharing patient data often has limitations due to technical, legal, or ethical concerns  In this study, we propose methods of distributing deep learning models as an attractive alternative to sharing patient data We simulate the distribution of deep learning models across 4 institutions using various training heuristics and compare the results with a deep learning model trained on centrally hosted patient data  The training heuristics investigated include ensembling single institution models, single weight transfer, and cyclical weight transfer  We evaluated these approaches for image classification in 3 independent image collections (retinal fundus photos, mammography, and ImageNet) We find that cyclical weight transfer resulted in a performance that was comparable to that of centrally hosted patient data  We also found that there is an improvement in the performance of cyclical weight transfer heuristic with a high frequency of weight transfer We show that distributing deep learning models is an effective alternative to sharing patient data  This finding has implications for any collaborative deep learning study </t>
  </si>
  <si>
    <t>breast,eyes</t>
  </si>
  <si>
    <t>Journal of the American Medical Informatics Association : JAMIA</t>
  </si>
  <si>
    <t xml:space="preserve">Athinoula A  Martinos Center for Biomedical Imaging, Department of Radiology, Massachusetts General Hospital, Charlestown, MA, 02129, USA </t>
  </si>
  <si>
    <t>Chang, K; Balachandar, N; Lam, C; Yi, D; Brown, J; Beers, A; Rosen, B; Rubin, DL; Kalpathy-Cramer, J</t>
  </si>
  <si>
    <t>9430800</t>
  </si>
  <si>
    <t>10 1016/j celrep 2018 03 086</t>
  </si>
  <si>
    <t xml:space="preserve">Spatial Organization and Molecular Correlation of Tumor-Infiltrating Lymphocytes Using Deep Learning on Pathology Images </t>
  </si>
  <si>
    <t xml:space="preserve">Beyond sample curation and basic pathologic characterization, the digitized H&amp;E-stained images of TCGA samples remain underutilized  To highlight this resource, we present mappings of tumor-infiltrating lymphocytes (TILs) based on H&amp;E images from 13 TCGA tumor types  These TIL maps are derived through computational staining using a convolutional neural network trained to classify patches of images  Affinity propagation revealed local spatial structure in TIL patterns and correlation with overall survival  TIL map structural patterns were grouped using standard histopathological parameters  These patterns are enriched in particular T cell subpopulations derived from molecular measures  TIL densities and spatial structure were differentially enriched among tumor types, immune subtypes, and tumor molecular subtypes, implying that spatial infiltrate state could reflect particular tumor cell aberration states  Obtaining spatial lymphocytic patterns linked to the rich genomic characterization of TCGA samples demonstrates one use for the TCGA image archives with insights into the tumor-immune microenvironment </t>
  </si>
  <si>
    <t>Cell reports</t>
  </si>
  <si>
    <t xml:space="preserve">Department of Biomedical Informatics, Stony Brook Medicine, Stony Brook, NY 11794, USA </t>
  </si>
  <si>
    <t>Saltz, J; Gupta, R; Hou, L; Kurc, T; Singh, P; Nguyen, V; Samaras, D; Shroyer, KR; Zhao, T; Batiste, R; Van Arnam, J; , ; Shmulevich, I; Rao, AUK; Lazar, AJ; Sharma, A; Thorsson, V</t>
  </si>
  <si>
    <t>101573691</t>
  </si>
  <si>
    <t>10 1088/1361-6560/aabb5b</t>
  </si>
  <si>
    <t xml:space="preserve">Evolutionary pruning of transfer learned deep convolutional neural network for breast cancer diagnosis in digital breast tomosynthesis </t>
  </si>
  <si>
    <t xml:space="preserve">Deep learning models are highly parameterized, resulting in difficulty in inference and transfer learning for image recognition tasks  In this work, we propose a layered pathway evolution method to compress a deep convolutional neural network (DCNN) for classification of masses in digital breast tomosynthesis (DBT)  The objective is to prune the number of tunable parameters while preserving the classification accuracy  In the first stage transfer learning, 19 632 augmented regions-of-interest (ROIs) from 2454 mass lesions on mammograms were used to train a pre-trained DCNN on ImageNet  In the second stage transfer learning, the DCNN was used as a feature extractor followed by feature selection and random forest classification  The pathway evolution was performed using genetic algorithm in an iterative approach with tournament selection driven by count-preserving crossover and mutation  The second stage was trained with 9120 DBT ROIs from 228 mass lesions using leave-one-case-out cross-validation  The DCNN was reduced by 87% in the number of neurons, 34% in the number of parameters, and 95% in the number of multiply-and-add operations required in the convolutional layers  The test AUC on 89 mass lesions from 94 independent DBT cases before and after pruning were 0 88 and 0 90, respectively, and the difference was not statistically significant (p  &gt;  0 05)  The proposed DCNN compression approach can reduce the number of required operations by 95% while maintaining the classification performance  The approach can be extended to other deep neural networks and imaging tasks where transfer learning is appropriate </t>
  </si>
  <si>
    <t xml:space="preserve">Department of Radiology, University of Michigan, Ann Arbor, MI 48109-5842, United States of America </t>
  </si>
  <si>
    <t>Samala, RK; Chan, HP; Hadjiiski, LM; Helvie, MA; Richter, C; Cha, K</t>
  </si>
  <si>
    <t>10 1371/journal pone 0192726</t>
  </si>
  <si>
    <t xml:space="preserve">A deep-learning classifier identifies patients with clinical heart failure using whole-slide images of H&amp;E tissue </t>
  </si>
  <si>
    <t xml:space="preserve">Over 26 million people worldwide suffer from heart failure annually  When the cause of heart failure cannot be identified, endomyocardial biopsy (EMB) represents the gold-standard for the evaluation of disease  However, manual EMB interpretation has high inter-rater variability  Deep convolutional neural networks (CNNs) have been successfully applied to detect cancer, diabetic retinopathy, and dermatologic lesions from images  In this study, we develop a CNN classifier to detect clinical heart failure from H&amp;E stained whole-slide images from a total of 209 patients, 104 patients were used for training and the remaining 105 patients for independent testing  The CNN was able to identify patients with heart failure or severe pathology with a 99% sensitivity and 94% specificity on the test set, outperforming conventional feature-engineering approaches  Importantly, the CNN outperformed two expert pathologists by nearly 20%  Our results suggest that deep learning analytics of EMB can be used to predict cardiac outcome </t>
  </si>
  <si>
    <t xml:space="preserve">Department of Physiology, Perelman School of Medicine, University of Pennsylvania, Philadelphia, PA, United States of America </t>
  </si>
  <si>
    <t>Nirschl, JJ; Janowczyk, A; Peyster, EG; Frank, R; Margulies, KB; Feldman, MD; Madabhushi, A</t>
  </si>
  <si>
    <t>10 1016/j media 2018 03 010</t>
  </si>
  <si>
    <t xml:space="preserve">Fully automatic detection and segmentation of abdominal aortic thrombus in post-operative CTA images using Deep Convolutional Neural Networks </t>
  </si>
  <si>
    <t xml:space="preserve">Computerized Tomography Angiography (CTA) based follow-up of Abdominal Aortic Aneurysms (AAA) treated with Endovascular Aneurysm Repair (EVAR) is essential to evaluate the progress of the patient and detect complications  In this context, accurate quantification of post-operative thrombus volume is required  However, a proper evaluation is hindered by the lack of automatic, robust and reproducible thrombus segmentation algorithms  We propose a new fully automatic approach based on Deep Convolutional Neural Networks (DCNN) for robust and reproducible thrombus region of interest detection and subsequent fine thrombus segmentation  The DetecNet detection network is adapted to perform region of interest extraction from a complete CTA and a new segmentation network architecture, based on Fully Convolutional Networks and a Holistically-Nested Edge Detection Network, is presented  These networks are trained, validated and tested in 13 post-operative CTA volumes of different patients using a 4-fold cross-validation approach to provide more robustness to the results  Our pipeline achieves a Dice score of more than 82% for post-operative thrombus segmentation and provides a mean relative volume difference between ground truth and automatic segmentation that lays within the experienced human observer variance without the need of human intervention in most common cases </t>
  </si>
  <si>
    <t xml:space="preserve">Vicomtech Foundation, San Sebastián, Spain; Biodonostia Health Research Institute, San Sebastián, Spain; Universitat Pompeu Fabra, Barcelona, Spain </t>
  </si>
  <si>
    <t>López-Linares, K; Aranjuelo, N; Kabongo, L; Maclair, G; Lete, N; Ceresa, M; García-Familiar, A; Macía, I; González Ballester, MA</t>
  </si>
  <si>
    <t>10 1016/j neuroimage 2018 03 065</t>
  </si>
  <si>
    <t xml:space="preserve">Bayesian convolutional neural network based MRI brain extraction on nonhuman primates </t>
  </si>
  <si>
    <t xml:space="preserve">Brain extraction or skull stripping of magnetic resonance images (MRI) is an essential step in neuroimaging studies, the accuracy of which can severely affect subsequent image processing procedures  Current automatic brain extraction methods demonstrate good results on human brains, but are often far from satisfactory on nonhuman primates, which are a necessary part of neuroscience research  To overcome the challenges of brain extraction in nonhuman primates, we propose a fully-automated brain extraction pipeline combining deep Bayesian convolutional neural network (CNN) and fully connected three-dimensional (3D) conditional random field (CRF)  The deep Bayesian CNN, Bayesian SegNet, is used as the core segmentation engine  As a probabilistic network, it is not only able to perform accurate high-resolution pixel-wise brain segmentation, but also capable of measuring the model uncertainty by Monte Carlo sampling with dropout in the testing stage  Then, fully connected 3D CRF is used to refine the probability result from Bayesian SegNet in the whole 3D context of the brain volume  The proposed method was evaluated with a manually brain-extracted dataset comprising T1w images of 100 nonhuman primates  Our method outperforms six popular publicly available brain extraction packages and three well-established deep learning based methods with a mean Dice coefficient of 0 985 and a mean average symmetric surface distance of 0 220 mm  A better performance against all the compared methods was verified by statistical tests (all p-values &lt; 10-4, two-sided, Bonferroni corrected)  The maximum uncertainty of the model on nonhuman primate brain extraction has a mean value of 0 116 across all the 100 subjects  The behavior of the uncertainty was also studied, which shows the uncertainty increases as the training set size decreases, the number of inconsistent labels in the training set increases, or the inconsistency between the training set and the testing set increases </t>
  </si>
  <si>
    <t>Department of Medical Physics, University of Wisconsin - Madison, USA</t>
    <phoneticPr fontId="0" type="noConversion"/>
  </si>
  <si>
    <t>Zhao, G; Liu, F; Oler, JA; Meyerand, ME; Kalin, NH; Birn, RM</t>
  </si>
  <si>
    <t>10 1007/s11548-018-1749-z</t>
  </si>
  <si>
    <t xml:space="preserve">Toward a real-time system for temporal enhanced ultrasound-guided prostate biopsy </t>
  </si>
  <si>
    <t xml:space="preserve">We have previously proposed temporal enhanced ultrasound (TeUS) as a new paradigm for tissue characterization  TeUS is based on analyzing a sequence of ultrasound data with deep learning and has been demonstrated to be successful for detection of cancer in ultrasound-guided prostate biopsy  Our aim is to enable the dissemination of this technology to the community for large-scale clinical validation In this paper, we present a unified software framework demonstrating near-real-time analysis of ultrasound data stream using a deep learning solution  The system integrates ultrasound imaging hardware, visualization and a deep learning back-end to build an accessible, flexible and robust platform  A client-server approach is used in order to run computationally expensive algorithms in parallel  We demonstrate the efficacy of the framework using two applications as case studies  First, we show that prostate cancer detection using near-real-time analysis of RF and B-mode TeUS data and deep learning is feasible  Second, we present real-time segmentation of ultrasound prostate data using an integrated deep learning solution The system is evaluated for cancer detection accuracy on ultrasound data obtained from a large clinical study with 255 biopsy cores from 157 subjects  It is further assessed with an independent dataset with 21 biopsy targets from six subjects  In the first study, we achieve area under the curve, sensitivity, specificity and accuracy of 0 94, 0 77, 0 94 and 0 92, respectively, for the detection of prostate cancer  In the second study, we achieve an AUC of 0 85 Our results suggest that TeUS-guided biopsy can be potentially effective for the detection of prostate cancer </t>
  </si>
  <si>
    <t>LSTM,RNN</t>
  </si>
  <si>
    <t xml:space="preserve">The University of British Columbia, Vancouver, BC, Canada </t>
  </si>
  <si>
    <t>Azizi, S; Van Woudenberg, N; Sojoudi, S; Li, M; Xu, S; Abu Anas, EM; Yan, P; Tahmasebi, A; Kwak, JT; Turkbey, B; Choyke, P; Pinto, P; Wood, B; Mousavi, P; Abolmaesumi, P</t>
  </si>
  <si>
    <t>10 1148/radiol 2018172322</t>
  </si>
  <si>
    <t xml:space="preserve">Use of 2D U-Net Convolutional Neural Networks for Automated Cartilage and Meniscus Segmentation of Knee MR Imaging Data to Determine Relaxometry and Morphometry </t>
  </si>
  <si>
    <t xml:space="preserve">Purpose To analyze how automatic segmentation translates in accuracy and precision to morphology and relaxometry compared with manual segmentation and increases the speed and accuracy of the work flow that uses quantitative magnetic resonance (MR) imaging to study knee degenerative diseases such as osteoarthritis (OA)  Materials and Methods This retrospective study involved the analysis of 638 MR imaging volumes from two data cohorts acquired at 3 0 T: (a) spoiled gradient-recalled acquisition in the steady state T1ρ-weighted images and (b) three-dimensional (3D) double-echo steady-state (DESS) images  A deep learning model based on the U-Net convolutional network architecture was developed to perform automatic segmentation  Cartilage and meniscus compartments were manually segmented by skilled technicians and radiologists for comparison  Performance of the automatic segmentation was evaluated on Dice coefficient overlap with the manual segmentation, as well as by the automatic segmentations' ability to quantify, in a longitudinally repeatable way, relaxometry and morphology  Results The models produced strong Dice coefficients, particularly for 3D-DESS images, ranging between 0 770 and 0 878 in the cartilage compartments to 0 809 and 0 753 for the lateral meniscus and medial meniscus, respectively  The models averaged 5 seconds to generate the automatic segmentations  Average correlations between manual and automatic quantification of T1ρ and T2 values were 0 8233 and 0 8603, respectively, and 0 9349 and 0 9384 for volume and thickness, respectively  Longitudinal precision of the automatic method was comparable with that of the manual one  Conclusion U-Net demonstrates efficacy and precision in quickly generating accurate segmentations that can be used to extract relaxation times and morphologic characterization and values that can be used in the monitoring and diagnosis of OA  © RSNA, 2018 Online supplemental material is available for this article </t>
  </si>
  <si>
    <t>From the Department of Radiology and Biomedical Imaging and Center for Digital Health Innovation (CDHI), University of California, San Francisco, 1700 Fourth St, Suite 201, QB3 Building, San Francisco, CA</t>
    <phoneticPr fontId="0" type="noConversion"/>
  </si>
  <si>
    <t>Norman, B; Pedoia, V; Majumdar, S</t>
  </si>
  <si>
    <t>10 1002/mrm 27178</t>
  </si>
  <si>
    <t xml:space="preserve">Super-resolution musculoskeletal MRI using deep learning </t>
  </si>
  <si>
    <t xml:space="preserve">To develop a super-resolution technique using convolutional neural networks for generating thin-slice knee MR images from thicker input slices, and compare this method with alternative through-plane interpolation methods We implemented a 3D convolutional neural network entitled DeepResolve to learn residual-based transformations between high-resolution thin-slice images and lower-resolution thick-slice images at the same center locations  DeepResolve was trained using 124 double echo in steady-state (DESS) data sets with 0 7-mm slice thickness and tested on 17 patients  Ground-truth images were compared with DeepResolve, clinically used tricubic interpolation, and Fourier interpolation methods, along with state-of-the-art single-image sparse-coding super-resolution  Comparisons were performed using structural similarity, peak SNR, and RMS error image quality metrics for a multitude of thin-slice downsampling factors  Two musculoskeletal radiologists ranked the 3 data sets and reviewed the diagnostic quality of the DeepResolve, tricubic interpolation, and ground-truth images for sharpness, contrast, artifacts, SNR, and overall diagnostic quality  Mann-Whitney U tests evaluated differences among the quantitative image metrics, reader scores, and rankings  Cohen's Kappa (κ) evaluated interreader reliability DeepResolve had significantly better structural similarity, peak SNR, and RMS error than tricubic interpolation, Fourier interpolation, and sparse-coding super-resolution for all downsampling factors (p &lt;  05, except 4 × and 8 × sparse-coding super-resolution downsampling factors)  In the reader study, DeepResolve significantly outperformed (p &lt;  01) tricubic interpolation in all image quality categories and overall image ranking  Both readers had substantial scoring agreement (κ = 0 73) DeepResolve was capable of resolving high-resolution thin-slice knee MRI from lower-resolution thicker slices, achieving superior quantitative and qualitative diagnostic performance to both conventionally used and state-of-the-art methods </t>
  </si>
  <si>
    <t xml:space="preserve">Department of Radiology, Stanford University, Stanford, California </t>
  </si>
  <si>
    <t>Chaudhari, AS; Fang, Z; Kogan, F; Wood, J; Stevens, KJ; Gibbons, EK; Lee, JH; Gold, GE; Hargreaves, BA</t>
  </si>
  <si>
    <t>10 1080/17453674 2018 1453714</t>
  </si>
  <si>
    <t xml:space="preserve">Automated detection and classification of the proximal humerus fracture by using deep learning algorithm </t>
  </si>
  <si>
    <t xml:space="preserve">Background and purpose - We aimed to evaluate the ability of artificial intelligence (a deep learning algorithm) to detect and classify proximal humerus fractures using plain anteroposterior shoulder radiographs  Patients and methods - 1,891 images (1 image per person) of normal shoulders (n = 515) and 4 proximal humerus fracture types (greater tuberosity, 346; surgical neck, 514; 3-part, 269; 4-part, 247) classified by 3 specialists were evaluated  We trained a deep convolutional neural network (CNN) after augmentation of a training dataset  The ability of the CNN, as measured by top-1 accuracy, area under receiver operating characteristics curve (AUC), sensitivity/specificity, and Youden index, in comparison with humans (28 general physicians, 11 general orthopedists, and 19 orthopedists specialized in the shoulder) to detect and classify proximal humerus fractures was evaluated  Results - The CNN showed a high performance of 96% top-1 accuracy, 1 00 AUC, 0 99/0 97 sensitivity/specificity, and 0 97 Youden index for distinguishing normal shoulders from proximal humerus fractures  In addition, the CNN showed promising results with 65-86% top-1 accuracy, 0 90-0 98 AUC, 0 88/0 83-0 97/0 94 sensitivity/specificity, and 0 71-0 90 Youden index for classifying fracture type  When compared with the human groups, the CNN showed superior performance to that of general physicians and orthopedists, similar performance to orthopedists specialized in the shoulder, and the superior performance of the CNN was more marked in complex 3- and 4-part fractures  Interpretation - The use of artificial intelligence can accurately detect and classify proximal humerus fractures on plain shoulder AP radiographs  Further studies are necessary to determine the feasibility of applying artificial intelligence in the clinic and whether its use could improve care and outcomes compared with current orthopedic assessments </t>
  </si>
  <si>
    <t>Acta orthopaedica</t>
  </si>
  <si>
    <t xml:space="preserve">a Department of Orthopaedic Surgery and </t>
    <phoneticPr fontId="0" type="noConversion"/>
  </si>
  <si>
    <t>Chung, SW; Han, SS; Lee, JW; Oh, KS; Kim, NR; Yoon, JP; Kim, JY; Moon, SH; Kwon, J; Lee, HJ; Noh, YM; Kim, Y</t>
  </si>
  <si>
    <t>101231512</t>
  </si>
  <si>
    <t>10 3969/j issn 1004-5619 2018 01 006</t>
  </si>
  <si>
    <t xml:space="preserve">[Automated Assessment for Bone Age of Left Wrist Joint in Uyghur Teenagers by Deep Learning] </t>
  </si>
  <si>
    <t xml:space="preserve">To realize the automated bone age assessment by applying deep learning to digital radiography （DR） image recognition of left wrist joint in Uyghur teenagers, and explore its practical application value in forensic medicine bone age assessment The X-ray films of left wrist joint after pretreatment, which were taken from 245 male and 227 female Uyghur nationality teenagers in Uygur Autonomous Region aged from 13 0 to 19 0 years old, were chosen as subjects  And AlexNet was as a regression model of image recognition  From the total samples above, 60％ of male and female DR images of left wrist joint were selected as net train set, and 10％ of samples were selected as validation set  As test set, the rest 30％ were used to obtain the image recognition accuracy with an error range in ±1 0 and ±0 7 age respectively, compared to the real age The modelling results of deep learning algorithm showed that when the error range was in ±1 0 and ±0 7 age respectively, the accuracy of the net train set was 81 4% and 75 6% in male, and 80 5% and 74 8% in female, respectively  When the error range was in ±1 0 and ±0 7 age respectively, the accuracy of the test set was 79 5% and 71 2% in male, and 79 4% and 66 2% in female, respectively The combination of bone age research on teenagers' left wrist joint and deep learning, which has high accuracy and good feasibility, can be the research basis of bone age automatic assessment system for the rest joints of body </t>
  </si>
  <si>
    <t>Fa yi xue za zhi</t>
  </si>
  <si>
    <t xml:space="preserve">Shanghai Key Laboratory of Forensic Medicine, Shanghai Forensic Service Platform, Academy of Forensic Science, Shanghai 200063, China </t>
  </si>
  <si>
    <t>Hu, TH; Huo, Z; Liu, TA; Wang, F; Wan, L; Wang, MW; Chen, T; Wang, YH</t>
  </si>
  <si>
    <t>9426151</t>
  </si>
  <si>
    <t>10 1002/mp 12870</t>
  </si>
  <si>
    <t xml:space="preserve">Reconstruction of undersampled radial free-breathing 3D abdominal MRI using stacked convolutional auto-encoders </t>
  </si>
  <si>
    <t xml:space="preserve">Free-breathing three-dimensional (3D) abdominal imaging is a challenging task for MRI, as respiratory motion severely degrades image quality  One of the most promising self-navigation techniques is the 3D golden-angle radial stack-of-stars (SOS) sequence, which has advantages in terms of speed, resolution, and allowing free breathing  However, streaking artifacts are still clearly observed in reconstructed images when undersampling is applied  This work presents a novel reconstruction approach based on a stacked convolutional auto-encoder (SCAE) network to solve this problem Thirty healthy volunteers participated in our experiment  To build the dataset, reference and artifact-affected images were reconstructed using 451 golden-angle spokes and the first 20, 40, or 90 golden-angle spokes corresponding to acceleration rates of 31 4, 15 7, and 6 98, respectively  In the training step, we trained the SCAE by feeding it with patches from artifact-affected images  The SCAE outputs patches in the corresponding reference images  In the testing step, we applied the trained SCAE to map each input artifact-affected patch to the corresponding reference image patch The SCAE-based reconstruction images with acceleration rates of 6 98 and 15 7 show nearly similar quality as the reference images  Additionally, the calculation time is below 1 s  Moreover, the proposed approach preserves important features, such as lesions not presented in the training set The preliminary results demonstrate the feasibility of the proposed SCAE-based strategy for correcting the streaking artifacts of undersampled free-breathing 3D abdominal MRI with a negligible reconstruction time </t>
  </si>
  <si>
    <t>stacked autoencoder, CONVOLUTIONAL AUTOENCODER</t>
  </si>
  <si>
    <t xml:space="preserve">Academy for Advanced Interdisciplinary Studies, Peking University, Beijing, 100871, China </t>
  </si>
  <si>
    <t>Lv, J; Chen, K; Yang, M; Zhang, J; Wang, X</t>
  </si>
  <si>
    <t>10 1016/j compmedimag 2018 03 001</t>
  </si>
  <si>
    <t xml:space="preserve">An application of cascaded 3D fully convolutional networks for medical image segmentation </t>
  </si>
  <si>
    <t xml:space="preserve">Recent advances in 3D fully convolutional networks (FCN) have made it feasible to produce dense voxel-wise predictions of volumetric images  In this work, we show that a multi-class 3D FCN trained on manually labeled CT scans of several anatomical structures (ranging from the large organs to thin vessels) can achieve competitive segmentation results, while avoiding the need for handcrafting features or training class-specific models  To this end, we propose a two-stage, coarse-to-fine approach that will first use a 3D FCN to roughly define a candidate region, which will then be used as input to a second 3D FCN  This reduces the number of voxels the second FCN has to classify to ∼10% and allows it to focus on more detailed segmentation of the organs and vessels  We utilize training and validation sets consisting of 331 clinical CT images and test our models on a completely unseen data collection acquired at a different hospital that includes 150 CT scans, targeting three anatomical organs (liver, spleen, and pancreas)  In challenging organs such as the pancreas, our cascaded approach improves the mean Dice score from 68 5 to 82 2%, achieving the highest reported average score on this dataset  We compare with a 2D FCN method on a separate dataset of 240 CT scans with 18 classes and achieve a significantly higher performance in small organs and vessels  Furthermore, we explore fine-tuning our models to different datasets  Our experiments illustrate the promise and robustness of current 3D FCN based semantic segmentation of medical images, achieving state-of-the-art results 1 </t>
  </si>
  <si>
    <t xml:space="preserve">Nagoya University, Furo-cho, Chikusa-ku, Nagoya, Japan </t>
  </si>
  <si>
    <t>Roth, HR; Oda, H; Zhou, X; Shimizu, N; Yang, Y; Hayashi, Y; Oda, M; Fujiwara, M; Misawa, K; Mori, K</t>
  </si>
  <si>
    <t>10 1016/j neuroimage 2018 03 045</t>
  </si>
  <si>
    <t xml:space="preserve">3D conditional generative adversarial networks for high-quality PET image estimation at low dose </t>
  </si>
  <si>
    <t xml:space="preserve">Positron emission tomography (PET) is a widely used imaging modality, providing insight into both the biochemical and physiological processes of human body  Usually, a full dose radioactive tracer is required to obtain high-quality PET images for clinical needs  This inevitably raises concerns about potential health hazards  On the other hand, dose reduction may cause the increased noise in the reconstructed PET images, which impacts the image quality to a certain extent  In this paper, in order to reduce the radiation exposure while maintaining the high quality of PET images, we propose a novel method based on 3D conditional generative adversarial networks (3D c-GANs) to estimate the high-quality full-dose PET images from low-dose ones  Generative adversarial networks (GANs) include a generator network and a discriminator network which are trained simultaneously with the goal of one beating the other  Similar to GANs, in the proposed 3D c-GANs, we condition the model on an input low-dose PET image and generate a corresponding output full-dose PET image  Specifically, to render the same underlying information between the low-dose and full-dose PET images, a 3D U-net-like deep architecture which can combine hierarchical features by using skip connection is designed as the generator network to synthesize the full-dose image  In order to guarantee the synthesized PET image to be close to the real one, we take into account of the estimation error loss in addition to the discriminator feedback to train the generator network  Furthermore, a concatenated 3D c-GANs based progressive refinement scheme is also proposed to further improve the quality of estimated images  Validation was done on a real human brain dataset including both the normal subjects and the subjects diagnosed as mild cognitive impairment (MCI)  Experimental results show that our proposed 3D c-GANs method outperforms the benchmark methods and achieves much better performance than the state-of-the-art methods in both qualitative and quantitative measures </t>
  </si>
  <si>
    <t xml:space="preserve">School of Computer Science, Sichuan University, China </t>
  </si>
  <si>
    <t>Wang, Y; Yu, B; Wang, L; Zu, C; Lalush, DS; Lin, W; Wu, X; Zhou, J; Shen, D; Zhou, L</t>
  </si>
  <si>
    <t>10 3174/ajnr A5597</t>
  </si>
  <si>
    <t xml:space="preserve">3D Deep Learning Angiography (3D-DLA) from C-arm Conebeam CT </t>
  </si>
  <si>
    <t xml:space="preserve">Deep learning is a branch of artificial intelligence that has demonstrated unprecedented performance in many medical imaging applications  Our purpose was to develop a deep learning angiography method to generate 3D cerebral angiograms from a single contrast-enhanced C-arm conebeam CT acquisition in order to reduce image artifacts and radiation dose A set of 105 3D rotational angiography examinations were randomly selected from an internal data base  All were acquired using a clinical system in conjunction with a standard injection protocol  More than 150 million labeled voxels from 35 subjects were used for training  A deep convolutional neural network was trained to classify each image voxel into 3 tissue types (vasculature, bone, and soft tissue)  The trained deep learning angiography model was then applied for tissue classification into a validation cohort of 8 subjects and a final testing cohort of the remaining 62 subjects  The final vasculature tissue class was used to generate the 3D deep learning angiography images  To quantify the generalization error of the trained model, we calculated the accuracy, sensitivity, precision, and Dice similarity coefficients for vasculature classification in relevant anatomy  The 3D deep learning angiography and clinical 3D rotational angiography images were subjected to a qualitative assessment for the presence of intersweep motion artifacts Vasculature classification accuracy and 95% CI in the testing dataset were 98 7% (98 3%-99 1%)  No residual signal from osseous structures was observed for any 3D deep learning angiography testing cases except for small regions in the otic capsule and nasal cavity compared with 37% (23/62) of the 3D rotational angiographies Deep learning angiography accurately recreated the vascular anatomy of the 3D rotational angiography reconstructions without a mask  Deep learning angiography reduced misregistration artifacts induced by intersweep motion, and it reduced radiation exposure required to obtain clinically useful 3D rotational angiography </t>
  </si>
  <si>
    <t xml:space="preserve">From the Departments of Medical Physics (J C M , Y L , G -H C ) </t>
    <phoneticPr fontId="0" type="noConversion"/>
  </si>
  <si>
    <t>Montoya, JC; Li, Y; Strother, C; Chen, GH</t>
  </si>
  <si>
    <t>10 3233/XST-17349</t>
  </si>
  <si>
    <t xml:space="preserve">Projection decomposition algorithm for dual-energy computed tomography via deep neural network </t>
  </si>
  <si>
    <t xml:space="preserve">Dual-energy computed tomography (DECT) has been widely used to improve identification of substances from different spectral information  Decomposition of the mixed test samples into two materials relies on a well-calibrated material decomposition function This work aims to establish and validate a data-driven algorithm for estimation of the decomposition function A deep neural network (DNN) consisting of two sub-nets is proposed to solve the projection decomposition problem  The compressing sub-net, substantially a stack auto-encoder (SAE), learns a compact representation of energy spectrum  The decomposing sub-net with a two-layer structure fits the nonlinear transform between energy projection and basic material thickness The proposed DNN not only delivers image with lower standard deviation and higher quality in both simulated and real data, and also yields the best performance in cases mixed with photon noise  Moreover, DNN costs only 0 4 s to generate a decomposition solution of 360 × 512 size scale, which is about 200 times faster than the competing algorithms The DNN model is applicable to the decomposition tasks with different dual energies  Experimental results demonstrated the strong function fitting ability of DNN  Thus, the Deep learning paradigm provides a promising approach to solve the nonlinear problem in DECT </t>
  </si>
  <si>
    <t xml:space="preserve">National Digital Switching System Engineering &amp; Technological R &amp; D Centre, Zhengzhou, Henan, China </t>
  </si>
  <si>
    <t>Xu, Y; Yan, B; Chen, J; Zeng, L; Li, L</t>
  </si>
  <si>
    <t>10 1007/s11548-018-1733-7</t>
  </si>
  <si>
    <t xml:space="preserve">Automatic bladder segmentation from CT images using deep CNN and 3D fully connected CRF-RNN </t>
  </si>
  <si>
    <t xml:space="preserve">Automatic approach for bladder segmentation from computed tomography (CT) images is highly desirable in clinical practice  It is a challenging task since the bladder usually suffers large variations of appearance and low soft-tissue contrast in CT images  In this study, we present a deep learning-based approach which involves a convolutional neural network (CNN) and a 3D fully connected conditional random fields recurrent neural network (CRF-RNN) to perform accurate bladder segmentation  We also propose a novel preprocessing method, called dual-channel preprocessing, to further advance the segmentation performance of our approach The presented approach works as following: first, we apply our proposed preprocessing method on the input CT image and obtain a dual-channel image which consists of the CT image and an enhanced bladder density map  Second, we exploit a CNN to predict a coarse voxel-wise bladder score map on this dual-channel image  Finally, a 3D fully connected CRF-RNN refines the coarse bladder score map and produce final fine-localized segmentation result We compare our approach to the state-of-the-art V-net on a clinical dataset  Results show that our approach achieves superior segmentation accuracy, outperforming the V-net by a significant margin  The Dice Similarity Coefficient of our approach (92 24%) is 8 12% higher than that of the V-net  Moreover, the bladder probability maps performed by our approach present sharper boundaries and more accurate localizations compared with that of the V-net Our approach achieves higher segmentation accuracy than the state-of-the-art method on clinical data  Both the dual-channel processing and the 3D fully connected CRF-RNN contribute to this improvement  The united deep network composed of the CNN and 3D CRF-RNN also outperforms a system where the CRF model acts as a post-processing method disconnected from the CNN </t>
  </si>
  <si>
    <t>CNN,RNN,VNET</t>
  </si>
  <si>
    <t xml:space="preserve">Image Processing Center, School of Astronautics, Beihang University, Xueyuan Road No 37, Beijing, China </t>
  </si>
  <si>
    <t>Xu, X; Zhou, F; Liu, B</t>
  </si>
  <si>
    <t>10 1016/j media 2018 03 002</t>
  </si>
  <si>
    <t xml:space="preserve">A deep learning approach for pose estimation from volumetric OCT data </t>
  </si>
  <si>
    <t xml:space="preserve">Tracking the pose of instruments is a central problem in image-guided surgery  For microscopic scenarios, optical coherence tomography (OCT) is increasingly used as an imaging modality  OCT is suitable for accurate pose estimation due to its micrometer range resolution and volumetric field of view  However, OCT image processing is challenging due to speckle noise and reflection artifacts in addition to the images' 3D nature  We address pose estimation from OCT volume data with a new deep learning-based tracking framework  For this purpose, we design a new 3D convolutional neural network (CNN) architecture to directly predict the 6D pose of a small marker geometry from OCT volumes  We use a hexapod robot to automatically acquire labeled data points which we use to train 3D CNN architectures for multi-output regression  We use this setup to provide an in-depth analysis on deep learning-based pose estimation from volumes  Specifically, we demonstrate that exploiting volume information for pose estimation yields higher accuracy than relying on 2D representations with depth information  Supporting this observation, we provide quantitative and qualitative results that 3D CNNs effectively exploit the depth structure of marker objects  Regarding the deep learning aspect, we present efficient design principles for 3D CNNs, making use of insights from the 2D deep learning community  In particular, we present Inception3D as a new architecture which performs best for our application  We show that our deep learning approach reaches errors at our ground-truth label's resolution  We achieve a mean average error of 14 8 ± 9 3 µm and 0 096 ± 0 072° for position and orientation learning, respectively </t>
  </si>
  <si>
    <t xml:space="preserve">Hamburg University of Technology, Schwarzenbergstraße 95 21073, Hamburg </t>
  </si>
  <si>
    <t>Gessert, N; Schlüter, M; Schlaefer, A</t>
  </si>
  <si>
    <t>10 1038/s41598-018-22437-z</t>
  </si>
  <si>
    <t xml:space="preserve">Detecting and classifying lesions in mammograms with Deep Learning </t>
  </si>
  <si>
    <t xml:space="preserve">In the last two decades, Computer Aided Detection (CAD) systems were developed to help radiologists analyse screening mammograms, however benefits of current CAD technologies appear to be contradictory, therefore they should be improved to be ultimately considered useful  Since 2012, deep convolutional neural networks (CNN) have been a tremendous success in image recognition, reaching human performance  These methods have greatly surpassed the traditional approaches, which are similar to currently used CAD solutions  Deep CNN-s have the potential to revolutionize medical image analysis  We propose a CAD system based on one of the most successful object detection frameworks, Faster R-CNN  The system detects and classifies malignant or benign lesions on a mammogram without any human intervention  The proposed method sets the state of the art classification performance on the public INbreast database, AUC = 0 95  The approach described here has achieved 2nd place in the Digital Mammography DREAM Challenge with AUC = 0 85  When used as a detector, the system reaches high sensitivity with very few false positive marks per image on the INbreast dataset  Source code, the trained model and an OsiriX plugin are published online at https://github com/riblidezso/frcnn_cad  </t>
  </si>
  <si>
    <t xml:space="preserve">Department of Physics of Complex Systems, Eötvös Loránd University, Budapest, Hungary </t>
  </si>
  <si>
    <t>Ribli, D; Horváth, A; Unger, Z; Pollner, P; Csabai, I</t>
  </si>
  <si>
    <t>10 1016/j cmpb 2018 02 003</t>
  </si>
  <si>
    <t xml:space="preserve">A novel biomedical image indexing and retrieval system via deep preference learning </t>
  </si>
  <si>
    <t xml:space="preserve">The traditional biomedical image retrieval methods as well as content-based image retrieval (CBIR) methods originally designed for non-biomedical images either only consider using pixel and low-level features to describe an image or use deep features to describe images but still leave a lot of room for improving both accuracy and efficiency  In this work, we propose a new approach, which exploits deep learning technology to extract the high-level and compact features from biomedical images  The deep feature extraction process leverages multiple hidden layers to capture substantial feature structures of high-resolution images and represent them at different levels of abstraction, leading to an improved performance for indexing and retrieval of biomedical images We exploit the current popular and multi-layered deep neural networks, namely, stacked denoising autoencoders (SDAE) and convolutional neural networks (CNN) to represent the discriminative features of biomedical images by transferring the feature representations and parameters of pre-trained deep neural networks from another domain  Moreover, in order to index all the images for finding the similarly referenced images, we also introduce preference learning technology to train and learn a kind of a preference model for the query image, which can output the similarity ranking list of images from a biomedical image database  To the best of our knowledge, this paper introduces preference learning technology for the first time into biomedical image retrieval We evaluate the performance of two powerful algorithms based on our proposed system and compare them with those of popular biomedical image indexing approaches and existing regular image retrieval methods with detailed experiments over several well-known public biomedical image databases  Based on different criteria for the evaluation of retrieval performance, experimental results demonstrate that our proposed algorithms outperform the state-of-the-art techniques in indexing biomedical images We propose a novel and automated indexing system based on deep preference learning to characterize biomedical images for developing computer aided diagnosis (CAD) systems in healthcare  Our proposed system shows an outstanding indexing ability and high efficiency for biomedical image retrieval applications and it can be used to collect and annotate the high-resolution images in a biomedical database for further biomedical image research and applications </t>
  </si>
  <si>
    <t xml:space="preserve">College of Computer Science and Technology, Jilin University, Qianjin Street: 2699, Jilin Province, China; Department of Computing, Macquarie University, Sydney, NSW 2109, Australia </t>
  </si>
  <si>
    <t>Pang, S; Orgun, MA; Yu, Z</t>
  </si>
  <si>
    <t>10 1016/j cmpb 2018 01 025</t>
  </si>
  <si>
    <t xml:space="preserve">NiftyNet: a deep-learning platform for medical imaging </t>
  </si>
  <si>
    <t xml:space="preserve">Medical image analysis and computer-assisted intervention problems are increasingly being addressed with deep-learning-based solutions  Established deep-learning platforms are flexible but do not provide specific functionality for medical image analysis and adapting them for this domain of application requires substantial implementation effort  Consequently, there has been substantial duplication of effort and incompatible infrastructure developed across many research groups  This work presents the open-source NiftyNet platform for deep learning in medical imaging  The ambition of NiftyNet is to accelerate and simplify the development of these solutions, and to provide a common mechanism for disseminating research outputs for the community to use, adapt and build upon The NiftyNet infrastructure provides a modular deep-learning pipeline for a range of medical imaging applications including segmentation, regression, image generation and representation learning applications  Components of the NiftyNet pipeline including data loading, data augmentation, network architectures, loss functions and evaluation metrics are tailored to, and take advantage of, the idiosyncracies of medical image analysis and computer-assisted intervention  NiftyNet is built on the TensorFlow framework and supports features such as TensorBoard visualization of 2D and 3D images and computational graphs by default We present three illustrative medical image analysis applications built using NiftyNet infrastructure: (1) segmentation of multiple abdominal organs from computed tomography; (2) image regression to predict computed tomography attenuation maps from brain magnetic resonance images; and (3) generation of simulated ultrasound images for specified anatomical poses The NiftyNet infrastructure enables researchers to rapidly develop and distribute deep learning solutions for segmentation, regression, image generation and representation learning applications, or extend the platform to new applications </t>
  </si>
  <si>
    <t>UNET,VNET</t>
  </si>
  <si>
    <t>government</t>
    <phoneticPr fontId="0" type="noConversion"/>
  </si>
  <si>
    <t xml:space="preserve">Wellcome / EPSRC Centre for Interventional and Surgical Sciences (WEISS), University College London, UK; Centre for Medical Image Computing (CMIC), Departments of Medical Physics &amp; Biomedical Engineering and Computer Science, University College London, UK </t>
  </si>
  <si>
    <t>Gibson, E; Li, W; Sudre, C; Fidon, L; Shakir, DI; Wang, G; Eaton-Rosen, Z; Gray, R; Doel, T; Hu, Y; Whyntie, T; Nachev, P; Modat, M; Barratt, DC; Ourselin, S; Cardoso, MJ; Vercauteren, T</t>
  </si>
  <si>
    <t>10 1016/j compbiomed 2018 03 003</t>
  </si>
  <si>
    <t xml:space="preserve">Automatic classification of tissue malignancy for breast carcinoma diagnosis </t>
  </si>
  <si>
    <t xml:space="preserve">Breast cancer is the second leading cause of cancer death among women  Its early diagnosis is extremely important to prevent avoidable deaths  However, malignancy assessment of tissue biopsies is complex and dependent on observer subjectivity  Moreover, hematoxylin and eosin (H&amp;E)-stained histological images exhibit a highly variable appearance, even within the same malignancy level  In this paper, we propose a computer-aided diagnosis (CAD) tool for automated malignancy assessment of breast tissue samples based on the processing of histological images  We provide four malignancy levels as the output of the system: normal, benign, in situ and invasive  The method is based on the calculation of three sets of features related to nuclei, colour regions and textures considering local characteristics and global image properties  By taking advantage of well-established image processing techniques, we build a feature vector for each image that serves as an input to an SVM (Support Vector Machine) classifier with a quadratic kernel  The method has been rigorously evaluated, first with a 5-fold cross-validation within an initial set of 120 images, second with an external set of 30 different images and third with images with artefacts included  Accuracy levels range from 75 8% when the 5-fold cross-validation was performed to 75% with the external set of new images and 61 11% when the extremely difficult images were added to the classification experiment  The experimental results indicate that the proposed method is capable of distinguishing between four malignancy levels with high accuracy  Our results are close to those obtained with recent deep learning-based methods  Moreover, it performs better than other state-of-the-art methods based on feature extraction, and it can help improve the CAD of breast cancer </t>
  </si>
  <si>
    <t xml:space="preserve">Signal Processing and Communication Department, Engineering School, University of Seville, Seville, Spain </t>
  </si>
  <si>
    <t>Fondón, I; Sarmiento, A; García, AI; Silvestre, M; Eloy, C; Polónia, A; Aguiar, P</t>
  </si>
  <si>
    <t>10 1186/s12859-018-2087-4</t>
  </si>
  <si>
    <t xml:space="preserve">Assessing microscope image focus quality with deep learning </t>
  </si>
  <si>
    <t xml:space="preserve">Large image datasets acquired on automated microscopes typically have some fraction of low quality, out-of-focus images, despite the use of hardware autofocus systems  Identification of these images using automated image analysis with high accuracy is important for obtaining a clean, unbiased image dataset  Complicating this task is the fact that image focus quality is only well-defined in foreground regions of images, and as a result, most previous approaches only enable a computation of the relative difference in quality between two or more images, rather than an absolute measure of quality We present a deep neural network model capable of predicting an absolute measure of image focus on a single image in isolation, without any user-specified parameters  The model operates at the image-patch level, and also outputs a measure of prediction certainty, enabling interpretable predictions  The model was trained on only 384 in-focus Hoechst (nuclei) stain images of U2OS cells, which were synthetically defocused to one of 11 absolute defocus levels during training  The trained model can generalize on previously unseen real Hoechst stain images, identifying the absolute image focus to within one defocus level (approximately 3 pixel blur diameter difference) with 95% accuracy  On a simpler binary in/out-of-focus classification task, the trained model outperforms previous approaches on both Hoechst and Phalloidin (actin) stain images (F-scores of 0 89 and 0 86, respectively over 0 84 and 0 83), despite only having been presented Hoechst stain images during training  Lastly, we observe qualitatively that the model generalizes to two additional stains, Hoechst and Tubulin, of an unseen cell type (Human MCF-7) acquired on a different instrument Our deep neural network enables classification of out-of-focus microscope images with both higher accuracy and greater precision than previous approaches via interpretable patch-level focus and certainty predictions  The use of synthetically defocused images precludes the need for a manually annotated training dataset  The model also generalizes to different image and cell types  The framework for model training and image prediction is available as a free software library and the pre-trained model is available for immediate use in Fiji (ImageJ) and CellProfiler </t>
  </si>
  <si>
    <t xml:space="preserve">Google Inc, Mountain View, CA, USA </t>
  </si>
  <si>
    <t>Yang, SJ; Berndl, M; Michael Ando, D; Barch, M; Narayanaswamy, A; Christiansen, E; Hoyer, S; Roat, C; Hung, J; Rueden, CT; Shankar, A; Finkbeiner, S; Nelson, P</t>
  </si>
  <si>
    <t>10 1155/2018/2391925</t>
  </si>
  <si>
    <t xml:space="preserve">Automated Whole-Body Bone Lesion Detection for Multiple Myeloma on 68Ga-Pentixafor PET/CT Imaging Using Deep Learning Methods </t>
  </si>
  <si>
    <t xml:space="preserve">The identification of bone lesions is crucial in the diagnostic assessment of multiple myeloma (MM)  68Ga-Pentixafor PET/CT can capture the abnormal molecular expression of CXCR-4 in addition to anatomical changes  However, whole-body detection of dozens of lesions on hybrid imaging is tedious and error prone  It is even more difficult to identify lesions with a large heterogeneity  This study employed deep learning methods to automatically combine characteristics of PET and CT for whole-body MM bone lesion detection in a 3D manner  Two convolutional neural networks (CNNs), V-Net and W-Net, were adopted to segment and detect the lesions  The feasibility of deep learning for lesion detection on 68Ga-Pentixafor PET/CT was first verified on digital phantoms generated using realistic PET simulation methods  Then the proposed methods were evaluated on real 68Ga-Pentixafor PET/CT scans of MM patients  The preliminary results showed that deep learning method can leverage multimodal information for spatial feature representation, and W-Net obtained the best result for segmentation and lesion detection  It also outperformed traditional machine learning methods such as random forest classifier (RF), k-Nearest Neighbors (k-NN), and support vector machine (SVM)  The proof-of-concept study encourages further development of deep learning approach for MM lesion detection in population study </t>
  </si>
  <si>
    <t>VNet,WNet</t>
  </si>
  <si>
    <t xml:space="preserve">Department of Informatics, Technische Universität München, Munich, Germany </t>
  </si>
  <si>
    <t>Xu, L; Tetteh, G; Lipkova, J; Zhao, Y; Li, H; Christ, P; Piraud, M; Buck, A; Shi, K; Menze, BH</t>
  </si>
  <si>
    <t>10 1007/s11517-018-1803-6</t>
  </si>
  <si>
    <t xml:space="preserve">Patient-specific and global convolutional neural networks for robust automatic liver tumor delineation in follow-up CT studies </t>
  </si>
  <si>
    <t xml:space="preserve">Radiological longitudinal follow-up of tumors in CT scans is essential for disease assessment and liver tumor therapy  Currently, most tumor size measurements follow the RECIST guidelines, which can be off by as much as 50%  True volumetric measurements are more accurate but require manual delineation, which is time-consuming and user-dependent  We present a convolutional neural networks (CNN) based method for robust automatic liver tumor delineation in longitudinal CT studies that uses both global and patient specific CNNs trained on a small database of delineated images  The inputs are the baseline scan and the tumor delineation, a follow-up scan, and a liver tumor global CNN voxel classifier built from radiologist-validated liver tumor delineations  The outputs are the tumor delineations in the follow-up CT scan  The baseline scan tumor delineation serves as a high-quality prior for the tumor characterization in the follow-up scans  It is used to evaluate the global CNN performance on the new case and to reliably predict failures of the global CNN on the follow-up scan  High-scoring cases are segmented with a global CNN; low-scoring cases, which are predicted to be failures of the global CNN, are segmented with a patient-specific CNN built from the baseline scan  Our experimental results on 222 tumors from 31 patients yield an average overlap error of 17% (std = 11 2) and surface distance of 2 1 mm (std = 1 8), far better than stand-alone segmentation  Importantly, the robustness of our method improved from 67% for stand-alone global CNN segmentation to 100%  Unlike other medical imaging deep learning approaches, which require large annotated training datasets, our method exploits the follow-up framework to yield accurate tumor tracking and failure detection and correction with a small training dataset  Graphical abstract Flow diagram of the proposed method  In the offline mode (orange), a global CNN is trained as a voxel classifier to segment liver tumor as in [31]  The online mode (blue) is used for each new case  The input is baseline scan with delineation and the follow-up CT scan to be segmented  The main novelty is the ability to predict failures by trying the system on the baseline scan and the ability to correct them using the patient-specific CNN </t>
  </si>
  <si>
    <t xml:space="preserve">School of Computer Science and Engineering, The Hebrew University of Jerusalem, Jerusalem, Israel </t>
  </si>
  <si>
    <t>Vivanti, R; Joskowicz, L; Lev-Cohain, N; Ephrat, A; Sosna, J</t>
  </si>
  <si>
    <t>10 1016/j compmedimag 2018 02 002</t>
  </si>
  <si>
    <t xml:space="preserve">Segmentation of white matter hyperintensities using convolutional neural networks with global spatial information in routine clinical brain MRI with none or mild vascular pathology </t>
  </si>
  <si>
    <t xml:space="preserve">We propose an adaptation of a convolutional neural network (CNN) scheme proposed for segmenting brain lesions with considerable mass-effect, to segment white matter hyperintensities (WMH) characteristic of brains with none or mild vascular pathology in routine clinical brain magnetic resonance images (MRI)  This is a rather difficult segmentation problem because of the small area (i e , volume) of the WMH and their similarity to non-pathological brain tissue  We investigate the effectiveness of the 2D CNN scheme by comparing its performance against those obtained from another deep learning approach: Deep Boltzmann Machine (DBM), two conventional machine learning approaches: Support Vector Machine (SVM) and Random Forest (RF), and a public toolbox: Lesion Segmentation Tool (LST), all reported to be useful for segmenting WMH in MRI  We also introduce a way to incorporate spatial information in convolution level of CNN for WMH segmentation named global spatial information (GSI)  Analysis of covariance corroborated known associations between WMH progression, as assessed by all methods evaluated, and demographic and clinical data  Deep learning algorithms outperform conventional machine learning algorithms by excluding MRI artefacts and pathologies that appear similar to WMH  Our proposed approach of incorporating GSI also successfully helped CNN to achieve better automatic WMH segmentation regardless of network's settings tested  The mean Dice Similarity Coefficient (DSC) values for LST-LGA, SVM, RF, DBM, CNN and CNN-GSI were 0 2963, 0 1194, 0 1633, 0 3264, 0 5359 and 5389 respectively </t>
  </si>
  <si>
    <t>DBM</t>
  </si>
  <si>
    <t xml:space="preserve">School of Informatics, University of Edinburgh, Edinburgh, UK; Centre for Clinical Brain Sciences, University of Edinburgh, Edinburgh, UK </t>
  </si>
  <si>
    <t xml:space="preserve">Rachmadi, MF; Valdés-Hernández, MDC; Agan, MLF; Di Perri, C; Komura, T; , </t>
  </si>
  <si>
    <t>10 1002/mrm 27166</t>
  </si>
  <si>
    <t xml:space="preserve">A convolutional neural network to filter artifacts in spectroscopic MRI </t>
  </si>
  <si>
    <t xml:space="preserve">Proton MRSI is a noninvasive modality capable of generating volumetric maps of in vivo tissue metabolism without the need for ionizing radiation or injected contrast agent  Magnetic resonance spectroscopic imaging has been shown to be a viable imaging modality for studying several neuropathologies  However, a key hurdle in the routine clinical adoption of MRSI is the presence of spectral artifacts that can arise from a number of sources, possibly leading to false information A deep learning model was developed that was capable of identifying and filtering out poor quality spectra  The core of the model used a tiled convolutional neural network that analyzed frequency-domain spectra to detect artifacts When compared with a panel of MRS experts, our convolutional neural network achieved high sensitivity and specificity with an area under the curve of 0 95  A visualization scheme was implemented to better understand how the convolutional neural network made its judgement on single-voxel or multivoxel MRSI, and the convolutional neural network was embedded into a pipeline capable of producing whole-brain spectroscopic MRI volumes in real time The fully automated method for assessment of spectral quality provides a valuable tool to support clinical MRSI or spectroscopic MRI studies for use in fields such as adaptive radiation therapy planning </t>
  </si>
  <si>
    <t xml:space="preserve">Department of Radiation Oncology, Emory University, Atlanta, Georgia </t>
  </si>
  <si>
    <t>Gurbani, SS; Schreibmann, E; Maudsley, AA; Cordova, JS; Soher, BJ; Poptani, H; Verma, G; Barker, PB; Shim, H; Cooper, LAD</t>
  </si>
  <si>
    <t>10 1016/j media 2018 02 009</t>
  </si>
  <si>
    <t xml:space="preserve">Multi-channel multi-scale fully convolutional network for 3D perivascular spaces segmentation in 7T MR images </t>
  </si>
  <si>
    <t xml:space="preserve">Accurate segmentation of perivascular spaces (PVSs) is an important step for quantitative study of PVS morphology  However, since PVSs are the thin tubular structures with relatively low contrast and also the number of PVSs is often large, it is challenging and time-consuming for manual delineation of PVSs  Although several automatic/semi-automatic methods, especially the traditional learning-based approaches, have been proposed for segmentation of 3D PVSs, their performance often depends on the hand-crafted image features, as well as sophisticated preprocessing operations prior to segmentation (e g , specially defined regions-of-interest (ROIs))  In this paper, a novel fully convolutional neural network (FCN) with no requirement of any specified hand-crafted features and ROIs is proposed for efficient segmentation of PVSs  Particularly, the original T2-weighted 7T magnetic resonance (MR) images are first filtered via a non-local Haar-transform-based line singularity representation method to enhance the thin tubular structures  Both the original and enhanced MR images are used as multi-channel inputs to complementarily provide detailed image information and enhanced tubular structural information for the localization of PVSs  Multi-scale features are then automatically learned to characterize the spatial associations between PVSs and adjacent brain tissues  Finally, the produced PVS probability maps are recursively loaded into the network as an additional channel of inputs to provide the auxiliary contextual information for further refining the segmentation results  The proposed multi-channel multi-scale FCN has been evaluated on the 7T brain MR images scanned from 20 subjects  The experimental results show its superior performance compared with several state-of-the-art methods </t>
  </si>
  <si>
    <t xml:space="preserve">Department of Radiology and BRIC, University of North Carolina at Chapel Hill, Chapel Hill, NC 27599, USA </t>
  </si>
  <si>
    <t>Lian, C; Zhang, J; Liu, M; Zong, X; Hung, SC; Lin, W; Shen, D</t>
  </si>
  <si>
    <t>10 1016/j cmpb 2017 12 016</t>
  </si>
  <si>
    <t xml:space="preserve">Symtosis: A liver ultrasound tissue characterization and risk stratification in optimized deep learning paradigm </t>
  </si>
  <si>
    <t xml:space="preserve">Background and Objective
Fatty Liver Disease (FLD) - a disease caused by deposition of fat in liver cells, is predecessor to terminal diseases such as liver cancer  The machine learning (ML) techniques applied for FLD detection and risk stratification using ultrasound (US) have limitations in computing tissue characterization features, thereby limiting the accuracy 
Methods
Under the class of Symtosis for FLD detection and risk stratification, this study presents a Deep Learning (DL)-based paradigm that computes nearly seven million weights per image when passed through a 22 layered neural network during the cross-validation (training and testing) paradigm  The DL architecture consists of cascaded layers of operations such as: convolution, pooling, rectified linear unit, dropout and a special block called inception model that provides speed and efficiency  All data analysis is performed in optimized tissue region, obtained by removing background information  We benchmark the DL system against the conventional ML protocols: support vector machine (SVM) and extreme learning machine (ELM) 
Results
The liver US data consists of 63 patients (27 normal/36 abnormal)  Using the K10 cross-validation protocol (90% training and 10% testing), the detection and risk stratification accuracies are: 82%, 92% and 100% for SVM, ELM and DL systems, respectively  The corresponding area under the curve is: 0 79, 0 92 and 1 0, respectively  We further validate our DL system using two class biometric facial data that yields an accuracy of 99% 
Conclusion
DL system shows a superior performance for liver detection and risk stratification compared to conventional machine learning systems: SVM and ELM </t>
  </si>
  <si>
    <t xml:space="preserve">Department of Computer Science and Engineering, NIT, Goa, India </t>
  </si>
  <si>
    <t>Biswas, M; Kuppili, V; Edla, DR; Suri, HS; Saba, L; Marinhoe, RT; Sanches, JM; Suri, JS</t>
  </si>
  <si>
    <t>10 1016/j ophtha 2018 01 023</t>
  </si>
  <si>
    <t xml:space="preserve">Efficacy of a Deep Learning System for Detecting Glaucomatous Optic Neuropathy Based on Color Fundus Photographs </t>
  </si>
  <si>
    <t xml:space="preserve">To assess the performance of a deep learning algorithm for detecting referable glaucomatous optic neuropathy (GON) based on color fundus photographs A deep learning system for the classification of GON was developed for automated classification of GON on color fundus photographs We retrospectively included 48 116 fundus photographs for the development and validation of a deep learning algorithm This study recruited 21 trained ophthalmologists to classify the photographs  Referable GON was defined as vertical cup-to-disc ratio of 0 7 or more and other typical changes of GON  The reference standard was made until 3 graders achieved agreement  A separate validation dataset of 8000 fully gradable fundus photographs was used to assess the performance of this algorithm The area under receiver operator characteristic curve (AUC) with sensitivity and specificity was applied to evaluate the efficacy of the deep learning algorithm detecting referable GON In the validation dataset, this deep learning system achieved an AUC of 0 986 with sensitivity of 95 6% and specificity of 92 0%  The most common reasons for false-negative grading (n = 87) were GON with coexisting eye conditions (n = 44 [50 6%]), including pathologic or high myopia (n = 37 [42 6%]), diabetic retinopathy (n = 4 [4 6%]), and age-related macular degeneration (n = 3 [3 4%])  The leading reason for false-positive results (n = 480) was having other eye conditions (n = 458 [95 4%]), mainly including physiologic cupping (n = 267 [55 6%])  Misclassification as false-positive results amidst a normal-appearing fundus occurred in only 22 eyes (4 6%) A deep learning system can detect referable GON with high sensitivity and specificity  Coexistence of high or pathologic myopia is the most common cause resulting in false-negative results  Physiologic cupping and pathologic myopia were the most common reasons for false-positive results </t>
  </si>
  <si>
    <t>48 116</t>
    <phoneticPr fontId="0" type="noConversion"/>
  </si>
  <si>
    <t xml:space="preserve">State Key Laboratory of Ophthalmology, Zhongshan Ophthalmic Center, Sun Yat-sen University, Guangzhou 510060, China </t>
  </si>
  <si>
    <t>Li, Z; He, Y; Keel, S; Meng, W; Chang, RT; He, M</t>
  </si>
  <si>
    <t>10 1016/j media 2018 02 002</t>
  </si>
  <si>
    <t xml:space="preserve">Multiscale deep neural network based analysis of FDG-PET images for the early diagnosis of Alzheimer's disease </t>
  </si>
  <si>
    <t xml:space="preserve">Alzheimer's disease (AD) is one of the most common neurodegenerative diseases with a commonly seen prodromal mild cognitive impairment (MCI) phase where memory loss is the main complaint progressively worsening with behavior issues and poor self-care  However, not all individuals clinically diagnosed with MCI progress to AD  A fraction of subjects with MCI either progress to non-AD dementia or remain stable at the MCI stage without progressing to dementia  Although a curative treatment of AD is currently unavailable, it is extremely important to correctly identify the individuals in the MCI phase that will go on to develop AD so that they may benefit from a curative treatment when one becomes available in the near future  At the same time, it would be highly desirable to also correctly identify those in the MCI phase that do not have AD pathology so they may be spared from unnecessary pharmocologic interventions that, at best, may provide them no benefit, and at worse, could further harm them with adverse side-effects  Additionally, it may be easier and simpler to identify the cause of the cognitive impairment in these non-AD cases, and hence proper identification of prodromal AD will be of benefit to these individuals as well  Fluorodeoxy glucose positron emission tomography (FDG-PET) captures the metabolic activity of the brain, and this imaging modality has been reported to identify changes related to AD prior to the onset of structural changes  Prior work on designing classifier using FDG-PET imaging has been promising  Since deep-learning has recently emerged as a powerful tool to mine features and use them for accurate labeling of the group membership of given images, we propose a novel deep-learning framework using FDG-PET metabolism imaging to identify subjects at the MCI stage with presymptomatic AD and discriminate them from other subjects with MCI (non-AD / non-progressive)  Our multiscale deep neural network obtained 82 51% accuracy of classification just using measures from a single modality (FDG-PET metabolism data) outperforming other comparable FDG-PET classifiers published in the recent literature </t>
  </si>
  <si>
    <t xml:space="preserve">Simon Fraser University, School of Engineering Science, Burnaby BC V5A 1S6, Canada </t>
  </si>
  <si>
    <t>10 1002/mp 12846</t>
  </si>
  <si>
    <t xml:space="preserve">A deep 3D residual CNN for false-positive reduction in pulmonary nodule detection </t>
  </si>
  <si>
    <t xml:space="preserve">The automatic detection of pulmonary nodules using CT scans improves the efficiency of lung cancer diagnosis, and false-positive reduction plays a significant role in the detection  In this paper, we focus on the false-positive reduction task and propose an effective method for this task We construct a deep 3D residual CNN (convolution neural network) to reduce false-positive nodules from candidate nodules  The proposed network is much deeper than the traditional 3D CNNs used in medical image processing  Specifically, in the network, we design a spatial pooling and cropping (SPC) layer to extract multilevel contextual information of CT data  Moreover, we employ an online hard sample selection strategy in the training process to make the network better fit hard samples (e g , nodules with irregular shapes) Our method is evaluated on 888 CT scans from the dataset of the LUNA16 Challenge  The free-response receiver operating characteristic (FROC) curve shows that the proposed method achieves a high detection performance Our experiments confirm that our method is robust and that the SPC layer helps increase the prediction accuracy  Additionally, the proposed method can easily be extended to other 3D object detection tasks in medical image processing </t>
  </si>
  <si>
    <t xml:space="preserve">State Key Lab of CAD &amp; CG, Zhejiang University, Hangzhou, 310027, China </t>
  </si>
  <si>
    <t>Jin, H; Li, Z; Tong, R; Lin, L</t>
  </si>
  <si>
    <t>10 1038/s41598-018-22181-4</t>
  </si>
  <si>
    <t xml:space="preserve">AxonDeepSeg: automatic axon and myelin segmentation from microscopy data using convolutional neural networks </t>
  </si>
  <si>
    <t xml:space="preserve">Segmentation of axon and myelin from microscopy images of the nervous system provides useful quantitative information about the tissue microstructure, such as axon density and myelin thickness  This could be used for instance to document cell morphometry across species, or to validate novel non-invasive quantitative magnetic resonance imaging techniques  Most currently-available segmentation algorithms are based on standard image processing and usually require multiple processing steps and/or parameter tuning by the user to adapt to different modalities  Moreover, only a few methods are publicly available  We introduce AxonDeepSeg, an open-source software that performs axon and myelin segmentation of microscopic images using deep learning  AxonDeepSeg features: (i) a convolutional neural network architecture; (ii) an easy training procedure to generate new models based on manually-labelled data and (iii) two ready-to-use models trained from scanning electron microscopy (SEM) and transmission electron microscopy (TEM)  Results show high pixel-wise accuracy across various species: 85% on rat SEM, 81% on human SEM, 95% on mice TEM and 84% on macaque TEM  Segmentation of a full rat spinal cord slice is computed and morphological metrics are extracted and compared against the literature  AxonDeepSeg is freely available at https://github com/neuropoly/axondeepseg  </t>
  </si>
  <si>
    <t>Zaimi, A; Wabartha, M; Herman, V; Antonsanti, PL; Perone, CS; Cohen-Adad, J</t>
  </si>
  <si>
    <t>10 1007/s10278-018-0062-2</t>
  </si>
  <si>
    <t xml:space="preserve">An Efficient Implementation of Deep Convolutional Neural Networks for MRI Segmentation </t>
  </si>
  <si>
    <t xml:space="preserve">Image segmentation is one of the most common steps in digital image processing, classifying a digital image into different segments  The main goal of this paper is to segment brain tumors in magnetic resonance images (MRI) using deep learning  Tumors having different shapes, sizes, brightness and textures can appear anywhere in the brain  These complexities are the reasons to choose a high-capacity Deep Convolutional Neural Network (DCNN) containing more than one layer  The proposed DCNN contains two parts: architecture and learning algorithms  The architecture and the learning algorithms are used to design a network model and to optimize parameters for the network training phase, respectively  The architecture contains five convolutional layers, all using 3 × 3 kernels, and one fully connected layer  Due to the advantage of using small kernels with fold, it allows making the effect of larger kernels with smaller number of parameters and fewer computations  Using the Dice Similarity Coefficient metric, we report accuracy results on the BRATS 2016, brain tumor segmentation challenge dataset, for the complete, core, and enhancing regions as 0 90, 0 85, and 0 84 respectively  The learning algorithm includes the task-level parallelism  All the pixels of an MR image are classified using a patch-based approach for segmentation  We attain a good performance and the experimental results show that the proposed DCNN increases the segmentation accuracy compared to previous techniques </t>
  </si>
  <si>
    <t xml:space="preserve">Department of Computer Engineering, Rasht Branch, Islamic Azad University, Rasht, Iran </t>
  </si>
  <si>
    <t>Hoseini, F; Shahbahrami, A; Bayat, P</t>
  </si>
  <si>
    <t>10 1016/j cmpb 2018 01 006</t>
  </si>
  <si>
    <t xml:space="preserve">Fully automatic cervical vertebrae segmentation framework for X-ray images </t>
  </si>
  <si>
    <t xml:space="preserve">The cervical spine is a highly flexible anatomy and therefore vulnerable to injuries  Unfortunately, a large number of injuries in lateral cervical X-ray images remain undiagnosed due to human errors  Computer-aided injury detection has the potential to reduce the risk of misdiagnosis  Towards building an automatic injury detection system, in this paper, we propose a deep learning-based fully automatic framework for segmentation of cervical vertebrae in X-ray images  The framework first localizes the spinal region in the image using a deep fully convolutional neural network  Then vertebra centers are localized using a novel deep probabilistic spatial regression network  Finally, a novel shape-aware deep segmentation network is used to segment the vertebrae in the image  The framework can take an X-ray image and produce a vertebrae segmentation result without any manual intervention  Each block of the fully automatic framework has been trained on a set of 124 X-ray images and tested on another 172 images, all collected from real-life hospital emergency rooms  A Dice similarity coefficient of 0 84 and a shape error of 1 69 mm have been achieved </t>
  </si>
  <si>
    <t xml:space="preserve">Department of Computer Science, City, University of London, London, UK </t>
  </si>
  <si>
    <t>Al Arif, SMMR; Knapp, K; Slabaugh, G</t>
  </si>
  <si>
    <t>10 1016/j cmpb 2018 01 017</t>
  </si>
  <si>
    <t xml:space="preserve">Simultaneous detection and classification of breast masses in digital mammograms via a deep learning YOLO-based CAD system </t>
  </si>
  <si>
    <t xml:space="preserve">Automatic detection and classification of the masses in mammograms are still a big challenge and play a crucial role to assist radiologists for accurate diagnosis  In this paper, we propose a novel Computer-Aided Diagnosis (CAD) system based on one of the regional deep learning techniques, a ROI-based Convolutional Neural Network (CNN) which is called You Only Look Once (YOLO)  Although most previous studies only deal with classification of masses, our proposed YOLO-based CAD system can handle detection and classification simultaneously in one framework The proposed CAD system contains four main stages: preprocessing of mammograms, feature extraction utilizing deep convolutional networks, mass detection with confidence, and finally mass classification using Fully Connected Neural Networks (FC-NNs)  In this study, we utilized original 600 mammograms from Digital Database for Screening Mammography (DDSM) and their augmented mammograms of 2,400 with the information of the masses and their types in training and testing our CAD  The trained YOLO-based CAD system detects the masses and then classifies their types into benign or malignant Our results with five-fold cross validation tests show that the proposed CAD system detects the mass location with an overall accuracy of 99 7%  The system also distinguishes between benign and malignant lesions with an overall accuracy of 97% Our proposed system even works on some challenging breast cancer cases where the masses exist over the pectoral muscles or dense regions </t>
  </si>
  <si>
    <t xml:space="preserve">Department of Biomedical Engineering, College of Electronics and Information, Kyung Hee University, Yongin, Republic of Korea </t>
  </si>
  <si>
    <t>Al-Masni, MA; Al-Antari, MA; Park, JM; Gi, G; Kim, TY; Rivera, P; Valarezo, E; Choi, MT; Han, SM; Kim, TS</t>
  </si>
  <si>
    <t>10 1016/j cmpb 2018 01 011</t>
  </si>
  <si>
    <t xml:space="preserve">Deep Convolutional Neural Networks for breast cancer screening </t>
  </si>
  <si>
    <t xml:space="preserve">Radiologists often have a hard time classifying mammography mass lesions which leads to unnecessary breast biopsies to remove suspicions and this ends up adding exorbitant expenses to an already burdened patient and health care system In this paper we developed a Computer-aided Diagnosis (CAD) system based on deep Convolutional Neural Networks (CNN) that aims to help the radiologist classify mammography mass lesions  Deep learning usually requires large datasets to train networks of a certain depth from scratch  Transfer learning is an effective method to deal with relatively small datasets as in the case of medical images, although it can be tricky as we can easily start overfitting In this work, we explore the importance of transfer learning and we experimentally determine the best fine-tuning strategy to adopt when training a CNN model  We were able to successfully fine-tune some of the recent, most powerful CNNs and achieved better results compared to other state-of-the-art methods which classified the same public datasets  For instance we achieved 97 35% accuracy and 0 98 AUC on the DDSM database, 95 50% accuracy and 0 97 AUC on the INbreast database and 96 67% accuracy and 0 96 AUC on the BCDR database  Furthermore, after pre-processing and normalizing all the extracted Regions of Interest (ROIs) from the full mammograms, we merged all the datasets to build one large set of images and used it to fine-tune our CNNs  The CNN model which achieved the best results, a 98 94% accuracy, was used as a baseline to build the Breast Cancer Screening Framework  To evaluate the proposed CAD system and its efficiency to classify new images, we tested it on an independent database (MIAS) and got 98 23% accuracy and 0 99 AUC The results obtained demonstrate that the proposed framework is performant and can indeed be used to predict if the mass lesions are benign or malignant </t>
  </si>
  <si>
    <t>Morocco</t>
  </si>
  <si>
    <t xml:space="preserve">Laboratory of Computer Science and Mathematics and their Applications (LIMA), Faculty of science, University Chouaib Doukkali, El Jadida 24000, Morocco </t>
  </si>
  <si>
    <t>Chougrad, H; Zouaki, H; Alheyane, O</t>
  </si>
  <si>
    <t>10 1016/j cell 2018 02 010</t>
  </si>
  <si>
    <t xml:space="preserve">Identifying Medical Diagnoses and Treatable Diseases by Image-Based Deep Learning </t>
  </si>
  <si>
    <t xml:space="preserve">The implementation of clinical-decision support algorithms for medical imaging faces challenges with reliability and interpretability  Here, we establish a diagnostic tool based on a deep-learning framework for the screening of patients with common treatable blinding retinal diseases  Our framework utilizes transfer learning, which trains a neural network with a fraction of the data of conventional approaches  Applying this approach to a dataset of optical coherence tomography images, we demonstrate performance comparable to that of human experts in classifying age-related macular degeneration and diabetic macular edema  We also provide a more transparent and interpretable diagnosis by highlighting the regions recognized by the neural network  We further demonstrate the general applicability of our AI system for diagnosis of pediatric pneumonia using chest X-ray images  This tool may ultimately aid in expediting the diagnosis and referral of these treatable conditions, thereby facilitating earlier treatment, resulting in improved clinical outcomes  VIDEO ABSTRACT </t>
  </si>
  <si>
    <t xml:space="preserve">Guangzhou Women and Children's Medical Center, Guangzhou Medical University, 510005 Guangzhou, China; Shiley Eye Institute, Institute for Engineering in Medicine, Institute for Genomic Medicine, University of California, San Diego, La Jolla, CA 92093, USA </t>
  </si>
  <si>
    <t>Kermany, DS; Goldbaum, M; Cai, W; Valentim, CCS; Liang, H; Baxter, SL; McKeown, A; Yang, G; Wu, X; Yan, F; Dong, J; Prasadha, MK; Pei, J; Ting, MYL; Zhu, J; Li, C; Hewett, S; Dong, J; Ziyar, I; Shi, A; Zhang, R; Zheng, L; Hou, R; Shi, W; Fu, X; Duan, Y; Huu, VAN; Wen, C; Zhang, ED; Zhang, CL; Li, O; Wang, X; Singer, MA; Sun, X; Xu, J; Tafreshi, A; Lewis, MA; Xia, H; Zhang, K</t>
  </si>
  <si>
    <t>0413066</t>
  </si>
  <si>
    <t>10 1002/mp 12828</t>
  </si>
  <si>
    <t xml:space="preserve">Deep feature classification of angiomyolipoma without visible fat and renal cell carcinoma in abdominal contrast-enhanced CT images with texture image patches and hand-crafted feature concatenation </t>
  </si>
  <si>
    <t xml:space="preserve">To develop an automatic deep feature classification (DFC) method for distinguishing benign angiomyolipoma without visible fat (AMLwvf) from malignant clear cell renal cell carcinoma (ccRCC) from abdominal contrast-enhanced computer tomography (CE CT) images A dataset including 80 abdominal CT images of 39 AMLwvf and 41 ccRCC patients was used  We proposed a DFC method for differentiating the small renal masses (SRM) into AMLwvf and ccRCC using the combination of hand-crafted and deep features, and machine learning classifiers  First, 71-dimensional hand-crafted features (HCF) of texture and shape were extracted from the SRM contours  Second, 1000-4000-dimensional deep features (DF) were extracted from the ImageNet pretrained deep learning model with the SRM image patches  In DF extraction, we proposed the texture image patches (TIP) to emphasize the texture information inside the mass in DFs and reduce the mass size variability  Finally, the two features were concatenated and the random forest (RF) classifier was trained on these concatenated features to classify the types of SRMs  The proposed method was tested on our dataset using leave-one-out cross-validation and evaluated using accuracy, sensitivity, specificity, positive predictive values (PPV), negative predictive values (NPV), and area under receiver operating characteristics curve (AUC)  In experiments, the combinations of four deep learning models, AlexNet, VGGNet, GoogleNet, and ResNet, and four input image patches, including original, masked, mass-size, and texture image patches, were compared and analyzed In qualitative evaluation, we observed the change in feature distributions between the proposed and comparative methods using tSNE method  In quantitative evaluation, we evaluated and compared the classification results, and observed that (a) the proposed HCF + DF outperformed HCF-only and DF-only, (b) AlexNet showed generally the best performances among the CNN models, and (c) the proposed TIPs not only achieved the competitive performances among the input patches, but also steady performance regardless of CNN models  As a result, the proposed method achieved the accuracy of 76 6 ± 1 4% for the proposed HCF + DF with AlexNet and TIPs, which improved the accuracy by 6 6%p and 8 3%p compared to HCF-only and DF-only, respectively The proposed shape features and TIPs improved the HCFs and DFs, respectively, and the feature concatenation further enhanced the quality of features for differentiating AMLwvf from ccRCC in abdominal CE CT images </t>
  </si>
  <si>
    <t>CNN,AlexNet, VGG, GoogleNet,ResNet</t>
  </si>
  <si>
    <t xml:space="preserve">School of Electrical Engineering, Korea Advanced Institute of Science and Technology, 291 Daehak-ro, Yuseong-gu, Daejeon, 34141, Korea </t>
  </si>
  <si>
    <t>Lee, H; Hong, H; Kim, J; Jung, DC</t>
  </si>
  <si>
    <t>10 1007/s11548-017-1696-0</t>
  </si>
  <si>
    <t xml:space="preserve">Agile convolutional neural network for pulmonary nodule classification using CT images </t>
  </si>
  <si>
    <t xml:space="preserve">To distinguish benign from malignant pulmonary nodules using CT images is critical for their precise diagnosis and treatment  A new Agile convolutional neural network (CNN) framework is proposed to conquer the challenges of a small-scale medical image database and the small size of the nodules, and it improves the performance of pulmonary nodule classification using CT images A hybrid CNN of LeNet and AlexNet is constructed through combining the layer settings of LeNet and the parameter settings of AlexNet  A dataset with 743 CT image nodule samples is built up based on the 1018 CT scans of LIDC to train and evaluate the Agile CNN model  Through adjusting the parameters of the kernel size, learning rate, and other factors, the effect of these parameters on the performance of the CNN model is investigated, and an optimized setting of the CNN is obtained finally After finely optimizing the settings of the CNN, the estimation accuracy and the area under the curve can reach 0 822 and 0 877, respectively  The accuracy of the CNN is significantly dependent on the kernel size, learning rate, training batch size, dropout, and weight initializations  The best performance is achieved when the kernel size is set to [Formula: see text], the learning rate is 0 005, the batch size is 32, and dropout and Gaussian initialization are used This competitive performance demonstrates that our proposed CNN framework and the optimization strategy of the CNN parameters are suitable for pulmonary nodule classification characterized by small medical datasets and small targets  The classification model might help diagnose and treat pulmonary nodules effectively </t>
  </si>
  <si>
    <t xml:space="preserve">Sino-Dutch Biomedical and Information Engineering School, Northeastern University, Life Science Building, 500 Zhihui Street, Hun'nan District, Shenyang, 110169, China </t>
  </si>
  <si>
    <t>Zhao, X; Liu, L; Qi, S; Teng, Y; Li, J; Qian, W</t>
  </si>
  <si>
    <t>10 5588/ijtld 17 0520</t>
  </si>
  <si>
    <t xml:space="preserve">Detection of tuberculosis patterns in digital photographs of chest X-ray images using Deep Learning: feasibility study </t>
  </si>
  <si>
    <t xml:space="preserve">To evaluate the feasibility of Deep Learning-based detection and classification of pathological patterns in a set of digital photographs of chest X-ray (CXR) images of tuberculosis (TB) patients In this prospective, observational study, patients with previously diagnosed TB were enrolled  Photographs of their CXRs were taken using a consumer-grade digital still camera  The images were stratified by pathological patterns into classes: cavity, consolidation, effusion, interstitial changes, miliary pattern or normal examination  Image analysis was performed with commercially available Deep Learning software in two steps  Pathological areas were first localised; detected areas were then classified  Detection was assessed using receiver operating characteristics (ROC) analysis, and classification using a confusion matrix The study cohort was 138 patients with human immunodeficiency virus (HIV) and TB co-infection (median age 34 years, IQR 28-40); 54 patients were female  Localisation of pathological areas was excellent (area under the ROC curve 0 82)  The software could perfectly distinguish pleural effusions from intraparenchymal changes  The most frequent misclassifications were consolidations as cavitations, and miliary patterns as interstitial patterns (and vice versa) Deep Learning analysis of CXR photographs is a promising tool  Further efforts are needed to build larger, high-quality data sets to achieve better diagnostic performance </t>
  </si>
  <si>
    <t>The international journal of tuberculosis and lung disease : the official journal of the International Union against Tuberculosis and Lung Disease</t>
  </si>
  <si>
    <t xml:space="preserve">Institute of Diagnostic and Interventional Radiology, University Hospital of Zurich, Zurich, Switzerland </t>
  </si>
  <si>
    <t>Becker, AS; Blüthgen, C; Phi van, VD; Sekaggya-Wiltshire, C; Castelnuovo, B; Kambugu, A; Fehr, J; Frauenfelder, T</t>
  </si>
  <si>
    <t>9706389</t>
  </si>
  <si>
    <t>10 1109/TIP 2018 2801119</t>
  </si>
  <si>
    <t xml:space="preserve">Hookworm Detection in Wireless Capsule Endoscopy Images With Deep Learning </t>
  </si>
  <si>
    <t xml:space="preserve">As one of the most common human helminths, hookworm is a leading cause of maternal and child morbidity, which seriously threatens human health  Recently, wireless capsule endoscopy (WCE) has been applied to automatic hookworm detection  Unfortunately, it remains a challenging task  In recent years, deep convolutional neural network (CNN) has demonstrated impressive performance in various image and video analysis tasks  In this paper, a novel deep hookworm detection framework is proposed for WCE images, which simultaneously models visual appearances and tubular patterns of hookworms  This is the first deep learning framework specifically designed for hookworm detection in WCE images  Two CNN networks, namely edge extraction network and hookworm classification network, are seamlessly integrated in the proposed framework, which avoid the edge feature caching and speed up the classification  Two edge pooling layers are introduced to integrate the tubular regions induced from edge extraction network and the feature maps from hookworm classification network, leading to enhanced feature maps emphasizing the tubular regions  Experiments have been conducted on one of the largest WCE datasets with WCE images, which demonstrate the effectiveness of the proposed hookworm detection framework  It significantly outperforms the state-of-the-art approaches  The high sensitivity and accuracy of the proposed method in detecting hookworms shows its potential for clinical application </t>
  </si>
  <si>
    <t xml:space="preserve">the School of Information Science and Technology, Xipu Campus, Southwest Jiaotong University, Chengdu, 611756 China </t>
  </si>
  <si>
    <t>He, JY; Wu, X; Jiang, YG; Peng, Q; Jain, R</t>
  </si>
  <si>
    <t>10 1038/s41598-018-21758-3</t>
  </si>
  <si>
    <t xml:space="preserve">Deep learning based tissue analysis predicts outcome in colorectal cancer </t>
  </si>
  <si>
    <t xml:space="preserve">Image-based machine learning and deep learning in particular has recently shown expert-level accuracy in medical image classification  In this study, we combine convolutional and recurrent architectures to train a deep network to predict colorectal cancer outcome based on images of tumour tissue samples  The novelty of our approach is that we directly predict patient outcome, without any intermediate tissue classification  We evaluate a set of digitized haematoxylin-eosin-stained tumour tissue microarray (TMA) samples from 420 colorectal cancer patients with clinicopathological and outcome data available  The results show that deep learning-based outcome prediction with only small tissue areas as input outperforms (hazard ratio 2 3; CI 95% 1 79-3 03; AUC 0 69) visual histological assessment performed by human experts on both TMA spot (HR 1 67; CI 95% 1 28-2 19; AUC 0 58) and whole-slide level (HR 1 65; CI 95% 1 30-2 15; AUC 0 57) in the stratification into low- and high-risk patients  Our results suggest that state-of-the-art deep learning techniques can extract more prognostic information from the tissue morphology of colorectal cancer than an experienced human observer </t>
  </si>
  <si>
    <t>Finland</t>
  </si>
  <si>
    <t xml:space="preserve">Institute for Molecular Medicine Finland FIMM, Helsinki Institute for Life Science HiLIFE, University of Helsinki, Helsinki, Finland </t>
  </si>
  <si>
    <t>Bychkov, D; Linder, N; Turkki, R; Nordling, S; Kovanen, PE; Verrill, C; Walliander, M; Lundin, M; Haglund, C; Lundin, J</t>
  </si>
  <si>
    <t>10 1099/mic 0 000617</t>
  </si>
  <si>
    <t xml:space="preserve">Colony analysis and deep learning uncover 5-hydroxyindole as an inhibitor of gliding motility and iridescence in Cellulophaga lytica </t>
  </si>
  <si>
    <t xml:space="preserve">Iridescence is an original type of colouration that is relatively widespread in nature but has been either incompletely described or entirely neglected in prokaryotes  Recently, we reported a brilliant 'pointillistic' iridescence in agar-grown colony biofilms of Cellulophaga lytica and some other marine Flavobacteria that exhibit gliding motility  Bacterial iridescence is created by a unique self-organization of sub-communities of cells, but the mechanisms underlying such living photonic crystals are unknown  In this study, we used Petri dish assays to screen a large panel of potential activators or inhibitors of C  lytica's iridescence  Derivatives potentially interfering with quorum-sensing and other communication or biofilm formation processes were tested, as well as metabolic poisons or algal exoproducts  We identified an indole derivative, 5-hydroxyindole (5HI, 250 µM) which inhibited both gliding and iridescence at the colonial level  5HI did not affect growth or cell respiration  At the microscopic level, phase-contrast imaging confirmed that 5HI inhibits the gliding motility of cells  Moreover, the lack of iridescence correlated with a perturbation of self-organization of the cell sub-communities in both the WT and a gliding-negative mutant  This effect was proved using recent advances in machine learning (deep neuronal networks)  In addition to its effect on colony biofilms, 5HI was found to stimulate biofilm formation in microplates  Our data are compatible with possible roles of 5HI or marine analogues in the eco-biology of iridescent bacteria </t>
  </si>
  <si>
    <t>Microbiology (Reading, England)</t>
  </si>
  <si>
    <t xml:space="preserve">1​UMR 7266 CNRS- Littoral Environnement et Sociétés, Microbial Physiology Group - Université de La Rochelle, Faculté des Sciences et Technologies, Avenue Michel Crépeau, 17042 La Rochelle, France </t>
  </si>
  <si>
    <t>Chapelais-Baron, M; Goubet, I; Péteri, R; Pereira, MF; Mignot, T; Jabveneau, A; Rosenfeld, E</t>
  </si>
  <si>
    <t>Microbiology</t>
  </si>
  <si>
    <t>9430468</t>
  </si>
  <si>
    <t>10 1002/hbm 24005</t>
  </si>
  <si>
    <t xml:space="preserve">Latent source mining in FMRI via restricted Boltzmann machine </t>
  </si>
  <si>
    <t xml:space="preserve">Blind source separation (BSS) is commonly used in functional magnetic resonance imaging (fMRI) data analysis  Recently, BSS models based on restricted Boltzmann machine (RBM), one of the building blocks of deep learning models, have been shown to improve brain network identification compared to conventional single matrix factorization models such as independent component analysis (ICA)  These models, however, trained RBM on fMRI volumes, and are hence challenged by model complexity and limited training set  In this article, we propose to apply RBM to fMRI time courses instead of volumes for BSS  The proposed method not only interprets fMRI time courses explicitly to take advantages of deep learning models in latent feature learning but also substantially reduces model complexity and increases the scale of training set to improve training efficiency  Our experimental results based on Human Connectome Project (HCP) datasets demonstrated the superiority of the proposed method over ICA and the one that applied RBM to fMRI volumes in identifying task-related components, resulted in more accurate and specific representations of task-related activations  Moreover, our method separated out components representing intermixed effects between task events, which could reflect inherent interactions among functionally connected brain regions  Our study demonstrates the value of RBM in mining complex structures embedded in large-scale fMRI data and its potential as a building block for deeper models in fMRI data analysis </t>
  </si>
  <si>
    <t>RBM</t>
    <phoneticPr fontId="0" type="noConversion"/>
  </si>
  <si>
    <t>Human brain mapping</t>
  </si>
  <si>
    <t xml:space="preserve">School of Automation, Northwestern Polytechnical University, Xi'an, China </t>
  </si>
  <si>
    <t>Hu, X; Huang, H; Peng, B; Han, J; Liu, N; Lv, J; Guo, L; Guo, C; Liu, T</t>
  </si>
  <si>
    <t>9419065</t>
  </si>
  <si>
    <t>10 1016/j compbiomed 2018 02 004</t>
  </si>
  <si>
    <t xml:space="preserve">Automatic detection and segmentation of brain metastases on multimodal MR images with a deep convolutional neural network </t>
  </si>
  <si>
    <t xml:space="preserve">Stereotactic treatments are today the reference techniques for the irradiation of brain metastases in radiotherapy  The dose per fraction is very high, and delivered in small volumes (diameter &lt;1 cm)  As part of these treatments, effective detection and precise segmentation of lesions are imperative  Many methods based on deep-learning approaches have been developed for the automatic segmentation of gliomas, but very little for that of brain metastases  We adapted an existing 3D convolutional neural network (DeepMedic) to detect and segment brain metastases on MRI  At first, we sought to adapt the network parameters to brain metastases  We then explored the single or combined use of different MRI modalities, by evaluating network performance in terms of detection and segmentation  We also studied the interest of increasing the database with virtual patients or of using an additional database in which the active parts of the metastases are separated from the necrotic parts  Our results indicated that a deep network approach is promising for the detection and the segmentation of brain metastases on multimodal MRI </t>
  </si>
  <si>
    <t xml:space="preserve">Department of Medical Physics, Paul Strauss Center, Strasbourg, France </t>
  </si>
  <si>
    <t>Charron, O; Lallement, A; Jarnet, D; Noblet, V; Clavier, JB; Meyer, P</t>
  </si>
  <si>
    <t>10 1016/j bbr 2018 02 017</t>
  </si>
  <si>
    <t xml:space="preserve">Predicting cognitive decline with deep learning of brain metabolism and amyloid imaging </t>
  </si>
  <si>
    <t xml:space="preserve">For effective treatment of Alzheimer's disease (AD), it is important to identify subjects who are most likely to exhibit rapid cognitive decline  We aimed to develop an automatic image interpretation system based on a deep convolutional neural network (CNN) which can accurately predict future cognitive decline in mild cognitive impairment (MCI) patients using flurodeoxyglucose and florbetapir positron emission tomography (PET)  PET images of 139 patients with AD, 171 patients with MCI and 182 normal subjects obtained from Alzheimer's Disease Neuroimaging Initiative database were used  Deep CNN was trained using 3-dimensional PET volumes of AD and normal controls as inputs  Manually defined image feature extraction such as quantification using predefined region-of-interests was unnecessary for our approach  Furthermore, it used minimally processed images without spatial normalization which has been commonly used in conventional quantitative analyses  Cognitive outcome of MCI subjects was predicted using this network  The prediction accuracy of the conversion of mild cognitive impairment to AD was compared with the conventional feature-based quantification approach  Accuracy of prediction (84 2%) for conversion to AD in MCI patients outperformed conventional feature-based quantification approaches  ROC analyses revealed that performance of CNN-based approach was significantly higher than that of the conventional quantification methods (p &lt; 0 05)  Output scores of the network were strongly correlated with the longitudinal change in cognitive measurements (p &lt; 0 05)  These results show the feasibility of deep learning as a practical tool for developing predictive neuroimaging biomarker </t>
  </si>
  <si>
    <t>Behavioural brain research</t>
  </si>
  <si>
    <t xml:space="preserve">Cheonan Public Health Center, Chungnam, Republic of Korea </t>
  </si>
  <si>
    <t xml:space="preserve">Choi, H; Jin, KH; , </t>
  </si>
  <si>
    <t>8004872</t>
  </si>
  <si>
    <t>10 2967/jnumed 117 202317</t>
  </si>
  <si>
    <t xml:space="preserve">Improving the Accuracy of Simultaneously Reconstructed Activity and Attenuation Maps Using Deep Learning </t>
  </si>
  <si>
    <t xml:space="preserve">Simultaneous reconstruction of activity and attenuation using the maximum-likelihood reconstruction of activity and attenuation (MLAA) augmented by time-of-flight information is a promising method for PET attenuation correction  However, it still suffers from several problems, including crosstalk artifacts, slow convergence speed, and noisy attenuation maps (μ-maps)  In this work, we developed deep convolutional neural networks (CNNs) to overcome these MLAA limitations, and we verified their feasibility using a clinical brain PET dataset  Methods: We applied the proposed method to one of the most challenging PET cases for simultaneous image reconstruction (18F-fluorinated-N-3-fluoropropyl-2-β-carboxymethoxy-3-β-(4-iodophenyl)nortropane [18F-FP-CIT] PET scans with highly specific binding to striatum of the brain)  Three different CNN architectures (convolutional autoencoder [CAE], Unet, and Hybrid of CAE) were designed and trained to learn a CT-derived μ-map (μ-CT) from the MLAA-generated activity distribution and μ-map (μ-MLAA)  The PET/CT data of 40 patients with suspected Parkinson disease were used for 5-fold cross-validation  For the training of CNNs, 800,000 transverse PET and CT slices augmented from 32 patient datasets were used  The similarity to μ-CT of the CNN-generated μ-maps (μ-CAE, μ-Unet, and μ-Hybrid) and μ-MLAA was compared using Dice similarity coefficients  In addition, we compared the activity concentration of specific (striatum) and nonspecific (cerebellum and occipital cortex) binding regions and the binding ratios in the striatum in the PET activity images reconstructed using those μ-maps  Results: The CNNs generated less noisy and more uniform μ-maps than the original μ-MLAA  Moreover, the air cavities and bones were better resolved in the proposed CNN outputs  In addition, the proposed deep learning approach was useful for mitigating the crosstalk problem in the MLAA reconstruction  The Hybrid network of CAE and Unet yielded the most similar μ-maps to μ-CT (Dice similarity coefficient in the whole head = 0 79 in the bone and 0 72 in air cavities), resulting in only about a 5% error in activity and binding ratio quantification  Conclusion: The proposed deep learning approach is promising for accurate attenuation correction of activity distribution in time-of-flight PET systems </t>
  </si>
  <si>
    <t xml:space="preserve">Department of Biomedical Sciences, Seoul National University, Seoul, Korea </t>
  </si>
  <si>
    <t>Hwang, D; Kim, KY; Kang, SK; Seo, S; Paeng, JC; Lee, DS; Lee, JS</t>
  </si>
  <si>
    <t>10 1088/1741-2552/aaaf82</t>
  </si>
  <si>
    <t xml:space="preserve">Deep learning for hybrid EEG-fNIRS brain-computer interface: application to motor imagery classification </t>
  </si>
  <si>
    <t xml:space="preserve">Brain-computer interface (BCI) refers to procedures that link the central nervous system to a device  BCI was historically performed using electroencephalography (EEG)  In the last years, encouraging results were obtained by combining EEG with other neuroimaging technologies, such as functional near infrared spectroscopy (fNIRS)  A crucial step of BCI is brain state classification from recorded signal features  Deep artificial neural networks (DNNs) recently reached unprecedented complex classification outcomes  These performances were achieved through increased computational power, efficient learning algorithms, valuable activation functions, and restricted or back-fed neurons connections  By expecting significant overall BCI performances, we investigated the capabilities of combining EEG and fNIRS recordings with state-of-the-art deep learning procedures We performed a guided left and right hand motor imagery task on 15 subjects with a fixed classification response time of 1 s and overall experiment length of 10 min  Left versus right classification accuracy of a DNN in the multi-modal recording modality was estimated and it was compared to standalone EEG and fNIRS and other classifiers At a group level we obtained significant increase in performance when considering multi-modal recordings and DNN classifier with synergistic effect BCI performances can be significantly improved by employing multi-modal recordings that provide electrical and hemodynamic brain activity information, in combination with advanced non-linear deep learning classification procedures </t>
  </si>
  <si>
    <t>Journal of neural engineering</t>
  </si>
  <si>
    <t xml:space="preserve">Department of Neuroscience, Imaging and Clinical Sciences, 'G  d'Annunzio' University, Chieti, Italy  Institute of Advanced Biomedical Technologies, 'G  d'Annunzio' University, Chieti, Italy </t>
  </si>
  <si>
    <t>Chiarelli, AM; Croce, P; Merla, A; Zappasodi, F</t>
  </si>
  <si>
    <t>101217933</t>
  </si>
  <si>
    <t>10 3390/s18020556</t>
  </si>
  <si>
    <t xml:space="preserve">Skin Lesion Analysis towards Melanoma Detection Using Deep Learning Network </t>
  </si>
  <si>
    <t xml:space="preserve">Skin lesions are a severe disease globally  Early detection of melanoma in dermoscopy images significantly increases the survival rate  However, the accurate recognition of melanoma is extremely challenging due to the following reasons: low contrast between lesions and skin, visual similarity between melanoma and non-melanoma lesions, etc  Hence, reliable automatic detection of skin tumors is very useful to increase the accuracy and efficiency of pathologists  In this paper, we proposed two deep learning methods to address three main tasks emerging in the area of skin lesion image processing, i e , lesion segmentation (task 1), lesion dermoscopic feature extraction (task 2) and lesion classification (task 3)  A deep learning framework consisting of two fully convolutional residual networks (FCRN) is proposed to simultaneously produce the segmentation result and the coarse classification result  A lesion index calculation unit (LICU) is developed to refine the coarse classification results by calculating the distance heat-map  A straight-forward CNN is proposed for the dermoscopic feature extraction task  The proposed deep learning frameworks were evaluated on the ISIC 2017 dataset  Experimental results show the promising accuracies of our frameworks, i e , 0 753 for task 1, 0 848 for task 2 and 0 912 for task 3 were achieved </t>
  </si>
  <si>
    <t xml:space="preserve">Computer Vision Institute, College of Computer Science and Software Engineering, Shenzhen University, Shenzhen 518060, China </t>
  </si>
  <si>
    <t>Li, Y; Shen, L</t>
  </si>
  <si>
    <t>10 1002/jmri 25970</t>
  </si>
  <si>
    <t xml:space="preserve">Deep learning enables reduced gadolinium dose for contrast-enhanced brain MRI </t>
  </si>
  <si>
    <t xml:space="preserve">There are concerns over gadolinium deposition from gadolinium-based contrast agents (GBCA) administration To reduce gadolinium dose in contrast-enhanced brain MRI using a deep learning method Retrospective, crossover Sixty patients receiving clinically indicated contrast-enhanced brain MRI 3D T1 -weighted inversion-recovery prepped fast-spoiled-gradient-echo (IR-FSPGR) imaging was acquired at both 1 5T and 3T  In 60 brain MRI exams, the IR-FSPGR sequence was obtained under three conditions: precontrast, postcontrast images with 10% low-dose (0 01mmol/kg) and 100% full-dose (0 1 mmol/kg) of gadobenate dimeglumine  We trained a deep learning model using the first 10 cases (with mixed indications) to approximate full-dose images from the precontrast and low-dose images  Synthesized full-dose images were created using the trained model in two test sets: 20 patients with mixed indications and 30 patients with glioma For both test sets, low-dose, true full-dose, and the synthesized full-dose postcontrast image sets were compared quantitatively using peak-signal-to-noise-ratios (PSNR) and structural-similarity-index (SSIM)  For the test set comprised of 20 patients with mixed indications, two neuroradiologists scored blindly and independently for the three postcontrast image sets, evaluating image quality, motion-artifact suppression, and contrast enhancement compared with precontrast images Results were assessed using paired t-tests and noninferiority tests The proposed deep learning method yielded significant (n = 50, P &lt; 0 001) improvements over the low-dose images (&gt;5 dB PSNR gains and &gt;11 0% SSIM)  Ratings on image quality (n = 20, P = 0 003) and contrast enhancement (n = 20, P &lt; 0 001) were significantly increased  Compared to true full-dose images, the synthesized full-dose images have a slight but not significant reduction in image quality (n = 20, P = 0 083) and contrast enhancement (n = 20, P = 0 068)  Slightly better (n = 20, P = 0 039) motion-artifact suppression was noted in the synthesized images  The noninferiority test rejects the inferiority of the synthesized to true full-dose images for image quality (95% CI: -14-9%), artifacts suppression (95% CI: -5-20%), and contrast enhancement (95% CI: -13-6%) With the proposed deep learning method, gadolinium dose can be reduced 10-fold while preserving contrast information and avoiding significant image quality degradation 3 Technical Efficacy: Stage 5 J  MAGN  RESON  IMAGING 2018;48:330-340 </t>
  </si>
  <si>
    <t xml:space="preserve">Department of Electrical Engineering, Stanford University, Stanford, California, USA </t>
  </si>
  <si>
    <t>Gong, E; Pauly, JM; Wintermark, M; Zaharchuk, G</t>
  </si>
  <si>
    <t>10 1002/hbm 24006</t>
  </si>
  <si>
    <t xml:space="preserve">Deep recurrent neural network reveals a hierarchy of process memory during dynamic natural vision </t>
  </si>
  <si>
    <t xml:space="preserve">The human visual cortex extracts both spatial and temporal visual features to support perception and guide behavior  Deep convolutional neural networks (CNNs) provide a computational framework to model cortical representation and organization for spatial visual processing, but unable to explain how the brain processes temporal information  To overcome this limitation, we extended a CNN by adding recurrent connections to different layers of the CNN to allow spatial representations to be remembered and accumulated over time  The extended model, or the recurrent neural network (RNN), embodied a hierarchical and distributed model of process memory as an integral part of visual processing  Unlike the CNN, the RNN learned spatiotemporal features from videos to enable action recognition  The RNN better predicted cortical responses to natural movie stimuli than the CNN, at all visual areas, especially those along the dorsal stream  As a fully observable model of visual processing, the RNN also revealed a cortical hierarchy of temporal receptive window, dynamics of process memory, and spatiotemporal representations  These results support the hypothesis of process memory, and demonstrate the potential of using the RNN for in-depth computational understanding of dynamic natural vision </t>
  </si>
  <si>
    <t xml:space="preserve">School of Electrical and Computer Engineering, Purdue University, West Lafayette, Indiana, </t>
  </si>
  <si>
    <t>Shi, J; Wen, H; Zhang, Y; Han, K; Liu, Z</t>
  </si>
  <si>
    <t>10 1007/s12021-018-9361-5</t>
  </si>
  <si>
    <t xml:space="preserve">Large-scale Exploration of Neuronal Morphologies Using Deep Learning and Augmented Reality </t>
  </si>
  <si>
    <t xml:space="preserve">Recently released large-scale neuron morphological data has greatly facilitated the research in neuroinformatics  However, the sheer volume and complexity of these data pose significant challenges for efficient and accurate neuron exploration  In this paper, we propose an effective retrieval framework to address these problems, based on frontier techniques of deep learning and binary coding  For the first time, we develop a deep learning based feature representation method for the neuron morphological data, where the 3D neurons are first projected into binary images and then learned features using an unsupervised deep neural network, i e , stacked convolutional autoencoders (SCAEs)  The deep features are subsequently fused with the hand-crafted features for more accurate representation  Considering the exhaustive search is usually very time-consuming in large-scale databases, we employ a novel binary coding method to compress feature vectors into short binary codes  Our framework is validated on a public data set including 58,000 neurons, showing promising retrieval precision and efficiency compared with state-of-the-art methods  In addition, we develop a novel neuron visualization program based on the techniques of augmented reality (AR), which can help users take a deep exploration of neuron morphologies in an interactive and immersive manner </t>
  </si>
  <si>
    <t xml:space="preserve">Department of Computer Science, University of North Carolina at Charlotte, Charlotte, NC, 28223, USA </t>
  </si>
  <si>
    <t>Li, Z; Butler, E; Li, K; Lu, A; Ji, S; Zhang, S</t>
  </si>
  <si>
    <t>10 1109/TIP 2018 2795742</t>
  </si>
  <si>
    <t xml:space="preserve">Her2Net: A Deep Framework for Semantic Segmentation and Classification of Cell Membranes and Nuclei in Breast Cancer Evaluation </t>
  </si>
  <si>
    <t xml:space="preserve">We present an efficient deep learning framework for identifying, segmenting, and classifying cell membranes and nuclei from human epidermal growth factor receptor-2 (HER2)-stained breast cancer images with minimal user intervention  This is a long-standing issue for pathologists because the manual quantification of HER2 is error-prone, costly, and time-consuming  Hence, we propose a deep learning-based HER2 deep neural network (Her2Net) to solve this issue  The convolutional and deconvolutional parts of the proposed Her2Net framework consisted mainly of multiple convolution layers, max-pooling layers, spatial pyramid pooling layers, deconvolution layers, up-sampling layers, and trapezoidal long short-term memory (TLSTM)  A fully connected layer and a softmax layer were also used for classification and error estimation  Finally, HER2 scores were calculated based on the classification results  The main contribution of our proposed Her2Net framework includes the implementation of TLSTM and a deep learning framework for cell membrane and nucleus detection, segmentation, and classification and HER2 scoring  Our proposed Her2Net achieved 96 64% precision, 96 79% recall, 96 71% F-score, 93 08% negative predictive value, 98 33% accuracy, and a 6 84% false-positive rate  Our results demonstrate the high accuracy and wide applicability of the proposed Her2Net in the context of HER2 scoring for breast cancer evaluation </t>
  </si>
  <si>
    <t xml:space="preserve">School of Medical Science and
Technology, Indian Institute of Technology, Kharagpur, West Bengal, India </t>
  </si>
  <si>
    <t>Saha, M; Chakraborty, C</t>
  </si>
  <si>
    <t>10 1016/j jid 2018 01 028</t>
  </si>
  <si>
    <t xml:space="preserve">Classification of the Clinical Images for Benign and Malignant Cutaneous Tumors Using a Deep Learning Algorithm </t>
  </si>
  <si>
    <t xml:space="preserve">We tested the use of a deep learning algorithm to classify the clinical images of 12 skin diseases-basal cell carcinoma, squamous cell carcinoma, intraepithelial carcinoma, actinic keratosis, seborrheic keratosis, malignant melanoma, melanocytic nevus, lentigo, pyogenic granuloma, hemangioma, dermatofibroma, and wart  The convolutional neural network (Microsoft ResNet-152 model; Microsoft Research Asia, Beijing, China) was fine-tuned with images from the training portion of the Asan dataset, MED-NODE dataset, and atlas site images (19,398 images in total)  The trained model was validated with the testing portion of the Asan, Hallym and Edinburgh datasets  With the Asan dataset, the area under the curve for the diagnosis of basal cell carcinoma, squamous cell carcinoma, intraepithelial carcinoma, and melanoma was 0 96 ± 0 01, 0 83 ± 0 01, 0 82 ± 0 02, and 0 96 ± 0 00, respectively  With the Edinburgh dataset, the area under the curve for the corresponding diseases was 0 90 ± 0 01, 0 91 ± 0 01, 0 83 ± 0 01, and 0 88 ± 0 01, respectively  With the Hallym dataset, the sensitivity for basal cell carcinoma diagnosis was 87 1% ± 6 0%  The tested algorithm performance with 480 Asan and Edinburgh images was comparable to that of 16 dermatologists  To improve the performance of convolutional neural network, additional images with a broader range of ages and ethnicities should be collected </t>
  </si>
  <si>
    <t>The Journal of investigative dermatology</t>
  </si>
  <si>
    <t xml:space="preserve">I Dermatology Clinic, Seoul, Korea </t>
  </si>
  <si>
    <t>Han, SS; Kim, MS; Lim, W; Park, GH; Park, I; Chang, SE</t>
  </si>
  <si>
    <t>0426720</t>
  </si>
  <si>
    <t>10 1016/j cmpb 2018 01 007</t>
  </si>
  <si>
    <t xml:space="preserve">Detection of mass regions in mammograms by bilateral analysis adapted to breast density using similarity indexes and convolutional neural networks </t>
  </si>
  <si>
    <t xml:space="preserve">The processing of medical image is an important tool to assist in minimizing the degree of uncertainty of the specialist, while providing specialists with an additional source of detect and diagnosis information  Breast cancer is the most common type of cancer that affects the female population around the world  It is also the most deadly type of cancer among women  It is the second most common type of cancer among all others  The most common examination to diagnose breast cancer early is mammography  In the last decades, computational techniques have been developed with the purpose of automatically detecting structures that maybe associated with tumors in mammography examination  This work presents a computational methodology to automatically detection of mass regions in mammography by using a convolutional neural network The materials used in this work is the DDSM database  The method proposed consists of two phases: training phase and test phase  The training phase has 2 main steps: (1) create a model to classify breast tissue into dense and non-dense (2) create a model to classify regions of breast into mass and non-mass  The test phase has 7 step: (1) preprocessing; (2) registration; (3) segmentation; (4) first reduction of false positives; (5) preprocessing of regions segmented; (6) density tissue classification (7) second reduction of false positives where regions will be classified into mass and non-mass The proposed method achieved 95 6% of accuracy in classify non-dense breasts tissue and 97,72% accuracy in classify dense breasts  To detect regions of mass in non-dense breast, the method achieved a sensitivity value of 91 5%, and specificity value of 90 7%, with 91% accuracy  To detect regions in dense breasts, our method achieved 90 4% of sensitivity and 96 4% of specificity, with accuracy of 94 8% According to the results achieved by CNN, we demonstrate the feasibility of using convolutional neural networks on medical image processing techniques for classification of breast tissue and mass detection </t>
  </si>
  <si>
    <t xml:space="preserve">Applied Computing Group, Federal University of Maranhão - UFMA, NCA, Av  dos Portugueses, SN, Bacanga, São Luís, MA 65085-580, Brazil </t>
  </si>
  <si>
    <t>Bandeira Diniz, JO; Bandeira Diniz, PH; Azevedo Valente, TL; Corrêa Silva, A; de Paiva, AC; Gattass, M</t>
  </si>
  <si>
    <t>10 1016/j media 2018 01 006</t>
  </si>
  <si>
    <t xml:space="preserve">Spatial aggregation of holistically-nested convolutional neural networks for automated pancreas localization and segmentation </t>
  </si>
  <si>
    <t xml:space="preserve">Accurate and automatic organ segmentation from 3D radiological scans is an important yet challenging problem for medical image analysis  Specifically, as a small, soft, and flexible abdominal organ, the pancreas demonstrates very high inter-patient anatomical variability in both its shape and volume  This inhibits traditional automated segmentation methods from achieving high accuracies, especially compared to the performance obtained for other organs, such as the liver, heart or kidneys  To fill this gap, we present an automated system from 3D computed tomography (CT) volumes that is based on a two-stage cascaded approach-pancreas localization and pancreas segmentation  For the first step, we localize the pancreas from the entire 3D CT scan, providing a reliable bounding box for the more refined segmentation step  We introduce a fully deep-learning approach, based on an efficient application of holistically-nested convolutional networks (HNNs) on the three orthogonal axial, sagittal, and coronal views  The resulting HNN per-pixel probability maps are then fused using pooling to reliably produce a 3D bounding box of the pancreas that maximizes the recall  We show that our introduced localizer compares favorably to both a conventional non-deep-learning method and a recent hybrid approach based on spatial aggregation of superpixels using random forest classification  The second, segmentation, phase operates within the computed bounding box and integrates semantic mid-level cues of deeply-learned organ interior and boundary maps, obtained by two additional and separate realizations of HNNs  By integrating these two mid-level cues, our method is capable of generating boundary-preserving pixel-wise class label maps that result in the final pancreas segmentation  Quantitative evaluation is performed on a publicly available dataset of 82 patient CT scans using 4-fold cross-validation (CV)  We achieve a (mean  ±  std  dev ) Dice similarity coefficient (DSC) of 81 27 ± 6 27% in validation, which significantly outperforms both a previous state-of-the art method and a preliminary version of this work that report DSCs of 71 80 ± 10 70% and 78 01 ± 8 20%, respectively, using the same dataset </t>
  </si>
  <si>
    <t xml:space="preserve">Imaging Biomarkers and Computer-Aided Diagnosis Laboratory, Clinical Image Processing Service, Radiology and Imaging Sciences Department, National Institutes of Health Clinical Center, Bethesda, MD 20892-1182, USA </t>
  </si>
  <si>
    <t>Roth, HR; Lu, L; Lay, N; Harrison, AP; Farag, A; Sohn, A; Summers, RM</t>
  </si>
  <si>
    <t>10 1038/s41598-018-21215-1</t>
  </si>
  <si>
    <t xml:space="preserve">Applying Data-driven Imaging Biomarker in Mammography for Breast Cancer Screening: Preliminary Study </t>
  </si>
  <si>
    <t xml:space="preserve">We assessed the feasibility of a data-driven imaging biomarker based on weakly supervised learning (DIB; an imaging biomarker derived from large-scale medical image data with deep learning technology) in mammography (DIB-MG)  A total of 29,107 digital mammograms from five institutions (4,339 cancer cases and 24,768 normal cases) were included  After matching patients' age, breast density, and equipment, 1,238 and 1,238 cases were chosen as validation and test sets, respectively, and the remainder were used for training  The core algorithm of DIB-MG is a deep convolutional neural network; a deep learning algorithm specialized for images  Each sample (case) is an exam composed of 4-view images (RCC, RMLO, LCC, and LMLO)  For each case in a training set, the cancer probability inferred from DIB-MG is compared with the per-case ground-truth label  Then the model parameters in DIB-MG are updated based on the error between the prediction and the ground-truth  At the operating point (threshold) of 0 5, sensitivity was 75 6% and 76 1% when specificity was 90 2% and 88 5%, and AUC was 0 903 and 0 906 for the validation and test sets, respectively  This research showed the potential of DIB-MG as a screening tool for breast cancer </t>
  </si>
  <si>
    <t xml:space="preserve">Department of Radiology, Research Institute of Radiological Science and Center for Clinical Image Data Science, Severance Hospital, Yonsei University, Seoul, Korea </t>
  </si>
  <si>
    <t>Kim, EK; Kim, HE; Han, K; Kang, BJ; Sohn, YM; Woo, OH; Lee, CW</t>
  </si>
  <si>
    <t>10 1097/RLI 0000000000000448</t>
  </si>
  <si>
    <t xml:space="preserve">Texture Analysis and Machine Learning for Detecting Myocardial Infarction in Noncontrast Low-Dose Computed Tomography: Unveiling the Invisible </t>
  </si>
  <si>
    <t xml:space="preserve">The aim of this study was to test whether texture analysis and machine learning enable the detection of myocardial infarction (MI) on non-contrast-enhanced low radiation dose cardiac computed tomography (CCT) images In this institutional review board-approved retrospective study, we included non-contrast-enhanced electrocardiography-gated low radiation dose CCT image data (effective dose, 0 5 mSv) acquired for the purpose of calcium scoring of 27 patients with acute MI (9 female patients; mean age, 60 ± 12 years), 30 patients with chronic MI (8 female patients; mean age, 68 ± 13 years), and in 30 subjects (9 female patients; mean age, 44 ± 6 years) without cardiac abnormality, hereafter termed controls  Texture analysis of the left ventricle was performed using free-hand regions of interest, and texture features were classified twice (Model I: controls versus acute MI versus chronic MI; Model II: controls versus acute and chronic MI)  For both classifications, 6 commonly used machine learning classifiers were used: decision tree C4 5 (J48), k-nearest neighbors, locally weighted learning, RandomForest, sequential minimal optimization, and an artificial neural network employing deep learning  In addition, 2 blinded, independent readers visually assessed noncontrast CCT images for the presence or absence of MI In Model I, best classification results were obtained using the k-nearest neighbors classifier (sensitivity, 69%; specificity, 85%; false-positive rate, 0 15)  In Model II, the best classification results were found with the locally weighted learning classification (sensitivity, 86%; specificity, 81%; false-positive rate, 0 19) with an area under the curve from receiver operating characteristics analysis of 0 78  In comparison, both readers were not able to identify MI in any of the noncontrast, low radiation dose CCT images This study indicates the ability of texture analysis and machine learning in detecting MI on noncontrast low radiation dose CCT images being not visible for the radiologists' eye </t>
  </si>
  <si>
    <t xml:space="preserve">From the *Institute of Diagnostic and Interventional Radiology, University Hospital
Zurich, University of Zurich; †Institute for Biomedical Engineering, University
and ETH Zurich; and ‡Department of Cardiology, University Heart Center, University
Hospital Zurich, Zurich, Switzerland </t>
  </si>
  <si>
    <t>Mannil, M; von Spiczak, J; Manka, R; Alkadhi, H</t>
  </si>
  <si>
    <t>10 1016/j media 2018 01 004</t>
  </si>
  <si>
    <t xml:space="preserve">3D multi-scale FCN with random modality voxel dropout learning for Intervertebral Disc Localization and Segmentation from Multi-modality MR Images </t>
  </si>
  <si>
    <t xml:space="preserve">Intervertebral discs (IVDs) are small joints that lie between adjacent vertebrae  The localization and segmentation of IVDs are important for spine disease diagnosis and measurement quantification  However, manual annotation is time-consuming and error-prone with limited reproducibility, particularly for volumetric data  In this work, our goal is to develop an automatic and accurate method based on fully convolutional networks (FCN) for the localization and segmentation of IVDs from multi-modality 3D MR data  Compared with single modality data, multi-modality MR images provide complementary contextual information, which contributes to better recognition performance  However, how to effectively integrate such multi-modality information to generate accurate segmentation results remains to be further explored  In this paper, we present a novel multi-scale and modality dropout learning framework to locate and segment IVDs from four-modality MR images  First, we design a 3D multi-scale context fully convolutional network, which processes the input data in multiple scales of context and then merges the high-level features to enhance the representation capability of the network for handling the scale variation of anatomical structures  Second, to harness the complementary information from different modalities, we present a random modality voxel dropout strategy which alleviates the co-adaption issue and increases the discriminative capability of the network  Our method achieved the 1st place in the MICCAI challenge on automatic localization and segmentation of IVDs from multi-modality MR images, with a mean segmentation Dice coefficient of 91 2% and a mean localization error of 0 62 mm  We further conduct extensive experiments on the extended dataset to validate our method  We demonstrate that the proposed modality dropout strategy with multi-modality images as contextual information improved the segmentation accuracy significantly  Furthermore, experiments conducted on extended data collected from two different time points demonstrate the efficacy of our method on tracking the morphological changes in a longitudinal study </t>
  </si>
  <si>
    <t xml:space="preserve">Department of Computer Science and Engineering, The Chinese University of Hong Kong, Hong Kong, China </t>
  </si>
  <si>
    <t>Li, X; Dou, Q; Chen, H; Fu, CW; Qi, X; Belavý, DL; Armbrecht, G; Felsenberg, D; Zheng, G; Heng, PA</t>
  </si>
  <si>
    <t>10 1007/s10278-018-0053-3</t>
  </si>
  <si>
    <t xml:space="preserve">MABAL: a Novel Deep-Learning Architecture for Machine-Assisted Bone Age Labeling </t>
  </si>
  <si>
    <t xml:space="preserve">Bone age assessment (BAA) is a commonly performed diagnostic study in pediatric radiology to assess skeletal maturity  The most commonly utilized method for assessment of BAA is the Greulich and Pyle method (Pediatr Radiol 46 9:1269-1274, 2016; Arch Dis Child 81 2:172-173, 1999) atlas  The evaluation of BAA can be a tedious and time-consuming process for the radiologist  As such, several computer-assisted detection/diagnosis (CAD) methods have been proposed for automation of BAA  Classical CAD tools have traditionally relied on hard-coded algorithmic features for BAA which suffer from a variety of drawbacks  Recently, the advent and proliferation of convolutional neural networks (CNNs) has shown promise in a variety of medical imaging applications  There have been at least two published applications of using deep learning for evaluation of bone age (Med Image Anal 36:41-51, 2017; JDI 1-5, 2017)  However, current implementations are limited by a combination of both architecture design and relatively small datasets  The purpose of this study is to demonstrate the benefits of a customized neural network algorithm carefully calibrated to the evaluation of bone age utilizing a relatively large institutional dataset  In doing so, this study will aim to show that advanced architectures can be successfully trained from scratch in the medical imaging domain and can generate results that outperform any existing proposed algorithm  The training data consisted of 10,289 images of different skeletal age examinations, 8909 from the hospital Picture Archiving and Communication System at our institution and 1383 from the public Digital Hand Atlas Database  The data was separated into four cohorts, one each for male and female children above the age of 8, and one each for male and female children below the age of 10  The testing set consisted of 20 radiographs of each 1-year-age cohort from 0 to 1 years to 14-15+ years, half male and half female  The testing set included left-hand radiographs done for bone age assessment, trauma evaluation without significant findings, and skeletal surveys  A 14 hidden layer-customized neural network was designed for this study  The network included several state of the art techniques including residual-style connections, inception layers, and spatial transformer layers  Data augmentation was applied to the network inputs to prevent overfitting  A linear regression output was utilized  Mean square error was used as the network loss function and mean absolute error (MAE) was utilized as the primary performance metric  MAE accuracies on the validation and test sets for young females were 0 654 and 0 561 respectively  For older females, validation and test accuracies were 0 662 and 0 497 respectively  For young males, validation and test accuracies were 0 649 and 0 585 respectively  Finally, for older males, validation and test set accuracies were 0 581 and 0 501 respectively  The female cohorts were trained for 900 epochs each and the male cohorts were trained for 600 epochs  An eightfold cross-validation set was employed for hyperparameter tuning  Test error was obtained after training on a full data set with the selected hyperparameters  Using our proposed customized neural network architecture on our large available data, we achieved an aggregate validation and test set mean absolute errors of 0 637 and 0 536 respectively  To date, this is the best published performance on utilizing deep learning for bone age assessment  Our results support our initial hypothesis that customized, purpose-built neural networks provide improved performance over networks derived from pre-trained imaging data sets  We build on that initial work by showing that the addition of state-of-the-art techniques such as residual connections and inception architecture further improves prediction accuracy  This is important because the current assumption for use of residual and/or inception architectures is that a large pre-trained network is required for successful implementation given the relatively small datasets in medical imaging  Instead we show that a small, customized architecture incorporating advanced CNN strategies can indeed be trained from scratch, yielding significant improvements in algorithm accuracy  It should be noted that for all four cohorts, testing error outperformed validation error  One reason for this is that our ground truth for our test set was obtained by averaging two pediatric radiologist reads compared to our training data for which only a single read was used  This suggests that despite relatively noisy training data, the algorithm could successfully model the variation between observers and generate estimates that are close to the expected ground truth </t>
  </si>
  <si>
    <t xml:space="preserve">Columbia University Medical Center, PB 1-301, New York, NY, 10032, USA </t>
  </si>
  <si>
    <t>Mutasa, S; Chang, PD; Ruzal-Shapiro, C; Ayyala, R</t>
  </si>
  <si>
    <t>10 1002/mrm 27106</t>
  </si>
  <si>
    <t xml:space="preserve">Deep learning with domain adaptation for accelerated projection-reconstruction MR </t>
  </si>
  <si>
    <t xml:space="preserve">Purpose: The radial k-space trajectory is a well-established sampling trajectory used
in conjunction with magnetic resonance imaging  However, the radial k-space trajectory
requires a large number of radial lines for high-resolution reconstruction 
Increasing the number of radial lines causes longer acquisition time, making it more
difficult for routine clinical use  On the other hand, if we reduce the number of radial
lines, streaking artifact patterns are unavoidable  To solve this problem, we propose a
novel deep learning approach with domain adaptation to restore high-resolution MR
images from under-sampled k-space data 
Methods: The proposed deep network removes the streaking artifacts from the artifact
corrupted images  To address the situation given the limited available data, we
propose a domain adaptation scheme that employs a pre-trained network using a large
number of X-ray computed tomography (CT) or synthesized radial MR datasets,
which is then fine-tuned with only a few radial MR datasets 
Results: The proposed method outperforms existing compressed sensing algorithms,
such as the total variation and PR-FOCUSS methods  In addition, the calculation time is
several orders of magnitude faster than the total variation and PR-FOCUSS methods 
Moreover, we found that pre-training using CT or MR data from similar organ data is
more important than pre-training using data from the same modality for different organ 
Conclusion: We demonstrate the possibility of a domain-adaptation when only a
limited amount of MR data is available  The proposed method surpasses the existing
compressed sensing algorithms in terms of the image quality and computation time </t>
  </si>
  <si>
    <t xml:space="preserve">Department of Bio and Brain Engineering, Korea Advanced Institute of Science &amp; Technology (KAIST), Daejeon, Republic of Korea </t>
  </si>
  <si>
    <t>Han, Y; Yoo, J; Kim, HH; Shin, HJ; Sung, K; Ye, JC</t>
  </si>
  <si>
    <t>10 1016/j jacr 2017 11 036</t>
  </si>
  <si>
    <t xml:space="preserve">Prediction of Occult Invasive Disease in Ductal Carcinoma in Situ Using Deep Learning Features </t>
  </si>
  <si>
    <t xml:space="preserve">The aim of this study was to determine whether deep features extracted from digital mammograms using a pretrained deep convolutional neural network are prognostic of occult invasive disease for patients with ductal carcinoma in situ (DCIS) on core needle biopsy In this retrospective study, digital mammographic magnification views were collected for 99 subjects with DCIS at biopsy, 25 of which were subsequently upstaged to invasive cancer  A deep convolutional neural network model that was pretrained on nonmedical images (eg, animals, plants, instruments) was used as the feature extractor  Through a statistical pooling strategy, deep features were extracted at different levels of convolutional layers from the lesion areas, without sacrificing the original resolution or distorting the underlying topology  A multivariate classifier was then trained to predict which tumors contain occult invasive disease  This was compared with the performance of traditional "handcrafted" computer vision (CV) features previously developed specifically to assess mammographic calcifications  The generalization performance was assessed using Monte Carlo cross-validation and receiver operating characteristic curve analysis Deep features were able to distinguish DCIS with occult invasion from pure DCIS, with an area under the receiver operating characteristic curve of 0 70 (95% confidence interval, 0 68-0 73)  This performance was comparable with the handcrafted CV features (area under the curve = 0 68; 95% confidence interval, 0 66-0 71) that were designed with prior domain knowledge Despite being pretrained on only nonmedical images, the deep features extracted from digital mammograms demonstrated comparable performance with handcrafted CV features for the challenging task of predicting DCIS upstaging </t>
  </si>
  <si>
    <t xml:space="preserve">Carl E  Ravin Advanced Imaging Laboratories, Department of Radiology, Duke University School of Medicine, Durham, North Carolina </t>
  </si>
  <si>
    <t>Shi, B; Grimm, LJ; Mazurowski, MA; Baker, JA; Marks, JR; King, LM; Maley, CC; Hwang, ES; Lo, JY</t>
  </si>
  <si>
    <t>10 1038/s41598-018-20453-7</t>
  </si>
  <si>
    <t xml:space="preserve">Multi-radial LBP Features as a Tool for Rapid Glomerular Detection and Assessment in Whole Slide Histopathology Images </t>
  </si>
  <si>
    <t xml:space="preserve">We demonstrate a simple and effective automated method for the localization of glomeruli in large (~1 gigapixel) histopathological whole-slide images (WSIs) of thin renal tissue sections and biopsies, using an adaptation of the well-known local binary patterns (LBP) image feature vector to train a support vector machine (SVM) model  Our method offers high precision (&gt;90%) and reasonable recall (&gt;70%) for glomeruli from WSIs, is readily adaptable to glomeruli from multiple species, including mouse, rat, and human, and is robust to diverse slide staining methods  Using 5 Intel(R) Core(TM) i7-4790 CPUs with 40 GB RAM, our method typically requires ~15 sec for training and ~2 min to extract glomeruli reproducibly from a WSI  Deploying a deep convolutional neural network trained for glomerular recognition in tandem with the SVM suffices to reduce false positives to below 3%  We also apply our LBP-based descriptor to successfully detect pathologic changes in a mouse model of diabetic nephropathy  We envision potential clinical and laboratory applications for this approach in the study and diagnosis of glomerular disease, and as a means of greatly accelerating the construction of feature sets to fuel deep learning studies into tissue structure and pathology </t>
  </si>
  <si>
    <t xml:space="preserve">Department of Pathology and Anatomical Sciences, University at Buffalo, Buffalo, USA </t>
  </si>
  <si>
    <t>Simon, O; Yacoub, R; Jain, S; Tomaszewski, JE; Sarder, P</t>
  </si>
  <si>
    <t>10 1002/mrm 27096</t>
  </si>
  <si>
    <t xml:space="preserve">Deep learning approaches for detection and removal of ghosting artifacts in MR spectroscopy </t>
  </si>
  <si>
    <t xml:space="preserve">Purpose: To make use of deep learning (DL) methods to
detect and remove ghosting artifacts in clinical magnetic resonance
spectra of human brain 
Methods: Deep learning algorithms, including fully connected
neural networks, deep-convolutional neural networks, and
stacked what-where auto encoders, were implemented to
detect and correct MR spectra containing spurious echo ghost
signals  The DL methods were trained on a huge database of
simulated spectra with and without ghosting artifacts that represent
complex variations of ghost-ridden spectra, transformed
to time-frequency spectrograms  The trained model
was tested on simulated and in vivo spectra 
Results: The preliminary results for ghost detection are very
promising, reaching almost 100% accuracy, and the DL ghost
removal methods show potential in simulated and in vivo spectra,
but need further refinement and quantitative testing 
Conclusions: Ghosting artifacts in spectroscopy are problematic,
as they superimpose with metabolites and lead to inaccurate
quantification  Detection and removal of ghosting artifacts
using traditional machine learning approaches with feature
extraction/selection is difficult, as ghosts appear at different frequencies 
Here, we show that DL methods perform extremely
well for ghost detection if the spectra are treated as images in
the form of time-frequency representations  Further optimization
for in vivo spectra will hopefully confirm their “ghostbusting”
capacity  Magn Reson Med 80:851–863, 2018  VC 2018 International
Society for Magnetic Resonance in Medicine </t>
  </si>
  <si>
    <t xml:space="preserve">Departments of Radiology and Biomedical Research, University of Bern, Bern, Switzerland </t>
  </si>
  <si>
    <t>Kyathanahally, SP; Döring, A; Kreis, R</t>
  </si>
  <si>
    <t xml:space="preserve">An automated technique to stage lower third molar development on panoramic radiographs for age estimation: a pilot study </t>
  </si>
  <si>
    <t xml:space="preserve">Automated methods to evaluate growth of hand and wrist bones on radiographs and magnetic resonance imaging have been developed  They can be applied to estimate age in children and subadults  Automated methods require the software to (1) recognise the region of interest in the image(s), (2) evaluate the degree of development and (3) correlate this to the age of the subject based on a reference population  For age estimation based on third molars an automated method for step (1) has been presented for 3D magnetic resonance imaging and is currently being optimised (Unterpirker et al  2015) To develop an automated method for step (2) based on lower third molars on panoramic radiographs A modified Demirjian staging technique including ten developmental stages was developed  Twenty panoramic radiographs per stage per gender were retrospectively selected for FDI element 38  Two observers decided in consensus about the stages  When necessary, a third observer acted as a referee to establish the reference stage for the considered third molar  This set of radiographs was used as training data for machine learning algorithms for automated staging  First, image contrast settings were optimised to evaluate the third molar of interest and a rectangular bounding box was placed around it in a standardised way using Adobe Photoshop CC 2017 software  This bounding box indicated the region of interest for the next step  Second, several machine learning algorithms available in MATLAB R2017a software were applied for automated stage recognition  Third, the classification performance was evaluated in a 5-fold cross-validation scenario, using different validation metrics (accuracy, Rank-N recognition rate, mean absolute difference, linear kappa coefficient) Transfer Learning as a type of Deep Learning Convolutional Neural Network approach outperformed all other tested approaches  Mean accuracy equalled 0 51, mean absolute difference was 0 6 stages and mean linearly weighted kappa was 0 82 The overall performance of the presented automated pilot technique to stage lower third molar development on panoramic radiographs was similar to staging by human observers  It will be further optimised in future research, since it represents a necessary step to achieve a fully automated dental age estimation method, which to date is not available </t>
  </si>
  <si>
    <t>The Journal of forensic odonto-stomatology</t>
  </si>
  <si>
    <t xml:space="preserve">Department of Oral Health Sciences - Forensic Dentistry, KU Leuven and Department of Dentistry - University Hospitals Leuven, Belgium </t>
  </si>
  <si>
    <t>De Tobel, J; Radesh, P; Vandermeulen, D; Thevissen, PW</t>
  </si>
  <si>
    <t>8501421</t>
  </si>
  <si>
    <t>10 1148/radiol 2018171093</t>
  </si>
  <si>
    <t xml:space="preserve">Natural Language-based Machine Learning Models for the Annotation of Clinical Radiology Reports </t>
  </si>
  <si>
    <t xml:space="preserve">Purpose To compare different methods for generating features from radiology reports and to develop a method to automatically identify findings in these reports  Materials and Methods In this study, 96 303 head computed tomography (CT) reports were obtained  The linguistic complexity of these reports was compared with that of alternative corpora  Head CT reports were preprocessed, and machine-analyzable features were constructed by using bag-of-words (BOW), word embedding, and Latent Dirichlet allocation-based approaches  Ultimately, 1004 head CT reports were manually labeled for findings of interest by physicians, and a subset of these were deemed critical findings  Lasso logistic regression was used to train models for physician-assigned labels on 602 of 1004 head CT reports (60%) using the constructed features, and the performance of these models was validated on a held-out 402 of 1004 reports (40%)  Models were scored by area under the receiver operating characteristic curve (AUC), and aggregate AUC statistics were reported for (a) all labels, (b) critical labels, and (c) the presence of any critical finding in a report  Sensitivity, specificity, accuracy, and F1 score were reported for the best performing model's (a) predictions of all labels and (b) identification of reports containing critical findings  Results The best-performing model (BOW with unigrams, bigrams, and trigrams plus average word embeddings vector) had a held-out AUC of 0 966 for identifying the presence of any critical head CT finding and an average 0 957 AUC across all head CT findings  Sensitivity and specificity for identifying the presence of any critical finding were 92 59% (175 of 189) and 89 67% (191 of 213), respectively  Average sensitivity and specificity across all findings were 90 25% (1898 of 2103) and 91 72% (18 351 of 20 007), respectively  Simpler BOW methods achieved results competitive with those of more sophisticated approaches, with an average AUC for presence of any critical finding of 0 951 for unigram BOW versus 0 966 for the best-performing model  The Yule I of the head CT corpus was 34, markedly lower than that of the Reuters corpus (at 103) or I2B2 discharge summaries (at 271), indicating lower linguistic complexity  Conclusion Automated methods can be used to identify findings in radiology reports  The success of this approach benefits from the standardized language of these reports  With this method, a large labeled corpus can be generated for applications such as deep learning  © RSNA, 2018 Online supplemental material is available for this article </t>
  </si>
  <si>
    <t>From the Departments of Radiology (J Z , J T , J S , A S ) and Neurosurgery (M P , M B , A C , J B , E K O ), Icahn School of Medicine, 1 Gustave Levy Pl, New York, NY 10029; and Department of Bioengineering and Bioinformatics, Boston University, Boston, Mass</t>
  </si>
  <si>
    <t>Zech, J; Pain, M; Titano, J; Badgeley, M; Schefflein, J; Su, A; Costa, A; Bederson, J; Lehar, J; Oermann, EK</t>
  </si>
  <si>
    <t>10 1038/s41598-018-20132-7</t>
  </si>
  <si>
    <t xml:space="preserve">Automatic Knee Osteoarthritis Diagnosis from Plain Radiographs: A Deep Learning-Based Approach </t>
  </si>
  <si>
    <t xml:space="preserve">Knee osteoarthritis (OA) is the most common musculoskeletal disorder  OA diagnosis is currently conducted by assessing symptoms and evaluating plain radiographs, but this process suffers from subjectivity  In this study, we present a new transparent computer-aided diagnosis method based on the Deep Siamese Convolutional Neural Network to automatically score knee OA severity according to the Kellgren-Lawrence grading scale  We trained our method using the data solely from the Multicenter Osteoarthritis Study and validated it on randomly selected 3,000 subjects (5,960 knees) from Osteoarthritis Initiative dataset  Our method yielded a quadratic Kappa coefficient of 0 83 and average multiclass accuracy of 66 71% compared to the annotations given by a committee of clinical experts  Here, we also report a radiological OA diagnosis area under the ROC curve of 0 93  Besides this, we present attention maps highlighting the radiological features affecting the network decision  Such information makes the decision process transparent for the practitioner, which builds better trust toward automatic methods  We believe that our model is useful for clinical decision making and for OA research; therefore, we openly release our training codes and the data set created in this study </t>
  </si>
  <si>
    <t xml:space="preserve">Research Unit of Medical Imaging, Physics and Technology, University of Oulu, Oulu, Finland </t>
  </si>
  <si>
    <t>Tiulpin, A; Thevenot, J; Rahtu, E; Lehenkari, P; Saarakkala, S</t>
  </si>
  <si>
    <t>10 1117/1 JMI 5 2 021204</t>
  </si>
  <si>
    <t xml:space="preserve">Pairwise domain adaptation module for CNN-based 2-D/3-D registration </t>
  </si>
  <si>
    <t xml:space="preserve">Accurate two-dimensional to three-dimensional (2-D/3-D) registration of preoperative 3-D data and intraoperative 2-D x-ray images is a key enabler for image-guided therapy  Recent advances in 2-D/3-D registration formulate the problem as a learning-based approach and exploit the modeling power of convolutional neural networks (CNN) to significantly improve the accuracy and efficiency of 2-D/3-D registration  However, for surgery-related applications, collecting a large clinical dataset with accurate annotations for training can be very challenging or impractical  Therefore, deep learning-based 2-D/3-D registration methods are often trained with synthetically generated data, and a performance gap is often observed when testing the trained model on clinical data  We propose a pairwise domain adaptation (PDA) module to adapt the model trained on source domain (i e , synthetic data) to target domain (i e , clinical data) by learning domain invariant features with only a few paired real and synthetic data  The PDA module is designed to be flexible for different deep learning-based 2-D/3-D registration frameworks, and it can be plugged into any pretrained CNN model such as a simple Batch-Norm layer  The proposed PDA module has been quantitatively evaluated on two clinical applications using different frameworks of deep networks, demonstrating its significant advantages of generalizability and flexibility for 2-D/3-D medical image registration when a small number of paired real-synthetic data can be obtained </t>
  </si>
  <si>
    <t xml:space="preserve">Siemens Healthineers, Princeton, New Jersey, United States </t>
  </si>
  <si>
    <t>Zheng, J; Miao, S; Jane Wang, Z; Liao, R</t>
  </si>
  <si>
    <t>10 3389/fonc 2017 00315</t>
  </si>
  <si>
    <t xml:space="preserve">Deep Deconvolutional Neural Network for Target Segmentation of Nasopharyngeal Cancer in Planning Computed Tomography Images </t>
  </si>
  <si>
    <t xml:space="preserve">Radiotherapy is one of the main treatment methods for nasopharyngeal carcinoma (NPC)  It requires exact delineation of the nasopharynx gross tumor volume (GTVnx), the metastatic lymph node gross tumor volume (GTVnd), the clinical target volume (CTV), and organs at risk in the planning computed tomography images  However, this task is time-consuming and operator dependent  In the present study, we developed an end-to-end deep deconvolutional neural network (DDNN) for segmentation of these targets The proposed DDNN is an end-to-end architecture enabling fast training and testing  It consists of two important components: an encoder network and a decoder network  The encoder network was used to extract the visual features of a medical image and the decoder network was used to recover the original resolution by deploying deconvolution  A total of 230 patients diagnosed with NPC stage I or stage II were included in this study  Data from 184 patients were chosen randomly as a training set to adjust the parameters of DDNN, and the remaining 46 patients were the test set to assess the performance of the model  The Dice similarity coefficient (DSC) was used to quantify the segmentation results of the GTVnx, GTVnd, and CTV  In addition, the performance of DDNN was compared with the VGG-16 model The proposed DDNN method outperformed the VGG-16 in all the segmentation  The mean DSC values of DDNN were 80 9% for GTVnx, 62 3% for the GTVnd, and 82 6% for CTV, whereas VGG-16 obtained 72 3, 33 7, and 73 7% for the DSC values, respectively DDNN can be used to segment the GTVnx and CTV accurately  The accuracy for the GTVnd segmentation was relatively low due to the considerable differences in its shape, volume, and location among patients  The accuracy is expected to increase with more training data and combination of MR images  In conclusion, DDNN has the potential to improve the consistency of contouring and streamline radiotherapy workflows, but careful human review and a considerable amount of editing will be required </t>
  </si>
  <si>
    <t xml:space="preserve">National Cancer Center/Cancer Hospital, Chinese Academy of Medical Sciences and Peking Union Medical College, Beijing, China </t>
  </si>
  <si>
    <t>Men, K; Chen, X; Zhang, Y; Zhang, T; Dai, J; Yi, J; Li, Y</t>
  </si>
  <si>
    <t>10 1167/iovs 17-22721</t>
  </si>
  <si>
    <t xml:space="preserve">Retinal Lesion Detection With Deep Learning Using Image Patches </t>
  </si>
  <si>
    <t xml:space="preserve">To develop an automated method of localizing and discerning multiple types of findings in retinal images using a limited set of training data without hard-coded feature extraction as a step toward generalizing these methods to rare disease detection in which a limited number of training data are available Two ophthalmologists verified 243 retinal images, labeling important subsections of the image to generate 1324 image patches containing either hemorrhages, microaneurysms, exudates, retinal neovascularization, or normal-appearing structures from the Kaggle dataset  These image patches were used to train one standard convolutional neural network to predict the presence of these five classes  A sliding window method was used to generate probability maps across the entire image The method was validated on the eOphta dataset of 148 whole retinal images for microaneurysms and 47 for exudates  A pixel-wise classification of the area under the curve of the receiver operating characteristic of 0 94 and 0 95, as well as a lesion-wise area under the precision recall curve of 0 86 and 0 64, was achieved for microaneurysms and exudates, respectively Regionally trained convolutional neural networks can generate lesion-specific probability maps able to detect and distinguish between subtle pathologic lesions with only a few hundred training examples per lesion </t>
  </si>
  <si>
    <t>CNN,AlexNet,VGG, GoogLeNet, ResNet</t>
  </si>
  <si>
    <t xml:space="preserve">Department of Biomedical Data Science, Stanford University, Stanford, California, United States </t>
  </si>
  <si>
    <t>Lam, C; Yu, C; Huang, L; Rubin, D</t>
  </si>
  <si>
    <t>10 1016/j jbi 2018 01 005</t>
  </si>
  <si>
    <t xml:space="preserve">Computer-Assisted Decision Support System in Pulmonary Cancer detection and stage classification on CT images </t>
  </si>
  <si>
    <t xml:space="preserve">Pulmonary cancer is considered as one of the major causes of death worldwide  For the detection of lung cancer, computer-assisted diagnosis (CADx) systems have been designed  Internet-of-Things (IoT) has enabled ubiquitous internet access to biomedical datasets and techniques; in result, the progress in CADx is significant  Unlike the conventional CADx, deep learning techniques have the basic advantage of an automatic exploitation feature as they have the ability to learn mid and high level image representations  We proposed a Computer-Assisted Decision Support System in Pulmonary Cancer by using the novel deep learning based model and metastasis information obtained from MBAN (Medical Body Area Network)  The proposed model, DFCNet, is based on the deep fully convolutional neural network (FCNN) which is used for classification of each detected pulmonary nodule into four lung cancer stages  The performance of proposed work is evaluated on different datasets with varying scan conditions  Comparison of proposed classifier is done with the existing CNN techniques  Overall accuracy of CNN and DFCNet was 77 6% and 84 58%, respectively  Experimental results illustrate the effectiveness of proposed method for the detection and classification of lung cancer nodules  These results demonstrate the potential for the proposed technique in helping the radiologists in improving nodule detection accuracy with efficiency </t>
  </si>
  <si>
    <t>Journal of biomedical informatics</t>
  </si>
  <si>
    <t xml:space="preserve">Dept  of Computer Science and Engineering, Shanghai Jiao Tong University, China; Dept  of Computer Science, COMSATS Institute of Information Technology, Pakistan </t>
  </si>
  <si>
    <t>Masood, A; Sheng, B; Li, P; Hou, X; Wei, X; Qin, J; Feng, D</t>
  </si>
  <si>
    <t>100970413</t>
  </si>
  <si>
    <t>10 1002/jemt 22994</t>
  </si>
  <si>
    <t xml:space="preserve">Brain tumor segmentation in multi-spectral MRI using convolutional neural networks (CNN) </t>
  </si>
  <si>
    <t xml:space="preserve">A tumor could be found in any area of the brain and could be of any size, shape, and contrast  There may exist multiple tumors of different types in a human brain at the same time  Accurate tumor area segmentation is considered primary step for treatment of brain tumors  Deep Learning is a set of promising techniques that could provide better results as compared to nondeep learning techniques for segmenting timorous part inside a brain  This article presents a deep convolutional neural network (CNN) to segment brain tumors in MRIs  The proposed network uses BRATS segmentation challenge dataset which is composed of images obtained through four different modalities  Accordingly, we present an extended version of existing network to solve segmentation problem  The network architecture consists of multiple neural network layers connected in sequential order with the feeding of Convolutional feature maps at the peer level  Experimental results on BRATS 2015 benchmark data thus show the usability of the proposed approach and its superiority over the other approaches in this area of research </t>
  </si>
  <si>
    <t xml:space="preserve">Department of Computer Science and Engineering, University of Engineering and Technology, Lahore, Pakistan </t>
  </si>
  <si>
    <t>Iqbal, S; Ghani, MU; Saba, T; Rehman, A</t>
  </si>
  <si>
    <t>10 1002/mp 12752</t>
  </si>
  <si>
    <t xml:space="preserve">Deep learning for segmentation of brain tumors: Impact of cross-institutional training and testing </t>
  </si>
  <si>
    <t xml:space="preserve">Convolutional neural networks (CNNs) are commonly used for segmentation of brain tumors  In this work, we assess the effect of cross-institutional training on the performance of CNNs We selected 44 glioblastoma (GBM) patients from two institutions in The Cancer Imaging Archive dataset  The images were manually annotated by outlining each tumor component to form ground truth  To automatically segment the tumors in each patient, we trained three CNNs: (a) one using data for patients from the same institution as the test data, (b) one using data for the patients from the other institution and (c) one using data for the patients from both of the institutions  The performance of the trained models was evaluated using Dice similarity coefficients as well as Average Hausdorff Distance between the ground truth and automatic segmentations  The 10-fold cross-validation scheme was used to compare the performance of different approaches Performance of the model significantly decreased (P &lt; 0 0001) when it was trained on data from a different institution (dice coefficients: 0 68 ± 0 19 and 0 59 ± 0 19) as compared to training with data from the same institution (dice coefficients: 0 72 ± 0 17 and 0 76 ± 0 12)  This trend persisted for segmentation of the entire tumor as well as its individual components There is a very strong effect of selecting data for training on performance of CNNs in a multi-institutional setting  Determination of the reasons behind this effect requires additional comprehensive investigation </t>
  </si>
  <si>
    <t xml:space="preserve">Department of Radiology, Duke University School of Medicine, Durham, NC, USA </t>
  </si>
  <si>
    <t>AlBadawy, EA; Saha, A; Mazurowski, MA</t>
  </si>
  <si>
    <t>10 1371/journal pone 0191493</t>
  </si>
  <si>
    <t xml:space="preserve">Deep neural networks show an equivalent and often superior performance to dermatologists in onychomycosis diagnosis: Automatic construction of onychomycosis datasets by region-based convolutional deep neural network </t>
  </si>
  <si>
    <t xml:space="preserve">Although there have been reports of the successful diagnosis of skin disorders using deep learning, unrealistically large clinical image datasets are required for artificial intelligence (AI) training  We created datasets of standardized nail images using a region-based convolutional neural network (R-CNN) trained to distinguish the nail from the background  We used R-CNN to generate training datasets of 49,567 images, which we then used to fine-tune the ResNet-152 and VGG-19 models  The validation datasets comprised 100 and 194 images from Inje University (B1 and B2 datasets, respectively), 125 images from Hallym University (C dataset), and 939 images from Seoul National University (D dataset)  The AI (ensemble model; ResNet-152 + VGG-19 + feedforward neural networks) results showed test sensitivity/specificity/ area under the curve values of (96 0 / 94 7 / 0 98), (82 7 / 96 7 / 0 95), (92 3 / 79 3 / 0 93), (87 7 / 69 3 / 0 82) for the B1, B2, C, and D datasets  With a combination of the B1 and C datasets, the AI Youden index was significantly (p = 0 01) higher than that of 42 dermatologists doing the same assessment manually  For B1+C and B2+ D dataset combinations, almost none of the dermatologists performed as well as the AI  By training with a dataset comprising 49,567 images, we achieved a diagnostic accuracy for onychomycosis using deep learning that was superior to that of most of the dermatologists who participated in this study </t>
  </si>
  <si>
    <t>FASTER R-CNN,ResNet,VGG</t>
  </si>
  <si>
    <t xml:space="preserve">I Dermatology, Seoul, Korea </t>
  </si>
  <si>
    <t>Han, SS; Park, GH; Lim, W; Kim, MS; Na, JI; Park, I; Chang, SE</t>
  </si>
  <si>
    <t>10 1007/s11548-018-1702-1</t>
  </si>
  <si>
    <t xml:space="preserve">Sliding to predict: vision-based beating heart motion estimation by modeling temporal interactions </t>
  </si>
  <si>
    <t xml:space="preserve">Technical advancements have been part of modern medical solutions as they promote better surgical alternatives that serve to the benefit of patients  Particularly with cardiovascular surgeries, robotic surgical systems enable surgeons to perform delicate procedures on a beating heart, avoiding the complications of cardiac arrest  This advantage comes with the price of having to deal with a dynamic target which presents technical challenges for the surgical system  In this work, we propose a solution for cardiac motion estimation Our estimation approach uses a variational framework that guarantees preservation of the complex anatomy of the heart  An advantage of our approach is that it takes into account different disturbances, such as specular reflections and occlusion events  This is achieved by performing a preprocessing step that eliminates the specular highlights and a predicting step, based on a conditional restricted Boltzmann machine, that recovers missing information caused by partial occlusions We carried out exhaustive experimentations on two datasets, one from a phantom and the other from an in vivo procedure  The results show that our visual approach reaches an average minima in the order of magnitude of [Formula: see text] while preserving the heart's anatomical structure and providing stable values for the Jacobian determinant ranging from 0 917 to 1 015  We also show that our specular elimination approach reaches an accuracy of 99% compared to a ground truth  In terms of prediction, our approach compared favorably against two well-known predictors, NARX and EKF, giving the lowest average RMSE of 0 071 Our approach avoids the risks of using mechanical stabilizers and can also be effective for acquiring the motion of organs other than the heart, such as the lung or other deformable objects </t>
  </si>
  <si>
    <t xml:space="preserve">Department of Pure Mathematics &amp; Mathematical Statistics, University of Cambridge, Cambridge, UK </t>
  </si>
  <si>
    <t>Aviles-Rivero, AI; Alsaleh, SM; Casals, A</t>
  </si>
  <si>
    <t>10 1186/s12915-017-0477-0</t>
  </si>
  <si>
    <t xml:space="preserve">WorMachine: machine learning-based phenotypic analysis tool for worms </t>
  </si>
  <si>
    <t xml:space="preserve">Caenorhabditis elegans nematodes are powerful model organisms, yet quantification of visible phenotypes is still often labor-intensive, biased, and error-prone  We developed WorMachine, a three-step MATLAB-based image analysis software that allows (1) automated identification of C  elegans worms, (2) extraction of morphological features and quantification of fluorescent signals, and (3) machine learning techniques for high-level analysis We examined the power of WorMachine using five separate representative assays: supervised classification of binary-sex phenotype, scoring continuous-sexual phenotypes, quantifying the effects of two different RNA interference treatments, and measuring intracellular protein aggregation WorMachine is suitable for analysis of a variety of biological questions and provides an accurate and reproducible analysis tool for measuring diverse phenotypes  It serves as a "quick and easy," convenient, high-throughput, and automated solution for nematode research </t>
  </si>
  <si>
    <t>BMC biology</t>
  </si>
  <si>
    <t xml:space="preserve">Sagol School of Neuroscience, Tel Aviv University, Tel Aviv, Israel </t>
  </si>
  <si>
    <t>Hakim, A; Mor, Y; Toker, IA; Levine, A; Neuhof, M; Markovitz, Y; Rechavi, O</t>
  </si>
  <si>
    <t>101190720</t>
  </si>
  <si>
    <t>10 1007/s10120-018-0793-2</t>
  </si>
  <si>
    <t xml:space="preserve">Application of artificial intelligence using a convolutional neural network for detecting gastric cancer in endoscopic images </t>
    <phoneticPr fontId="0" type="noConversion"/>
  </si>
  <si>
    <t xml:space="preserve">Image recognition using artificial intelligence with deep learning through convolutional neural networks (CNNs) has dramatically improved and been increasingly applied to medical fields for diagnostic imaging  We developed a CNN that can automatically detect gastric cancer in endoscopic images A CNN-based diagnostic system was constructed based on Single Shot MultiBox Detector architecture and trained using 13,584 endoscopic images of gastric cancer  To evaluate the diagnostic accuracy, an independent test set of 2296 stomach images collected from 69 consecutive patients with 77 gastric cancer lesions was applied to the constructed CNN The CNN required 47 s to analyze 2296 test images  The CNN correctly diagnosed 71 of 77 gastric cancer lesions with an overall sensitivity of 92 2%, and 161 non-cancerous lesions were detected as gastric cancer, resulting in a positive predictive value of 30 6%  Seventy of the 71 lesions (98 6%) with a diameter of 6 mm or more as well as all invasive cancers were correctly detected  All missed lesions were superficially depressed and differentiated-type intramucosal cancers that were difficult to distinguish from gastritis even for experienced endoscopists  Nearly half of the false-positive lesions were gastritis with changes in color tone or an irregular mucosal surface The constructed CNN system for detecting gastric cancer could process numerous stored endoscopic images in a very short time with a clinically relevant diagnostic ability  It may be well applicable to daily clinical practice to reduce the burden of endoscopists </t>
  </si>
  <si>
    <t>Gastric cancer : official journal of the International Gastric Cancer Association and the Japanese Gastric Cancer Association</t>
  </si>
  <si>
    <t xml:space="preserve">Department of Gastroenterology, Cancer Institute Hospital Ariake, Japanese Foundation for Cancer Research, 3-10-6 Ariake, Koto-ku, Tokyo, 135-8550, Japan </t>
  </si>
  <si>
    <t>Hirasawa, T; Aoyama, K; Tanimoto, T; Ishihara, S; Shichijo, S; Ozawa, T; Ohnishi, T; Fujishiro, M; Matsuo, K; Fujisaki, J; Tada, T</t>
  </si>
  <si>
    <t>100886238</t>
  </si>
  <si>
    <t>10 1016/j nicl 2017 12 005</t>
  </si>
  <si>
    <t xml:space="preserve">DeepIED: An epileptic discharge detector for EEG-fMRI based on deep learning </t>
  </si>
  <si>
    <t xml:space="preserve">Presurgical evaluation that can precisely delineate the epileptogenic zone (EZ) is one important step for successful surgical resection treatment of refractory epilepsy patients  The noninvasive EEG-fMRI recording technique combined with general linear model (GLM) analysis is considered an important tool for estimating the EZ  However, the manual marking of interictal epileptic discharges (IEDs) needed in this analysis is challenging and time-consuming because the quality of the EEG recorded inside the scanner is greatly deteriorated compared to the usual EEG obtained outside the scanner  This is one of main impediments to the widespread use of EEG-fMRI in epilepsy  We propose a deep learning based semi-automatic IED detector that can find the candidate IEDs in the EEG recorded inside the scanner which resemble sample IEDs marked in the EEG recorded outside the scanner  The manual marking burden is greatly reduced as the expert need only edit candidate IEDs  The model is trained on data from 30 patients  Validation of IEDs detection accuracy on another 37 consecutive patients shows our method can improve the median sensitivity from 50 0% for the previously proposed template-based method to 84 2%, with false positive rate as 5 events/min  Reproducibility validation on 15 patients is applied to evaluate if our method can produce similar hemodynamic response maps compared with the manual marking ground truth results  We explore the concordance between the maximum hemodynamic response and the intracerebral EEG defined EZ and find that both methods produce similar percentage of concordance (76 9%, 10 out of 13 patients, electrode was absent in the maximum hemodynamic response in two patients)  This tool will make EEG-fMRI analysis more practical for clinical usage </t>
  </si>
  <si>
    <t>NeuroImage  Clinical</t>
  </si>
  <si>
    <t xml:space="preserve">Montreal Neurological Institute, McGill University, Montreal, Quebec H3A 2B4, Canada </t>
  </si>
  <si>
    <t>Hao, Y; Khoo, HM; von Ellenrieder, N; Zazubovits, N; Gotman, J</t>
  </si>
  <si>
    <t>101597070</t>
  </si>
  <si>
    <t>10 1007/s10916-017-0885-2</t>
  </si>
  <si>
    <t xml:space="preserve">A Computer-Aided Decision Support System for Detection and Localization of Cutaneous Vasculature in Dermoscopy Images Via Deep Feature Learning </t>
  </si>
  <si>
    <t xml:space="preserve">Vascular structures of skin are important biomarkers in diagnosis and assessment of cutaneous conditions  Presence and distribution of lesional vessels are associated with specific abnormalities  Therefore, detection and localization of cutaneous vessels provide critical information towards diagnosis and stage status of diseases  However, cutaneous vessels are highly variable in shape, size, color and architecture, which complicate the detection task  Considering the large variability of these structures, conventional vessel detection techniques lack the generalizability to detect different vessel types and require separate algorithms to be designed for each type  Furthermore, such techniques are highly dependent on precise hand-crafted features which are time-consuming and computationally inefficient  As a solution, we propose a data-driven feature learning framework based on stacked sparse auto-encoders (SSAE) for comprehensive detection of cutaneous vessels  Each training image is divided into small patches of either containing or non-containing vasculature  A multilayer SSAE is designed to learn hidden features of the data in hierarchical layers in an unsupervised manner  The high-level learned features are subsequently fed into a classifier which categorizes each patch into absence or presence of vasculature and localizes vessels within the lesion  Over a test set of 3095 patches derived from 200 images, the proposed framework demonstrated superior performance of 95 4% detection accuracy over a variety of vessel patterns; outperforming other techniques by achieving the highest positive predictive value of 94 7%  The proposed Computer-Aided Diagnosis (CAD) framework can serve as a decision support system assisting dermatologists for more accurate diagnosis, especially in teledermatology applications in remote areas </t>
  </si>
  <si>
    <t xml:space="preserve">Biomedical Engineering Program, University of British Columbia, Vancouver, BC, Canada </t>
  </si>
  <si>
    <t>Kharazmi, P; Zheng, J; Lui, H; Jane Wang, Z; Lee, TK</t>
  </si>
  <si>
    <t>10 1002/jmri 25932</t>
  </si>
  <si>
    <t xml:space="preserve">Fully automated segmentation of the left ventricle in cine cardiac MRI using neural network regression </t>
  </si>
  <si>
    <t xml:space="preserve">Left ventricle (LV) structure and functions are the primary assessment performed in most clinical cardiac MRI protocols  Fully automated LV segmentation might improve the efficiency and reproducibility of clinical assessment To develop and validate a fully automated neural network regression-based algorithm for segmentation of the LV in cardiac MRI, with full coverage from apex to base across all cardiac phases, utilizing both short axis (SA) and long axis (LA) scans Cross-sectional survey; diagnostic accuracy In all, 200 subjects with coronary artery diseases and regional wall motion abnormalities from the public 2011 Left Ventricle Segmentation Challenge (LVSC) database; 1140 subjects with a mix of normal and abnormal cardiac functions from the public Kaggle Second Annual Data Science Bowl database 1 5T, steady-state free precession Reference standard data generated by experienced cardiac radiologists  Quantitative measurement and comparison via Jaccard and Dice index, modified Hausdorff distance (MHD), and blood volume Paired t-tests compared to previous work Tested against the LVSC database, we obtained 0 77 ± 0 11 (Jaccard index) and 1 33 ± 0 71 mm (MHD), both metrics demonstrating statistically significant improvement (P &lt; 0 001) compared to previous work  Tested against the Kaggle database, the signed difference in evaluated blood volume was +7 2 ± 13 0 mL and -19 8 ± 18 8 mL for the end-systolic (ES) and end-diastolic (ED) phases, respectively, with a statistically significant improvement (P &lt; 0 001) for the ED phase A fully automated LV segmentation algorithm was developed and validated against a diverse set of cardiac cine MRI data sourced from multiple imaging centers and scanner types  The strong performance overall is suggestive of practical clinical utility 3 Technical Efficacy: Stage 2 J  Magn  Reson  Imaging 2018 </t>
  </si>
  <si>
    <t>Malaysia</t>
  </si>
  <si>
    <t xml:space="preserve">Department of Biomedical Imaging, Faculty of Medicine, University of Malaya, Kuala Lumpur, Malaysia </t>
  </si>
  <si>
    <t>Tan, LK; McLaughlin, RA; Lim, E; Abdul Aziz, YF; Liew, YM</t>
  </si>
  <si>
    <t>10 1167/iovs 17-22617</t>
  </si>
  <si>
    <t xml:space="preserve">A Deep Learning Approach to Digitally Stain Optical Coherence Tomography Images of the Optic Nerve Head </t>
  </si>
  <si>
    <t xml:space="preserve">To develop a deep learning approach to digitally stain optical coherence tomography (OCT) images of the optic nerve head (ONH) A horizontal B-scan was acquired through the center of the ONH using OCT (Spectralis) for one eye of each of 100 subjects (40 healthy and 60 glaucoma)  All images were enhanced using adaptive compensation  A custom deep learning network was then designed and trained with the compensated images to digitally stain (i e , highlight) six tissue layers of the ONH  The accuracy of our algorithm was assessed (against manual segmentations) using the dice coefficient, sensitivity, specificity, intersection over union (IU), and accuracy  We studied the effect of compensation, number of training images, and performance comparison between glaucoma and healthy subjects For images it had not yet assessed, our algorithm was able to digitally stain the retinal nerve fiber layer + prelamina, the RPE, all other retinal layers, the choroid, and the peripapillary sclera and lamina cribrosa  For all tissues, the dice coefficient, sensitivity, specificity, IU, and accuracy (mean) were 0 84 ± 0 03, 0 92 ± 0 03, 0 99 ± 0 00, 0 89 ± 0 03, and 0 94 ± 0 02, respectively  Our algorithm performed significantly better when compensated images were used for training (P &lt; 0 001)  Besides offering a good reliability, digital staining also performed well on OCT images of both glaucoma and healthy individuals Our deep learning algorithm can simultaneously stain the neural and connective tissues of the ONH, offering a framework to automatically measure multiple key structural parameters of the ONH that may be critical to improve glaucoma management </t>
  </si>
  <si>
    <t xml:space="preserve">Ophthalmic Engineering and Innovation Laboratory, Department of Biomedical Engineering, Faculty of Engineering, National University of Singapore, Singapore </t>
  </si>
  <si>
    <t>Devalla, SK; Chin, KS; Mari, JM; Tun, TA; Strouthidis, NG; Aung, T; Thiéry, AH; Girard, MJA</t>
  </si>
  <si>
    <t xml:space="preserve">A Deep Learning Approach to Neuroanatomical Characterisation of Alzheimer's Disease </t>
  </si>
  <si>
    <t xml:space="preserve">Alzheimer's disease (AD) is a neurological degenerative disorder that leads to progressive mental deterioration  This work introduces a computational approach to improve our understanding of the progression of AD  We use ensemble learning methods and deep neural networks to identify salient structural correlations among brain regions that degenerate together in AD; this provides an understanding of how AD progresses in the brain  The proposed technique has a classification accuracy of 81 79% for AD against healthy subjects using a single modality imaging dataset </t>
  </si>
  <si>
    <t>Studies in health technology and informatics</t>
  </si>
  <si>
    <t xml:space="preserve">Medical Computing Laboratory, School of Computing, National University of Singapore, Singapore </t>
  </si>
  <si>
    <t xml:space="preserve">Ambastha, AK; Leong, TY; , </t>
  </si>
  <si>
    <t>9214582</t>
  </si>
  <si>
    <t>10 1016/j jsb 2017 12 015</t>
  </si>
  <si>
    <t xml:space="preserve">A convolutional autoencoder approach for mining features in cellular electron cryo-tomograms and weakly supervised coarse segmentation </t>
  </si>
  <si>
    <t xml:space="preserve">Cellular electron cryo-tomography enables the 3D visualization of cellular organization in the near-native state and at submolecular resolution  However, the contents of cellular tomograms are often complex, making it difficult to automatically isolate different in situ cellular components  In this paper, we propose a convolutional autoencoder-based unsupervised approach to provide a coarse grouping of 3D small subvolumes extracted from tomograms  We demonstrate that the autoencoder can be used for efficient and coarse characterization of features of macromolecular complexes and surfaces, such as membranes  In addition, the autoencoder can be used to detect non-cellular features related to sample preparation and data collection, such as carbon edges from the grid and tomogram boundaries  The autoencoder is also able to detect patterns that may indicate spatial interactions between cellular components  Furthermore, we demonstrate that our autoencoder can be used for weakly supervised semantic segmentation of cellular components, requiring a very small amount of manual annotation </t>
  </si>
  <si>
    <t>Journal of structural biology</t>
  </si>
  <si>
    <t xml:space="preserve">Computational Biology Department, School of Computer Science, Carnegie Mellon University, Pittsburgh 15213, USA </t>
  </si>
  <si>
    <t>Zeng, X; Leung, MR; Zeev-Ben-Mordehai, T; Xu, M</t>
  </si>
  <si>
    <t>9011206</t>
  </si>
  <si>
    <t>10 1109/ACCESS 2018 2858196</t>
  </si>
  <si>
    <t xml:space="preserve">Structurally-sensitive Multi-scale Deep Neural Network for Low-Dose CT Denoising </t>
  </si>
  <si>
    <t xml:space="preserve">Computed tomography (CT) is a popular medical imaging modality and enjoys wide clinical applications  At the same time, the x-ray radiation dose associated with CT scannings raises a public concern due to its potential risks to the patients  Over the past years, major efforts have been dedicated to the development of Low-Dose CT (LDCT) methods  However, the radiation dose reduction compromises the signal-to-noise ratio (SNR), leading to strong noise and artifacts that downgrade CT image quality  In this paper, we propose a novel 3D noise reduction method, called Structurally-sensitive Multi-scale Generative Adversarial Net (SMGAN), to improve the LDCT image quality  Specifically, we incorporate three-dimensional (3D) volumetric information to improve the image quality  Also, different loss functions for training denoising models are investigated  Experiments show that the proposed method can effectively preserve structural and textural information in reference to normal-dose CT (NDCT) images, and significantly suppress noise and artifacts  Qualitative visual assessments by three experienced radiologists demonstrate that the proposed method retrieves more information, and outperforms competing methods </t>
  </si>
  <si>
    <t>CNN,VGG,GAN</t>
  </si>
  <si>
    <t xml:space="preserve">Departments of Bioengineering and Electrical Engineering, Stanford University, Stanford, CA, 94305 </t>
  </si>
  <si>
    <t>You, C; Yang, Q; Shan, H; Gjesteby, L; Li, G; Ju, S; Zhang, Z; Zhao, Z; Zhang, Y; Wenxiang, C; Wang, G</t>
  </si>
  <si>
    <t>10 1016/j jneumeth 2017 12 011</t>
  </si>
  <si>
    <t xml:space="preserve">Deep learning reveals Alzheimer's disease onset in MCI subjects: Results from an international challenge </t>
  </si>
  <si>
    <t xml:space="preserve">Early diagnosis of Alzheimer's disease (AD) and its onset in subjects affected by mild cognitive impairment (MCI) based on structural MRI features is one of the most important open issues in neuroimaging  Accordingly, a scientific challenge has been promoted, on the international Kaggle platform, to assess the performance of different classification methods for prediction of MCI and its conversion to AD This work presents a classification strategy based on Random Forest feature selection and Deep Neural Network classification using a mixed cohort including the four classes of classification problem, that is HC, AD, MCI and cMCI, to train the model  Moreover, we compare this approach with a novel classification strategy based on fuzzy logic learned on a mixed cohort including only HC and AD A training set of 240 subjects and a test set including mixed cohort of 500 real and simulated subjects were used  The data included AD patients, MCI subjects converting to AD (cMCI), MCI subjects and healthy controls (HC)  This work ranked third for overall accuracy (38 8%) over 19 participating teams The "International challenge for automated prediction of MCI from MRI data" hosted by the Kaggle platform has been promoted to validate different methodologies with a common set of data and evaluation procedures DNNs reach a classification accuracy significantly higher than other machine learning strategies; on the other hand, fuzzy logic is particularly accurate with cMCI, suggesting a combination of these approaches could lead to interesting future perspectives </t>
  </si>
  <si>
    <t xml:space="preserve">Dipartimento Interateneo di Fisica "M  Merlin", Università degli studi di Bari "A  Moro", Bari, Italy; Istituto Nazionale di Fisica Nucleare, Sezione di Bari, Bari, Italy </t>
  </si>
  <si>
    <t xml:space="preserve">Amoroso, N; Diacono, D; Fanizzi, A; La Rocca, M; Monaco, A; Lombardi, A; Guaragnella, C; Bellotti, R; Tangaro, S; , </t>
  </si>
  <si>
    <t>10 1007/s12194-017-0435-0</t>
  </si>
  <si>
    <t xml:space="preserve">Novel real-time tumor-contouring method using deep learning to prevent mistracking in X-ray fluoroscopy </t>
  </si>
  <si>
    <t xml:space="preserve">Robustness to obstacles is the most important factor necessary to achieve accurate tumor tracking without fiducial markers  Some high-density structures, such as bone, are enhanced on X-ray fluoroscopic images, which cause tumor mistracking  Tumor tracking should be performed by controlling "importance recognition": the understanding that soft-tissue is an important tracking feature and bone structure is unimportant  We propose a new real-time tumor-contouring method that uses deep learning with importance recognition control  The novelty of the proposed method is the combination of the devised random overlay method and supervised deep learning to induce the recognition of structures in tumor contouring as important or unimportant  This method can be used for tumor contouring because it uses deep learning to perform image segmentation  Our results from a simulated fluoroscopy model showed accurate tracking of a low-visibility tumor with an error of approximately 1 mm, even if enhanced bone structure acted as an obstacle  A high similarity of approximately 0 95 on the Jaccard index was observed between the segmented and ground truth tumor regions  A short processing time of 25 ms was achieved  The results of this simulated fluoroscopy model support the feasibility of robust real-time tumor contouring with fluoroscopy  Further studies using clinical fluoroscopy are highly anticipated </t>
  </si>
  <si>
    <t xml:space="preserve">Faculty of Medicine, University of Tsukuba, Ten-nohdai 1-1-1, Tsukuba, 305-8575, Japan </t>
  </si>
  <si>
    <t>Terunuma, T; Tokui, A; Sakae, T</t>
  </si>
  <si>
    <t>10 1016/j crad 2017 11 015</t>
  </si>
  <si>
    <t xml:space="preserve">Artificial intelligence in fracture detection: transfer learning from deep convolutional neural networks </t>
  </si>
  <si>
    <t xml:space="preserve">To identify the extent to which transfer learning from deep convolutional neural networks (CNNs), pre-trained on non-medical images, can be used for automated fracture detection on plain radiographs The top layer of the Inception v3 network was re-trained using lateral wrist radiographs to produce a model for the classification of new studies as either "fracture" or "no fracture"  The model was trained on a total of 11,112 images, after an eightfold data augmentation technique, from an initial set of 1,389 radiographs (695 "fracture" and 694 "no fracture")  The training data set was split 80:10:10 into training, validation, and test groups, respectively  An additional 100 wrist radiographs, comprising 50 "fracture" and 50 "no fracture" images, were used for final testing and statistical analysis The area under the receiver operator characteristic curve (AUC) for this test was 0 954  Setting the diagnostic cut-off at a threshold designed to maximise both sensitivity and specificity resulted in values of 0 9 and 0 88, respectively The AUC scores for this test were comparable to state-of-the-art providing proof of concept for transfer learning from CNNs in fracture detection on plain radiographs  This was achieved using only a moderate sample size  This technique is largely transferable, and therefore, has many potential applications in medical imaging, which may lead to significant improvements in workflow productivity and in clinical risk reduction </t>
  </si>
  <si>
    <t>Clinical radiology</t>
  </si>
  <si>
    <t xml:space="preserve">Medical Imaging Department, Royal Devon and Exeter Hospital, Barrack Road, Exeter EX2 5DW, UK </t>
  </si>
  <si>
    <t>Kim, DH; MacKinnon, T</t>
  </si>
  <si>
    <t>1306016</t>
  </si>
  <si>
    <t>10 1148/radiol 2017171154</t>
  </si>
  <si>
    <t xml:space="preserve">Improving Arterial Spin Labeling by Using Deep Learning </t>
  </si>
  <si>
    <t xml:space="preserve">Purpose To develop a deep learning algorithm that generates arterial spin labeling (ASL) perfusion images with higher accuracy and robustness by using a smaller number of subtraction images  Materials and Methods For ASL image generation from pair-wise subtraction, we used a convolutional neural network (CNN) as a deep learning algorithm  The ground truth perfusion images were generated by averaging six or seven pairwise subtraction images acquired with (a) conventional pseudocontinuous arterial spin labeling from seven healthy subjects or (b) Hadamard-encoded pseudocontinuous ASL from 114 patients with various diseases  CNNs were trained to generate perfusion images from a smaller number (two or three) of subtraction images and evaluated by means of cross-validation  CNNs from the patient data sets were also tested on 26 separate stroke data sets  CNNs were compared with the conventional averaging method in terms of mean square error and radiologic score by using a paired t test and/or Wilcoxon signed-rank test  Results Mean square errors were approximately 40% lower than those of the conventional averaging method for the cross-validation with the healthy subjects and patients and the separate test with the patients who had experienced a stroke (P &lt;  001)  Region-of-interest analysis in stroke regions showed that cerebral blood flow maps from CNN (mean ± standard deviation, 19 7 mL per 100 g/min ± 9 7) had smaller mean square errors than those determined with the conventional averaging method (43 2 ± 29 8) (P &lt;  001)  Radiologic scoring demonstrated that CNNs suppressed noise and motion and/or segmentation artifacts better than the conventional averaging method did (P &lt;  001)  Conclusion CNNs provided superior perfusion image quality and more accurate perfusion measurement compared with those of the conventional averaging method for generation of ASL images from pair-wise subtraction images  © RSNA, 2017 </t>
  </si>
  <si>
    <t xml:space="preserve">From the Graduate School of Medical Science and Engineering (K H K , S H P ) and Department of Bio and Brain Engineering (S H P ), Korea Advanced Institute of Science and Technology, Room 1002, CMS (E16) Building, 291 Daehak-ro, Yuseong-gu, Daejeon 34141, Republic of Korea; Department of Radiology, Seoul National University Hospital, Seoul, Republic of Korea (S H C ); Department of Radiology, Seoul National University College of Medicine, and Institute of Radiation Medicine, Seoul National University Medical Research Center, Seoul, Republic of Korea (S H C ); and Center for Nanoparticle Research, Institute for Basic Science, Seoul, Republic of Korea (S H C ) </t>
  </si>
  <si>
    <t>Kim, KH; Choi, SH; Park, SH</t>
  </si>
  <si>
    <t>10 1038/s41598-017-17858-1</t>
  </si>
  <si>
    <t xml:space="preserve">Machine Learning for Nuclear Mechano-Morphometric Biomarkers in Cancer Diagnosis </t>
  </si>
  <si>
    <t xml:space="preserve">Current cancer diagnosis employs various nuclear morphometric measures  While these have allowed accurate late-stage prognosis, early diagnosis is still a major challenge  Recent evidence highlights the importance of alterations in mechanical properties of single cells and their nuclei as critical drivers for the onset of cancer  We here present a method to detect subtle changes in nuclear morphometrics at single-cell resolution by combining fluorescence imaging and deep learning  This assay includes a convolutional neural net pipeline and allows us to discriminate between normal and human breast cancer cell lines (fibrocystic and metastatic states) as well as normal and cancer cells in tissue slices with high accuracy  Further, we establish the sensitivity of our pipeline by detecting subtle alterations in normal cells when subjected to small mechano-chemical perturbations that mimic tumor microenvironments  In addition, our assay provides interpretable features that could aid pathological inspections  This pipeline opens new avenues for early disease diagnostics and drug discovery </t>
  </si>
  <si>
    <t xml:space="preserve">Department of Electrical Engineering and Computer Science, Laboratory for Information and Decision Systems, Institute for Data, Systems and Society, MIT, Cambridge, MA, USA </t>
  </si>
  <si>
    <t>Radhakrishnan, A; Damodaran, K; Soylemezoglu, AC; Uhler, C; Shivashankar, GV</t>
  </si>
  <si>
    <t>10 1172/jci insight 97585</t>
  </si>
  <si>
    <t xml:space="preserve">Fully automated, deep learning segmentation of oxygen-induced retinopathy images </t>
  </si>
  <si>
    <t xml:space="preserve">Oxygen-induced retinopathy (OIR) is a widely used model to study ischemia-driven neovascularization (NV) in the retina and to serve in proof-of-concept studies in evaluating antiangiogenic drugs for ocular, as well as nonocular, diseases  The primary parameters that are analyzed in this mouse model include the percentage of retina with vaso-obliteration (VO) and NV areas  However, quantification of these two key variables comes with a great challenge due to the requirement of human experts to read the images  Human readers are costly, time-consuming, and subject to bias  Using recent advances in machine learning and computer vision, we trained deep learning neural networks using over a thousand segmentations to fully automate segmentation in OIR images  While determining the percentage area of VO, our algorithm achieved a similar range of correlation coefficients to that of expert inter-human correlation coefficients  In addition, our algorithm achieved a higher range of correlation coefficients compared with inter-expert correlation coefficients for quantification of the percentage area of neovascular tufts  In summary, we have created an open-source, fully automated pipeline for the quantification of key values of OIR images using deep learning neural networks </t>
  </si>
  <si>
    <t xml:space="preserve">Department of Ophthalmology, University of Washington, Seattle, Washington, USA </t>
  </si>
  <si>
    <t>Xiao, S; Bucher, F; Wu, Y; Rokem, A; Lee, CS; Marra, KV; Fallon, R; Diaz-Aguilar, S; Aguilar, E; Friedlander, M; Lee, AY</t>
  </si>
  <si>
    <t>10 1038/s41598-017-17876-z</t>
  </si>
  <si>
    <t xml:space="preserve">Leveraging uncertainty information from deep neural networks for disease detection </t>
  </si>
  <si>
    <t xml:space="preserve">Deep learning (DL) has revolutionized the field of computer vision and image processing  In medical imaging, algorithmic solutions based on DL have been shown to achieve high performance on tasks that previously required medical experts  However, DL-based solutions for disease detection have been proposed without methods to quantify and control their uncertainty in a decision  In contrast, a physician knows whether she is uncertain about a case and will consult more experienced colleagues if needed  Here we evaluate drop-out based Bayesian uncertainty measures for DL in diagnosing diabetic retinopathy (DR) from fundus images and show that it captures uncertainty better than straightforward alternatives  Furthermore, we show that uncertainty informed decision referral can improve diagnostic performance  Experiments across different networks, tasks and datasets show robust generalization  Depending on network capacity and task/dataset difficulty, we surpass 85% sensitivity and 80% specificity as recommended by the NHS when referring 0-20% of the most uncertain decisions for further inspection  We analyse causes of uncertainty by relating intuitions from 2D visualizations to the high-dimensional image space  While uncertainty is sensitive to clinically relevant cases, sensitivity to unfamiliar data samples is task dependent, but can be rendered more robust </t>
  </si>
  <si>
    <t xml:space="preserve">Institute for Ophthalmic Research, Eberhard Karls University, Tübingen, Germany </t>
  </si>
  <si>
    <t>Leibig, C; Allken, V; Ayhan, MS; Berens, P; Wahl, S</t>
  </si>
  <si>
    <t>10 1021/acs molpharmaceut 7b00875</t>
  </si>
  <si>
    <t xml:space="preserve">Prediction of Multidrug-Resistant TB from CT Pulmonary Images Based on Deep Learning Techniques </t>
  </si>
  <si>
    <t xml:space="preserve">While tuberculosis (TB) disease was discovered more than a century ago, it has not been eradicated yet  Quite contrary, at present, TB constitutes one of the top 10 causes of death and has shown signs of increasing  To complement the conventional diagnostic procedure of applying microbiological culture that takes several weeks and remains expensive, high resolution computer tomography (CT) of pulmonary images has been resorted to not only for aiding clinicians to expedite the process of diagnosis but also for monitoring prognosis when administering antibiotic drugs  This research undertakes the investigation of predicting multidrug-resistant (MDR) patients from drug-sensitive (DS) ones based on CT lung images to monitor the effectiveness of treatment  To contend with smaller data sets (i e , hundreds) and the characteristics of CT TB images with limited regions capturing abnormities, patch-based deep convolutional neural network (CNN) allied to support vector machine (SVM) classifier is implemented on a collection of data sets from 230 patients obtained from the ImageCLEF 2017 competition  As a result, the proposed architecture of CNN + SVM + patch performs the best with classification accuracy rate at 91 11% (79 80% in terms of patches)  In addition, a hand-crafted SIFT based approach accomplishes 88 88% in terms of subject and 83 56% with reference to patches, the highest in this study, which can be explained away by the fact that the data sets are in small numbers  Significantly, during the Tuberculosis Competition at ImageCLEF 2017, the authors took part in the task of classification of 5 types of TB disease and achieved the top one with regard to averaged classification accuracy (i e , ACC = 0 4067), which is also premised on the approach of CNN + SVM + patch  On the other hand, when the whole slices of 3D TB data sets are applied to train a CNN network, the best result is achieved through the application of CNN coupled with orderless pooling and SVM at 64 71% accuracy rate </t>
  </si>
  <si>
    <t>Molecular pharmaceutics</t>
  </si>
  <si>
    <t xml:space="preserve">Department of Computer Science , Middlesex University , London NW4 4BT , U K </t>
  </si>
  <si>
    <t>Gao, XW; Qian, Y</t>
  </si>
  <si>
    <t>101197791</t>
  </si>
  <si>
    <t>10 1177/0284185117748487</t>
  </si>
  <si>
    <t xml:space="preserve">New reconstruction algorithm for digital breast tomosynthesis: better image quality for humans and computers </t>
  </si>
  <si>
    <t xml:space="preserve">Background The image quality of digital breast tomosynthesis (DBT) volumes depends greatly on the reconstruction algorithm  Purpose To compare two DBT reconstruction algorithms used by the Siemens Mammomat Inspiration system, filtered back projection (FBP), and FBP with iterative optimizations (EMPIRE), using qualitative analysis by human readers and detection performance of machine learning algorithms  Material and Methods Visual grading analysis was performed by four readers specialized in breast imaging who scored 100 cases reconstructed with both algorithms (70 lesions)  Scoring (5-point scale: 1 = poor to 5 = excellent quality) was performed on presence of noise and artifacts, visualization of skin-line and Cooper's ligaments, contrast, and image quality, and, when present, lesion visibility  In parallel, a three-dimensional deep-learning convolutional neural network (3D-CNN) was trained (n = 259 patients, 51 positives with BI-RADS 3, 4, or 5 calcifications) and tested (n = 46 patients, nine positives), separately with FBP and EMPIRE volumes, to discriminate between samples with and without calcifications  The partial area under the receiver operating characteristic curve (pAUC) of each 3D-CNN was used for comparison  Results EMPIRE reconstructions showed better contrast (3 23 vs  3 10, P = 0 010), image quality (3 22 vs  3 03, P &lt; 0 001), visibility of calcifications (3 53 vs  3 37, P = 0 053, significant for one reader), and fewer artifacts (3 26 vs  2 97, P &lt; 0 001)  The 3D-CNN-EMPIRE had better performance than 3D-CNN-FBP (pAUC-EMPIRE = 0 880 vs  pAUC-FBP = 0 857; P &lt; 0 001)  Conclusion The new algorithm provides DBT volumes with better contrast and image quality, fewer artifacts, and improved visibility of calcifications for human observers, as well as improved detection performance with deep-learning algorithms </t>
  </si>
  <si>
    <t>Acta radiologica (Stockholm, Sweden : 1987)</t>
  </si>
  <si>
    <t xml:space="preserve">1 Department of Radiology and Nuclear Medicine, Radboud University Medical Center, Nijmegen, the Netherlands </t>
  </si>
  <si>
    <t>Rodriguez-Ruiz, A; Teuwen, J; Vreemann, S; Bouwman, RW; van Engen, RE; Karssemeijer, N; Mann, RM; Gubern-Merida, A; Sechopoulos, I</t>
  </si>
  <si>
    <t>8706123</t>
  </si>
  <si>
    <t>10 1016/j compmedimag 2017 09 001</t>
  </si>
  <si>
    <t xml:space="preserve">Towards machine learned quality control: A benchmark for sharpness quantification in digital pathology </t>
  </si>
  <si>
    <t xml:space="preserve">Pathology is on the verge of a profound change from an analog and qualitative to a digital and quantitative discipline  This change is mostly driven by the high-throughput scanning of microscope slides in modern pathology departments, reaching tens of thousands of digital slides per month  The resulting vast digital archives form the basis of clinical use in digital pathology and allow large scale machine learning in computational pathology  One of the most crucial bottlenecks of high-throughput scanning is quality control (QC)  Currently, digital slides are screened manually to detected out-of-focus regions, to compensate for the limitations of scanner software  We present a solution to this problem by introducing a benchmark dataset for blur detection, an in-depth comparison of state-of-the art sharpness descriptors and their prediction performance within a random forest framework  Furthermore, we show that convolution neural networks, like residual networks, can be used to train blur detectors from scratch  We thoroughly evaluate the accuracy of feature based and deep learning based approaches for sharpness classification (99 74% accuracy) and regression (MSE 0 004) and additionally compare them to domain experts in a comprehensive human perception study  Our pipeline outputs spacial heatmaps enabling to quantify and localize blurred areas on a slide  Finally, we tested the proposed framework in the clinical setting and demonstrate superior performance over the state-of-the-art QC pipeline comprising commercial software and human expert inspection by reducing the error rate from 17% to 4 7% </t>
  </si>
  <si>
    <t>WSI</t>
    <phoneticPr fontId="0" type="noConversion"/>
  </si>
  <si>
    <t xml:space="preserve">Weill Cornell Medicine, New York, USA; Department of Medical Physics, Memorial Sloan Kettering Cancer Center, New York, USA </t>
  </si>
  <si>
    <t>Campanella, G; Rajanna, AR; Corsale, L; Schüffler, PJ; Yagi, Y; Fuchs, TJ</t>
  </si>
  <si>
    <t>10 1148/radiol 2017171928</t>
  </si>
  <si>
    <t xml:space="preserve">Liver Fibrosis: Deep Convolutional Neural Network for Staging by Using Gadoxetic Acid-enhanced Hepatobiliary Phase MR Images </t>
  </si>
  <si>
    <t xml:space="preserve">Purpose To investigate the performance of a deep convolutional neural network (DCNN) model in the staging of liver fibrosis using gadoxetic acid-enhanced hepatobiliary phase magnetic resonance (MR) imaging  Materials and Methods This retrospective study included patients for whom input data (hepatobiliary phase MR images, static magnetic field of the imaging unit, and hepatitis B and C virus testing results available, either positive or negative) and reference standard data (liver fibrosis stage evaluated from biopsy or surgical specimens obtained within 6 months of the MR examinations) were available were assigned to the training (534 patients) or the test (100 patients) group  For the training group (54, 53, 81, 113, and 233 patients with fibrosis stages F0, F1, F2, F3, and F4, respectively; mean patient age, 67 4 ± 9 7 years; 388 men and 146 women), MR images with three different section levels were augmented 90-fold (rotated, parallel-shifted, brightness-changed and contrast-changed images were generated; a total of 144 180 images)  Supervised training was performed by using the DCNN model to minimize the difference between the output data (fibrosis score obtained through deep learning [FDL score]) and liver fibrosis stage  The performance of the DCNN model was evaluated in the test group (10, 10, 15, 20, and 45 patients with fibrosis stages F0, F1, F2, F3, and F4, respectively; mean patient age, 66 8 years ± 10 7; 71 male patients and 29 female patients) with receiver operating characteristic (ROC) analyses  Results The FDL score was correlated significantly with fibrosis stage (Spearman rank correlation coefficient: 0 63; P &lt;  001)  Fibrosis stages F4, F3, and F2 were diagnosed with areas under the ROC curve of 0 84, 0 84, and 0 85, respectively  Conclusion The DCNN model exhibited a high diagnostic performance in the staging of liver fibrosis  © RSNA, 2017 Online supplemental material is available for this article </t>
  </si>
  <si>
    <t xml:space="preserve">From the Department of Radiology, the Institute of Medical Science, the University of Tokyo (K Y , H A , A K ); Department of Radiology, Graduate School of Medicine, the University of Tokyo (O A ); and Department of Radiology, Graduate School of Medical Sciences, International University of Health and Welfare, 4-3 Kozunomori, Narita, Chiba, Japan 286-8686 (S K ) </t>
  </si>
  <si>
    <t>10 1007/s13577-017-0191-9</t>
  </si>
  <si>
    <t xml:space="preserve">Classification of C2C12 cells at differentiation by convolutional neural network of deep learning using phase contrast images </t>
  </si>
  <si>
    <t xml:space="preserve">In the field of regenerative medicine, tremendous numbers of cells are necessary for tissue/organ regeneration  Today automatic cell-culturing system has been developed  The next step is constructing a non-invasive method to monitor the conditions of cells automatically  As an image analysis method, convolutional neural network (CNN), one of the deep learning method, is approaching human recognition level  We constructed and applied the CNN algorithm for automatic cellular differentiation recognition of myogenic C2C12 cell line  Phase-contrast images of cultured C2C12 are prepared as input dataset  In differentiation process from myoblasts to myotubes, cellular morphology changes from round shape to elongated tubular shape due to fusion of the cells  CNN abstract the features of the shape of the cells and classify the cells depending on the culturing days from when differentiation is induced  Changes in cellular shape depending on the number of days of culture (Day 0, Day 3, Day 6) are classified with 91 3% accuracy  Image analysis with CNN has a potential to realize regenerative medicine industry </t>
  </si>
  <si>
    <t>Human cell</t>
  </si>
  <si>
    <t xml:space="preserve">Graduate School of Engineering Science, Osaka University, 1-3 Machikaneyama, Toyonaka, Osaka, 560-8531, Japan </t>
  </si>
  <si>
    <t>Niioka, H; Asatani, S; Yoshimura, A; Ohigashi, H; Tagawa, S; Miyake, J</t>
  </si>
  <si>
    <t>8912329</t>
  </si>
  <si>
    <t>10 1016/j media 2017 12 003</t>
  </si>
  <si>
    <t xml:space="preserve">Multi-hypothesis tracking of the tongue surface in ultrasound video recordings of normal and impaired speech </t>
  </si>
  <si>
    <t xml:space="preserve">Characterizing tongue shape and motion, as they appear in real-time ultrasound (US) images, is of interest to the study of healthy and impaired speech production  Quantitative anlaysis of tongue shape and motion requires that the tongue surface be extracted in each frame of US speech recordings  While the literature proposes several automated methods for this purpose, these either require large or very well matched training sets, or lack robustness in the presence of rapid tongue motion  This paper presents a new robust method for tongue tracking in US images that combines simple tongue shape and motion models derived from a small training data set with a highly flexible active contour (snake) representation and maintains multiple possible hypotheses as to the correct tongue contour via a particle filtering algorithm  The method was tested on a database of large free speech recordings from healthy and impaired speakers and its accuracy was measured against the manual segmentations obtained for every image in the database  The proposed method achieved mean sum of distances errors of 1 69 ± 1 10 mm, and its accuracy was not highly sensitive to training set composition  Furthermore, the proposed method showed improved accuracy, both in terms of mean sum of distances error and in terms of linguistically meaningful shape indices, compared to the three publicly available tongue tracking software packages Edgetrak, TongueTrack and Autotrace </t>
  </si>
  <si>
    <t xml:space="preserve">Department of Electrical Engineering, École de technologie supérieure, Montreal H3C 1K3, Canada </t>
  </si>
  <si>
    <t>Laporte, C; Ménard, L</t>
  </si>
  <si>
    <t>10 1016/j ophtha 2017 10 031</t>
  </si>
  <si>
    <t xml:space="preserve">Fully Automated Detection and Quantification of Macular Fluid in OCT Using Deep Learning </t>
  </si>
  <si>
    <t xml:space="preserve">Development and validation of a fully automated method to detect and quantify macular fluid in conventional OCT images Development of a diagnostic modality The clinical dataset for fluid detection consisted of 1200 OCT volumes of patients with neovascular age-related macular degeneration (AMD, n = 400), diabetic macular edema (DME, n = 400), or retinal vein occlusion (RVO, n = 400) acquired with Zeiss Cirrus (Carl Zeiss Meditec, Dublin, CA) (n = 600) or Heidelberg Spectralis (Heidelberg Engineering, Heidelberg, Germany) (n = 600) OCT devices A method based on deep learning to automatically detect and quantify intraretinal cystoid fluid (IRC) and subretinal fluid (SRF) was developed  The performance of the algorithm in accurately identifying fluid localization and extent was evaluated against a manual consensus reading of 2 masked reading center graders Performance of a fully automated method to accurately detect, differentiate, and quantify intraretinal and SRF using area under the receiver operating characteristics curves, precision, and recall The newly designed, fully automated diagnostic method based on deep learning achieved optimal accuracy for the detection and quantification of IRC for all 3 macular pathologies with a mean accuracy (AUC) of 0 94 (range, 0 91-0 97), a mean precision of 0 91, and a mean recall of 0 84  The detection and measurement of SRF were also highly accurate with an AUC of 0 92 (range, 0 86-0 98), a mean precision of 0 61, and a mean recall of 0 81, with superior performance in neovascular AMD and RVO compared with DME, which was represented rarely in the population studied  High linear correlation was confirmed between automated and manual fluid localization and quantification, yielding an average Pearson's correlation coefficient of 0 90 for IRC and of 0 96 for SRF Deep learning in retinal image analysis achieves excellent accuracy for the differential detection of retinal fluid types across the most prevalent exudative macular diseases and OCT devices  Furthermore, quantification of fluid achieves a high level of concordance with manual expert assessment  Fully automated analysis of retinal OCT images from clinical routine provides a promising horizon in improving accuracy and reliability of retinal diagnosis for research and clinical practice in ophthalmology </t>
  </si>
  <si>
    <t xml:space="preserve">Christian Doppler Laboratory for Ophthalmic Image Analysis, Department of Ophthalmology, Medical University Vienna, Vienna, Austria; Computational Imaging Research Lab Department of Biomedical Imaging and Image-Guided Therapy, Medical University Vienna, Vienna, Austria </t>
  </si>
  <si>
    <t>Schlegl, T; Waldstein, SM; Bogunovic, H; Endstraßer, F; Sadeghipour, A; Philip, AM; Podkowinski, D; Gerendas, BS; Langs, G; Schmidt-Erfurth, U</t>
  </si>
  <si>
    <t xml:space="preserve">MRI to MGMT: predicting methylation status in glioblastoma patients using convolutional recurrent neural networks </t>
  </si>
  <si>
    <t xml:space="preserve">Glioblastoma Multiforme (GBM), a malignant brain tumor, is among the most lethal of all cancers  Temozolomide is the primary chemotherapy treatment for patients diagnosed with GBM  The methylation status of the promoter or the enhancer regions of the O6-methylguanine methyltransferase (MGMT) gene may impact the efficacy and sensitivity of temozolomide, and hence may affect overall patient survival  Microscopic genetic changes may manifest as macroscopic morphological changes in the brain tumors that can be detected using magnetic resonance imaging (MRI), which can serve as noninvasive biomarkers for determining methylation of MGMT regulatory regions  In this research, we use a compendium of brain MRI scans of GBM patients collected from The Cancer Imaging Archive (TCIA) combined with methylation data from The Cancer Genome Atlas (TCGA) to predict the methylation state of the MGMT regulatory regions in these patients  Our approach relies on a bi-directional convolutional recurrent neural network architecture (CRNN) that leverages the spatial aspects of these 3-dimensional MRI scans  Our CRNN obtains an accuracy of 67% on the validation data and 62% on the test data, with precision and recall both at 67%, suggesting the existence of MRI features that may complement existing markers for GBM patient stratification and prognosis  We have additionally presented our model via a novel neural network visualization platform, which we have developed to improve interpretability of deep learning MRI-based classification models </t>
  </si>
  <si>
    <t>Pacific Symposium on Biocomputing  Pacific Symposium on Biocomputing</t>
  </si>
  <si>
    <t>Program in Biomedical Informatics, Stanford University, Stanford, CA 94305, USA,</t>
    <phoneticPr fontId="0" type="noConversion"/>
  </si>
  <si>
    <t>Han, L; Kamdar, MR</t>
  </si>
  <si>
    <t>9711271</t>
  </si>
  <si>
    <t>10 2967/jnumed 117 199414</t>
  </si>
  <si>
    <t xml:space="preserve">Generation of Structural MR Images from Amyloid PET: Application to MR-Less Quantification </t>
  </si>
  <si>
    <t xml:space="preserve">Structural MR images concomitantly acquired with PET images can provide crucial anatomic information for precise quantitative analysis  However, in the clinical setting, not all the subjects have corresponding MR images  Here, we developed a model to generate structural MR images from amyloid PET using deep generative networks  We applied our model to quantification of cortical amyloid load without structural MR  Methods: We used florbetapir PET and structural MR data from the Alzheimer Disease Neuroimaging Initiative database  The generative network was trained to generate realistic structural MR images from florbetapir PET images  After the training, the model was applied to the quantification of cortical amyloid load  PET images were spatially normalized to the template space using the generated MR, and then SUV ratio (SUVR) of the target regions was measured by predefined regions of interest  A real MR-based quantification was used as the gold standard to measure the accuracy of our approach  Other MR-less methods-a normal PET template-based, a multiatlas PET template-based, and a PET segmentation-based normalization/quantification-were also tested  We compared the performance of quantification methods using generated MR with that of MR-based and MR-less quantification methods  Results: Generated MR images from florbetapir PET showed signal patterns that were visually similar to the real MR  The structural similarity index between real and generated MR was 0 91 ± 0 04  The mean absolute error of SUVR of cortical composite regions estimated by the generated MR-based method was 0 04 ± 0 03, which was significantly smaller than other MR-less methods (0 29 ± 0 12 for the normal PET template, 0 12 ± 0 07 for the multiatlas PET template, and 0 08 ± 0 06 for the PET segmentation-based methods)  Bland-Altman plots revealed that the generated MR-based SUVR quantification was the closest to the SUVRs estimated by the real MR-based method  Conclusion: Structural MR images were successfully generated from amyloid PET images using deep generative networks  Generated MR images could be used as templates for accurate and precise amyloid quantification  This generative method might be used to generate multimodal images of various organs for further quantitative analyses </t>
  </si>
  <si>
    <t xml:space="preserve">Department of Nuclear Medicine, Seoul National University College of Medicine, Seoul, Republic of Korea </t>
  </si>
  <si>
    <t xml:space="preserve">Choi, H; Lee, DS; , </t>
  </si>
  <si>
    <t>10 1259/bjr 20170576</t>
  </si>
  <si>
    <t xml:space="preserve">Classification of breast cancer in ultrasound imaging using a generic deep learning analysis software: a pilot study </t>
  </si>
  <si>
    <t xml:space="preserve">To train a generic deep learning software (DLS) to classify breast cancer on ultrasound images and to compare its performance to human readers with variable breast imaging experience In this retrospective study, all breast ultrasound examinations from January 1, 2014 to December 31, 2014 at our institution were reviewed  Patients with post-surgical scars, initially indeterminate, or malignant lesions with histological diagnoses or 2-year follow-up were included  The DLS was trained with 70% of the images, and the remaining 30% were used to validate the performance  Three readers with variable expertise also evaluated the validation set (radiologist, resident, medical student)  Diagnostic accuracy was assessed with a receiver operating characteristic analysis 82 patients with malignant and 550 with benign lesions were included  Time needed for training was 7 min (DLS)  Evaluation time for the test data set were 3 7 s (DLS) and 28, 22 and 25 min for human readers (decreasing experience)  Receiver operating characteristic analysis revealed non-significant differences (p-values 0 45-0 47) in the area under the curve of 0 84 (DLS), 0 88 (experienced and intermediate readers) and 0 79 (inexperienced reader) DLS may aid diagnosing cancer on breast ultrasound images with an accuracy comparable to radiologists, and learns better and faster than a human reader with no prior experience  Further clinical trials with dedicated algorithms are warranted  Advances in knowledge: DLS can be trained classify cancer on breast ultrasound images high accuracy even with comparably few training cases  The fast evaluation speed makes real-time image analysis feasible </t>
  </si>
  <si>
    <t xml:space="preserve">1 Institute of Diagnostic and Interventional Radiology, University Hospital of Zurich , Zurich , Switzerland </t>
  </si>
  <si>
    <t>Becker, AS; Mueller, M; Stoffel, E; Marcon, M; Ghafoor, S; Boss, A</t>
  </si>
  <si>
    <t>10 1088/1361-6560/aa9f87</t>
  </si>
  <si>
    <t xml:space="preserve">Computer-aided assessment of breast density: comparison of supervised deep learning and feature-based statistical learning </t>
  </si>
  <si>
    <t xml:space="preserve">Breast density is one of the most significant factors that is associated with cancer risk  In this study, our purpose was to develop a supervised deep learning approach for automated estimation of percentage density (PD) on digital mammograms (DMs)  The input 'for processing' DMs was first log-transformed, enhanced by a multi-resolution preprocessing scheme, and subsampled to a pixel size of 800 µm  ×  800 µm from 100 µm  ×  100 µm  A deep convolutional neural network (DCNN) was trained to estimate a probability map of breast density (PMD) by using a domain adaptation resampling method  The PD was estimated as the ratio of the dense area to the breast area based on the PMD  The DCNN approach was compared to a feature-based statistical learning approach  Gray level, texture and morphological features were extracted and a least absolute shrinkage and selection operator was used to combine the features into a feature-based PMD  With approval of the Institutional Review Board, we retrospectively collected a training set of 478 DMs and an independent test set of 183 DMs from patient files in our institution  Two experienced mammography quality standards act radiologists interactively segmented PD as the reference standard  Ten-fold cross-validation was used for model selection and evaluation with the training set  With cross-validation, DCNN obtained a Dice's coefficient (DC) of 0 79  ±  0 13 and Pearson's correlation (r) of 0 97, whereas feature-based learning obtained DC  =  0 72  ±  0 18 and r  =  0 85  For the independent test set, DCNN achieved DC  =  0 76  ±  0 09 and r  =  0 94, while feature-based learning achieved DC  =  0 62  ±  0 21 and r  =  0 75  Our DCNN approach was significantly better and more robust than the feature-based learning approach for automated PD estimation on DMs, demonstrating its potential use for automated density reporting as well as for model-based risk prediction </t>
  </si>
  <si>
    <t xml:space="preserve">School of Mathematics, Sun Yat-Sen University, Guangzhou 510275, People's Republic of China  School of Data and Computer Science, Sun Yat-Sen University, Guangzhou 510275, People's Republic of China </t>
  </si>
  <si>
    <t>Li, S; Wei, J; Chan, HP; Helvie, MA; Roubidoux, MA; Lu, Y; Zhou, C; Hadjiiski, LM; Samala, RK</t>
  </si>
  <si>
    <t>10 1007/s10278-017-0040-0</t>
  </si>
  <si>
    <t xml:space="preserve">A Novel Method for Correcting Non-uniform/Poor Illumination of Color Fundus Photographs </t>
  </si>
  <si>
    <t xml:space="preserve">Retinal fundus images are often corrupted by non-uniform and/or poor illumination that occur due to overall imperfections in the image acquisition process  This unwanted variation in brightness limits the pathological information that can be gained from the image  Studies have shown that poor illumination can impede human grading in about 10~15% of retinal images  For automated grading, the effect can be even higher  In this perspective, we propose a novel method for illumination correction in the context of retinal imaging  The method splits the color image into luminosity and chroma (i e , color) components and performs illumination correction in the luminosity channel based on a novel background estimation technique  Extensive subjective and objective experiments were conducted on publicly available DIARETDB1 and EyePACS images to justify the performance of the proposed method  The subjective experiment has confirmed that the proposed method does not create false color/artifacts and at the same time performs better than the traditional method in 84 out of 89 cases  The objective experiment shows an accuracy improvement of 4% in automated disease grading when illumination correction is performed by the proposed method than the traditional method </t>
  </si>
  <si>
    <t xml:space="preserve">Australian e-Health Research Centre, Commonwealth Scientific and Industrial Research Organisation, Perth, Australia </t>
  </si>
  <si>
    <t>Saha, SK; Xiao, D; Kanagasingam, Y</t>
  </si>
  <si>
    <t>10 1016/j radonc 2017 11 012</t>
  </si>
  <si>
    <t xml:space="preserve">Clinical evaluation of atlas and deep learning based automatic contouring for lung cancer </t>
  </si>
  <si>
    <t xml:space="preserve">Contouring of organs at risk (OARs) is an important but time consuming part of radiotherapy treatment planning  The aim of this study was to investigate whether using institutional created software-generated contouring will save time if used as a starting point for manual OAR contouring for lung cancer patients Twenty CT scans of stage I-III NSCLC patients were used to compare user adjusted contours after an atlas-based and deep learning contour, against manual delineation  The lungs, esophagus, spinal cord, heart and mediastinum were contoured for this study  The time to perform the manual tasks was recorded With a median time of 20 min for manual contouring, the total median time saved was 7 8 min when using atlas-based contouring and 10 min for deep learning contouring  Both atlas based and deep learning adjustment times were significantly lower than manual contouring time for all OARs except for the left lung and esophagus of the atlas based contouring User adjustment of software generated contours is a viable strategy to reduce contouring time of OARs for lung radiotherapy while conforming to local clinical standards  In addition, deep learning contouring shows promising results compared to existing solutions </t>
  </si>
  <si>
    <t>Department of Radiation Oncology (MAASTRO), GROW School for Oncology and Developmental Biology, Maastricht University Medical Centre+, The Netherlands</t>
    <phoneticPr fontId="0" type="noConversion"/>
  </si>
  <si>
    <t>Lustberg, T; van Soest, J; Gooding, M; Peressutti, D; Aljabar, P; van der Stoep, J; van Elmpt, W; Dekker, A</t>
  </si>
  <si>
    <t>10 1038/s41598-017-17012-x</t>
  </si>
  <si>
    <t xml:space="preserve">Construction of a system using a deep learning algorithm to count cell numbers in nanoliter wells for viable single-cell experiments </t>
  </si>
  <si>
    <t xml:space="preserve">For single-cell experiments, it is important to accurately count the number of viable cells in a nanoliter well  We used a deep learning-based convolutional neural network (CNN) on a large amount of digital data obtained as microscopic images  The training set consisted of 103 019 samples, each representing a microscopic grayscale image  After extensive training, the CNN was able to classify the samples into four categories, i e , 0, 1, 2, and more than 2 cells per well, with an accuracy of 98 3% when compared to determination by two trained technicians  By analyzing the samples for which judgments were discordant, we found that the judgment by technicians was relatively correct although cell counting was often difficult by the images of discordant samples  Based on the results, the system was further enhanced by introducing a new algorithm in which the highest outputs from CNN were used, increasing the accuracy to higher than 99%  Our system was able to classify the data even from wells with a different shape  No other tested machine learning algorithm showed a performance higher than that of our system  The presented CNN system is expected to be useful for various single-cell experiments, and for high-throughput and high-content screening </t>
  </si>
  <si>
    <t xml:space="preserve">Pulmonary Division, Department of Medicine, Keio University School of Medicine, 35 Shinanomachi Shinjuku-ku, Tokyo 160-8582, Japan </t>
  </si>
  <si>
    <t>Kamatani, T; Fukunaga, K; Miyata, K; Shirasaki, Y; Tanaka, J; Baba, R; Matsusaka, M; Kamatani, N; Moro, K; Betsuyaku, T; Uemura, S</t>
  </si>
  <si>
    <t>10 1016/j media 2017 11 008</t>
  </si>
  <si>
    <t xml:space="preserve">Deep learning analysis of the myocardium in coronary CT angiography for identification of patients with functionally significant coronary artery stenosis </t>
  </si>
  <si>
    <t xml:space="preserve">In patients with coronary artery stenoses of intermediate severity, the functional significance needs to be determined  Fractional flow reserve (FFR) measurement, performed during invasive coronary angiography (ICA), is most often used in clinical practice  To reduce the number of ICA procedures, we present a method for automatic identification of patients with functionally significant coronary artery stenoses, employing deep learning analysis of the left ventricle (LV) myocardium in rest coronary CT angiography (CCTA)  The study includes consecutively acquired CCTA scans of 166 patients who underwent invasive FFR measurements  To identify patients with a functionally significant coronary artery stenosis, analysis is performed in several stages  First, the LV myocardium is segmented using a multiscale convolutional neural network (CNN)  To characterize the segmented LV myocardium, it is subsequently encoded using unsupervised convolutional autoencoder (CAE)  As ischemic changes are expected to appear locally, the LV myocardium is divided into a number of spatially connected clusters, and statistics of the encodings are computed as features  Thereafter, patients are classified according to the presence of functionally significant stenosis using an SVM classifier based on the extracted features  Quantitative evaluation of LV myocardium segmentation in 20 images resulted in an average Dice coefficient of 0 91 and an average mean absolute distance between the segmented and reference LV boundaries of 0 7 mm  Twenty CCTA images were used to train the LV myocardium encoder  Classification of patients was evaluated in the remaining 126 CCTA scans in 50 10-fold cross-validation experiments and resulted in an area under the receiver operating characteristic curve of 0 74 ± 0 02  At sensitivity levels 0 60, 0 70 and 0 80, the corresponding specificity was 0 77, 0 71 and 0 59, respectively  The results demonstrate that automatic analysis of the LV myocardium in a single CCTA scan acquired at rest, without assessment of the anatomy of the coronary arteries, can be used to identify patients with functionally significant coronary artery stenosis  This might reduce the number of patients undergoing unnecessary invasive FFR measurements </t>
  </si>
  <si>
    <t xml:space="preserve">Image Sciences Institute, University Medical Center Utrecht and Utrecht University, Utrecht, The Netherlands </t>
  </si>
  <si>
    <t>Zreik, M; Lessmann, N; van Hamersvelt, RW; Wolterink, JM; Voskuil, M; Viergever, MA; Leiner, T; Išgum, I</t>
  </si>
  <si>
    <t>10 1128/JCM 01521-17</t>
  </si>
  <si>
    <t xml:space="preserve">Automated Interpretation of Blood Culture Gram Stains by Use of a Deep Convolutional Neural Network </t>
  </si>
  <si>
    <t xml:space="preserve">Microscopic interpretation of stained smears is one of the most operator-dependent and time-intensive activities in the clinical microbiology laboratory  Here, we investigated application of an automated image acquisition and convolutional neural network (CNN)-based approach for automated Gram stain classification  Using an automated microscopy platform, uncoverslipped slides were scanned with a 40× dry objective, generating images of sufficient resolution for interpretation  We collected 25,488 images from positive blood culture Gram stains prepared during routine clinical workup  These images were used to generate 100,213 crops containing Gram-positive cocci in clusters, Gram-positive cocci in chains/pairs, Gram-negative rods, or background (no cells)  These categories were targeted for proof-of-concept development as they are associated with the majority of bloodstream infections  Our CNN model achieved a classification accuracy of 94 9% on a test set of image crops  Receiver operating characteristic (ROC) curve analysis indicated a robust ability to differentiate between categories with an area under the curve of &gt;0 98 for each  After training and validation, we applied the classification algorithm to new images collected from 189 whole slides without human intervention  Sensitivity and specificity were 98 4% and 75 0% for Gram-positive cocci in chains and pairs, 93 2% and 97 2% for Gram-positive cocci in clusters, and 96 3% and 98 1% for Gram-negative rods  Taken together, our data support a proof of concept for a fully automated classification methodology for blood-culture Gram stains  Importantly, the algorithm was highly adept at identifying image crops with organisms and could be used to present prescreened, classified crops to technologists to accelerate smear review  This concept could potentially be extended to all Gram stain interpretive activities in the clinical laboratory </t>
  </si>
  <si>
    <t>Journal of clinical microbiology</t>
  </si>
  <si>
    <t xml:space="preserve">Department of Pathology, Beth Israel Deaconess Medical Center, Boston, Massachusetts, USA </t>
  </si>
  <si>
    <t>Smith, KP; Kang, AD; Kirby, JE</t>
  </si>
  <si>
    <t>7505564</t>
  </si>
  <si>
    <t>10 1049/htl 2017 0064</t>
  </si>
  <si>
    <r>
      <t xml:space="preserve">Can surgical simulation be used to </t>
    </r>
    <r>
      <rPr>
        <sz val="10"/>
        <color indexed="10"/>
        <rFont val="Arial"/>
        <family val="2"/>
      </rPr>
      <t>train detection and classification</t>
    </r>
    <r>
      <rPr>
        <sz val="10"/>
        <rFont val="Arial"/>
        <family val="2"/>
      </rPr>
      <t xml:space="preserve"> of neural networks?</t>
    </r>
  </si>
  <si>
    <t xml:space="preserve">Computer-assisted interventions (CAI) aim to increase the effectiveness, precision and repeatability of procedures to improve surgical outcomes  The presence and motion of surgical tools is a key information input for CAI surgical phase recognition algorithms  Vision-based tool detection and recognition approaches are an attractive solution and can be designed to take advantage of the powerful deep learning paradigm that is rapidly advancing image recognition and classification  The challenge for such algorithms is the availability and quality of labelled data used for training  In this Letter, surgical simulation is used to train tool detection and segmentation based on deep convolutional neural networks and generative adversarial networks  The authors experiment with two network architectures for image segmentation in tool classes commonly encountered during cataract surgery  A commercially-available simulator is used to create a simulated cataract dataset for training models prior to performing transfer learning on real surgical data  To the best of authors' knowledge, this is the first attempt to train deep learning models for surgical instrument detection on simulated data while demonstrating promising results to generalise on real data  Results indicate that simulated data does have some potential for training advanced classification methods for CAI systems </t>
  </si>
  <si>
    <t>FCN,VGG</t>
  </si>
  <si>
    <t>Healthcare technology letters</t>
  </si>
  <si>
    <t xml:space="preserve">Touch Surgery, Kinosis, Ltd, 230 City Road, EC1 V 2QY, London, UK </t>
  </si>
  <si>
    <t>Zisimopoulos, O; Flouty, E; Stacey, M; Muscroft, S; Giataganas, P; Nehme, J; Chow, A; Stoyanov, D</t>
  </si>
  <si>
    <t>101646459</t>
  </si>
  <si>
    <t>10 1158/1078-0432 CCR-17-2236</t>
  </si>
  <si>
    <t xml:space="preserve">Residual Convolutional Neural Network for the Determination of IDH Status in Low- and High-Grade Gliomas from MR Imaging </t>
  </si>
  <si>
    <t xml:space="preserve">Purpose: Isocitrate dehydrogenase (IDH) mutations in glioma patients confer longer survival and may guide treatment decision making  We aimed to predict the IDH status of gliomas from MR imaging by applying a residual convolutional neural network to preoperative radiographic data Experimental Design: Preoperative imaging was acquired for 201 patients from the Hospital of University of Pennsylvania (HUP), 157 patients from Brigham and Women's Hospital (BWH), and 138 patients from The Cancer Imaging Archive (TCIA) and divided into training, validation, and testing sets  We trained a residual convolutional neural network for each MR sequence (FLAIR, T2, T1 precontrast, and T1 postcontrast) and built a predictive model from the outputs  To increase the size of the training set and prevent overfitting, we augmented the training set images by introducing random rotations, translations, flips, shearing, and zooming Results: With our neural network model, we achieved IDH prediction accuracies of 82 8% (AUC = 0 90), 83 0% (AUC = 0 93), and 85 7% (AUC = 0 94) within training, validation, and testing sets, respectively  When age at diagnosis was incorporated into the model, the training, validation, and testing accuracies increased to 87 3% (AUC = 0 93), 87 6% (AUC = 0 95), and 89 1% (AUC = 0 95), respectively Conclusions: We developed a deep learning technique to noninvasively predict IDH genotype in grade II-IV glioma using conventional MR imaging using a multi-institutional data set  Clin Cancer Res; 24(5); 1073-81  ©2017 AACR </t>
  </si>
  <si>
    <t xml:space="preserve">Athinoula A  Martinos Center for Biomedical Imaging, Department of Radiology, Massachusetts General Hospital, Boston, Massachusetts </t>
  </si>
  <si>
    <t>Chang, K; Bai, HX; Zhou, H; Su, C; Bi, WL; Agbodza, E; Kavouridis, VK; Senders, JT; Boaro, A; Beers, A; Zhang, B; Capellini, A; Liao, W; Shen, Q; Li, X; Xiao, B; Cryan, J; Ramkissoon, S; Ramkissoon, L; Ligon, K; Wen, PY; Bindra, RS; Woo, J; Arnaout, O; Gerstner, ER; Zhang, PJ; Rosen, BR; Yang, L; Huang, RY; Kalpathy-Cramer, J</t>
  </si>
  <si>
    <t>10 1007/s10916-017-0863-8</t>
  </si>
  <si>
    <t xml:space="preserve">Correlation Filters for Detection of Cellular Nuclei in Histopathology Images </t>
  </si>
  <si>
    <t xml:space="preserve">Nuclei detection in histology images is an essential part of computer aided diagnosis of cancers and tumors  It is a challenging task due to diverse and complicated structures of cells  In this work, we present an automated technique for detection of cellular nuclei in hematoxylin and eosin stained histopathology images  Our proposed approach is based on kernelized correlation filters  Correlation filters have been widely used in object detection and tracking applications but their strength has not been explored in the medical imaging domain up till now  Our experimental results show that the proposed scheme gives state of the art accuracy and can learn complex nuclear morphologies  Like deep learning approaches, the proposed filters do not require engineering of image features as they can operate directly on histopathology images without significant preprocessing  However, unlike deep learning methods, the large-margin correlation filters developed in this work are interpretable, computationally efficient and do not require specialized or expensive computing hardware A cloud based webserver of the proposed method and its python implementation can be accessed at the following URL: http://faculty pieas edu pk/fayyaz/software html#corehist  </t>
  </si>
  <si>
    <t>Biomedical Informatics Research Laboratory, Department of Computer and Information Sciences, Pakistan Institute of Engineering and Applied Sciences, PO Nilore, Islamabad, Pakistan</t>
    <phoneticPr fontId="0" type="noConversion"/>
  </si>
  <si>
    <t>Ahmad, A; Asif, A; Rajpoot, N; Arif, M; Minhas, FUAA</t>
  </si>
  <si>
    <t>10 1002/mp 12683</t>
  </si>
  <si>
    <t xml:space="preserve">A deep learning method for classifying mammographic breast density categories </t>
  </si>
  <si>
    <t xml:space="preserve">Mammographic breast density is an established risk marker for breast cancer and is visually assessed by radiologists in routine mammogram image reading, using four qualitative Breast Imaging and Reporting Data System (BI-RADS) breast density categories  It is particularly difficult for radiologists to consistently distinguish the two most common and most variably assigned BI-RADS categories, i e , "scattered density" and "heterogeneously dense"  The aim of this work was to investigate a deep learning-based breast density classifier to consistently distinguish these two categories, aiming at providing a potential computerized tool to assist radiologists in assigning a BI-RADS category in current clinical workflow In this study, we constructed a convolutional neural network (CNN)-based model coupled with a large (i e , 22,000 images) digital mammogram imaging dataset to evaluate the classification performance between the two aforementioned breast density categories  All images were collected from a cohort of 1,427 women who underwent standard digital mammography screening from 2005 to 2016 at our institution  The truths of the density categories were based on standard clinical assessment made by board-certified breast imaging radiologists  Effects of direct training from scratch solely using digital mammogram images and transfer learning of a pretrained model on a large nonmedical imaging dataset were evaluated for the specific task of breast density classification  In order to measure the classification performance, the CNN classifier was also tested on a refined version of the mammogram image dataset by removing some potentially inaccurately labeled images  Receiver operating characteristic (ROC) curves and the area under the curve (AUC) were used to measure the accuracy of the classifier The AUC was 0 9421 when the CNN-model was trained from scratch on our own mammogram images, and the accuracy increased gradually along with an increased size of training samples  Using the pretrained model followed by a fine-tuning process with as few as 500 mammogram images led to an AUC of 0 9265  After removing the potentially inaccurately labeled images, AUC was increased to 0 9882 and 0 9857 for without and with the pretrained model, respectively, both significantly higher (P &lt; 0 001) than when using the full imaging dataset Our study demonstrated high classification accuracies between two difficult to distinguish breast density categories that are routinely assessed by radiologists  We anticipate that our approach will help enhance current clinical assessment of breast density and better support consistent density notification to patients in breast cancer screening </t>
  </si>
  <si>
    <t xml:space="preserve">Department of Radiology, University of Pittsburgh School of Medicine, 4200 Fifth Ave, Pittsburgh, PA, 15260, USA </t>
  </si>
  <si>
    <t>Mohamed, AA; Berg, WA; Peng, H; Luo, Y; Jankowitz, RC; Wu, S</t>
  </si>
  <si>
    <t>10 1007/s00417-017-3850-3</t>
  </si>
  <si>
    <t xml:space="preserve">Automated detection of exudative age-related macular degeneration in spectral domain optical coherence tomography using deep learning </t>
  </si>
  <si>
    <t xml:space="preserve">Our purpose was to use deep learning for the automated detection of age-related macular degeneration (AMD) in spectral domain optical coherence tomography (SD-OCT) A total of 1112 cross-section SD-OCT images of patients with exudative AMD and a healthy control group were used for this study  In the first step, an open-source multi-layer deep convolutional neural network (DCNN), which was pretrained with 1 2 million images from ImageNet, was trained and validated with 1012 cross-section SD-OCT scans (AMD: 701; healthy: 311)  During this procedure training accuracy, validation accuracy and cross-entropy were computed  The open-source deep learning framework TensorFlow™ (Google Inc , Mountain View, CA, USA) was used to accelerate the deep learning process  In the last step, a created DCNN classifier, using the information of the above mentioned deep learning process, was tested in detecting 100 untrained cross-section SD-OCT images (AMD: 50; healthy: 50)  Therefore, an AMD testing score was computed: 0 98 or higher was presumed for AMD After an iteration of 500 training steps, the training accuracy and validation accuracies were 100%, and the cross-entropy was 0 005  The average AMD scores were 0 997 ± 0 003 in the AMD testing group and 0 9203 ± 0 085 in the healthy comparison group  The difference between the two groups was highly significant (p &lt; 0 001) With a deep learning-based approach using TensorFlow™, it is possible to detect AMD in SD-OCT with high sensitivity and specificity  With more image data, an expansion of this classifier for other macular diseases or further details in AMD is possible, suggesting an application for this model as a support in clinical decisions  Another possible future application would involve the individual prediction of the progress and success of therapy for different diseases by automatically detecting hidden image information </t>
  </si>
  <si>
    <t xml:space="preserve"> 1 2 million</t>
  </si>
  <si>
    <t xml:space="preserve">Department of Ophthalmology, University of Muenster Medical Center, Domagkstraße 15, 48149, Muenster, Germany  maximilian </t>
  </si>
  <si>
    <t>10 1016/j nicl 2017 10 007</t>
  </si>
  <si>
    <t xml:space="preserve">Evaluation of a deep learning approach for the segmentation of brain tissues and white matter hyperintensities of presumed vascular origin in MRI </t>
  </si>
  <si>
    <t xml:space="preserve">Automatic segmentation of brain tissues and white matter hyperintensities of presumed vascular origin (WMH) in MRI of older patients is widely described in the literature  Although brain abnormalities and motion artefacts are common in this age group, most segmentation methods are not evaluated in a setting that includes these items  In the present study, our tissue segmentation method for brain MRI was extended and evaluated for additional WMH segmentation  Furthermore, our method was evaluated in two large cohorts with a realistic variation in brain abnormalities and motion artefacts  The method uses a multi-scale convolutional neural network with a T1-weighted image, a T2-weighted fluid attenuated inversion recovery (FLAIR) image and a T1-weighted inversion recovery (IR) image as input  The method automatically segments white matter (WM), cortical grey matter (cGM), basal ganglia and thalami (BGT), cerebellum (CB), brain stem (BS), lateral ventricular cerebrospinal fluid (lvCSF), peripheral cerebrospinal fluid (pCSF), and WMH  Our method was evaluated quantitatively with images publicly available from the MRBrainS13 challenge (n = 20), quantitatively and qualitatively in relatively healthy older subjects (n = 96), and qualitatively in patients from a memory clinic (n = 110)  The method can accurately segment WMH (Overall Dice coefficient in the MRBrainS13 data of 0 67) without compromising performance for tissue segmentations (Overall Dice coefficients in the MRBrainS13 data of 0 87 for WM, 0 85 for cGM, 0 82 for BGT, 0 93 for CB, 0 92 for BS, 0 93 for lvCSF, 0 76 for pCSF)  Furthermore, the automatic WMH volumes showed a high correlation with manual WMH volumes (Spearman's ρ = 0 83 for relatively healthy older subjects)  In both cohorts, our method produced reliable segmentations (as determined by a human observer) in most images (relatively healthy/memory clinic: tissues 88%/77% reliable, WMH 85%/84% reliable) despite various degrees of brain abnormalities and motion artefacts  In conclusion, this study shows that a convolutional neural network-based segmentation method can accurately segment brain tissues and WMH in MR images of older patients with varying degrees of brain abnormalities and motion artefacts </t>
  </si>
  <si>
    <t xml:space="preserve">Image Sciences Institute, University Medical Center Utrecht and Utrecht University, The Netherlands </t>
  </si>
  <si>
    <t>Moeskops, P; de Bresser, J; Kuijf, HJ; Mendrik, AM; Biessels, GJ; Pluim, JPW; Išgum, I</t>
  </si>
  <si>
    <t>10 1016/j cmpb 2017 10 017</t>
  </si>
  <si>
    <t xml:space="preserve">An ensemble deep learning based approach for red lesion detection in fundus images </t>
  </si>
  <si>
    <t xml:space="preserve">Diabetic retinopathy (DR) is one of the leading causes of preventable blindness in the world  Its earliest sign are red lesions, a general term that groups both microaneurysms (MAs) and hemorrhages (HEs)  In daily clinical practice, these lesions are manually detected by physicians using fundus photographs  However, this task is tedious and time consuming, and requires an intensive effort due to the small size of the lesions and their lack of contrast  Computer-assisted diagnosis of DR based on red lesion detection is being actively explored due to its improvement effects both in clinicians consistency and accuracy  Moreover, it provides comprehensive feedback that is easy to assess by the physicians  Several methods for detecting red lesions have been proposed in the literature, most of them based on characterizing lesion candidates using hand crafted features, and classifying them into true or false positive detections  Deep learning based approaches, by contrast, are scarce in this domain due to the high expense of annotating the lesions manually In this paper we propose a novel method for red lesion detection based on combining both deep learned and domain knowledge  Features learned by a convolutional neural network (CNN) are augmented by incorporating hand crafted features  Such ensemble vector of descriptors is used afterwards to identify true lesion candidates using a Random Forest classifier We empirically observed that combining both sources of information significantly improve results with respect to using each approach separately  Furthermore, our method reported the highest performance on a per-lesion basis on DIARETDB1 and e-ophtha, and for screening and need for referral on MESSIDOR compared to a second human expert Results highlight the fact that integrating manually engineered approaches with deep learned features is relevant to improve results when the networks are trained from lesion-level annotated data  An open source implementation of our system is publicly available at https://github com/ignaciorlando/red-lesion-detection </t>
  </si>
  <si>
    <t>Argentina</t>
  </si>
  <si>
    <t xml:space="preserve">Pladema Institute, UNCPBA, Gral  Pinto 399, Tandil, Argentina; Consejo Nacional de Investigaciones Científicas y Técnicas, CONICET, Argentina </t>
  </si>
  <si>
    <t>Orlando, JI; Prokofyeva, E; Del Fresno, M; Blaschko, MB</t>
  </si>
  <si>
    <t>10 3390/s17112644</t>
  </si>
  <si>
    <t xml:space="preserve">Hyperspectral Image Enhancement and Mixture Deep-Learning Classification of Corneal Epithelium Injuries </t>
  </si>
  <si>
    <t xml:space="preserve">In our preliminary study, the reflectance signatures obtained from hyperspectral imaging (HSI) of normal and abnormal corneal epithelium tissues of porcine show similar morphology with subtle differences  Here we present image enhancement algorithms that can be used to improve the interpretability of data into clinically relevant information to facilitate diagnostics  A total of 25 corneal epithelium images without the application of eye staining were used  Three image feature extraction approaches were applied for image classification: (i) image feature classification from histogram using a support vector machine with a Gaussian radial basis function (SVM-GRBF); (ii) physical image feature classification using deep-learning Convolutional Neural Networks (CNNs) only; and (iii) the combined classification of CNNs and SVM-Linear  The performance results indicate that our chosen image features from the histogram and length-scale parameter were able to classify with up to 100% accuracy; particularly, at CNNs and CNNs-SVM, by employing 80% of the data sample for training and 20% for testing  Thus, in the assessment of corneal epithelium injuries, HSI has high potential as a method that could surpass current technologies regarding speed, objectivity, and reliability </t>
  </si>
  <si>
    <t xml:space="preserve">Centre of Excellent Signal and Image Processing, Department of Electronic and Electrical Engineering, University of Strathclyde, Glasgow G1 1XW, UK </t>
  </si>
  <si>
    <t>Noor, SSM; Michael, K; Marshall, S; Ren, J</t>
  </si>
  <si>
    <t>10 1148/radiol 2017171115</t>
  </si>
  <si>
    <t xml:space="preserve">Deep Learning to Classify Radiology Free-Text Reports </t>
  </si>
  <si>
    <t xml:space="preserve">Purpose To evaluate the performance of a deep learning convolutional neural network (CNN) model compared with a traditional natural language processing (NLP) model in extracting pulmonary embolism (PE) findings from thoracic computed tomography (CT) reports from two institutions  Materials and Methods Contrast material-enhanced CT examinations of the chest performed between January 1, 1998, and January 1, 2016, were selected  Annotations by two human radiologists were made for three categories: the presence, chronicity, and location of PE  Classification of performance of a CNN model with an unsupervised learning algorithm for obtaining vector representations of words was compared with the open-source application PeFinder  Sensitivity, specificity, accuracy, and F1 scores for both the CNN model and PeFinder in the internal and external validation sets were determined  Results The CNN model demonstrated an accuracy of 99% and an area under the curve value of 0 97  For internal validation report data, the CNN model had a statistically significant larger F1 score (0 938) than did PeFinder (0 867) when classifying findings as either PE positive or PE negative, but no significant difference in sensitivity, specificity, or accuracy was found  For external validation report data, no statistical difference between the performance of the CNN model and PeFinder was found  Conclusion A deep learning CNN model can classify radiology free-text reports with accuracy equivalent to or beyond that of an existing traditional NLP model  © RSNA, 2017 Online supplemental material is available for this article </t>
  </si>
  <si>
    <t>From the Department of Radiology, Stanford University School of Medicine, Stanford University Medical Center, 725 Welch Rd, Room 1675, Stanford, Calif 94305-5913 (M C C , N M , D B L , C P L , M P L ); Stanford Center for Biomedical Informatics Research, Stanford University, Stanford, Calif (R L B , L Y ); Department of Bioinformatics, University of Utah Medical Center, Salt Lake City, Utah (B E C ); and Department of Radiology, Duke University Medical Center, Durham, NC</t>
  </si>
  <si>
    <t>Chen, MC; Ball, RL; Yang, L; Moradzadeh, N; Chapman, BE; Larson, DB; Langlotz, CP; Amrhein, TJ; Lungren, MP</t>
  </si>
  <si>
    <t>10 1038/s41598-017-15720-y</t>
  </si>
  <si>
    <t xml:space="preserve">Searching for prostate cancer by fully automated magnetic resonance imaging classification: deep learning versus non-deep learning </t>
  </si>
  <si>
    <t xml:space="preserve">Prostate cancer (PCa) is a major cause of death since ancient time documented in Egyptian Ptolemaic mummy imaging  PCa detection is critical to personalized medicine and varies considerably under an MRI scan  172 patients with 2,602 morphologic images (axial 2D T2-weighted imaging) of the prostate were obtained  A deep learning with deep convolutional neural network (DCNN) and a non-deep learning with SIFT image feature and bag-of-word (BoW), a representative method for image recognition and analysis, were used to distinguish pathologically confirmed PCa patients from prostate benign conditions (BCs) patients with prostatitis or prostate benign hyperplasia (BPH)  In fully automated detection of PCa patients, deep learning had a statistically higher area under the receiver operating characteristics curve (AUC) than non-deep learning (P = 0 0007 &lt; 0 001)  The AUCs were 0 84 (95% CI 0 78-0 89) for deep learning method and 0 70 (95% CI 0 63-0 77) for non-deep learning method, respectively  Our results suggest that deep learning with DCNN is superior to non-deep learning with SIFT image feature and BoW model for fully automated PCa patients differentiation from prostate BCs patients  Our deep learning method is extensible to image modalities such as MR imaging, CT and PET of other organs </t>
  </si>
  <si>
    <t xml:space="preserve">Department of Radiology, Tongji Hospital, Huazhong University of Science and Technology, Jiefang Road 1095, 430030, Wuhan, China </t>
  </si>
  <si>
    <t>Wang, X; Yang, W; Weinreb, J; Han, J; Li, Q; Kong, X; Yan, Y; Ke, Z; Luo, B; Liu, T; Wang, L</t>
  </si>
  <si>
    <t>10 1007/s00417-017-3839-y</t>
  </si>
  <si>
    <t xml:space="preserve">OCT-based deep learning algorithm for the evaluation of treatment indication with anti-vascular endothelial growth factor medications </t>
  </si>
  <si>
    <t xml:space="preserve">Intravitreal injections with anti-vascular endothelial growth factor (anti-VEGF) medications have become the standard of care for their respective indications  Optical coherence tomography (OCT) scans of the central retina provide detailed anatomical data and are widely used by clinicians in the decision-making process of anti-VEGF indication  In recent years, significant progress has been made in artificial intelligence and computer vision research  We trained a deep convolutional artificial neural network to predict treatment indication based on central retinal OCT scans without human intervention A total of 183,402 retinal OCT B-scans acquired between 2008 and 2016 were exported from the institutional image archive of a university hospital  OCT images were cross-referenced with the electronic institutional intravitreal injection records  OCT images with a following intravitreal injection during the first 21 days after image acquisition were assigned into the 'injection' group, while the same amount of random OCT images without intravitreal injections was labeled as 'no injection'  After image preprocessing, OCT images were split in a 9:1 ratio to training and test datasets  We trained a GoogLeNet inception deep convolutional neural network and assessed its performance on the validation dataset  We calculated prediction accuracy, sensitivity, specificity, and receiver operating characteristics The deep convolutional neural network was successfully trained on the extracted clinical data  The trained neural network classifier reached a prediction accuracy of 95 5% on the images in the validation dataset  For single retinal B-scans in the validation dataset, a sensitivity of 90 1% and a specificity of 96 2% were achieved  The area under the receiver operating characteristic curve was 0 968 on a per B-scan image basis, and 0 988 by averaging over six B-scans per examination on the validation dataset Deep artificial neural networks show impressive performance on classification of retinal OCT scans  After training on historical clinical data, machine learning methods can offer the clinician support in the decision-making process  Care should be taken not to mistake neural network output as treatment recommendation and to ensure a final thorough evaluation by the treating physician </t>
  </si>
  <si>
    <t xml:space="preserve">Department of Ophthalmology, University of Regensburg, Franz-Josef-Strauss-Allee 11, 93042, Regensburg, Germany </t>
  </si>
  <si>
    <t>Prahs, P; Radeck, V; Mayer, C; Cvetkov, Y; Cvetkova, N; Helbig, H; Märker, D</t>
  </si>
  <si>
    <t>10 1002/mrm 26977</t>
  </si>
  <si>
    <t xml:space="preserve">Learning a variational network for reconstruction of accelerated MRI data </t>
  </si>
  <si>
    <t xml:space="preserve">To allow fast and high-quality reconstruction of clinical accelerated multi-coil MR data by learning a variational network that combines the mathematical structure of variational models with deep learning Generalized compressed sensing reconstruction formulated as a variational model is embedded in an unrolled gradient descent scheme  All parameters of this formulation, including the prior model defined by filter kernels and activation functions as well as the data term weights, are learned during an offline training procedure  The learned model can then be applied online to previously unseen data The variational network approach is evaluated on a clinical knee imaging protocol for different acceleration factors and sampling patterns using retrospectively and prospectively undersampled data  The variational network reconstructions outperform standard reconstruction algorithms, verified by quantitative error measures and a clinical reader study for regular sampling and acceleration factor 4 Variational network reconstructions preserve the natural appearance of MR images as well as pathologies that were not included in the training data set  Due to its high computational performance, that is, reconstruction time of 193 ms on a single graphics card, and the omission of parameter tuning once the network is trained, this new approach to image reconstruction can easily be integrated into clinical workflow  Magn Reson Med 79:3055-3071, 2018  © 2017 International Society for Magnetic Resonance in Medicine </t>
  </si>
  <si>
    <t>VN(variational network)</t>
    <phoneticPr fontId="0" type="noConversion"/>
  </si>
  <si>
    <t xml:space="preserve">Institute of Computer Graphics and Vision, Graz University of Technology, Graz, Austria </t>
  </si>
  <si>
    <t>Hammernik, K; Klatzer, T; Kobler, E; Recht, MP; Sodickson, DK; Pock, T; Knoll, F</t>
  </si>
  <si>
    <t>10 1073/pnas 1711673114</t>
  </si>
  <si>
    <t xml:space="preserve">Three-dimensional visualization and a deep-learning model reveal complex fungal parasite networks in behaviorally manipulated ants </t>
  </si>
  <si>
    <t xml:space="preserve">Some microbes possess the ability to adaptively manipulate host behavior  To better understand how such microbial parasites control animal behavior, we examine the cell-level interactions between the species-specific fungal parasite Ophiocordyceps unilateralis sensu lato and its carpenter ant host (Camponotus castaneus) at a crucial moment in the parasite's lifecycle: when the manipulated host fixes itself permanently to a substrate by its mandibles  The fungus is known to secrete tissue-specific metabolites and cause changes in host gene expression as well as atrophy in the mandible muscles of its ant host, but it is unknown how the fungus coordinates these effects to manipulate its host's behavior  In this study, we combine techniques in serial block-face scanning-electron microscopy and deep-learning-based image segmentation algorithms to visualize the distribution, abundance, and interactions of this fungus inside the body of its manipulated host  Fungal cells were found throughout the host body but not in the brain, implying that behavioral control of the animal body by this microbe occurs peripherally  Additionally, fungal cells invaded host muscle fibers and joined together to form networks that encircled the muscles  These networks may represent a collective foraging behavior of this parasite, which may in turn facilitate host manipulation </t>
  </si>
  <si>
    <t>UNET</t>
    <phoneticPr fontId="0" type="noConversion"/>
  </si>
  <si>
    <t>Department of Entomology, Pennsylvania State University, University Park, PA</t>
    <phoneticPr fontId="0" type="noConversion"/>
  </si>
  <si>
    <t>Fredericksen, MA; Zhang, Y; Hazen, ML; Loreto, RG; Mangold, CA; Chen, DZ; Hughes, DP</t>
  </si>
  <si>
    <t>10 1371/journal pone 0187336</t>
  </si>
  <si>
    <t xml:space="preserve">Multi-categorical deep learning neural network to classify retinal images: A pilot study employing small database </t>
  </si>
  <si>
    <t xml:space="preserve">Deep learning emerges as a powerful tool for analyzing medical images  Retinal disease detection by using computer-aided diagnosis from fundus image has emerged as a new method  We applied deep learning convolutional neural network by using MatConvNet for an automated detection of multiple retinal diseases with fundus photographs involved in STructured Analysis of the REtina (STARE) database  Dataset was built by expanding data on 10 categories, including normal retina and nine retinal diseases  The optimal outcomes were acquired by using a random forest transfer learning based on VGG-19 architecture  The classification results depended greatly on the number of categories  As the number of categories increased, the performance of deep learning models was diminished  When all 10 categories were included, we obtained results with an accuracy of 30 5%, relative classifier information (RCI) of 0 052, and Cohen's kappa of 0 224  Considering three integrated normal, background diabetic retinopathy, and dry age-related macular degeneration, the multi-categorical classifier showed accuracy of 72 8%, 0 283 RCI, and 0 577 kappa  In addition, several ensemble classifiers enhanced the multi-categorical classification performance  The transfer learning incorporated with ensemble classifier of clustering and voting approach presented the best performance with accuracy of 36 7%, 0 053 RCI, and 0 225 kappa in the 10 retinal diseases classification problem  First, due to the small size of datasets, the deep learning techniques in this study were ineffective to be applied in clinics where numerous patients suffering from various types of retinal disorders visit for diagnosis and treatment  Second, we found that the transfer learning incorporated with ensemble classifiers can improve the classification performance in order to detect multi-categorical retinal diseases  Further studies should confirm the effectiveness of algorithms with large datasets obtained from hospitals </t>
  </si>
  <si>
    <t xml:space="preserve"> CNN,VGG, AlexNet,MatConvNet</t>
  </si>
  <si>
    <t xml:space="preserve">Department of Electrical and Computer Engineering, Seoul National University, Seoul, South Korea </t>
  </si>
  <si>
    <t>Choi, JY; Yoo, TK; Seo, JG; Kwak, J; Um, TT; Rim, TH</t>
  </si>
  <si>
    <t>10 1148/radiol 2017170236</t>
  </si>
  <si>
    <t xml:space="preserve">Performance of a Deep-Learning Neural Network Model in Assessing Skeletal Maturity on Pediatric Hand Radiographs </t>
  </si>
  <si>
    <t xml:space="preserve">Purpose To compare the performance of a deep-learning bone age assessment model based on hand radiographs with that of expert radiologists and that of existing automated models  Materials and Methods The institutional review board approved the study  A total of 14 036 clinical hand radiographs and corresponding reports were obtained from two children's hospitals to train and validate the model  For the first test set, composed of 200 examinations, the mean of bone age estimates from the clinical report and three additional human reviewers was used as the reference standard  Overall model performance was assessed by comparing the root mean square (RMS) and mean absolute difference (MAD) between the model estimates and the reference standard bone ages  Ninety-five percent limits of agreement were calculated in a pairwise fashion for all reviewers and the model  The RMS of a second test set composed of 913 examinations from the publicly available Digital Hand Atlas was compared with published reports of an existing automated model  Results The mean difference between bone age estimates of the model and of the reviewers was 0 years, with a mean RMS and MAD of 0 63 and 0 50 years, respectively  The estimates of the model, the clinical report, and the three reviewers were within the 95% limits of agreement  RMS for the Digital Hand Atlas data set was 0 73 years, compared with 0 61 years of a previously reported model  Conclusion A deep-learning convolutional neural network model can estimate skeletal maturity with accuracy similar to that of an expert radiologist and to that of existing automated models  © RSNA, 2017 An earlier incorrect version of this article appeared online  This article was corrected on January 19, 2018 </t>
  </si>
  <si>
    <t>14 036</t>
    <phoneticPr fontId="0" type="noConversion"/>
  </si>
  <si>
    <t xml:space="preserve">From the Departments of Radiology (D B L , M P L , S S H , C P L ), Computer Science (M C C ), and Biomedical Informatics (C P L ), Stanford University School of Medicine, 300 Pasteur Dr, Stanford, CA 94305-5105; and Department of Radiology, Children's Hospital Colorado, Aurora, Colo (N V S ) </t>
  </si>
  <si>
    <t>Larson, DB; Chen, MC; Lungren, MP; Halabi, SS; Stence, NV; Langlotz, CP</t>
  </si>
  <si>
    <t>10 1158/0008-5472 CAN-17-0339</t>
  </si>
  <si>
    <t xml:space="preserve">Computational Radiomics System to Decode the Radiographic Phenotype </t>
  </si>
  <si>
    <t xml:space="preserve">Radiomics aims to quantify phenotypic characteristics on medical imaging through the use of automated algorithms  Radiomic artificial intelligence (AI) technology, either based on engineered hard-coded algorithms or deep learning methods, can be used to develop noninvasive imaging-based biomarkers  However, lack of standardized algorithm definitions and image processing severely hampers reproducibility and comparability of results  To address this issue, we developed PyRadiomics, a flexible open-source platform capable of extracting a large panel of engineered features from medical images  PyRadiomics is implemented in Python and can be used standalone or using 3D Slicer  Here, we discuss the workflow and architecture of PyRadiomics and demonstrate its application in characterizing lung lesions  Source code, documentation, and examples are publicly available at www radiomics io With this platform, we aim to establish a reference standard for radiomic analyses, provide a tested and maintained resource, and to grow the community of radiomic developers addressing critical needs in cancer research  Cancer Res; 77(21); e104-7  ©2017 AACR </t>
  </si>
  <si>
    <t>deep learning method</t>
  </si>
  <si>
    <t xml:space="preserve">Department of Radiation Oncology, Dana-Farber Cancer Institute, Brigham and Women's Hospital, Harvard Medical School, Boston, Massachusetts </t>
  </si>
  <si>
    <t>van Griethuysen, JJM; Fedorov, A; Parmar, C; Hosny, A; Aucoin, N; Narayan, V; Beets-Tan, RGH; Fillion-Robin, JC; Pieper, S; Aerts, HJWL</t>
  </si>
  <si>
    <t>10 1117/1 JBO 22 10 106017</t>
  </si>
  <si>
    <t xml:space="preserve">Combining deep learning and coherent anti-Stokes Raman scattering imaging for automated differential diagnosis of lung cancer </t>
  </si>
  <si>
    <t xml:space="preserve">Lung cancer is the most prevalent type of cancer and the leading cause of cancer-related deaths worldwide  Coherent anti-Stokes Raman scattering (CARS) is capable of providing cellular-level images and resolving pathologically related features on human lung tissues  However, conventional means of analyzing CARS images requires extensive image processing, feature engineering, and human intervention  This study demonstrates the feasibility of applying a deep learning algorithm to automatically differentiate normal and cancerous lung tissue images acquired by CARS  We leverage the features learned by pretrained deep neural networks and retrain the model using CARS images as the input  We achieve 89 2% accuracy in classifying normal, small-cell carcinoma, adenocarcinoma, and squamous cell carcinoma lung images  This computational method is a step toward on-the-spot diagnosis of lung cancer and can be further strengthened by the efforts aimed at miniaturizing the CARS technique for fiber-based microendoscopic imaging </t>
  </si>
  <si>
    <t>Journal of biomedical optics</t>
  </si>
  <si>
    <t xml:space="preserve">Translational Biophotonics Laboratory, Department of Systems Medicine and Bioengineering, Houston Me, United States </t>
  </si>
  <si>
    <t>Weng, S; Xu, X; Li, J; Wong, STC</t>
  </si>
  <si>
    <t>9605853</t>
  </si>
  <si>
    <t>10 1002/jmri 25877</t>
  </si>
  <si>
    <t xml:space="preserve">Pulmonary ventilation imaging in asthma and cystic fibrosis using oxygen-enhanced 3D radial ultrashort echo time MRI </t>
  </si>
  <si>
    <t xml:space="preserve">A previous study demonstrated the feasibility of using 3D radial ultrashort echo time (UTE) oxygen-enhanced MRI (UTE OE-MRI) for functional imaging of healthy human lungs  The repeatability of quantitative measures from UTE OE-MRI needs to be established prior to its application in clinical research To evaluate repeatability of obstructive patterns in asthma and cystic fibrosis (CF) with UTE OE-MRI with isotropic spatial resolution and full chest coverage Volunteer and patient repeatability Eighteen human subjects (five asthma, six CF, and seven normal subjects) Respiratory-gated free-breathing 3D radial UTE (80 μs) sequence at 1 5T Two 3D radial UTE volumes were acquired sequentially under normoxic and hyperoxic conditions  A subset of subjects underwent repeat acquisitions on either the same day or ≤15 days apart  Asthma and CF subjects also underwent spirometry  A workflow including deformable registration and retrospective lung density correction was used to compute 3D isotropic percent signal enhancement (PSE) maps  Median PSE (MPSE) and ventilation defect percent (VDP) of the lung were measured from the PSE map The relations between MPSE, VDP, and spirometric measures were assessed using Spearman correlations  The test-retest repeatability was evaluated using Bland-Altman analysis and intraclass correlation coefficients (ICC) Ventilation measures in normal subjects (MPSE = 8 0%, VDP = 3 3%) were significantly different from those in asthma (MPSE = 6 0%, P = 0 042; VDP = 21 7%, P = 0 018) and CF group (MPSE = 4 5%, P = 0 0006; VDP = 27 2%, P = 0 002)  MPSE correlated significantly with forced expiratory lung volume in 1 second percent predicted (ρ = 0 72, P = 0 017)  The ICC of the test-retest VDP and MPSE were both ≥0 90  In all subject groups, an anterior/posterior gradient was observed with higher MPSE and lower VDP in the posterior compared to anterior regions (P ≤ 0 0021 for all comparisons) 3D radial UTE OE-MRI supports quantitative differentiation of diseased vs  healthy lungs using either whole lung VDP or MPSE with excellent test-retest repeatability 2 Technical Efficacy: Stage 1 J  Magn  Reson  Imaging 2018;47:1287-1297 </t>
  </si>
  <si>
    <t>deep learning network</t>
  </si>
  <si>
    <t xml:space="preserve">Department of Medical Physics, University of Wisconsin-Madison, Madison, Wisconsin, USA </t>
  </si>
  <si>
    <t>Zha, W; Kruger, SJ; Johnson, KM; Cadman, RV; Bell, LC; Liu, F; Hahn, AD; Evans, MD; Nagle, SK; Fain, SB</t>
  </si>
  <si>
    <t>10 2967/jnumed 117 198051</t>
  </si>
  <si>
    <t xml:space="preserve">Zero-Echo-Time and Dixon Deep Pseudo-CT (ZeDD CT): Direct Generation of Pseudo-CT Images for Pelvic PET/MRI Attenuation Correction Using Deep Convolutional Neural Networks with Multiparametric MRI </t>
  </si>
  <si>
    <t xml:space="preserve">Accurate quantification of uptake on PET images depends on accurate attenuation correction in reconstruction  Current MR-based attenuation correction methods for body PET use a fat and water map derived from a 2-echo Dixon MRI sequence in which bone is neglected  Ultrashort-echo-time or zero-echo-time (ZTE) pulse sequences can capture bone information  We propose the use of patient-specific multiparametric MRI consisting of Dixon MRI and proton-density-weighted ZTE MRI to directly synthesize pseudo-CT images with a deep learning model: we call this method ZTE and Dixon deep pseudo-CT (ZeDD CT)  Methods: Twenty-six patients were scanned using an integrated 3-T time-of-flight PET/MRI system  Helical CT images of the patients were acquired separately  A deep convolutional neural network was trained to transform ZTE and Dixon MR images into pseudo-CT images  Ten patients were used for model training, and 16 patients were used for evaluation  Bone and soft-tissue lesions were identified, and the SUVmax was measured  The root-mean-squared error (RMSE) was used to compare the MR-based attenuation correction with the ground-truth CT attenuation correction  Results: In total, 30 bone lesions and 60 soft-tissue lesions were evaluated  The RMSE in PET quantification was reduced by a factor of 4 for bone lesions (10 24% for Dixon PET and 2 68% for ZeDD PET) and by a factor of 1 5 for soft-tissue lesions (6 24% for Dixon PET and 4 07% for ZeDD PET)  Conclusion: ZeDD CT produces natural-looking and quantitatively accurate pseudo-CT images and reduces error in pelvic PET/MRI attenuation correction compared with standard methods </t>
  </si>
  <si>
    <t xml:space="preserve">Department of Radiology and Biomedical Imaging, University of California San Francisco, San Francisco, California andrew </t>
  </si>
  <si>
    <t>Leynes, AP; Yang, J; Wiesinger, F; Kaushik, SS; Shanbhag, DD; Seo, Y; Hope, TA; Larson, PEZ</t>
  </si>
  <si>
    <t>10 1016/j nicl 2017 10 015</t>
  </si>
  <si>
    <t xml:space="preserve">Deep learning of joint myelin and T1w MRI features in normal-appearing brain tissue to distinguish between multiple sclerosis patients and healthy controls </t>
  </si>
  <si>
    <t xml:space="preserve">Myelin imaging is a form of quantitative magnetic resonance imaging (MRI) that measures myelin content and can potentially allow demyelinating diseases such as multiple sclerosis (MS) to be detected earlier  Although focal lesions are the most visible signs of MS pathology on conventional MRI, it has been shown that even tissues that appear normal may exhibit decreased myelin content as revealed by myelin-specific images (i e , myelin maps)  Current methods for analyzing myelin maps typically use global or regional mean myelin measurements to detect abnormalities, but ignore finer spatial patterns that may be characteristic of MS  In this paper, we present a machine learning method to automatically learn, from multimodal MR images, latent spatial features that can potentially improve the detection of MS pathology at early stage  More specifically, 3D image patches are extracted from myelin maps and the corresponding T1-weighted (T1w) MRIs, and are used to learn a latent joint myelin-T1w feature representation via unsupervised deep learning  Using a data set of images from MS patients and healthy controls, a common set of patches are selected via a voxel-wise t-test performed between the two groups  In each MS image, any patches overlapping with focal lesions are excluded, and a feature imputation method is used to fill in the missing values  A feature selection process (LASSO) is then utilized to construct a sparse representation  The resulting normal-appearing features are used to train a random forest classifier  Using the myelin and T1w images of 55 relapse-remitting MS patients and 44 healthy controls in an 11-fold cross-validation experiment, the proposed method achieved an average classification accuracy of 87 9% (SD = 8 4%), which is higher and more consistent across folds than those attained by regional mean myelin (73 7%, SD = 13 7%) and T1w measurements (66 7%, SD = 10 6%), or deep-learned features in either the myelin (83 8%, SD = 11 0%) or T1w (70 1%, SD = 13 6%) images alone, suggesting that the proposed method has strong potential for identifying image features that are more sensitive and specific to MS pathology in normal-appearing brain tissues </t>
  </si>
  <si>
    <t xml:space="preserve">Department of Electrical and Computer Engineering, University of British Columbia, Vancouver, BC, Canada </t>
  </si>
  <si>
    <t>Yoo, Y; Tang, LYW; Brosch, T; Li, DKB; Kolind, S; Vavasour, I; Rauscher, A; MacKay, AL; Traboulsee, A; Tam, RC</t>
  </si>
  <si>
    <t>10 1136/gutjnl-2017-314547</t>
  </si>
  <si>
    <t xml:space="preserve">Real-time differentiation of adenomatous and hyperplastic diminutive colorectal polyps during analysis of unaltered videos of standard colonoscopy using a deep learning model </t>
  </si>
  <si>
    <t xml:space="preserve">In general, academic but not community endoscopists have demonstrated adequate endoscopic differentiation accuracy to make the 'resect and discard' paradigm for diminutive colorectal polyps workable  Computer analysis of video could potentially eliminate the obstacle of interobserver variability in endoscopic polyp interpretation and enable widespread acceptance of 'resect and discard' We developed an artificial intelligence (AI) model for real-time assessment of endoscopic video images of colorectal polyps  A deep convolutional neural network model was used  Only narrow band imaging video frames were used, split equally between relevant multiclasses  Unaltered videos from routine exams not specifically designed or adapted for AI classification were used to train and validate the model  The model was tested on a separate series of 125 videos of consecutively encountered diminutive polyps that were proven to be adenomas or hyperplastic polyps The AI model works with a confidence mechanism and did not generate sufficient confidence to predict the histology of 19 polyps in the test set, representing 15% of the polyps  For the remaining 106 diminutive polyps, the accuracy of the model was 94% (95% CI 86% to 97%), the sensitivity for identification of adenomas was 98% (95% CI 92% to 100%), specificity was 83% (95% CI 67% to 93%), negative predictive value 97% and positive predictive value 90% An AI model trained on endoscopic video can differentiate diminutive adenomas from hyperplastic polyps with high accuracy  Additional study of this programme in a live patient clinical trial setting to address resect and discard is planned </t>
  </si>
  <si>
    <t xml:space="preserve">Division of Gastroenterology, Vancouver General Hospital, Vancouver, British Columbia, Canada </t>
  </si>
  <si>
    <t>Byrne, MF; Chapados, N; Soudan, F; Oertel, C; Linares Pérez, M; Kelly, R; Iqbal, N; Chandelier, F; Rex, DK</t>
  </si>
  <si>
    <t>10 1155/2017/8314740</t>
  </si>
  <si>
    <t xml:space="preserve">Using Deep Learning for Classification of Lung Nodules on Computed Tomography Images </t>
  </si>
  <si>
    <t xml:space="preserve">Lung cancer is the most common cancer that cannot be ignored and cause death with late health care  Currently, CT can be used to help doctors detect the lung cancer in the early stages  In many cases, the diagnosis of identifying the lung cancer depends on the experience of doctors, which may ignore some patients and cause some problems  Deep learning has been proved as a popular and powerful method in many medical imaging diagnosis areas  In this paper, three types of deep neural networks (e g , CNN, DNN, and SAE) are designed for lung cancer calcification  Those networks are applied to the CT image classification task with some modification for the benign and malignant lung nodules  Those networks were evaluated on the LIDC-IDRI database  The experimental results show that the CNN network archived the best performance with an accuracy of 84 15%, sensitivity of 83 96%, and specificity of 84 32%, which has the best result among the three networks </t>
  </si>
  <si>
    <t>CNN,DNN, STACKED AUTOENCODER</t>
  </si>
  <si>
    <t xml:space="preserve">School of Computer Science &amp; Software Engineering, Tianjin Polytechnics University, Tianjin, China </t>
  </si>
  <si>
    <t>Song, Q; Zhao, L; Luo, X; Dou, X</t>
  </si>
  <si>
    <t>10 1155/2017/5859727</t>
  </si>
  <si>
    <t xml:space="preserve">Deep Learning- and Transfer Learning-Based Super Resolution Reconstruction from Single Medical Image </t>
  </si>
  <si>
    <t xml:space="preserve">Medical images play an important role in medical diagnosis and research  In this paper, a transfer learning- and deep learning-based super resolution reconstruction method is introduced  The proposed method contains one bicubic interpolation template layer and two convolutional layers  The bicubic interpolation template layer is prefixed by mathematics deduction, and two convolutional layers learn from training samples  For saving training medical images, a SIFT feature-based transfer learning method is proposed  Not only can medical images be used to train the proposed method, but also other types of images can be added into training dataset selectively  In empirical experiments, results of eight distinctive medical images show improvement of image quality and time reduction  Further, the proposed method also produces slightly sharper edges than other deep learning approaches in less time and it is projected that the hybrid architecture of prefixed template layer and unfixed hidden layers has potentials in other applications </t>
  </si>
  <si>
    <t>musculoskeletal,cardiac,head and neck,obdominal</t>
  </si>
  <si>
    <t xml:space="preserve">School of Computer Science and Technology, Beijing Institute of Technology, Beijing 100081, China </t>
  </si>
  <si>
    <t>Zhang, Y; An, M</t>
  </si>
  <si>
    <t>10 1109/EMBC 2017 8037747</t>
  </si>
  <si>
    <t xml:space="preserve">Human induced pluripotent stem cell region recognition in microscopy images using Convolutional Neural Networks </t>
  </si>
  <si>
    <t xml:space="preserve">We present a deep learning architecture Convolutional Neural Networks (CNNs) for automatic classification and recognition of reprogramming and reprogrammed human Induced Pluripotent Stem (iPS) cell regions in microscopy images  The differentiated cells that possibly undergo reprogramming to iPS cells can be detected by this method for screening reagents or culture conditions in iPS induction  The learning results demonstrate that our CNNs can achieve the Top-1 and Top-2 error rates of 9 2% and 0 84%, respectively, to produce probability maps for the automatic analysis  The implementation results show that this automatic method can successfully detect and localize the human iPS cell formation, thereby yield a potential tool for helping iPS cell culture </t>
  </si>
  <si>
    <t>Department of Information and Computer Engineering, Chung-Yuan Christian University, Chung-Li, 32023, Taiwan</t>
    <phoneticPr fontId="0" type="noConversion"/>
  </si>
  <si>
    <t xml:space="preserve">Yuan-Hsiang Chang, ; Abe, K; Yokota, H; Sudo, K; Nakamura, Y; Cheng-Yu Lin, ; Ming-Dar Tsai, </t>
  </si>
  <si>
    <t>10 1109/EMBC 2017 8037116</t>
  </si>
  <si>
    <t xml:space="preserve">Automatic fetal body and amniotic fluid segmentation from fetal ultrasound images by encoder-decoder network with inner layers </t>
  </si>
  <si>
    <t xml:space="preserve">This paper explores the effectiveness of applying a deep learning based method to segment the amniotic fluid and fetal tissues in fetal ultrasound (US) images  The deeply learned model firstly encodes the input image into down scaled feature maps by convolution and pooling structures, then up-scale the feature maps to confidence maps by corresponded un-pooling and convolution layers  Additional convolution layers with 1×1 sized kernels are adopted to enhance the feature representations, which could be used to further improve the discriminative learning of our model  We effectively update the weights of the network by fine-tuning on part of the layers from a pre-trained model  By conducting experiments using clinical data, the feasibility of our proposed approach is compared and discussed  The result proves that this work achieves satisfied results for segmentation of specific anatomical structures from US images </t>
  </si>
  <si>
    <t>1Faculty of Science and Engineering, Waseda University, Tokyo, Japan</t>
  </si>
  <si>
    <t>Yan Li, ; Rong Xu, ; Jun Ohya, ; Iwata, H</t>
  </si>
  <si>
    <t>10 1109/EMBC 2017 8037053</t>
  </si>
  <si>
    <t xml:space="preserve">Detection and classification of the breast abnormalities in digital mammograms via regional Convolutional Neural Network </t>
  </si>
  <si>
    <t xml:space="preserve">Automatic detection and classification of the masses in mammograms are still a big challenge and play a crucial role to assist radiologists for accurate diagnosis  In this paper, we propose a novel computer-aided diagnose (CAD) system based on one of the regional deep learning techniques: a ROI-based Convolutional Neural Network (CNN) which is called You Only Look Once (YOLO)  Our proposed YOLO-based CAD system contains four main stages: mammograms preprocessing, feature extraction utilizing multi convolutional deep layers, mass detection with confidence model, and finally mass classification using fully connected neural network (FC-NN)  A set of training mammograms with the information of ROI masses and their types are used to train YOLO  The trained YOLO-based CAD system detects the masses and classifies their types into benign or malignant  Our results show that the proposed YOLO-based CAD system detects the mass location with an overall accuracy of 96 33%  The system also distinguishes between benign and malignant lesions with an overall accuracy of 85 52%  Our proposed system seems to be feasible as a CAD system capable of detection and classification at the same time  It also overcomes some challenging breast cancer cases such as the mass existing in the pectoral muscles or dense regions </t>
  </si>
  <si>
    <t xml:space="preserve">the Department of Biomedical Engineering, Kyung Hee University, Yongin, Gyeonggi, Republic of Korea </t>
  </si>
  <si>
    <t>Al-Masni, MA; Al-Antari, MA; Park, JM; Gi, G; Kim, TY; Rivera, P; Valarezo, E; Han, SM; Kim, TS</t>
  </si>
  <si>
    <t>10 1109/EMBC 2017 8036917</t>
  </si>
  <si>
    <t xml:space="preserve">Iterative deep convolutional encoder-decoder network for medical image segmentation </t>
  </si>
  <si>
    <t xml:space="preserve">In this paper, we propose a novel medical image segmentation using iterative deep learning framework  We have combined an iterative learning approach and an encoder-decoder network to improve segmentation results, which enables to precisely localize the regions of interest (ROIs) including complex shapes or detailed textures of medical images in an iterative manner  The proposed iterative deep convolutional encoder-decoder network consists of two main paths: convolutional encoder path and convolutional decoder path with iterative learning  Experimental results show that the proposed iterative deep learning framework is able to yield excellent medical image segmentation performances for various medical images  The effectiveness of the proposed method has been proved by comparing with other state-of-the-art medical image segmentation methods </t>
  </si>
  <si>
    <t>eyes,skin</t>
  </si>
  <si>
    <t>the Image and Video Systems Lab , School of Electrical Engineering, Korea Advanced Institute of Science and Technology, Republic of Korea</t>
  </si>
  <si>
    <t xml:space="preserve">Jung Uk Kim, ; Hak Gu Kim, ; Yong Man Ro, </t>
  </si>
  <si>
    <t>10 1109/EMBC 2017 8036912</t>
  </si>
  <si>
    <t xml:space="preserve">Image quality classification for DR screening using deep learning </t>
  </si>
  <si>
    <t xml:space="preserve">The quality of input images significantly affects the outcome of automated diabetic retinopathy (DR) screening systems  Unlike the previous methods that only consider simple low-level features such as hand-crafted geometric and structural features, in this paper we propose a novel method for retinal image quality classification (IQC) that performs computational algorithms imitating the working of the human visual system  The proposed algorithm combines unsupervised features from saliency map and supervised features coming from convolutional neural networks (CNN), which are fed to an SVM to automatically detect high quality vs poor quality retinal fundus images  We demonstrate the superior performance of our proposed algorithm on a large retinal fundus image dataset and the method could achieve higher accuracy than other methods  Although retinal images are used in this study, the methodology is applicable to the image quality assessment and enhancement of other types of medical images </t>
  </si>
  <si>
    <t>F  L  Yu is with Nanjing University of Aeronautics and Astronautics and Ningbo Institute of Materials Technology and Engineering, China</t>
  </si>
  <si>
    <t xml:space="preserve">FengLi Yu, ; Jing Sun, ; Annan Li, ; Jun Cheng, ; Cheng Wan, ; Jiang Liu, </t>
  </si>
  <si>
    <t>10 1109/EMBC 2017 8036906</t>
  </si>
  <si>
    <t xml:space="preserve">Automated lesion segmentation and dermoscopic feature segmentation for skin cancer analysis </t>
  </si>
  <si>
    <t xml:space="preserve">Segmentation is the first and most important task in computer-based diagnosis of skin cancer since other tasks are relied mainly on accurately segmented lesions  Recently, deep learning as a mainstream method in machine learning has shown promising results on semantic image segmentation  In this paper, we demonstrate applying deep convolutional networks to two main segmentation tasks in melanoma diagnosis, a lesion segmentation task followed by a lesion dermoscopic feature segmentation task  The proposed method is evaluated on a database from ISBI challenge 2016  By using a hybrid model, computation load for the second task decreases and masks provided by lesion segmentation have been used to enhance the results for the feature segmentation task as well  The results are close to the best results of ISBI challenge 2016  The proposed model yields quite promising results although it is based on very initial hybrid model without an aggressive fine-tuning that is heavily required in Deep Learning implementations  Therefore, there is a room for further improvements </t>
  </si>
  <si>
    <t>CNN,FCN,AlexNet</t>
  </si>
  <si>
    <t>M  P  Pour and H  Seker are with the Department of Computer and Information Sciences, Faculty of Engineering and Environment, The University of Northumbria at Newcastle, Newcastle-Upon-Tyne, UK</t>
  </si>
  <si>
    <t xml:space="preserve">Pour, MP; Seker, H; Ling Shao, </t>
  </si>
  <si>
    <t>10 1109/EMBC 2017 8036887</t>
  </si>
  <si>
    <t xml:space="preserve">Intervertebral disc detection in X-ray images using faster R-CNN </t>
  </si>
  <si>
    <t xml:space="preserve">Automatic identification of specific osseous landmarks on the spinal radiograph can be used to automate calculations for correcting ligament instability and injury, which affect 75% of patients injured in motor vehicle accidents  In this work, we propose to use deep learning based object detection method as the first step towards identifying landmark points in lateral lumbar X-ray images  The significant breakthrough of deep learning technology has made it a prevailing choice for perception based applications, however, the lack of large annotated training dataset has brought challenges to utilizing the technology in medical image processing field  In this work, we propose to fine tune a deep network, Faster-RCNN, a state-of-the-art deep detection network in natural image domain, using small annotated clinical datasets  In the experiment we show that, by using only 81 lateral lumbar X-Ray training images, one can achieve much better performance compared to traditional sliding window detection method on hand crafted features  Furthermore, we fine-tuned the network using 974 training images and tested on 108 images, which achieved average precision of 0 905 with average computation time of 3 second per image, which greatly outperformed traditional methods in terms of accuracy and efficiency </t>
  </si>
  <si>
    <t>Faster-RCNN</t>
  </si>
  <si>
    <t xml:space="preserve">1State University of New York (SUNY) at Buffalo 2Spine Metrics, Inc </t>
  </si>
  <si>
    <t>Ruhan Sa, ; Owens, W; Wiegand, R; Studin, M; Capoferri, D; Barooha, K; Greaux, A; Rattray, R; Hutton, A; Cintineo, J; Chaudhary, V</t>
  </si>
  <si>
    <t>10 1148/radiol 2017170706</t>
  </si>
  <si>
    <t xml:space="preserve">Deep Learning with Convolutional Neural Network for Differentiation of Liver Masses at Dynamic Contrast-enhanced CT: A Preliminary Study </t>
  </si>
  <si>
    <t xml:space="preserve">Purpose To investigate diagnostic performance by using a deep learning method with a convolutional neural network (CNN) for the differentiation of liver masses at dynamic contrast agent-enhanced computed tomography (CT)  Materials and Methods This clinical retrospective study used CT image sets of liver masses over three phases (noncontrast-agent enhanced, arterial, and delayed)  Masses were diagnosed according to five categories (category A, classic hepatocellular carcinomas [HCCs]; category B, malignant liver tumors other than classic and early HCCs; category C, indeterminate masses or mass-like lesions [including early HCCs and dysplastic nodules] and rare benign liver masses other than hemangiomas and cysts; category D, hemangiomas; and category E, cysts)  Supervised training was performed by using 55 536 image sets obtained in 2013 (from 460 patients, 1068 sets were obtained and they were augmented by a factor of 52 [rotated, parallel-shifted, strongly enlarged, and noise-added images were generated from the original images])  The CNN was composed of six convolutional, three maximum pooling, and three fully connected layers  The CNN was tested with 100 liver mass image sets obtained in 2016 (74 men and 26 women; mean age, 66 4 years ± 10 6 [standard deviation]; mean mass size, 26 9 mm ± 25 9; 21, nine, 35, 20, and 15 liver masses for categories A, B, C, D, and E, respectively)  Training and testing were performed five times  Accuracy for categorizing liver masses with CNN model and the area under receiver operating characteristic curve for differentiating categories A-B versus categories C-E were calculated  Results Median accuracy of differential diagnosis of liver masses for test data were 0 84  Median area under the receiver operating characteristic curve for differentiating categories A-B from C-E was 0 92  Conclusion Deep learning with CNN showed high diagnostic performance in differentiation of liver masses at dynamic CT  © RSNA, 2017 Online supplemental material is available for this article </t>
  </si>
  <si>
    <t>From the Department of Radiology, The University of Tokyo Hospital, 7-3-1 Hongo, Bunkyo-ku, Tokyo, Japan</t>
    <phoneticPr fontId="0" type="noConversion"/>
  </si>
  <si>
    <t>Yasaka, K; Akai, H; Abe, O; Kiryu, S</t>
  </si>
  <si>
    <t>10 1007/s10278-017-0033-z</t>
  </si>
  <si>
    <t xml:space="preserve">Application of Super-Resolution Convolutional Neural Network for Enhancing Image Resolution in Chest CT </t>
  </si>
  <si>
    <t xml:space="preserve">In this study, the super-resolution convolutional neural network (SRCNN) scheme, which is the emerging deep-learning-based super-resolution method for enhancing image resolution in chest CT images, was applied and evaluated using the post-processing approach  For evaluation, 89 chest CT cases were sampled from The Cancer Imaging Archive  The 89 CT cases were divided randomly into 45 training cases and 44 external test cases  The SRCNN was trained using the training dataset  With the trained SRCNN, a high-resolution image was reconstructed from a low-resolution image, which was down-sampled from an original test image  For quantitative evaluation, two image quality metrics were measured and compared to those of the conventional linear interpolation methods  The image restoration quality of the SRCNN scheme was significantly higher than that of the linear interpolation methods (p &lt; 0 001 or p &lt; 0 05)  The high-resolution image reconstructed by the SRCNN scheme was highly restored and comparable to the original reference image, in particular, for a ×2 magnification  These results indicate that the SRCNN scheme significantly outperforms the linear interpolation methods for enhancing image resolution in chest CT images  The results also suggest that SRCNN may become a potential solution for generating high-resolution CT images from standard CT images </t>
  </si>
  <si>
    <t xml:space="preserve">Department of Medical Physics and Engineering, Graduate School of Medicine, Osaka University, 1-7 Yamadaoka, Suita, 565-0871, Japan  kensuke </t>
  </si>
  <si>
    <t>Umehara, K; Ota, J; Ishida, T</t>
  </si>
  <si>
    <t>10 1097/IJG 0000000000000765</t>
  </si>
  <si>
    <t xml:space="preserve">Hybrid Deep Learning on Single Wide-field Optical Coherence tomography Scans Accurately Classifies Glaucoma Suspects </t>
  </si>
  <si>
    <t xml:space="preserve">Existing summary statistics based upon optical coherence tomographic (OCT) scans and/or visual fields (VFs) are suboptimal for distinguishing between healthy and glaucomatous eyes in the clinic  This study evaluates the extent to which a hybrid deep learning method (HDLM), combined with a single wide-field OCT protocol, can distinguish eyes previously classified as either healthy suspects or mild glaucoma In total, 102 eyes from 102 patients, with or suspected open-angle glaucoma, had previously been classified by 2 glaucoma experts as either glaucomatous (57 eyes) or healthy/suspects (45 eyes)  The HDLM had access only to information from a single, wide-field (9×12 mm) swept-source OCT scan per patient  Convolutional neural networks were used to extract rich features from maps derived from these scans  Random forest classifier was used to train a model based on these features to predict the existence of glaucomatous damage  The algorithm was compared against traditional OCT and VF metrics The accuracy of the HDLM ranged from 63 7% to 93 1% depending upon the input map  The retinal nerve fiber layer probability map had the best accuracy (93 1%), with 4 false positives, and 3 false negatives  In comparison, the accuracy of the OCT and 24-2 and 10-2 VF metrics ranged from 66 7% to 87 3%  The OCT quadrants analysis had the best accuracy (87 3%) of the metrics, with 4 false positives and 9 false negatives The HDLM protocol outperforms standard OCT and VF clinical metrics in distinguishing healthy suspect eyes from eyes with early glaucoma  It should be possible to further improve this algorithm and with improvement it might be useful for screening </t>
  </si>
  <si>
    <t xml:space="preserve">Department of Physiology, Biophysics, and Systems Biology, Weill Cornell Medicine </t>
  </si>
  <si>
    <t>Muhammad, H; Fuchs, TJ; De Cuir, N; De Moraes, CG; Blumberg, DM; Liebmann, JM; Ritch, R; Hood, DC</t>
  </si>
  <si>
    <t>10 1080/24699322 2017 1389405</t>
  </si>
  <si>
    <t xml:space="preserve">Melanoma segmentation based on deep learning </t>
  </si>
  <si>
    <t xml:space="preserve">Malignant melanoma is one of the most deadly forms of skin cancer, which is one of the world's fastest-growing cancers  Early diagnosis and treatment is critical  In this study, a neural network structure is utilized to construct a broad and accurate basis for the diagnosis of skin cancer, thereby reducing screening errors  The technique is able to improve the efficacy for identification of normally indistinguishable lesions (such as pigment spots) versus clinically unknown lesions, and to ultimately improve the diagnostic accuracy  In the field of medical imaging, in general, using neural networks for image segmentation is relatively rare  The existing traditional machine-learning neural network algorithms still cannot completely solve the problem of information loss, nor detect the precise division of the boundary area  We use an improved neural network framework, described herein, to achieve efficacious feature learning, and satisfactory segmentation of melanoma images  The architecture of the network includes multiple convolution layers, dropout layers, softmax layers, multiple filters, and activation functions  The number of data sets can be increased via rotation of the training set  A non-linear activation function (such as ReLU and ELU) is employed to alleviate the problem of gradient disappearance, and RMSprop/Adam are incorporated to optimize the loss algorithm  A batch normalization layer is added between the convolution layer and the activation layer to solve the problem of gradient disappearance and explosion  Experiments, described herein, show that our improved neural network architecture achieves higher accuracy for segmentation of melanoma images as compared with existing processes </t>
  </si>
  <si>
    <t>Computer assisted surgery (Abingdon, England)</t>
  </si>
  <si>
    <t xml:space="preserve">a College of Information Science and Technology , Donghua University , Shanghai , China </t>
  </si>
  <si>
    <t>Zhang, X</t>
  </si>
  <si>
    <t>101681550</t>
  </si>
  <si>
    <t>10 1007/s10278-017-0028-9</t>
  </si>
  <si>
    <t xml:space="preserve">Comparison of Shallow and Deep Learning Methods on Classifying the Regional Pattern of Diffuse Lung Disease </t>
  </si>
  <si>
    <t xml:space="preserve">This study aimed to compare shallow and deep learning of classifying the patterns of interstitial lung diseases (ILDs)  Using high-resolution computed tomography images, two experienced radiologists marked 1200 regions of interest (ROIs), in which 600 ROIs were each acquired using a GE or Siemens scanner and each group of 600 ROIs consisted of 100 ROIs for subregions that included normal and five regional pulmonary disease patterns (ground-glass opacity, consolidation, reticular opacity, emphysema, and honeycombing)  We employed the convolution neural network (CNN) with six learnable layers that consisted of four convolution layers and two fully connected layers  The classification results were compared with the results classified by a shallow learning of a support vector machine (SVM)  The CNN classifier showed significantly better performance for accuracy compared with that of the SVM classifier by 6-9%  As the convolution layer increases, the classification accuracy of the CNN showed better performance from 81 27 to 95 12%  Especially in the cases showing pathological ambiguity such as between normal and emphysema cases or between honeycombing and reticular opacity cases, the increment of the convolution layer greatly drops the misclassification rate between each case  Conclusively, the CNN classifier showed significantly greater accuracy than the SVM classifier, and the results implied structural characteristics that are inherent to the specific ILD patterns </t>
  </si>
  <si>
    <t xml:space="preserve">Biomedical Engineering Research Center, Asan Institute of Life Science, Asan Medical Center, 388-1 Pungnap2-dong, Songpa-gu, Seoul, Republic of Korea </t>
  </si>
  <si>
    <t>Kim, GB; Jung, KH; Lee, Y; Kim, HJ; Kim, N; Jun, S; Seo, JB; Lynch, DA</t>
  </si>
  <si>
    <t>10 1053/j gastro 2017 10 010</t>
  </si>
  <si>
    <t xml:space="preserve">Accurate Classification of Diminutive Colorectal Polyps Using Computer-Aided Analysis </t>
  </si>
  <si>
    <t xml:space="preserve">Narrow-band imaging is an image-enhanced form of endoscopy used to observed microstructures and capillaries of the mucosal epithelium which allows for real-time prediction of histologic features of colorectal polyps  However, narrow-band imaging expertise is required to differentiate hyperplastic from neoplastic polyps with high levels of accuracy  We developed and tested a system of computer-aided diagnosis with a deep neural network (DNN-CAD) to analyze narrow-band images of diminutive colorectal polyps We collected 1476 images of neoplastic polyps and 681 images of hyperplastic polyps, obtained from the picture archiving and communications system database in a tertiary hospital in Taiwan  Histologic findings from the polyps were also collected and used as the reference standard  The images and data were used to train the DNN  A test set of images (96 hyperplastic and 188 neoplastic polyps, smaller than 5 mm), obtained from patients who underwent colonoscopies from March 2017 through August 2017, was then used to test the diagnostic ability of the DNN-CAD vs endoscopists (2 expert and 4 novice), who were asked to classify the images of the test set as neoplastic or hyperplastic  Their classifications were compared with findings from histologic analysis  The primary outcome measures were diagnostic accuracy, sensitivity, specificity, positive predictive value (PPV), negative predictive value (NPV), and diagnostic time  The accuracy, sensitivity, specificity, PPV, NPV, and diagnostic time were compared among DNN-CAD, the novice endoscopists, and the expert endoscopists  The study was designed to detect a difference of 10% in accuracy by a 2-sided McNemar test In the test set, the DNN-CAD identified neoplastic or hyperplastic polyps with 96 3% sensitivity, 78 1% specificity, a PPV of 89 6%, and a NPV of 91 5%  Fewer than half of the novice endoscopists classified polyps with a NPV of 90% (their NPVs ranged from 73 9% to 84 0%)  DNN-CAD classified polyps as neoplastic or hyperplastic in 0 45 ± 0 07 seconds-shorter than the time required by experts (1 54 ± 1 30 seconds) and nonexperts (1 77 ± 1 37 seconds) (both P &lt;  001)  DNN-CAD classified polyps with perfect intra-observer agreement (kappa score of 1)  There was a low level of intra-observer and inter-observer agreement in classification among endoscopists We developed a system called DNN-CAD to identify neoplastic or hyperplastic colorectal polyps less than 5 mm  The system classified polyps with a PPV of 89 6%, and a NPV of 91 5%, and in a shorter time than endoscopists  This deep-learning model has potential for not only endoscopic image recognition but for other forms of medical image analysis, including sonography, computed tomography, and magnetic resonance images </t>
  </si>
  <si>
    <t>DNN,CNN,Inception</t>
  </si>
  <si>
    <t xml:space="preserve">Division of Gastroenterology, Tri-Service General Hospital, National Defense Medical Center, Taipei, Taiwan </t>
  </si>
  <si>
    <t>Chen, PJ; Lin, MC; Lai, MJ; Lin, JC; Lu, HH; Tseng, VS</t>
  </si>
  <si>
    <t>10 1109/TMI 2017 2760978</t>
  </si>
  <si>
    <t xml:space="preserve">A Deep Cascade of Convolutional Neural Networks for Dynamic MR Image Reconstruction </t>
  </si>
  <si>
    <t xml:space="preserve">Inspired by recent advances in deep learning, we propose a framework for reconstructing dynamic sequences of 2-D cardiac magnetic resonance (MR) images from undersampled data using a deep cascade of convolutional neural networks (CNNs) to accelerate the data acquisition process  In particular, we address the case where data are acquired using aggressive Cartesian undersampling  First, we show that when each 2-D image frame is reconstructed independently, the proposed method outperforms state-of-the-art 2-D compressed sensing approaches, such as dictionary learning-based MR image reconstruction, in terms of reconstruction error and reconstruction speed  Second, when reconstructing the frames of the sequences jointly, we demonstrate that CNNs can learn spatio-temporal correlations efficiently by combining convolution and data sharing approaches  We show that the proposed method consistently outperforms state-of-the-art methods and is capable of preserving anatomical structure more faithfully up to 11-fold undersampling  Moreover, reconstruction is very fast: each complete dynamic sequence can be reconstructed in less than 10 s and, for the 2-D case, each image frame can be reconstructed in 23 ms, enabling real-time applications </t>
  </si>
  <si>
    <t>J  Schlemper, J  Caballero, and D  Rueckert are with the Department of Computing, Imperial College London</t>
  </si>
  <si>
    <t>Schlemper, J; Caballero, J; Hajnal, JV; Price, AN; Rueckert, D</t>
  </si>
  <si>
    <t>10 1016/j nicl 2017 08 017</t>
  </si>
  <si>
    <t xml:space="preserve">Identification of autism spectrum disorder using deep learning and the ABIDE dataset </t>
  </si>
  <si>
    <t xml:space="preserve">The goal of the present study was to apply deep learning algorithms to identify autism spectrum disorder (ASD) patients from large brain imaging dataset, based solely on the patients brain activation patterns  We investigated ASD patients brain imaging data from a world-wide multi-site database known as ABIDE (Autism Brain Imaging Data Exchange)  ASD is a brain-based disorder characterized by social deficits and repetitive behaviors  According to recent Centers for Disease Control data, ASD affects one in 68 children in the United States  We investigated patterns of functional connectivity that objectively identify ASD participants from functional brain imaging data, and attempted to unveil the neural patterns that emerged from the classification  The results improved the state-of-the-art by achieving 70% accuracy in identification of ASD versus control patients in the dataset  The patterns that emerged from the classification show an anticorrelation of brain function between anterior and posterior areas of the brain; the anticorrelation corroborates current empirical evidence of anterior-posterior disruption in brain connectivity in ASD  We present the results and identify the areas of the brain that contributed most to differentiating ASD from typically developing controls as per our deep learning model </t>
  </si>
  <si>
    <t>DBM</t>
    <phoneticPr fontId="0" type="noConversion"/>
  </si>
  <si>
    <t xml:space="preserve">PUCRS, School of Computer Science, Porto Alegre 90619, Rio Grande do Sul, Brazil </t>
  </si>
  <si>
    <t>Heinsfeld, AS; Franco, AR; Craddock, RC; Buchweitz, A; Meneguzzi, F</t>
  </si>
  <si>
    <t>10 1002/mp 12344</t>
  </si>
  <si>
    <t xml:space="preserve">A deep convolutional neural network using directional wavelets for low-dose X-ray CT reconstruction </t>
  </si>
  <si>
    <t xml:space="preserve">Due to the potential risk of inducing cancer, radiation exposure by X-ray CT devices should be reduced for routine patient scanning  However, in low-dose X-ray CT, severe artifacts typically occur due to photon starvation, beam hardening, and other causes, all of which decrease the reliability of the diagnosis  Thus, a high-quality reconstruction method from low-dose X-ray CT data has become a major research topic in the CT community  Conventional model-based de-noising approaches are, however, computationally very expensive, and image-domain de-noising approaches cannot readily remove CT-specific noise patterns  To tackle these problems, we want to develop a new low-dose X-ray CT algorithm based on a deep-learning approach We propose an algorithm which uses a deep convolutional neural network (CNN) which is applied to the wavelet transform coefficients of low-dose CT images  More specifically, using a directional wavelet transform to extract the directional component of artifacts and exploit the intra- and inter- band correlations, our deep network can effectively suppress CT-specific noise  In addition, our CNN is designed with a residual learning architecture for faster network training and better performance Experimental results confirm that the proposed algorithm effectively removes complex noise patterns from CT images derived from a reduced X-ray dose  In addition, we show that the wavelet-domain CNN is efficient when used to remove noise from low-dose CT compared to existing approaches  Our results were rigorously evaluated by several radiologists at the Mayo Clinic and won second place at the 2016 "Low-Dose CT Grand Challenge "To the best of our knowledge, this work is the first deep-learning architecture for low-dose CT reconstruction which has been rigorously evaluated and proven to be effective  In addition, the proposed algorithm, in contrast to existing model-based iterative reconstruction (MBIR) methods, has considerable potential to benefit from large data sets  Therefore, we believe that the proposed algorithm opens a new direction in the area of low-dose CT research </t>
  </si>
  <si>
    <t xml:space="preserve">Bio Imaging and Signal Processing Lab , Dept  of Bio and Brain Engineering, KAIST, Daejeon, Korea </t>
  </si>
  <si>
    <t>Kang, E; Min, J; Ye, JC</t>
  </si>
  <si>
    <t>10 1088/1361-6560/aa9262</t>
  </si>
  <si>
    <t xml:space="preserve">Combining deep learning with anatomical analysis for segmentation of the portal vein for liver SBRT planning </t>
  </si>
  <si>
    <t xml:space="preserve">Automated segmentation of the portal vein (PV) for liver radiotherapy planning is a challenging task due to potentially low vasculature contrast, complex PV anatomy and image artifacts originated from fiducial markers and vasculature stents  In this paper, we propose a novel framework for automated segmentation of the PV from computed tomography (CT) images  We apply convolutional neural networks (CNNs) to learn the consistent appearance patterns of the PV using a training set of CT images with reference annotations and then enhance the PV in previously unseen CT images  Markov random fields (MRFs) were further used to smooth the results of the enhancement of the CNN enhancement and remove isolated mis-segmented regions  Finally, CNN-MRF-based enhancement was augmented with PV centerline detection that relied on PV anatomical properties such as tubularity and branch composition  The framework was validated on a clinical database with 72 CT images of patients scheduled for liver stereotactic body radiation therapy  The obtained accuracy of the segmentation was [Formula: see text] 0 83 and [Formula: see text] 1 08 mm in terms of the median Dice coefficient and mean symmetric surface distance, respectively, when segmentation is encompassed into the PV region of interest  The obtained results indicate that CNNs and anatomical analysis can be used for the accurate segmentation of the PV and potentially integrated into liver radiation therapy planning </t>
  </si>
  <si>
    <t xml:space="preserve">Department of Radiation Oncology, Stanford University School of Medicine, 875 Blake Wilbur Drive, Palo Alto, CA 94305, United States of America </t>
  </si>
  <si>
    <t>Ibragimov, B; Toesca, D; Chang, D; Koong, A; Xing, L</t>
  </si>
  <si>
    <t>10 1371/journal pone 0185844</t>
  </si>
  <si>
    <t xml:space="preserve">A deep convolutional neural network-based automatic delineation strategy for multiple brain metastases stereotactic radiosurgery </t>
  </si>
  <si>
    <t xml:space="preserve">Accurate and automatic brain metastases target delineation is a key step for efficient and effective stereotactic radiosurgery (SRS) treatment planning  In this work, we developed a deep learning convolutional neural network (CNN) algorithm for segmenting brain metastases on contrast-enhanced T1-weighted magnetic resonance imaging (MRI) datasets  We integrated the CNN-based algorithm into an automatic brain metastases segmentation workflow and validated on both Multimodal Brain Tumor Image Segmentation challenge (BRATS) data and clinical patients' data  Validation on BRATS data yielded average DICE coefficients (DCs) of 0 75±0 07 in the tumor core and 0 81±0 04 in the enhancing tumor, which outperformed most techniques in the 2015 BRATS challenge  Segmentation results of patient cases showed an average of DCs 0 67±0 03 and achieved an area under the receiver operating characteristic curve of 0 98±0 01  The developed automatic segmentation strategy surpasses current benchmark levels and offers a promising tool for SRS treatment planning for multiple brain metastases </t>
  </si>
  <si>
    <t xml:space="preserve">School of Electrical Engineering and Information, Sichuan University, Chengdu, Sichuan, China </t>
  </si>
  <si>
    <t>Liu, Y; Stojadinovic, S; Hrycushko, B; Wardak, Z; Lau, S; Lu, W; Yan, Y; Jiang, SB; Zhen, X; Timmerman, R; Nedzi, L; Gu, X</t>
  </si>
  <si>
    <t>10 1007/s10278-017-0025-z</t>
  </si>
  <si>
    <t xml:space="preserve">A Deep-Learning System for Fully-Automated Peripherally Inserted Central Catheter (PICC) Tip Detection </t>
  </si>
  <si>
    <t xml:space="preserve">A peripherally inserted central catheter (PICC) is a thin catheter that is inserted via arm veins and threaded near the heart, providing intravenous access  The final catheter tip position is always confirmed on a chest radiograph (CXR) immediately after insertion since malpositioned PICCs can cause potentially life-threatening complications  Although radiologists interpret PICC tip location with high accuracy, delays in interpretation can be significant  In this study, we proposed a fully-automated, deep-learning system with a cascading segmentation AI system containing two fully convolutional neural networks for detecting a PICC line and its tip location  A preprocessing module performed image quality and dimension normalization, and a post-processing module found the PICC tip accurately by pruning false positives  Our best model, trained on 400 training cases and selectively tuned on 50 validation cases, obtained absolute distances from ground truth with a mean of 3 10 mm, a standard deviation of 2 03 mm, and a root mean squares error (RMSE) of 3 71 mm on 150 held-out test cases  This system could help speed confirmation of PICC position and further be generalized to include other types of vascular access and therapeutic support devices </t>
  </si>
  <si>
    <t xml:space="preserve">Department of Radiology, Massachusetts General Hospital, 25 New Chardon Street, Suite 400B, Boston, MA, 02114, USA </t>
  </si>
  <si>
    <t>Lee, H; Mansouri, M; Tajmir, S; Lev, MH; Do, S</t>
  </si>
  <si>
    <t>10 1016/j nicl 2017 09 010</t>
  </si>
  <si>
    <t xml:space="preserve">Refining diagnosis of Parkinson's disease with deep learning-based interpretation of dopamine transporter imaging </t>
  </si>
  <si>
    <t xml:space="preserve">Dopaminergic degeneration is a pathologic hallmark of Parkinson's disease (PD), which can be assessed by dopamine transporter imaging such as FP-CIT SPECT  Until now, imaging has been routinely interpreted by human though it can show interobserver variability and result in inconsistent diagnosis  In this study, we developed a deep learning-based FP-CIT SPECT interpretation system to refine the imaging diagnosis of Parkinson's disease  This system trained by SPECT images of PD patients and normal controls shows high classification accuracy comparable with the experts' evaluation referring quantification results  Its high accuracy was validated in an independent cohort composed of patients with PD and nonparkinsonian tremor  In addition, we showed that some patients clinically diagnosed as PD who have scans without evidence of dopaminergic deficit (SWEDD), an atypical subgroup of PD, could be reclassified by our automated system  Our results suggested that the deep learning-based model could accurately interpret FP-CIT SPECT and overcome variability of human evaluation  It could help imaging diagnosis of patients with uncertain Parkinsonism and provide objective patient group classification, particularly for SWEDD, in further clinical studies </t>
  </si>
  <si>
    <t>Choi, H; Ha, S; Im, HJ; Paek, SH; Lee, DS</t>
  </si>
  <si>
    <t>10 1016/j jaad 2017 08 016</t>
  </si>
  <si>
    <t xml:space="preserve">Results of the 2016 International Skin Imaging Collaboration International Symposium on Biomedical Imaging challenge: Comparison of the accuracy of computer algorithms to dermatologists for the diagnosis of melanoma from dermoscopic images </t>
  </si>
  <si>
    <t xml:space="preserve">Computer vision may aid in melanoma detection We sought to compare melanoma diagnostic accuracy of computer algorithms to dermatologists using dermoscopic images We conducted a cross-sectional study using 100 randomly selected dermoscopic images (50 melanomas, 44 nevi, and 6 lentigines) from an international computer vision melanoma challenge dataset (n = 379), along with individual algorithm results from 25 teams  We used 5 methods (nonlearned and machine learning) to combine individual automated predictions into "fusion" algorithms  In a companion study, 8 dermatologists classified the lesions in the 100 images as either benign or malignant The average sensitivity and specificity of dermatologists in classification was 82% and 59%  At 82% sensitivity, dermatologist specificity was similar to the top challenge algorithm (59% vs  62%, P =  68) but lower than the best-performing fusion algorithm (59% vs  76%, P =  02)  Receiver operating characteristic area of the top fusion algorithm was greater than the mean receiver operating characteristic area of dermatologists (0 86 vs  0 71, P =  001) The dataset lacked the full spectrum of skin lesions encountered in clinical practice, particularly banal lesions  Readers and algorithms were not provided clinical data (eg, age or lesion history/symptoms)  Results obtained using our study design cannot be extrapolated to clinical practice Deep learning computer vision systems classified melanoma dermoscopy images with accuracy that exceeded some but not all dermatologists </t>
  </si>
  <si>
    <t>Journal of the American Academy of Dermatology</t>
  </si>
  <si>
    <t xml:space="preserve">Dermatology Service, Department of Medicine, Memorial Sloan Kettering Cancer Center, New York, New York </t>
  </si>
  <si>
    <t xml:space="preserve">Marchetti, MA; Codella, NCF; Dusza, SW; Gutman, DA; Helba, B; Kalloo, A; Mishra, N; Carrera, C; Celebi, ME; DeFazio, JL; Jaimes, N; Marghoob, AA; Quigley, E; Scope, A; Yélamos, O; Halpern, AC; , </t>
  </si>
  <si>
    <t>7907132</t>
  </si>
  <si>
    <t>10 1002/mp 12602</t>
  </si>
  <si>
    <t xml:space="preserve">Automatic segmentation of the clinical target volume and organs at risk in the planning CT for rectal cancer using deep dilated convolutional neural networks </t>
  </si>
  <si>
    <t xml:space="preserve">Delineation of the clinical target volume (CTV) and organs at risk (OARs) is very important for radiotherapy but is time-consuming and prone to inter-observer variation  Here, we proposed a novel deep dilated convolutional neural network (DDCNN)-based method for fast and consistent auto-segmentation of these structures Our DDCNN method was an end-to-end architecture enabling fast training and testing  Specifically, it employed a novel multiple-scale convolutional architecture to extract multiple-scale context features in the early layers, which contain the original information on fine texture and boundaries and which are very useful for accurate auto-segmentation  In addition, it enlarged the receptive fields of dilated convolutions at the end of networks to capture complementary context features  Then, it replaced the fully connected layers with fully convolutional layers to achieve pixel-wise segmentation  We used data from 278 patients with rectal cancer for evaluation  The CTV and OARs were delineated and validated by senior radiation oncologists in the planning computed tomography (CT) images  A total of 218 patients chosen randomly were used for training, and the remaining 60 for validation  The Dice similarity coefficient (DSC) was used to measure segmentation accuracy Performance was evaluated on segmentation of the CTV and OARs  In addition, the performance of DDCNN was compared with that of U-Net  The proposed DDCNN method outperformed the U-Net for all segmentations, and the average DSC value of DDCNN was 3 8% higher than that of U-Net  Mean DSC values of DDCNN were 87 7% for the CTV, 93 4% for the bladder, 92 1% for the left femoral head, 92 3% for the right femoral head, 65 3% for the intestine, and 61 8% for the colon  The test time was 45 s per patient for segmentation of all the CTV, bladder, left and right femoral heads, colon, and intestine  We also assessed our approaches and results with those in the literature: our system showed superior performance and faster speed These data suggest that DDCNN can be used to segment the CTV and OARs accurately and efficiently  It was invariant to the body size, body shape, and age of the patients  DDCNN could improve the consistency of contouring and streamline radiotherapy workflows </t>
  </si>
  <si>
    <t>Men, K; Dai, J; Li, Y</t>
  </si>
  <si>
    <t>10 1016/j ultrasmedbio 2017 07 013</t>
  </si>
  <si>
    <t xml:space="preserve">A Deep Learning Solution for Automatic Fetal Neurosonographic Diagnostic Plane Verification Using Clinical Standard Constraints </t>
  </si>
  <si>
    <t xml:space="preserve">During routine ultrasound assessment of the fetal brain for biometry estimation and detection of fetal abnormalities, accurate imaging planes must be found by sonologists following a well-defined imaging protocol or clinical standard, which can be difficult for non-experts to do well  This assessment helps provide accurate biometry estimation and the detection of possible brain abnormalities  We describe a machine-learning method to assess automatically that transventricular ultrasound images of the fetal brain have been correctly acquired and meet the required clinical standard  We propose a deep learning solution, which breaks the problem down into three stages: (i) accurate localization of the fetal brain, (ii) detection of regions that contain structures of interest and (iii) learning the acoustic patterns in the regions that enable plane verification  We evaluate the developed methodology on a large real-world clinical data set of 2-D mid-gestation fetal images  We show that the automatic verification method approaches human expert assessment </t>
  </si>
  <si>
    <t xml:space="preserve">Institute of Biomedical Engineering, Department of Engineering Science, University of Oxford, Oxford, UK </t>
  </si>
  <si>
    <t>Yaqub, M; Kelly, B; Papageorghiou, AT; Noble, JA</t>
  </si>
  <si>
    <t>10 1016/j actbio 2017 09 025</t>
  </si>
  <si>
    <t xml:space="preserve">A deep learning approach to estimate chemically-treated collagenous tissue nonlinear anisotropic stress-strain responses from microscopy images </t>
  </si>
  <si>
    <t xml:space="preserve">Biological collagenous tissues comprised of networks of collagen fibers are suitable for a broad spectrum of medical applications owing to their attractive mechanical properties  In this study, we developed a noninvasive approach to estimate collagenous tissue elastic properties directly from microscopy images using Machine Learning (ML) techniques  Glutaraldehyde-treated bovine pericardium (GLBP) tissue, widely used in the fabrication of bioprosthetic heart valves and vascular patches, was chosen to develop a representative application  A Deep Learning model was designed and trained to process second harmonic generation (SHG) images of collagen networks in GLBP tissue samples, and directly predict the tissue elastic mechanical properties  The trained model is capable of identifying the overall tissue stiffness with a classification accuracy of 84%, and predicting the nonlinear anisotropic stress-strain curves with average regression errors of 0 021 and 0 031  Thus, this study demonstrates the feasibility and great potential of using the Deep Learning approach for fast and noninvasive assessment of collagenous tissue elastic properties from microstructural images In this study, we developed, to our best knowledge, the first Deep Learning-based approach to estimate the elastic properties of collagenous tissues directly from noninvasive second harmonic generation images  The success of this study holds promise for the use of Machine Learning techniques to noninvasively and efficiently estimate the mechanical properties of many structure-based biological materials, and it also enables many potential applications such as serving as a quality control tool to select tissue for the manufacturing of medical devices (e g  bioprosthetic heart valves) </t>
  </si>
  <si>
    <t>Acta biomaterialia</t>
  </si>
  <si>
    <t xml:space="preserve">Tissue Mechanics Laboratory, The Wallace H  Coulter Department of Biomedical Engineering, Georgia Institute of Technology and Emory University, Atlanta, GA, United States </t>
  </si>
  <si>
    <t>Liang, L; Liu, M; Sun, W</t>
  </si>
  <si>
    <t>101233144</t>
  </si>
  <si>
    <t>10 1080/24699322 2017 1378777</t>
  </si>
  <si>
    <t xml:space="preserve">Tracking-by-detection of surgical instruments in minimally invasive surgery via the convolutional neural network deep learning-based method </t>
  </si>
  <si>
    <t xml:space="preserve">Worldwide propagation of minimally invasive surgeries (MIS) is hindered by their drawback of indirect observation and manipulation, while monitoring of surgical instruments moving in the operated body required by surgeons is a challenging problem  Tracking of surgical instruments by vision-based methods is quite lucrative, due to its flexible implementation via software-based control with no need to modify instruments or surgical workflow A MIS instrument is conventionally split into a shaft and end-effector portions, while a 2D/3D tracking-by-detection framework is proposed, which performs the shaft tracking followed by the end-effector one  The former portion is described by line features via the RANSAC scheme, while the latter is depicted by special image features based on deep learning through a well-trained convolutional neural network The method verification in 2D and 3D formulation is performed through the experiments on ex-vivo video sequences, while qualitative validation on in-vivo video sequences is obtained The proposed method provides robust and accurate tracking, which is confirmed by the experimental results: its 3D performance in ex-vivo video sequences exceeds those of the available state-of -the-art methods  Moreover, the experiments on in-vivo sequences demonstrate that the proposed method can tackle the difficult condition of tracking with unknown camera parameters  Further refinements of the method will refer to the occlusion and multi-instrumental MIS applications </t>
  </si>
  <si>
    <t xml:space="preserve">a School of Control Science and Engineering , Shandong University , Jinan , China </t>
  </si>
  <si>
    <t>Zhao, Z; Voros, S; Weng, Y; Chang, F; Li, R</t>
  </si>
  <si>
    <t>10 1371/journal pone 0184667</t>
  </si>
  <si>
    <t xml:space="preserve">Deep reconstruction model for dynamic PET images </t>
  </si>
  <si>
    <t xml:space="preserve">Accurate and robust tomographic reconstruction from dynamic positron emission tomography (PET) acquired data is a difficult problem  Conventional methods, such as the maximum likelihood expectation maximization (MLEM) algorithm for reconstructing the activity distribution-based on individual frames, may lead to inaccurate results due to the checkerboard effect and limitation of photon counts  In this paper, we propose a stacked sparse auto-encoder based reconstruction framework for dynamic PET imaging  The dynamic reconstruction problem is formulated in a deep learning representation, where the encoding layers extract the prototype features, such as edges, so that, in the decoding layers, the reconstructed results are obtained through a combination of those features  The qualitative and quantitative results of the procedure, including the data based on a Monte Carlo simulation and real patient data demonstrates the effectiveness of our method </t>
  </si>
  <si>
    <t>RBM</t>
  </si>
  <si>
    <t xml:space="preserve">State Key Laboratory of Modern Optical Instrumentation, Department of Optical Engineering, Zhejiang University, Hangzhou, China </t>
  </si>
  <si>
    <t>Cui, J; Liu, X; Wang, Y; Liu, H</t>
  </si>
  <si>
    <t>10 1007/s10278-017-0022-2</t>
  </si>
  <si>
    <t xml:space="preserve">Understanding Clinical Mammographic Breast Density Assessment: a Deep Learning Perspective </t>
  </si>
  <si>
    <t xml:space="preserve">Mammographic breast density has been established as an independent risk marker for developing breast cancer  Breast density assessment is a routine clinical need in breast cancer screening and current standard is using the Breast Imaging and Reporting Data System (BI-RADS) criteria including four qualitative categories (i e , fatty, scattered density, heterogeneously dense, or extremely dense)  In each mammogram examination, a breast is typically imaged with two different views, i e , the mediolateral oblique (MLO) view and cranial caudal (CC) view  The BI-RADS-based breast density assessment is a qualitative process made by visual observation of both the MLO and CC views by radiologists, where there is a notable inter- and intra-reader variability  In order to maintain consistency and accuracy in BI-RADS-based breast density assessment, gaining understanding on radiologists' reading behaviors will be educational  In this study, we proposed to leverage the newly emerged deep learning approach to investigate how the MLO and CC view images of a mammogram examination may have been clinically used by radiologists in coming up with a BI-RADS density category  We implemented a convolutional neural network (CNN)-based deep learning model, aimed at distinguishing the breast density categories using a large (15,415 images) set of real-world clinical mammogram images  Our results showed that the classification of density categories (in terms of area under the receiver operating characteristic curve) using MLO view images is significantly higher than that using the CC view  This indicates that most likely it is the MLO view that the radiologists have predominately used to determine the breast density BI-RADS categories  Our study holds a potential to further interpret radiologists' reading characteristics, enhance personalized clinical training to radiologists, and ultimately reduce reader variations in breast density assessment </t>
  </si>
  <si>
    <t xml:space="preserve">Department of Radiology, University of Pittsburgh, 4200 Fifth Ave, Pittsburgh, PA, 15260, USA </t>
  </si>
  <si>
    <t>Mohamed, AA; Luo, Y; Peng, H; Jankowitz, RC; Wu, S</t>
  </si>
  <si>
    <t>10 1038/s41598-017-12320-8</t>
  </si>
  <si>
    <t xml:space="preserve">Automatic Classification of Cancerous Tissue in Laserendomicroscopy Images of the Oral Cavity using Deep Learning </t>
  </si>
  <si>
    <t xml:space="preserve">Oral Squamous Cell Carcinoma (OSCC) is a common type of cancer of the oral epithelium  Despite their high impact on mortality, sufficient screening methods for early diagnosis of OSCC often lack accuracy and thus OSCCs are mostly diagnosed at a late stage  Early detection and accurate outline estimation of OSCCs would lead to a better curative outcome and a reduction in recurrence rates after surgical treatment  Confocal Laser Endomicroscopy (CLE) records sub-surface micro-anatomical images for in vivo cell structure analysis  Recent CLE studies showed great prospects for a reliable, real-time ultrastructural imaging of OSCC in situ  We present and evaluate a novel automatic approach for OSCC diagnosis using deep learning technologies on CLE images  The method is compared against textural feature-based machine learning approaches that represent the current state of the art  For this work, CLE image sequences (7894 images) from patients diagnosed with OSCC were obtained from 4 specific locations in the oral cavity, including the OSCC lesion  The present approach is found to outperform the state of the art in CLE image recognition with an area under the curve (AUC) of 0 96 and a mean accuracy of 88 3% (sensitivity 86 6%, specificity 90%) </t>
  </si>
  <si>
    <t xml:space="preserve">Pattern Recognition Lab, Computer Science, Friedrich-Alexander-Universität Erlangen-Nürnberg, Erlangen, Germany </t>
  </si>
  <si>
    <t>Aubreville, M; Knipfer, C; Oetter, N; Jaremenko, C; Rodner, E; Denzler, J; Bohr, C; Neumann, H; Stelzle, F; Maier, A</t>
  </si>
  <si>
    <t>10 1091/mbc E17-06-0368</t>
  </si>
  <si>
    <t xml:space="preserve">Local cellular neighborhood controls proliferation in cell competition </t>
  </si>
  <si>
    <t xml:space="preserve">Cell competition is a quality-control mechanism through which tissues eliminate unfit cells  Cell competition can result from short-range biochemical inductions or long-range mechanical cues  However, little is known about how cell-scale interactions give rise to population shifts in tissues, due to the lack of experimental and computational tools to efficiently characterize interactions at the single-cell level  Here, we address these challenges by combining long-term automated microscopy with deep-learning image analysis to decipher how single-cell behavior determines tissue makeup during competition  Using our high-throughput analysis pipeline, we show that competitive interactions between MDCK wild-type cells and cells depleted of the polarity protein scribble are governed by differential sensitivity to local density and the cell type of each cell's neighbors  We find that local density has a dramatic effect on the rate of division and apoptosis under competitive conditions  Strikingly, our analysis reveals that proliferation of the winner cells is up-regulated in neighborhoods mostly populated by loser cells  These data suggest that tissue-scale population shifts are strongly affected by cellular-scale tissue organization  We present a quantitative mathematical model that demonstrates the effect of neighbor cell-type dependence of apoptosis and division in determining the fitness of competing cell lines </t>
  </si>
  <si>
    <t>Molecular biology of the cell</t>
  </si>
  <si>
    <t xml:space="preserve">London Centre for Nanotechnology, University College London, London WC1H 0AH, United Kingdom </t>
  </si>
  <si>
    <t>Bove, A; Gradeci, D; Fujita, Y; Banerjee, S; Charras, G; Lowe, AR</t>
  </si>
  <si>
    <t>9201390</t>
  </si>
  <si>
    <t>10 1148/radiol 2017170700</t>
  </si>
  <si>
    <t xml:space="preserve">Deep Learning MR Imaging-based Attenuation Correction for PET/MR Imaging </t>
  </si>
  <si>
    <t xml:space="preserve">Purpose To develop and evaluate the feasibility of deep learning approaches for magnetic resonance (MR) imaging-based attenuation correction (AC) (termed deep MRAC) in brain positron emission tomography (PET)/MR imaging  Materials and Methods A PET/MR imaging AC pipeline was built by using a deep learning approach to generate pseudo computed tomographic (CT) scans from MR images  A deep convolutional auto-encoder network was trained to identify air, bone, and soft tissue in volumetric head MR images coregistered to CT data for training  A set of 30 retrospective three-dimensional T1-weighted head images was used to train the model, which was then evaluated in 10 patients by comparing the generated pseudo CT scan to an acquired CT scan  A prospective study was carried out for utilizing simultaneous PET/MR imaging for five subjects by using the proposed approach  Analysis of covariance and paired-sample t tests were used for statistical analysis to compare PET reconstruction error with deep MRAC and two existing MR imaging-based AC approaches with CT-based AC  Results Deep MRAC provides an accurate pseudo CT scan with a mean Dice coefficient of 0 971 ± 0 005 for air, 0 936 ± 0 011 for soft tissue, and 0 803 ± 0 021 for bone  Furthermore, deep MRAC provides good PET results, with average errors of less than 1% in most brain regions  Significantly lower PET reconstruction errors were realized with deep MRAC (-0 7% ± 1 1) compared with Dixon-based soft-tissue and air segmentation (-5 8% ± 3 1) and anatomic CT-based template registration (-4 8% ± 2 2)  Conclusion The authors developed an automated approach that allows generation of discrete-valued pseudo CT scans (soft tissue, bone, and air) from a single high-spatial-resolution diagnostic-quality three-dimensional MR image and evaluated it in brain PET/MR imaging  This deep learning approach for MR imaging-based AC provided reduced PET reconstruction error relative to a CT-based standard within the brain compared with current MR imaging-based AC approaches  © RSNA, 2017 Online supplemental material is available for this article </t>
  </si>
  <si>
    <t>CONVOLUTIONAL AUTOENCODER,VGG</t>
  </si>
  <si>
    <t>From the Department of Radiology, University of Wisconsin School of Medicine and Public Health, 600 Highland Ave, Madison</t>
    <phoneticPr fontId="0" type="noConversion"/>
  </si>
  <si>
    <t>Liu, F; Jang, H; Kijowski, R; Bradshaw, T; McMillan, AB</t>
  </si>
  <si>
    <t>10 1007/s10278-017-0021-3</t>
  </si>
  <si>
    <t xml:space="preserve">Automatic Determination of the Need for Intravenous Contrast in Musculoskeletal MRI Examinations Using IBM Watson's Natural Language Processing Algorithm </t>
  </si>
  <si>
    <t xml:space="preserve">Magnetic resonance imaging (MRI) protocoling can be time- and resource-intensive, and protocols can often be suboptimal dependent upon the expertise or preferences of the protocoling radiologist  Providing a best-practice recommendation for an MRI protocol has the potential to improve efficiency and decrease the likelihood of a suboptimal or erroneous study  The goal of this study was to develop and validate a machine learning-based natural language classifier that can automatically assign the use of intravenous contrast for musculoskeletal MRI protocols based upon the free-text clinical indication of the study, thereby improving efficiency of the protocoling radiologist and potentially decreasing errors  We utilized a deep learning-based natural language classification system from IBM Watson, a question-answering supercomputer that gained fame after challenging the best human players on Jeopardy! in 2011  We compared this solution to a series of traditional machine learning-based natural language processing techniques that utilize a term-document frequency matrix  Each classifier was trained with 1240 MRI protocols plus their respective clinical indications and validated with a test set of 280  Ground truth of contrast assignment was obtained from the clinical record  For evaluation of inter-reader agreement, a blinded second reader radiologist analyzed all cases and determined contrast assignment based on only the free-text clinical indication  In the test set, Watson demonstrated overall accuracy of 83 2% when compared to the original protocol  This was similar to the overall accuracy of 80 2% achieved by an ensemble of eight traditional machine learning algorithms based on a term-document matrix  When compared to the second reader's contrast assignment, Watson achieved 88 6% agreement  When evaluating only the subset of cases where the original protocol and second reader were concordant (n = 251), agreement climbed further to 90 0%  The classifier was relatively robust to spelling and grammatical errors, which were frequent  Implementation of this automated MR contrast determination system as a clinical decision support tool may save considerable time and effort of the radiologist while potentially decreasing error rates, and require no change in order entry or workflow </t>
  </si>
  <si>
    <t>NLP</t>
  </si>
  <si>
    <t xml:space="preserve">Radiology &amp; Biomedical Imaging, UCSF Medical Center, 505 Parnassus Ave, San Francisco, CA, 94158, USA </t>
  </si>
  <si>
    <t>Trivedi, H; Mesterhazy, J; Laguna, B; Vu, T; Sohn, JH</t>
  </si>
  <si>
    <t>10 1109/TMI 2017 2751523</t>
  </si>
  <si>
    <t xml:space="preserve">Automated Analysis of Unregistered Multi-View Mammograms With Deep Learning </t>
  </si>
  <si>
    <t xml:space="preserve">We describe an automated methodology for the analysis of unregistered cranio-caudal (CC) and medio-lateral oblique (MLO) mammography views in order to estimate the patient's risk of developing breast cancer  The main innovation behind this methodology lies in the use of deep learning models for the problem of jointly classifying unregistered mammogram views and respective segmentation maps of breast lesions (i e , masses and micro-calcifications)  This is a holistic methodology that can classify a whole mammographic exam, containing the CC and MLO views and the segmentation maps, as opposed to the classification of individual lesions, which is the dominant approach in the field  We also demonstrate that the proposed system is capable of using the segmentation maps generated by automated mass and micro-calcification detection systems, and still producing accurate results  The semi-automated approach (using manually defined mass and micro-calcification segmentation maps) is tested on two publicly available data sets (INbreast and DDSM), and results show that the volume under ROC surface (VUS) for a 3-class problem (normal tissue, benign, and malignant) is over 0 9, the area under ROC curve (AUC) for the 2-class "benign versus malignant" problem is over 0 9, and for the 2-class breast screening problem (malignancy versus normal/benign) is also over 0 9  For the fully automated approach, the VUS results on INbreast is over 0 7, and the AUC for the 2-class "benign versus malignant" problem is over 0 78, and the AUC for the 2-class breast screening is 0 86 </t>
  </si>
  <si>
    <t>G  Carneiro is with the Australian Centre for Visual Technologies,
University of Adelaide, Adelaide, SA 5005, Australia</t>
  </si>
  <si>
    <t>Carneiro, G; Nascimento, J; Bradley, AP</t>
  </si>
  <si>
    <t>10 2214/AJR 17 18224</t>
  </si>
  <si>
    <t xml:space="preserve">Computerized Bone Age Estimation Using Deep Learning Based Program: Evaluation of the Accuracy and Efficiency </t>
  </si>
  <si>
    <t xml:space="preserve">The purpose of this study is to evaluate the accuracy and efficiency of a new automatic software system for bone age assessment and to validate its feasibility in clinical practice A Greulich-Pyle method-based deep-learning technique was used to develop the automatic software system for bone age determination  Using this software, bone age was estimated from left-hand radiographs of 200 patients (3-17 years old) using first-rank bone age (software only), computer-assisted bone age (two radiologists with software assistance), and Greulich-Pyle atlas-assisted bone age (two radiologists with Greulich-Pyle atlas assistance only)  The reference bone age was determined by the consensus of two experienced radiologists First-rank bone ages determined by the automatic software system showed a 69 5% concordance rate and significant correlations with the reference bone age (r = 0 992; p &lt; 0 001)  Concordance rates increased with the use of the automatic software system for both reviewer 1 (63 0% for Greulich-Pyle atlas-assisted bone age vs 72 5% for computer-assisted bone age) and reviewer 2 (49 5% for Greulich-Pyle atlas-assisted bone age vs 57 5% for computer-assisted bone age)  Reading times were reduced by 18 0% and 40 0% for reviewers 1 and 2, respectively Automatic software system showed reliably accurate bone age estimations and appeared to enhance efficiency by reducing reading times without compromising the diagnostic accuracy </t>
  </si>
  <si>
    <t>CNN,Greulich,Pyle</t>
  </si>
  <si>
    <t xml:space="preserve">1 Department of Radiology and Research Institute of Radiology, Asan Medical Center, University of Ulsan College of Medicine, 88 Olympic-ro 43-gil, Songpa-gu, Seoul 05505, South Korea </t>
  </si>
  <si>
    <t>Kim, JR; Shim, WH; Yoon, HM; Hong, SH; Lee, JS; Cho, YA; Kim, S</t>
  </si>
  <si>
    <t>10 1164/rccm 201705-0860OC</t>
  </si>
  <si>
    <t xml:space="preserve">Disease Staging and Prognosis in Smokers Using Deep Learning in Chest Computed Tomography </t>
  </si>
  <si>
    <t xml:space="preserve">Deep learning is a powerful tool that may allow for improved outcome prediction To determine if deep learning, specifically convolutional neural network (CNN) analysis, could detect and stage chronic obstructive pulmonary disease (COPD) and predict acute respiratory disease (ARD) events and mortality in smokers A CNN was trained using computed tomography scans from 7,983 COPDGene participants and evaluated using 1,000 nonoverlapping COPDGene participants and 1,672 ECLIPSE participants  Logistic regression (C statistic and the Hosmer-Lemeshow test) was used to assess COPD diagnosis and ARD prediction  Cox regression (C index and the Greenwood-Nam-D'Agnostino test) was used to assess mortality In COPDGene, the C statistic for the detection of COPD was 0 856  A total of 51 1% of participants in COPDGene were accurately staged and 74 95% were within one stage  In ECLIPSE, 29 4% were accurately staged and 74 6% were within one stage  In COPDGene and ECLIPSE, the C statistics for ARD events were 0 64 and 0 55, respectively, and the Hosmer-Lemeshow P values were 0 502 and 0 380, respectively, suggesting no evidence of poor calibration  In COPDGene and ECLIPSE, CNN predicted mortality with fair discrimination (C indices, 0 72 and 0 60, respectively), and without evidence of poor calibration (Greenwood-Nam-D'Agnostino P values, 0 307 and 0 331, respectively) A deep-learning approach that uses only computed tomography imaging data can identify those smokers who have COPD and predict who are most likely to have ARD events and those with the highest mortality  At a population level CNN analysis may be a powerful tool for risk assessment </t>
  </si>
  <si>
    <t>American journal of respiratory and critical care medicine</t>
  </si>
  <si>
    <t xml:space="preserve">1 Sierra Research, Alicante, Spain </t>
  </si>
  <si>
    <t xml:space="preserve">González, G; Ash, SY; Vegas-Sánchez-Ferrero, G; Onieva Onieva, J; Rahaghi, FN; Ross, JC; Díaz, A; San José Estépar, R; Washko, GR; , </t>
  </si>
  <si>
    <t>9421642</t>
  </si>
  <si>
    <t xml:space="preserve">Deep Learning for Magnetic Resonance Fingerprinting: A New Approach for Predicting Quantitative Parameter Values from Time Series </t>
  </si>
  <si>
    <t xml:space="preserve">The purpose of this work is to evaluate methods from deep learning for application to Magnetic Resonance Fingerprinting (MRF)  MRF is a recently proposed measurement technique for generating quantitative parameter maps  In MRF a non-steady state signal is generated by a pseudo-random excitation pattern  A comparison of the measured signal in each voxel with the physical model yields quantitative parameter maps  Currently, the comparison is done by matching a dictionary of simulated signals to the acquired signals  To accelerate the computation of quantitative maps we train a Convolutional Neural Network (CNN) on simulated dictionary data  As a proof of principle we show that the neural network implicitly encodes the dictionary and can replace the matching process </t>
  </si>
  <si>
    <t xml:space="preserve">MR Application Development, Siemens Healthcare, Erlangen, Germany </t>
  </si>
  <si>
    <t>Hoppe, E; Körzdörfer, G; Würfl, T; Wetzl, J; Lugauer, F; Pfeuffer, J; Maier, A</t>
  </si>
  <si>
    <t>10 1093/bioinformatics/btx230</t>
  </si>
  <si>
    <t xml:space="preserve">Deep learning-based subdivision approach for large scale macromolecules structure recovery from electron cryo tomograms </t>
  </si>
  <si>
    <t xml:space="preserve">Cellular Electron CryoTomography (CECT) enables 3D visualization of cellular organization at near-native state and in sub-molecular resolution, making it a powerful tool for analyzing structures of macromolecular complexes and their spatial organizations inside single cells  However, high degree of structural complexity together with practical imaging limitations makes the systematic de novo discovery of structures within cells challenging  It would likely require averaging and classifying millions of subtomograms potentially containing hundreds of highly heterogeneous structural classes  Although it is no longer difficult to acquire CECT data containing such amount of subtomograms due to advances in data acquisition automation, existing computational approaches have very limited scalability or discrimination ability, making them incapable of processing such amount of data To complement existing approaches, in this article we propose a new approach for subdividing subtomograms into smaller but relatively homogeneous subsets  The structures in these subsets can then be separately recovered using existing computation intensive methods  Our approach is based on supervised structural feature extraction using deep learning, in combination with unsupervised clustering and reference-free classification  Our experiments show that, compared with existing unsupervised rotation invariant feature and pose-normalization based approaches, our new approach achieves significant improvements in both discrimination ability and scalability  More importantly, our new approach is able to discover new structural classes and recover structures that do not exist in training data Source code freely available at http://www cs cmu edu/∼mxu1/software  mxu1@cs cmu edu Supplementary data are available at Bioinformatics online </t>
  </si>
  <si>
    <t xml:space="preserve">Computational Biology Department, Carnegie Mellon University, Pittsburgh, PA, USA </t>
  </si>
  <si>
    <t>Xu, M; Chai, X; Muthakana, H; Liang, X; Yang, G; Zeev-Ben-Mordehai, T; Xing, EP</t>
  </si>
  <si>
    <t>10 1038/s41598-017-10649-8</t>
  </si>
  <si>
    <t xml:space="preserve">A Deep Learning-Based Radiomics Model for Prediction of Survival in Glioblastoma Multiforme </t>
  </si>
  <si>
    <t xml:space="preserve">Traditional radiomics models mainly rely on explicitly-designed handcrafted features from medical images  This paper aimed to investigate if deep features extracted via transfer learning can generate radiomics signatures for prediction of overall survival (OS) in patients with Glioblastoma Multiforme (GBM)  This study comprised a discovery data set of 75 patients and an independent validation data set of 37 patients  A total of 1403 handcrafted features and 98304 deep features were extracted from preoperative multi-modality MR images  After feature selection, a six-deep-feature signature was constructed by using the least absolute shrinkage and selection operator (LASSO) Cox regression model  A radiomics nomogram was further presented by combining the signature and clinical risk factors such as age and Karnofsky Performance Score  Compared with traditional risk factors, the proposed signature achieved better performance for prediction of OS (C-index = 0 710, 95% CI: 0 588, 0 932) and significant stratification of patients into prognostically distinct groups (P &lt; 0 001, HR = 5 128, 95% CI: 2 029, 12 960)  The combined model achieved improved predictive performance (C-index = 0 739)  Our study demonstrates that transfer learning-based deep features are able to generate prognostic imaging signature for OS prediction and patient stratification for GBM, indicating the potential of deep imaging feature-based biomarker in preoperative care of GBM patients </t>
  </si>
  <si>
    <t xml:space="preserve">Institute of Image Communication and Network Engineering, Shanghai Jiao Tong University, Shanghai, China </t>
  </si>
  <si>
    <t>Lao, J; Chen, Y; Li, ZC; Li, Q; Zhang, J; Liu, J; Zhai, G</t>
  </si>
  <si>
    <t>10 1007/s11548-017-1660-z</t>
  </si>
  <si>
    <t xml:space="preserve">Automatic detection of new tumors and tumor burden evaluation in longitudinal liver CT scan studies </t>
  </si>
  <si>
    <t xml:space="preserve">Radiological longitudinal follow-up of liver tumors in CT scans is the standard of care for disease progression assessment and for liver tumor therapy  Finding new tumors in the follow-up scan is essential to determine malignancy, to evaluate the total tumor burden, and to determine treatment efficacy  Since new tumors are typically small, they may be missed by examining radiologists We describe a new method for the automatic detection and segmentation of new tumors in longitudinal liver CT studies and for liver tumors burden quantification  Its inputs are the baseline and follow-up CT scans, the baseline tumors delineation, and a tumor appearance prior model  Its outputs are the new tumors segmentations in the follow-up scan, the tumor burden quantification in both scans, and the tumor burden change  Our method is the first comprehensive method that is explicitly designed to find new liver tumors  It integrates information from the scans, the baseline known tumors delineations, and a tumor appearance prior model in the form of a global convolutional neural network classifier  Unlike other deep learning-based methods, it does not require large tagged training sets Our experimental results on 246 tumors, of which 97 were new tumors, from 37 longitudinal liver CT studies with radiologist approved ground-truth segmentations, yields a true positive new tumors detection rate of 86 versus 72% with stand-alone detection, and a tumor burden volume overlap error of 16% New tumors detection and tumor burden volumetry are important for diagnosis and treatment  Our new method enables a simplified radiologist-friendly workflow that is potentially more accurate and reliable than the existing one by automatically and accurately following known tumors and detecting new tumors in the follow-up scan </t>
  </si>
  <si>
    <t xml:space="preserve">The Rachel and Selim Benin School of Computer Science and Engineering, The Hebrew University of Jerusalem, Givat Ram Campus, 91904, Jerusalem, Israel </t>
  </si>
  <si>
    <t>Vivanti, R; Szeskin, A; Lev-Cohain, N; Sosna, J; Joskowicz, L</t>
  </si>
  <si>
    <t>10 1371/journal pone 0184059</t>
  </si>
  <si>
    <t xml:space="preserve">Automated diagnosis of myositis from muscle ultrasound: Exploring the use of machine learning and deep learning methods </t>
  </si>
  <si>
    <t xml:space="preserve">To evaluate the use of ultrasound coupled with machine learning (ML) and deep learning (DL) techniques for automated or semi-automated classification of myositis Eighty subjects comprised of 19 with inclusion body myositis (IBM), 14 with polymyositis (PM), 14 with dermatomyositis (DM), and 33 normal (N) subjects were included in this study, where 3214 muscle ultrasound images of 7 muscles (observed bilaterally) were acquired  We considered three problems of classification including (A) normal vs  affected (DM, PM, IBM); (B) normal vs  IBM patients; and (C) IBM vs  other types of myositis (DM or PM)  We studied the use of an automated DL method using deep convolutional neural networks (DL-DCNNs) for diagnostic classification and compared it with a semi-automated conventional ML method based on random forests (ML-RF) and "engineered" features  We used the known clinical diagnosis as the gold standard for evaluating performance of muscle classification The performance of the DL-DCNN method resulted in accuracies ± standard deviation of 76 2% ± 3 1% for problem (A), 86 6% ± 2 4% for (B) and 74 8% ± 3 9% for (C), while the ML-RF method led to accuracies of 72 3% ± 3 3% for problem (A), 84 3% ± 2 3% for (B) and 68 9% ± 2 5% for (C) This study demonstrates the application of machine learning methods for automatically or semi-automatically classifying inflammatory muscle disease using muscle ultrasound  Compared to the conventional random forest machine learning method used here, which has the drawback of requiring manual delineation of muscle/fat boundaries, DCNN-based classification by and large improved the accuracies in all classification problems while providing a fully automated approach to classification </t>
  </si>
  <si>
    <t xml:space="preserve">Applied Physics Laboratory, Johns Hopkins University, Laurel, Maryland, United States of America </t>
  </si>
  <si>
    <t>Burlina, P; Billings, S; Joshi, N; Albayda, J</t>
  </si>
  <si>
    <t>10 1016/j media 2017 08 005</t>
  </si>
  <si>
    <t xml:space="preserve">Constructing fine-granularity functional brain network atlases via deep convolutional autoencoder </t>
  </si>
  <si>
    <t xml:space="preserve">State-of-the-art functional brain network reconstruction methods such as independent component analysis (ICA) or sparse coding of whole-brain fMRI data can effectively infer many thousands of volumetric brain network maps from a large number of human brains  However, due to the variability of individual brain networks and the large scale of such networks needed for statistically meaningful group-level analysis, it is still a challenging and open problem to derive group-wise common networks as network atlases  Inspired by the superior spatial pattern description ability of the deep convolutional neural networks (CNNs), a novel deep 3D convolutional autoencoder (CAE) network is designed here to extract spatial brain network features effectively, based on which an Apache Spark enabled computational framework is developed for fast clustering of larger number of network maps into fine-granularity atlases  To evaluate this framework, 10 resting state networks (RSNs) were manually labeled from the sparsely decomposed networks of Human Connectome Project (HCP) fMRI data and 5275 network training samples were obtained, in total  Then the deep CAE models are trained by these functional networks' spatial maps, and the learned features are used to refine the original 10 RSNs into 17 network atlases that possess fine-granularity functional network patterns  Interestingly, it turned out that some manually mislabeled outliers in training networks can be corrected by the deep CAE derived features  More importantly, fine granularities of networks can be identified and they reveal unique network patterns specific to different brain task states  By further applying this method to a dataset of mild traumatic brain injury study, it shows that the technique can effectively identify abnormal small networks in brain injury patients in comparison with controls  In general, our work presents a promising deep learning and big data analysis solution for modeling functional connectomes, with fine granularities, based on fMRI data </t>
  </si>
  <si>
    <t>convolutional autoencoder</t>
  </si>
  <si>
    <t xml:space="preserve">Cortical Architecture Imaging and Discovery Lab, Department of Computer Science and Bioimaging Research Center, The University of Georgia, Athens, GA, United States </t>
  </si>
  <si>
    <t>Zhao, Y; Dong, Q; Chen, H; Iraji, A; Li, Y; Makkie, M; Kou, Z; Liu, T</t>
  </si>
  <si>
    <t>10 1016/j jneumeth 2017 08 014</t>
  </si>
  <si>
    <t xml:space="preserve">Identification and segmentation of myelinated nerve fibers in a cross-sectional optical microscopic image using a deep learning model </t>
  </si>
  <si>
    <t xml:space="preserve">The morphometric analysis of myelinated nerve fibers of peripheral nerves in cross-sectional optical microscopic images is valuable  Several automated methods for nerve fiber identification and segmentation have been reported  This paper presents a new method that uses a deep learning model of a convolutional neural network (CNN)  We tested it for human sural nerve biopsy images The method comprises four steps: normalization, clustering segmentation, myelinated nerve fiber identification, and clump splitting  A normalized sample image was separated into individual objects with clustering segmentation  Each object was applied to a CNN deep learning model that labeled myelinated nerve fibers as positive and other structures as negative  Only positives proceeded to the next step  For pretraining the model, 70,000 positive and negative data each from 39 samples were used  The accuracy of the proposed algorithm was evaluated using 10 samples that were not part of the training set  A P-value of &lt;0 05 was considered statistically significant The total true-positive rate (TPR) for the detection of myelinated fibers was 0 982, and the total false-positive rate was 0 016  The defined total area similarity (AS) and area overlap error of segmented myelin sheaths were 0 967 and 0 068, respectively  In all but one sample, there were no significant differences in estimated morphometric parameters obtained from our method and manual segmentation The TPR and AS were higher than those obtained using previous methods High-performance automated identification and segmentation of myelinated nerve fibers were achieved using a deep learning model </t>
  </si>
  <si>
    <t xml:space="preserve">The Department of Neurology, The University of Tokyo Hospital, 1138655, 7-3-1 Hongo, Bunkyo-ku, Tokyo, Japan </t>
  </si>
  <si>
    <t>Naito, T; Nagashima, Y; Taira, K; Uchio, N; Tsuji, S; Shimizu, J</t>
  </si>
  <si>
    <t>10 1177/2472630317727721</t>
  </si>
  <si>
    <t xml:space="preserve">Development of MAST: A Microscopy-Based Antimicrobial Susceptibility Testing Platform </t>
  </si>
  <si>
    <t xml:space="preserve">Antibiotic resistance is compromising our ability to treat bacterial infections  Clinical microbiology laboratories guide appropriate treatment through antimicrobial susceptibility testing (AST) of patient bacterial isolates  However, increasingly, pathogens are developing resistance to a broad range of antimicrobials, requiring AST of alternative agents for which no commercially available testing methods are available  Therefore, there exists a significant AST testing gap in which current methodologies cannot adequately address the need for rapid results in the face of unpredictable susceptibility profiles  To address this gap, we developed a multicomponent, microscopy-based AST (MAST) platform capable of AST determinations after only a 2 h incubation  MAST consists of a solid-phase microwell growth surface in a 384-well plate format, inkjet printing-based application of both antimicrobials and bacteria at any desired concentrations, automated microscopic imaging of bacterial replication, and a deep learning approach for automated image classification and determination of antimicrobial minimal inhibitory concentrations (MICs)  In evaluating a susceptible strain set, 95 8% were within ±1 and 99 4% were within ±2, twofold dilutions, respectively, of reference broth microdilution MIC values  Most (98 3%) of the results were in categorical agreement  We conclude that MAST offers promise for rapid, accurate, and flexible AST to help address the antimicrobial testing gap </t>
  </si>
  <si>
    <t>SLAS technology</t>
  </si>
  <si>
    <t xml:space="preserve">1 Department of Pathology, Beth Israel Deaconess Medical Center, Boston, MA, USA </t>
  </si>
  <si>
    <t>Smith, KP; Richmond, DL; Brennan-Krohn, T; Elliott, HL; Kirby, JE</t>
  </si>
  <si>
    <t>101697564</t>
  </si>
  <si>
    <t>10 1007/s00261-017-1294-1</t>
  </si>
  <si>
    <t xml:space="preserve">Detection of high-grade small bowel obstruction on conventional radiography with convolutional neural networks </t>
  </si>
  <si>
    <t xml:space="preserve">The purpose of this pilot study is to determine whether a deep convolutional neural network can be trained with limited image data to detect high-grade small bowel obstruction patterns on supine abdominal radiographs  Grayscale images from 3663 clinical supine abdominal radiographs were categorized into obstructive and non-obstructive categories independently by three abdominal radiologists, and the majority classification was used as ground truth; 74 images were found to be consistent with small bowel obstruction  Images were rescaled and randomized, with 2210 images constituting the training set (39 with small bowel obstruction) and 1453 images constituting the test set (35 with small bowel obstruction)  Weight parameters for the final classification layer of the Inception v3 convolutional neural network, previously trained on the 2014 Large Scale Visual Recognition Challenge dataset, were retrained on the training set  After training, the neural network achieved an AUC of 0 84 on the test set (95% CI 0 78-0 89)  At the maximum Youden index (sensitivity + specificity-1), the sensitivity of the system for small bowel obstruction is 83 8%, with a specificity of 68 1%  The results demonstrate that transfer learning with convolutional neural networks, even with limited training data, may be used to train a detector for high-grade small bowel obstruction gas patterns on supine radiographs </t>
  </si>
  <si>
    <t xml:space="preserve">Department of Radiology, USC Norris Comprehensive Cancer Center, Keck School of Medicine of USC, 1441 Eastlake Avenue, Suite 2315B, Los Angeles, CA, 90033-0377, USA </t>
  </si>
  <si>
    <t>Cheng, PM; Tejura, TK; Tran, KN; Whang, G</t>
  </si>
  <si>
    <t>10 1038/s41598-017-09315-w</t>
  </si>
  <si>
    <t xml:space="preserve">Bladder Cancer Treatment Response Assessment in CT using Radiomics with Deep-Learning </t>
  </si>
  <si>
    <t xml:space="preserve">Cross-sectional X-ray imaging has become the standard for staging most solid organ malignancies  However, for some malignancies such as urinary bladder cancer, the ability to accurately assess local extent of the disease and understand response to systemic chemotherapy is limited with current imaging approaches  In this study, we explored the feasibility that radiomics-based predictive models using pre- and post-treatment computed tomography (CT) images might be able to distinguish between bladder cancers with and without complete chemotherapy responses  We assessed three unique radiomics-based predictive models, each of which employed different fundamental design principles ranging from a pattern recognition method via deep-learning convolution neural network (DL-CNN), to a more deterministic radiomics feature-based approach and then a bridging method between the two, utilizing a system which extracts radiomics features from the image patterns  Our study indicates that the computerized assessment using radiomics information from the pre- and post-treatment CT of bladder cancer patients has the potential to assist in assessment of treatment response </t>
  </si>
  <si>
    <t xml:space="preserve">Department of Radiology, The University of Michigan, Ann Arbor, Michigan, 48109, United States </t>
  </si>
  <si>
    <t>Cha, KH; Hadjiiski, L; Chan, HP; Weizer, AZ; Alva, A; Cohan, RH; Caoili, EM; Paramagul, C; Samala, RK</t>
  </si>
  <si>
    <t>10 1007/s12024-017-9906-1</t>
  </si>
  <si>
    <t xml:space="preserve">Automatic detection of hemorrhagic pericardial effusion on PMCT using deep learning - a feasibility study </t>
  </si>
  <si>
    <t xml:space="preserve">Post mortem computed tomography (PMCT) can be used as a triage tool to better identify cases with a possibly non-natural cause of death, especially when high caseloads make it impossible to perform autopsies on all cases  Substantial data can be generated by modern medical scanners, especially in a forensic setting where the entire body is documented at high resolution  A solution for the resulting issues could be the use of deep learning techniques for automatic analysis of radiological images  In this article, we wanted to test the feasibility of such methods for forensic imaging by hypothesizing that deep learning methods can detect and segment a hemopericardium in PMCT  For deep learning image analysis software, we used the ViDi Suite 2 0  We retrospectively selected 28 cases with, and 24 cases without, hemopericardium  Based on these data, we trained two separate deep learning networks  The first one classified images into hemopericardium/not hemopericardium, and the second one segmented the blood content  We randomly selected 50% of the data for training and 50% for validation  This process was repeated 20 times  The best performing classification network classified all cases of hemopericardium from the validation images correctly with only a few false positives  The best performing segmentation network would tend to underestimate the amount of blood in the pericardium, which is the case for most networks  This is the first study that shows that deep learning has potential for automated image analysis of radiological images in forensic medicine </t>
  </si>
  <si>
    <t>Forensic science, medicine, and pathology</t>
  </si>
  <si>
    <t xml:space="preserve">Institute of Forensic Medicine, University of Zurich, Winterthurerstrasse 190/52, 8057, Zurich, Switzerland </t>
  </si>
  <si>
    <t>Ebert, LC; Heimer, J; Schweitzer, W; Sieberth, T; Leipner, A; Thali, M; Ampanozi, G</t>
  </si>
  <si>
    <t>101236111</t>
  </si>
  <si>
    <t>10 1109/TMI 2017 2739110</t>
  </si>
  <si>
    <t xml:space="preserve">Automatic Localization of the Needle Target for Ultrasound-Guided Epidural Injections </t>
  </si>
  <si>
    <t xml:space="preserve">Accurate identification of the needle target is crucial for effective epidural anesthesia  Currently, epidural needle placement is administered by a manual technique, relying on the sense of feel, which has a significant failure rate  Moreover, misleading the needle may lead to inadequate anesthesia, post dural puncture headaches, and other potential complications  Ultrasound offers guidance to the physician for identification of the needle target, but accurate interpretation and localization remain challenges  A hybrid machine learning system is proposed to automatically localize the needle target for epidural needle placement in ultrasound images of the spine  In particular, a deep network architecture along with a feature augmentation technique is proposed for automatic identification of the anatomical landmarks of the epidural space in ultrasound images  Experimental results of the target localization on planes of 3-D as well as 2-D images have been compared against an expert sonographer  When compared with the expert annotations, the average lateral and vertical errors on the planes of 3-D test data were 1 and 0 4 mm, respectively  On 2-D test data set, an average lateral error of 1 7 mm and vertical error of 0 8 mm were acquired </t>
  </si>
  <si>
    <t xml:space="preserve">the Department of Electrical and Computer Engineering, University of British Columbia, Vancouver, B C , Canada </t>
  </si>
  <si>
    <t>Pesteie, M; Lessoway, V; Abolmaesumi, P; Rohling, RN</t>
  </si>
  <si>
    <t>10 1016/j neuroimage 2017 08 021</t>
  </si>
  <si>
    <t xml:space="preserve">An open, multi-vendor, multi-field-strength brain MR dataset and analysis of publicly available skull stripping methods agreement </t>
  </si>
  <si>
    <t xml:space="preserve">This paper presents an open, multi-vendor, multi-field strength magnetic resonance (MR) T1-weighted volumetric brain imaging dataset, named Calgary-Campinas-359 (CC-359)  The dataset is composed of images of older healthy adults (29-80 years) acquired on scanners from three vendors (Siemens, Philips and General Electric) at both 1 5 T and 3 T  CC-359 is comprised of 359 datasets, approximately 60 subjects per vendor and magnetic field strength  The dataset is approximately age and gender balanced, subject to the constraints of the available images  It provides consensus brain extraction masks for all volumes generated using supervised classification  Manual segmentation results for twelve randomly selected subjects performed by an expert are also provided  The CC-359 dataset allows investigation of 1) the influences of both vendor and magnetic field strength on quantitative analysis of brain MR; 2) parameter optimization for automatic segmentation methods; and potentially 3) machine learning classifiers with big data, specifically those based on deep learning methods, as these approaches require a large amount of data  To illustrate the utility of this dataset, we compared to the results of a supervised classifier, the results of eight publicly available skull stripping methods and one publicly available consensus algorithm  A linear mixed effects model analysis indicated that vendor (p-value&lt;0 001) and magnetic field strength (p-value&lt;0 001) have statistically significant impacts on skull stripping results </t>
  </si>
  <si>
    <t xml:space="preserve">Medical Imaging and Computing Laboratory, Department of Computer Engineering and Industrial Automation, University of Campinas, Campinas, São Paulo, Brazil; Departments of Radiology and Clinical Neurosciences, Hotchkiss Brain Institute, University of Calgary, Calgary, Alberta, Canada; Calgary Image Processing and Analysis Centre, Foothills Medical Centre, Alberta Health Services, Calgary, Alberta, Canada; Seaman Family Magnetic Resonance Research Centre, Foothills Medical Centre, Alberta Health Services, Calgary, Alberta, Canada </t>
  </si>
  <si>
    <t>Souza, R; Lucena, O; Garrafa, J; Gobbi, D; Saluzzi, M; Appenzeller, S; Rittner, L; Frayne, R; Lotufo, R</t>
  </si>
  <si>
    <t>10 1016/j compbiomed 2017 08 001</t>
  </si>
  <si>
    <t xml:space="preserve">Pre-trained convolutional neural networks as feature extractors for tuberculosis detection </t>
  </si>
  <si>
    <t xml:space="preserve">It is estimated that in 2015, approximately 1 8 million people infected by tuberculosis died, most of them in developing countries  Many of those deaths could have been prevented if the disease had been detected at an earlier stage, but the most advanced diagnosis methods are still cost prohibitive for mass adoption  One of the most popular tuberculosis diagnosis methods is the analysis of frontal thoracic radiographs; however, the impact of this method is diminished by the need for individual analysis of each radiography by properly trained radiologists  Significant research can be found on automating diagnosis by applying computational techniques to medical images, thereby eliminating the need for individual image analysis and greatly diminishing overall costs  In addition, recent improvements on deep learning accomplished excellent results classifying images on diverse domains, but its application for tuberculosis diagnosis remains limited  Thus, the focus of this work is to produce an investigation that will advance the research in the area, presenting three proposals to the application of pre-trained convolutional neural networks as feature extractors to detect the disease  The proposals presented in this work are implemented and compared to the current literature  The obtained results are competitive with published works demonstrating the potential of pre-trained convolutional networks as medical image feature extractors </t>
  </si>
  <si>
    <t xml:space="preserve">DevGrid, 482, Italia Avenue, Caxias do Sul, RS, Brazil </t>
  </si>
  <si>
    <t>Lopes, UK; Valiati, JF</t>
  </si>
  <si>
    <t>10 1126/sciadv 1700606</t>
  </si>
  <si>
    <t xml:space="preserve">Holographic deep learning for rapid optical screening of anthrax spores </t>
  </si>
  <si>
    <t xml:space="preserve">Establishing early warning systems for anthrax attacks is crucial in biodefense  Despite numerous studies for decades, the limited sensitivity of conventional biochemical methods essentially requires preprocessing steps and thus has limitations to be used in realistic settings of biological warfare  We present an optical method for rapid and label-free screening of Bacillus anthracis spores through the synergistic application of holographic microscopy and deep learning  A deep convolutional neural network is designed to classify holographic images of unlabeled living cells  After training, the network outperforms previous techniques in all accuracy measures, achieving single-spore sensitivity and subgenus specificity  The unique "representation learning" capability of deep learning enables direct training from raw images instead of manually extracted features  The method automatically recognizes key biological traits encoded in the images and exploits them as fingerprints  This remarkable learning ability makes the proposed method readily applicable to classifying various single cells in addition to B  anthracis, as demonstrated for the diagnosis of Listeria monocytogenes, without any modification  We believe that our strategy will make holographic microscopy more accessible to medical doctors and biomedical scientists for easy, rapid, and accurate point-of-care diagnosis of pathogens </t>
  </si>
  <si>
    <t>Science advances</t>
  </si>
  <si>
    <t xml:space="preserve">Department of Physics, Korea Advanced Institute of Science and Technology (KAIST), Daejeon 34141, Republic of Korea </t>
  </si>
  <si>
    <t>Jo, Y; Park, S; Jung, J; Yoon, J; Joo, H; Kim, MH; Kang, SJ; Choi, MC; Lee, SY; Park, Y</t>
  </si>
  <si>
    <t>101653440</t>
  </si>
  <si>
    <t>10 1109/JBHI 2017 2731873</t>
  </si>
  <si>
    <t xml:space="preserve">Automated Breast Ultrasound Lesions Detection Using Convolutional Neural Networks </t>
  </si>
  <si>
    <t xml:space="preserve">Breast lesion detection using ultrasound imaging is considered an important step of computer-aided diagnosis systems  Over the past decade, researchers have demonstrated the possibilities to automate the initial lesion detection  However, the lack of a common dataset impedes research when comparing the performance of such algorithms  This paper proposes the use of deep learning approaches for breast ultrasound lesion detection and investigates three different methods: a Patch-based LeNet, a U-Net, and a transfer learning approach with a pretrained FCN-AlexNet  Their performance is compared against four state-of-the-art lesion detection algorithms (i e , Radial Gradient Index, Multifractal Filtering, Rule-based Region Ranking, and Deformable Part Models)  In addition, this paper compares and contrasts two conventional ultrasound image datasets acquired from two different ultrasound systems  Dataset A comprises 306 (60 malignant and 246 benign) images and Dataset B comprises 163 (53 malignant and 110 benign) images  To overcome the lack of public datasets in this domain, Dataset B will be made available for research purposes  The results demonstrate an overall improvement by the deep learning approaches when assessed on both datasets in terms of True Positive Fraction, False Positives per image, and F-measure </t>
  </si>
  <si>
    <t xml:space="preserve">LeNet,  Unet, FCN,AlexNet </t>
  </si>
  <si>
    <t xml:space="preserve">the School of Computing, Mathematics and Digital Technology, Manchester Metropolitan University, Manchester M1 5GD, U K </t>
  </si>
  <si>
    <t>Yap, MH; Pons, G; Marti, J; Ganau, S; Sentis, M; Zwiggelaar, R; Davison, AK; Marti, R; Moi Hoon Yap, ; Pons, G; Marti, J; Ganau, S; Sentis, M; Zwiggelaar, R; Davison, AK; Marti, R</t>
  </si>
  <si>
    <t>10 1364/OE 25 015043</t>
  </si>
  <si>
    <t xml:space="preserve">Automatic phase aberration compensation for digital holographic microscopy based on deep learning background detection </t>
  </si>
  <si>
    <t xml:space="preserve">We propose a fully automatic technique to obtain aberration free quantitative phase imaging in digital holographic microscopy (DHM) based on deep learning  The traditional DHM solves the phase aberration compensation problem by manually detecting the background for quantitative measurement  This would be a drawback in real time implementation and for dynamic processes such as cell migration phenomena  A recent automatic aberration compensation approach using principle component analysis (PCA) in DHM avoids human intervention regardless of the cells' motion  However, it corrects spherical/elliptical aberration only and disregards the higher order aberrations  Traditional image segmentation techniques can be employed to spatially detect cell locations  Ideally, automatic image segmentation techniques make real time measurement possible  However, existing automatic unsupervised segmentation techniques have poor performance when applied to DHM phase images because of aberrations and speckle noise  In this paper, we propose a novel method that combines a supervised deep learning technique with convolutional neural network (CNN) and Zernike polynomial fitting (ZPF)  The deep learning CNN is implemented to perform automatic background region detection that allows for ZPF to compute the self-conjugated phase to compensate for most aberrations </t>
  </si>
  <si>
    <t>1Electrical Engineering and Computer Science Department, The Catholic University of America, 620
Michigan Ave, Washington, DC 20017, USA</t>
  </si>
  <si>
    <t>Nguyen, T; Bui, V; Lam, V; Raub, CB; Chang, LC; Nehmetallah, G</t>
  </si>
  <si>
    <t>10 1007/s10278-017-0009-z</t>
  </si>
  <si>
    <t xml:space="preserve">Residual Deep Convolutional Neural Network Predicts MGMT Methylation Status </t>
  </si>
  <si>
    <t xml:space="preserve">Predicting methylation of the O6-methylguanine methyltransferase (MGMT) gene status utilizing MRI imaging is of high importance since it is a predictor of response and prognosis in brain tumors  In this study, we compare three different residual deep neural network (ResNet) architectures to evaluate their ability in predicting MGMT methylation status without the need for a distinct tumor segmentation step  We found that the ResNet50 (50 layers) architecture was the best performing model, achieving an accuracy of 94 90% (+/- 3 92%) for the test set (classification of a slice as no tumor, methylated MGMT, or non-methylated)  ResNet34 (34 layers) achieved 80 72% (+/- 13 61%) while ResNet18 (18 layers) accuracy was 76 75% (+/- 20 67%)  ResNet50 performance was statistically significantly better than both ResNet18 and ResNet34 architectures (p &lt; 0 001)  We report a method that alleviates the need of extensive preprocessing and acts as a proof of concept that deep neural architectures can be used to predict molecular biomarkers from routine medical images </t>
  </si>
  <si>
    <t xml:space="preserve">Department of Radiology, Mayo Clinic, 200 1st Street SW, Rochester, MN, 55905, USA </t>
  </si>
  <si>
    <t>Korfiatis, P; Kline, TL; Lachance, DH; Parney, IF; Buckner, JC; Erickson, BJ</t>
  </si>
  <si>
    <t>10 1002/hbm 23730</t>
  </si>
  <si>
    <t xml:space="preserve">Deep learning with convolutional neural networks for EEG decoding and visualization </t>
    <phoneticPr fontId="0" type="noConversion"/>
  </si>
  <si>
    <t xml:space="preserve">Deep learning with convolutional neural networks (deep ConvNets) has revolutionized computer vision through end-to-end learning, that is, learning from the raw data  There is increasing interest in using deep ConvNets for end-to-end EEG analysis, but a better understanding of how to design and train ConvNets for end-to-end EEG decoding and how to visualize the informative EEG features the ConvNets learn is still needed  Here, we studied deep ConvNets with a range of different architectures, designed for decoding imagined or executed tasks from raw EEG  Our results show that recent advances from the machine learning field, including batch normalization and exponential linear units, together with a cropped training strategy, boosted the deep ConvNets decoding performance, reaching at least as good performance as the widely used filter bank common spatial patterns (FBCSP) algorithm (mean decoding accuracies 82 1% FBCSP, 84 0% deep ConvNets)  While FBCSP is designed to use spectral power modulations, the features used by ConvNets are not fixed a priori  Our novel methods for visualizing the learned features demonstrated that ConvNets indeed learned to use spectral power modulations in the alpha, beta, and high gamma frequencies, and proved useful for spatially mapping the learned features by revealing the topography of the causal contributions of features in different frequency bands to the decoding decision  Our study thus shows how to design and train ConvNets to decode task-related information from the raw EEG without handcrafted features and highlights the potential of deep ConvNets combined with advanced visualization techniques for EEG-based brain mapping  Hum Brain Mapp 38:5391-5420, 2017  © 2017 Wiley Periodicals, Inc </t>
    <phoneticPr fontId="0" type="noConversion"/>
  </si>
  <si>
    <t>not mentioned</t>
    <phoneticPr fontId="0" type="noConversion"/>
  </si>
  <si>
    <t xml:space="preserve">Translational Neurotechnology Lab, Epilepsy Center, Medical Center - University of Freiburg, Engelberger Str  21, Freiburg, 79106, Germany </t>
  </si>
  <si>
    <t>Schirrmeister, RT; Springenberg, JT; Fiederer, LDJ; Glasstetter, M; Eggensperger, K; Tangermann, M; Hutter, F; Burgard, W; Ball, T</t>
  </si>
  <si>
    <t>10 1016/j acra 2017 06 008</t>
  </si>
  <si>
    <t xml:space="preserve">CT Image-based Decision Support System for Categorization of Liver Metastases Into Primary Cancer Sites: Initial Results </t>
  </si>
  <si>
    <t xml:space="preserve">This study aimed to provide decision support for the human expert, to categorize liver metastases into their primary cancer sites  Currently, once a liver metastasis is detected, the process of finding the primary site is challenging, time-consuming, and requires multiple examinations  The proposed system can support the human expert in localizing the search for the cancer source by prioritizing the examinations to probable cancer sites The suggested method is a learning-based approach, using computed tomography (CT) data as the input source  Each metastasis is circumscribed by a radiologist in portal phase and in non-contrast CT images  Visual features are computed from these images, combined into feature vectors, and classified using support vector machine classification  A variety of different features were explored and tested  A leave-one-out cross-validation technique was conducted for classification evaluation  The methods were developed on a set of 50 lesion cases taken from 29 patients Experiments were conducted on a separate set of 142 lesion cases taken from 71 patients with four different primary sites  Multiclass categorization results (four classes) achieved low accuracy results  However, the proposed system was found to provide promising results of 83% and 99% for top-2 and top-3 classification tasks, respectively  Moreover, when compared to the experts' ability to distinguish the different metastases, the system shows improved results Automated systems, such as the one proposed, show promising new results and demonstrate new capabilities that, in the future, will be able to provide decision and treatment support for radiologists and oncologists, toward more efficient detection and treatment of cancer </t>
  </si>
  <si>
    <t>Academic radiology</t>
  </si>
  <si>
    <t xml:space="preserve">Faculty of Engineering, Department of Biomedical Engineering, Medical Image Processing Laboratory, Tel Aviv University, Haim Levanon 55, Tel Aviv 69978, Israel </t>
  </si>
  <si>
    <t>Ben-Cohen, A; Klang, E; Diamant, I; Rozendorn, N; Raskin, SP; Konen, E; Amitai, MM; Greenspan, H</t>
  </si>
  <si>
    <t>9440159</t>
  </si>
  <si>
    <t>10 1016/j neuroimage 2017 07 059</t>
  </si>
  <si>
    <t xml:space="preserve">Predicting brain age with deep learning from raw imaging data results in a reliable and heritable biomarker </t>
  </si>
  <si>
    <t xml:space="preserve">Machine learning analysis of neuroimaging data can accurately predict chronological age in healthy people  Deviations from healthy brain ageing have been associated with cognitive impairment and disease  Here we sought to further establish the credentials of 'brain-predicted age' as a biomarker of individual differences in the brain ageing process, using a predictive modelling approach based on deep learning, and specifically convolutional neural networks (CNN), and applied to both pre-processed and raw T1-weighted MRI data  Firstly, we aimed to demonstrate the accuracy of CNN brain-predicted age using a large dataset of healthy adults (N = 2001)  Next, we sought to establish the heritability of brain-predicted age using a sample of monozygotic and dizygotic female twins (N = 62)  Thirdly, we examined the test-retest and multi-centre reliability of brain-predicted age using two samples (within-scanner N = 20; between-scanner N = 11)  CNN brain-predicted ages were generated and compared to a Gaussian Process Regression (GPR) approach, on all datasets  Input data were grey matter (GM) or white matter (WM) volumetric maps generated by Statistical Parametric Mapping (SPM) or raw data  CNN accurately predicted chronological age using GM (correlation between brain-predicted age and chronological age r = 0 96, mean absolute error [MAE] = 4 16 years) and raw (r = 0 94, MAE = 4 65 years) data  This was comparable to GPR brain-predicted age using GM data (r = 0 95, MAE = 4 66 years)  Brain-predicted age was a heritable phenotype for all models and input data (h2 ≥ 0 5)  Brain-predicted age showed high test-retest reliability (intraclass correlation coefficient [ICC] = 0 90-0 99)  Multi-centre reliability was more variable within high ICCs for GM (0 83-0 96) and poor-moderate levels for WM and raw data (0 51-0 77)  Brain-predicted age represents an accurate, highly reliable and genetically-influenced phenotype, that has potential to be used as a biomarker of brain ageing  Moreover, age predictions can be accurately generated on raw T1-MRI data, substantially reducing computation time for novel data, bringing the process closer to giving real-time information on brain health in clinical settings </t>
  </si>
  <si>
    <t xml:space="preserve">Computational, Cognitive &amp; Clinical Neuroimaging Laboratory, Division of Brain Sciences, Imperial College London, London, UK </t>
  </si>
  <si>
    <t>Cole, JH; Poudel, RPK; Tsagkrasoulis, D; Caan, MWA; Steves, C; Spector, TD; Montana, G</t>
  </si>
  <si>
    <t>10 1088/1361-6560/aa82ec</t>
  </si>
  <si>
    <t xml:space="preserve">A deep learning framework for supporting the classification of breast lesions in ultrasound images </t>
  </si>
  <si>
    <t xml:space="preserve">In this research, we exploited the deep learning framework to differentiate the distinctive types of lesions and nodules in breast acquired with ultrasound imaging  A biopsy-proven benchmarking dataset was built from 5151 patients cases containing a total of 7408 ultrasound breast images, representative of semi-automatically segmented lesions associated with masses  The dataset comprised 4254 benign and 3154 malignant lesions  The developed method includes histogram equalization, image cropping and margin augmentation  The GoogLeNet convolutionary neural network was trained to the database to differentiate benign and malignant tumors  The networks were trained on the data with augmentation and the data without augmentation  Both of them showed an area under the curve of over 0 9  The networks showed an accuracy of about 0 9 (90%), a sensitivity of 0 86 and a specificity of 0 96  Although target regions of interest (ROIs) were selected by radiologists, meaning that radiologists still have to point out the location of the ROI, the classification of malignant lesions showed promising results  If this method is used by radiologists in clinical situations it can classify malignant lesions in a short time and support the diagnosis of radiologists in discriminating malignant lesions  Therefore, the proposed method can work in tandem with human radiologists to improve performance, which is a fundamental purpose of computer-aided diagnosis </t>
  </si>
  <si>
    <t xml:space="preserve">Korea National University of Transportation, Uiwang-si, Kyunggi-do, Republic of Korea </t>
  </si>
  <si>
    <t>Han, S; Kang, HK; Jeong, JY; Park, MH; Kim, W; Bang, WC; Seong, YK</t>
  </si>
  <si>
    <t>10 1002/mrm 26841</t>
  </si>
  <si>
    <t xml:space="preserve">Deep convolutional neural network and 3D deformable approach for tissue segmentation in musculoskeletal magnetic resonance imaging </t>
  </si>
  <si>
    <t xml:space="preserve">To describe and evaluate a new fully automated musculoskeletal tissue segmentation method using deep convolutional neural network (CNN) and three-dimensional (3D) simplex deformable modeling to improve the accuracy and efficiency of cartilage and bone segmentation within the knee joint A fully automated segmentation pipeline was built by combining a semantic segmentation CNN and 3D simplex deformable modeling  A CNN technique called SegNet was applied as the core of the segmentation method to perform high resolution pixel-wise multi-class tissue classification  The 3D simplex deformable modeling refined the output from SegNet to preserve the overall shape and maintain a desirable smooth surface for musculoskeletal structure  The fully automated segmentation method was tested using a publicly available knee image data set to compare with currently used state-of-the-art segmentation methods  The fully automated method was also evaluated on two different data sets, which include morphological and quantitative MR images with different tissue contrasts The proposed fully automated segmentation method provided good segmentation performance with segmentation accuracy superior to most of state-of-the-art methods in the publicly available knee image data set  The method also demonstrated versatile segmentation performance on both morphological and quantitative musculoskeletal MR images with different tissue contrasts and spatial resolutions The study demonstrates that the combined CNN and 3D deformable modeling approach is useful for performing rapid and accurate cartilage and bone segmentation within the knee joint  The CNN has promising potential applications in musculoskeletal imaging  Magn Reson Med 79:2379-2391, 2018  © 2017 International Society for Magnetic Resonance in Medicine </t>
  </si>
  <si>
    <t xml:space="preserve">Department of Radiology, University of Wisconsin School of Medicine and Public Health, Madison, Wisconsin, USA </t>
  </si>
  <si>
    <t>Liu, F; Zhou, Z; Jang, H; Samsonov, A; Zhao, G; Kijowski, R</t>
  </si>
  <si>
    <t>10 1186/s12859-017-1757-y</t>
  </si>
  <si>
    <t xml:space="preserve">A deep convolutional neural network approach to single-particle recognition in cryo-electron microscopy </t>
  </si>
  <si>
    <t xml:space="preserve">Single-particle cryo-electron microscopy (cryo-EM) has become a mainstream tool for the structural determination of biological macromolecular complexes  However, high-resolution cryo-EM reconstruction often requires hundreds of thousands of single-particle images  Particle extraction from experimental micrographs thus can be laborious and presents a major practical bottleneck in cryo-EM structural determination  Existing computational methods for particle picking often use low-resolution templates for particle matching, making them susceptible to reference-dependent bias  It is critical to develop a highly efficient template-free method for the automatic recognition of particle images from cryo-EM micrographs We developed a deep learning-based algorithmic framework, DeepEM, for single-particle recognition from noisy cryo-EM micrographs, enabling automated particle picking, selection and verification in an integrated fashion  The kernel of DeepEM is built upon a convolutional neural network (CNN) composed of eight layers, which can be recursively trained to be highly "knowledgeable"  Our approach exhibits an improved performance and accuracy when tested on the standard KLH dataset  Application of DeepEM to several challenging experimental cryo-EM datasets demonstrated its ability to avoid the selection of un-wanted particles and non-particles even when true particles contain fewer features The DeepEM methodology, derived from a deep CNN, allows automated particle extraction from raw cryo-EM micrographs in the absence of a template  It demonstrates an improved performance, objectivity and accuracy  Application of this novel method is expected to free the labor involved in single-particle verification, significantly improving the efficiency of cryo-EM data processing </t>
  </si>
  <si>
    <t>CNN,DEEPEM</t>
  </si>
  <si>
    <t xml:space="preserve">Center for Quantitative Biology, Peking University, Beijing, 100871, China </t>
  </si>
  <si>
    <t>Zhu, Y; Ouyang, Q; Mao, Y</t>
  </si>
  <si>
    <t>10 1016/j media 2017 06 015</t>
  </si>
  <si>
    <t xml:space="preserve">Validation, comparison, and combination of algorithms for automatic detection of pulmonary nodules in computed tomography images: The LUNA16 challenge </t>
  </si>
  <si>
    <t xml:space="preserve">Automatic detection of pulmonary nodules in thoracic computed tomography (CT) scans has been an active area of research for the last two decades  However, there have only been few studies that provide a comparative performance evaluation of different systems on a common database  We have therefore set up the LUNA16 challenge, an objective evaluation framework for automatic nodule detection algorithms using the largest publicly available reference database of chest CT scans, the LIDC-IDRI data set  In LUNA16, participants develop their algorithm and upload their predictions on 888 CT scans in one of the two tracks: 1) the complete nodule detection track where a complete CAD system should be developed, or 2) the false positive reduction track where a provided set of nodule candidates should be classified  This paper describes the setup of LUNA16 and presents the results of the challenge so far  Moreover, the impact of combining individual systems on the detection performance was also investigated  It was observed that the leading solutions employed convolutional networks and used the provided set of nodule candidates  The combination of these solutions achieved an excellent sensitivity of over 95% at fewer than 1 0 false positives per scan  This highlights the potential of combining algorithms to improve the detection performance  Our observer study with four expert readers has shown that the best system detects nodules that were missed by expert readers who originally annotated the LIDC-IDRI data  We released this set of additional nodules for further development of CAD systems </t>
  </si>
  <si>
    <t>CNN, ZNET</t>
  </si>
  <si>
    <t xml:space="preserve">Diagnostic Image Analysis Group, Radboud University Medical Center, Nijmegen, The Netherlands </t>
  </si>
  <si>
    <t>Setio, AAA; Traverso, A; de Bel, T; Berens, MSN; Bogaard, CVD; Cerello, P; Chen, H; Dou, Q; Fantacci, ME; Geurts, B; Gugten, RV; Heng, PA; Jansen, B; de Kaste, MMJ; Kotov, V; Lin, JY; Manders, JTMC; Sóñora-Mengana, A; García-Naranjo, JC; Papavasileiou, E; Prokop, M; Saletta, M; Schaefer-Prokop, CM; Scholten, ET; Scholten, L; Snoeren, MM; Torres, EL; Vandemeulebroucke, J; Walasek, N; Zuidhof, GCA; Ginneken, BV; Jacobs, C</t>
  </si>
  <si>
    <t>10 1002/mp 12480</t>
  </si>
  <si>
    <t xml:space="preserve">Deep learning of the sectional appearances of 3D CT images for anatomical structure segmentation based on an FCN voting method </t>
  </si>
  <si>
    <t xml:space="preserve">We propose a single network trained by pixel-to-label deep learning to address the general issue of automatic multiple organ segmentation in three-dimensional (3D) computed tomography (CT) images  Our method can be described as a voxel-wise multiple-class classification scheme for automatically assigning labels to each pixel/voxel in a 2D/3D CT image We simplify the segmentation algorithms of anatomical structures (including multiple organs) in a CT image (generally in 3D) to a majority voting scheme over the semantic segmentation of multiple 2D slices drawn from different viewpoints with redundancy  The proposed method inherits the spirit of fully convolutional networks (FCNs) that consist of "convolution" and "deconvolution" layers for 2D semantic image segmentation, and expands the core structure with 3D-2D-3D transformations to adapt to 3D CT image segmentation  All parameters in the proposed network are trained pixel-to-label from a small number of CT cases with human annotations as the ground truth  The proposed network naturally fulfills the requirements of multiple organ segmentations in CT cases of different sizes that cover arbitrary scan regions without any adjustment The proposed network was trained and validated using the simultaneous segmentation of 19 anatomical structures in the human torso, including 17 major organs and two special regions (lumen and content inside of stomach)  Some of these structures have never been reported in previous research on CT segmentation  A database consisting of 240 (95% for training and 5% for testing) 3D CT scans, together with their manually annotated ground-truth segmentations, was used in our experiments  The results show that the 19 structures of interest were segmented with acceptable accuracy (88 1% and 87 9% voxels in the training and testing datasets, respectively, were labeled correctly) against the ground truth We propose a single network based on pixel-to-label deep learning to address the challenging issue of anatomical structure segmentation in 3D CT cases  The novelty of this work is the policy of deep learning of the different 2D sectional appearances of 3D anatomical structures for CT cases and the majority voting of the 3D segmentation results from multiple crossed 2D sections to achieve availability and reliability with better efficiency, generality, and flexibility than conventional segmentation methods, which must be guided by human expertise </t>
  </si>
  <si>
    <t xml:space="preserve">Department of Intelligent Image Information, Graduate School of Medicine, Gifu University, Gifu, 501-1194, Japan </t>
  </si>
  <si>
    <t>Zhou, X; Takayama, R; Wang, S; Hara, T; Fujita, H</t>
  </si>
  <si>
    <t>10 1109/JBHI 2017 2725903</t>
  </si>
  <si>
    <t xml:space="preserve">An Automatic Detection System of Lung Nodule Based on Multigroup Patch-Based Deep Learning Network </t>
  </si>
  <si>
    <t xml:space="preserve">High-efficiency lung nodule detection dramatically contributes to the risk assessment of lung cancer  It is a significant and challenging task to quickly locate the exact positions of lung nodules  Extensive work has been done by researchers around this domain for approximately two decades  However, previous computer-aided detection (CADe) schemes are mostly intricate and time-consuming since they may require more image processing modules, such as the computed tomography image transformation, the lung nodule segmentation, and the feature extraction, to construct a whole CADe system  It is difficult for these schemes to process and analyze enormous data when the medical images continue to increase  Besides, some state of the art deep learning schemes may be strict in the standard of database  This study proposes an effective lung nodule detection scheme based on multigroup patches cut out from the lung images, which are enhanced by the Frangi filter  Through combining two groups of images, a four-channel convolution neural networks model is designed to learn the knowledge of radiologists for detecting nodules of four levels  This CADe scheme can acquire the sensitivity of 80 06% with 4 7 false positives per scan and the sensitivity of 94% with 15 1 false positives per scan  The results demonstrate that the multigroup patch-based learning system is efficient to improve the performance of lung nodule detection and greatly reduce the false positives under a huge amount of image data </t>
  </si>
  <si>
    <t xml:space="preserve">the Sino-Dutch Biomedical and Information Engineering School, Northeastern University, Shenyang 110819, China </t>
  </si>
  <si>
    <t xml:space="preserve">Jiang, H; Ma, H; Qian, W; Gao, M; Li, Y; Hongyang Jiang, ; He Ma, ; Wei Qian, ; Mengdi Gao, ; Yan Li, </t>
  </si>
  <si>
    <t>10 1038/s41598-017-05848-2</t>
  </si>
  <si>
    <t xml:space="preserve">Deep Learning based Radiomics (DLR) and its usage in noninvasive IDH1 prediction for low grade glioma </t>
  </si>
  <si>
    <t xml:space="preserve">Deep learning-based radiomics (DLR) was developed to extract deep information from multiple modalities of magnetic resonance (MR) images  The performance of DLR for predicting the mutation status of isocitrate dehydrogenase 1 (IDH1) was validated in a dataset of 151 patients with low-grade glioma  A modified convolutional neural network (CNN) structure with 6 convolutional layers and a fully connected layer with 4096 neurons was used to segment tumors  Instead of calculating image features from segmented images, as typically performed for normal radiomics approaches, image features were obtained by normalizing the information of the last convolutional layers of the CNN  Fisher vector was used to encode the CNN features from image slices of different sizes  High-throughput features with dimensionality greater than 1 6*104 were obtained from the CNN  Paired t-tests and F-scores were used to select CNN features that were able to discriminate IDH1  With the same dataset, the area under the operating characteristic curve (AUC) of the normal radiomics method was 86% for IDH1 estimation, whereas for DLR the AUC was 92%  The AUC of IDH1 estimation was further improved to 95% using DLR based on multiple-modality MR images  DLR could be a powerful way to extract deep information from medical images </t>
  </si>
  <si>
    <t xml:space="preserve">Department of Electronic Engineering, Fudan University, Shanghai, China </t>
  </si>
  <si>
    <t>Li, Z; Wang, Y; Yu, J; Guo, Y; Cao, W</t>
  </si>
  <si>
    <t>10 1038/s41598-017-05728-9</t>
  </si>
  <si>
    <t xml:space="preserve">Deep Learning for Fully-Automated Localization and Segmentation of Rectal Cancer on Multiparametric MR </t>
  </si>
  <si>
    <t xml:space="preserve">Multiparametric Magnetic Resonance Imaging (MRI) can provide detailed information of the physical characteristics of rectum tumours  Several investigations suggest that volumetric analyses on anatomical and functional MRI contain clinically valuable information  However, manual delineation of tumours is a time consuming procedure, as it requires a high level of expertise  Here, we evaluate deep learning methods for automatic localization and segmentation of rectal cancers on multiparametric MR imaging  MRI scans (1 5T, T2-weighted, and DWI) of 140 patients with locally advanced rectal cancer were included in our analysis, equally divided between discovery and validation datasets  Two expert radiologists segmented each tumor  A convolutional neural network (CNN) was trained on the multiparametric MRIs of the discovery set to classify each voxel into tumour or non-tumour  On the independent validation dataset, the CNN showed high segmentation accuracy for reader1 (Dice Similarity Coefficient (DSC = 0 68) and reader2 (DSC = 0 70)  The area under the curve (AUC) of the resulting probability maps was very high for both readers, AUC = 0 99 (SD = 0 05)  Our results demonstrate that deep learning can perform accurate localization and segmentation of rectal cancer in MR imaging in the majority of patients  Deep learning technologies have the potential to improve the speed and accuracy of MRI-based rectum segmentations </t>
  </si>
  <si>
    <t xml:space="preserve">Department of Radiology, the Netherlands Cancer Institute, Amsterdam, The Netherlands </t>
  </si>
  <si>
    <t>Trebeschi, S; van Griethuysen, JJM; Lambregts, DMJ; Lahaye, MJ; Parmar, C; Bakers, FCH; Peters, NHGM; Beets-Tan, RGH; Aerts, HJWL</t>
  </si>
  <si>
    <t>10 1016/j neuroimage 2017 07 008</t>
  </si>
  <si>
    <t xml:space="preserve">Quicksilver: Fast predictive image registration - A deep learning approach </t>
  </si>
  <si>
    <t xml:space="preserve">This paper introduces Quicksilver, a fast deformable image registration method  Quicksilver registration for image-pairs works by patch-wise prediction of a deformation model based directly on image appearance  A deep encoder-decoder network is used as the prediction model  While the prediction strategy is general, we focus on predictions for the Large Deformation Diffeomorphic Metric Mapping (LDDMM) model  Specifically, we predict the momentum-parameterization of LDDMM, which facilitates a patch-wise prediction strategy while maintaining the theoretical properties of LDDMM, such as guaranteed diffeomorphic mappings for sufficiently strong regularization  We also provide a probabilistic version of our prediction network which can be sampled during the testing time to calculate uncertainties in the predicted deformations  Finally, we introduce a new correction network which greatly increases the prediction accuracy of an already existing prediction network  We show experimental results for uni-modal atlas-to-image as well as uni-/multi-modal image-to-image registrations  These experiments demonstrate that our method accurately predicts registrations obtained by numerical optimization, is very fast, achieves state-of-the-art registration results on four standard validation datasets, and can jointly learn an image similarity measure  Quicksilver is freely available as an open-source software </t>
  </si>
  <si>
    <t xml:space="preserve">University of North Carolina at Chapel Hill, Chapel Hill, USA  Electronic address: xy@cs unc edu </t>
  </si>
  <si>
    <t>Yang, X; Kwitt, R; Styner, M; Niethammer, M</t>
  </si>
  <si>
    <t>10 1007/s10278-017-9997-y</t>
  </si>
  <si>
    <t xml:space="preserve">Thyroid Nodule Classification in Ultrasound Images by Fine-Tuning Deep Convolutional Neural Network </t>
  </si>
  <si>
    <t xml:space="preserve">With many thyroid nodules being incidentally detected, it is important to identify as many malignant nodules as possible while excluding those that are highly likely to be benign from fine needle aspiration (FNA) biopsies or surgeries  This paper presents a computer-aided diagnosis (CAD) system for classifying thyroid nodules in ultrasound images  We use deep learning approach to extract features from thyroid ultrasound images  Ultrasound images are pre-processed to calibrate their scale and remove the artifacts  A pre-trained GoogLeNet model is then fine-tuned using the pre-processed image samples which leads to superior feature extraction  The extracted features of the thyroid ultrasound images are sent to a Cost-sensitive Random Forest classifier to classify the images into "malignant" and "benign" cases  The experimental results show the proposed fine-tuned GoogLeNet model achieves excellent classification performance, attaining 98 29% classification accuracy, 99 10% sensitivity and 93 90% specificity for the images in an open access database (Pedraza et al  16), while 96 34% classification accuracy, 86% sensitivity and 99% specificity for the images in our local health region database </t>
  </si>
  <si>
    <t xml:space="preserve">Department of Computer Science, University of Saskatchewan, 176 Thorvaldson Bldg, 110 Science Place, Saskatoon, SK, S7N 5C9, Canada </t>
  </si>
  <si>
    <t>Chi, J; Walia, E; Babyn, P; Wang, J; Groot, G; Eramian, M</t>
  </si>
  <si>
    <t>10 1016/j media 2017 06 014</t>
  </si>
  <si>
    <t xml:space="preserve">Central focused convolutional neural networks: Developing a data-driven model for lung nodule segmentation </t>
  </si>
  <si>
    <t xml:space="preserve">Accurate lung nodule segmentation from computed tomography (CT) images is of great importance for image-driven lung cancer analysis  However, the heterogeneity of lung nodules and the presence of similar visual characteristics between nodules and their surroundings make it difficult for robust nodule segmentation  In this study, we propose a data-driven model, termed the Central Focused Convolutional Neural Networks (CF-CNN), to segment lung nodules from heterogeneous CT images  Our approach combines two key insights: 1) the proposed model captures a diverse set of nodule-sensitive features from both 3-D and 2-D CT images simultaneously; 2) when classifying an image voxel, the effects of its neighbor voxels can vary according to their spatial locations  We describe this phenomenon by proposing a novel central pooling layer retaining much information on voxel patch center, followed by a multi-scale patch learning strategy  Moreover, we design a weighted sampling to facilitate the model training, where training samples are selected according to their degree of segmentation difficulty  The proposed method has been extensively evaluated on the public LIDC dataset including 893 nodules and an independent dataset with 74 nodules from Guangdong General Hospital (GDGH)  We showed that CF-CNN achieved superior segmentation performance with average dice scores of 82 15% and 80 02% for the two datasets respectively  Moreover, we compared our results with the inter-radiologists consistency on LIDC dataset, showing a difference in average dice score of only 1 98% </t>
  </si>
  <si>
    <t xml:space="preserve">CAS Key Laboratory of Molecular Imaging, Institute of Automation, Chinese Academy of Sciences, Beijing 100190, China; University of Chinese Academy of Sciences, Beijing 100049, China </t>
  </si>
  <si>
    <t>Wang, S; Zhou, M; Liu, Z; Liu, Z; Gu, D; Zang, Y; Dong, D; Gevaert, O; Tian, J</t>
  </si>
  <si>
    <t>10 1080/17453674 2017 1344459</t>
  </si>
  <si>
    <t xml:space="preserve">Artificial intelligence for analyzing orthopedic trauma radiographs </t>
  </si>
  <si>
    <t xml:space="preserve">Background and purpose - Recent advances in artificial intelligence (deep learning) have shown remarkable performance in classifying non-medical images, and the technology is believed to be the next technological revolution  So far it has never been applied in an orthopedic setting, and in this study we sought to determine the feasibility of using deep learning for skeletal radiographs  Methods - We extracted 256,000 wrist, hand, and ankle radiographs from Danderyd's Hospital and identified 4 classes: fracture, laterality, body part, and exam view  We then selected 5 openly available deep learning networks that were adapted for these images  The most accurate network was benchmarked against a gold standard for fractures  We furthermore compared the network's performance with 2 senior orthopedic surgeons who reviewed images at the same resolution as the network  Results - All networks exhibited an accuracy of at least 90% when identifying laterality, body part, and exam view  The final accuracy for fractures was estimated at 83% for the best performing network  The network performed similarly to senior orthopedic surgeons when presented with images at the same resolution as the network  The 2 reviewer Cohen's kappa under these conditions was 0 76  Interpretation - This study supports the use for orthopedic radiographs of artificial intelligence, which can perform at a human level  While current implementation lacks important features that surgeons require, e g  risk of dislocation, classifications, measurements, and combining multiple exam views, these problems have technical solutions that are waiting to be implemented for orthopedics </t>
  </si>
  <si>
    <t xml:space="preserve">a Department of Clinical Sciences , Karolinska Institutet , Danderyd Hospital </t>
    <phoneticPr fontId="0" type="noConversion"/>
  </si>
  <si>
    <t>Olczak, J; Fahlberg, N; Maki, A; Razavian, AS; Jilert, A; Stark, A; Sköldenberg, O; Gordon, M</t>
  </si>
  <si>
    <t>10 1109/TIP 2017 2721106</t>
  </si>
  <si>
    <t xml:space="preserve">Detecting Anatomical Landmarks From Limited Medical Imaging Data Using Two-Stage Task-Oriented Deep Neural Networks </t>
  </si>
  <si>
    <t xml:space="preserve">One of the major challenges in anatomical landmark detection, based on deep neural networks, is the limited availability of medical imaging data for network learning  To address this problem, we present a two-stage task-oriented deep learning method to detect large-scale anatomical landmarks simultaneously in real time, using limited training data  Specifically, our method consists of two deep convolutional neural networks (CNN), with each focusing on one specific task  Specifically, to alleviate the problem of limited training data, in the first stage, we propose a CNN based regression model using millions of image patches as input, aiming to learn inherent associations between local image patches and target anatomical landmarks  To further model the correlations among image patches, in the second stage, we develop another CNN model, which includes a) a fully convolutional network that shares the same architecture and network weights as the CNN used in the first stage and also b) several extra layers to jointly predict coordinates of multiple anatomical landmarks  Importantly, our method can jointly detect large-scale (e g , thousands of) landmarks in real time  We have conducted various experiments for detecting 1200 brain landmarks from the 3D T1-weighted magnetic resonance images of 700 subjects, and also 7 prostate landmarks from the 3D computed tomography images of 73 subjects  The experimental results show the effectiveness of our method regarding both accuracy and efficiency in the anatomical landmark detection </t>
  </si>
  <si>
    <t xml:space="preserve">He received the B S  degree in 2009 and Ph D  degree in 2014 from Xidian University, Xi’an, China </t>
  </si>
  <si>
    <t>Zhang, J; Liu, M; Shen, D</t>
  </si>
  <si>
    <t>10 1148/radiol 2017162664</t>
  </si>
  <si>
    <t xml:space="preserve">Automated Critical Test Findings Identification and Online Notification System Using Artificial Intelligence in Imaging </t>
  </si>
  <si>
    <t xml:space="preserve">Purpose To evaluate the performance of an artificial intelligence (AI) tool using a deep learning algorithm for detecting hemorrhage, mass effect, or hydrocephalus (HMH) at non-contrast material-enhanced head computed tomographic (CT) examinations and to determine algorithm performance for detection of suspected acute infarct (SAI)  Materials and Methods This HIPAA-compliant retrospective study was completed after institutional review board approval  A training and validation dataset of noncontrast-enhanced head CT examinations that comprised 100 examinations of HMH, 22 of SAI, and 124 of noncritical findings was obtained resulting in 2583 representative images  Examinations were processed by using a convolutional neural network (deep learning) using two different window and level configurations (brain window and stroke window)  AI algorithm performance was tested on a separate dataset containing 50 examinations with HMH findings, 15 with SAI findings, and 35 with noncritical findings  Results Final algorithm performance for HMH showed 90% (45 of 50) sensitivity (95% confidence interval [CI]: 78%, 97%) and 85% (68 of 80) specificity (95% CI: 76%, 92%), with area under the receiver operating characteristic curve (AUC) of 0 91 with the brain window  For SAI, the best performance was achieved with the stroke window showing 62% (13 of 21) sensitivity (95% CI: 38%, 82%) and 96% (27 of 28) specificity (95% CI: 82%, 100%), with AUC of 0 81  Conclusion AI using deep learning demonstrates promise for detecting critical findings at noncontrast-enhanced head CT  A dedicated algorithm was required to detect SAI  Detection of SAI showed lower sensitivity in comparison to detection of HMH, but showed reasonable performance  Findings support further investigation of the algorithm in a controlled and prospective clinical setting to determine whether it can independently screen noncontrast-enhanced head CT examinations and notify the interpreting radiologist of critical findings  © RSNA, 2017 Online supplemental material is available for this article </t>
  </si>
  <si>
    <t xml:space="preserve">From the Department of Radiology, The Ohio State University Wexner Medical Center, 395 W 12th Ave, 4th Floor, Room 422, Columbus, OH 43210 </t>
  </si>
  <si>
    <t>Prevedello, LM; Erdal, BS; Ryu, JL; Little, KJ; Demirer, M; Qian, S; White, RD</t>
  </si>
  <si>
    <t>10 1016/j nicl 2017 06 016</t>
  </si>
  <si>
    <t xml:space="preserve">Fully automatic acute ischemic lesion segmentation in DWI using convolutional neural networks </t>
  </si>
  <si>
    <t xml:space="preserve">Stroke is an acute cerebral vascular disease, which is likely to cause long-term disabilities and death  Acute ischemic lesions occur in most stroke patients  These lesions are treatable under accurate diagnosis and treatments  Although diffusion-weighted MR imaging (DWI) is sensitive to these lesions, localizing and quantifying them manually is costly and challenging for clinicians  In this paper, we propose a novel framework to automatically segment stroke lesions in DWI  Our framework consists of two convolutional neural networks (CNNs): one is an ensemble of two DeconvNets (Noh et al , 2015), which is the EDD Net; the second CNN is the multi-scale convolutional label evaluation net (MUSCLE Net), which aims to evaluate the lesions detected by the EDD Net in order to remove potential false positives  To the best of our knowledge, it is the first attempt to solve this problem and using both CNNs achieves very good results  Furthermore, we study the network architectures and key configurations in detail to ensure the best performance  It is validated on a large dataset comprising clinical acquired DW images from 741 subjects  A mean accuracy of Dice coefficient obtained is 0 67 in total  The mean Dice scores based on subjects with only small and large lesions are 0 61 and 0 83, respectively  The lesion detection rate achieved is 0 94 </t>
  </si>
  <si>
    <t xml:space="preserve">BioMedIA Group, Department of Computing, Imperial College London, 180 Queen's Gate, London SW7 2AZ, UK; Division of Brain Sciences, Department of Medicine, Imperial College London, Fulham Palace Road, London W6 8RF, UK  Electronic address: liang chen12@imperial ac uk </t>
  </si>
  <si>
    <t>Chen, L; Bentley, P; Rueckert, D</t>
  </si>
  <si>
    <t>10 1007/s10278-017-9993-2</t>
  </si>
  <si>
    <t xml:space="preserve">Malignancy Detection on Mammography Using Dual Deep Convolutional Neural Networks and Genetically Discovered False Color Input Enhancement </t>
  </si>
  <si>
    <t xml:space="preserve">Breast cancer is the most prevalent malignancy in the US and the third highest cause of cancer-related mortality worldwide  Regular mammography screening has been attributed with doubling the rate of early cancer detection over the past three decades, yet estimates of mammographic accuracy in the hands of experienced radiologists remain suboptimal with sensitivity ranging from 62 to 87% and specificity from 75 to 91%  Advances in machine learning (ML) in recent years have demonstrated capabilities of image analysis which often surpass those of human observers  Here we present two novel techniques to address inherent challenges in the application of ML to the domain of mammography  We describe the use of genetic search of image enhancement methods, leading us to the use of a novel form of false color enhancement through contrast limited adaptive histogram equalization (CLAHE), as a method to optimize mammographic feature representation  We also utilize dual deep convolutional neural networks at different scales, for classification of full mammogram images and derivative patches combined with a random forest gating network as a novel architectural solution capable of discerning malignancy with a specificity of 0 91 and a specificity of 0 80  To our knowledge, this represents the first automatic stand-alone mammography malignancy detection algorithm with sensitivity and specificity performance similar to that of expert radiologists </t>
  </si>
  <si>
    <t xml:space="preserve">Zebra Medical Vision LTD, Shfayim, Israel </t>
  </si>
  <si>
    <t>Teare, P; Fishman, M; Benzaquen, O; Toledano, E; Elnekave, E</t>
  </si>
  <si>
    <t>10 1117/1 JBO 22 6 060503</t>
  </si>
  <si>
    <t xml:space="preserve">Deep convolutional neural networks for classifying head and neck cancer using hyperspectral imaging </t>
  </si>
  <si>
    <t xml:space="preserve">Surgical cancer resection requires an accurate and timely diagnosis of the cancer margins in order to achieve successful patient remission  Hyperspectral imaging (HSI) has emerged as a useful, noncontact technique for acquiring spectral and optical properties of tissue  A convolutional neural network (CNN) classifier is developed to classify excised, squamous-cell carcinoma, thyroid cancer, and normal head and neck tissue samples using HSI  The CNN classification was validated by the manual annotation of a pathologist specialized in head and neck cancer  The preliminary results of 50 patients indicate the potential of HSI and deep learning for automatic tissue-labeling of surgical specimens of head and neck patients </t>
  </si>
  <si>
    <t xml:space="preserve">Georgia Institute of Technology and Emory University, The Wallace H  Coulter Department of Biomedical Engineering, Atlanta, Georgia, United StatesbMedical College of Georgia, Augusta, Georgia, United States </t>
  </si>
  <si>
    <t>Halicek, M; Lu, G; Little, JV; Wang, X; Patel, M; Griffith, CC; El-Deiry, MW; Chen, AY; Fei, B</t>
  </si>
  <si>
    <t>10 1007/s10278-017-9988-z</t>
  </si>
  <si>
    <t xml:space="preserve">Pixel-Level Deep Segmentation: Artificial Intelligence Quantifies Muscle on Computed Tomography for Body Morphometric Analysis </t>
  </si>
  <si>
    <t xml:space="preserve">Pretreatment risk stratification is key for personalized medicine  While many physicians rely on an "eyeball test" to assess whether patients will tolerate major surgery or chemotherapy, "eyeballing" is inherently subjective and difficult to quantify  The concept of morphometric age derived from cross-sectional imaging has been found to correlate well with outcomes such as length of stay, morbidity, and mortality  However, the determination of the morphometric age is time intensive and requires highly trained experts  In this study, we propose a fully automated deep learning system for the segmentation of skeletal muscle cross-sectional area (CSA) on an axial computed tomography image taken at the third lumbar vertebra  We utilized a fully automated deep segmentation model derived from an extended implementation of a fully convolutional network with weight initialization of an ImageNet pre-trained model, followed by post processing to eliminate intramuscular fat for a more accurate analysis  This experiment was conducted by varying window level (WL), window width (WW), and bit resolutions in order to better understand the effects of the parameters on the model performance  Our best model, fine-tuned on 250 training images and ground truth labels, achieves 0 93 ± 0 02 Dice similarity coefficient (DSC) and 3 68 ± 2 29% difference between predicted and ground truth muscle CSA on 150 held-out test cases  Ultimately, the fully automated segmentation system can be embedded into the clinical environment to accelerate the quantification of muscle and expanded to volume analysis of 3D datasets </t>
  </si>
  <si>
    <t>Lee, H; Troschel, FM; Tajmir, S; Fuchs, G; Mario, J; Fintelmann, FJ; Do, S</t>
  </si>
  <si>
    <t>10 1109/TMI 2017 2715285</t>
  </si>
  <si>
    <t xml:space="preserve">Modeling Task fMRI Data Via Deep Convolutional Autoencoder </t>
  </si>
  <si>
    <t xml:space="preserve">Task-based functional magnetic resonance imaging (tfMRI) has been widely used to study functional brain networks under task performance  Modeling tfMRI data is challenging due to at least two problems: the lack of the ground truth of underlying neural activity and the highly complex intrinsic structure of tfMRI data  To better understand brain networks based on fMRI data, data-driven approaches have been proposed, for instance, independent component analysis (ICA) and sparse dictionary learning (SDL)  However, both ICA and SDL only build shallow models, and they are under the strong assumption that original fMRI signal could be linearly decomposed into time series components with their corresponding spatial maps  As growing evidence shows that human brain function is hierarchically organized, new approaches that can infer and model the hierarchical structure of brain networks are widely called for  Recently, deep convolutional neural network (CNN) has drawn much attention, in that deep CNN has proven to be a powerful method for learning high-level and mid-level abstractions from low-level raw data  Inspired by the power of deep CNN, in this paper, we developed a new neural network structure based on CNN, called deep convolutional auto-encoder (DCAE), in order to take the advantages of both data-driven approach and CNN's hierarchical feature abstraction ability for the purpose of learning mid-level and high-level features from complex, large-scale tfMRI time series in an unsupervised manner  The DCAE has been applied and tested on the publicly available human connectome project tfMRI data sets, and promising results are achieved </t>
  </si>
  <si>
    <t>CNN,CONVOLUTIONAL AUTOENCODER</t>
  </si>
  <si>
    <t>School of Automation, Northwestern Polytechnical University, Xi'an, China</t>
    <phoneticPr fontId="0" type="noConversion"/>
  </si>
  <si>
    <t>Huang, H; Hu, X; Zhao, Y; Makkie, M; Dong, Q; Zhao, S; Guo, L; Liu, T</t>
  </si>
  <si>
    <t>10 1109/TBME 2017 2715281</t>
  </si>
  <si>
    <t xml:space="preserve">Automatic Recognition of fMRI-Derived Functional Networks Using 3-D Convolutional Neural Networks </t>
  </si>
  <si>
    <t xml:space="preserve">Current functional magnetic resonance imaging (fMRI) data modeling techniques, such as independent component analysis and sparse coding methods, can effectively reconstruct dozens or hundreds of concurrent interacting functional brain networks simultaneously from the whole brain fMRI signals  However, such reconstructed networks have no correspondences across different subjects  Thus, automatic, effective, and accurate classification and recognition of these large numbers of fMRI-derived functional brain networks are very important for subsequent steps of functional brain analysis in cognitive and clinical neuroscience applications  However, this task is still a challenging and open problem due to the tremendous variability of various types of functional brain networks and the presence of various sources of noises  In recognition of the fact that convolutional neural networks (CNN) has superior capability of representing spatial patterns with huge variability and dealing with large noises, in this paper, we design, apply, and evaluate a deep 3-D CNN framework for automatic, effective, and accurate classification and recognition of large number of functional brain networks reconstructed by sparse representation of whole-brain fMRI signals  Our extensive experimental results based on the Human Connectome Project fMRI data showed that the proposed deep 3-D CNN can effectively and robustly perform functional networks classification and recognition tasks, while maintaining a high tolerance for mistakenly labeled training instances  This study provides a new deep learning approach for modeling functional connectomes based on fMRI data </t>
  </si>
  <si>
    <t>Zhao, Y; Dong, Q; Zhang, S; Zhang, W; Chen, H; Jiang, X; Guo, L; Hu, X; Han, J; Liu, T</t>
  </si>
  <si>
    <t>10 1371/journal pone 0179790</t>
  </si>
  <si>
    <t xml:space="preserve">Applying artificial intelligence to disease staging: Deep learning for improved staging of diabetic retinopathy </t>
  </si>
  <si>
    <t xml:space="preserve">Disease staging involves the assessment of disease severity or progression and is used for treatment selection  In diabetic retinopathy, disease staging using a wide area is more desirable than that using a limited area  We investigated if deep learning artificial intelligence (AI) could be used to grade diabetic retinopathy and determine treatment and prognosis The retrospective study analyzed 9,939 posterior pole photographs of 2,740 patients with diabetes  Nonmydriatic 45° field color fundus photographs were taken of four fields in each eye annually at Jichi Medical University between May 2011 and June 2015  A modified fully randomly initialized GoogLeNet deep learning neural network was trained on 95% of the photographs using manual modified Davis grading of three additional adjacent photographs  We graded 4,709 of the 9,939 posterior pole fundus photographs using real prognoses  In addition, 95% of the photographs were learned by the modified GoogLeNet  Main outcome measures were prevalence and bias-adjusted Fleiss' kappa (PABAK) of AI staging of the remaining 5% of the photographs The PABAK to modified Davis grading was 0 64 (accuracy, 81%; correct answer in 402 of 496 photographs)  The PABAK to real prognosis grading was 0 37 (accuracy, 96%) We propose a novel AI disease-staging system for grading diabetic retinopathy that involves a retinal area not typically visualized on fundoscopy and another AI that directly suggests treatments and determines prognoses </t>
  </si>
  <si>
    <t xml:space="preserve">Department of Ophthalmology, Jichi Medical University, 3311-1 Yakushiji, Shimotsuke-shi, Tochigi, Japan </t>
  </si>
  <si>
    <t>Takahashi, H; Tampo, H; Arai, Y; Inoue, Y; Kawashima, H</t>
  </si>
  <si>
    <t>10 1007/s11548-017-1627-0</t>
  </si>
  <si>
    <t xml:space="preserve">Detection and grading of prostate cancer using temporal enhanced ultrasound: combining deep neural networks and tissue mimicking simulations </t>
  </si>
  <si>
    <t xml:space="preserve">PURPOSE  : Temporal Enhanced Ultrasound (TeUS) has been proposed as a new paradigm for tissue characterization based on a sequence of ultrasound radio frequency (RF) data  We previously used TeUS to successfully address the problem of prostate cancer detection in the fusion biopsies  METHODS  : In this paper, we use TeUS to address the problem of grading prostate cancer in a clinical study of 197 biopsy cores from 132 patients  Our method involves capturing high-level latent features of TeUS with a deep learning approach followed by distribution learning to cluster aggressive cancer in a biopsy core  In this hypothesis-generating study, we utilize deep learning based feature visualization as a means to obtain insight into the physical phenomenon governing the interaction of temporal ultrasound with tissue  RESULTS  : Based on the evidence derived from our feature visualization, and the structure of tissue from digital pathology, we build a simulation framework for studying the physical phenomenon underlying TeUS-based tissue characterization  CONCLUSION  : Results from simulation and feature visualization corroborated with the hypothesis that micro-vibrations of tissue microstructure, captured by low-frequency spectral features of TeUS, can be used for detection of prostate cancer </t>
  </si>
  <si>
    <t xml:space="preserve">The University of British Columbia, Vancouver, BC, Canada  shazizi@ece ubc ca </t>
  </si>
  <si>
    <t>Azizi, S; Bayat, S; Yan, P; Tahmasebi, A; Nir, G; Kwak, JT; Xu, S; Wilson, S; Iczkowski, KA; Lucia, MS; Goldenberg, L; Salcudean, SE; Pinto, PA; Wood, B; Abolmaesumi, P; Mousavi, P</t>
  </si>
  <si>
    <t>10 1109/TMI 2017 2715284</t>
  </si>
  <si>
    <t xml:space="preserve">Low-Dose CT With a Residual Encoder-Decoder Convolutional Neural Network </t>
  </si>
  <si>
    <t xml:space="preserve">Given the potential risk of X-ray radiation to the patient, low-dose CT has attracted a considerable interest in the medical imaging field  Currently, the main stream low-dose CT methods include vendor-specific sinogram domain filtration and iterative reconstruction algorithms, but they need to access raw data, whose formats are not transparent to most users  Due to the difficulty of modeling the statistical characteristics in the image domain, the existing methods for directly processing reconstructed images cannot eliminate image noise very well while keeping structural details  Inspired by the idea of deep learning, here we combine the autoencoder, deconvolution network, and shortcut connections into the residual encoder-decoder convolutional neural network (RED-CNN) for low-dose CT imaging  After patch-based training, the proposed RED-CNN achieves a competitive performance relative to the-state-of-art methods in both simulated and clinical cases  Especially, our method has been favorably evaluated in terms of noise suppression, structural preservation, and lesion detection </t>
  </si>
  <si>
    <t>College of Computer Science, Sichuan University, Chengdu 610065, China</t>
    <phoneticPr fontId="0" type="noConversion"/>
  </si>
  <si>
    <t>Chen, H; Zhang, Y; Kalra, MK; Lin, F; Chen, Y; Liao, P; Zhou, J; Wang, G</t>
  </si>
  <si>
    <t>10 1121/1 4984122</t>
  </si>
  <si>
    <t xml:space="preserve">Convolutional neural network-based automatic classification of midsagittal tongue gestural targets using B-mode ultrasound images </t>
  </si>
  <si>
    <t xml:space="preserve">Tongue gestural target classification is of great interest to researchers in the speech production field  Recently, deep convolutional neural networks (CNN) have shown superiority to standard feature extraction techniques in a variety of domains  In this letter, both CNN-based speaker-dependent and speaker-independent tongue gestural target classification experiments are conducted to classify tongue gestures during natural speech production  The CNN-based method achieves state-of-the-art performance, even though no pre-training of the CNN (with the exception of a data augmentation preprocessing) was carried out </t>
  </si>
  <si>
    <t>The Journal of the Acoustical Society of America</t>
  </si>
  <si>
    <t>Department of Engineering, Université Pierre et Marie Curie, Paris 75005, France</t>
    <phoneticPr fontId="0" type="noConversion"/>
  </si>
  <si>
    <t>Xu, K; Roussel, P; Csapó, TG; Denby, B</t>
  </si>
  <si>
    <t>7503051</t>
  </si>
  <si>
    <t>10 1117/12 2256011</t>
  </si>
  <si>
    <t xml:space="preserve">DeepInfer: Open-Source Deep Learning Deployment Toolkit for Image-Guided Therapy </t>
  </si>
  <si>
    <t xml:space="preserve">Deep learning models have outperformed some of the previous state-of-the-art approaches in medical image analysis  Instead of using hand-engineered features, deep models attempt to automatically extract hierarchical representations at multiple levels of abstraction from the data  Therefore, deep models are usually considered to be more flexible and robust solutions for image analysis problems compared to conventional computer vision models  They have demonstrated significant improvements in computer-aided diagnosis and automatic medical image analysis applied to such tasks as image segmentation, classification and registration  However, deploying deep learning models often has a steep learning curve and requires detailed knowledge of various software packages  Thus, many deep models have not been integrated into the clinical research workflows causing a gap between the state-of-the-art machine learning in medical applications and evaluation in clinical research procedures  In this paper, we propose "DeepInfer" - an open-source toolkit for developing and deploying deep learning models within the 3D Slicer medical image analysis platform  Utilizing a repository of task-specific models, DeepInfer allows clinical researchers and biomedical engineers to deploy a trained model selected from the public registry, and apply it to new data without the need for software development or configuration  As two practical use cases, we demonstrate the application of DeepInfer in prostate segmentation for targeted MRI-guided biopsy and identification of the target plane in 3D ultrasound for spinal injections </t>
  </si>
  <si>
    <t>musculoskeletal,genitourinary</t>
  </si>
  <si>
    <t>Mehrtash, A; Pesteie, M; Hetherington, J; Behringer, PA; Kapur, T; Wells, WM; Rohling, R; Fedorov, A; Abolmaesumi, P</t>
  </si>
  <si>
    <t>10 1117/12 2254412</t>
  </si>
  <si>
    <t xml:space="preserve">Marginal Shape Deep Learning: Applications to Pediatric Lung Field Segmentation </t>
  </si>
  <si>
    <t xml:space="preserve">Representation learning through deep learning (DL) architecture has shown tremendous potential for identification, localization, and texture classification in various medical imaging modalities  However, DL applications to segmentation of objects especially to deformable objects are rather limited and mostly restricted to pixel classification  In this work, we propose marginal shape deep learning (MaShDL), a framework that extends the application of DL to deformable shape segmentation by using deep classifiers to estimate the shape parameters  MaShDL combines the strength of statistical shape models with the automated feature learning architecture of DL  Unlike the iterative shape parameters estimation approach of classical shape models that often leads to a local minima, the proposed framework is robust to local minima optimization and illumination changes  Furthermore, since the direct application of DL framework to a multi-parameter estimation problem results in a very high complexity, our framework provides an excellent run-time performance solution by independently learning shape parameter classifiers in marginal eigenspaces in the decreasing order of variation  We evaluated MaShDL for segmenting the lung field from 314 normal and abnormal pediatric chest radiographs and obtained a mean Dice similarity coefficient of 0 927 using only the four highest modes of variation (compared to 0 888 with classical ASM1 (p-value=0 01) using same configuration)  To the best of our knowledge this is the first demonstration of using DL framework for parametrized shape learning for the delineation of deformable objects </t>
  </si>
  <si>
    <t xml:space="preserve">Sheikh Zayed Institute for Pediatric Surgical Innovation, Childrens National Medical Center, Washington DC </t>
  </si>
  <si>
    <t>Mansoor, A; Cerrolaza, JJ; Perez, G; Biggs, E; Nino, G; Linguraru, MG</t>
  </si>
  <si>
    <t>10 1002/jmri 25779</t>
  </si>
  <si>
    <t xml:space="preserve">Automated image quality evaluation of T2 -weighted liver MRI utilizing deep learning architecture </t>
  </si>
  <si>
    <t xml:space="preserve">To develop and test a deep learning approach named Convolutional Neural Network (CNN) for automated screening of T2 -weighted (T2 WI) liver acquisitions for nondiagnostic images, and compare this automated approach to evaluation by two radiologists We evaluated 522 liver magnetic resonance imaging (MRI) exams performed at 1 5T and 3T at our institution between November 2014 and May 2016 for CNN training and validation  The CNN consisted of an input layer, convolutional layer, fully connected layer, and output layer  351 T2 WI were anonymized for training  Each case was annotated with a label of being diagnostic or nondiagnostic for detecting lesions and assessing liver morphology  Another independently collected 171 cases were sequestered for a blind test  These 171 T2 WI were assessed independently by two radiologists and annotated as being diagnostic or nondiagnostic  These 171 T2 WI were presented to the CNN algorithm and image quality (IQ) output of the algorithm was compared to that of two radiologists There was concordance in IQ label between Reader 1 and CNN in 79% of cases and between Reader 2 and CNN in 73%  The sensitivity and the specificity of the CNN algorithm in identifying nondiagnostic IQ was 67% and 81% with respect to Reader 1 and 47% and 80% with respect to Reader 2  The negative predictive value of the algorithm for identifying nondiagnostic IQ was 94% and 86% (relative to Readers 1 and 2) We demonstrate a CNN algorithm that yields a high negative predictive value when screening for nondiagnostic T2 WI of the liver 2 Technical Efficacy: Stage 2 J  Magn  Reson  Imaging 2018;47:723-728 </t>
  </si>
  <si>
    <t xml:space="preserve">Center for Biomedical Imaging, Department of Radiology, New York University School of Medicine, New York, New York, USA </t>
  </si>
  <si>
    <t>Esses, SJ; Lu, X; Zhao, T; Shanbhogue, K; Dane, B; Bruno, M; Chandarana, H</t>
  </si>
  <si>
    <t>10 1371/journal pone 0178992</t>
  </si>
  <si>
    <t xml:space="preserve">A preliminary examination of the diagnostic value of deep learning in hip osteoarthritis </t>
  </si>
  <si>
    <t xml:space="preserve">Hip Osteoarthritis (OA) is a common disease among the middle-aged and elderly people  Conventionally, hip OA is diagnosed by manually assessing X-ray images  This study took the hip joint as the object of observation and explored the diagnostic value of deep learning in hip osteoarthritis  A deep convolutional neural network (CNN) was trained and tested on 420 hip X-ray images to automatically diagnose hip OA  This CNN model achieved a balance of high sensitivity of 95 0% and high specificity of 90 7%, as well as an accuracy of 92 8% compared to the chief physicians  The CNN model performance is comparable to an attending physician with 10 years of experience  The results of this study indicate that deep learning has promising potential in the field of intelligent medical image diagnosis practice </t>
  </si>
  <si>
    <t xml:space="preserve">Department of Radiology, Beijing Chaoyang Hospital Affiliated to Capital Medical University, Beijing, China </t>
  </si>
  <si>
    <t>Xue, Y; Zhang, R; Deng, Y; Chen, K; Jiang, T</t>
  </si>
  <si>
    <t>10 1016/j compbiomed 2017 05 018</t>
  </si>
  <si>
    <t xml:space="preserve">Spotting L3 slice in CT scans using deep convolutional network and transfer learning </t>
  </si>
  <si>
    <t xml:space="preserve">In this article, we present a complete automated system for spotting a particular slice in a complete 3D Computed Tomography exam (CT scan)  Our approach does not require any assumptions on which part of the patient's body is covered by the scan  It relies on an original machine learning regression approach  Our models are learned using the transfer learning trick by exploiting deep architectures that have been pre-trained on imageNet database, and therefore it requires very little annotation for its training  The whole pipeline consists of three steps: i) conversion of the CT scans into Maximum Intensity Projection (MIP) images, ii) prediction from a Convolutional Neural Network (CNN) applied in a sliding window fashion over the MIP image, and iii) robust analysis of the prediction sequence to predict the height of the desired slice within the whole CT scan  Our approach is applied to the detection of the third lumbar vertebra (L3) slice that has been found to be representative to the whole body composition  Our system is evaluated on a database collected in our clinical center, containing 642 CT scans from different patients  We obtained an average localization error of 1 91±2 69 slices (less than 5 mm) in an average time of less than 2 5 s/CT scan, allowing integration of the proposed system into daily clinical routines </t>
  </si>
  <si>
    <t xml:space="preserve">Normandie Univ, UNIROUEN, UNIHAVRE, INSA Rouen, LITIS, 76000, Rouen, France </t>
  </si>
  <si>
    <t>Belharbi, S; Chatelain, C; Hérault, R; Adam, S; Thureau, S; Chastan, M; Modzelewski, R</t>
  </si>
  <si>
    <t>10 1007/s10278-017-9978-1</t>
  </si>
  <si>
    <t xml:space="preserve">Performance of an Artificial Multi-observer Deep Neural Network for Fully Automated Segmentation of Polycystic Kidneys </t>
  </si>
  <si>
    <t xml:space="preserve">Deep learning techniques are being rapidly applied to medical imaging tasks-from organ and lesion segmentation to tissue and tumor classification  These techniques are becoming the leading algorithmic approaches to solve inherently difficult image processing tasks  Currently, the most critical requirement for successful implementation lies in the need for relatively large datasets that can be used for training the deep learning networks  Based on our initial studies of MR imaging examinations of the kidneys of patients affected by polycystic kidney disease (PKD), we have generated a unique database of imaging data and corresponding reference standard segmentations of polycystic kidneys  In the study of PKD, segmentation of the kidneys is needed in order to measure total kidney volume (TKV)  Automated methods to segment the kidneys and measure TKV are needed to increase measurement throughput and alleviate the inherent variability of human-derived measurements  We hypothesize that deep learning techniques can be leveraged to perform fast, accurate, reproducible, and fully automated segmentation of polycystic kidneys  Here, we describe a fully automated approach for segmenting PKD kidneys within MR images that simulates a multi-observer approach in order to create an accurate and robust method for the task of segmentation and computation of TKV for PKD patients  A total of 2000 cases were used for training and validation, and 400 cases were used for testing  The multi-observer ensemble method had mean ± SD percent volume difference of 0 68 ± 2 2% compared with the reference standard segmentations  The complete framework performs fully automated segmentation at a level comparable with interobserver variability and could be considered as a replacement for the task of segmentation of PKD kidneys by a human </t>
  </si>
  <si>
    <t>Department of Radiology, Mayo Clinic College of Medicine, 200 First St SW, Rochester, MN, 55905, USA</t>
    <phoneticPr fontId="0" type="noConversion"/>
  </si>
  <si>
    <t>Kline, TL; Korfiatis, P; Edwards, ME; Blais, JD; Czerwiec, FS; Harris, PC; King, BF; Torres, VE; Erickson, BJ</t>
  </si>
  <si>
    <t>10 1016/j media 2017 05 001</t>
  </si>
  <si>
    <t xml:space="preserve">3D deeply supervised network for automated segmentation of volumetric medical images </t>
  </si>
  <si>
    <t xml:space="preserve">While deep convolutional neural networks (CNNs) have achieved remarkable success in 2D medical image segmentation, it is still a difficult task for CNNs to segment important organs or structures from 3D medical images owing to several mutually affected challenges, including the complicated anatomical environments in volumetric images, optimization difficulties of 3D networks and inadequacy of training samples  In this paper, we present a novel and efficient 3D fully convolutional network equipped with a 3D deep supervision mechanism to comprehensively address these challenges; we call it 3D DSN  Our proposed 3D DSN is capable of conducting volume-to-volume learning and inference, which can eliminate redundant computations and alleviate the risk of over-fitting on limited training data  More importantly, the 3D deep supervision mechanism can effectively cope with the optimization problem of gradients vanishing or exploding when training a 3D deep model, accelerating the convergence speed and simultaneously improving the discrimination capability  Such a mechanism is developed by deriving an objective function that directly guides the training of both lower and upper layers in the network, so that the adverse effects of unstable gradient changes can be counteracted during the training procedure  We also employ a fully connected conditional random field model as a post-processing step to refine the segmentation results  We have extensively validated the proposed 3D DSN on two typical yet challenging volumetric medical image segmentation tasks: (i) liver segmentation from 3D CT scans and (ii) whole heart and great vessels segmentation from 3D MR images, by participating two grand challenges held in conjunction with MICCAI  We have achieved competitive segmentation results to state-of-the-art approaches in both challenges with a much faster speed, corroborating the effectiveness of our proposed 3D DSN </t>
  </si>
  <si>
    <t>Dou, Q; Yu, L; Chen, H; Jin, Y; Yang, X; Qin, J; Heng, PA</t>
  </si>
  <si>
    <t>10 1038/s41598-017-01779-0</t>
  </si>
  <si>
    <t xml:space="preserve">Automatic Segmentation of Kidneys using Deep Learning for Total Kidney Volume Quantification in Autosomal Dominant Polycystic Kidney Disease </t>
  </si>
  <si>
    <t xml:space="preserve">Autosomal Dominant Polycystic Kidney Disease (ADPKD) is the most common inherited disorder of the kidneys  It is characterized by enlargement of the kidneys caused by progressive development of renal cysts, and thus assessment of total kidney volume (TKV) is crucial for studying disease progression in ADPKD  However, automatic segmentation of polycystic kidneys is a challenging task due to severe alteration in the morphology caused by non-uniform cyst formation and presence of adjacent liver cysts  In this study, an automated segmentation method based on deep learning has been proposed for TKV computation on computed tomography (CT) dataset of ADPKD patients exhibiting mild to moderate or severe renal insufficiency  The proposed method has been trained (n = 165) and tested (n = 79) on a wide range of TKV (321 2-14,670 7 mL) achieving an overall mean Dice Similarity Coefficient of 0 86 ± 0 07 (mean ± SD) between automated and manual segmentations from clinical experts and a mean correlation coefficient (ρ) of 0 98 (p &lt; 0 001) for segmented kidney volume measurements in the entire test set  Our method facilitates fast and reproducible measurements of kidney volumes in agreement with manual segmentations from clinical experts </t>
  </si>
  <si>
    <t xml:space="preserve">Department of Biomedical Engineering, IRCCS-Istituto di Ricerche Farmacologiche Mario Negri, Ranica (BG), 24020, Italy </t>
  </si>
  <si>
    <t>Sharma, K; Rupprecht, C; Caroli, A; Aparicio, MC; Remuzzi, A; Baust, M; Navab, N</t>
  </si>
  <si>
    <t>10 1016/j compmedimag 2017 05 002</t>
  </si>
  <si>
    <t xml:space="preserve">Transfer learning on fused multiparametric MR images for classifying histopathological subtypes of rhabdomyosarcoma </t>
  </si>
  <si>
    <t xml:space="preserve">This paper presents a deep-learning-based CADx for the differential diagnosis of embryonal (ERMS) and alveolar (ARMS) subtypes of rhabdomysarcoma (RMS) solely by analyzing multiparametric MR images  We formulated an automated pipeline that creates a comprehensive representation of tumor by performing a fusion of diffusion-weighted MR scans (DWI) and gadolinium chelate-enhanced T1-weighted MR scans (MRI)  Finally, we adapted transfer learning approach where a pre-trained deep convolutional neural network has been fine-tuned based on the fused images for performing classification of the two RMS subtypes  We achieved 85% cross validation prediction accuracy from the fine-tuned deep CNN model  Our system can be exploited to provide a fast, efficient and reproducible diagnosis of RMS subtypes with less human interaction  The framework offers an efficient integration between advanced image processing methods and cutting-edge deep learning techniques which can be extended to deal with other clinical domains that involve multimodal imaging for disease diagnosis </t>
  </si>
  <si>
    <t>Department of Radiology, Stanford University School of Medicine, Stanford, CA, United States of America</t>
    <phoneticPr fontId="0" type="noConversion"/>
  </si>
  <si>
    <t>Banerjee, I; Crawley, A; Bhethanabotla, M; Daldrup-Link, HE; Rubin, DL</t>
  </si>
  <si>
    <t>10 1016/j media 2017 04 012</t>
  </si>
  <si>
    <t xml:space="preserve">Deep image mining for diabetic retinopathy screening </t>
  </si>
  <si>
    <t xml:space="preserve">Deep learning is quickly becoming the leading methodology for medical image analysis  Given a large medical archive, where each image is associated with a diagnosis, efficient pathology detectors or classifiers can be trained with virtually no expert knowledge about the target pathologies  However, deep learning algorithms, including the popular ConvNets, are black boxes: little is known about the local patterns analyzed by ConvNets to make a decision at the image level  A solution is proposed in this paper to create heatmaps showing which pixels in images play a role in the image-level predictions  In other words, a ConvNet trained for image-level classification can be used to detect lesions as well  A generalization of the backpropagation method is proposed in order to train ConvNets that produce high-quality heatmaps  The proposed solution is applied to diabetic retinopathy (DR) screening in a dataset of almost 90,000 fundus photographs from the 2015 Kaggle Diabetic Retinopathy competition and a private dataset of almost 110,000 photographs (e-ophtha)  For the task of detecting referable DR, very good detection performance was achieved: Az=0 954 in Kaggle's dataset and Az=0 949 in e-ophtha  Performance was also evaluated at the image level and at the lesion level in the DiaretDB1 dataset, where four types of lesions are manually segmented: microaneurysms, hemorrhages, exudates and cotton-wool spots  For the task of detecting images containing these four lesion types, the proposed detector, which was trained to detect referable DR, outperforms recent algorithms trained to detect those lesions specifically, with pixel-level supervision  At the lesion level, the proposed detector outperforms heatmap generation algorithms for ConvNets  This detector is part of the Messidor® system for mobile eye pathology screening  Because it does not rely on expert knowledge or manual segmentation for detecting relevant patterns, the proposed solution is a promising image mining tool, which has the potential to discover new biomarkers in images </t>
  </si>
  <si>
    <t xml:space="preserve">Inserm, UMR 1101, 22 avenue Camille-Desmoulins, Brest F-29200, France </t>
  </si>
  <si>
    <t>Quellec, G; Charrière, K; Boudi, Y; Cochener, B; Lamard, M</t>
  </si>
  <si>
    <t>10 1007/s11548-017-1609-2</t>
  </si>
  <si>
    <t xml:space="preserve">Deep monocular 3D reconstruction for assisted navigation in bronchoscopy </t>
  </si>
  <si>
    <t xml:space="preserve">In bronchoschopy, computer vision systems for navigation assistance are an attractive low-cost solution to guide the endoscopist to target peripheral lesions for biopsy and histological analysis  We propose a decoupled deep learning architecture that projects input frames onto the domain of CT renderings, thus allowing offline training from patient-specific CT data A fully convolutional network architecture is implemented on GPU and tested on a phantom dataset involving 32 video sequences and [Formula: see text]60k frames with aligned ground truth and renderings, which is made available as the first public dataset for bronchoscopy navigation An average estimated depth accuracy of 1 5 mm was obtained, outperforming conventional direct depth estimation from input frames by 60%, and with a computational time of [Formula: see text]30 ms on modern GPUs  Qualitatively, the estimated depth and renderings closely resemble the ground truth The proposed method shows a novel architecture to perform real-time monocular depth estimation without losing patient specificity in bronchoscopy  Future work will include integration within SLAM systems and collection of in vivo datasets </t>
  </si>
  <si>
    <t xml:space="preserve">Multimedia Laboratory, Toshiba Corporate Research and Development Center, 1, Komukai-Toshiba-cho, Kawasaki, 212-8582, Japan </t>
  </si>
  <si>
    <t>Visentini-Scarzanella, M; Sugiura, T; Kaneko, T; Koto, S</t>
  </si>
  <si>
    <t>10 1007/s11548-017-1605-6</t>
  </si>
  <si>
    <t xml:space="preserve">Pulmonary nodule classification with deep residual networks </t>
  </si>
  <si>
    <t xml:space="preserve">PURPOSE  : Lung cancer has the highest death rate among all cancers in the USA  In this work we focus on improving the ability of computer-aided diagnosis (CAD) systems to predict the malignancy of nodules from cropped CT images of lung nodules We evaluate the effectiveness of very deep convolutional neural networks at the task of expert-level lung nodule malignancy classification  Using the state-of-the-art ResNet architecture as our basis, we explore the effect of curriculum learning, transfer learning, and varying network depth on the accuracy of malignancy classification Due to a lack of public datasets with standardized problem definitions and train/test splits, studies in this area tend to not compare directly against other existing work  This makes it hard to know the relative improvement in the new solution  In contrast, we directly compare our system against two state-of-the-art deep learning systems for nodule classification on the LIDC/IDRI dataset using the same experimental setup and data set  The results show that our system achieves the highest performance in terms of all metrics measured including sensitivity, specificity, precision, AUROC, and accuracy The proposed method of combining deep residual learning, curriculum learning, and transfer learning translates to high nodule classification accuracy  This reveals a promising new direction for effective pulmonary nodule CAD systems that mirrors the success of recent deep learning advances in other image-based application domains </t>
  </si>
  <si>
    <t xml:space="preserve">Department of Computer Science and Computer Engineering, La Trobe University, Melbourne, Australia </t>
  </si>
  <si>
    <t>Nibali, A; He, Z; Wollersheim, D</t>
  </si>
  <si>
    <t>10 1016/j cmpb 2017 03 017</t>
  </si>
  <si>
    <t xml:space="preserve">A two-step convolutional neural network based computer-aided detection scheme for automatically segmenting adipose tissue volume depicting on CT images </t>
  </si>
  <si>
    <t xml:space="preserve">Accurately assessment of adipose tissue volume inside a human body plays an important role in predicting disease or cancer risk, diagnosis and prognosis  In order to overcome limitation of using only one subjectively selected CT image slice to estimate size of fat areas, this study aims to develop and test a computer-aided detection (CAD) scheme based on deep learning technique to automatically segment subcutaneous fat areas (SFA) and visceral fat areas (VFA) depicting on volumetric CT images  A retrospectively collected CT image dataset was divided into two independent training and testing groups  The proposed CAD framework consisted of two steps with two convolution neural networks (CNNs) namely, Selection-CNN and Segmentation-CNN  The first CNN was trained using 2,240 CT slices to select abdominal CT slices depicting SFA and VFA  The second CNN was trained with 84,000pixel patches and applied to the selected CT slices to identify fat-related pixels and assign them into SFA and VFA classes  Comparing to the manual CT slice selection and fat pixel segmentation results, the accuracy of CT slice selection using the Selection-CNN yielded 95 8%, while the accuracy of fat pixel segmentation using the Segmentation-CNN was 96 8%  This study demonstrated the feasibility of applying a new deep learning based CAD scheme to automatically recognize abdominal section of human body from CT scans and segment SFA and VFA from volumetric CT data with high accuracy or agreement with the manual segmentation results </t>
  </si>
  <si>
    <t xml:space="preserve">School of Electrical and Computer Engineering, University of Oklahoma, Norman, OK 73019, United States </t>
  </si>
  <si>
    <t>Wang, Y; Qiu, Y; Thai, T; Moore, K; Liu, H; Zheng, B</t>
  </si>
  <si>
    <t>10 1038/s41598-017-01931-w</t>
  </si>
  <si>
    <t xml:space="preserve">Precision Radiology: Predicting longevity using feature engineering and deep learning methods in a radiomics framework </t>
  </si>
  <si>
    <t xml:space="preserve">Precision medicine approaches rely on obtaining precise knowledge of the true state of health of an individual patient, which results from a combination of their genetic risks and environmental exposures  This approach is currently limited by the lack of effective and efficient non-invasive medical tests to define the full range of phenotypic variation associated with individual health  Such knowledge is critical for improved early intervention, for better treatment decisions, and for ameliorating the steadily worsening epidemic of chronic disease  We present proof-of-concept experiments to demonstrate how routinely acquired cross-sectional CT imaging may be used to predict patient longevity as a proxy for overall individual health and disease status using computer image analysis techniques  Despite the limitations of a modest dataset and the use of off-the-shelf machine learning methods, our results are comparable to previous 'manual' clinical methods for longevity prediction  This work demonstrates that radiomics techniques can be used to extract biomarkers relevant to one of the most widely used outcomes in epidemiological and clinical research - mortality, and that deep learning with convolutional neural networks can be usefully applied to radiomics research  Computer image analysis applied to routinely collected medical images offers substantial potential to enhance precision medicine initiatives </t>
  </si>
  <si>
    <t xml:space="preserve">Department of Radiology, Royal Adelaide Hospital, North Terrace, Adelaide, SA, 5000, Australia </t>
  </si>
  <si>
    <t>Oakden-Rayner, L; Carneiro, G; Bessen, T; Nascimento, JC; Bradley, AP; Palmer, LJ</t>
  </si>
  <si>
    <t>10 1016/j compbiomed 2017 04 012</t>
  </si>
  <si>
    <t xml:space="preserve">Two-phase deep convolutional neural network for reducing class skewness in histopathological images based breast cancer detection </t>
  </si>
  <si>
    <t xml:space="preserve">Different types of breast cancer are affecting lives of women across the world  Common types include Ductal carcinoma in situ (DCIS), Invasive ductal carcinoma (IDC), Tubular carcinoma, Medullary carcinoma, and Invasive lobular carcinoma (ILC)  While detecting cancer, one important factor is mitotic count - showing how rapidly the cells are dividing  But the class imbalance problem, due to the small number of mitotic nuclei in comparison to the overwhelming number of non-mitotic nuclei, affects the performance of classification models  This work presents a two-phase model to mitigate the class biasness issue while classifying mitotic and non-mitotic nuclei in breast cancer histopathology images through a deep convolutional neural network (CNN)  First, nuclei are segmented out using blue ratio and global binary thresholding  In Phase-1 a CNN is then trained on the segmented out 80×80 pixel patches based on a standard dataset  Hard non-mitotic examples are identified and augmented; mitotic examples are oversampled by rotation and flipping; whereas non-mitotic examples are undersampled by blue ratio histogram based k-means clustering  Based on this information from Phase-1, the dataset is modified for Phase-2 in order to reduce the effects of class imbalance  The proposed CNN architecture and data balancing technique yielded an F-measure of 0 79, and outperformed all the methods relying on specific handcrafted features, as well as those using a combination of handcrafted and CNN-generated features </t>
  </si>
  <si>
    <t xml:space="preserve">Department of Computer and Information Sciences, Pakistan Institute of Engineering and Applied Sciences Islamabad, Pakistan </t>
  </si>
  <si>
    <t>Wahab, N; Khan, A; Lee, YS</t>
  </si>
  <si>
    <t>10 1016/j compbiomed 2017 04 006</t>
  </si>
  <si>
    <t xml:space="preserve">Automatic feature learning using multichannel ROI based on deep structured algorithms for computerized lung cancer diagnosis </t>
  </si>
  <si>
    <t xml:space="preserve">This study aimed to analyze the ability of extracting automatically generated features using deep structured algorithms in lung nodule CT image diagnosis, and compare its performance with traditional computer aided diagnosis (CADx) systems using hand-crafted features  All of the 1018 cases were acquired from Lung Image Database Consortium (LIDC) public lung cancer database  The nodules were segmented according to four radiologists' markings, and 13,668 samples were generated by rotating every slice of nodule images  Three multichannel ROI based deep structured algorithms were designed and implemented in this study: convolutional neural network (CNN), deep belief network (DBN), and stacked denoising autoencoder (SDAE)  For the comparison purpose, we also implemented a CADx system using hand-crafted features including density features, texture features and morphological features  The performance of every scheme was evaluated by using a 10-fold cross-validation method and an assessment index of the area under the receiver operating characteristic curve (AUC)  The observed highest area under the curve (AUC) was 0 899±0 018 achieved by CNN, which was significantly higher than traditional CADx with the AUC=0 848±0 026  The results from DBN was also slightly higher than CADx, while SDAE was slightly lower  By visualizing the automatic generated features, we found some meaningful detectors like curvy stroke detectors from deep structured schemes  The study results showed the deep structured algorithms with automatically generated features can achieve desirable performance in lung nodule diagnosis  With well-tuned parameters and large enough dataset, the deep learning algorithms can have better performance than current popular CADx  We believe the deep learning algorithms with similar data preprocessing procedure can be used in other medical image analysis areas as well </t>
  </si>
  <si>
    <t>CNN,DBN,STACKED AUTOENCODER</t>
  </si>
  <si>
    <t xml:space="preserve">College of Engineering, University of Texas at El Paso, El Paso, TX, United States </t>
  </si>
  <si>
    <t>Sun, W; Zheng, B; Qian, W</t>
  </si>
  <si>
    <t>10 1016/j media 2017 04 002</t>
  </si>
  <si>
    <t xml:space="preserve">Convolutional neural network regression for short-axis left ventricle segmentation in cardiac cine MR sequences </t>
  </si>
  <si>
    <t xml:space="preserve">Automated left ventricular (LV) segmentation is crucial for efficient quantification of cardiac function and morphology to aid subsequent management of cardiac pathologies  In this paper, we parameterize the complete (all short axis slices and phases) LV segmentation task in terms of the radial distances between the LV centerpoint and the endo- and epicardial contours in polar space  We then utilize convolutional neural network regression to infer these parameters  Utilizing parameter regression, as opposed to conventional pixel classification, allows the network to inherently reflect domain-specific physical constraints  We have benchmarked our approach primarily against the publicly-available left ventricle segmentation challenge (LVSC) dataset, which consists of 100 training and 100 validation cardiac MRI cases representing a heterogeneous mix of cardiac pathologies and imaging parameters across multiple centers  Our approach attained a  77 Jaccard index, which is the highest published overall result in comparison to other automated algorithms  To test general applicability, we also evaluated against the Kaggle Second Annual Data Science Bowl, where the evaluation metric was the indirect clinical measures of LV volume rather than direct myocardial contours  Our approach attained a Continuous Ranked Probability Score (CRPS) of  0124, which would have ranked tenth in the original challenge  With this we demonstrate the effectiveness of convolutional neural network regression paired with domain-specific features in clinical segmentation </t>
  </si>
  <si>
    <t xml:space="preserve">Department of Biomedical Imaging, Faculty of Medicine, University of Malaya, Kuala Lumpur, Malaysia; University Malaya Research Imaging Centre, University of Malaya, Kuala Lumpur, Malaysia </t>
  </si>
  <si>
    <t>Tan, LK; Liew, YM; Lim, E; McLaughlin, RA</t>
  </si>
  <si>
    <t>10 1148/radiol 2017162326</t>
  </si>
  <si>
    <t xml:space="preserve">Deep Learning at Chest Radiography: Automated Classification of Pulmonary Tuberculosis by Using Convolutional Neural Networks </t>
  </si>
  <si>
    <t xml:space="preserve">Purpose To evaluate the efficacy of deep convolutional neural networks (DCNNs) for detecting tuberculosis (TB) on chest radiographs  Materials and Methods Four deidentified HIPAA-compliant datasets were used in this study that were exempted from review by the institutional review board, which consisted of 1007 posteroanterior chest radiographs  The datasets were split into training (68 0%), validation (17 1%), and test (14 9%)  Two different DCNNs, AlexNet and GoogLeNet, were used to classify the images as having manifestations of pulmonary TB or as healthy  Both untrained and pretrained networks on ImageNet were used, and augmentation with multiple preprocessing techniques  Ensembles were performed on the best-performing algorithms  For cases where the classifiers were in disagreement, an independent board-certified cardiothoracic radiologist blindly interpreted the images to evaluate a potential radiologist-augmented workflow  Receiver operating characteristic curves and areas under the curve (AUCs) were used to assess model performance by using the DeLong method for statistical comparison of receiver operating characteristic curves  Results The best-performing classifier had an AUC of 0 99, which was an ensemble of the AlexNet and GoogLeNet DCNNs  The AUCs of the pretrained models were greater than that of the untrained models (P &lt;  001)  Augmenting the dataset further increased accuracy (P values for AlexNet and GoogLeNet were  03 and  02, respectively)  The DCNNs had disagreement in 13 of the 150 test cases, which were blindly reviewed by a cardiothoracic radiologist, who correctly interpreted all 13 cases (100%)  This radiologist-augmented approach resulted in a sensitivity of 97 3% and specificity 100%  Conclusion Deep learning with DCNNs can accurately classify TB at chest radiography with an AUC of 0 99  A radiologist-augmented approach for cases where there was disagreement among the classifiers further improved accuracy  © RSNA, 2017 </t>
  </si>
  <si>
    <t xml:space="preserve"> CNN,AlexNet, GoogLeNet</t>
  </si>
  <si>
    <t xml:space="preserve">From the Department of Radiology, Thomas Jefferson University Hospital, Sidney Kimmel Jefferson Medical College, 132 S 10th St, Room 1080A, Main Building, Philadelphia, PA 19107-5244 </t>
  </si>
  <si>
    <t>Lakhani, P; Sundaram, B</t>
  </si>
  <si>
    <t>10 3233/XST-16226</t>
  </si>
  <si>
    <t xml:space="preserve">A new approach to develop computer-aided diagnosis scheme of breast mass classification using deep learning technology </t>
  </si>
  <si>
    <t xml:space="preserve">To develop and test a deep learning based computer-aided diagnosis (CAD) scheme of mammograms for classifying between malignant and benign masses An image dataset involving 560 regions of interest (ROIs) extracted from digital mammograms was used  After down-sampling each ROI from 512×512 to 64×64 pixel size, we applied an 8 layer deep learning network that involves 3 pairs of convolution-max-pooling layers for automatic feature extraction and a multiple layer perceptron (MLP) classifier for feature categorization to process ROIs  The 3 pairs of convolution layers contain 20, 10, and 5 feature maps, respectively  Each convolution layer is connected with a max-pooling layer to improve the feature robustness  The output of the sixth layer is fully connected with a MLP classifier, which is composed of one hidden layer and one logistic regression layer  The network then generates a classification score to predict the likelihood of ROI depicting a malignant mass  A four-fold cross validation method was applied to train and test this deep learning network The results revealed that this CAD scheme yields an area under the receiver operation characteristic curve (AUC) of 0 696±0 044, 0 802±0 037, 0 836±0 036, and 0 822±0 035 for fold 1 to 4 testing datasets, respectively  The overall AUC of the entire dataset is 0 790±0 019 This study demonstrates the feasibility of applying a deep learning based CAD scheme to classify between malignant and benign breast masses without a lesion segmentation, image feature computation and selection process </t>
  </si>
  <si>
    <t>MLP</t>
  </si>
  <si>
    <t xml:space="preserve">School of Electrical and Computer Engineering, University of Oklahoma, Norman, OK, USA </t>
  </si>
  <si>
    <t>Qiu, Y; Yan, S; Gundreddy, RR; Wang, Y; Cheng, S; Liu, H; Zheng, B</t>
  </si>
  <si>
    <t>10 1038/srep46479</t>
  </si>
  <si>
    <t xml:space="preserve">Towards automatic pulmonary nodule management in lung cancer screening with deep learning </t>
  </si>
  <si>
    <t xml:space="preserve">The introduction of lung cancer screening programs will produce an unprecedented amount of chest CT scans in the near future, which radiologists will have to read in order to decide on a patient follow-up strategy  According to the current guidelines, the workup of screen-detected nodules strongly relies on nodule size and nodule type  In this paper, we present a deep learning system based on multi-stream multi-scale convolutional networks, which automatically classifies all nodule types relevant for nodule workup  The system processes raw CT data containing a nodule without the need for any additional information such as nodule segmentation or nodule size and learns a representation of 3D data by analyzing an arbitrary number of 2D views of a given nodule  The deep learning system was trained with data from the Italian MILD screening trial and validated on an independent set of data from the Danish DLCST screening trial  We analyze the advantage of processing nodules at multiple scales with a multi-stream convolutional network architecture, and we show that the proposed deep learning system achieves performance at classifying nodule type that surpasses the one of classical machine learning approaches and is within the inter-observer variability among four experienced human observers </t>
  </si>
  <si>
    <t>Ciompi, F; Chung, K; van Riel, SJ; Setio, AAA; Gerke, PK; Jacobs, C; Scholten, ET; Schaefer-Prokop, C; Wille, MMW; Marchianò, A; Pastorino, U; Prokop, M; van Ginneken, B</t>
  </si>
  <si>
    <t>10 15252/msb 20177551</t>
  </si>
  <si>
    <t xml:space="preserve">Automated analysis of high-content microscopy data with deep learning </t>
  </si>
  <si>
    <t xml:space="preserve">Existing computational pipelines for quantitative analysis of high-content microscopy data rely on traditional machine learning approaches that fail to accurately classify more than a single dataset without substantial tuning and training, requiring extensive analysis  Here, we demonstrate that the application of deep learning to biological image data can overcome the pitfalls associated with conventional machine learning classifiers  Using a deep convolutional neural network (DeepLoc) to analyze yeast cell images, we show improved performance over traditional approaches in the automated classification of protein subcellular localization  We also demonstrate the ability of DeepLoc to classify highly divergent image sets, including images of pheromone-arrested cells with abnormal cellular morphology, as well as images generated in different genetic backgrounds and in different laboratories  We offer an open-source implementation that enables updating DeepLoc on new microscopy datasets  This study highlights deep learning as an important tool for the expedited analysis of high-content microscopy data </t>
  </si>
  <si>
    <t>Molecular systems biology</t>
  </si>
  <si>
    <t xml:space="preserve">Department of Electrical and Computer Engineering, University of Toronto, Toronto, ON, Canada </t>
  </si>
  <si>
    <t>Kraus, OZ; Grys, BT; Ba, J; Chong, Y; Frey, BJ; Boone, C; Andrews, BJ</t>
  </si>
  <si>
    <t>101235389</t>
  </si>
  <si>
    <t>10 1038/srep46450</t>
  </si>
  <si>
    <t xml:space="preserve">Accurate and reproducible invasive breast cancer detection in whole-slide images: A Deep Learning approach for quantifying tumor extent </t>
  </si>
  <si>
    <t xml:space="preserve">With the increasing ability to routinely and rapidly digitize whole slide images with slide scanners, there has been interest in developing computerized image analysis algorithms for automated detection of disease extent from digital pathology images  The manual identification of presence and extent of breast cancer by a pathologist is critical for patient management for tumor staging and assessing treatment response  However, this process is tedious and subject to inter- and intra-reader variability  For computerized methods to be useful as decision support tools, they need to be resilient to data acquired from different sources, different staining and cutting protocols and different scanners  The objective of this study was to evaluate the accuracy and robustness of a deep learning-based method to automatically identify the extent of invasive tumor on digitized images  Here, we present a new method that employs a convolutional neural network for detecting presence of invasive tumor on whole slide images  Our approach involves training the classifier on nearly 400 exemplars from multiple different sites, and scanners, and then independently validating on almost 200 cases from The Cancer Genome Atlas  Our approach yielded a Dice coefficient of 75 86%, a positive predictive value of 71 62% and a negative predictive value of 96 77% in terms of pixel-by-pixel evaluation compared to manually annotated regions of invasive ductal carcinoma </t>
  </si>
  <si>
    <t xml:space="preserve">Universidad Nacional de Colombia, Bogota, Colombia </t>
  </si>
  <si>
    <t>Cruz-Roa, A; Gilmore, H; Basavanhally, A; Feldman, M; Ganesan, S; Shih, NNC; Tomaszewski, J; González, FA; Madabhushi, A</t>
  </si>
  <si>
    <t>10 1016/j compbiomed 2017 03 031</t>
  </si>
  <si>
    <t xml:space="preserve">Quantitative analysis of patients with celiac disease by video capsule endoscopy: A deep learning method </t>
  </si>
  <si>
    <t xml:space="preserve">Celiac disease is one of the most common diseases in the world  Capsule endoscopy is an alternative way to visualize the entire small intestine without invasiveness to the patient  It is useful to characterize celiac disease, but hours are need to manually analyze the retrospective data of a single patient  Computer-aided quantitative analysis by a deep learning method helps in alleviating the workload during analysis of the retrospective videos Capsule endoscopy clips from 6 celiac disease patients and 5 controls were preprocessed for training  The frames with a large field of opaque extraluminal fluid or air bubbles were removed automatically by using a pre-selection algorithm  Then the frames were cropped and the intensity was corrected prior to frame rotation in the proposed new method  The GoogLeNet is trained with these frames  Then, the clips of capsule endoscopy from 5 additional celiac disease patients and 5 additional control patients are used for testing  The trained GoogLeNet was able to distinguish the frames from capsule endoscopy clips of celiac disease patients vs controls  Quantitative measurement with evaluation of the confidence was developed to assess the severity level of pathology in the subjects Relying on the evaluation confidence, the GoogLeNet achieved 100% sensitivity and specificity for the testing set  The t-test confirmed the evaluation confidence is significant to distinguish celiac disease patients from controls  Furthermore, it is found that the evaluation confidence may also relate to the severity level of small bowel mucosal lesions A deep convolutional neural network was established for quantitative measurement of the existence and degree of pathology throughout the small intestine, which may improve computer-aided clinical techniques to assess mucosal atrophy and other etiologies in real-time with videocapsule endoscopy </t>
  </si>
  <si>
    <t xml:space="preserve">School of Computer Science and Engineering, South China University of Technology, Guangzhou 510006, China </t>
  </si>
  <si>
    <t>Zhou, T; Han, G; Li, BN; Lin, Z; Ciaccio, EJ; Green, PH; Qin, J</t>
  </si>
  <si>
    <t>10 1007/s10916-017-0736-1</t>
  </si>
  <si>
    <t xml:space="preserve">A De-Identification Pipeline for Ultrasound Medical Images in DICOM Format </t>
  </si>
  <si>
    <t xml:space="preserve">Clinical data sharing between healthcare institutions, and between practitioners is often hindered by privacy protection requirements  This problem is critical in collaborative scenarios where data sharing is fundamental for establishing a workflow among parties  The anonymization of patient information burned in DICOM images requires elaborate processes somewhat more complex than simple de-identification of textual information  Usually, before sharing, there is a need for manual removal of specific areas containing sensitive information in the images  In this paper, we present a pipeline for ultrasound medical image de-identification, provided as a free anonymization REST service for medical image applications, and a Software-as-a-Service to streamline automatic de-identification of medical images, which is freely available for end-users  The proposed approach applies image processing functions and machine-learning models to bring about an automatic system to anonymize medical images  To perform character recognition, we evaluated several machine-learning models, being Convolutional Neural Networks (CNN) selected as the best approach  For accessing the system quality, 500 processed images were manually inspected showing an anonymization rate of 89 2%  The tool can be accessed at https://bioinformatics ua pt/dicom/anonymizer and it is available with the most recent version of Google Chrome, Mozilla Firefox and Safari  A Docker image containing the proposed service is also publicly available for the community </t>
  </si>
  <si>
    <t>Portugal</t>
  </si>
  <si>
    <t xml:space="preserve">University of Aveiro, DETI/IEETA, Aveiro, Portugal </t>
  </si>
  <si>
    <t>Monteiro, E; Costa, C; Oliveira, JL</t>
  </si>
  <si>
    <t>10 1534/g3 116 033654</t>
  </si>
  <si>
    <t xml:space="preserve">Accurate Classification of Protein Subcellular Localization from High-Throughput Microscopy Images Using Deep Learning </t>
  </si>
  <si>
    <t xml:space="preserve">High-throughput microscopy of many single cells generates high-dimensional data that are far from straightforward to analyze  One important problem is automatically detecting the cellular compartment where a fluorescently-tagged protein resides, a task relatively simple for an experienced human, but difficult to automate on a computer  Here, we train an 11-layer neural network on data from mapping thousands of yeast proteins, achieving per cell localization classification accuracy of 91%, and per protein accuracy of 99% on held-out images  We confirm that low-level network features correspond to basic image characteristics, while deeper layers separate localization classes  Using this network as a feature calculator, we train standard classifiers that assign proteins to previously unseen compartments after observing only a small number of training examples  Our results are the most accurate subcellular localization classifications to date, and demonstrate the usefulness of deep learning for high-throughput microscopy </t>
  </si>
  <si>
    <t>G3 (Bethesda, Md )</t>
  </si>
  <si>
    <t xml:space="preserve">Institute of Computer Science, University of Tartu, 50409, Estonia </t>
  </si>
  <si>
    <t>Pärnamaa, T; Parts, L</t>
  </si>
  <si>
    <t>101566598</t>
  </si>
  <si>
    <t>10 1093/bioinformatics/btx188</t>
  </si>
  <si>
    <t xml:space="preserve">DeepEM3D: approaching human-level performance on 3D anisotropic EM image segmentation </t>
  </si>
  <si>
    <t xml:space="preserve">Progress in 3D electron microscopy (EM) imaging has greatly facilitated neuroscience research in high-throughput data acquisition  Correspondingly, high-throughput automated image analysis methods are necessary to work on par with the speed of data being produced  One such example is the need for automated EM image segmentation for neurite reconstruction  However, the efficiency and reliability of c urrent methods are still lagging far behind human performance Here, we propose DeepEM3D, a deep learning method for segmenting 3D anisotropic brain electron microscopy images  In this method, the deep learning model can efficiently build feature representation and incorporate sufficient multi-scale contextual information  We propose employing a combination of novel boundary map generation methods with optimized model ensembles to address the inherent challenges of segmenting anisotropic images  We evaluated our method by participating in the 3D segmentation of neurites in EM images (SNEMI3D) challenge  Our submission is ranked #1 on the current leaderboard as of Oct 15, 2016  More importantly, our result was very close to human-level performance in terms of the challenge evaluation metric: namely, a Rand error of 0 06015 versus the human value of 0 05998 The code is available at https://github com/divelab/deepem3d/ sji@eecs wsu edu Supplementary data are available at Bioinformatics online </t>
  </si>
  <si>
    <t>CNN,DeepEM</t>
  </si>
  <si>
    <t xml:space="preserve">School of Electrical Engineering and Computer Science, Washington State University, Pullman, WA 99164, USA </t>
  </si>
  <si>
    <t>Zeng, T; Wu, B; Ji, S</t>
  </si>
  <si>
    <t>10 1016/j compbiomed 2017 03 024</t>
  </si>
  <si>
    <t xml:space="preserve">A multi-resolution approach for spinal metastasis detection using deep Siamese neural networks </t>
  </si>
  <si>
    <t xml:space="preserve">Spinal metastasis, a metastatic cancer of the spine, is the most common malignant disease in the spine  In this study, we investigate the feasibility of automated spinal metastasis detection in magnetic resonance imaging (MRI) by using deep learning methods  To accommodate the large variability in metastatic lesion sizes, we develop a Siamese deep neural network approach comprising three identical subnetworks for multi-resolution analysis and detection of spinal metastasis  At each location of interest, three image patches at three different resolutions are extracted and used as the input to the networks  To further reduce the false positives (FPs), we leverage the similarity between neighboring MRI slices, and adopt a weighted averaging strategy to aggregate the results obtained by the Siamese neural networks  The detection performance is evaluated on a set of 26 cases using a free-response receiver operating characteristic (FROC) analysis  The results show that the proposed approach correctly detects all the spinal metastatic lesions while producing only 0 40 FPs per case  At a true positive (TP) rate of 90%, the use of the aggregation reduces the FPs from 0 375 FPs per case to 0 207 FPs per case, a nearly 44 8% reduction  The results indicate that the proposed Siamese neural network method, combined with the aggregation strategy, provide a viable strategy for the automated detection of spinal metastasis in MRI images </t>
  </si>
  <si>
    <t xml:space="preserve">Institute for Genomics and Bioinformatics and Department of Computer Science, University of California, Irvine, CA 92697, USA </t>
  </si>
  <si>
    <t>Wang, J; Fang, Z; Lang, N; Yuan, H; Su, MY; Baldi, P</t>
  </si>
  <si>
    <t>10 1016/j ophtha 2017 02 008</t>
  </si>
  <si>
    <t xml:space="preserve">Automated Identification of Diabetic Retinopathy Using Deep Learning </t>
  </si>
  <si>
    <t xml:space="preserve">Diabetic retinopathy (DR) is one of the leading causes of preventable blindness globally  Performing retinal screening examinations on all diabetic patients is an unmet need, and there are many undiagnosed and untreated cases of DR  The objective of this study was to develop robust diagnostic technology to automate DR screening  Referral of eyes with DR to an ophthalmologist for further evaluation and treatment would aid in reducing the rate of vision loss, enabling timely and accurate diagnoses We developed and evaluated a data-driven deep learning algorithm as a novel diagnostic tool for automated DR detection  The algorithm processed color fundus images and classified them as healthy (no retinopathy) or having DR, identifying relevant cases for medical referral A total of 75 137 publicly available fundus images from diabetic patients were used to train and test an artificial intelligence model to differentiate healthy fundi from those with DR  A panel of retinal specialists determined the ground truth for our data set before experimentation  We also tested our model using the public MESSIDOR 2 and E-Ophtha databases for external validation  Information learned in our automated method was visualized readily through an automatically generated abnormality heatmap, highlighting subregions within each input fundus image for further clinical review We used area under the receiver operating characteristic curve (AUC) as a metric to measure the precision-recall trade-off of our algorithm, reporting associated sensitivity and specificity metrics on the receiver operating characteristic curve Our model achieved a 0 97 AUC with a 94% and 98% sensitivity and specificity, respectively, on 5-fold cross-validation using our local data set  Testing against the independent MESSIDOR 2 and E-Ophtha databases achieved a 0 94 and 0 95 AUC score, respectively A fully data-driven artificial intelligence-based grading algorithm can be used to screen fundus photographs obtained from diabetic patients and to identify, with high reliability, which cases should be referred to an ophthalmologist for further evaluation and treatment  The implementation of such an algorithm on a global basis could reduce drastically the rate of vision loss attributed to DR </t>
  </si>
  <si>
    <t xml:space="preserve">The Harker School, San Jose, California </t>
  </si>
  <si>
    <t>Gargeya, R; Leng, T</t>
  </si>
  <si>
    <t>10 1007/s11517-017-1638-6</t>
  </si>
  <si>
    <t xml:space="preserve">Automatic recognition of severity level for diagnosis of diabetic retinopathy using deep visual features </t>
  </si>
  <si>
    <t xml:space="preserve">Diabetic retinopathy (DR) is leading cause of blindness among diabetic patients  Recognition of severity level is required by ophthalmologists to early detect and diagnose the DR  However, it is a challenging task for both medical experts and computer-aided diagnosis systems due to requiring extensive domain expert knowledge  In this article, a novel automatic recognition system for the five severity level of diabetic retinopathy (SLDR) is developed without performing any pre- and post-processing steps on retinal fundus images through learning of deep visual features (DVFs)  These DVF features are extracted from each image by using color dense in scale-invariant and gradient location-orientation histogram techniques  To learn these DVF features, a semi-supervised multilayer deep-learning algorithm is utilized along with a new compressed layer and fine-tuning steps  This SLDR system was evaluated and compared with state-of-the-art techniques using the measures of sensitivity (SE), specificity (SP) and area under the receiving operating curves (AUC)  On 750 fundus images (150 per category), the SE of 92 18%, SP of 94 50% and AUC of 0 924 values were obtained on average  These results demonstrate that the SLDR system is appropriate for early detection of DR and provide an effective treatment for prediction type of diabetes </t>
  </si>
  <si>
    <t xml:space="preserve">College of Computer and Information Sciences, Al Imam Mohammad Ibn Saud Islamic University (IMSIU), Riyadh, Saudi Arabia  qaisarabbasphd@gmail com </t>
    <phoneticPr fontId="0" type="noConversion"/>
  </si>
  <si>
    <t>Abbas, Q; Fondon, I; Sarmiento, A; Jiménez, S; Alemany, P</t>
  </si>
  <si>
    <t>10 1007/s11548-017-1573-x</t>
  </si>
  <si>
    <t xml:space="preserve">Transfer learning from RF to B-mode temporal enhanced ultrasound features for prostate cancer detection </t>
  </si>
  <si>
    <t xml:space="preserve">We present a method for prostate cancer (PCa) detection using temporal enhanced ultrasound (TeUS) data obtained either from radiofrequency (RF) ultrasound signals or B-mode images For the first time, we demonstrate that by applying domain adaptation and transfer learning methods, a tissue classification model trained on TeUS RF data (source domain) can be deployed for classification using TeUS B-mode data alone (target domain), where both data are obtained on the same ultrasound scanner  This is a critical step for clinical translation of tissue classification techniques that primarily rely on accessing RF data, since this imaging modality is not readily available on all commercial scanners in clinics  Proof of concept is provided for in vivo characterization of PCa using TeUS B-mode data, where different nonlinear processing filters in the pipeline of the RF to B-mode conversion result in a distribution shift between the two domains Our in vivo study includes data obtained in MRI-guided targeted procedure for prostate biopsy  We achieve comparable area under the curve using TeUS RF and B-mode data for medium to large cancer tumor sizes in biopsy cores (&gt;4 mm) Our result suggests that the proposed adaptation technique is successful in reducing the divergence between TeUS RF and B-mode data </t>
  </si>
  <si>
    <t>Azizi, S; Mousavi, P; Yan, P; Tahmasebi, A; Kwak, JT; Xu, S; Turkbey, B; Choyke, P; Pinto, P; Wood, B; Abolmaesumi, P</t>
  </si>
  <si>
    <t>10 1007/s11548-017-1567-8</t>
  </si>
  <si>
    <t xml:space="preserve">Extraction of skin lesions from non-dermoscopic images for surgical excision of melanoma </t>
  </si>
  <si>
    <t xml:space="preserve">Computerized prescreening of suspicious moles and lesions for malignancy is of great importance for assessing the need and the priority of the removal surgery  Detection can be done by images captured by standard cameras, which are more preferable due to low cost and availability  One important step in computerized evaluation is accurate detection of lesion's region, i e , segmentation of an image into two regions as lesion and normal skin In this paper, a new method based on deep neural networks is proposed for accurate extraction of a lesion region  The input image is preprocessed, and then, its patches are fed to a convolutional neural network  Local texture and global structure of the patches are processed in order to assign pixels to lesion or normal classes  A method for effective selection of training patches is proposed for more accurate detection of a lesion's border Our results indicate that the proposed method could reach the accuracy of 98 7% and the sensitivity of 95 2% in segmentation of lesion regions over the dataset of clinical images The experimental results of qualitative and quantitative evaluations demonstrate that our method can outperform other state-of-the-art algorithms exist in the literature </t>
  </si>
  <si>
    <t xml:space="preserve">Department of Electrical and Computer Engineering, Isfahan University of Technology, Isfahan, 84156-83111, Iran </t>
  </si>
  <si>
    <t>Jafari, MH; Nasr-Esfahani, E; Karimi, N; Soroushmehr, SMR; Samavi, S; Najarian, K</t>
  </si>
  <si>
    <t>10 1016/j nicl 2017 02 004</t>
  </si>
  <si>
    <t xml:space="preserve">3D scattering transforms for disease classification in neuroimaging </t>
  </si>
  <si>
    <t xml:space="preserve">Classifying neurodegenerative brain diseases in MRI aims at correctly assigning discrete labels to MRI scans  Such labels usually refer to a diagnostic decision a learner infers based on what it has learned from a training sample of MRI scans  Classification from MRI voxels separately typically does not provide independent evidence towards or against a class; the information relevant for classification is only present in the form of complicated multivariate patterns (or "features")  Deep learning solves this problem by learning a sequence of non-linear transformations that result in feature representations that are better suited to classification  Such learned features have been shown to drastically outperform hand-engineered features in computer vision and audio analysis domains  However, applying the deep learning approach to the task of MRI classification is extremely challenging, because it requires a very large amount of data which is currently not available  We propose to instead use a three dimensional scattering transform, which resembles a deep convolutional neural network but has no learnable parameters  Furthermore, the scattering transform linearizes diffeomorphisms (due to e g  residual anatomical variability in MRI scans), making the different disease states more easily separable using a linear classifier  In experiments on brain morphometry in Alzheimer's disease, and on white matter microstructural damage in HIV, scattering representations are shown to be highly effective for the task of disease classification  For instance, in semi-supervised learning of progressive versus stable MCI, we reach an accuracy of 82 7%  We also present a visualization method to highlight areas that provide evidence for or against a certain class, both on an individual and group level </t>
  </si>
  <si>
    <t xml:space="preserve">Machine Learning Lab, University of Amsterdam, The Netherlands </t>
  </si>
  <si>
    <t xml:space="preserve">Adel, T; Cohen, T; Caan, M; Welling, M; , </t>
  </si>
  <si>
    <t>10 1109/TMI 2017 2679713</t>
  </si>
  <si>
    <t xml:space="preserve">Deep Learning Segmentation of Optical Microscopy Images Improves 3-D Neuron Reconstruction </t>
  </si>
  <si>
    <t xml:space="preserve">Digital reconstruction, or tracing, of 3-D neuron structure from microscopy images is a critical step toward reversing engineering the wiring and anatomy of a brain  Despite a number of prior attempts, this task remains very challenging, especially when images are contaminated by noises or have discontinued segments of neurite patterns  An approach for addressing such problems is to identify the locations of neuronal voxels using image segmentation methods, prior to applying tracing or reconstruction techniques  This preprocessing step is expected to remove noises in the data, thereby leading to improved reconstruction results  In this paper, we proposed to use 3-D convolutional neural networks (CNNs) for segmenting the neuronal microscopy images  Specifically, we designed a novel CNN architecture, that takes volumetric images as the inputs and their voxel-wise segmentation maps as the outputs  The developed architecture allows us to train and predict using large microscopy images in an end-to-end manner  We evaluated the performance of our model on a variety of challenging 3-D microscopy images from different organisms  Results showed that the proposed methods improved the tracing performance significantly when combined with different reconstruction algorithms </t>
  </si>
  <si>
    <t>Department of Computer Science, Old Dominion
University, Norfolk, VA 23529 USA</t>
  </si>
  <si>
    <t>Li, R; Zeng, T; Peng, H; Ji, S</t>
  </si>
  <si>
    <t>10 1007/s10278-017-9955-8</t>
  </si>
  <si>
    <t xml:space="preserve">Fully Automated Deep Learning System for Bone Age Assessment </t>
  </si>
  <si>
    <t xml:space="preserve">Skeletal maturity progresses through discrete phases, a fact that is used routinely in pediatrics where bone age assessments (BAAs) are compared to chronological age in the evaluation of endocrine and metabolic disorders  While central to many disease evaluations, little has changed to improve the tedious process since its introduction in 1950  In this study, we propose a fully automated deep learning pipeline to segment a region of interest, standardize and preprocess input radiographs, and perform BAA  Our models use an ImageNet pretrained, fine-tuned convolutional neural network (CNN) to achieve 57 32 and 61 40% accuracies for the female and male cohorts on our held-out test images  Female test radiographs were assigned a BAA within 1 year 90 39% and within 2 years 98 11% of the time  Male test radiographs were assigned 94 18% within 1 year and 99 00% within 2 years  Using the input occlusion method, attention maps were created which reveal what features the trained model uses to perform BAA  These correspond to what human experts look at when manually performing BAA  Finally, the fully automated BAA system was deployed in the clinical environment as a decision supporting system for more accurate and efficient BAAs at much faster interpretation time (&lt;2 s) than the conventional method </t>
  </si>
  <si>
    <t>CNN,AlexNet
, GoogLeNet , VGG</t>
  </si>
  <si>
    <t xml:space="preserve">Massachusetts General Hospital and Harvard Medical School, Radiology, 25 New Chardon Street, Suite 400B, Boston, MA, 02114, USA </t>
  </si>
  <si>
    <t>Lee, H; Tajmir, S; Lee, J; Zissen, M; Yeshiwas, BA; Alkasab, TK; Choy, G; Do, S</t>
  </si>
  <si>
    <t>10 1016/j nicl 2017 01 033</t>
  </si>
  <si>
    <t xml:space="preserve">Deep multi-scale location-aware 3D convolutional neural networks for automated detection of lacunes of presumed vascular origin </t>
  </si>
  <si>
    <t xml:space="preserve">Lacunes of presumed vascular origin (lacunes) are associated with an increased risk of stroke, gait impairment, and dementia and are a primary imaging feature of the small vessel disease  Quantification of lacunes may be of great importance to elucidate the mechanisms behind neuro-degenerative disorders and is recommended as part of study standards for small vessel disease research  However, due to the different appearance of lacunes in various brain regions and the existence of other similar-looking structures, such as perivascular spaces, manual annotation is a difficult, elaborative and subjective task, which can potentially be greatly improved by reliable and consistent computer-aided detection (CAD) routines  In this paper, we propose an automated two-stage method using deep convolutional neural networks (CNN)  We show that this method has good performance and can considerably benefit readers  We first use a fully convolutional neural network to detect initial candidates  In the second step, we employ a 3D CNN as a false positive reduction tool  As the location information is important to the analysis of candidate structures, we further equip the network with contextual information using multi-scale analysis and integration of explicit location features  We trained, validated and tested our networks on a large dataset of 1075 cases obtained from two different studies  Subsequently, we conducted an observer study with four trained observers and compared our method with them using a free-response operating characteristic analysis  Shown on a test set of 111 cases, the resulting CAD system exhibits performance similar to the trained human observers and achieves a sensitivity of 0 974 with 0 13 false positives per slice  A feasibility study also showed that a trained human observer would considerably benefit once aided by the CAD system </t>
  </si>
  <si>
    <t xml:space="preserve">Institute for Computing and Information Sciences, Radboud University, Nijmegen, The Netherlands; Diagnostic Image Analysis Group, Department of Radiology and Nuclear Medicine, Radboud University Medical Center, Nijmegen, The Netherlands </t>
  </si>
  <si>
    <t>Ghafoorian, M; Karssemeijer, N; Heskes, T; Bergkamp, M; Wissink, J; Obels, J; Keizer, K; de Leeuw, FE; Ginneken, BV; Marchiori, E; Platel, B</t>
  </si>
  <si>
    <t>10 1109/EMBC 2016 7590963</t>
  </si>
  <si>
    <t xml:space="preserve">Melanoma detection by analysis of clinical images using convolutional neural network </t>
  </si>
  <si>
    <t xml:space="preserve">Melanoma, most threatening type of skin cancer, is on the rise  In this paper an implementation of a deep-learning system on a computer server, equipped with graphic processing unit (GPU), is proposed for detection of melanoma lesions  Clinical (non-dermoscopic) images are used in the proposed system, which could assist a dermatologist in early diagnosis of this type of skin cancer  In the proposed system, input clinical images, which could contain illumination and noise effects, are preprocessed in order to reduce such artifacts  Afterward, the enhanced images are fed to a pre-trained convolutional neural network (CNN) which is a member of deep learning models  The CNN classifier, which is trained by large number of training samples, distinguishes between melanoma and benign cases  Experimental results show that the proposed method is superior in terms of diagnostic accuracy in comparison with the state-of-the-art methods </t>
  </si>
  <si>
    <t xml:space="preserve">Department of Electrical and
Computer Engineering, Isfahan University of Technology, Isfahan 84156-
83111, Iran </t>
  </si>
  <si>
    <t>Nasr-Esfahani, E; Samavi, S; Karimi, N; Soroushmehr, SM; Jafari, MH; Ward, K; Najarian, K</t>
  </si>
  <si>
    <t>10 1109/EMBC 2016 7590962</t>
  </si>
  <si>
    <t xml:space="preserve">A deep bag-of-features model for the classification of melanomas in dermoscopy images </t>
  </si>
  <si>
    <t xml:space="preserve">Deep learning and unsupervised feature learning have received great attention in past years for their ability to transform input data into high level representations using machine learning techniques  Such interest has been growing steadily in the field of medical image diagnosis, particularly in melanoma classification  In this paper, a novel application of deep learning (stacked sparse auto-encoders) is presented for skin lesion classification task  The stacked sparse auto-encoder discovers latent information features in input images (pixel intensities)  These high-level features are subsequently fed into a classifier for classifying dermoscopy images  In addition, we proposed a new deep neural network architecture based on bag-of-features (BoF) model, which learns high-level image representation and maps images into BoF space  Then, we examine how using this deep representation of BoF, compared with pixel intensities of images, can improve the classification accuracy  The proposed method is evaluated on a test set of 244 skin images  To test the performance of the proposed method, the area under the receiver operating characteristics curve (AUC) is utilized  The proposed method is found to achieve 95% accuracy </t>
  </si>
  <si>
    <t>STACKED AUTOENCODER, DNN</t>
  </si>
  <si>
    <t xml:space="preserve">Department of Electrical and
Electronic Engineering, University of Melbourne, Australia </t>
  </si>
  <si>
    <t>Sabbaghi, S; Aldeen, M; Garnavi, R</t>
  </si>
  <si>
    <t>10 1109/EMBC 2016 7590785</t>
  </si>
  <si>
    <t xml:space="preserve">Automatic lumbar vertebrae detection based on feature fusion deep learning for partial occluded C-arm X-ray images </t>
  </si>
  <si>
    <t xml:space="preserve">Automatic and accurate lumbar vertebrae detection is an essential step of image-guided minimally invasive spine surgery (IG-MISS)  However, traditional methods still require human intervention due to the similarity of vertebrae, abnormal pathological conditions and uncertain imaging angle  In this paper, we present a novel convolutional neural network (CNN) model to automatically detect lumbar vertebrae for C-arm X-ray images  Training data is augmented by DRR and automatic segmentation of ROI is able to reduce the computational complexity  Furthermore, a feature fusion deep learning (FFDL) model is introduced to combine two types of features of lumbar vertebrae X-ray images, which uses sobel kernel and Gabor kernel to obtain the contour and texture of lumbar vertebrae, respectively  Comprehensive qualitative and quantitative experiments demonstrate that our proposed model performs more accurate in abnormal cases with pathologies and surgical implants in multi-angle views </t>
  </si>
  <si>
    <t xml:space="preserve">Networked Control Sys
tems,
Shenyang Institute of Automation, Chinese Academy of Sciences,
Shenyang, 110016, China and with University of Chinese Academy of
Sciences, Beijing, 100049, China </t>
  </si>
  <si>
    <t xml:space="preserve">Yang Li, ; Wei Liang, ; Yinlong Zhang, ; Haibo An, ; Jindong Tan, </t>
  </si>
  <si>
    <t>10 1109/EMBC 2016 7590784</t>
  </si>
  <si>
    <t xml:space="preserve">Vessel extraction in X-ray angiograms using deep learning </t>
  </si>
  <si>
    <t xml:space="preserve">Coronary artery disease (CAD) is the most common type of heart disease which is the leading cause of death all over the world  X-ray angiography is currently the gold standard imaging technique for CAD diagnosis  These images usually suffer from low quality and presence of noise  Therefore, vessel enhancement and vessel segmentation play important roles in CAD diagnosis  In this paper a deep learning approach using convolutional neural networks (CNN) is proposed for detecting vessel regions in angiography images  Initially, an input angiogram is preprocessed to enhance its contrast  Afterward, the image is evaluated using patches of pixels and the network determines the vessel and background regions  A set of 1,040,000 patches is used in order to train the deep CNN  Experimental results on angiography images of a dataset show that our proposed method has a superior performance in extraction of vessel regions </t>
  </si>
  <si>
    <t>Electrical and Computer
Engineering, Isfahan University of Technology, Isfahan 84156-83111, Iran</t>
    <phoneticPr fontId="0" type="noConversion"/>
  </si>
  <si>
    <t>Nasr-Esfahani, E; Samavi, S; Karimi, N; Soroushmehr, SM; Ward, K; Jafari, MH; Felfeliyan, B; Nallamothu, B; Najarian, K</t>
  </si>
  <si>
    <t>10 1016/j cmpb 2016 12 019</t>
  </si>
  <si>
    <t xml:space="preserve">A novel end-to-end classifier using domain transferred deep convolutional neural networks for biomedical images </t>
  </si>
  <si>
    <t xml:space="preserve">Highly accurate classification of biomedical images is an essential task in the clinical diagnosis of numerous medical diseases identified from those images  Traditional image classification methods combined with hand-crafted image feature descriptors and various classifiers are not able to effectively improve the accuracy rate and meet the high requirements of classification of biomedical images  The same also holds true for artificial neural network models directly trained with limited biomedical images used as training data or directly used as a black box to extract the deep features based on another distant dataset  In this study, we propose a highly reliable and accurate end-to-end classifier for all kinds of biomedical images via deep learning and transfer learning We first apply domain transferred deep convolutional neural network for building a deep model; and then develop an overall deep learning architecture based on the raw pixels of original biomedical images using supervised training  In our model, we do not need the manual design of the feature space, seek an effective feature vector classifier or segment specific detection object and image patches, which are the main technological difficulties in the adoption of traditional image classification methods  Moreover, we do not need to be concerned with whether there are large training sets of annotated biomedical images, affordable parallel computing resources featuring GPUs or long times to wait for training a perfect deep model, which are the main problems to train deep neural networks for biomedical image classification as observed in recent works With the utilization of a simple data augmentation method and fast convergence speed, our algorithm can achieve the best accuracy rate and outstanding classification ability for biomedical images  We have evaluated our classifier on several well-known public biomedical datasets and compared it with several state-of-the-art approaches We propose a robust automated end-to-end classifier for biomedical images based on a domain transferred deep convolutional neural network model that shows a highly reliable and accurate performance which has been confirmed on several public biomedical image datasets </t>
  </si>
  <si>
    <t>College of Computer Science and Technology, Jilin University, Qianjin Street: 2699, Jilin Province, China</t>
  </si>
  <si>
    <t>Pang, S; Yu, Z; Orgun, MA</t>
  </si>
  <si>
    <t>10 1016/j neuroimage 2017 02 035</t>
  </si>
  <si>
    <t xml:space="preserve">DeepNAT: Deep convolutional neural network for segmenting neuroanatomy </t>
  </si>
  <si>
    <t xml:space="preserve">We introduce DeepNAT, a 3D Deep convolutional neural network for the automatic segmentation of NeuroAnaTomy in T1-weighted magnetic resonance images  DeepNAT is an end-to-end learning-based approach to brain segmentation that jointly learns an abstract feature representation and a multi-class classification  We propose a 3D patch-based approach, where we do not only predict the center voxel of the patch but also neighbors, which is formulated as multi-task learning  To address a class imbalance problem, we arrange two networks hierarchically, where the first one separates foreground from background, and the second one identifies 25 brain structures on the foreground  Since patches lack spatial context, we augment them with coordinates  To this end, we introduce a novel intrinsic parameterization of the brain volume, formed by eigenfunctions of the Laplace-Beltrami operator  As network architecture, we use three convolutional layers with pooling, batch normalization, and non-linearities, followed by fully connected layers with dropout  The final segmentation is inferred from the probabilistic output of the network with a 3D fully connected conditional random field, which ensures label agreement between close voxels  The roughly 2 7million parameters in the network are learned with stochastic gradient descent  Our results show that DeepNAT compares favorably to state-of-the-art methods  Finally, the purely learning-based method may have a high potential for the adaptation to young, old, or diseased brains by fine-tuning the pre-trained network with a small training sample on the target application, where the availability of larger datasets with manual annotations may boost the overall segmentation accuracy in the future </t>
  </si>
  <si>
    <t>CNN,DeepNAT</t>
  </si>
  <si>
    <t xml:space="preserve">Department of Child and Adolescent Psychiatry, Psychosomatic and Psychotherapy, Ludwig-Maximilian-University, Waltherstr  23, 81369 München, Munich, Germany </t>
  </si>
  <si>
    <t>Wachinger, C; Reuter, M; Klein, T</t>
  </si>
  <si>
    <t>10 1038/nmeth 4182</t>
  </si>
  <si>
    <t xml:space="preserve">Prospective identification of hematopoietic lineage choice by deep learning </t>
  </si>
  <si>
    <t xml:space="preserve">Differentiation alters molecular properties of stem and progenitor cells, leading to changes in their shape and movement characteristics  We present a deep neural network that prospectively predicts lineage choice in differentiating primary hematopoietic progenitors using image patches from brightfield microscopy and cellular movement  Surprisingly, lineage choice can be detected up to three generations before conventional molecular markers are observable  Our approach allows identification of cells with differentially expressed lineage-specifying genes without molecular labeling </t>
  </si>
  <si>
    <t>CNN,RNN</t>
    <phoneticPr fontId="0" type="noConversion"/>
  </si>
  <si>
    <t xml:space="preserve">Institute of Computational Biology, Helmholtz Zentrum München - German Research Center for Environmental Health, 85764 Neuherberg, Germany </t>
  </si>
  <si>
    <t>Buggenthin, F; Buettner, F; Hoppe, PS; Endele, M; Kroiss, M; Strasser, M; Schwarzfischer, M; Loeffler, D; Kokkaliaris, KD; Hilsenbeck, O; Schroeder, T; Theis, FJ; Marr, C</t>
  </si>
  <si>
    <t>10 1097/RLI 0000000000000358</t>
  </si>
  <si>
    <t xml:space="preserve">Deep Learning in Mammography: Diagnostic Accuracy of a Multipurpose Image Analysis Software in the Detection of Breast Cancer </t>
  </si>
  <si>
    <t xml:space="preserve">The aim of this study was to evaluate the diagnostic accuracy of a multipurpose image analysis software based on deep learning with artificial neural networks for the detection of breast cancer in an independent, dual-center mammography data set In this retrospective, Health Insurance Portability and Accountability Act-compliant study, all patients undergoing mammography in 2012 at our institution were reviewed (n = 3228)  All of their prior and follow-up mammographies from a time span of 7 years (2008-2015) were considered as a reference for clinical diagnosis  After applying exclusion criteria (missing reference standard, prior procedures or therapies), patients with the first diagnosis of a malignoma or borderline lesion were selected (n = 143)  Histology or clinical long-term follow-up served as reference standard  In a first step, a breast density-and age-matched control cohort was selected (n = 143) from the remaining patients with more than 2 years follow-up (n = 1003)  The neural network was trained with this data set  From the publicly available Breast Cancer Digital Repository data set, patients with cancer and a matched control cohort were selected (n = 35 × 2)  The performance of the trained neural network was also tested with this external data set  Three radiologists (3, 5, and 10 years of experience) evaluated the test data set  In a second step, the neural network was trained with all cases from January to September and tested with cases from October to December 2012 (screening-like cohort)  The radiologists also evaluated this second test data set  The areas under the receiver operating characteristic curve between readers and the neural network were compared  A Bonferroni-corrected P value of less than 0 016 was considered statistically significant Mean age of patients with lesion was 59 6 years (range, 35-88 years) and in controls, 59 1 years (35-83 years)  Breast density distribution (A/B/C/D) was 21/59/42/21 and 22/60/41/20, respectively  Histologic diagnoses were invasive ductal carcinoma in 90, ductal in situ carcinoma in 13, invasive lobular carcinoma in 13, mucinous carcinoma in 3, and borderline lesion in 12 patients  In the first step, the area under the receiver operating characteristic curve of the trained neural network was 0 81 and comparable on the test cases 0 79 (P = 0 63)  One of the radiologists showed almost equal performance (0 83, P = 0 17), whereas 2 were significantly better (0 91 and 0 94, P &lt; 0 016)  In the second step, performance of the neural network (0 82) was not significantly different from the human performance (0 77-0 87, P &gt; 0 016); however, radiologists were consistently less sensitive and more specific than the neural network Current state-of-the-art artificial neural networks for general image analysis are able to detect cancer in mammographies with similar accuracy to radiologists, even in a screening-like cohort with low breast cancer prevalence </t>
  </si>
  <si>
    <t xml:space="preserve">From the Institute of Diagnostic and Interventional Radiology, University Hospital Zurich, Zurich, Switzerland </t>
  </si>
  <si>
    <t>Becker, AS; Marcon, M; Ghafoor, S; Wurnig, MC; Frauenfelder, T; Boss, A</t>
  </si>
  <si>
    <t>10 1002/mp 12045</t>
  </si>
  <si>
    <t xml:space="preserve">Segmentation of organs-at-risks in head and neck CT images using convolutional neural networks </t>
  </si>
  <si>
    <t xml:space="preserve">Accurate segmentation of organs-at-risks (OARs) is the key step for efficient planning of radiation therapy for head and neck (HaN) cancer treatment  In the work, we proposed the first deep learning-based algorithm, for segmentation of OARs in HaN CT images, and compared its performance against state-of-the-art automated segmentation algorithms, commercial software, and interobserver variability Convolutional neural networks (CNNs)-a concept from the field of deep learning-were used to study consistent intensity patterns of OARs from training CT images and to segment the OAR in a previously unseen test CT image  For CNN training, we extracted a representative number of positive intensity patches around voxels that belong to the OAR of interest in training CT images, and negative intensity patches around voxels that belong to the surrounding structures  These patches then passed through a sequence of CNN layers that captured local image features such as corners, end-points, and edges, and combined them into more complex high-order features that can efficiently describe the OAR  The trained network was applied to classify voxels in a region of interest in the test image where the corresponding OAR is expected to be located  We then smoothed the obtained classification results by using Markov random fields algorithm  We finally extracted the largest connected component of the smoothed voxels classified as the OAR by CNN, performed dilate-erode operations to remove cavities of the component, which resulted in segmentation of the OAR in the test image The performance of CNNs was validated on segmentation of spinal cord, mandible, parotid glands, submandibular glands, larynx, pharynx, eye globes, optic nerves, and optic chiasm using 50 CT images  The obtained segmentation results varied from 37 4% Dice coefficient (DSC) for chiasm to 89 5% DSC for mandible  We also analyzed the performance of state-of-the-art algorithms and commercial software reported in the literature, and observed that CNNs demonstrate similar or superior performance on segmentation of spinal cord, mandible, parotid glands, larynx, pharynx, eye globes, and optic nerves, but inferior performance on segmentation of submandibular glands and optic chiasm We concluded that convolution neural networks can accurately segment most of OARs using a representative database of 50 HaN CT images  At the same time, inclusion of additional information, for example, MR images, may be beneficial to some OARs with poorly visible boundaries </t>
  </si>
  <si>
    <t xml:space="preserve">Department of Radiation Oncology, Stanford University School of Medicine, Stanford, California, 94305, USA </t>
  </si>
  <si>
    <t>Ibragimov, B; Xing, L</t>
  </si>
  <si>
    <t>10 1002/mrm 26631</t>
  </si>
  <si>
    <t xml:space="preserve">Automatic segmentation of the right ventricle from cardiac MRI using a learning-based approach </t>
  </si>
  <si>
    <t xml:space="preserve">This study aims to accurately segment the right ventricle (RV) from cardiac MRI using a fully automatic learning-based method The proposed method uses deep learning algorithms, i e , convolutional neural networks and stacked autoencoders, for automatic detection and initial segmentation of the RV chamber  The initial segmentation is then combined with the deformable models to improve the accuracy and robustness of the process  We trained our algorithm using 16 cardiac MRI datasets of the MICCAI 2012 RV Segmentation Challenge database and validated our technique using the rest of the dataset (32 subjects) An average Dice metric of 82 5% along with an average Hausdorff distance of 7 85 mm were achieved for all the studied subjects  Furthermore, a high correlation and level of agreement with the ground truth contours for end-diastolic volume (0 98), end-systolic volume (0 99), and ejection fraction (0 93) were observed Our results show that deep learning algorithms can be effectively used for automatic segmentation of the RV  Computed quantitative metrics of our method outperformed that of the existing techniques participated in the MICCAI 2012 challenge, as reported by the challenge organizers  Magn Reson Med 78:2439-2448, 2017  © 2017 International Society for Magnetic Resonance in Medicine </t>
  </si>
  <si>
    <t>CNN,STACKED AUTOENCODER</t>
  </si>
  <si>
    <t xml:space="preserve">The Edwards Lifesciences Center for Advanced Cardiovascular Technology, University of California, Irvine, California, USA </t>
  </si>
  <si>
    <t>Avendi, MR; Kheradvar, A; Jafarkhani, H</t>
  </si>
  <si>
    <t>10 1038/nature21369</t>
  </si>
  <si>
    <t xml:space="preserve">Early brain development in infants at high risk for autism spectrum disorder </t>
  </si>
  <si>
    <t xml:space="preserve">Brain enlargement has been observed in children with autism spectrum disorder (ASD), but the timing of this phenomenon, and the relationship between ASD and the appearance of behavioural symptoms, are unknown  Retrospective head circumference and longitudinal brain volume studies of two-year olds followed up at four years of age have provided evidence that increased brain volume may emerge early in development  Studies of infants at high familial risk of autism can provide insight into the early development of autism and have shown that characteristic social deficits in ASD emerge during the latter part of the first and in the second year of life  These observations suggest that prospective brain-imaging studies of infants at high familial risk of ASD might identify early postnatal changes in brain volume that occur before an ASD diagnosis  In this prospective neuroimaging study of 106 infants at high familial risk of ASD and 42 low-risk infants, we show that hyperexpansion of the cortical surface area between 6 and 12 months of age precedes brain volume overgrowth observed between 12 and 24 months in 15 high-risk infants who were diagnosed with autism at 24 months  Brain volume overgrowth was linked to the emergence and severity of autistic social deficits  A deep-learning algorithm that primarily uses surface area information from magnetic resonance imaging of the brain of 6-12-month-old individuals predicted the diagnosis of autism in individual high-risk children at 24 months (with a positive predictive value of 81% and a sensitivity of 88%)  These findings demonstrate that early brain changes occur during the period in which autistic behaviours are first emerging </t>
  </si>
  <si>
    <t xml:space="preserve">Department of Psychiatry, University of North Carolina, Chapel Hill, North Carolina 27599, USA </t>
  </si>
  <si>
    <t xml:space="preserve">Hazlett, HC; Gu, H; Munsell, BC; Kim, SH; Styner, M; Wolff, JJ; Elison, JT; Swanson, MR; Zhu, H; Botteron, KN; Collins, DL; Constantino, JN; Dager, SR; Estes, AM; Evans, AC; Fonov, VS; Gerig, G; Kostopoulos, P; McKinstry, RC; Pandey, J; Paterson, S; Pruett, JR; Schultz, RT; Shaw, DW; Zwaigenbaum, L; Piven, J; , ; , ; , ; , ; , </t>
  </si>
  <si>
    <t>0410462</t>
  </si>
  <si>
    <t>10 1002/cyto a 23065</t>
  </si>
  <si>
    <t xml:space="preserve">A deep learning based strategy for identifying and associating mitotic activity with gene expression derived risk categories in estrogen receptor positive breast cancers </t>
  </si>
  <si>
    <t xml:space="preserve">The treatment and management of early stage estrogen receptor positive (ER+) breast cancer is hindered by the difficulty in identifying patients who require adjuvant chemotherapy in contrast to those that will respond to hormonal therapy  To distinguish between the more and less aggressive breast tumors, which is a fundamental criterion for the selection of an appropriate treatment plan, Oncotype DX (ODX) and other gene expression tests are typically employed  While informative, these gene expression tests are expensive, tissue destructive, and require specialized facilities  Bloom-Richardson (BR) grade, the common scheme employed in breast cancer grading, has been shown to be correlated with the Oncotype DX risk score  Unfortunately, studies have also shown that the BR grade determined experiences notable inter-observer variability  One of the constituent categories in BR grading is the mitotic index  The goal of this study was to develop a deep learning (DL) classifier to identify mitotic figures from whole slides images of ER+ breast cancer, the hypothesis being that the number of mitoses identified by the DL classifier would correlate with the corresponding Oncotype DX risk categories  The mitosis detector yielded an average F-score of 0 556 in the AMIDA mitosis dataset using a 6-fold validation setup  For a cohort of 174 whole slide images with early stage ER+ breast cancer for which the corresponding Oncotype DX score was available, the distributions of the number of mitoses identified by the DL classifier was found to be significantly different between the high vs low Oncotype DX risk groups (P &lt; 0 01)  Comparisons of other risk groups, using both ODX score and histological grade, were also found to present significantly different automated mitoses distributions  Additionally, a support vector machine classifier trained to separate low/high Oncotype DX risk categories using the mitotic count determined by the DL classifier yielded a 83 19% classification accuracy  © 2017 International Society for Advancement of Cytometry </t>
  </si>
  <si>
    <t>dnn,cnn</t>
  </si>
  <si>
    <t xml:space="preserve">Engineering Faculty, Universidad Nacional de Colombia, Bogotá, DC, Colombia </t>
  </si>
  <si>
    <t>Romo-Bucheli, D; Janowczyk, A; Gilmore, H; Romero, E; Madabhushi, A</t>
  </si>
  <si>
    <t>10 1002/mp 12155</t>
  </si>
  <si>
    <t xml:space="preserve">MR-based synthetic CT generation using a deep convolutional neural network method </t>
  </si>
  <si>
    <t xml:space="preserve">Interests have been rapidly growing in the field of radiotherapy to replace CT with magnetic resonance imaging (MRI), due to superior soft tissue contrast offered by MRI and the desire to reduce unnecessary radiation dose  MR-only radiotherapy also simplifies clinical workflow and avoids uncertainties in aligning MR with CT  Methods, however, are needed to derive CT-equivalent representations, often known as synthetic CT (sCT), from patient MR images for dose calculation and DRR-based patient positioning  Synthetic CT estimation is also important for PET attenuation correction in hybrid PET-MR systems  We propose in this work a novel deep convolutional neural network (DCNN) method for sCT generation and evaluate its performance on a set of brain tumor patient images The proposed method builds upon recent developments of deep learning and convolutional neural networks in the computer vision literature  The proposed DCNN model has 27 convolutional layers interleaved with pooling and unpooling layers and 35 million free parameters, which can be trained to learn a direct end-to-end mapping from MR images to their corresponding CTs  Training such a large model on our limited data is made possible through the principle of transfer learning and by initializing model weights from a pretrained model  Eighteen brain tumor patients with both CT and T1-weighted MR images are used as experimental data and a sixfold cross-validation study is performed  Each sCT generated is compared against the real CT image of the same patient on a voxel-by-voxel basis  Comparison is also made with respect to an atlas-based approach that involves deformable atlas registration and patch-based atlas fusion The proposed DCNN method produced a mean absolute error (MAE) below 85 HU for 13 of the 18 test subjects  The overall average MAE was 84 8 ± 17 3 HU for all subjects, which was found to be significantly better than the average MAE of 94 5 ± 17 8 HU for the atlas-based method  The DCNN method also provided significantly better accuracy when being evaluated using two other metrics: the mean squared error (188 6 ± 33 7 versus 198 3 ± 33 0) and the Pearson correlation coefficient(0 906 ± 0 03 versus 0 896 ± 0 03)  Although training a DCNN model can be slow, training only need be done once  Applying a trained model to generate a complete sCT volume for each new patient MR image only took 9 s, which was much faster than the atlas-based approach A DCNN model method was developed, and shown to be able to produce highly accurate sCT estimations from conventional, single-sequence MR images in near real time  Quantitative results also showed that the proposed method competed favorably with an atlas-based method, in terms of both accuracy and computation speed at test time  Further validation on dose computation accuracy and on a larger patient cohort is warranted  Extensions of the method are also possible to further improve accuracy or to handle multi-sequence MR images </t>
  </si>
  <si>
    <t xml:space="preserve">Elekta Inc , Maryland Heights, MO, 63043, USA </t>
  </si>
  <si>
    <t>Han, X</t>
  </si>
  <si>
    <t>10 1155/2017/3640901</t>
  </si>
  <si>
    <t xml:space="preserve">Three-Class Mammogram Classification Based on Descriptive CNN Features </t>
  </si>
  <si>
    <t xml:space="preserve">In this paper, a novel classification technique for large data set of mammograms using a deep learning method is proposed  The proposed model targets a three-class classification study (normal, malignant, and benign cases)  In our model we have presented two methods, namely, convolutional neural network-discrete wavelet (CNN-DW) and convolutional neural network-curvelet transform (CNN-CT)  An augmented data set is generated by using mammogram patches  To enhance the contrast of mammogram images, the data set is filtered by contrast limited adaptive histogram equalization (CLAHE)  In the CNN-DW method, enhanced mammogram images are decomposed as its four subbands by means of two-dimensional discrete wavelet transform (2D-DWT), while in the second method discrete curvelet transform (DCT) is used  In both methods, dense scale invariant feature (DSIFT) for all subbands is extracted  Input data matrix containing these subband features of all the mammogram patches is created that is processed as input to convolutional neural network (CNN)  Softmax layer and support vector machine (SVM) layer are used to train CNN for classification  Proposed methods have been compared with existing methods in terms of accuracy rate, error rate, and various validation assessment measures  CNN-DW and CNN-CT have achieved accuracy rate of 81 83% and 83 74%, respectively  Simulation results clearly validate the significance and impact of our proposed model as compared to other well-known existing techniques </t>
  </si>
  <si>
    <t xml:space="preserve">Queen Mary University of London, London, UK; Faculty of Engineering and Technology, International Islamic University Islamabad, Islamabad, Pakistan </t>
  </si>
  <si>
    <t>Jadoon, MM; Zhang, Q; Haq, IU; Butt, S; Jadoon, A</t>
  </si>
  <si>
    <t>10 1109/TMI 2017 2665671</t>
  </si>
  <si>
    <t xml:space="preserve">Detection and Localization of Robotic Tools in Robot-Assisted Surgery Videos Using Deep Neural Networks for Region Proposal and Detection </t>
  </si>
  <si>
    <t xml:space="preserve">Video understanding of robot-assisted surgery (RAS) videos is an active research area  Modeling the gestures and skill level of surgeons presents an interesting problem  The insights drawn may be applied in effective skill acquisition, objective skill assessment, real-time feedback, and human-robot collaborative surgeries  We propose a solution to the tool detection and localization open problem in RAS video understanding, using a strictly computer vision approach and the recent advances of deep learning  We propose an architecture using multimodal convolutional neural networks for fast detection and localization of tools in RAS videos  To the best of our knowledge, this approach will be the first to incorporate deep neural networks for tool detection and localization in RAS videos  Our architecture applies a region proposal network (RPN) and a multimodal two stream convolutional network for object detection to jointly predict objectness and localization on a fusion of image and temporal motion cues  Our results with an average precision of 91% and a mean computation time of 0 1 s per test frame detection indicate that our study is superior to conventionally used methods for medical imaging while also emphasizing the benefits of using RPN for precision and efficiency  We also introduce a new data set, ATLAS Dione, for RAS video understanding  Our data set provides video data of ten surgeons from Roswell Park Cancer Institute, Buffalo, NY, USA, performing six different surgical tasks on the daVinci Surgical System (dVSS) with annotations of robotic tools per frame </t>
  </si>
  <si>
    <t>Fast R-CNN</t>
  </si>
  <si>
    <t>video</t>
    <phoneticPr fontId="0" type="noConversion"/>
  </si>
  <si>
    <t>Department of Computer Science
and Engineering, SUNY Buffalo, NY, 14260-1660 USA</t>
  </si>
  <si>
    <t>Sarikaya, D; Corso, JJ; Guru, KA</t>
  </si>
  <si>
    <t>10 1016/j media 2017 01 009</t>
  </si>
  <si>
    <t xml:space="preserve">A deep learning approach for the analysis of masses in mammograms with minimal user intervention </t>
  </si>
  <si>
    <t xml:space="preserve">We present an integrated methodology for detecting, segmenting and classifying breast masses from mammograms with minimal user intervention  This is a long standing problem due to low signal-to-noise ratio in the visualisation of breast masses, combined with their large variability in terms of shape, size, appearance and location  We break the problem down into three stages: mass detection, mass segmentation, and mass classification  For the detection, we propose a cascade of deep learning methods to select hypotheses that are refined based on Bayesian optimisation  For the segmentation, we propose the use of deep structured output learning that is subsequently refined by a level set method  Finally, for the classification, we propose the use of a deep learning classifier, which is pre-trained with a regression to hand-crafted feature values and fine-tuned based on the annotations of the breast mass classification dataset  We test our proposed system on the publicly available INbreast dataset and compare the results with the current state-of-the-art methodologies  This evaluation shows that our system detects 90% of masses at 1 false positive per image, has a segmentation accuracy of around 0 85 (Dice index) on the correctly detected masses, and overall classifies masses as malignant or benign with sensitivity (Se) of 0 98 and specificity (Sp) of 0 7 </t>
  </si>
  <si>
    <t>DBN,CNN</t>
  </si>
  <si>
    <t xml:space="preserve">Electrical and Computer Engineering, The University of British Columbia, Canada  Electronic address: neerozj@gmail com </t>
  </si>
  <si>
    <t>Dhungel, N; Carneiro, G; Bradley, AP</t>
  </si>
  <si>
    <t>10 1007/s00586-017-4956-3</t>
  </si>
  <si>
    <t xml:space="preserve">ISSLS PRIZE IN BIOENGINEERING SCIENCE 2017: Automation of reading of radiological features from magnetic resonance images (MRIs) of the lumbar spine without human intervention is comparable with an expert radiologist </t>
  </si>
  <si>
    <t xml:space="preserve">Investigation of the automation of radiological features from magnetic resonance images (MRIs) of the lumbar spine To automate the process of grading lumbar intervertebral discs and vertebral bodies from MRIs  MR imaging is the most common imaging technique used in investigating low back pain (LBP)  Various features of degradation, based on MRIs, are commonly recorded and graded, e g , Modic change and Pfirrmann grading of intervertebral discs  Consistent scoring and grading is important for developing robust clinical systems and research  Automation facilitates this consistency and reduces the time of radiological analysis considerably and hence the expense 12,018 intervertebral discs, from 2009 patients, were graded by a radiologist and were then used to train: (1) a system to detect and label vertebrae and discs in a given scan, and (2) a convolutional neural network (CNN) model that predicts several radiological gradings  The performance of the model, in terms of class average accuracy, was compared with the intra-observer class average accuracy of the radiologist The detection system achieved 95 6% accuracy in terms of disc detection and labeling  The model is able to produce predictions of multiple pathological gradings that consistently matched those of the radiologist  The model identifies 'Evidence Hotspots' that are the voxels that most contribute to the degradation scores Automation of radiological grading is now on par with human performance  The system can be beneficial in aiding clinical diagnoses in terms of objectivity of gradings and the speed of analysis  It can also draw the attention of a radiologist to regions of degradation  This objectivity and speed is an important stepping stone in the investigation of the relationship between MRIs and clinical diagnoses of back pain in large cohorts Level 3 </t>
  </si>
  <si>
    <t>European spine journal : official publication of the European Spine Society, the European Spinal Deformity Society, and the European Section of the Cervical Spine Research Society</t>
  </si>
  <si>
    <t xml:space="preserve">Department of Engineering Science, University of Oxford, Oxford, UK </t>
  </si>
  <si>
    <t xml:space="preserve">Jamaludin, A; Lootus, M; Kadir, T; Zisserman, A; Urban, J; Battié, MC; Fairbank, J; McCall, I; , </t>
  </si>
  <si>
    <t>9301980</t>
  </si>
  <si>
    <t>10 1016/j compbiomed 2017 01 018</t>
  </si>
  <si>
    <t xml:space="preserve">Comparing humans and deep learning performance for grading AMD: A study in using universal deep features and transfer learning for automated AMD analysis </t>
  </si>
  <si>
    <t xml:space="preserve">When left untreated, age-related macular degeneration (AMD) is the leading cause of vision loss in people over fifty in the US  Currently it is estimated that about eight million US individuals have the intermediate stage of AMD that is often asymptomatic with regard to visual deficit  These individuals are at high risk for progressing to the advanced stage where the often treatable choroidal neovascular form of AMD can occur  Careful monitoring to detect the onset and prompt treatment of the neovascular form as well as dietary supplementation can reduce the risk of vision loss from AMD, therefore, preferred practice patterns recommend identifying individuals with the intermediate stage in a timely manner Past automated retinal image analysis (ARIA) methods applied on fundus imagery have relied on engineered and hand-designed visual features  We instead detail the novel application of a machine learning approach using deep learning for the problem of ARIA and AMD analysis  We use transfer learning and universal features derived from deep convolutional neural networks (DCNN)  We address clinically relevant 4-class, 3-class, and 2-class AMD severity classification problems Using 5664 color fundus images from the NIH AREDS dataset and DCNN universal features, we obtain values for accuracy for the (4-, 3-, 2-) class classification problem of (79 4%, 81 5%, 93 4%) for machine vs  (75 8%, 85 0%, 95 2%) for physician grading This study demonstrates the efficacy of machine grading based on deep universal features/transfer learning when applied to ARIA and is a promising step in providing a pre-screener to identify individuals with intermediate AMD and also as a tool that can facilitate identifying such individuals for clinical studies aimed at developing improved therapies  It also demonstrates comparable performance between computer and physician grading </t>
  </si>
  <si>
    <t xml:space="preserve">Applied Physics Laboratory, The Johns Hopkins University, MD, USA; Retina Division, Wilmer Eye Institute, Johns Hopkins University School of Medicine, USA; Department of Computer Science, The Johns Hopkins University, MD, USA </t>
  </si>
  <si>
    <t>Burlina, P; Pacheco, KD; Joshi, N; Freund, DE; Bressler, NM</t>
  </si>
  <si>
    <t>10 1016/j media 2017 01 008</t>
  </si>
  <si>
    <t xml:space="preserve">Deep ensemble learning of sparse regression models for brain disease diagnosis </t>
  </si>
  <si>
    <t xml:space="preserve">Recent studies on brain imaging analysis witnessed the core roles of machine learning techniques in computer-assisted intervention for brain disease diagnosis  Of various machine-learning techniques, sparse regression models have proved their effectiveness in handling high-dimensional data but with a small number of training samples, especially in medical problems  In the meantime, deep learning methods have been making great successes by outperforming the state-of-the-art performances in various applications  In this paper, we propose a novel framework that combines the two conceptually different methods of sparse regression and deep learning for Alzheimer's disease/mild cognitive impairment diagnosis and prognosis  Specifically, we first train multiple sparse regression models, each of which is trained with different values of a regularization control parameter  Thus, our multiple sparse regression models potentially select different feature subsets from the original feature set; thereby they have different powers to predict the response values, i e , clinical label and clinical scores in our work  By regarding the response values from our sparse regression models as target-level representations, we then build a deep convolutional neural network for clinical decision making, which thus we call 'Deep Ensemble Sparse Regression Network ' To our best knowledge, this is the first work that combines sparse regression models with deep neural network  In our experiments with the ADNI cohort, we validated the effectiveness of the proposed method by achieving the highest diagnostic accuracies in three classification tasks  We also rigorously analyzed our results and compared with the previous studies on the ADNI cohort in the literature </t>
  </si>
  <si>
    <t>CNN,DBN</t>
    <phoneticPr fontId="0" type="noConversion"/>
  </si>
  <si>
    <t xml:space="preserve">Department of Brain and Cognitive Engineering, Korea University, Seoul 02841, Republic of Korea  Electronic address: hisuk@korea ac kr </t>
  </si>
  <si>
    <t xml:space="preserve">Suk, HI; Lee, SW; Shen, D; , </t>
  </si>
  <si>
    <t>10 1007/978-3-319-46723-8_25</t>
  </si>
  <si>
    <t xml:space="preserve">3D Deep Learning for Multi-modal Imaging-Guided Survival Time Prediction of Brain Tumor Patients </t>
  </si>
  <si>
    <t xml:space="preserve">High-grade glioma is the most aggressive and severe brain tumor that leads to death of almost 50% patients in 1-2 years  Thus, accurate prognosis for glioma patients would provide essential guidelines for their treatment planning  Conventional survival prediction generally utilizes clinical information and limited handcrafted features from magnetic resonance images (MRI), which is often time consuming, laborious and subjective  In this paper, we propose using deep learning frameworks to automatically extract features from multi-modal preoperative brain images (i e , T1 MRI, fMRI and DTI) of high-grade glioma patients  Specifically, we adopt 3D convolutional neural networks (CNNs) and also propose a new network architecture for using multi-channel data and learning supervised features  Along with the pivotal clinical features, we finally train a support vector machine to predict if the patient has a long or short overall survival (OS) time  Experimental results demonstrate that our methods can achieve an accuracy as high as 89 9% We also find that the learned features from fMRI and DTI play more important roles in accurately predicting the OS time, which provides valuable insights into functional neuro-oncological applications </t>
  </si>
  <si>
    <t xml:space="preserve">Department of Radiology and BRIC, University of North Carolina at Chapel Hill, Chapel Hill, USA; Department of Computer Science, University of North Carolina at Chapel Hill, Chapel Hill, USA </t>
  </si>
  <si>
    <t>Nie, D; Zhang, H; Adeli, E; Liu, L; Shen, D</t>
  </si>
  <si>
    <t xml:space="preserve">[Study of attention deficit/hyperactivity disorder classification based on convolutional neural networks] </t>
  </si>
  <si>
    <t xml:space="preserve">Attention deficit/hyperactivity disorder(ADHD) is a behavioral disorder syndrome found mainly in school-age population  At present, the diagnosis of ADHD mainly depends on the subjective methods, leading to the high rate of misdiagnosis and missed-diagnosis  To solve these problems, we proposed an algorithm for classifying ADHD objectively based on convolutional neural network  At first, preprocessing steps, including skull stripping, Gaussian kernel smoothing, et al , were applied to brain magnetic resonance imaging(MRI)  Then, coarse segmentation was used for selecting the right caudate nucleus, left precuneus, and left superior frontal gyrus region  Finally, a 3 level convolutional neural network was used for classification  Experimental results showed that the proposed algorithm was capable of classifying ADHD and normal groups effectively, the classification accuracies obtained by the right caudate nucleus and the left precuneus brain regions were greater than the highest classification accuracy(62 52%) in the ADHD-200 competition, and among 3 brain regions in ADHD and the normal groups, the classification accuracy from the right caudate nucleus was the highest  It is well concluded that the method for classification of ADHD and normal groups proposed in this paper utilizing the coarse segmentation and deep learning is a useful method for the purpose  The classification accuracy of the proposed method is high, and the calculation is simple  And the method is able to extract the unobvious image features better, and can overcome the shortcomings of traditional methods of MRI brain area segmentation, which are time-consuming and highly complicate  The method provides an objective diagnosis approach for ADHD </t>
  </si>
  <si>
    <t>Department of Radiology and BRIC, University of North Carolina at Chapel Hill, Chapel Hill, USA</t>
  </si>
  <si>
    <t>Zhu, L; Zhang, L; Han, Y; Zeng, Q; Chang, W</t>
  </si>
  <si>
    <t>10 1109/TPAMI 2017 2656884</t>
  </si>
  <si>
    <t xml:space="preserve">Unsupervised Transfer Learning via Multi-Scale Convolutional Sparse Coding for Biomedical Applications </t>
  </si>
  <si>
    <t xml:space="preserve">The capabilities of (I) learning transferable knowledge across domains; and (II) fine-tuning the pre-learned base knowledge towards tasks with considerably smaller data scale are extremely important  Many of the existing transfer learning techniques are supervised approaches, among which deep learning has the demonstrated power of learning domain transferrable knowledge with large scale network trained on massive amounts of labeled data  However, in many biomedical tasks, both the data and the corresponding label can be very limited, where the unsupervised transfer learning capability is urgently needed  In this paper, we proposed a novel multi-scale convolutional sparse coding (MSCSC) method, that (I) automatically learns filter banks at different scales in a joint fashion with enforced scale-specificity of learned patterns; and (II) provides an unsupervised solution for learning transferable base knowledge and fine-tuning it towards target tasks  Extensive experimental evaluation of MSCSC demonstrates the effectiveness of the proposed MSCSC in both regular and transfer learning tasks in various biomedical domains </t>
  </si>
  <si>
    <t>Berkeley Biomedical Data Science Center (BBDS: http://bbds lbl gov), Biological Systems and Engineering Division, Lawrence Berkeley National Laboratory, Berkeley, California, U S A</t>
  </si>
  <si>
    <t>Chang, H; Han, J; Zhong, C; Snijders, AM; Mao, JH</t>
  </si>
  <si>
    <t>10 1109/JBHI 2016 2637004</t>
  </si>
  <si>
    <t xml:space="preserve">Integrating Online and Offline Three-Dimensional Deep Learning for Automated Polyp Detection in Colonoscopy Videos </t>
  </si>
  <si>
    <t xml:space="preserve">Automated polyp detection in colonoscopy videos has been demonstrated to be a promising way for colorectal cancer prevention and diagnosis  Traditional manual screening is time consuming, operator dependent, and error prone; hence, automated detection approach is highly demanded in clinical practice  However, automated polyp detection is very challenging due to high intraclass variations in polyp size, color, shape, and texture, and low interclass variations between polyps and hard mimics  In this paper, we propose a novel offline and online three-dimensional (3-D) deep learning integration framework by leveraging the 3-D fully convolutional network (3D-FCN) to tackle this challenging problem  Compared with the previous methods employing hand-crafted features or 2-D convolutional neural network, the 3D-FCN is capable of learning more representative spatio-temporal features from colonoscopy videos, and hence has more powerful discrimination capability  More importantly, we propose a novel online learning scheme to deal with the problem of limited training data by harnessing the specific information of an input video in the learning process  We integrate offline and online learning to effectively reduce the number of false positives generated by the offline network and further improve the detection performance  Extensive experiments on the dataset of MICCAI 2015 Challenge on Polyp Detection demonstrated the better performance of our method when compared with other competitors </t>
  </si>
  <si>
    <t>Department of Computer Science
and Engineering, The Chinese University of Hong Kong, Hong Kong, China</t>
    <phoneticPr fontId="0" type="noConversion"/>
  </si>
  <si>
    <t xml:space="preserve">Lequan Yu, ; Hao Chen, ; Qi Dou, ; Jing Qin, ; Pheng Ann Heng, </t>
  </si>
  <si>
    <t>10 1109/TMI 2016 2629462</t>
  </si>
  <si>
    <t xml:space="preserve">Automatic Scoring of Multiple Semantic Attributes With Multi-Task Feature Leverage: A Study on Pulmonary Nodules in CT Images </t>
  </si>
  <si>
    <t xml:space="preserve">The gap between the computational and semantic features is the one of major factors that bottlenecks the computer-aided diagnosis (CAD) performance from clinical usage  To bridge this gap, we exploit three multi-task learning (MTL) schemes to leverage heterogeneous computational features derived from deep learning models of stacked denoising autoencoder (SDAE) and convolutional neural network (CNN), as well as hand-crafted Haar-like and HoG features, for the description of 9 semantic features for lung nodules in CT images  We regard that there may exist relations among the semantic features of "spiculation", "texture", "margin", etc , that can be explored with the MTL  The Lung Image Database Consortium (LIDC) data is adopted in this study for the rich annotation resources  The LIDC nodules were quantitatively scored w r t  9 semantic features from 12 radiologists of several institutes in U S A  By treating each semantic feature as an individual task, the MTL schemes select and map the heterogeneous computational features toward the radiologists' ratings with cross validation evaluation schemes on the randomly selected 2400 nodules from the LIDC dataset  The experimental results suggest that the predicted semantic scores from the three MTL schemes are closer to the radiologists' ratings than the scores from single-task LASSO and elastic net regression methods  The proposed semantic attribute scoring scheme may provide richer quantitative assessments of nodules for better support of diagnostic decision and management  Meanwhile, the capability of the automatic association of medical image contents with the clinical semantic terms by our method may also assist the development of medical search engine </t>
  </si>
  <si>
    <t>STACKED AUTOENCODER,CNN</t>
  </si>
  <si>
    <t>National-Regional Key Technology Engineering Laboratory for Medical Ultrasound, Guangdong Key Laboratory for Biomedical Measurements and Ultrasound Imaging, Department of Biomedical Engineering, School of Medicine, Shenzhen University, Shenzhen 518060, China</t>
    <phoneticPr fontId="0" type="noConversion"/>
  </si>
  <si>
    <t xml:space="preserve">Sihong Chen, ; Jing Qin, ; Xing Ji, ; Baiying Lei, ; Tianfu Wang, ; Dong Ni, ; Jie-Zhi Cheng, </t>
  </si>
  <si>
    <t>10 1109/JBHI 2017 2655720</t>
  </si>
  <si>
    <t xml:space="preserve">Multimodal Neuroimaging Feature Learning With Multimodal Stacked Deep Polynomial Networks for Diagnosis of Alzheimer's Disease </t>
  </si>
  <si>
    <t xml:space="preserve">The accurate diagnosis of Alzheimer's disease (AD) and its early stage, i e , mild cognitive impairment, is essential for timely treatment and possible delay of AD  Fusion of multimodal neuroimaging data, such as magnetic resonance imaging (MRI) and positron emission tomography (PET), has shown its effectiveness for AD diagnosis  The deep polynomial networks (DPN) is a recently proposed deep learning algorithm, which performs well on both large-scale and small-size datasets  In this study, a multimodal stacked DPN (MM-SDPN) algorithm, which MM-SDPN consists of two-stage SDPNs, is proposed to fuse and learn feature representation from multimodal neuroimaging data for AD diagnosis  Specifically speaking, two SDPNs are first used to learn high-level features of MRI and PET, respectively, which are then fed to another SDPN to fuse multimodal neuroimaging information  The proposed MM-SDPN algorithm is applied to the ADNI dataset to conduct both binary classification and multiclass classification tasks  Experimental results indicate that MM-SDPN is superior over the state-of-the-art multimodal feature-learning-based algorithms for AD diagnosis </t>
  </si>
  <si>
    <t>DPN,STACKED AUTOENCODER</t>
  </si>
  <si>
    <t>the Ins titute of Biomedical
Engineering, School of Communication and Information Engineering Engineering, Shanghai University , 200444 Shanghai, China</t>
    <phoneticPr fontId="0" type="noConversion"/>
  </si>
  <si>
    <t>Shi, J; Zheng, X; Li, Y; Zhang, Q; Ying, S</t>
  </si>
  <si>
    <t>10 1109/TMI 2017 2655486</t>
  </si>
  <si>
    <t xml:space="preserve">Detecting Cardiovascular Disease from Mammograms With Deep Learning </t>
  </si>
  <si>
    <t xml:space="preserve">Coronary artery disease is a major cause of death in women  Breast arterial calcifications (BACs), detected inmammograms, can be useful riskmarkers associated with the disease  We investigate the feasibility of automated and accurate detection ofBACsinmammograms for risk assessment of coronary artery disease  We develop a 12-layer convolutional neural network to discriminate BAC from non-BAC and apply a pixelwise, patch-based procedure for BAC detection  To assess the performance of the system, we conduct a reader study to provide ground-truth information using the consensus of human expert radiologists  We evaluate the performance using a set of 840 full-field digital mammograms from 210 cases, using both free-responsereceiveroperatingcharacteristic (FROC) analysis and calcium mass quantification analysis  The FROC analysis shows that the deep learning approach achieves a level of detection similar to the human experts  The calcium mass quantification analysis shows that the inferred calcium mass is close to the ground truth, with a linear regression between them yielding a coefficient of determination of 96 24%  Taken together, these results suggest that deep learning can be used effectively to develop an automated system for BAC detection inmammograms to help identify and assess patients with cardiovascular risks </t>
  </si>
  <si>
    <t>Institute for Genomics and Bioinformatics and the Department of Computer Science, University of California, Irvine, CA, 92697 USA</t>
    <phoneticPr fontId="0" type="noConversion"/>
  </si>
  <si>
    <t>Wang, J; Ding, H; Bidgoli, FA; Zhou, B; Iribarren, C; Molloi, S; Baldi, P</t>
  </si>
  <si>
    <t>10 1002/mp 12116</t>
  </si>
  <si>
    <t xml:space="preserve">MRI-based prostate cancer detection with high-level representation and hierarchical classification </t>
  </si>
  <si>
    <t xml:space="preserve">Extracting the high-level feature representation by using deep neural networks for detection of prostate cancer, and then based on high-level feature representation constructing hierarchical classification to refine the detection results High-level feature representation is first learned by a deep learning network, where multiparametric MR images are used as the input data  Then, based on the learned high-level features, a hierarchical classification method is developed, where multiple random forest classifiers are iteratively constructed to refine the detection results of prostate cancer The experiments were carried on 21 real patient subjects, and the proposed method achieves an averaged section-based evaluation (SBE) of 89 90%, an averaged sensitivity of 91 51%, and an averaged specificity of 88 47% The high-level features learned from our proposed method can achieve better performance than the conventional handcrafted features (e g , LBP and Haar-like features) in detecting prostate cancer regions, also the context features obtained from the proposed hierarchical classification approach are effective in refining cancer detection result </t>
  </si>
  <si>
    <t xml:space="preserve">Computer Center, Nanjing University of Aeronautics &amp; Astronautics, Jiangsu, China </t>
  </si>
  <si>
    <t>Zhu, Y; Wang, L; Liu, M; Qian, C; Yousuf, A; Oto, A; Shen, D</t>
  </si>
  <si>
    <t>10 1002/mp 12110</t>
  </si>
  <si>
    <t xml:space="preserve">Discriminating solitary cysts from soft tissue lesions in mammography using a pretrained deep convolutional neural network </t>
  </si>
  <si>
    <t xml:space="preserve">It is estimated that 7% of women in the western world will develop palpable breast cysts in their lifetime  Even though cysts have been correlated with risk of developing breast cancer, many of them are benign and do not require follow-up  We develop a method to discriminate benign solitary cysts from malignant masses in digital mammography  We think a system like this can have merit in the clinic as a decision aid or complementary to specialized modalities We employ a deep convolutional neural network (CNN) to classify cyst and mass patches  Deep CNNs have been shown to be powerful classifiers, but need a large amount of training data for which medical problems are often difficult to come by  The key contribution of this paper is that we show good performance can be obtained on a small dataset by pretraining the network on a large dataset of a related task  We subsequently investigate the following: (a) when a mammographic exam is performed, two different views of the same breast are recorded  We investigate the merit of combining the output of the classifier from these two views  (b) We evaluate the importance of the resolution of the patches fed to the network  (c) A method dubbed tissue augmentation is subsequently employed, where we extract normal tissue from normal patches and superimpose this onto the actual samples aiming for a classifier invariant to occluding tissue  (d) We combine the representation extracted using the deep CNN with our previously developed features We show that using the proposed deep learning method, an area under the ROC curve (AUC) value of 0 80 can be obtained on a set of benign solitary cysts and malignant mass findings recalled in screening  We find that it works significantly better than our previously developed approach by comparing the AUC of the ROC using bootstrapping  By combining views, the results can be further improved, though this difference was not found to be significant  We find no significant difference between using a resolution of 100 versus 200 micron  The proposed tissue augmentations give a small improvement in performance, but this improvement was also not found to be significant  The final system obtained an AUC of 0 80 with 95% confidence interval [0 78, 0 83], calculated using bootstrapping  The system works best for lesions larger than 27 mm where it obtains an AUC value of 0 87 We have presented a computer-aided diagnosis (CADx) method to discriminate cysts from solid lesion in mammography using features from a deep CNN trained on a large set of mass candidates, obtaining an AUC of 0 80 on a set of diagnostic exams recalled from screening  We believe the system shows great potential and comes close to the performance of recently developed spectral mammography  We think the system can be further improved when more data and computational power becomes available </t>
  </si>
  <si>
    <t xml:space="preserve">Department of Radiology and Nuclear Medicine, RadboudUMC, Geert Grooteplein Zuid 10, Nijmegen, 6535, The Netherlands </t>
  </si>
  <si>
    <t>Kooi, T; van Ginneken, B; Karssemeijer, N; den Heeten, A</t>
  </si>
  <si>
    <t>10 1007/s10278-017-9945-x</t>
  </si>
  <si>
    <t xml:space="preserve">Detection and Labeling of Vertebrae in MR Images Using Deep Learning with Clinical Annotations as Training Data </t>
  </si>
  <si>
    <t xml:space="preserve">The purpose of this study was to investigate the potential of using clinically provided spine label annotations stored in a single institution image archive as training data for deep learning-based vertebral detection and labeling pipelines  Lumbar and cervical magnetic resonance imaging cases with annotated spine labels were identified and exported from an image archive  Two separate pipelines were configured and trained for lumbar and cervical cases respectively, using the same setup with convolutional neural networks for detection and parts-based graphical models to label the vertebrae  The detection sensitivity, precision and accuracy rates ranged between 99 1-99 8, 99 6-100, and 98 8-99 8% respectively, the average localization error ranges were 1 18-1 24 and 2 38-2 60 mm for cervical and lumbar cases respectively, and with a labeling accuracy of 96 0-97 0%  Failed labeling results typically involved failed S1 detections or missed vertebrae that were not fully visible on the image  These results show that clinically annotated image data from one image archive is sufficient to train a deep learning-based pipeline for accurate detection and labeling of MR images depicting the spine  Further, these results support using deep learning to assist radiologists in their work by providing highly accurate labels that only require rapid confirmation </t>
  </si>
  <si>
    <t xml:space="preserve">Sectra, Teknikringen 20, 583 30, Linköping, SE, Sweden </t>
  </si>
  <si>
    <t>Forsberg, D; Sjöblom, E; Sunshine, JL</t>
  </si>
  <si>
    <t>10 1016/j nicl 2016 10 008</t>
  </si>
  <si>
    <t xml:space="preserve">Deep learning predictions of survival based on MRI in amyotrophic lateral sclerosis </t>
  </si>
  <si>
    <t xml:space="preserve">Amyotrophic lateral sclerosis (ALS) is a progressive neuromuscular disease, with large variation in survival between patients  Currently, it remains rather difficult to predict survival based on clinical parameters alone  Here, we set out to use clinical characteristics in combination with MRI data to predict survival of ALS patients using deep learning, a machine learning technique highly effective in a broad range of big-data analyses  A group of 135 ALS patients was included from whom high-resolution diffusion-weighted and T1-weighted images were acquired at the first visit to the outpatient clinic  Next, each of the patients was monitored carefully and survival time to death was recorded  Patients were labeled as short, medium or long survivors, based on their recorded time to death as measured from the time of disease onset  In the deep learning procedure, the total group of 135 patients was split into a training set for deep learning (n = 83 patients), a validation set (n = 20) and an independent evaluation set (n = 32) to evaluate the performance of the obtained deep learning networks  Deep learning based on clinical characteristics predicted survival category correctly in 68 8% of the cases  Deep learning based on MRI predicted 62 5% correctly using structural connectivity and 62 5% using brain morphology data  Notably, when we combined the three sources of information, deep learning prediction accuracy increased to 84 4%  Taken together, our findings show the added value of MRI with respect to predicting survival in ALS, demonstrating the advantage of deep learning in disease prognostication </t>
  </si>
  <si>
    <t xml:space="preserve">Department of Neurology, Brain Center Rudolf Magnus, University Medical Center Utrecht, Heidelberglaan 100, PO Box 85500, 3508 GA, Utrecht, Netherlands </t>
  </si>
  <si>
    <t>van der Burgh, HK; Schmidt, R; Westeneng, HJ; de Reus, MA; van den Berg, LH; van den Heuvel, MP</t>
  </si>
  <si>
    <t>10 1016/j compbiomed 2016 12 010</t>
  </si>
  <si>
    <t xml:space="preserve">A comprehensive non-invasive framework for diagnosing prostate cancer </t>
  </si>
  <si>
    <t xml:space="preserve">Early detection of prostate cancer increases chances of patients' survival  Our automated non-invasive system for computer-aided diagnosis (CAD) of prostate cancer segments the prostate on diffusion-weighted magnetic resonance images (DW-MRI) acquired at different b-values, estimates its apparent diffusion coefficients (ADC), and classifies their descriptors - empirical cumulative distribution functions (CDF) - with a trained deep learning network  To segment the prostate, an evolving geometric (level-set-based) deformable model is guided by a speed function depending on intensity attributes extracted from the DW-MRI with nonnegative matrix factorization (NMF)  For a more robust evolution, the attributes are fused with a probabilistic shape prior and estimated spatial dependencies between prostate voxels  To preserve continuity, the ADCs of the segmented prostate volume at different b-values are normalized and refined using a generalized Gauss-Markov random field image model  The CDFs of the refined ADCs at different b-values are considered global water diffusion features and used to distinguish between benign and malignant prostates  A deep learning network of stacked non-negativity-constrained auto-encoders (SNCAE) is trained to classify the benign or malignant prostates on the basis of the constructed CDFs  Our experiments on 53 clinical DW-MRI data sets resulted in 92 3% accuracy, 83 3% sensitivity, and 100% specificity, indicating that the proposed CAD system could be used as a reliable non-invasive diagnostic tool </t>
  </si>
  <si>
    <t xml:space="preserve">Faculty of Computers and Information, Mansoura University, Mansoura 35516, Egypt; Bioengineering Department, University of Louisville, Louisville KY 40292, USA </t>
  </si>
  <si>
    <t>Reda, I; Shalaby, A; Elmogy, M; Elfotouh, AA; Khalifa, F; El-Ghar, MA; Hosseini-Asl, E; Gimel'farb, G; Werghi, N; El-Baz, A</t>
  </si>
  <si>
    <t>10 1364/JOSAA 34 000111</t>
  </si>
  <si>
    <t xml:space="preserve">Cytopathological image analysis using deep-learning networks in microfluidic microscopy </t>
  </si>
  <si>
    <t xml:space="preserve">Cytopathologic testing is one of the most critical steps in the diagnosis of diseases, including cancer  However, the task is laborious and demands skill  Associated high cost and low throughput drew considerable interest in automating the testing process  Several neural network architectures were designed to provide human expertise to machines  In this paper, we explore and propose the feasibility of using deep-learning networks for cytopathologic analysis by performing the classification of three important unlabeled, unstained leukemia cell lines (K562, MOLT, and HL60)  The cell images used in the classification are captured using a low-cost, high-throughput cell imaging technique: microfluidics-based imaging flow cytometry  We demonstrate that without any conventional fine segmentation followed by explicit feature extraction, the proposed deep-learning algorithms effectively classify the coarsely localized cell lines  We show that the designed deep belief network as well as the deeply pretrained convolutional neural network outperform the conventionally used decision systems and are important in the medical domain, where the availability of labeled data is limited for training  We hope that our work enables the development of a clinically significant high-throughput microfluidic microscopy-based tool for disease screening/triaging, especially in resource-limited settings </t>
  </si>
  <si>
    <t>cell</t>
  </si>
  <si>
    <t>Journal of the Optical Society of America  A, Optics, image science, and vision</t>
  </si>
  <si>
    <t>1Department of Earth and Space Sciences, Indian Institute of Space Science and Technology, Thiruvananthapuram 695547, Kerala, India</t>
    <phoneticPr fontId="0" type="noConversion"/>
  </si>
  <si>
    <t>Gopakumar, G; Hari Babu, K; Mishra, D; Gorthi, SS; Sai Subrahmanyam, GR</t>
  </si>
  <si>
    <t>9800943</t>
  </si>
  <si>
    <t>10 1155/2017/3098293</t>
  </si>
  <si>
    <t xml:space="preserve">Differentiation of the Follicular Neoplasm on the Gray-Scale US by Image Selection Subsampling along with the Marginal Outline Using Convolutional Neural Network </t>
  </si>
  <si>
    <t xml:space="preserve">We conducted differentiations between thyroid follicular adenoma and carcinoma for 8-bit bitmap ultrasonography (US) images utilizing a deep-learning approach  For the data sets, we gathered small-boxed selected images adjacent to the marginal outline of nodules and applied a convolutional neural network (CNN) to have differentiation, based on a statistical aggregation, that is, a decision by majority  From the implementation of the method, introducing a newly devised, scalable, parameterized normalization treatment, we observed meaningful aspects in various experiments, collecting evidence regarding the existence of features retained on the margin of thyroid nodules, such as 89 51% of the overall differentiation accuracy for the test data, with 93 19% of accuracy for benign adenoma and 71 05% for carcinoma, from 230 benign adenoma and 77 carcinoma US images, where we used only 39 benign adenomas and 39 carcinomas to train the CNN model, and, with these extremely small training data sets and their model, we tested 191 benign adenomas and 38 carcinomas  We present numerical results including area under receiver operating characteristic (AUROC) </t>
  </si>
  <si>
    <t xml:space="preserve">Department of Biomedical Engineering, College of Medicine, Gachon University, Gyeonggi-do, Republic of Korea </t>
  </si>
  <si>
    <t>Seo, JK; Kim, YJ; Kim, KG; Shin, I; Shin, JH; Kwak, JY</t>
  </si>
  <si>
    <t>10 1002/mp 12079</t>
  </si>
  <si>
    <t xml:space="preserve">Using deep learning to segment breast and fibroglandular tissue in MRI volumes </t>
  </si>
  <si>
    <t xml:space="preserve">Automated segmentation of breast and fibroglandular tissue (FGT) is required for various computer-aided applications of breast MRI  Traditional image analysis and computer vision techniques, such atlas, template matching, or, edge and surface detection, have been applied to solve this task  However, applicability of these methods is usually limited by the characteristics of the images used in the study datasets, while breast MRI varies with respect to the different MRI protocols used, in addition to the variability in breast shapes  All this variability, in addition to various MRI artifacts, makes it a challenging task to develop a robust breast and FGT segmentation method using traditional approaches  Therefore, in this study, we investigated the use of a deep-learning approach known as "U-net "We used a dataset of 66 breast MRI's randomly selected from our scientific archive, which includes five different MRI acquisition protocols and breasts from four breast density categories in a balanced distribution  To prepare reference segmentations, we manually segmented breast and FGT for all images using an in-house developed workstation  We experimented with the application of U-net in two different ways for breast and FGT segmentation  In the first method, following the same pipeline used in traditional approaches, we trained two consecutive (2C) U-nets: first for segmenting the breast in the whole MRI volume and the second for segmenting FGT inside the segmented breast  In the second method, we used a single 3-class (3C) U-net, which performs both tasks simultaneously by segmenting the volume into three regions: nonbreast, fat inside the breast, and FGT inside the breast  For comparison, we applied two existing and published methods to our dataset: an atlas-based method and a sheetness-based method  We used Dice Similarity Coefficient (DSC) to measure the performances of the automated methods, with respect to the manual segmentations  Additionally, we computed Pearson's correlation between the breast density values computed based on manual and automated segmentations The average DSC values for breast segmentation were 0 933, 0 944, 0 863, and 0 848 obtained from 3C U-net, 2C U-nets, atlas-based method, and sheetness-based method, respectively  The average DSC values for FGT segmentation obtained from 3C U-net, 2C U-nets, and atlas-based methods were 0 850, 0 811, and 0 671, respectively  The correlation between breast density values based on 3C U-net and manual segmentations was 0 974  This value was significantly higher than 0 957 as obtained from 2C U-nets (P &lt; 0 0001, Steiger's Z-test with Bonferoni correction) and 0 938 as obtained from atlas-based method (P = 0 0016) In conclusion, we applied a deep-learning method, U-net, for segmenting breast and FGT in MRI in a dataset that includes a variety of MRI protocols and breast densities  Our results showed that U-net-based methods significantly outperformed the existing algorithms and resulted in significantly more accurate breast density computation </t>
  </si>
  <si>
    <t xml:space="preserve">Radboud University Medical Center, Geert Grooteplein 10, 6525 GA, Nijmegen, The Netherlands </t>
  </si>
  <si>
    <t>Dalmış, MU; Litjens, G; Holland, K; Setio, A; Mann, R; Karssemeijer, N; Gubern-Mérida, A</t>
  </si>
  <si>
    <t>10 1016/j compmedimag 2016 11 004</t>
  </si>
  <si>
    <t xml:space="preserve">Lung nodule classification using deep feature fusion in chest radiography </t>
  </si>
  <si>
    <t xml:space="preserve">Lung nodules are small, round, or oval-shaped masses of tissue in the lung region  Early diagnosis and treatment of lung nodules can significantly improve the quality of patients' lives  Because of their small size and the interlaced nature of chest anatomy, detection of lung nodules using different medical imaging techniques becomes challenging  Recently, several methods for computer aided diagnosis (CAD) were proposed to improve the detection of lung nodules with good performances  However, the current methods are unable to achieve high sensitivity and high specificity  In this paper, we propose using deep feature fusion from the non-medical training and hand-crafted features to reduce the false positive results  Based on our experimentation of the public dataset, our results show that, the deep fusion feature can achieve promising results in terms of sensitivity and specificity (69 3% and 96 2%) at 1 19 false positive per image, which is better than the single hand-crafted features (62% and 95 4%) at 1 45 false positive per image  As it stands, fusion features that were used to classify our candidate nodules have resulted in a more promising outcome as compared to the single features from deep learning features and the hand-crafted features  This will improve the current CAD method based on the use of deep feature fusion to more effectively diagnose the presence of lung nodules </t>
  </si>
  <si>
    <t xml:space="preserve">Shenzhen Institutes of Advanced Technology, Chinese Academy of Sciences, 1068 Xueyuan Boulevard, Shenzhen 518055, China; University of Chinese Academy of Sciences, 52 Sanlihe Road, Beijing 100864, China </t>
  </si>
  <si>
    <t>Wang, C; Elazab, A; Wu, J; Hu, Q</t>
  </si>
  <si>
    <t>10 1038/srep38897</t>
  </si>
  <si>
    <t xml:space="preserve">Using deep belief network modelling to characterize differences in brain morphometry in schizophrenia </t>
  </si>
  <si>
    <t xml:space="preserve">Neuroimaging-based models contribute to increasing our understanding of schizophrenia pathophysiology and can reveal the underlying characteristics of this and other clinical conditions  However, the considerable variability in reported neuroimaging results mirrors the heterogeneity of the disorder  Machine learning methods capable of representing invariant features could circumvent this problem  In this structural MRI study, we trained a deep learning model known as deep belief network (DBN) to extract features from brain morphometry data and investigated its performance in discriminating between healthy controls (N = 83) and patients with schizophrenia (N = 143)  We further analysed performance in classifying patients with a first-episode psychosis (N = 32)  The DBN highlighted differences between classes, especially in the frontal, temporal, parietal, and insular cortices, and in some subcortical regions, including the corpus callosum, putamen, and cerebellum  The DBN was slightly more accurate as a classifier (accuracy = 73 6%) than the support vector machine (accuracy = 68 1%)  Finally, the error rate of the DBN in classifying first-episode patients was 56 3%, indicating that the representations learned from patients with schizophrenia and healthy controls were not suitable to define these patients  Our data suggest that deep learning could improve our understanding of psychiatric disorders such as schizophrenia by improving neuromorphometric analyses </t>
  </si>
  <si>
    <t>DBN,DNN</t>
  </si>
  <si>
    <t xml:space="preserve">Center of Mathematics, Computation, and Cognition  Universidade Federal do ABC, Santo André, Brazil </t>
  </si>
  <si>
    <t>Pinaya, WH; Gadelha, A; Doyle, OM; Noto, C; Zugman, A; Cordeiro, Q; Jackowski, AP; Bressan, RA; Sato, JR</t>
  </si>
  <si>
    <t>10 1001/jama 2016 17216</t>
  </si>
  <si>
    <t xml:space="preserve">Development and Validation of a Deep Learning Algorithm for Detection of Diabetic Retinopathy in Retinal Fundus Photographs </t>
  </si>
  <si>
    <t xml:space="preserve">Deep learning is a family of computational methods that allow an algorithm to program itself by learning from a large set of examples that demonstrate the desired behavior, removing the need to specify rules explicitly  Application of these methods to medical imaging requires further assessment and validation To apply deep learning to create an algorithm for automated detection of diabetic retinopathy and diabetic macular edema in retinal fundus photographs A specific type of neural network optimized for image classification called a deep convolutional neural network was trained using a retrospective development data set of 128 175 retinal images, which were graded 3 to 7 times for diabetic retinopathy, diabetic macular edema, and image gradability by a panel of 54 US licensed ophthalmologists and ophthalmology senior residents between May and December 2015  The resultant algorithm was validated in January and February 2016 using 2 separate data sets, both graded by at least 7 US board-certified ophthalmologists with high intragrader consistency Deep learning-trained algorithm The sensitivity and specificity of the algorithm for detecting referable diabetic retinopathy (RDR), defined as moderate and worse diabetic retinopathy, referable diabetic macular edema, or both, were generated based on the reference standard of the majority decision of the ophthalmologist panel  The algorithm was evaluated at 2 operating points selected from the development set, one selected for high specificity and another for high sensitivity The EyePACS-1 data set consisted of 9963 images from 4997 patients (mean age, 54 4 years; 62 2% women; prevalence of RDR, 683/8878 fully gradable images [7 8%]); the Messidor-2 data set had 1748 images from 874 patients (mean age, 57 6 years; 42 6% women; prevalence of RDR, 254/1745 fully gradable images [14 6%])  For detecting RDR, the algorithm had an area under the receiver operating curve of 0 991 (95% CI, 0 988-0 993) for EyePACS-1 and 0 990 (95% CI, 0 986-0 995) for Messidor-2  Using the first operating cut point with high specificity, for EyePACS-1, the sensitivity was 90 3% (95% CI, 87 5%-92 7%) and the specificity was 98 1% (95% CI, 97 8%-98 5%)  For Messidor-2, the sensitivity was 87 0% (95% CI, 81 1%-91 0%) and the specificity was 98 5% (95% CI, 97 7%-99 1%)  Using a second operating point with high sensitivity in the development set, for EyePACS-1 the sensitivity was 97 5% and specificity was 93 4% and for Messidor-2 the sensitivity was 96 1% and specificity was 93 9% In this evaluation of retinal fundus photographs from adults with diabetes, an algorithm based on deep machine learning had high sensitivity and specificity for detecting referable diabetic retinopathy  Further research is necessary to determine the feasibility of applying this algorithm in the clinical setting and to determine whether use of the algorithm could lead to improved care and outcomes compared with current ophthalmologic assessment </t>
  </si>
  <si>
    <t>JAMA</t>
  </si>
  <si>
    <t>Google Inc, Mountain View, California ,USA</t>
  </si>
  <si>
    <t>Gulshan, V; Peng, L; Coram, M; Stumpe, MC; Wu, D; Narayanaswamy, A; Venugopalan, S; Widner, K; Madams, T; Cuadros, J; Kim, R; Raman, R; Nelson, PC; Mega, JL; Webster, DR</t>
  </si>
  <si>
    <t>7501160</t>
  </si>
  <si>
    <t>10 1007/s10278-016-9929-2</t>
  </si>
  <si>
    <t xml:space="preserve">Transfer Learning with Convolutional Neural Networks for Classification of Abdominal Ultrasound Images </t>
  </si>
  <si>
    <t xml:space="preserve">The purpose of this study is to evaluate transfer learning with deep convolutional neural networks for the classification of abdominal ultrasound images  Grayscale images from 185 consecutive clinical abdominal ultrasound studies were categorized into 11 categories based on the text annotation specified by the technologist for the image  Cropped images were rescaled to 256 × 256 resolution and randomized, with 4094 images from 136 studies constituting the training set, and 1423 images from 49 studies constituting the test set  The fully connected layers of two convolutional neural networks based on CaffeNet and VGGNet, previously trained on the 2012 Large Scale Visual Recognition Challenge data set, were retrained on the training set  Weights in the convolutional layers of each network were frozen to serve as fixed feature extractors  Accuracy on the test set was evaluated for each network  A radiologist experienced in abdominal ultrasound also independently classified the images in the test set into the same 11 categories  The CaffeNet network classified 77 3% of the test set images accurately (1100/1423 images), with a top-2 accuracy of 90 4% (1287/1423 images)  The larger VGGNet network classified 77 9% of the test set accurately (1109/1423 images), with a top-2 accuracy of VGGNet was 89 7% (1276/1423 images)  The radiologist classified 71 7% of the test set images correctly (1020/1423 images)  The differences in classification accuracies between both neural networks and the radiologist were statistically significant (p &lt; 0 001)  The results demonstrate that transfer learning with convolutional neural networks may be used to construct effective classifiers for abdominal ultrasound images </t>
  </si>
  <si>
    <t>CNN,ALEXNET,VGG</t>
  </si>
  <si>
    <t xml:space="preserve">Department of Radiology, Keck School of Medicine of USC, Los Angeles, CA, USA </t>
  </si>
  <si>
    <t>Cheng, PM; Malhi, HS</t>
  </si>
  <si>
    <t>10 1109/JBHI 2016 2631401</t>
  </si>
  <si>
    <t xml:space="preserve">A Convolutional Neural Network for Automatic Characterization of Plaque Composition in Carotid Ultrasound </t>
  </si>
  <si>
    <t xml:space="preserve">Characterization of carotid plaque composition, more specifically the amount of lipid core, fibrous tissue, and calcified tissue, is an important task for the identification of plaques that are prone to rupture, and thus for early risk estimation of cardiovascular and cerebrovascular events  Due to its low costs and wide availability, carotid ultrasound has the potential to become the modality of choice for plaque characterization in clinical practice  However, its significant image noise, coupled with the small size of the plaques and their complex appearance, makes it difficult for automated techniques to discriminate between the different plaque constituents  In this paper, we propose to address this challenging problem by exploiting the unique capabilities of the emerging deep learning framework  More specifically, and unlike existing works which require a priori definition of specific imaging features or thresholding values, we propose to build a convolutional neural network (CNN) that will automatically extract from the images the information that is optimal for the identification of the different plaque constituents  We used approximately 90 000 patches extracted from a database of images and corresponding expert plaque characterizations to train and to validate the proposed CNN  The results of cross-validation experiments show a correlation of about 0 90 with the clinical assessment for the estimation of lipid core, fibrous cap, and calcified tissue areas, indicating the potential of deep learning for the challenging task of automatic characterization of plaque composition in carotid ultrasound </t>
  </si>
  <si>
    <t>Lekadir, K; Galimzianova, A; Betriu, A; Del Mar Vila, M; Igual, L; Rubin, DL; Fernandez, E; Radeva, P; Napel, S</t>
  </si>
  <si>
    <t>10 1016/j cmpb 2016 10 007</t>
  </si>
  <si>
    <t xml:space="preserve">Classification of CT brain images based on deep learning networks </t>
  </si>
  <si>
    <t xml:space="preserve">While computerised tomography (CT) may have been the first imaging tool to study human brain, it has not yet been implemented into clinical decision making process for diagnosis of Alzheimer's disease (AD)  On the other hand, with the nature of being prevalent, inexpensive and non-invasive, CT does present diagnostic features of AD to a great extent  This study explores the significance and impact on the application of the burgeoning deep learning techniques to the task of classification of CT brain images, in particular utilising convolutional neural network (CNN), aiming at providing supplementary information for the early diagnosis of Alzheimer's disease  Towards this end, three categories of CT images (N = 285) are clustered into three groups, which are AD, lesion (e g  tumour) and normal ageing  In addition, considering the characteristics of this collection with larger thickness along the direction of depth (z) (~3-5 mm), an advanced CNN architecture is established integrating both 2D and 3D CNN networks  The fusion of the two CNN networks is subsequently coordinated based on the average of Softmax scores obtained from both networks consolidating 2D images along spatial axial directions and 3D segmented blocks respectively  As a result, the classification accuracy rates rendered by this elaborated CNN architecture are 85 2%, 80% and 95 3% for classes of AD, lesion and normal respectively with an average of 87 6%  Additionally, this improved CNN network appears to outperform the others when in comparison with 2D version only of CNN network as well as a number of state of the art hand-crafted approaches  As a result, these approaches deliver accuracy rates in percentage of 86 3, 85 6 ± 1 10, 86 3 ± 1 04, 85 2 ± 1 60, 83 1 ± 0 35 for 2D CNN, 2D SIFT, 2D KAZE, 3D SIFT and 3D KAZE respectively  The two major contributions of the paper constitute a new 3-D approach while applying deep learning technique to extract signature information rooted in both 2D slices and 3D blocks of CT images and an elaborated hand-crated approach of 3D KAZE </t>
  </si>
  <si>
    <t xml:space="preserve">Department of Computer Science, Middlesex University, London NW4 4BT, UK </t>
  </si>
  <si>
    <t>Gao, XW; Hui, R; Tian, Z</t>
  </si>
  <si>
    <t>10 1088/1361-6560/61/24/8676</t>
  </si>
  <si>
    <t xml:space="preserve">Automatic 3D liver segmentation based on deep learning and globally optimized surface evolution </t>
  </si>
  <si>
    <t xml:space="preserve">The detection and delineation of the liver from abdominal 3D computed tomography (CT) images are fundamental tasks in computer-assisted liver surgery planning  However, automatic and accurate segmentation, especially liver detection, remains challenging due to complex backgrounds, ambiguous boundaries, heterogeneous appearances and highly varied shapes of the liver  To address these difficulties, we propose an automatic segmentation framework based on 3D convolutional neural network (CNN) and globally optimized surface evolution  First, a deep 3D CNN is trained to learn a subject-specific probability map of the liver, which gives the initial surface and acts as a shape prior in the following segmentation step  Then, both global and local appearance information from the prior segmentation are adaptively incorporated into a segmentation model, which is globally optimized in a surface evolution way  The proposed method has been validated on 42 CT images from the public Sliver07 database and local hospitals  On the Sliver07 online testing set, the proposed method can achieve an overall score of [Formula: see text], yielding a mean Dice similarity coefficient of [Formula: see text], and an average symmetric surface distance of [Formula: see text] mm  The quantitative validations and comparisons show that the proposed method is accurate and effective for clinical application </t>
  </si>
  <si>
    <t xml:space="preserve">School of Mathematical Sciences, Zhejiang University, Hangzhou 310027, People's Republic of China </t>
  </si>
  <si>
    <t>Hu, P; Wu, F; Peng, J; Liang, P; Kong, D</t>
  </si>
  <si>
    <t>10 1117/1 JMI 3 4 044501</t>
  </si>
  <si>
    <t xml:space="preserve">Microscopic medical image classification framework via deep learning and shearlet transform </t>
  </si>
  <si>
    <t xml:space="preserve">Cancer is the second leading cause of death in US after cardiovascular disease  Image-based computer-aided diagnosis can assist physicians to efficiently diagnose cancers in early stages  Existing computer-aided algorithms use hand-crafted features such as wavelet coefficients, co-occurrence matrix features, and recently, histogram of shearlet coefficients for classification of cancerous tissues and cells in images  These hand-crafted features often lack generalizability since every cancerous tissue and cell has a specific texture, structure, and shape  An alternative approach is to use convolutional neural networks (CNNs) to learn the most appropriate feature abstractions directly from the data and handle the limitations of hand-crafted features  A framework for breast cancer detection and prostate Gleason grading using CNN trained on images along with the magnitude and phase of shearlet coefficients is presented  Particularly, we apply shearlet transform on images and extract the magnitude and phase of shearlet coefficients  Then we feed shearlet features along with the original images to our CNN consisting of multiple layers of convolution, max pooling, and fully connected layers  Our experiments show that using the magnitude and phase of shearlet coefficients as extra information to the network can improve the accuracy of detection and generalize better compared to the state-of-the-art methods that rely on hand-crafted features  This study expands the application of deep neural networks into the field of medical image analysis, which is a difficult domain considering the limited medical data available for such analysis </t>
  </si>
  <si>
    <t xml:space="preserve">University of Denver , Department of Electrical and Computer Engineering, 2155 East Wesley Avenue, Denver, Colorado 80208, United States </t>
  </si>
  <si>
    <t>Rezaeilouyeh, H; Mollahosseini, A; Mahoor, MH</t>
  </si>
  <si>
    <t>10 1080/02699052 2016 1222080</t>
  </si>
  <si>
    <t xml:space="preserve">Supervised learning technique for the automated identification of white matter hyperintensities in traumatic brain injury </t>
    <phoneticPr fontId="0" type="noConversion"/>
  </si>
  <si>
    <t xml:space="preserve">White matter hyperintensities (WMHs) are foci of abnormal signal intensity in white matter regions seen with magnetic resonance imaging (MRI)  WMHs are associated with normal ageing and have shown prognostic value in neurological conditions such as traumatic brain injury (TBI)  The impracticality of manually quantifying these lesions limits their clinical utility and motivates the utilization of machine learning techniques for automated segmentation workflows This study develops a concatenated random forest framework with image features for segmenting WMHs in a TBI cohort  The framework is built upon the Advanced Normalization Tools (ANTs) and ANTsR toolkits  MR (3D FLAIR, T2- and T1-weighted) images from 24 service members and veterans scanned in the Chronic Effects of Neurotrauma Consortium's (CENC) observational study were acquired  Manual annotations were employed for both training and evaluation using a leave-one-out strategy  Performance measures include sensitivity, positive predictive value, [Formula: see text] score and relative volume difference Final average results were: sensitivity = 0 68 ± 0 38, positive predictive value = 0 51 ± 0 40, [Formula: see text] = 0 52 ± 0 36, relative volume difference = 43 ± 26%  In addition, three lesion size ranges are selected to illustrate the variation in performance with lesion size Paired with correlative outcome data, supervised learning methods may allow for identification of imaging features predictive of diagnosis and prognosis in individual TBI patients </t>
  </si>
  <si>
    <t xml:space="preserve">rf
</t>
  </si>
  <si>
    <t>Brain injury</t>
  </si>
  <si>
    <t xml:space="preserve">a Department of Radiology and Medical Imaging </t>
  </si>
  <si>
    <t>Stone, JR; Wilde, EA; Taylor, BA; Tate, DF; Levin, H; Bigler, ED; Scheibel, RS; Newsome, MR; Mayer, AR; Abildskov, T; Black, GM; Lennon, MJ; York, GE; Agarwal, R; DeVillasante, J; Ritter, JL; Walker, PB; Ahlers, ST; Tustison, NJ</t>
  </si>
  <si>
    <t>8710358</t>
  </si>
  <si>
    <t>10 1016/j media 2016 10 010</t>
  </si>
  <si>
    <t xml:space="preserve">Deep learning for automated skeletal bone age assessment in X-ray images </t>
  </si>
  <si>
    <t xml:space="preserve">Skeletal bone age assessment is a common clinical practice to investigate endocrinology, genetic and growth disorders in children  It is generally performed by radiological examination of the left hand by using either the Greulich and Pyle (G&amp;P) method or the Tanner-Whitehouse (TW) one  However, both clinical procedures show several limitations, from the examination effort of radiologists to (most importantly) significant intra- and inter-operator variability  To address these problems, several automated approaches (especially relying on the TW method) have been proposed; nevertheless, none of them has been proved able to generalize to different races, age ranges and genders  In this paper, we propose and test several deep learning approaches to assess skeletal bone age automatically; the results showed an average discrepancy between manual and automatic evaluation of about 0 8 years, which is state-of-the-art performance  Furthermore, this is the first automated skeletal bone age assessment work tested on a public dataset and for all age ranges, races and genders, for which the source code is available, thus representing an exhaustive baseline for future research in the field  Beside the specific application scenario, this paper aims at providing answers to more general questions about deep learning on medical images: from the comparison between deep-learned features and manually-crafted ones, to the usage of deep-learning methods trained on general imagery for medical problems, to how to train a CNN with few images </t>
  </si>
  <si>
    <t>CNN,Googlenet</t>
  </si>
  <si>
    <t xml:space="preserve">Pattern Recognition and Computer Vision (PeRCeiVe) Lab, Department of Electrical, Electronics and Computer Engineering, University of Catania, Viale Andrea Doria, 6 - 95125 - Catania, Italy </t>
  </si>
  <si>
    <t>Spampinato, C; Palazzo, S; Giordano, D; Aldinucci, M; Leonardi, R</t>
  </si>
  <si>
    <t>10 1371/journal pcbi 1005177</t>
  </si>
  <si>
    <t xml:space="preserve">Deep Learning Automates the Quantitative Analysis of Individual Cells in Live-Cell Imaging Experiments </t>
  </si>
  <si>
    <t xml:space="preserve">Live-cell imaging has opened an exciting window into the role cellular heterogeneity plays in dynamic, living systems  A major critical challenge for this class of experiments is the problem of image segmentation, or determining which parts of a microscope image correspond to which individual cells  Current approaches require many hours of manual curation and depend on approaches that are difficult to share between labs  They are also unable to robustly segment the cytoplasms of mammalian cells  Here, we show that deep convolutional neural networks, a supervised machine learning method, can solve this challenge for multiple cell types across the domains of life  We demonstrate that this approach can robustly segment fluorescent images of cell nuclei as well as phase images of the cytoplasms of individual bacterial and mammalian cells from phase contrast images without the need for a fluorescent cytoplasmic marker  These networks also enable the simultaneous segmentation and identification of different mammalian cell types grown in co-culture  A quantitative comparison with prior methods demonstrates that convolutional neural networks have improved accuracy and lead to a significant reduction in curation time  We relay our experience in designing and optimizing deep convolutional neural networks for this task and outline several design rules that we found led to robust performance  We conclude that deep convolutional neural networks are an accurate method that require less curation time, are generalizable to a multiplicity of cell types, from bacteria to mammalian cells, and expand live-cell imaging capabilities to include multi-cell type systems </t>
  </si>
  <si>
    <t xml:space="preserve">Department of Bioengineering, Stanford University, Stanford, California, United States of America </t>
  </si>
  <si>
    <t>Van Valen, DA; Kudo, T; Lane, KM; Macklin, DN; Quach, NT; DeFelice, MM; Maayan, I; Tanouchi, Y; Ashley, EA; Covert, MW</t>
  </si>
  <si>
    <t>10 1016/j jneumeth 2016 10 007</t>
  </si>
  <si>
    <t xml:space="preserve">Fast and robust segmentation of the striatum using deep convolutional neural networks </t>
  </si>
  <si>
    <t xml:space="preserve">Automated segmentation of brain structures is an important task in structural and functional image analysis  We developed a fast and accurate method for the striatum segmentation using deep convolutional neural networks (CNN) T1 magnetic resonance (MR) images were used for our CNN-based segmentation, which require neither image feature extraction nor nonlinear transformation  We employed two serial CNN, Global and Local CNN: The Global CNN determined approximate locations of the striatum  It performed a regression of input MR images fitted to smoothed segmentation maps of the striatum  From the output volume of Global CNN, cropped MR volumes which included the striatum were extracted  The cropped MR volumes and the output volumes of Global CNN were used for inputs of Local CNN  Local CNN predicted the accurate label of all voxels  Segmentation results were compared with a widely used segmentation method, FreeSurfer Our method showed higher Dice Similarity Coefficient (DSC) (0 893±0 017 vs  0 786±0 015) and precision score (0 905±0 018 vs  0 690±0 022) than FreeSurfer-based striatum segmentation (p=0 06)  Our approach was also tested using another independent dataset, which showed high DSC (0 826±0 038) comparable with that of FreeSurfer  Comparison with existing method Segmentation performance of our proposed method was comparable with that of FreeSurfer  The running time of our approach was approximately three seconds We suggested a fast and accurate deep CNN-based segmentation for small brain structures which can be widely applied to brain image analysis </t>
  </si>
  <si>
    <t xml:space="preserve">Department of Nuclear Medicine, Cheonan Public Health Center, Chungnam, Republic of Korea </t>
  </si>
  <si>
    <t>Choi, H; Jin, KH</t>
  </si>
  <si>
    <t>10 1016/j neuroimage 2016 09 046</t>
  </si>
  <si>
    <t xml:space="preserve">BrainNetCNN: Convolutional neural networks for brain networks; towards predicting neurodevelopment </t>
  </si>
  <si>
    <t xml:space="preserve">We propose BrainNetCNN, a convolutional neural network (CNN) framework to predict clinical neurodevelopmental outcomes from brain networks  In contrast to the spatially local convolutions done in traditional image-based CNNs, our BrainNetCNN is composed of novel edge-to-edge, edge-to-node and node-to-graph convolutional filters that leverage the topological locality of structural brain networks  We apply the BrainNetCNN framework to predict cognitive and motor developmental outcome scores from structural brain networks of infants born preterm  Diffusion tensor images (DTI) of preterm infants, acquired between 27 and 46 weeks gestational age, were used to construct a dataset of structural brain connectivity networks  We first demonstrate the predictive capabilities of BrainNetCNN on synthetic phantom networks with simulated injury patterns and added noise  BrainNetCNN outperforms a fully connected neural-network with the same number of model parameters on both phantoms with focal and diffuse injury patterns  We then apply our method to the task of joint prediction of Bayley-III cognitive and motor scores, assessed at 18 months of age, adjusted for prematurity  We show that our BrainNetCNN framework outperforms a variety of other methods on the same data  Furthermore, BrainNetCNN is able to identify an infant's postmenstrual age to within about 2 weeks  Finally, we explore the high-level features learned by BrainNetCNN by visualizing the importance of each connection in the brain with respect to predicting the outcome scores  These findings are then discussed in the context of the anatomy and function of the developing preterm infant brain </t>
  </si>
  <si>
    <t xml:space="preserve">Medical Image Analysis Lab, Simon Fraser University, Burnaby, BC, Canada </t>
  </si>
  <si>
    <t>Kawahara, J; Brown, CJ; Miller, SP; Booth, BG; Chau, V; Grunau, RE; Zwicker, JG; Hamarneh, G</t>
  </si>
  <si>
    <t>10 1109/TMI 2016 2570123</t>
  </si>
  <si>
    <t xml:space="preserve">Accelerating Convolutional Sparse Coding for Curvilinear Structures Segmentation by Refining SCIRD-TS Filter Banks </t>
  </si>
  <si>
    <t xml:space="preserve">Deep learning has shown great potential for curvilinear structure (e g , retinal blood vessels and neurites) segmentation as demonstrated by a recent auto-context regression architecture based on filter banks learned by convolutional sparse coding  However, learning such filter banks is very time-consuming, thus limiting the amount of filters employed and the adaptation to other data sets (i e , slow re-training)  We address this limitation by proposing a novel acceleration strategy to speed-up convolutional sparse coding filter learning for curvilinear structure segmentation  Our approach is based on a novel initialisation strategy (warm start), and therefore it is different from recent methods improving the optimisation itself  Our warm-start strategy is based on carefully designed hand-crafted filters (SCIRD-TS), modelling appearance properties of curvilinear structures which are then refined by convolutional sparse coding  Experiments on four diverse data sets, including retinal blood vessels and neurites, suggest that the proposed method reduces significantly the time taken to learn convolutional filter banks (i e , up to -82%) compared to conventional initialisation strategies  Remarkably, this speed-up does not worsen performance; in fact, filters learned with the proposed strategy often achieve a much lower reconstruction error and match or exceed the segmentation performance of random and DCT-based initialisation, when used as input to a random forest classifier </t>
  </si>
  <si>
    <t>ann</t>
  </si>
  <si>
    <t>School of Science and
Engineering (Computing), University of Dundee, Dundee, DD14HN, UK</t>
    <phoneticPr fontId="0" type="noConversion"/>
  </si>
  <si>
    <t>Annunziata, R; Trucco, E</t>
  </si>
  <si>
    <t>10 1007/s10278-016-9914-9</t>
  </si>
  <si>
    <t xml:space="preserve">High-Throughput Classification of Radiographs Using Deep Convolutional Neural Networks </t>
  </si>
  <si>
    <t xml:space="preserve">The study aimed to determine if computer vision techniques rooted in deep learning can use a small set of radiographs to perform clinically relevant image classification with high fidelity  One thousand eight hundred eighty-five chest radiographs on 909 patients obtained between January 2013 and July 2015 at our institution were retrieved and anonymized  The source images were manually annotated as frontal or lateral and randomly divided into training, validation, and test sets  Training and validation sets were augmented to over 150,000 images using standard image manipulations  We then pre-trained a series of deep convolutional networks based on the open-source GoogLeNet with various transformations of the open-source ImageNet (non-radiology) images  These trained networks were then fine-tuned using the original and augmented radiology images  The model with highest validation accuracy was applied to our institutional test set and a publicly available set  Accuracy was assessed by using the Youden Index to set a binary cutoff for frontal or lateral classification  This retrospective study was IRB approved prior to initiation  A network pre-trained on 1 2 million greyscale ImageNet images and fine-tuned on augmented radiographs was chosen  The binary classification method correctly classified 100 % (95 % CI 99 73-100 %) of both our test set and the publicly available images  Classification was rapid, at 38 images per second  A deep convolutional neural network created using non-radiological images, and an augmented set of radiographs is effective in highly accurate classification of chest radiograph view type and is a feasible, rapid method for high-throughput annotation </t>
  </si>
  <si>
    <t>Department of Medicine, Division of Hospital Medicine, University of California, San Francisco, 533 Parnassus Ave , Suite 127a, San Francisco, CA, 94143-0131, USA</t>
  </si>
  <si>
    <t>Rajkomar, A; Lingam, S; Taylor, AG; Blum, M; Mongan, J</t>
  </si>
  <si>
    <t>10 1117/1 JMI 3 3 034501</t>
  </si>
  <si>
    <t xml:space="preserve">Digital mammographic tumor classification using transfer learning from deep convolutional neural networks </t>
  </si>
  <si>
    <t xml:space="preserve">Convolutional neural networks (CNNs) show potential for computer-aided diagnosis (CADx) by learning features directly from the image data instead of using analytically extracted features  However, CNNs are difficult to train from scratch for medical images due to small sample sizes and variations in tumor presentations  Instead, transfer learning can be used to extract tumor information from medical images via CNNs originally pretrained for nonmedical tasks, alleviating the need for large datasets  Our database includes 219 breast lesions (607 full-field digital mammographic images)  We compared support vector machine classifiers based on the CNN-extracted image features and our prior computer-extracted tumor features in the task of distinguishing between benign and malignant breast lesions  Five-fold cross validation (by lesion) was conducted with the area under the receiver operating characteristic (ROC) curve as the performance metric  Results show that classifiers based on CNN-extracted features (with transfer learning) perform comparably to those using analytically extracted features [area under the ROC curve [Formula: see text]]  Further, the performance of ensemble classifiers based on both types was significantly better than that of either classifier type alone ([Formula: see text] versus 0 81, [Formula: see text])  We conclude that transfer learning can improve current CADx methods while also providing standalone classifiers without large datasets, facilitating machine-learning methods in radiomics and precision medicine  </t>
  </si>
  <si>
    <t xml:space="preserve">University of Chicago , Department of Radiology, 5841 South Maryland Avenue, Chicago, Illinois 60637, United States </t>
  </si>
  <si>
    <t>Huynh, BQ; Li, H; Giger, ML</t>
  </si>
  <si>
    <t>10 1007/s11548-016-1467-3</t>
  </si>
  <si>
    <t xml:space="preserve">Automatic 3D liver location and segmentation via convolutional neural network and graph cut </t>
  </si>
  <si>
    <t xml:space="preserve">Segmentation of the liver from abdominal computed tomography (CT) images is an essential step in some computer-assisted clinical interventions, such as surgery planning for living donor liver transplant, radiotherapy and volume measurement  In this work, we develop a deep learning algorithm with graph cut refinement to automatically segment the liver in CT scans The proposed method consists of two main steps: (i) simultaneously liver detection and probabilistic segmentation using 3D convolutional neural network; (ii) accuracy refinement of the initial segmentation with graph cut and the previously learned probability map The proposed approach was validated on forty CT volumes taken from two public databases MICCAI-Sliver07 and 3Dircadb1  For the MICCAI-Sliver07 test dataset, the calculated mean ratios of volumetric overlap error (VOE), relative volume difference (RVD), average symmetric surface distance (ASD), root-mean-square symmetric surface distance (RMSD) and maximum symmetric surface distance (MSD) are 5 9, 2 7 %, 0 91, 1 88 and 18 94 mm, respectively  For the 3Dircadb1 dataset, the calculated mean ratios of VOE, RVD, ASD, RMSD and MSD are 9 36, 0 97 %, 1 89, 4 15 and 33 14 mm, respectively The proposed method is fully automatic without any user interaction  Quantitative results reveal that the proposed approach is efficient and accurate for hepatic volume estimation in a clinical setup  The high correlation between the automatic and manual references shows that the proposed method can be good enough to replace the time-consuming and nonreproducible manual segmentation method </t>
  </si>
  <si>
    <t xml:space="preserve">School of Mathematical Sciences, Zhejiang University, Hangzhou, 310027, China </t>
  </si>
  <si>
    <t>Lu, F; Wu, F; Hu, P; Peng, Z; Kong, D</t>
  </si>
  <si>
    <t>10 1016/j media 2016 08 004</t>
  </si>
  <si>
    <t xml:space="preserve">Cascade of multi-scale convolutional neural networks for bone suppression of chest radiographs in gradient domain </t>
  </si>
  <si>
    <t xml:space="preserve">Suppression of bony structures in chest radiographs (CXRs) is potentially useful for radiologists and computer-aided diagnostic schemes  In this paper, we present an effective deep learning method for bone suppression in single conventional CXR using deep convolutional neural networks (ConvNets) as basic prediction units  The deep ConvNets were adapted to learn the mapping between the gradients of the CXRs and the corresponding bone images  We propose a cascade architecture of ConvNets (called CamsNet) to refine progressively the predicted bone gradients in which the ConvNets work at successively increased resolutions  The predicted bone gradients at different scales from the CamsNet are fused in a maximum-a-posteriori framework to produce the final estimation of a bone image  This estimation of a bone image is subtracted from the original CXR to produce a soft-tissue image in which the bone components are eliminated  Our method was evaluated on a dataset that consisted of 504 cases of real two-exposure dual-energy subtraction chest radiographs (404 cases for training and 100 cases for test)  The results demonstrate that our method can produce high-quality and high-resolution bone and soft-tissue images  The average relative mean absolute error of the produced bone images and peak signal-to-noise ratio of the produced soft-tissue images were 3 83% and 38 7dB, respectively  The average bone suppression ratio of our method was 83 8% for the CXRs with pixel sizes of nearly 0 194mm  Furthermore, we apply the trained CamsNet model on the CXRs acquired by various types of X-ray machines, including scanned films, and our method can also produce visually appealing bone and soft-tissue images </t>
  </si>
  <si>
    <t xml:space="preserve">Guangdong Provincial Key Laboratory of Medical Image Processing, School of Biomedical Engineering, Southern Medical University, Guangzhou, China </t>
  </si>
  <si>
    <t>Yang, W; Chen, Y; Liu, Y; Zhong, L; Qin, G; Lu, Z; Feng, Q; Chen, W</t>
  </si>
  <si>
    <t>10 1109/JBHI 2016 2602823</t>
  </si>
  <si>
    <t xml:space="preserve">Histopathological Image Classification With Color Pattern Random Binary Hashing-Based PCANet and Matrix-Form Classifier </t>
  </si>
  <si>
    <t xml:space="preserve">The computer-aided diagnosis for histopathological images has attracted considerable attention  Principal component analysis network (PCANet) is a novel deep learning algorithm for feature learning with the simple network architecture and parameters  In this study, a color pattern random binary hashing-based PCANet (C-RBH-PCANet) algorithm is proposed to learn an effective feature representation from color histopathological images  The color norm pattern and angular pattern are extracted from the principal component images of R, G, and B color channels after cascaded PCA networks  The random binary encoding is then performed on both color norm pattern images and angular pattern images to generate multiple binary images  Moreover, we rearrange the pooled local histogram features by spatial pyramid pooling to a matrix-form for reducing the dimension of feature and preserving spatial information  Therefore, a C-RBH-PCANet and matrix-form classifier-based feature learning and classification framework is proposed for diagnosis of color histopathological images  The experimental results on three color histopathological image datasets show that the proposed C-RBH-PCANet algorithm is superior to the original PCANet and other conventional unsupervised deep learning algorithms, while the best performance is achieved by the proposed feature learning and classification framework that combines C-RBH-PCANet and matrix-form classifier </t>
  </si>
  <si>
    <t>histopathological images</t>
    <phoneticPr fontId="0" type="noConversion"/>
  </si>
  <si>
    <t>PCANet,STACKED AUTOENCODER,DBN</t>
  </si>
  <si>
    <t>Institute of Biomedical Engineering, School of Communication and Information Engineering, Shanghai University, 200444 Shanghai, China</t>
    <phoneticPr fontId="0" type="noConversion"/>
  </si>
  <si>
    <t>Shi, J; Wu, J; Li, Y; Zhang, Q; Ying, S</t>
  </si>
  <si>
    <t>10 1109/TNSRE 2016 2601240</t>
  </si>
  <si>
    <t xml:space="preserve">A Deep Learning Scheme for Motor Imagery Classification based on Restricted Boltzmann Machines </t>
  </si>
  <si>
    <t xml:space="preserve">Motor imagery classification is an important topic in brain-computer interface (BCI) research that enables the recognition of a subject's intension to, e g , implement prosthesis control  The brain dynamics of motor imagery are usually measured by electroencephalography (EEG) as nonstationary time series of low signal-to-noise ratio  Although a variety of methods have been previously developed to learn EEG signal features, the deep learning idea has rarely been explored to generate new representation of EEG features and achieve further performance improvement for motor imagery classification  In this study, a novel deep learning scheme based on restricted Boltzmann machine (RBM) is proposed  Specifically, frequency domain representations of EEG signals obtained via fast Fourier transform (FFT) and wavelet package decomposition (WPD) are obtained to train three RBMs  These RBMs are then stacked up with an extra output layer to form a four-layer neural network, which is named the frequential deep belief network (FDBN)  The output layer employs the softmax regression to accomplish the classification task  Also, the conjugate gradient method and backpropagation are used to fine tune the FDBN  Extensive and systematic experiments have been performed on public benchmark datasets, and the results show that the performance improvement of FDBN over other selected state-of-the-art methods is statistically significant  Also, several findings that may be of significant interest to the BCI community are presented in this article </t>
  </si>
  <si>
    <t>RBM,DBN</t>
  </si>
  <si>
    <t>IEEE transactions on neural systems and rehabilitation engineering : a publication of the IEEE Engineering in Medicine and Biology Society</t>
  </si>
  <si>
    <t>State Key Laboratory for Manufacturing Systems Engineering, Systems Engineering Institute, Xi’an Jiaotong University, Xi’an Shaanxi, China</t>
    <phoneticPr fontId="0" type="noConversion"/>
  </si>
  <si>
    <t>Lu, N; Li, T; Ren, X; Miao, H</t>
  </si>
  <si>
    <t>101097023</t>
  </si>
  <si>
    <t>10 1016/j ultras 2016 08 004</t>
  </si>
  <si>
    <t xml:space="preserve">Deep learning based classification of breast tumors with shear-wave elastography </t>
  </si>
  <si>
    <t xml:space="preserve">This study aims to build a deep learning (DL) architecture for automated extraction of learned-from-data image features from the shear-wave elastography (SWE), and to evaluate the DL architecture in differentiation between benign and malignant breast tumors  We construct a two-layer DL architecture for SWE feature extraction, comprised of the point-wise gated Boltzmann machine (PGBM) and the restricted Boltzmann machine (RBM)  The PGBM contains task-relevant and task-irrelevant hidden units, and the task-relevant units are connected to the RBM  Experimental evaluation was performed with five-fold cross validation on a set of 227 SWE images, 135 of benign tumors and 92 of malignant tumors, from 121 patients  The features learned with our DL architecture were compared with the statistical features quantifying image intensity and texture  Results showed that the DL features achieved better classification performance with an accuracy of 93 4%, a sensitivity of 88 6%, a specificity of 97 1%, and an area under the receiver operating characteristic curve of 0 947  The DL-based method integrates feature learning with feature selection on SWE  It may be potentially used in clinical computer-aided diagnosis of breast cancer </t>
  </si>
  <si>
    <t>PGBM,RBM</t>
  </si>
  <si>
    <t xml:space="preserve">School of Communication and Information Engineering, Shanghai University, Shanghai, China </t>
  </si>
  <si>
    <t>Zhang, Q; Xiao, Y; Dai, W; Suo, J; Wang, C; Shi, J; Zheng, H</t>
  </si>
  <si>
    <t>10 1016/j media 2016 07 007</t>
  </si>
  <si>
    <t xml:space="preserve">Large scale deep learning for computer aided detection of mammographic lesions </t>
  </si>
  <si>
    <t xml:space="preserve">Recent advances in machine learning yielded new techniques to train deep neural networks, which resulted in highly successful applications in many pattern recognition tasks such as object detection and speech recognition  In this paper we provide a head-to-head comparison between a state-of-the art in mammography CAD system, relying on a manually designed feature set and a Convolutional Neural Network (CNN), aiming for a system that can ultimately read mammograms independently  Both systems are trained on a large data set of around 45,000 images and results show the CNN outperforms the traditional CAD system at low sensitivity and performs comparable at high sensitivity  We subsequently investigate to what extent features such as location and patient information and commonly used manual features can still complement the network and see improvements at high specificity over the CNN especially with location and context features, which contain information not available to the CNN  Additionally, a reader study was performed, where the network was compared to certified screening radiologists on a patch level and we found no significant difference between the network and the readers </t>
  </si>
  <si>
    <t xml:space="preserve">Diagnostic Image Analysis Group, Department of Radiology, Radboud University Medical Center, Nijmegen, The Netherlands </t>
  </si>
  <si>
    <t>Kooi, T; Litjens, G; van Ginneken, B; Gubern-Mérida, A; Sánchez, CI; Mann, R; den Heeten, A; Karssemeijer, N</t>
  </si>
  <si>
    <t>10 1142/S0129065716500258</t>
  </si>
  <si>
    <t xml:space="preserve">Ensembles of Deep Learning Architectures for the Early Diagnosis of the Alzheimer's Disease </t>
  </si>
  <si>
    <t xml:space="preserve">Computer Aided Diagnosis (CAD) constitutes an important tool for the early diagnosis of Alzheimer's Disease (AD), which, in turn, allows the application of treatments that can be simpler and more likely to be effective  This paper explores the construction of classification methods based on deep learning architectures applied on brain regions defined by the Automated Anatomical Labeling (AAL)  Gray Matter (GM) images from each brain area have been split into 3D patches according to the regions defined by the AAL atlas and these patches are used to train different deep belief networks  An ensemble of deep belief networks is then composed where the final prediction is determined by a voting scheme  Two deep learning based structures and four different voting schemes are implemented and compared, giving as a result a potent classification architecture where discriminative features are computed in an unsupervised fashion  The resulting method has been evaluated using a large dataset from the Alzheimer's disease Neuroimaging Initiative (ADNI)  Classification results assessed by cross-validation prove that the proposed method is not only valid for differentiate between controls (NC) and AD images, but it also provides good performances when tested for the more challenging case of classifying Mild Cognitive Impairment (MCI) Subjects  In particular, the classification architecture provides accuracy values up to 0 90 and AUC of 0 95 for NC/AD classification, 0 84 and AUC of 0 91 for stable MCI/AD classification and 0 83 and AUC of 0 95 for NC/MCI converters classification  </t>
  </si>
  <si>
    <t>DBN,RBM</t>
  </si>
  <si>
    <t xml:space="preserve">1 Communications Engineering Department, University of Málaga, 29071/Málaga, Spain </t>
  </si>
  <si>
    <t>Ortiz, A; Munilla, J; Górriz, JM; Ramírez, J</t>
  </si>
  <si>
    <t>10 1016/j compmedimag 2016 07 004</t>
  </si>
  <si>
    <t xml:space="preserve">Enhancing deep convolutional neural network scheme for breast cancer diagnosis with unlabeled data </t>
  </si>
  <si>
    <t xml:space="preserve">In this study we developed a graph based semi-supervised learning (SSL) scheme using deep convolutional neural network (CNN) for breast cancer diagnosis  CNN usually needs a large amount of labeled data for training and fine tuning the parameters, and our proposed scheme only requires a small portion of labeled data in training set  Four modules were included in the diagnosis system: data weighing, feature selection, dividing co-training data labeling, and CNN  3158 region of interests (ROIs) with each containing a mass extracted from 1874 pairs of mammogram images were used for this study  Among them 100 ROIs were treated as labeled data while the rest were treated as unlabeled  The area under the curve (AUC) observed in our study was 0 8818, and the accuracy of CNN is 0 8243 using the mixed labeled and unlabeled data </t>
  </si>
  <si>
    <t xml:space="preserve">Department of Electrical and Computer Engineering, University of Texas at El Paso, 500 West University Avenue, El Paso, TX, 79968, United States </t>
  </si>
  <si>
    <t>Sun, W; Tseng, TB; Zhang, J; Qian, W</t>
  </si>
  <si>
    <t>10 1016/j jsb 2016 07 006</t>
  </si>
  <si>
    <t xml:space="preserve">DeepPicker: A deep learning approach for fully automated particle picking in cryo-EM </t>
  </si>
  <si>
    <t xml:space="preserve">Particle picking is a time-consuming step in single-particle analysis and often requires significant interventions from users, which has become a bottleneck for future automated electron cryo-microscopy (cryo-EM)  Here we report a deep learning framework, called DeepPicker, to address this problem and fill the current gaps toward a fully automated cryo-EM pipeline  DeepPicker employs a novel cross-molecule training strategy to capture common features of particles from previously-analyzed micrographs, and thus does not require any human intervention during particle picking  Tests on the recently-published cryo-EM data of three complexes have demonstrated that our deep learning based scheme can successfully accomplish the human-level particle picking process and identify a sufficient number of particles that are comparable to those picked manually by human experts  These results indicate that DeepPicker can provide a practically useful tool to significantly reduce the time and manual effort spent in single-particle analysis and thus greatly facilitate high-resolution cryo-EM structure determination  DeepPicker is released as an open-source program, which can be downloaded from https://github com/nejyeah/DeepPicker-python </t>
  </si>
  <si>
    <t>cnn</t>
  </si>
  <si>
    <t xml:space="preserve">School of Electronic Information and Communications, Huazhong University of Science and Technology, Wuhan 430074, China </t>
  </si>
  <si>
    <t>Wang, F; Gong, H; Liu, G; Li, M; Yan, C; Xia, T; Li, X; Zeng, J</t>
  </si>
  <si>
    <t>10 1016/j media 2016 05 009</t>
  </si>
  <si>
    <t xml:space="preserve">Combining deep learning and level set for the automated segmentation of the left ventricle of the heart from cardiac cine magnetic resonance </t>
  </si>
  <si>
    <t xml:space="preserve">We introduce a new methodology that combines deep learning and level set for the automated segmentation of the left ventricle of the heart from cardiac cine magnetic resonance (MR) data  This combination is relevant for segmentation problems, where the visual object of interest presents large shape and appearance variations, but the annotated training set is small, which is the case for various medical image analysis applications, including the one considered in this paper  In particular, level set methods are based on shape and appearance terms that use small training sets, but present limitations for modelling the visual object variations  Deep learning methods can model such variations using relatively small amounts of annotated training, but they often need to be regularised to produce good generalisation  Therefore, the combination of these methods brings together the advantages of both approaches, producing a methodology that needs small training sets and produces accurate segmentation results  We test our methodology on the MICCAI 2009 left ventricle segmentation challenge database (containing 15 sequences for training, 15 for validation and 15 for testing), where our approach achieves the most accurate results in the semi-automated problem and state-of-the-art results for the fully automated challenge </t>
  </si>
  <si>
    <t>Vietnam</t>
  </si>
  <si>
    <t xml:space="preserve">Vietnam National University of Agriculture, Vietnam </t>
  </si>
  <si>
    <t>Ngo, TA; Lu, Z; Carneiro, G</t>
  </si>
  <si>
    <t>10 1117/1 JBO 21 7 075008</t>
  </si>
  <si>
    <t xml:space="preserve">Segmentation of the foveal microvasculature using deep learning networks </t>
  </si>
  <si>
    <t xml:space="preserve">Accurate segmentation of the retinal microvasculature is a critical step in the quantitative analysis of the retinal circulation, which can be an important marker in evaluating the severity of retinal diseases  As manual segmentation remains the gold standard for segmentation of optical coherence tomography angiography (OCT-A) images, we present a method for automating the segmentation of OCT-A images using deep neural networks (DNNs)  Eighty OCT-A images of the foveal region in 12 eyes from 6 healthy volunteers were acquired using a prototype OCT-A system and subsequently manually segmented  The automated segmentation of the blood vessels in the OCT-A images was then performed by classifying each pixel into vessel or nonvessel class using deep convolutional neural networks  When the automated results were compared against the manual segmentation results, a maximum mean accuracy of 0 83 was obtained  When the automated results were compared with inter and intrarater accuracies, the automated results were shown to be comparable to the human raters suggesting that segmentation using DNNs is comparable to a second manual rater  As manually segmenting the retinal microvasculature is a tedious task, having a reliable automated output such as automated segmentation by DNNs, is an important step in creating an automated output </t>
  </si>
  <si>
    <t>Croatia</t>
  </si>
  <si>
    <t xml:space="preserve">University of Zagreb, Faculty of Electrical Engineering and Computing, Unska ul  3, Zagreb 10000, Croatia </t>
  </si>
  <si>
    <t>Prentašic, P; Heisler, M; Mammo, Z; Lee, S; Merkur, A; Navajas, E; Beg, MF; Šarunic, M; Loncaric, S</t>
  </si>
  <si>
    <t>10 1016/j ophtha 2016 05 029</t>
  </si>
  <si>
    <t xml:space="preserve">Detecting Preperimetric Glaucoma with Standard Automated Perimetry Using a Deep Learning Classifier </t>
  </si>
  <si>
    <t xml:space="preserve">To differentiate the visual fields (VFs) of preperimetric open-angle glaucoma (OAG) patients from the VFs of healthy eyes using a deep learning (DL) method Cohort study One hundred seventy-one preperimetric glaucoma VFs (PPGVFs) from 53 eyes in 51 OAG patients and 108 healthy eyes of 87 healthy participants Preperimetric glaucoma VFs were defined as all VFs before a first diagnosis of manifest glaucoma (Anderson-Patella's criteria)  In total, 171 PPGVFs from 53 eyes in 51 OAG patients and 108 VFs from 108 healthy eyes in 87 healthy participants were analyzed (all VFs were tested using the Humphrey Field Analyzer 30-2 program; Carl Zeiss Meditec, Dublin, CA)  The 52 total deviation, mean deviation, and pattern standard deviation values were used as predictors in the DL classifier: a deep feed-forward neural network (FNN), along with other machine learning (ML) methods, including random forests (RF), gradient boosting, support vector machine, and neural network (NN)  The area under the receiver operating characteristic curve (AUC) was used to evaluate the accuracy of discrimination for each method The AUCs obtained with each classifier method A significantly larger AUC of 92 6% (95% confidence interval [CI], 89 8%-95 4%) was obtained using the deep FNN classifier compared with all other ML methods: 79 0% (95% CI, 73 5%-84 5%) with RF, 77 6% (95% CI, 71 7%-83 5%) with gradient boosting, 71 2% (95% CI, 65 0%-77 5%), and 66 7% (95% CI, 60 1%-73 3%) with NN Preperimetric glaucoma VFs can be distinguished from healthy VFs with very high accuracy using a deep FNN classifier </t>
  </si>
  <si>
    <t>FNN</t>
  </si>
  <si>
    <t xml:space="preserve">Department of Ophthalmology, The University of Tokyo, Tokyo, Japan  Electronic address: rasaoka-tky@umin ac jp </t>
    <phoneticPr fontId="0" type="noConversion"/>
  </si>
  <si>
    <t>Asaoka, R; Murata, H; Iwase, A; Araie, M</t>
  </si>
  <si>
    <t>10 1093/bioinformatics/btw252</t>
  </si>
  <si>
    <t xml:space="preserve">Classifying and segmenting microscopy images with deep multiple instance learning </t>
  </si>
  <si>
    <t xml:space="preserve">High-content screening (HCS) technologies have enabled large scale imaging experiments for studying cell biology and for drug screening  These systems produce hundreds of thousands of microscopy images per day and their utility depends on automated image analysis  Recently, deep learning approaches that learn feature representations directly from pixel intensity values have dominated object recognition challenges  These tasks typically have a single centered object per image and existing models are not directly applicable to microscopy datasets  Here we develop an approach that combines deep convolutional neural networks (CNNs) with multiple instance learning (MIL) in order to classify and segment microscopy images using only whole image level annotations We introduce a new neural network architecture that uses MIL to simultaneously classify and segment microscopy images with populations of cells  We base our approach on the similarity between the aggregation function used in MIL and pooling layers used in CNNs  To facilitate aggregating across large numbers of instances in CNN feature maps we present the Noisy-AND pooling function, a new MIL operator that is robust to outliers  Combining CNNs with MIL enables training CNNs using whole microscopy images with image level labels  We show that training end-to-end MIL CNNs outperforms several previous methods on both mammalian and yeast datasets without requiring any segmentation steps Torch7 implementation available upon request oren kraus@mail utoronto ca </t>
  </si>
  <si>
    <t xml:space="preserve">Department of Electrical and Computer Engineering, University of Toronto, Toronto, M5S 2E4, Canada The Donnelly Centre for Cellular and Biomolecular Research, University of Toronto, Toronto, M5S 3E1, Canada </t>
  </si>
  <si>
    <t>Kraus, OZ; Ba, JL; Frey, BJ</t>
  </si>
  <si>
    <t>10 1038/srep27327</t>
  </si>
  <si>
    <t xml:space="preserve">Discrimination of Breast Cancer with Microcalcifications on Mammography by Deep Learning </t>
  </si>
  <si>
    <t xml:space="preserve">Microcalcification is an effective indicator of early breast cancer  To improve the diagnostic accuracy of microcalcifications, this study evaluates the performance of deep learning-based models on large datasets for its discrimination  A semi-automated segmentation method was used to characterize all microcalcifications  A discrimination classifier model was constructed to assess the accuracies of microcalcifications and breast masses, either in isolation or combination, for classifying breast lesions  Performances were compared to benchmark models  Our deep learning model achieved a discriminative accuracy of 87 3% if microcalcifications were characterized alone, compared to 85 8% with a support vector machine  The accuracies were 61 3% for both methods with masses alone and improved to 89 7% and 85 8% after the combined analysis with microcalcifications  Image segmentation with our deep learning model yielded 15, 26 and 41 features for the three scenarios, respectively  Overall, deep learning based on large datasets was superior to standard methods for the discrimination of microcalcifications  Accuracy was increased by adopting a combinatorial approach to detect microcalcifications and masses simultaneously  This may have clinical value for early detection and treatment of breast cancer </t>
  </si>
  <si>
    <t xml:space="preserve">Department of Radiology, Affiliated Nanhai Hospital of Southern Medical University, Foshan 528200, Guangdong, China </t>
  </si>
  <si>
    <t>Wang, J; Yang, X; Cai, H; Tan, W; Jin, C; Li, L</t>
  </si>
  <si>
    <t>10 1016/j compmedimag 2016 03 003</t>
  </si>
  <si>
    <t xml:space="preserve">Stacking denoising auto-encoders in a deep network to segment the brainstem on MRI in brain cancer patients: A clinical study </t>
  </si>
  <si>
    <t xml:space="preserve">Delineation of organs at risk (OARs) is a crucial step in surgical and treatment planning in brain cancer, where precise OARs volume delineation is required  However, this task is still often manually performed, which is time-consuming and prone to observer variability  To tackle these issues a deep learning approach based on stacking denoising auto-encoders has been proposed to segment the brainstem on magnetic resonance images in brain cancer context  Additionally to classical features used in machine learning to segment brain structures, two new features are suggested  Four experts participated in this study by segmenting the brainstem on 9 patients who underwent radiosurgery  Analysis of variance on shape and volume similarity metrics indicated that there were significant differences (p&lt;0 05) between the groups of manual annotations and automatic segmentations  Experimental evaluation also showed an overlapping higher than 90% with respect to the ground truth  These results are comparable, and often higher, to those of the state of the art segmentation methods but with a considerably reduction of the segmentation time </t>
  </si>
  <si>
    <t>stacked AUTOENCODER</t>
  </si>
  <si>
    <t xml:space="preserve">AQUILAB, Loos-les-Lille, France; Univ  Lille, Inserm, CHU Lille, U1189 - ONCO-THAI - Image Assisted Laser Therapy for Oncology, F-59000 Lille, France  Electronic address: jose dolz upv@gmail com </t>
  </si>
  <si>
    <t>Dolz, J; Betrouni, N; Quidet, M; Kharroubi, D; Leroy, HA; Reyns, N; Massoptier, L; Vermandel, M</t>
  </si>
  <si>
    <t>10 1038/srep26286</t>
  </si>
  <si>
    <t xml:space="preserve">Deep learning as a tool for increased accuracy and efficiency of histopathological diagnosis </t>
  </si>
  <si>
    <t xml:space="preserve">Pathologists face a substantial increase in workload and complexity of histopathologic cancer diagnosis due to the advent of personalized medicine  Therefore, diagnostic protocols have to focus equally on efficiency and accuracy  In this paper we introduce 'deep learning' as a technique to improve the objectivity and efficiency of histopathologic slide analysis  Through two examples, prostate cancer identification in biopsy specimens and breast cancer metastasis detection in sentinel lymph nodes, we show the potential of this new methodology to reduce the workload for pathologists, while at the same time increasing objectivity of diagnoses  We found that all slides containing prostate cancer and micro- and macro-metastases of breast cancer could be identified automatically while 30-40% of the slides containing benign and normal tissue could be excluded without the use of any additional immunohistochemical markers or human intervention  We conclude that 'deep learning' holds great promise to improve the efficacy of prostate cancer diagnosis and breast cancer staging </t>
  </si>
  <si>
    <t>genitourinary,breast</t>
  </si>
  <si>
    <t xml:space="preserve">Department of Pathology, Radboud University Medical Center, Nijmegen, The Netherlands </t>
  </si>
  <si>
    <t>Litjens, G; Sánchez, CI; Timofeeva, N; Hermsen, M; Nagtegaal, I; Kovacs, I; Hulsbergen-van de Kaa, C; Bult, P; van Ginneken, B; van der Laak, J</t>
  </si>
  <si>
    <t>10 1038/srep24454</t>
  </si>
  <si>
    <t xml:space="preserve">Computer-Aided Diagnosis with Deep Learning Architecture: Applications to Breast Lesions in US Images and Pulmonary Nodules in CT Scans </t>
  </si>
  <si>
    <t xml:space="preserve">This paper performs a comprehensive study on the deep-learning-based computer-aided diagnosis (CADx) for the differential diagnosis of benign and malignant nodules/lesions by avoiding the potential errors caused by inaccurate image processing results (e g , boundary segmentation), as well as the classification bias resulting from a less robust feature set, as involved in most conventional CADx algorithms  Specifically, the stacked denoising auto-encoder (SDAE) is exploited on the two CADx applications for the differentiation of breast ultrasound lesions and lung CT nodules  The SDAE architecture is well equipped with the automatic feature exploration mechanism and noise tolerance advantage, and hence may be suitable to deal with the intrinsically noisy property of medical image data from various imaging modalities  To show the outperformance of SDAE-based CADx over the conventional scheme, two latest conventional CADx algorithms are implemented for comparison  10 times of 10-fold cross-validations are conducted to illustrate the efficacy of the SDAE-based CADx algorithm  The experimental results show the significant performance boost by the SDAE-based CADx algorithm over the two conventional methods, suggesting that deep learning techniques can potentially change the design paradigm of the CADx systems without the need of explicit design and selection of problem-oriented features  </t>
  </si>
  <si>
    <t>breast,thoracic</t>
  </si>
  <si>
    <t xml:space="preserve">National-Regional Key Technology Engineering Laboratory for Medical Ultrasound, School of Medicine, Shenzhen University, Shenzhen, Guangdong 518060, P R  China </t>
  </si>
  <si>
    <t>Cheng, JZ; Ni, D; Chou, YH; Qin, J; Tiu, CM; Chang, YC; Huang, CS; Shen, D; Chen, CM</t>
  </si>
  <si>
    <t>10 1109/TMI 2016 2551324</t>
  </si>
  <si>
    <t xml:space="preserve">q-Space Deep Learning: Twelve-Fold Shorter and Model-Free Diffusion MRI Scans </t>
  </si>
  <si>
    <t xml:space="preserve">Numerous scientific fields rely on elaborate but partly suboptimal data processing pipelines  An example is diffusion magnetic resonance imaging (diffusion MRI), a non-invasive microstructure assessment method with a prominent application in neuroimaging  Advanced diffusion models providing accurate microstructural characterization so far have required long acquisition times and thus have been inapplicable for children and adults who are uncooperative, uncomfortable, or unwell  We show that the long scan time requirements are mainly due to disadvantages of classical data processing  We demonstrate how deep learning, a group of algorithms based on recent advances in the field of artificial neural networks, can be applied to reduce diffusion MRI data processing to a single optimized step  This modification allows obtaining scalar measures from advanced models at twelve-fold reduced scan time and detecting abnormalities without using diffusion models  We set a new state of the art by estimating diffusion kurtosis measures from only 12 data points and neurite orientation dispersion and density measures from only 8 data points  This allows unprecedentedly fast and robust protocols facilitating clinical routine and demonstrates how classical data processing can be streamlined by means of deep learning </t>
  </si>
  <si>
    <t>Department of Computer Science, Technical University
of Munich, 85748 Munich, Germany</t>
    <phoneticPr fontId="0" type="noConversion"/>
  </si>
  <si>
    <t>Golkov, V; Dosovitskiy, A; Sperl, JI; Menzel, MI; Czisch, M; Samann, P; Brox, T; Cremers, D</t>
  </si>
  <si>
    <t>10 1007/s11548-016-1395-2</t>
  </si>
  <si>
    <t xml:space="preserve">Detection of prostate cancer using temporal sequences of ultrasound data: a large clinical feasibility study </t>
  </si>
  <si>
    <t xml:space="preserve">This paper presents the results of a large study involving fusion prostate biopsies to demonstrate that temporal ultrasound can be used to accurately classify tissue labels identified in multi-parametric magnetic resonance imaging (mp-MRI) as suspicious for cancer We use deep learning to analyze temporal ultrasound data obtained from 255 cancer foci identified in mp-MRI  Each target is sampled in axial and sagittal planes  A deep belief network is trained to automatically learn the high-level latent features of temporal ultrasound data  A support vector machine classifier is then applied to differentiate cancerous versus benign tissue, verified by histopathology  Data from 32 targets are used for the training, while the remaining 223 targets are used for testing Our results indicate that the distance between the biopsy target and the prostate boundary, and the agreement between axial and sagittal histopathology of each target impact the classification accuracy  In 84 test cores that are 5 mm or farther to the prostate boundary, and have consistent pathology outcomes in axial and sagittal biopsy planes, we achieve an area under the curve of 0 80  In contrast, all of these targets were labeled as moderately suspicious in mp-MR Using temporal ultrasound data in a fusion prostate biopsy study, we achieved a high classification accuracy specifically for moderately scored mp-MRI targets  These targets are clinically common and contribute to the high false-positive rates associated with mp-MRI for prostate cancer detection  Temporal ultrasound data combined with mp-MRI have the potential to reduce the number of unnecessary biopsies in fusion biopsy settings </t>
  </si>
  <si>
    <t xml:space="preserve">University of British Columbia, Vancouver, British Columbia, Canada </t>
  </si>
  <si>
    <t>Azizi, S; Imani, F; Ghavidel, S; Tahmasebi, A; Kwak, JT; Xu, S; Turkbey, B; Choyke, P; Pinto, P; Wood, B; Mousavi, P; Abolmaesumi, P</t>
  </si>
  <si>
    <t>10 1109/TMI 2016 2538802</t>
  </si>
  <si>
    <t xml:space="preserve">Marginal Space Deep Learning: Efficient Architecture for Volumetric Image Parsing </t>
  </si>
  <si>
    <t xml:space="preserve">Robust and fast solutions for anatomical object detection and segmentation support the entire clinical workflow from diagnosis, patient stratification, therapy planning, intervention and follow-up  Current state-of-the-art techniques for parsing volumetric medical image data are typically based on machine learning methods that exploit large annotated image databases  Two main challenges need to be addressed, these are the efficiency in scanning high-dimensional parametric spaces and the need for representative image features which require significant efforts of manual engineering  We propose a pipeline for object detection and segmentation in the context of volumetric image parsing, solving a two-step learning problem: anatomical pose estimation and boundary delineation  For this task we introduce Marginal Space Deep Learning (MSDL), a novel framework exploiting both the strengths of efficient object parametrization in hierarchical marginal spaces and the automated feature design of Deep Learning (DL) network architectures  In the 3D context, the application of deep learning systems is limited by the very high complexity of the parametrization  More specifically 9 parameters are necessary to describe a restricted affine transformation in 3D, resulting in a prohibitive amount of billions of scanning hypotheses  The mechanism of marginal space learning provides excellent run-time performance by learning classifiers in clustered, high-probability regions in spaces of gradually increasing dimensionality  To further increase computational efficiency and robustness, in our system we learn sparse adaptive data sampling patterns that automatically capture the structure of the input  Given the object localization, we propose a DL-based active shape model to estimate the non-rigid object boundary  Experimental results are presented on the aortic valve in ultrasound using an extensive dataset of 2891 volumes from 869 patients, showing significant improvements of up to 45 2% over the state-of-the-art  To our knowledge, this is the first successful demonstration of the DL potential to detection and segmentation in full 3D data with parametrized representations </t>
  </si>
  <si>
    <t>Medical Imaging Technologies, Siemens Healthcare,
Princeton, NJ 08540 USA and with the Pattern Recognition Lab, Friedrich-
Alexander-Universit¨at Erlangen-N¨urnberg, 91058 Erlangen, Germany</t>
    <phoneticPr fontId="0" type="noConversion"/>
  </si>
  <si>
    <t>Ghesu, FC; Krubasik, E; Georgescu, B; Singh, V; Yefeng Zheng, ; Hornegger, J; Comaniciu, D</t>
  </si>
  <si>
    <t>10 1118/1 4944498</t>
  </si>
  <si>
    <t xml:space="preserve">Urinary bladder segmentation in CT urography using deep-learning convolutional neural network and level sets </t>
  </si>
  <si>
    <t xml:space="preserve">The authors are developing a computerized system for bladder segmentation in CT urography (CTU) as a critical component for computer-aided detection of bladder cancer A deep-learning convolutional neural network (DL-CNN) was trained to distinguish between the inside and the outside of the bladder using 160 000 regions of interest (ROI) from CTU images  The trained DL-CNN was used to estimate the likelihood of an ROI being inside the bladder for ROIs centered at each voxel in a CTU case, resulting in a likelihood map  Thresholding and hole-filling were applied to the map to generate the initial contour for the bladder, which was then refined by 3D and 2D level sets  The segmentation performance was evaluated using 173 cases: 81 cases in the training set (42 lesions, 21 wall thickenings, and 18 normal bladders) and 92 cases in the test set (43 lesions, 36 wall thickenings, and 13 normal bladders)  The computerized segmentation accuracy using the DL likelihood map was compared to that using a likelihood map generated by Haar features and a random forest classifier, and that using our previous conjoint level set analysis and segmentation system (CLASS) without using a likelihood map  All methods were evaluated relative to the 3D hand-segmented reference contours With DL-CNN-based likelihood map and level sets, the average volume intersection ratio, average percent volume error, average absolute volume error, average minimum distance, and the Jaccard index for the test set were 81 9% ± 12 1%, 10 2% ± 16 2%, 14 0% ± 13 0%, 3 6 ± 2 0 mm, and 76 2% ± 11 8%, respectively  With the Haar-feature-based likelihood map and level sets, the corresponding values were 74 3% ± 12 7%, 13 0% ± 22 3%, 20 5% ± 15 7%, 5 7 ± 2 6 mm, and 66 7% ± 12 6%, respectively  With our previous CLASS with local contour refinement (LCR) method, the corresponding values were 78 0% ± 14 7%, 16 5% ± 16 8%, 18 2% ± 15 0%, 3 8 ± 2 3 mm, and 73 9% ± 13 5%, respectively The authors demonstrated that the DL-CNN can overcome the strong boundary between two regions that have large difference in gray levels and provides a seamless mask to guide level set segmentation, which has been a problem for many gradient-based segmentation methods  Compared to our previous CLASS with LCR method, which required two user inputs to initialize the segmentation, DL-CNN with level sets achieved better segmentation performance while using a single user input  Compared to the Haar-feature-based likelihood map, the DL-CNN-based likelihood map could guide the level sets to achieve better segmentation  The results demonstrate the feasibility of our new approach of using DL-CNN in combination with level sets for segmentation of the bladder </t>
  </si>
  <si>
    <t>Department of Radiology, The University of Michigan, Ann Arbor, Michigan 48109-0904 USA</t>
  </si>
  <si>
    <t>Cha, KH; Hadjiiski, L; Samala, RK; Chan, HP; Caoili, EM; Cohan, RH</t>
  </si>
  <si>
    <t>10 1109/TMI 2016 2535865</t>
  </si>
  <si>
    <t xml:space="preserve">Lung Pattern Classification for Interstitial Lung Diseases Using a Deep Convolutional Neural Network </t>
  </si>
  <si>
    <t xml:space="preserve">Automated tissue characterization is one of the most crucial components of a computer aided diagnosis (CAD) system for interstitial lung diseases (ILDs)  Although much research has been conducted in this field, the problem remains challenging  Deep learning techniques have recently achieved impressive results in a variety of computer vision problems, raising expectations that they might be applied in other domains, such as medical image analysis  In this paper, we propose and evaluate a convolutional neural network (CNN), designed for the classification of ILD patterns  The proposed network consists of 5 convolutional layers with 2 × 2 kernels and LeakyReLU activations, followed by average pooling with size equal to the size of the final feature maps and three dense layers  The last dense layer has 7 outputs, equivalent to the classes considered: healthy, ground glass opacity (GGO), micronodules, consolidation, reticulation, honeycombing and a combination of GGO/reticulation  To train and evaluate the CNN, we used a dataset of 14696 image patches, derived by 120 CT scans from different scanners and hospitals  To the best of our knowledge, this is the first deep CNN designed for the specific problem  A comparative analysis proved the effectiveness of the proposed CNN against previous methods in a challenging dataset  The classification performance ( ~ 85 5%) demonstrated the potential of CNNs in analyzing lung patterns  Future work includes, extending the CNN to three-dimensional data provided by CT volume scans and integrating the proposed method into a CAD system that aims to provide differential diagnosis for ILDs as a supportive tool for radiologists </t>
  </si>
  <si>
    <t>ARTORG Center for Biomedical Engineering Research, University of Bern, Switzerland</t>
  </si>
  <si>
    <t>Anthimopoulos, M; Christodoulidis, S; Ebner, L; Christe, A; Mougiakakou, S</t>
  </si>
  <si>
    <t>10 1109/TMI 2016 2535222</t>
  </si>
  <si>
    <t xml:space="preserve">Deep Learning Guided Partitioned Shape Model for Anterior Visual Pathway Segmentation </t>
  </si>
  <si>
    <t xml:space="preserve">Analysis of cranial nerve systems, such as the anterior visual pathway (AVP), from MRI sequences is challenging due to their thin long architecture, structural variations along the path, and low contrast with adjacent anatomic structures  Segmentation of a pathologic AVP (e g , with low-grade gliomas) poses additional challenges  In this work, we propose a fully automated partitioned shape model segmentation mechanism for AVP steered by multiple MRI sequences and deep learning features  Employing deep learning feature representation, this framework presents a joint partitioned statistical shape model able to deal with healthy and pathological AVP  The deep learning assistance is particularly useful in the poor contrast regions, such as optic tracts and pathological areas  Our main contributions are: 1) a fast and robust shape localization method using conditional space deep learning, 2) a volumetric multiscale curvelet transform-based intensity normalization method for robust statistical model, and 3) optimally partitioned statistical shape and appearance models based on regional shape variations for greater local flexibility  Our method was evaluated on MRI sequences obtained from 165 pediatric subjects  A mean Dice similarity coefficient of 0 779 was obtained for the segmentation of the entire AVP (optic nerve only =0 791 ) using the leave-one-out validation  Results demonstrated that the proposed localized shape and sparse appearance-based learning approach significantly outperforms current state-of-the-art segmentation approaches and is as robust as the manual segmentation </t>
  </si>
  <si>
    <t>STACKED AUTOENCODER,DBN</t>
  </si>
  <si>
    <t>Children’s National Health System, Washington DC 20010 USA</t>
  </si>
  <si>
    <t>Mansoor, A; Cerrolaza, JJ; Idrees, R; Biggs, E; Alsharid, MA; Avery, RA; Linguraru, MG</t>
  </si>
  <si>
    <t>10 1016/j media 2016 01 005</t>
  </si>
  <si>
    <t xml:space="preserve">A combined deep-learning and deformable-model approach to fully automatic segmentation of the left ventricle in cardiac MRI </t>
  </si>
  <si>
    <t xml:space="preserve">Segmentation of the left ventricle (LV) from cardiac magnetic resonance imaging (MRI) datasets is an essential step for calculation of clinical indices such as ventricular volume and ejection fraction  In this work, we employ deep learning algorithms combined with deformable models to develop and evaluate a fully automatic LV segmentation tool from short-axis cardiac MRI datasets  The method employs deep learning algorithms to learn the segmentation task from the ground true data  Convolutional networks are employed to automatically detect the LV chamber in MRI dataset  Stacked autoencoders are used to infer the LV shape  The inferred shape is incorporated into deformable models to improve the accuracy and robustness of the segmentation  We validated our method using 45 cardiac MR datasets from the MICCAI 2009 LV segmentation challenge and showed that it outperforms the state-of-the art methods  Excellent agreement with the ground truth was achieved  Validation metrics, percentage of good contours, Dice metric, average perpendicular distance and conformity, were computed as 96 69%, 0 94, 1 81 mm and 0 86, versus those of 79 2-95 62%, 0 87-0 9, 1 76-2 97 mm and 0 67-0 78, obtained by other methods, respectively </t>
  </si>
  <si>
    <t xml:space="preserve">Center for Pervasive Communications and Computing, University of California, Irvine, USA; The Edwards Lifesciences Center for Advanced Cardiovascular Technology, University of California, Irvine, USA </t>
  </si>
  <si>
    <t>10 1109/TMI 2016 2532122</t>
  </si>
  <si>
    <t xml:space="preserve">Unsupervised Deep Learning Applied to Breast Density Segmentation and Mammographic Risk Scoring </t>
  </si>
  <si>
    <t xml:space="preserve">Mammographic risk scoring has commonly been automated by extracting a set of handcrafted features from mammograms, and relating the responses directly or indirectly to breast cancer risk  We present a method that learns a feature hierarchy from unlabeled data  When the learned features are used as the input to a simple classifier, two different tasks can be addressed: i) breast density segmentation, and ii) scoring of mammographic texture  The proposed model learns features at multiple scales  To control the models capacity a novel sparsity regularizer is introduced that incorporates both lifetime and population sparsity  We evaluated our method on three different clinical datasets  Our state-of-the-art results show that the learned breast density scores have a very strong positive relationship with manual ones, and that the learned texture scores are predictive of breast cancer  The model is easy to apply and generalizes to many other segmentation and scoring problems </t>
  </si>
  <si>
    <t>CONVOLUTIONAL AUTOENCODER</t>
  </si>
  <si>
    <t xml:space="preserve">University of Copenhagen,
DK-2100 Copenhagen OE, Denmark, and also with Biomediq A/S, DK-2100
Copenhagen OE, Denmark </t>
  </si>
  <si>
    <t>Kallenberg, M; Petersen, K; Nielsen, M; Ng, AY; Pengfei Diao, ; Igel, C; Vachon, CM; Holland, K; Winkel, RR; Karssemeijer, N; Lillholm, M</t>
  </si>
  <si>
    <t>10 1109/TMI 2016 2528120</t>
  </si>
  <si>
    <t xml:space="preserve">AggNet: Deep Learning From Crowds for Mitosis Detection in Breast Cancer Histology Images </t>
  </si>
  <si>
    <t xml:space="preserve">The lack of publicly available ground-truth data has been identified as the major challenge for transferring recent developments in deep learning to the biomedical imaging domain  Though crowdsourcing has enabled annotation of large scale databases for real world images, its application for biomedical purposes requires a deeper understanding and hence, more precise definition of the actual annotation task  The fact that expert tasks are being outsourced to non-expert users may lead to noisy annotations introducing disagreement between users  Despite being a valuable resource for learning annotation models from crowdsourcing, conventional machine-learning methods may have difficulties dealing with noisy annotations during training  In this manuscript, we present a new concept for learning from crowds that handle data aggregation directly as part of the learning process of the convolutional neural network (CNN) via additional crowdsourcing layer (AggNet)  Besides, we present an experimental study on learning from crowds designed to answer the following questions  1) Can deep CNN be trained with data collected from crowdsourcing? 2) How to adapt the CNN to train on multiple types of annotation datasets (ground truth and crowd-based)? 3) How does the choice of annotation and aggregation affect the accuracy? Our experimental setup involved Annot8, a self-implemented web-platform based on Crowdflower API realizing image annotation tasks for a publicly available biomedical image database  Our results give valuable insights into the functionality of deep CNN learning from crowd annotations and prove the necessity of data aggregation integration </t>
  </si>
  <si>
    <t>Chair for Computer Aided Medical Procedure (CAMP), Technische Universität
München (TUM), Munich, Germany</t>
    <phoneticPr fontId="0" type="noConversion"/>
  </si>
  <si>
    <t>Albarqouni, S; Baur, C; Achilles, F; Belagiannis, V; Demirci, S; Navab, N</t>
  </si>
  <si>
    <t>10 1109/TMI 2016 2526689</t>
  </si>
  <si>
    <t xml:space="preserve">Fast Convolutional Neural Network Training Using Selective Data Sampling: Application to Hemorrhage Detection in Color Fundus Images </t>
  </si>
  <si>
    <t xml:space="preserve">Convolutional neural networks (CNNs) are deep learning network architectures that have pushed forward the state-of-the-art in a range of computer vision applications and are increasingly popular in medical image analysis  However, training of CNNs is time-consuming and challenging  In medical image analysis tasks, the majority of training examples are easy to classify and therefore contribute little to the CNN learning process  In this paper, we propose a method to improve and speed-up the CNN training for medical image analysis tasks by dynamically selecting misclassified negative samples during training  Training samples are heuristically sampled based on classification by the current status of the CNN  Weights are assigned to the training samples and informative samples are more likely to be included in the next CNN training iteration  We evaluated and compared our proposed method by training a CNN with (SeS) and without (NSeS) the selective sampling method  We focus on the detection of hemorrhages in color fundus images  A decreased training time from 170 epochs to 60 epochs with an increased performance-on par with two human experts-was achieved with areas under the receiver operating characteristics curve of 0 894 and 0 972 on two data sets  The SeS CNN statistically outperformed the NSeS CNN on an independent test set </t>
  </si>
  <si>
    <t>Diagnostic Image Analysis
Group, Department of Radiology and Nuclear Medicine, Radboud
University Medical Center, Nijmegen, The Netherlands</t>
    <phoneticPr fontId="0" type="noConversion"/>
  </si>
  <si>
    <t>van Grinsven, MJ; van Ginneken, B; Hoyng, CB; Theelen, T; Sanchez, CI</t>
  </si>
  <si>
    <t>10 1007/s10916-016-0460-2</t>
  </si>
  <si>
    <t xml:space="preserve">Novel Approaches for Diagnosing Melanoma Skin Lesions Through Supervised and Deep Learning Algorithms </t>
  </si>
  <si>
    <t xml:space="preserve">Dermoscopy is a technique used to capture the images of skin, and these images are useful to analyze the different types of skin diseases  Malignant melanoma is a kind of skin cancer whose severity even leads to death  Earlier detection of melanoma prevents death and the clinicians can treat the patients to increase the chances of survival  Only few machine learning algorithms are developed to detect the melanoma using its features  This paper proposes a Computer Aided Diagnosis (CAD) system which equips efficient algorithms to classify and predict the melanoma  Enhancement of the images are done using Contrast Limited Adaptive Histogram Equalization technique (CLAHE) and median filter  A new segmentation algorithm called Normalized Otsu's Segmentation (NOS) is implemented to segment the affected skin lesion from the normal skin, which overcomes the problem of variable illumination  Fifteen features are derived and extracted from the segmented images are fed into the proposed classification techniques like Deep Learning based Neural Networks and Hybrid Adaboost-Support Vector Machine (SVM) algorithms  The proposed system is tested and validated with nearly 992 images (malignant &amp; benign lesions) and it provides a high classification accuracy of 93 %  The proposed CAD system can assist the dermatologists to confirm the decision of the diagnosis and to avoid excisional biopsies </t>
  </si>
  <si>
    <t xml:space="preserve">School of Computing, SASTRA University, Tirumalaisamudram, Thanjavur, 613401, Tamilnadu, India </t>
  </si>
  <si>
    <t>Premaladha, J; Ravichandran, KS</t>
  </si>
  <si>
    <t>10 1109/TMI 2016 2525803</t>
  </si>
  <si>
    <t xml:space="preserve">Locality Sensitive Deep Learning for Detection and Classification of Nuclei in Routine Colon Cancer Histology Images </t>
  </si>
  <si>
    <t xml:space="preserve">Detection and classification of cell nuclei in histopathology images of cancerous tissue stained with the standard hematoxylin and eosin stain is a challenging task due to cellular heterogeneity  Deep learning approaches have been shown to produce encouraging results on histopathology images in various studies  In this paper, we propose a Spatially Constrained Convolutional Neural Network (SC-CNN) to perform nucleus detection  SC-CNN regresses the likelihood of a pixel being the center of a nucleus, where high probability values are spatially constrained to locate in the vicinity of the centers of nuclei  For classification of nuclei, we propose a novel Neighboring Ensemble Predictor (NEP) coupled with CNN to more accurately predict the class label of detected cell nuclei  The proposed approaches for detection and classification do not require segmentation of nuclei  We have evaluated them on a large dataset of colorectal adenocarcinoma images, consisting of more than 20,000 annotated nuclei belonging to four different classes  Our results show that the joint detection and classification of the proposed SC-CNN and NEP produces the highest average F1 score as compared to other recently published approaches  Prospectively, the proposed methods could offer benefit to pathology practice in terms of quantitative analysis of tissue constituents in whole-slide images, and potentially lead to a better understanding of cancer </t>
  </si>
  <si>
    <t xml:space="preserve">Department of Computer
Science, University of Warwick, Coventry, CV4 7AL, UK </t>
  </si>
  <si>
    <t>Sirinukunwattana, K; Ahmed Raza, SE; Yee-Wah Tsang, ; Snead, DR; Cree, IA; Rajpoot, NM</t>
  </si>
  <si>
    <t>10 1109/TMI 2016 2524985</t>
  </si>
  <si>
    <t xml:space="preserve">Multi-Instance Deep Learning: Discover Discriminative Local Anatomies for Bodypart Recognition </t>
  </si>
  <si>
    <t xml:space="preserve">In general image recognition problems, discriminative information often lies in local image patches  For example, most human identity information exists in the image patches containing human faces  The same situation stays in medical images as well  "Bodypart identity" of a transversal slice-which bodypart the slice comes from-is often indicated by local image information, e g , a cardiac slice and an aorta arch slice are only differentiated by the mediastinum region  In this work, we design a multi-stage deep learning framework for image classification and apply it on bodypart recognition  Specifically, the proposed framework aims at: 1) discover the local regions that are discriminative and non-informative to the image classification problem, and 2) learn a image-level classifier based on these local regions  We achieve these two tasks by the two stages of learning scheme, respectively  In the pre-train stage, a convolutional neural network (CNN) is learned in a multi-instance learning fashion to extract the most discriminative and and non-informative local patches from the training slices  In the boosting stage, the pre-learned CNN is further boosted by these local patches for image classification  The CNN learned by exploiting the discriminative local appearances becomes more accurate than those learned from global image context  The key hallmark of our method is that it automatically discovers the discriminative and non-informative local patches through multi-instance deep learning  Thus, no manual annotation is required  Our method is validated on a synthetic dataset and a large scale CT dataset  It achieves better performances than state-of-the-art approaches, including the standard deep CNN </t>
  </si>
  <si>
    <t>Siemens
Healthcare, Malvern, PA USA</t>
    <phoneticPr fontId="0" type="noConversion"/>
  </si>
  <si>
    <t xml:space="preserve">Zhennan Yan, ; Yiqiang Zhan, ; Zhigang Peng, ; Shu Liao, ; Shinagawa, Y; Shaoting Zhang, ; Metaxas, DN; Xiang Sean Zhou, </t>
  </si>
  <si>
    <t>10 1016/j cmpb 2015 12 014</t>
  </si>
  <si>
    <t xml:space="preserve">Representation learning for mammography mass lesion classification with convolutional neural networks </t>
  </si>
  <si>
    <t xml:space="preserve">The automatic classification of breast imaging lesions is currently an unsolved problem  This paper describes an innovative representation learning framework for breast cancer diagnosis in mammography that integrates deep learning techniques to automatically learn discriminative features avoiding the design of specific hand-crafted image-based feature detectors A new biopsy proven benchmarking dataset was built from 344 breast cancer patients' cases containing a total of 736 film mammography (mediolateral oblique and craniocaudal) views, representative of manually segmented lesions associated with masses: 426 benign lesions and 310 malignant lesions  The developed method comprises two main stages: (i) preprocessing to enhance image details and (ii) supervised training for learning both the features and the breast imaging lesions classifier  In contrast to previous works, we adopt a hybrid approach where convolutional neural networks are used to learn the representation in a supervised way instead of designing particular descriptors to explain the content of mammography images Experimental results using the developed benchmarking breast cancer dataset demonstrated that our method exhibits significant improved performance when compared to state-of-the-art image descriptors, such as histogram of oriented gradients (HOG) and histogram of the gradient divergence (HGD), increasing the performance from 0 787 to 0 822 in terms of the area under the ROC curve (AUC)  Interestingly, this model also outperforms a set of hand-crafted features that take advantage of additional information from segmentation by the radiologist  Finally, the combination of both representations, learned and hand-crafted, resulted in the best descriptor for mass lesion classification, obtaining 0 826 in the AUC score A novel deep learning based framework to automatically address classification of breast mass lesions in mammography was developed </t>
  </si>
  <si>
    <t xml:space="preserve">Universidad Nacional de Colombia, Bogotá, Colombia </t>
  </si>
  <si>
    <t>Arevalo, J; González, FA; Ramos-Pollán, R; Oliveira, JL; Guevara Lopez, MA</t>
  </si>
  <si>
    <t>10 1016/j neuroimage 2016 01 024</t>
  </si>
  <si>
    <t xml:space="preserve">Deep MRI brain extraction: A 3D convolutional neural network for skull stripping </t>
  </si>
  <si>
    <t xml:space="preserve">Brain extraction from magnetic resonance imaging (MRI) is crucial for many neuroimaging workflows  Current methods demonstrate good results on non-enhanced T1-weighted images, but struggle when confronted with other modalities and pathologically altered tissue  In this paper we present a 3D convolutional deep learning architecture to address these shortcomings  In contrast to existing methods, we are not limited to non-enhanced T1w images  When trained appropriately, our approach handles an arbitrary number of modalities including contrast-enhanced scans  Its applicability to MRI data, comprising four channels: non-enhanced and contrast-enhanced T1w, T2w and FLAIR contrasts, is demonstrated on a challenging clinical data set containing brain tumors (N=53), where our approach significantly outperforms six commonly used tools with a mean Dice score of 95 19  Further, the proposed method at least matches state-of-the-art performance as demonstrated on three publicly available data sets: IBSR, LPBA40 and OASIS, totaling N=135 volumes  For the IBSR (96 32) and LPBA40 (96 96) data set the convolutional neuronal network (CNN) obtains the highest average Dice scores, albeit not being significantly different from the second best performing method  For the OASIS data the second best Dice (95 02) results are achieved, with no statistical difference in comparison to the best performing tool  For all data sets the highest average specificity measures are evaluated, whereas the sensitivity displays about average results  Adjusting the cut-off threshold for generating the binary masks from the CNN's probability output can be used to increase the sensitivity of the method  Of course, this comes at the cost of a decreased specificity and has to be decided application specific  Using an optimized GPU implementation predictions can be achieved in less than one minute  The proposed method may prove useful for large-scale studies and clinical trials  </t>
  </si>
  <si>
    <t xml:space="preserve">MDMI Lab, Division of Neuroradiology, Heidelberg University Hospital, Heidelberg, Germany; Junior Group Medical Image Computing, German Cancer Research Center, Heidelberg, Germany; Heidelberg University HCI/IWR, Heidelberg, Germany; Division of Radiology, German Cancer Research Center, Heidelberg, Germany </t>
  </si>
  <si>
    <t>Kleesiek, J; Urban, G; Hubert, A; Schwarz, D; Maier-Hein, K; Bendszus, M; Biller, A</t>
  </si>
  <si>
    <t>10 1016/j neuroimage 2016 01 005</t>
  </si>
  <si>
    <t xml:space="preserve">State-space model with deep learning for functional dynamics estimation in resting-state fMRI </t>
  </si>
  <si>
    <t xml:space="preserve">Studies on resting-state functional Magnetic Resonance Imaging (rs-fMRI) have shown that different brain regions still actively interact with each other while a subject is at rest, and such functional interaction is not stationary but changes over time  In terms of a large-scale brain network, in this paper, we focus on time-varying patterns of functional networks, i e , functional dynamics, inherent in rs-fMRI, which is one of the emerging issues along with the network modelling  Specifically, we propose a novel methodological architecture that combines deep learning and state-space modelling, and apply it to rs-fMRI based Mild Cognitive Impairment (MCI) diagnosis  We first devise a Deep Auto-Encoder (DAE) to discover hierarchical non-linear functional relations among regions, by which we transform the regional features into an embedding space, whose bases are complex functional networks  Given the embedded functional features, we then use a Hidden Markov Model (HMM) to estimate dynamic characteristics of functional networks inherent in rs-fMRI via internal states, which are unobservable but can be inferred from observations statistically  By building a generative model with an HMM, we estimate the likelihood of the input features of rs-fMRI as belonging to the corresponding status, i e , MCI or normal healthy control, based on which we identify the clinical label of a testing subject  In order to validate the effectiveness of the proposed method, we performed experiments on two different datasets and compared with state-of-the-art methods in the literature  We also analyzed the functional networks learned by DAE, estimated the functional connectivities by decoding hidden states in HMM, and investigated the estimated functional connectivities by means of a graph-theoretic approach  </t>
  </si>
  <si>
    <t>AUTOENCODER,RBM</t>
  </si>
  <si>
    <t xml:space="preserve">Department of Brain and Cognitive Engineering, Korea University, Republic of Korea </t>
  </si>
  <si>
    <t>Suk, HI; Wee, CY; Lee, SW; Shen, D</t>
  </si>
  <si>
    <t>10 1109/EMBC 2015 7318984</t>
  </si>
  <si>
    <t xml:space="preserve">Investigating deep learning for fNIRS based BCI </t>
  </si>
  <si>
    <t xml:space="preserve">Functional Near infrared Spectroscopy (fNIRS) is a relatively young modality for measuring brain activity which has recently shown promising results for building Brain Computer Interfaces (BCI)  Due to its infancy, there are still no standard approaches for meaningful features and classifiers for single trial analysis of fNIRS  Most studies are limited to established classifiers from EEG-based BCIs and very simple features  The feasibility of more complex and powerful classification approaches like Deep Neural Networks has, to the best of our knowledge, not been investigated for fNIRS based BCI  These networks have recently become increasingly popular, as they outperformed conventional machine learning methods for a variety of tasks, due in part to advances in training methods for neural networks  In this paper, we show how Deep Neural Networks can be used to classify brain activation patterns measured by fNIRS and compare them with previously used methods </t>
  </si>
  <si>
    <t>DNN,RBM</t>
  </si>
  <si>
    <t>Cognitive Systems Lab,
Karlsruhe Institute of Technology, Karlsruhe, Germany</t>
    <phoneticPr fontId="0" type="noConversion"/>
  </si>
  <si>
    <t>Hennrich, J; Herff, C; Heger, D; Schultz, T</t>
  </si>
  <si>
    <t>10 1109/EMBC 2015 7318454</t>
  </si>
  <si>
    <t xml:space="preserve">Automatic localization of the left ventricle in cardiac MRI images using deep learning </t>
  </si>
  <si>
    <t xml:space="preserve">Automatic localization of the left ventricle (LV) in cardiac MRI images is an essential step for automatic segmentation, functional analysis, and content based retrieval of cardiac images  In this paper, we introduce a new approach based on deep Convolutional Neural Network (CNN) to localize the LV in cardiac MRI in short axis views  A six-layer CNN with different kernel sizes was employed for feature extraction, followed by Softmax fully connected layer for classification  The pyramids of scales analysis was introduced in order to take account of the different sizes of the heart  A publically-available database of 33 patients was used for learning and testing  The proposed method was able it localize the LV with 98 66%, 83 91% and 99 07% for accuracy, sensitivity and specificity respectively </t>
  </si>
  <si>
    <t>Systems and Biomedical Engineering Department, Faculty of Engineering, Cairo University,
Giza, Egypt</t>
    <phoneticPr fontId="0" type="noConversion"/>
  </si>
  <si>
    <t>Emad, O; Yassine, IA; Fahmy, AS</t>
  </si>
  <si>
    <t>10 1109/EMBC 2016 7590649</t>
  </si>
  <si>
    <t xml:space="preserve">Automatic tissue characterization of air trapping in chest radiographs using deep neural networks </t>
  </si>
  <si>
    <t xml:space="preserve">Significant progress has been made in recent years for computer-aided diagnosis of abnormal pulmonary textures from computed tomography (CT) images  Similar initiatives in chest radiographs (CXR), the common modality for pulmonary diagnosis, are much less developed  CXR are fast, cost effective and low-radiation solution to diagnosis over CT  However, the subtlety of textures in CXR makes them hard to discern even by trained eye  We explore the performance of deep learning abnormal tissue characterization from CXR  Prior studies have used CT imaging to characterize air trapping in subjects with pulmonary disease; however, the use of CT in children is not recommended mainly due to concerns pertaining to radiation dosage  In this work, we present a stacked autoencoder (SAE) deep learning architecture for automated tissue characterization of air-trapping from CXR  To our best knowledge this is the first study applying deep learning framework for the specific problem on 51 CXRs, an F-score of ≈ 76 5% and a strong correlation with the expert visual scoring (R=0 93, p =&lt;; 0 01) demonstrate the potential of the proposed method to characterization of air trapping </t>
  </si>
  <si>
    <t>caSheikh Zayed Institute for Pediatric Surgical Innovation, Children’s National Health System, Washington DCbDivision,USA</t>
  </si>
  <si>
    <t>Mansoor, A; Perez, G; Nino, G; Linguraru, MG</t>
  </si>
  <si>
    <t>10 1109/TMI 2015 2508280</t>
  </si>
  <si>
    <t xml:space="preserve">Deformable MR Prostate Segmentation via Deep Feature Learning and Sparse Patch Matching </t>
  </si>
  <si>
    <t xml:space="preserve">Automatic and reliable segmentation of the prostate is an important but difficult task for various clinical applications such as prostate cancer radiotherapy  The main challenges for accurate MR prostate localization lie in two aspects: (1) inhomogeneous and inconsistent appearance around prostate boundary, and (2) the large shape variation across different patients  To tackle these two problems, we propose a new deformable MR prostate segmentation method by unifying deep feature learning with the sparse patch matching  First, instead of directly using handcrafted features, we propose to learn the latent feature representation from prostate MR images by the stacked sparse auto-encoder (SSAE)  Since the deep learning algorithm learns the feature hierarchy from the data, the learned features are often more concise and effective than the handcrafted features in describing the underlying data  To improve the discriminability of learned features, we further refine the feature representation in a supervised fashion  Second, based on the learned features, a sparse patch matching method is proposed to infer a prostate likelihood map by transferring the prostate labels from multiple atlases to the new prostate MR image  Finally, a deformable segmentation is used to integrate a sparse shape model with the prostate likelihood map for achieving the final segmentation  The proposed method has been extensively evaluated on the dataset that contains 66 T2-wighted prostate MR images  Experimental results show that the deep-learned features are more effective than the handcrafted features in guiding MR prostate segmentation  Moreover, our method shows superior performance than other state-of-the-art segmentation methods  </t>
  </si>
  <si>
    <t>Department of Radiology and BRIC, University of North Carolina at Chapel Hill, NC 27599 USA</t>
    <phoneticPr fontId="0" type="noConversion"/>
  </si>
  <si>
    <t>Guo, Y; Gao, Y; Shen, D</t>
  </si>
  <si>
    <t>10 1109/TBME 2015 2496253</t>
  </si>
  <si>
    <t xml:space="preserve">Scalable High-Performance Image Registration Framework by Unsupervised Deep Feature Representations Learning </t>
  </si>
  <si>
    <t xml:space="preserve">Feature selection is a critical step in deformable image registration  In particular, selecting the most discriminative features that accurately and concisely describe complex morphological patterns in image patches improves correspondence detection, which in turn improves image registration accuracy  Furthermore, since more and more imaging modalities are being invented to better identify morphological changes in medical imaging data, the development of deformable image registration method that scales well to new image modalities or new image applications with little to no human intervention would have a significant impact on the medical image analysis community  To address these concerns, a learning-based image registration framework is proposed that uses deep learning to discover compact and highly discriminative features upon observed imaging data  Specifically, the proposed feature selection method uses a convolutional stacked autoencoder to identify intrinsic deep feature representations in image patches  Since deep learning is an unsupervised learning method, no ground truth label knowledge is required  This makes the proposed feature selection method more flexible to new imaging modalities since feature representations can be directly learned from the observed imaging data in a very short amount of time  Using the LONI and ADNI imaging datasets, image registration performance was compared to two existing state-of-the-art deformable image registration methods that use handcrafted features  To demonstrate the scalability of the proposed image registration framework, image registration experiments were conducted on 7 0-T brain MR images  In all experiments, the results showed that the new image registration framework consistently demonstrated more accurate registration results when compared to state of the art </t>
  </si>
  <si>
    <t>Department of Radiology and BRIC, the University of North Carolina at Chapel Hill, Chapel Hill, NC 27599 USA</t>
    <phoneticPr fontId="0" type="noConversion"/>
  </si>
  <si>
    <t>Wu, G; Kim, M; Wang, Q; Munsell, BC; Shen, D</t>
  </si>
  <si>
    <t>10 1186/s12880-015-0087-7</t>
  </si>
  <si>
    <t xml:space="preserve">Cell recognition based on topological sparse coding for microscopy imaging of focused ultrasound treatment </t>
  </si>
  <si>
    <t xml:space="preserve">Ultrasound is considered a reliable, widely available, non-invasive, and inexpensive imaging technique for assessing and detecting the development phases of cancer; both in vivo and ex vivo, and for understanding the effects on cell cycle and viability after ultrasound treatment Based on the topological continuity characteristics, and that adjacent points or areas represent similar features, we propose a topological penalized convex objective function of sparse coding, to recognize similar cell phases This method introduces new features using a deep learning method of sparse coding with topological continuity characteristics  Large-scale comparison tests demonstrate that the RAW can outperform SIFT GIST and HoG as the input features with this method, achieving higher sensitivity, specificity, F1 score, and accuracy Experimental results show that the proposed topological sparse coding technique is valid and effective for extracting new features, and the proposed system was effective for cell recognition of microscopy images of theMDA-MB-231 cell line  This method allows features from sparse coding learning methods to have topological continuity characteristics, and the RAW features are more applicable for the deep learning of the topological sparse coding method than SIFT GIST and HoG </t>
  </si>
  <si>
    <t xml:space="preserve">School of Mathematics and Computational Science, Sun Yat-sen University, Guangzhou, P  R  China </t>
  </si>
  <si>
    <t>Wang, Z; Zhu, J; Xue, Y; Song, C; Bi, N</t>
  </si>
  <si>
    <t>10 1016/j media 2015 08 001</t>
  </si>
  <si>
    <t xml:space="preserve">Automatic classification of pulmonary peri-fissural nodules in computed tomography using an ensemble of 2D views and a convolutional neural network out-of-the-box </t>
  </si>
  <si>
    <t xml:space="preserve">In this paper, we tackle the problem of automatic classification of pulmonary peri-fissural nodules (PFNs)  The classification problem is formulated as a machine learning approach, where detected nodule candidates are classified as PFNs or non-PFNs  Supervised learning is used, where a classifier is trained to label the detected nodule  The classification of the nodule in 3D is formulated as an ensemble of classifiers trained to recognize PFNs based on 2D views of the nodule  In order to describe nodule morphology in 2D views, we use the output of a pre-trained convolutional neural network known as OverFeat  We compare our approach with a recently presented descriptor of pulmonary nodule morphology, namely Bag of Frequencies, and illustrate the advantages offered by the two strategies, achieving performance of AUC = 0 868, which is close to the one of human experts  </t>
  </si>
  <si>
    <t xml:space="preserve">Diagnostic Image Analysis Group, Department of Radiology and Nuclear Medicine, Radboud University Medical Center, Nijmegen, The Netherlands </t>
  </si>
  <si>
    <t>Ciompi, F; de Hoop, B; van Riel, SJ; Chung, K; Scholten, ET; Oudkerk, M; de Jong, PA; Prokop, M; van Ginneken, B</t>
  </si>
  <si>
    <t xml:space="preserve">Bodypart Recognition Using Multi-stage Deep Learning </t>
  </si>
  <si>
    <t xml:space="preserve">Automatic medical image analysis systems often start from identifying the human body part contained in the image; Specifically, given a transversal slice, it is important to know which body part it comes from, namely "slice-based bodypart recognition"  This problem has its unique characteristic--the body part of a slice is usually identified by local discriminative regions instead of global image context, e g , a cardiac slice is differentiated from an aorta arch slice by the mediastinum region  To leverage this characteristic, we design a multi-stage deep learning framework that aims at: (1) discover the local regions that are discriminative to the bodypart recognition, and (2) learn a bodypart identifier based on these local regions  These two tasks are achieved by the two stages of our learning scheme, respectively  In the pre-train stage, a convolutional neural network (CNN) is learned in a multi-instance learning fashion to extract the most discriminative local patches from the training slices  In the boosting stage, the learned CNN is further boosted by these local patches for bodypart recognition  By exploiting the discriminative local appearances, the learned CNN becomes more accurate than global image context-based approaches  As a key hallmark, our method does not require manual annotations of the discriminative local patches  Instead, it automatically discovers them through multi-instance deep learning  We validate our method on a synthetic dataset and a large scale CT dataset (7000+ slices from wholebody CT scans)  Our method achieves better performances than state-of-the-art approaches, including the standard CNN </t>
  </si>
  <si>
    <t>Information processing in medical imaging : proceedings of the     conference</t>
  </si>
  <si>
    <t>Siemens Healthcare, Malvern, PA, USA</t>
    <phoneticPr fontId="0" type="noConversion"/>
  </si>
  <si>
    <t>Yan, Z; Zhan, Y; Peng, Z; Liao, S; Shinagawa, Y; Metaxas, DN; Zhou, XS</t>
  </si>
  <si>
    <t>9216871</t>
  </si>
  <si>
    <t>10 1523/JNEUROSCI 5023-14 2015</t>
  </si>
  <si>
    <t xml:space="preserve">Deep Neural Networks Reveal a Gradient in the Complexity of Neural Representations across the Ventral Stream </t>
  </si>
  <si>
    <t xml:space="preserve">Converging evidence suggests that the primate ventral visual pathway encodes increasingly complex stimulus features in downstream areas  We quantitatively show that there indeed exists an explicit gradient for feature complexity in the ventral pathway of the human brain  This was achieved by mapping thousands of stimulus features of increasing complexity across the cortical sheet using a deep neural network  Our approach also revealed a fine-grained functional specialization of downstream areas of the ventral stream  Furthermore, it allowed decoding of representations from human brain activity at an unsurpassed degree of accuracy, confirming the quality of the developed approach  Stimulus features that successfully explained neural responses indicate that population receptive fields were explicitly tuned for object categorization  This provides strong support for the hypothesis that object categorization is a guiding principle in the functional organization of the primate ventral stream  </t>
  </si>
  <si>
    <t>The Journal of neuroscience : the official journal of the Society for Neuroscience</t>
  </si>
  <si>
    <t xml:space="preserve">Radboud University, Donders Institute for Brain, Cognition and Behaviour, Nijmegen, the Netherlands </t>
  </si>
  <si>
    <t>Güçlü, U; van Gerven, MA</t>
  </si>
  <si>
    <t>8102140</t>
  </si>
  <si>
    <t>10 1016/j jalz 2015 01 010</t>
  </si>
  <si>
    <t xml:space="preserve">Imaging-based enrichment criteria using deep learning algorithms for efficient clinical trials in mild cognitive impairment </t>
  </si>
  <si>
    <t xml:space="preserve">The mild cognitive impairment (MCI) stage of Alzheimer's disease (AD) may be optimal for clinical trials to test potential treatments for preventing or delaying decline to dementia  However, MCI is heterogeneous in that not all cases progress to dementia within the time frame of a trial and some may not have underlying AD pathology  Identifying those MCIs who are most likely to decline during a trial and thus most likely to benefit from treatment will improve trial efficiency and power to detect treatment effects  To this end, using multimodal, imaging-derived, inclusion criteria may be especially beneficial  Here, we present a novel multimodal imaging marker that predicts future cognitive and neural decline from [F-18]fluorodeoxyglucose positron emission tomography (PET), amyloid florbetapir PET, and structural magnetic resonance imaging, based on a new deep learning algorithm (randomized denoising autoencoder marker, rDAm)  Using ADNI2 MCI data, we show that using rDAm as a trial enrichment criterion reduces the required sample estimates by at least five times compared with the no-enrichment regime and leads to smaller trials with high statistical power, compared with existing methods </t>
  </si>
  <si>
    <t>Alzheimer's &amp; dementia : the journal of the Alzheimer's Association</t>
  </si>
  <si>
    <t xml:space="preserve">Department of Computer Sciences, University of Wisconsin Madison, Madison, WI, USA; Wisconsin Alzheimer's Disease Research Center, University of Wisconsin Madison, Madison, WI, USA </t>
  </si>
  <si>
    <t xml:space="preserve">Ithapu, VK; Singh, V; Okonkwo, OC; Chappell, RJ; Dowling, NM; Johnson, SC; , </t>
  </si>
  <si>
    <t>101231978</t>
  </si>
  <si>
    <t>10 1016/j neuroimage 2015 05 018</t>
  </si>
  <si>
    <t xml:space="preserve">Deep neural network with weight sparsity control and pre-training extracts hierarchical features and enhances classification performance: Evidence from whole-brain resting-state functional connectivity patterns of schizophrenia </t>
  </si>
  <si>
    <t xml:space="preserve">Functional connectivity (FC) patterns obtained from resting-state functional magnetic resonance imaging data are commonly employed to study neuropsychiatric conditions by using pattern classifiers such as the support vector machine (SVM)  Meanwhile, a deep neural network (DNN) with multiple hidden layers has shown its ability to systematically extract lower-to-higher level information of image and speech data from lower-to-higher hidden layers, markedly enhancing classification accuracy  The objective of this study was to adopt the DNN for whole-brain resting-state FC pattern classification of schizophrenia (SZ) patients vs  healthy controls (HCs) and identification of aberrant FC patterns associated with SZ  We hypothesized that the lower-to-higher level features learned via the DNN would significantly enhance the classification accuracy, and proposed an adaptive learning algorithm to explicitly control the weight sparsity in each hidden layer via L1-norm regularization  Furthermore, the weights were initialized via stacked autoencoder based pre-training to further improve the classification performance  Classification accuracy was systematically evaluated as a function of (1) the number of hidden layers/nodes, (2) the use of L1-norm regularization, (3) the use of the pre-training, (4) the use of framewise displacement (FD) removal, and (5) the use of anatomical/functional parcellation  Using FC patterns from anatomically parcellated regions without FD removal, an error rate of 14 2% was achieved by employing three hidden layers and 50 hidden nodes with both L1-norm regularization and pre-training, which was substantially lower than the error rate from the SVM (22 3%)  Moreover, the trained DNN weights (i e , the learned features) were found to represent the hierarchical organization of aberrant FC patterns in SZ compared with HC  Specifically, pairs of nodes extracted from the lower hidden layer represented sparse FC patterns implicated in SZ, which was quantified by using kurtosis/modularity measures and features from the higher hidden layer showed holistic/global FC patterns differentiating SZ from HC  Our proposed schemes and reported findings attained by using the DNN classifier and whole-brain FC data suggest that such approaches show improved ability to learn hidden patterns in brain imaging data, which may be useful for developing diagnostic tools for SZ and other neuropsychiatric disorders and identifying associated aberrant FC patterns </t>
  </si>
  <si>
    <t xml:space="preserve">Department of Brain and Cognitive Engineering, Korea University, Seoul, Republic of Korea </t>
  </si>
  <si>
    <t>Kim, J; Calhoun, VD; Shim, E; Lee, JH</t>
  </si>
  <si>
    <t>10 1109/TBME 2015 2430895</t>
  </si>
  <si>
    <t xml:space="preserve">Accurate Segmentation of Cervical Cytoplasm and Nuclei Based on Multiscale Convolutional Network and Graph Partitioning </t>
  </si>
  <si>
    <t xml:space="preserve">In this paper, a multiscale convolutional network (MSCN) and graph-partitioning-based method is proposed for accurate segmentation of cervical cytoplasm and nuclei  Specifically, deep learning via the MSCN is explored to extract scale invariant features, and then, segment regions centered at each pixel  The coarse segmentation is refined by an automated graph partitioning method based on the pretrained feature  The texture, shape, and contextual information of the target objects are learned to localize the appearance of distinctive boundary, which is also explored to generate markers to split the touching nuclei  For further refinement of the segmentation, a coarse-to-fine nucleus segmentation framework is developed  The computational complexity of the segmentation is reduced by using superpixel instead of raw pixels  Extensive experimental results demonstrate that the proposed cervical nucleus cell segmentation delivers promising results and outperforms existing methods  </t>
  </si>
  <si>
    <t>National-Regional Key Technology Engineering
Laboratory for Medical Ultrasound, Guangdong Key Laboratory for
Biomedical Measurements and Ultrasound Imaging, Department of Biomedical
Engineering, School of Medicine, Shenzhen University, Shenzhen 518060,
China</t>
    <phoneticPr fontId="0" type="noConversion"/>
  </si>
  <si>
    <t>Song, Y; Zhang, L; Chen, S; Ni, D; Lei, B; Wang, T</t>
  </si>
  <si>
    <t>10 1109/JBHI 2015 2429556</t>
  </si>
  <si>
    <t xml:space="preserve">A Robust Deep Model for Improved Classification of AD/MCI Patients </t>
  </si>
  <si>
    <t xml:space="preserve">Accurate classification of Alzheimer's disease (AD) and its prodromal stage, mild cognitive impairment (MCI), plays a critical role in possibly preventing progression of memory impairment and improving quality of life for AD patients  Among many research tasks, it is of a particular interest to identify noninvasive imaging biomarkers for AD diagnosis  In this paper, we present a robust deep learning system to identify different progression stages of AD patients based on MRI and PET scans  We utilized the dropout technique to improve classical deep learning by preventing its weight coadaptation, which is a typical cause of overfitting in deep learning  In addition, we incorporated stability selection, an adaptive learning factor, and a multitask learning strategy into the deep learning framework  We applied the proposed method to the ADNI dataset, and conducted experiments for AD and MCI conversion diagnosis  Experimental results showed that the dropout technique is very effective in AD diagnosis, improving the classification accuracies by 5 9% on average as compared to the classical deep learning methods  </t>
  </si>
  <si>
    <t>Li11Department of Electrical and Computer Engineering, Old Dominion University, Norfolk, VA 23529,USA</t>
  </si>
  <si>
    <t>Li, F; Tran, L; Thung, KH; Ji, S; Shen, D; Li, J</t>
  </si>
  <si>
    <t>10 1109/EMBC 2014 6944230</t>
  </si>
  <si>
    <t xml:space="preserve">A deep learning based framework for accurate segmentation of cervical cytoplasm and nuclei </t>
  </si>
  <si>
    <t xml:space="preserve">In this paper, a superpixel and convolution neural network (CNN) based segmentation method is proposed for cervical cancer cell segmentation  Since the background and cytoplasm contrast is not relatively obvious, cytoplasm segmentation is first performed  Deep learning based on CNN is explored for region of interest detection  A coarse-to-fine nucleus segmentation for cervical cancer cell segmentation and further refinement is also developed  Experimental results show that an accuracy of 94 50% is achieved for nucleus region detection and a precision of 0 9143±0 0202 and a recall of 0 8726±0 0008 are achieved for nucleus cell segmentation  Furthermore, our comparative analysis also shows that the proposed method outperforms the related methods  </t>
  </si>
  <si>
    <t xml:space="preserve">Department of Biomedical Engineering, School of Medicine,
Shenzhen University, National-Regional Key Technology Engineering
Laboratory for Medical Ultrasound, Guangdong Key Laboratory for
Biomedical Measurements and Ultrasound Imaging, Shenzhen, China </t>
  </si>
  <si>
    <t>Song, Y; Zhang, L; Chen, S; Ni, D; Li, B; Zhou, Y; Lei, B; Wang, T</t>
  </si>
  <si>
    <t>10 1016/j neuroimage 2014 12 061</t>
  </si>
  <si>
    <t xml:space="preserve">Deep convolutional neural networks for multi-modality isointense infant brain image segmentation </t>
  </si>
  <si>
    <t xml:space="preserve">The segmentation of infant brain tissue images into white matter (WM), gray matter (GM), and cerebrospinal fluid (CSF) plays an important role in studying early brain development in health and disease  In the isointense stage (approximately 6-8 months of age), WM and GM exhibit similar levels of intensity in both T1 and T2 MR images, making the tissue segmentation very challenging  Only a small number of existing methods have been designed for tissue segmentation in this isointense stage; however, they only used a single T1 or T2 images, or the combination of T1 and T2 images  In this paper, we propose to use deep convolutional neural networks (CNNs) for segmenting isointense stage brain tissues using multi-modality MR images  CNNs are a type of deep models in which trainable filters and local neighborhood pooling operations are applied alternatingly on the raw input images, resulting in a hierarchy of increasingly complex features  Specifically, we used multi-modality information from T1, T2, and fractional anisotropy (FA) images as inputs and then generated the segmentation maps as outputs  The multiple intermediate layers applied convolution, pooling, normalization, and other operations to capture the highly nonlinear mappings between inputs and outputs  We compared the performance of our approach with that of the commonly used segmentation methods on a set of manually segmented isointense stage brain images  Results showed that our proposed model significantly outperformed prior methods on infant brain tissue segmentation  In addition, our results indicated that integration of multi-modality images led to significant performance improvement  </t>
  </si>
  <si>
    <t xml:space="preserve">Department of Computer Science, Old Dominion University, Norfolk, VA 23529, USA </t>
  </si>
  <si>
    <t>Zhang, W; Li, R; Deng, H; Wang, L; Lin, W; Ji, S; Shen, D</t>
  </si>
  <si>
    <t>10 1007/978-3-319-10470-6_59</t>
  </si>
  <si>
    <t xml:space="preserve">Randomized denoising autoencoders for smaller and efficient imaging based AD clinical trials </t>
  </si>
  <si>
    <t xml:space="preserve">There is growing body of research devoted to designing imaging-based biomarkers that identify Alzheimer's disease (AD) in its prodromal stage using statistical machine learning methods  Recently several authors investigated how clinical trials for AD can be made more efficient (i e , smaller sample size) using predictive measures from such classification methods  In this paper, we explain why predictive measures given by such SVM type objectives may be less than ideal for use in the setting described above  We give a solution based on a novel deep learning model, randomized denoising autoencoders (rDA), which regresses on training labels y while also accounting for the variance, a property which is very useful for clinical trial design  Our results give strong improvements in sample size estimates over strategies based on multi-kernel learning  Also, rDA predictions appear to more accurately correlate to stages of disease  Separately, our formulation empirically shows how deep architectures can be applied in the large d, small n regime--the default situation in medical imaging  This result is of independent interest </t>
  </si>
  <si>
    <t>STACKED AUTOENCODER,SDA</t>
  </si>
  <si>
    <t>William S  Middleton Memorial VA Hospital†University of Wisconsin–Madison, USA</t>
  </si>
  <si>
    <t>Ithapul, VK; Singh, V; Okonkwo, O; Johnson, SC</t>
  </si>
  <si>
    <t>10 1007/978-3-319-10470-6_58</t>
  </si>
  <si>
    <t xml:space="preserve">Modeling the variability in brain morphology and lesion distribution in multiple sclerosis by deep learning </t>
  </si>
  <si>
    <t xml:space="preserve">Changes in brain morphology and white matter lesions are two hallmarks of multiple sclerosis (MS) pathology, but their variability beyond volumetrics is poorly characterized  To further our understanding of complex MS pathology, we aim to build a statistical model of brain images that can automatically discover spatial patterns of variability in brain morphology and lesion distribution  We propose building such a model using a deep belief network (DBN), a layered network whose parameters can be learned from training images  In contrast to other manifold learning algorithms, the DBN approach does not require a prebuilt proximity graph, which is particularly advantageous for modeling lesions, because their sparse and random nature makes defining a suitable distance measure between lesion images challenging  Our model consists of a morphology DBN, a lesion DBN, and a joint DBN that models concurring morphological and lesion patterns  Our results show that this model can automatically discover the classic patterns of MS pathology, as well as more subtle ones, and that the parameters computed have strong relationships to MS clinical scores </t>
  </si>
  <si>
    <t>Department of Electrical and Computer Engineering, UBC, Canada</t>
  </si>
  <si>
    <t>Brosch, T; Yoo, Y; Li, DK; Traboulsee, A; Tam, R</t>
  </si>
  <si>
    <t>10 1007/978-3-319-10470-6_39</t>
  </si>
  <si>
    <t xml:space="preserve">Segmenting hippocampus from infant brains by sparse patch matching with deep-learned features </t>
  </si>
  <si>
    <t xml:space="preserve">Accurate segmentation of the hippocampus from infant MR brain images is a critical step for investigating early brain development  Unfortunately, the previous tools developed for adult hippocampus segmentation are not suitable for infant brain images acquired from the first year of life, which often have poor tissue contrast and variable structural patterns of early hippocampal development  From our point of view, the main problem is lack of discriminative and robust feature representations for distinguishing the hippocampus from the surrounding brain structures  Thus, instead of directly using the predefined features as popularly used in the conventional methods, we propose to learn the latent feature representations of infant MR brain images by unsupervised deep learning  Since deep learning paradigms can learn low-level features and then successfully build up more comprehensive high-level features in a layer-by-layer manner, such hierarchical feature representations can be more competitive for distinguishing the hippocampus from entire brain images  To this end, we apply Stacked Auto Encoder (SAE) to learn the deep feature representations from both T1- and T2-weighed MR images combining their complementary information, which is important for characterizing different development stages of infant brains after birth  Then, we present a sparse patch matching method for transferring hippocampus labels from multiple atlases to the new infant brain image, by using deep-learned feature representations to measure the interpatch similarity  Experimental results on 2-week-old to 9-month-old infant brain images show the effectiveness of the proposed method, especially compared to the state-of-the-art counterpart methods </t>
  </si>
  <si>
    <t>Department of Radiology and BRIC, University of North Carolina at Chapel Hill, NC, USA</t>
    <phoneticPr fontId="0" type="noConversion"/>
  </si>
  <si>
    <t>Guo, Y; Wu, G; Commander, LA; Szary, S; Jewells, V; Lin, W; Shent, D</t>
  </si>
  <si>
    <t>10 1109/TBME 2014 2372011</t>
  </si>
  <si>
    <t xml:space="preserve">Multimodal neuroimaging feature learning for multiclass diagnosis of Alzheimer's disease </t>
  </si>
  <si>
    <t xml:space="preserve">The accurate diagnosis of Alzheimer's disease (AD) is essential for patient care and will be increasingly important as disease modifying agents become available, early in the course of the disease  Although studies have applied machine learning methods for the computer-aided diagnosis of AD, a bottleneck in the diagnostic performance was shown in previous methods, due to the lacking of efficient strategies for representing neuroimaging biomarkers  In this study, we designed a novel diagnostic framework with deep learning architecture to aid the diagnosis of AD  This framework uses a zero-masking strategy for data fusion to extract complementary information from multiple data modalities  Compared to the previous state-of-the-art workflows, our method is capable of fusing multimodal neuroimaging features in one setting and has the potential to require less labeled data  A performance gain was achieved in both binary classification and multiclass classification of AD  The advantages and limitations of the proposed framework are discussed  </t>
  </si>
  <si>
    <t>stacked auto-encoder</t>
  </si>
  <si>
    <t>Biomedical and Multimedia Information Technology (BMIT) Research Group, School of Information Technologies, University of Sydney, Australia</t>
    <phoneticPr fontId="0" type="noConversion"/>
  </si>
  <si>
    <t xml:space="preserve">Liu, S; Liu, S; Cai, W; Che, H; Pujol, S; Kikinis, R; Feng, D; Fulham, MJ; , </t>
  </si>
  <si>
    <t>10 1162/NECO_a_00682</t>
  </si>
  <si>
    <t xml:space="preserve">Efficient training of convolutional deep belief networks in the frequency domain for application to high-resolution 2D and 3D images </t>
  </si>
  <si>
    <t xml:space="preserve">Deep learning has traditionally been computationally expensive, and advances in training methods have been the prerequisite for improving its efficiency in order to expand its application to a variety of image classification problems  In this letter, we address the problem of efficient training of convolutional deep belief networks by learning the weights in the frequency domain, which eliminates the time-consuming calculation of convolutions  An essential consideration in the design of the algorithm is to minimize the number of transformations to and from frequency space  We have evaluated the running time improvements using two standard benchmark data sets, showing a speed-up of up to 8 times on 2D images and up to 200 times on 3D volumes  Our training algorithm makes training of convolutional deep belief networks on 3D medical images with a resolution of up to 128×128×128 voxels practical, which opens new directions for using deep learning for medical image analysis </t>
  </si>
  <si>
    <t>Neural computation</t>
  </si>
  <si>
    <t>MS/MRI Research Group, Vancouver, BC V6T 2B5, Canada, and Department of Electrical and Computer Engineering, University of British Columbia, Vancouver, BC V6T 1Z4, Canada</t>
    <phoneticPr fontId="0" type="noConversion"/>
  </si>
  <si>
    <t>Brosch, T; Tam, R</t>
  </si>
  <si>
    <t>9426182</t>
  </si>
  <si>
    <t>10 1007/978-3-319-10443-0_39</t>
  </si>
  <si>
    <t xml:space="preserve">Deep learning based imaging data completion for improved brain disease diagnosis </t>
  </si>
  <si>
    <t xml:space="preserve">Combining multi-modality brain data for disease diagnosis commonly leads to improved performance  A challenge in using multimodality data is that the data are commonly incomplete; namely, some modality might be missing for some subjects  In this work, we proposed a deep learning based framework for estimating multi-modality imaging data  Our method takes the form of convolutional neural networks, where the input and output are two volumetric modalities  The network contains a large number of trainable parameters that capture the relationship between input and output modalities  When trained on subjects with all modalities, the network can estimate the output modality given the input modality  We evaluated our method on the Alzheimer's Disease Neuroimaging Initiative (ADNI) database, where the input and output modalities are MRI and PET images, respectively  Results showed that our method significantly outperformed prior methods </t>
  </si>
  <si>
    <t>Department of Computer Science, Old Dominion University, Norfolk, VA, USA</t>
    <phoneticPr fontId="0" type="noConversion"/>
  </si>
  <si>
    <t>Li, R; Zhang, W; Suk, HI; Wang, L; Li, J; Shen, D; Ji, S</t>
  </si>
  <si>
    <t>10 1109/TNNLS 2014 2336852</t>
  </si>
  <si>
    <t xml:space="preserve">Blind image quality assessment via deep learning </t>
  </si>
  <si>
    <t xml:space="preserve">This paper investigates how to blindly evaluate the visual quality of an image by learning rules from linguistic descriptions  Extensive psychological evidence shows that humans prefer to conduct evaluations qualitatively rather than numerically  The qualitative evaluations are then converted into the numerical scores to fairly benchmark objective image quality assessment (IQA) metrics  Recently, lots of learning-based IQA models are proposed by analyzing the mapping from the images to numerical ratings  However, the learnt mapping can hardly be accurate enough because some information has been lost in such an irreversible conversion from the linguistic descriptions to numerical scores  In this paper, we propose a blind IQA model, which learns qualitative evaluations directly and outputs numerical scores for general utilization and fair comparison  Images are represented by natural scene statistics features  A discriminative deep model is trained to classify the features into five grades, corresponding to five explicit mental concepts, i e , excellent, good, fair, poor, and bad  A newly designed quality pooling is then applied to convert the qualitative labels into scores  The classification framework is not only much more natural than the regression-based models, but also robust to the small sample size problem  Thorough experiments are conducted on popular databases to verify the model's effectiveness, efficiency, and robustness  </t>
  </si>
  <si>
    <t>IEEE transactions on neural networks and learning systems</t>
  </si>
  <si>
    <t>School of Electronic Engineering, Xidian
University, 2 South Taibai Road, Xi’an, 710071, Shaanxi, P  R  China</t>
  </si>
  <si>
    <t>Hou, W; Gao, X; Tao, D; Li, X</t>
  </si>
  <si>
    <t>101616214</t>
  </si>
  <si>
    <t>10 1016/j neuroimage 2014 06 077</t>
  </si>
  <si>
    <t xml:space="preserve">Hierarchical feature representation and multimodal fusion with deep learning for AD/MCI diagnosis </t>
  </si>
  <si>
    <t xml:space="preserve">For the last decade, it has been shown that neuroimaging can be a potential tool for the diagnosis of Alzheimer's Disease (AD) and its prodromal stage, Mild Cognitive Impairment (MCI), and also fusion of different modalities can further provide the complementary information to enhance diagnostic accuracy  Here, we focus on the problems of both feature representation and fusion of multimodal information from Magnetic Resonance Imaging (MRI) and Positron Emission Tomography (PET)  To our best knowledge, the previous methods in the literature mostly used hand-crafted features such as cortical thickness, gray matter densities from MRI, or voxel intensities from PET, and then combined these multimodal features by simply concatenating into a long vector or transforming into a higher-dimensional kernel space  In this paper, we propose a novel method for a high-level latent and shared feature representation from neuroimaging modalities via deep learning  Specifically, we use Deep Boltzmann Machine (DBM)(2), a deep network with a restricted Boltzmann machine as a building block, to find a latent hierarchical feature representation from a 3D patch, and then devise a systematic method for a joint feature representation from the paired patches of MRI and PET with a multimodal DBM  To validate the effectiveness of the proposed method, we performed experiments on ADNI dataset and compared with the state-of-the-art methods  In three binary classification problems of AD vs  healthy Normal Control (NC), MCI vs  NC, and MCI converter vs  MCI non-converter, we obtained the maximal accuracies of 95 35%, 85 67%, and 74 58%, respectively, outperforming the competing methods  By visual inspection of the trained model, we observed that the proposed method could hierarchically discover the complex latent patterns inherent in both MRI and PET  </t>
  </si>
  <si>
    <t xml:space="preserve">Department of Radiology and Biomedical Research Imaging Center (BRIC), University of North Carolina at Chapel Hill, NC, USA </t>
  </si>
  <si>
    <t>10 1007/978-3-642-40763-5_80</t>
  </si>
  <si>
    <t xml:space="preserve">Unsupervised deep feature learning for deformable registration of MR brain images </t>
  </si>
  <si>
    <t xml:space="preserve">Establishing accurate anatomical correspondences is critical for medical image registration  Although many hand-engineered features have been proposed for correspondence detection in various registration applications, no features are general enough to work well for all image data  Although many learning-based methods have been developed to help selection of best features for guiding correspondence detection across subjects with large anatomical variations, they are often limited by requiring the known correspondences (often presumably estimated by certain registration methods) as the ground truth for training  To address this limitation, we propose using an unsupervised deep learning approach to directly learn the basis filters that can effectively represent all observed image patches  Then, the coefficients by these learnt basis filters in representing the particular image patch can be regarded as the morphological signature for correspondence detection during image registration  Specifically, a stacked two-layer convolutional network is constructed to seek for the hierarchical representations for each image patch, where the high-level features are inferred from the responses of the low-level network  By replacing the hand-engineered features with our learnt data-adaptive features for image registration, we achieve promising registration results, which demonstrates that a general approach can be built to improve image registration by using data-adaptive features through unsupervised deep learning </t>
  </si>
  <si>
    <t xml:space="preserve">Department of Radiology and BRIC, University of North Carolina at Chapel Hill, USA </t>
  </si>
  <si>
    <t>Wu, G; Kim, M; Wang, Q; Gao, Y; Liao, S; Shen, D</t>
  </si>
  <si>
    <t>10 1007/978-3-642-40763-5_78</t>
  </si>
  <si>
    <t xml:space="preserve">Manifold learning of brain MRIs by deep learning </t>
  </si>
  <si>
    <t xml:space="preserve">Manifold learning of medical images plays a potentially important role for modeling anatomical variability within a population with pplications that include segmentation, registration, and prediction of clinical parameters  This paper describes a novel method for learning the manifold of 3D brain images that, unlike most existing manifold learning methods, does not require the manifold space to be locally linear, and does not require a predefined similarity measure or a prebuilt proximity graph  Our manifold learning method is based on deep learning, a machine learning approach that uses layered networks (called deep belief networks, or DBNs) and has received much attention recently in the computer vision field due to their success in object recognition tasks  DBNs have traditionally been too computationally expensive for application to 3D images due to the large number of trainable parameters  Our primary contributions are (1) a much more computationally efficient training method for DBNs that makes training on 3D medical images with a resolution of up to 128 x 128 x 128 practical, and (2) the demonstration that DBNs can learn a low-dimensional manifold of brain volumes that detects modes of variations that correlate to demographic and disease parameters </t>
  </si>
  <si>
    <t xml:space="preserve">Electrical and Computer Engineering, MS/MRI Research Group, University of British Columbia, Vancouver, Canada </t>
  </si>
  <si>
    <t xml:space="preserve">Brosch, T; Tam, R; , </t>
  </si>
  <si>
    <t>10 1007/978-3-642-40763-5_72</t>
  </si>
  <si>
    <t xml:space="preserve">Deep learning-based feature representation for AD/MCI classification </t>
  </si>
  <si>
    <t xml:space="preserve">In recent years, there has been a great interest in computer-aided diagnosis of Alzheimer's Disease (AD) and its prodromal stage, Mild Cognitive Impairment (MCI)  Unlike the previous methods that consider simple low-level features such as gray matter tissue volumes from MRI, mean signal intensities from PET, in this paper, we propose a deep learning-based feature representation with a stacked auto-encoder  We believe that there exist latent complicated patterns, e g , non-linear relations, inherent in the low-level features  Combining latent information with the original low-level features helps build a robust model for AD/MCI classification with high diagnostic accuracy  Using the ADNI dataset, we conducted experiments showing that the proposed method is 95 9%, 85 0%, and 75 8% accurate for AD, MCI, and MCI-converter diagnosis, respectively </t>
  </si>
  <si>
    <t>Department of Radiology and Biomedical Research Imaging Center, University of North Carolina at Chapel Hill , USA</t>
  </si>
  <si>
    <t>Suk, HI; Shen, D</t>
  </si>
  <si>
    <t>10 1007/978-3-642-40763-5_50</t>
  </si>
  <si>
    <t xml:space="preserve">A deep learning architecture for image representation, visual interpretability and automated basal-cell carcinoma cancer detection </t>
  </si>
  <si>
    <t xml:space="preserve">This paper presents and evaluates a deep learning architecture for automated basal cell carcinoma cancer detection that integrates (1) image representation learning, (2) image classification and (3) result interpretability  A novel characteristic of this approach is that it extends the deep learning architecture to also include an interpretable layer that highlights the visual patterns that contribute to discriminate between cancerous and normal tissues patterns, working akin to a digital staining which spotlights image regions important for diagnostic decisions  Experimental evaluation was performed on set of 1,417 images from 308 regions of interest of skin histopathology slides, where the presence of absence of basal cell carcinoma needs to be determined  Different image representation strategies, including bag of features (BOF), canonical (discrete cosine transform (DCT) and Haar-based wavelet transform (Haar)) and proposed learned-from-data representations, were evaluated for comparison  Experimental results show that the representation learned from a large histology image data set has the best overall performance (89 4% in F-measure and 91 4% in balanced accuracy), which represents an improvement of around 7% over canonical representations and 3% over the best equivalent BOF representation </t>
  </si>
  <si>
    <t>MindLab Research Group, Universidad Nacional de Colombia, Bogota, Colombia</t>
  </si>
  <si>
    <t>Cruz-Roa, AA; Arevalo Ovalle, JE; Madabhushi, A; González Osorio, FA</t>
  </si>
  <si>
    <t>10 1007/978-3-642-40763-5_32</t>
  </si>
  <si>
    <t xml:space="preserve">Representation learning: a unified deep learning framework for automatic prostate MR segmentation </t>
  </si>
  <si>
    <t xml:space="preserve">Image representation plays an important role in medical image analysis  The key to the success of different medical image analysis algorithms is heavily dependent on how we represent the input data, namely features used to characterize the input image  In the literature, feature engineering remains as an active research topic, and many novel hand-crafted features are designed such as Haar wavelet, histogram of oriented gradient, and local binary patterns  However, such features are not designed with the guidance of the underlying dataset at hand  To this end, we argue that the most effective features should be designed in a learning based manner, namely representation learning, which can be adapted to different patient datasets at hand  In this paper, we introduce a deep learning framework to achieve this goal  Specifically, a stacked independent subspace analysis (ISA) network is adopted to learn the most effective features in a hierarchical and unsupervised manner  The learnt features are adapted to the dataset at hand and encode high level semantic anatomical information  The proposed method is evaluated on the application of automatic prostate MR segmentation  Experimental results show that significant segmentation accuracy improvement can be achieved by the proposed deep learning method compared to other state-of-the-art segmentation approaches </t>
  </si>
  <si>
    <t>Liao, S; Gao, Y; Oto, A; Shen, D</t>
  </si>
  <si>
    <t>10 1007/978-3-642-40763-5_31</t>
  </si>
  <si>
    <t xml:space="preserve">Deep feature learning for knee cartilage segmentation using a triplanar convolutional neural network </t>
  </si>
  <si>
    <t xml:space="preserve">Segmentation of anatomical structures in medical images is often based on a voxel/pixel classification approach  Deep learning systems, such as convolutional neural networks (CNNs), can infer a hierarchical representation of images that fosters categorization  We propose a novel system for voxel classification integrating three 2D CNNs, which have a one-to-one association with the xy, yz and zx planes of 3D image, respectively  We applied our method to the segmentation of tibial cartilage in low field knee MRI scans and tested it on 114 unseen scans  Although our method uses only 2D features at a single scale, it performs better than a state-of-the-art method using 3D multi-scale features  In the latter approach, the features and the classifier have been carefully adapted to the problem at hand  That we were able to get better results by a deep learning architecture that autonomously learns the features from the images is the main insight of this study </t>
  </si>
  <si>
    <t xml:space="preserve">Department of Computer Science, University of Copenhagen, Denmark </t>
  </si>
  <si>
    <t>Prasoon, A; Petersen, K; Igel, C; Lauze, F; Dam, E; Nielsen, M</t>
  </si>
  <si>
    <t>10 4137/CIN S14053</t>
  </si>
  <si>
    <t xml:space="preserve">Medical Image Retrieval: A Multimodal Approach </t>
  </si>
  <si>
    <t xml:space="preserve">Medical imaging is becoming a vital component of war on cancer  Tremendous amounts of medical image data are captured and recorded in a digital format during cancer care and cancer research  Facing such an unprecedented volume of image data with heterogeneous image modalities, it is necessary to develop effective and efficient content-based medical image retrieval systems for cancer clinical practice and research  While substantial progress has been made in different areas of content-based image retrieval (CBIR) research, direct applications of existing CBIR techniques to the medical images produced unsatisfactory results, because of the unique characteristics of medical images  In this paper, we develop a new multimodal medical image retrieval approach based on the recent advances in the statistical graphic model and deep learning  Specifically, we first investigate a new extended probabilistic Latent Semantic Analysis model to integrate the visual and textual information from medical images to bridge the semantic gap  We then develop a new deep Boltzmann machine-based multimodal learning model to learn the joint density model from multimodal information in order to derive the missing modality  Experimental results with large volume of real-world medical images have shown that our new approach is a promising solution for the next-generation medical imaging indexing and retrieval system  </t>
  </si>
  <si>
    <t>Cancer informatics</t>
  </si>
  <si>
    <t xml:space="preserve">Department of Computer Science, The University of Massachusetts Lowell, Lowell, MA, USA </t>
  </si>
  <si>
    <t>Cao, Y; Steffey, S; He, J; Xiao, D; Tao, C; Chen, P; Müller, H</t>
  </si>
  <si>
    <t>101258149</t>
  </si>
  <si>
    <t>10 1109/TPAMI 2013 96</t>
  </si>
  <si>
    <t xml:space="preserve">Combining multiple dynamic models and deep learning architectures for tracking the left ventricle endocardium in ultrasound data </t>
  </si>
  <si>
    <t xml:space="preserve">We present a new statistical pattern recognition approach for the problem of left ventricle endocardium tracking in ultrasound data  The problem is formulated as a sequential importance resampling algorithm such that the expected segmentation of the current time step is estimated based on the appearance, shape, and motion models that take into account all previous and current images and previous segmentation contours produced by the method  The new appearance and shape models decouple the affine and nonrigid segmentations of the left ventricle to reduce the running time complexity  The proposed motion model combines the systole and diastole motion patterns and an observation distribution built by a deep neural network  The functionality of our approach is evaluated using a dataset of diseased cases containing 16 sequences and another dataset of normal cases comprised of four sequences, where both sets present long axis views of the left ventricle  Using a training set comprised of diseased and healthy cases, we show that our approach produces more accurate results than current state-of-the-art endocardium tracking methods in two test sequences from healthy subjects  Using three test sequences containing different types of cardiopathies, we show that our method correlates well with interuser statistics produced by four cardiologists  </t>
  </si>
  <si>
    <t>AUSTRALIA</t>
  </si>
  <si>
    <t>University of Adelaide, Adelaide , AUSTRALIA</t>
  </si>
  <si>
    <t>Carneiro, G; Nascimento, JC</t>
  </si>
  <si>
    <t>10 1109/TPAMI 2012 277</t>
  </si>
  <si>
    <t xml:space="preserve">Stacked autoencoders for unsupervised feature learning and multiple organ detection in a pilot study using 4D patient data </t>
  </si>
  <si>
    <t xml:space="preserve">Medical image analysis remains a challenging application area for artificial intelligence  When applying machine learning, obtaining ground-truth labels for supervised learning is more difficult than in many more common applications of machine learning  This is especially so for datasets with abnormalities, as tissue types and the shapes of the organs in these datasets differ widely  However, organ detection in such an abnormal dataset may have many promising potential real-world applications, such as automatic diagnosis, automated radiotherapy planning, and medical image retrieval, where new multimodal medical images provide more information about the imaged tissues for diagnosis  Here, we test the application of deep learning methods to organ identification in magnetic resonance medical images, with visual and temporal hierarchical features learned to categorize object classes from an unlabeled multimodal DCE-MRI dataset so that only a weakly supervised training is required for a classifier  A probabilistic patch-based method was employed for multiple organ detection, with the features learned from the deep learning model  This shows the potential of the deep learning model for application to medical images, despite the difficulty of obtaining libraries of correctly labeled training datasets and despite the intrinsic abnormalities present in patient datasets  </t>
  </si>
  <si>
    <t>Institute of Cancer Rearch Royal Marsden NHS Foundation Trust, Sutton, United Kingdom  hoo shin@icr ac uk</t>
  </si>
  <si>
    <t>Shin, HC; Orton, MR; Collins, DJ; Doran, SJ; Leach, MO</t>
  </si>
  <si>
    <t>10 1109/TBME 2013 2268538</t>
  </si>
  <si>
    <t xml:space="preserve">Visual feature extraction from voxel-weighted averaging of stimulus images in 2 fMRI studies </t>
  </si>
  <si>
    <t xml:space="preserve">Multiple studies have provided evidence for distributed object representation in the brain, with several recent experiments leveraging basis function estimates for partial image reconstruction from fMRI data  Using a novel combination of statistical decomposition, generalized linear models, and stimulus averaging on previously examined image sets and Bayesian regression of recorded fMRI activity during presentation of these data sets, we identify a subset of relevant voxels that appear to code for covarying object features  Using a technique we term "voxel-weighted averaging," we isolate image filters that these voxels appear to implement  The results, though very cursory, appear to have significant implications for hierarchical and deep-learning-type approaches toward the understanding of neural coding and representation  </t>
  </si>
  <si>
    <t>DEEP LEARNING METHOD</t>
  </si>
  <si>
    <t>Advanced Technology and Innovations, Lockheed
Martin, King of Prussia, PA 19406 USA</t>
    <phoneticPr fontId="0" type="noConversion"/>
  </si>
  <si>
    <t>Hart, CB; Rose, WJ</t>
  </si>
  <si>
    <t>10 1109/TIP 2011 2169273</t>
  </si>
  <si>
    <t xml:space="preserve">The segmentation of the left ventricle of the heart from ultrasound data using deep learning architectures and derivative-based search methods </t>
  </si>
  <si>
    <t xml:space="preserve">We present a new supervised learning model designed for the automatic segmentation of the left ventricle (LV) of the heart in ultrasound images  We address the following problems inherent to supervised learning models: 1) the need of a large set of training images; 2) robustness to imaging conditions not present in the training data; and 3) complex search process  The innovations of our approach reside in a formulation that decouples the rigid and nonrigid detections, deep learning methods that model the appearance of the LV, and efficient derivative-based search algorithms  The functionality of our approach is evaluated using a data set of diseased cases containing 400 annotated images (from 12 sequences) and another data set of normal cases comprising 80 annotated images (from two sequences), where both sets present long axis views of the LV  Using several error measures to compute the degree of similarity between the manual and automatic segmentations, we show that our method not only has high sensitivity and specificity but also presents variations with respect to a gold standard (computed from the manual annotations of two experts) within interuser variability on a subset of the diseased cases  We also compare the segmentations produced by our approach and by two state-of-the-art LV segmentation models on the data set of normal cases, and the results show that our approach produces segmentations that are comparable to these two approaches using only 20 training images and increasing the training set to 400 images causes our approach to be generally more accurate  Finally, we show that efficient search methods reduce up to tenfold the complexity of the method while still producing competitive segmentations  In the future, we plan to include a dynamical model to improve the performance of the algorithm, to use semisupervised learning methods to reduce even more the dependence on rich and large training sets, and to design a shape model less dependent on the training set </t>
  </si>
  <si>
    <t xml:space="preserve">Australian Centre for Visual Technologies, University of Adelaide, Adelaide, SA 5005, Australia </t>
  </si>
  <si>
    <t>Carneiro, G; Nascimento, JC; Freitas, A</t>
  </si>
  <si>
    <t>10 1016/j trci 2019 10 001</t>
  </si>
  <si>
    <t xml:space="preserve">Convolution neural network-based Alzheimer's disease classification using hybrid enhanced independent component analysis based segmented gray matter of T2 weighted magnetic resonance imaging with clinical valuation </t>
  </si>
  <si>
    <t xml:space="preserve">In recent times, accurate and early diagnosis of Alzheimer's disease (AD) plays a vital role in patient care and further treatment  Predicting AD from mild cognitive impairment (MCI) and cognitive normal (CN) has become popular  Neuroimaging and computer-aided diagnosis techniques are used for classification of AD by physicians in the early stage  Most of the previous machine learning techniques work on handpicked features  In the recent days, deep learning has been applied for many medical image applications  Existing deep learning systems work on raw magnetic resonance imaging (MRI) images and cortical surface as an input to the convolution neural network (CNN) to perform classification of AD  AD affects the brain volume and changes the gray matter texture  In our work, we used 1820 T2-weighted brain magnetic resonance volumes including 635 AD MRIs, 548 MCI MRIs, and 637 CN MRIs, sliced into 18,017 voxels  We proposed an approach to extract the gray matter from brain voxels and perform the classification using the CNN  A Gaussian filter is used to enhance the voxels, and skull stripping algorithm is used to remove the irrelevant tissues from enhanced voxels  Then, those voxels are segmented by hybrid enhanced independent component analysis  Segmented gray matter is used as an input to the CNN  We performed clinical valuation using our proposed approach and achieved 90 47% accuracy, 86 66% of recall, and 92 59% precision </t>
  </si>
  <si>
    <t xml:space="preserve">Department of ECE, Acharya Nagarjuna University College of Engineering and Technology, Guntur, India </t>
  </si>
  <si>
    <t>Basheera, S; Sai Ram, MS</t>
  </si>
  <si>
    <t>10 1109/TMI 2019 2963248</t>
  </si>
  <si>
    <t xml:space="preserve">Quadratic Autoencoder (Q-AE) for Low-dose CT Denoising </t>
  </si>
  <si>
    <t xml:space="preserve">Inspired by complexity and diversity of biological neurons, our group proposed quadratic neurons by replacing the inner product in current artificial neurons with a quadratic operation on input data, thereby enhancing the capability of an individual neuron  Along this direction, we are motivated to evaluate the power of quadratic neurons in popular network architectures, simulating human-like learning in the form of "quadratic-neuron-based deep learning"  Our prior theoretical studies have shown important merits of quadratic neurons and networks in representation, efficiency, and interpretability  In this paper, we use quadratic neurons to construct an encoder-decoder structure, referred as the quadratic autoencoder, and apply it to low-dose CT denoising  The experimental results on the Mayo low-dose CT dataset demonstrate the utility and robustness of quadratic autoencoder in terms of image denoising and model efficiency  To our best knowledge, this is the first time that the deep learning approach is implemented with a new type of neurons and demonstrates a significant potential in the medical imaging field </t>
  </si>
  <si>
    <t>AUTOENCODER,CNN,VGG,GAN</t>
  </si>
  <si>
    <t>Department of Biomedical
Engineering, Rensselaer Polytechnic Institute, Troy, NY, USA</t>
    <phoneticPr fontId="0" type="noConversion"/>
  </si>
  <si>
    <t>Fan, F; Shan, H; Kalra, MK; Singh, R; Qian, G; Getzin, M; Teng, Y; Hahn, J; Wang, G</t>
  </si>
  <si>
    <t>10 1109/TMI 2019 2962792</t>
  </si>
  <si>
    <t xml:space="preserve">Anatomical Attention Guided Deep Networks for ROI Segmentation of Brain MR Images </t>
  </si>
  <si>
    <t xml:space="preserve">Brain region-of-interest (ROI) segmentation based on structural magnetic resonance imaging (MRI) scans is an essential step for many computer-aid medical image analysis applications  Due to low intensity contrast around ROI boundary and large inter-subject variance, it has been remaining a challenging task to effectively segment brain ROIs from structural MR images  Even though several deep learning methods for brain MR image segmentation have been developed, most of them do not incorporate shape priors to take advantage of the regularity of brain structures, thus leading to sub-optimal performance  To address this issue, we propose an anatomical attention guided deep learning framework for brain ROI segmentation of structural MR images, containing two subnetworks  The first one is a segmentation subnetwork, used to simultaneously extract discriminative image representation and segment ROIs for each input MR image  The second one is an anatomical attention subnetwork, designed to capture the anatomical structure information of the brain from a set of labeled atlases  To utilize the anatomical attention knowledge learned from atlases, we develop an anatomical gate architecture to fuse feature maps derived from a set of atlas label maps and those from the to-be-segmented image for brain ROI segmentation  In this way, the anatomical prior learned from atlases can be explicitly employed to guide the segmentation process for performance improvement  Within this framework, we develop two anatomical attention guided segmentation models, denoted as anatomical gated fully convolutional network (AG-FCN) and anatomical gated U-Net (AG-UNet), respectively  Experimental results on both ADNI and LONI-LPBA40 datasets suggest that the proposed AG-FCN and AG-UNet methods achieve superior performance in ROI segmentation of brain MR images, compared with several state-of-the-art methods </t>
  </si>
  <si>
    <t>College of Computer
Science and Technology, Nanjing University of Aeronautics and Astronautics,
MIIT Key Laboratory of Pattern Analysis and Machine Intelligence, Nanjing
211106, China</t>
    <phoneticPr fontId="0" type="noConversion"/>
  </si>
  <si>
    <t>Sun, L; Shao, W; Zhang, D; Liu, M</t>
  </si>
  <si>
    <t>10 1016/j cmpb 2019 105282</t>
  </si>
  <si>
    <t xml:space="preserve">Fully automatic estimation of pelvic sagittal inclination from anterior-posterior radiography image using deep learning framework </t>
  </si>
  <si>
    <t xml:space="preserve">Malposition of the acetabular component causes dislocation and prosthetic impingement after Total Hip Arthroplasty (THA), which significantly affects the postoperative quality of life and implant longevity  The position of the acetabular component is determined by the Pelvic Sagittal Inclination (PSI), which not only varies among different people but also changes in different positions  It is important to recognize individual dynamic changes of the PSI for patient-specific planning of the THA  Previously PSI was estimated by registering the CT and radiography images  In this study, we introduce a new method for accurate estimation of functional PSI without requiring CT image in order to lower radiation exposure of the patient which opens up the possibility of increasing its application in a larger number of hospitals where CT is not acquired as a routine protocol The proposed method consists of two main steps: First, the Mask R-CNN framework was employed to segment the pelvic shape from the background in the radiography images  Then, following the segmentation network, another convolutional network regressed the PSI angle  We employed a transfer learning paradigm where the network weights were initialized by non-medical images followed by fine-tuning using radiography images  Furthermore, in the training process, augmented data was generated to improve the performance of both networks  We analyzed the role of segmentation network in our system and investigated the Mask R-CNN performance in comparison with the U-Net, which is commonly used for the medical image segmentation In this study, the Mask R-CNN utilizing multi-task learning, transfer learning, and data augmentation techniques achieve 0 960 ± 0 008 DICE coefficient, which significantly outperforms the U-Net  The cascaded system is capable of estimating the PSI with 4 04° ± 3 39° error for the radiography images The proposed framework suggests a fully automatic and robust estimation of the PSI using only an anterior-posterior radiography image </t>
  </si>
  <si>
    <t xml:space="preserve">School of Electrical and Computer Engineering, University College of Engineering, University of Tehran, North Kargar st , Tehran 1439957131, Iran ; Graduate School of Information Science, Nara Institute of Science and Technology, 8916-5 Takayama-cho, Ikoma, Nara 630-0192, Japan  Electronic address: ata jodeiri@ut ac ir </t>
  </si>
  <si>
    <t>Jodeiri, A; Zoroofi, RA; Hiasa, Y; Takao, M; Sugano, N; Sato, Y; Otake, Y</t>
  </si>
  <si>
    <t>10 1016/j cmpb 2019 105268</t>
  </si>
  <si>
    <t xml:space="preserve">Image generation by GAN and style transfer for agar plate image segmentation </t>
  </si>
  <si>
    <t xml:space="preserve">Deep learning models and specifically Convolutional Neural Networks (CNNs) are becoming the leading approach in many computer vision tasks, including medical image analysis  Nevertheless, the CNN training usually requires large sets of supervised data, which are often difficult and expensive to obtain in the medical field  To address the lack of annotated images, image generation is a promising method, which is becoming increasingly popular in the computer vision community  In this paper, we present a new approach to the semantic segmentation of bacterial colonies in agar plate images, based on deep learning and synthetic image generation, to increase the training set size  Indeed, semantic segmentation of bacterial colony is the basis for infection recognition and bacterial counting in Petri plate analysis A convolutional neural network (CNN) is used to separate the bacterial colonies from the background  To face the lack of annotated images, a novel engine is designed - which exploits a generative adversarial network to capture the typical distribution of the bacterial colonies on agar plates - to generate synthetic data  Then, bacterial colony patches are superimposed on existing background images, taking into account both the local appearance of the background and the intrinsic opacity of the bacterial colonies, and a style transfer algorithm is used for further improve visual realism The proposed deep learning approach has been tested on the only public dataset available with pixel-level annotations for bacterial colony semantic segmentation in agar plates  The role of including synthetic data in the training of a segmentation CNN has been evaluated, showing how comparable performances can be obtained with respect to the use of real images  Qualitative results are also reported for a second public dataset in which the segmentation annotations are not provided The use of a small set of real data, together with synthetic images, allows obtaining comparable results with respect to using a complete set of real images  Therefore, the proposed synthetic data generator is able to address the scarcity of biomedical data and provides a scalable and cheap alternative to human ground-truth supervision </t>
  </si>
  <si>
    <t>CNN,GAN,FCN</t>
  </si>
  <si>
    <t xml:space="preserve">Department of Information Engineering and Mathematics, University of Siena, Via Roma 56, Siena, Italy  Electronic address: paolo andreini@unisi it </t>
    <phoneticPr fontId="0" type="noConversion"/>
  </si>
  <si>
    <t>Andreini, P; Bonechi, S; Bianchini, M; Mecocci, A; Scarselli, F</t>
  </si>
  <si>
    <t>10 1038/s41746-019-0199-5</t>
  </si>
  <si>
    <t xml:space="preserve">Non-contact physiological monitoring of preterm infants in the Neonatal Intensive Care Unit </t>
  </si>
  <si>
    <t xml:space="preserve">The implementation of video-based non-contact technologies to monitor the vital signs of preterm infants in the hospital presents several challenges, such as the detection of the presence or the absence of a patient in the video frame, robustness to changes in lighting conditions, automated identification of suitable time periods and regions of interest from which vital signs can be estimated  We carried out a clinical study to evaluate the accuracy and the proportion of time that heart rate and respiratory rate can be estimated from preterm infants using only a video camera in a clinical environment, without interfering with regular patient care  A total of 426 6 h of video and reference vital signs were recorded for 90 sessions from 30 preterm infants in the Neonatal Intensive Care Unit (NICU) of the John Radcliffe Hospital in Oxford  Each preterm infant was recorded under regular ambient light during daytime for up to four consecutive days  We developed multi-task deep learning algorithms to automatically segment skin areas and to estimate vital signs only when the infant was present in the field of view of the video camera and no clinical interventions were undertaken  We propose signal quality assessment algorithms for both heart rate and respiratory rate to discriminate between clinically acceptable and noisy signals  The mean absolute error between the reference and camera-derived heart rates was 2 3 beats/min for over 76% of the time for which the reference and camera data were valid  The mean absolute error between the reference and camera-derived respiratory rate was 3 5 breaths/min for over 82% of the time  Accurate estimates of heart rate and respiratory rate could be derived for at least 90% of the time, if gaps of up to 30 seconds with no estimates were allowed </t>
  </si>
  <si>
    <t>CNN,VGG,RESNET</t>
  </si>
  <si>
    <t xml:space="preserve">1Institute of Biomedical Engineering, Department of Engineering Science, University of Oxford, Oxford, UK </t>
  </si>
  <si>
    <t>Villarroel, M; Chaichulee, S; Jorge, J; Davis, S; Green, G; Arteta, C; Zisserman, A; McCormick, K; Watkinson, P; Tarassenko, L</t>
  </si>
  <si>
    <t>10 1167/tvst 8 6 37</t>
  </si>
  <si>
    <t xml:space="preserve">A Deep Learning Approach for Meibomian Gland Atrophy Evaluation in Meibography Images </t>
  </si>
  <si>
    <t xml:space="preserve">To develop a deep learning approach to digitally segmenting meibomian gland atrophy area and computing percent atrophy in meibography images A total of 706 meibography images with corresponding meiboscores were collected and annotated for each one with eyelid and atrophy regions  The dataset was then divided into the development and evaluation sets  The development set was used to train and tune the deep learning model, while the evaluation set was used to evaluate the performance of the model Four hundred ninety-seven meibography images were used for training and tuning the deep learning model while the remaining 209 images were used for evaluations  The algorithm achieves 95 6% meiboscore grading accuracy on average, largely outperforming the lead clinical investigator (LCI) by 16 0% and the clinical team by 40 6%  Our algorithm also achieves 97 6% and 95 4% accuracy for eyelid and atrophy segmentations, respectively, as well as 95 5% and 66 7% mean intersection over union accuracies (mean IU), respectively  The average root-mean-square deviation (RMSD) of the percent atrophy prediction is 6 7% The proposed deep learning approach can automatically segment the total eyelid and meibomian gland atrophy regions, as well as compute percent atrophy with high accuracy and consistency  This provides quantitative information of the gland atrophy severity based on meibography images Based on deep neural networks, the study presents an accurate and consistent gland atrophy evaluation method for meibography images, and may contribute to improved understanding of meibomian gland dysfunction </t>
  </si>
  <si>
    <t>CNN,squeezeNet,resnet</t>
  </si>
  <si>
    <t xml:space="preserve">Vision Science Graduate Group, University of California, Berkley, CA, USA </t>
  </si>
  <si>
    <t>Wang, J; Yeh, TN; Chakraborty, R; Yu, SX; Lin, MC</t>
  </si>
  <si>
    <t>10 1002/mp 13978</t>
  </si>
  <si>
    <t xml:space="preserve">Synthetic CT Generation from CBCT images via Deep Learning </t>
  </si>
  <si>
    <t xml:space="preserve">Cone-beam computed tomography (CBCT) scanning is used daily or weekly (i e , on-treatment CBCT) for accurate patient setup in image-guided radiotherapy  However, inaccuracy of CT numbers prevents CBCT from performing advanced tasks such as dose calculation and treatment planning  Motivated by the promising performance of deep learning in medical imaging, we propose a deep U-net-based approach that synthesizes CT-like images with accurate numbers from planning CT, while keeping the same anatomical structure as on-treatment CBCT We formulated the CT synthesis problem under a deep learning framework, where a deep U-net architecture was used to take advantage of the anatomical structure of on-treatment CBCT and image intensity information of planning CT  U-net was chosen because it exploits both global and local features in the image spatial domain, matching our task to suppress global scattering artifacts and local artifacts such as noise in CBCT  To train the synthetic CT generation U-net (sCTU-net), we include on-treatment CBCT and initial planning CT of 37 patients (30 for training, 7 for validation) as the input  Additional replanning CT images acquired on the same day as CBCT after deformable registration are utilized as the corresponding reference  To demonstrate the effectiveness of the proposed sCTU-net, we use another seven independent patient cases (560 slices) for testing We quantitatively compared the resulting synthetic CT (sCT) with the original CBCT image using deformed same-day pCT images as reference  The averaged accuracy measured by mean-absolute-error (MAE) between sCT and rCT on testing data is 18 98 HU, while MAE between CBCT and rCT is 44 38 HU The proposed sCTU-net can synthesize CT-quality images with accurate CT numbers from on-treatment CBCT and planning CT  This potentially enables advanced CBCaT applications for adaptive treatment planning </t>
  </si>
  <si>
    <t>Unet</t>
    <phoneticPr fontId="0" type="noConversion"/>
  </si>
  <si>
    <t xml:space="preserve">Medical Artificial Intelligence and Automation (MAIA) Lab, Department of Radiation Oncology, University of Texas Southwestern Medical Center, Dallas, TX, 75390, USA </t>
  </si>
  <si>
    <t>Chen, L; Liang, X; Shen, C; Jiang, S; Wang, J</t>
  </si>
  <si>
    <t>10 1007/s00056-019-00203-8</t>
  </si>
  <si>
    <t xml:space="preserve">Artificial intelligence in orthodontics : Evaluation of a fully automated cephalometric analysis using a customized convolutional neural network </t>
  </si>
  <si>
    <t xml:space="preserve">The aim of this investigation was to create an automated cephalometric X‑ray analysis using a specialized artificial intelligence (AI) algorithm  We compared the accuracy of this analysis to the current gold standard (analyses performed by human experts) to evaluate precision and clinical application of such an approach in orthodontic routine For training of the network, 12 experienced examiners identified 18 landmarks on a total of 1792 cephalometric X‑rays  To evaluate quality of the predictions of the AI, both AI and each examiner analyzed 12 commonly used orthodontic parameters on a basis of 50 cephalometric X‑rays that were not part of the training data for the AI  Median values of the 12 examiners for each parameter were defined as humans' gold standard and compared to the AI's predictions There were almost no statistically significant differences between humans' gold standard and the AI's predictions  Differences between the two analyses do not seem to be clinically relevant We created an AI algorithm able to analyze unknown cephalometric X‑rays at almost the same quality level as experienced human examiners (current gold standard)  This study is one of the first to successfully enable implementation of AI into dentistry, in particular orthodontics, satisfying medical requirements </t>
  </si>
  <si>
    <t xml:space="preserve">Poliklinik für Kieferorthopädie, Universitätsklinikum Würzburg, Pleicherwall 2, 97070, Würzburg, Germany </t>
  </si>
  <si>
    <t>Kunz, F; Stellzig-Eisenhauer, A; Zeman, F; Boldt, J</t>
  </si>
  <si>
    <t>10 1364/BOE 10 006204</t>
  </si>
  <si>
    <t xml:space="preserve">Deep learning-based automated detection of retinal diseases using optical coherence tomography images </t>
  </si>
  <si>
    <t xml:space="preserve">Retinal disease classification is a significant problem in computer-aided diagnosis (CAD) for medical applications  This paper is focused on a 4-class classification problem to automatically detect choroidal neovascularization (CNV), diabetic macular edema (DME), DRUSEN, and NORMAL in optical coherence tomography (OCT) images  The proposed classification algorithm adopted an ensemble of four classification model instances to identify retinal OCT images, each of which was based on an improved residual neural network (ResNet50)  The experiment followed a patient-level 10-fold cross-validation process, on development retinal OCT image dataset  The proposed approach achieved 0 973 (95% confidence interval [CI], 0 971-0 975) classification accuracy, 0 963 (95% CI, 0 960-0 966) sensitivity, and 0 985 (95% CI, 0 983-0 987) specificity at the B-scan level, achieving a matching or exceeding performance to that of ophthalmologists with significant clinical experience  Other performance measures used in the study were the area under receiver operating characteristic curve (AUC) and kappa value  The observations of the study implied that multi-ResNet50 ensembling was a useful technique when the availability of medical images was limited  In addition, we performed qualitative evaluation of model predictions, and occlusion testing to understand the decision-making process of our model  The paper provided an analytical discussion on misclassification and pathology regions identified by the occlusion testing also  Finally, we explored the effect of the integration of retinal OCT images and medical history data from patients on model performance </t>
  </si>
  <si>
    <t>CNN,resnet</t>
  </si>
  <si>
    <t xml:space="preserve">School of Optical-Electrical and Computer Engineering, University of Shanghai for Science and Technology, Shanghai 200093, China </t>
  </si>
  <si>
    <t>Li, F; Chen, H; Liu, Z; Zhang, XD; Jiang, MS; Wu, ZZ; Zhou, KQ</t>
  </si>
  <si>
    <t>10 1038/s41467-019-13647-8</t>
  </si>
  <si>
    <t xml:space="preserve">Automated acquisition of explainable knowledge from unannotated histopathology images </t>
  </si>
  <si>
    <t xml:space="preserve">Deep learning algorithms have been successfully used in medical image classification  In the next stage, the technology of acquiring explainable knowledge from medical images is highly desired  Here we show that deep learning algorithm enables automated acquisition of explainable features from diagnostic annotation-free histopathology images  We compare the prediction accuracy of prostate cancer recurrence using our algorithm-generated features with that of diagnosis by expert pathologists using established criteria on 13,188 whole-mount pathology images consisting of over 86 billion image patches  Our method not only reveals findings established by humans but also features that have not been recognized, showing higher accuracy than human in prognostic prediction  Combining both our algorithm-generated features and human-established criteria predicts the recurrence more accurately than using either method alone  We confirm robustness of our method using external validation datasets including 2276 pathology images  This study opens up fields of machine learning analysis for discovering uncharted knowledge </t>
  </si>
  <si>
    <t>DNN,AUTOENCODER</t>
  </si>
  <si>
    <t xml:space="preserve">Pathology Informatics Team, RIKEN Center for Advanced Intelligence Project, Nihonbashi 1-chome Mitsui Bldg  15F, 1-4-1 Nihonbashi, Chuo-ku, Tokyo, 103-0027, Japan </t>
  </si>
  <si>
    <t>Yamamoto, Y; Tsuzuki, T; Akatsuka, J; Ueki, M; Morikawa, H; Numata, Y; Takahara, T; Tsuyuki, T; Tsutsumi, K; Nakazawa, R; Shimizu, A; Maeda, I; Tsuchiya, S; Kanno, H; Kondo, Y; Fukumoto, M; Tamiya, G; Ueda, N; Kimura, G</t>
  </si>
  <si>
    <t>10 12122/j issn 1673-4254 2019 11 09</t>
  </si>
  <si>
    <t xml:space="preserve">[Sparse-view CT image restoration via multiscale wavelet residual network] </t>
  </si>
  <si>
    <t xml:space="preserve">Sparse-view CT has the advantages of accelerated data collection and reduced radiation dose, but data missing arising from the data collection process causes serious streaking artifact and noise in the images reconstructed using the traditional filtering back projection algorithm (FBP)  To solve this problem, we propose a multi-scale wavelet residual network (MWResNet) to restore sparse-view CT images The MWResNet was based on the combination of deep learning and traditional model in MWCNN, and the wavelet network was combined with the residual block to enhance the network's ability to embed image features and speed up network training  The network proposed herein was trained using the real spiral geometry CT image data, namely the Low-dose CT Grand Challenge dataset  The results of the proposed networks were visually and quantitatively compared to that by other existing networks, including the image restoration iterative residual convolution network (IRLNet), residual coding-decoding convolutional neural network (REDCNN) and the FBP convolutional neural network (FBPConvNet) The results demonstrated that the proposed method was superior to other competing methods in terms of visual inspection and quantitative comparison The MWResNet network is an effective method for suppressing noise and artifacts and maintaining edges details in the sparse-view CT images </t>
  </si>
  <si>
    <t>CNN-RESNET</t>
  </si>
  <si>
    <t xml:space="preserve">School of Biomedical Engineering, Southern Medical University, Guangzhou 510515, China </t>
  </si>
  <si>
    <t>Wei, Z; Wang, Y; Tao, X; Jia, X; Bian, Z; Chen, G; Li, M; Ma, K; Li, B; Ma, J</t>
  </si>
  <si>
    <t>10 1007/s10278-019-00269-1</t>
  </si>
  <si>
    <t xml:space="preserve">Hybrid Transfer Learning for Classification of Uterine Cervix Images for Cervical Cancer Screening </t>
  </si>
  <si>
    <t xml:space="preserve">Transfer learning using deep pre-trained convolutional neural networks is increasingly used to solve a large number of problems in the medical field  In spite of being trained using images with entirely different domain, these networks are flexible to adapt to solve a problem in a different domain too  Transfer learning involves fine-tuning a pre-trained network with optimal values of hyperparameters such as learning rate, batch size, and number of training epochs  The process of training the network identifies the relevant features for solving a specific problem  Adapting the pre-trained network to solve a different problem requires fine-tuning until relevant features are obtained  This is facilitated through the use of large number of filters present in the convolutional layers of pre-trained network  A very few features out of these features are useful for solving the problem in a different domain, while others are irrelevant, use of which may only reduce the efficacy of the network  However, by minimizing the number of filters required to solve the problem, the efficiency of the training the network can be improved  In this study, we consider identification of relevant filters using the pre-trained networks namely AlexNet and VGG-16 net to detect cervical cancer from cervix images  This paper presents a novel hybrid transfer learning technique, in which a CNN is built and trained from scratch, with initial weights of only those filters which were identified as relevant using AlexNet and VGG-16 net  This study used 2198 cervix images with 1090 belonging to negative class and 1108 to positive class  Our experiment using hybrid transfer learning achieved an accuracy of 91 46% </t>
  </si>
  <si>
    <t xml:space="preserve">Manipal School of Information Sciences, Manipal Academy of Higher Education, Manipal, 576104, India </t>
  </si>
  <si>
    <t>Kudva, V; Prasad, K; Guruvare, S</t>
  </si>
  <si>
    <t>10 1109/TMI 2019 2959209</t>
  </si>
  <si>
    <t xml:space="preserve">On Modelling Label Uncertainty in Deep Neural Networks: Automatic Estimation of Intra-observer Variability in 2D Echocardiography Quality Assessment </t>
  </si>
  <si>
    <t xml:space="preserve">Uncertainty of labels in clinical data resulting from intra-observer variability can have direct impact on the reliability of assessments made by deep neural networks  In this paper, we propose a method for modelling such uncertainty in the context of 2D echocardiography (echo), which is a routine procedure for detecting cardiovascular disease at point-of-care  Echo imaging quality and acquisition time is highly dependent on the operator's experience level  Recent developments have shown the possibility of automating echo image quality quantification by mapping an expert's assessment of quality to the echo image via deep learning techniques  Nevertheless, the observer variability in the expert's assessment can impact the quality quantification accuracy  Here, we aim to model the intra-observer variability in echo quality assessment as an aleatoric uncertainty modelling regression problem with the introduction of a novel method that handles the regression problem with categorical labels  A key feature of our design is that only a single forward pass is sufficient to estimate the level of uncertainty for the network output  Compared to the 0 11±0 09 absolute error (in a scale from 0 to 1) archived by the conventional regression method, the proposed method brings the error down to 0 09±0 08, where the improvement is statistically significant and equivalents to 5 7% test accuracy improvement  The simplicity of the proposed approach means that it could be generalized to other applications of deep learning in medical imaging, where there is often uncertainty in clinical labels </t>
  </si>
  <si>
    <t>CNN,RNN,DenseNet,LSTM</t>
  </si>
  <si>
    <t>Department
of Electrical and Computer Engineering, The University of British Columbia,</t>
    <phoneticPr fontId="0" type="noConversion"/>
  </si>
  <si>
    <t>Liao, Z; Girgis, H; Abdi, A; Vaseli, H; Hetherington, J; Rohling, R; Gin, K; Tsang, T; Abolmaesumi, P</t>
  </si>
  <si>
    <t>10 1038/s41746-019-0194-x</t>
  </si>
  <si>
    <t xml:space="preserve">Eliminating biasing signals in lung cancer images for prognosis predictions with deep learning </t>
  </si>
  <si>
    <t xml:space="preserve">Deep learning has shown remarkable results for image analysis and is expected to aid individual treatment decisions in health care  Treatment recommendations are predictions with an inherently causal interpretation  To use deep learning for these applications in the setting of observational data, deep learning methods must be made compatible with the required causal assumptions  We present a scenario with real-world medical images (CT-scans of lung cancer) and simulated outcome data  Through the data simulation scheme, the images contain two distinct factors of variation that are associated with survival, but represent a collider (tumor size) and a prognostic factor (tumor heterogeneity), respectively  When a deep network would use all the information available in the image to predict survival, it would condition on the collider and thereby introduce bias in the estimation of the treatment effect  We show that when this collider can be quantified, unbiased individual prognosis predictions are attainable with deep learning  This is achieved by (1) setting a dual task for the network to predict both the outcome and the collider and (2) enforcing a form of linear independence of the activation distributions of the last layer  Our method provides an example of combining deep learning and structural causal models to achieve unbiased individual prognosis predictions  Extensions of machine learning methods for applications to causal questions are required to attain the long-standing goal of personalized medicine supported by artificial intelligence </t>
  </si>
  <si>
    <t xml:space="preserve">Department of Radiology, University Medical Center Utrecht, Utrecht University, Utrecht, The Netherlands </t>
  </si>
  <si>
    <t>van Amsterdam, WAC; Verhoeff, JJC; de Jong, PA; Leiner, T; Eijkemans, MJC</t>
  </si>
  <si>
    <t>10 1186/s12911-019-0988-4</t>
  </si>
  <si>
    <t xml:space="preserve">A comparison between two semantic deep learning frameworks for the autosomal dominant polycystic kidney disease segmentation based on magnetic resonance images </t>
  </si>
  <si>
    <t xml:space="preserve">The automatic segmentation of kidneys in medical images is not a trivial task when the subjects undergoing the medical examination are affected by Autosomal Dominant Polycystic Kidney Disease (ADPKD)  Several works dealing with the segmentation of Computed Tomography images from pathological subjects were proposed, showing high invasiveness of the examination or requiring interaction by the user for performing the segmentation of the images  In this work, we propose a fully-automated approach for the segmentation of Magnetic Resonance images, both reducing the invasiveness of the acquisition device and not requiring any interaction by the users for the segmentation of the images Two different approaches are proposed based on Deep Learning architectures using Convolutional Neural Networks (CNN) for the semantic segmentation of images, without needing to extract any hand-crafted features  In details, the first approach performs the automatic segmentation of images without any procedure for pre-processing the input  Conversely, the second approach performs a two-steps classification strategy: a first CNN automatically detects Regions Of Interest (ROIs); a subsequent classifier performs the semantic segmentation on the ROIs previously extracted Results show that even though the detection of ROIs shows an overall high number of false positives, the subsequent semantic segmentation on the extracted ROIs allows achieving high performance in terms of mean Accuracy  However, the segmentation of the entire images input to the network remains the most accurate and reliable approach showing better performance than the previous approach The obtained results show that both the investigated approaches are reliable for the semantic segmentation of polycystic kidneys since both the strategies reach an Accuracy higher than 85%  Also, both the investigated methodologies show performances comparable and consistent with other approaches found in literature working on images from different sources, reducing both the invasiveness of the analyses and the interaction needed by the users for performing the segmentation task </t>
  </si>
  <si>
    <t xml:space="preserve">Department of Electrical and Information Engineering (DEI), Polytechnic University of Bari, Italy, Via Edoardo Orabona, 4, Bari, 70125, Italy </t>
  </si>
  <si>
    <t>Bevilacqua, V; Brunetti, A; Cascarano, GD; Guerriero, A; Pesce, F; Moschetta, M; Gesualdo, L</t>
  </si>
  <si>
    <t>10 1007/s00330-019-06498-w</t>
  </si>
  <si>
    <t xml:space="preserve">Artificial intelligence for detecting small FDG-positive lung nodules in digital PET/CT: impact of image reconstructions on diagnostic performance </t>
  </si>
  <si>
    <t xml:space="preserve">To evaluate the diagnostic performance of a deep learning algorithm for automated detection of small 18F-FDG-avid pulmonary nodules in PET scans, and to assess whether novel block sequential regularized expectation maximization (BSREM) reconstruction affects detection accuracy as compared to ordered subset expectation maximization (OSEM) reconstruction Fifty-seven patients with 92 18F-FDG-avid pulmonary nodules (all ≤ 2 cm) undergoing PET/CT for oncological (re-)staging were retrospectively included and a total of 8824 PET images of the lungs were extracted using OSEM and BSREM reconstruction  Per-slice and per-nodule sensitivity of a deep learning algorithm was assessed, with an expert readout by a radiologist/nuclear medicine physician serving as standard of reference  Receiver-operator characteristic (ROC) curve of OSEM and BSREM were assessed and the areas under the ROC curve (AUC) were compared  A maximum standardized uptake value (SUVmax)-based sensitivity analysis and a size-based sensitivity analysis with subgroups defined by nodule size was performed The AUC of the deep learning algorithm for nodule detection using OSEM reconstruction was 0 796 (CI 95%; 0 772-0 869), and 0 848 (CI 95%; 0 828-0 869) using BSREM reconstruction  The AUC was significantly higher for BSREM compared to OSEM (p = 0 001)  On a per-slice analysis, sensitivity and specificity were 66 7% and 79 0% for OSEM, and 69 2% and 84 5% for BSREM  On a per-nodule analysis, the overall sensitivity of OSEM was 81 5% compared to 87 0% for BSREM Our results suggest that machine learning algorithms may aid detection of small 18F-FDG-avid pulmonary nodules in clinical PET/CT  AI performed significantly better on images with BSREM than OSEM • The diagnostic value of deep learning for detecting small lung nodules (≤ 2 cm) in PET images using BSREM and OSEM reconstruction was assessed  • BSREM yields higher SUV maxof small pulmonary nodules as compared to OSEM reconstruction  • The use of BSREM translates into a higher detectability of small pulmonary nodules in PET images as assessed with artificial intelligence </t>
  </si>
  <si>
    <t>CNN,ResNET</t>
  </si>
  <si>
    <t xml:space="preserve">Department of Nuclear Medicine, University Hospital Zurich, Rämistrasse 100, CH-8091, Zurich, Switzerland </t>
  </si>
  <si>
    <t>Schwyzer, M; Martini, K; Benz, DC; Burger, IA; Ferraro, DA; Kudura, K; Treyer, V; von Schulthess, GK; Kaufmann, PA; Huellner, MW; Messerli, M</t>
  </si>
  <si>
    <t>10 1016/j artmed 2019 101743</t>
  </si>
  <si>
    <t xml:space="preserve">Automated classification of histopathology images using transfer learning </t>
  </si>
  <si>
    <t xml:space="preserve">Early and accurate diagnosis of diseases can often save lives  Diagnosis of diseases from tissue samples is done manually by pathologists  Diagnostics process is usually time consuming and expensive  Hence, automated analysis of tissue samples from histopathology images has critical importance for early diagnosis and treatment  The computer aided systems can improve the quality of diagnoses and give pathologists a second opinion for critical cases  In this study, a deep learning based transfer learning approach has been proposed to classify histopathology images automatically  Two well-known and current pre-trained convolutional neural network (CNN) models, ResNet-50 and DenseNet-161, have been trained and tested using color and grayscale images  The DenseNet-161 tested on grayscale images and obtained the best classification accuracy of 97 89%  Additionally, ResNet-50 pre-trained model was tested on the color images of the Kimia Path24 dataset and achieved the highest classification accuracy of 98 87%  According to the obtained results, it may be said that the proposed pre-trained models can be used for fast and accurate classification of histopathology images and assist pathologists in their daily clinical tasks </t>
  </si>
  <si>
    <t>Turkey</t>
  </si>
  <si>
    <t xml:space="preserve">Department of Software Engineering, Firat University, Elazig, Turkey </t>
  </si>
  <si>
    <t>Talo, M</t>
  </si>
  <si>
    <t>10 1097/BRS 0000000000003353</t>
  </si>
  <si>
    <t xml:space="preserve">A Deep Convolutional Neural Network with Performance Comparable to Radiologists for Differentiating Between Spinal Schwannoma and Meningioma </t>
  </si>
  <si>
    <t xml:space="preserve">Retrospective analysis of magnetic resonance imaging (MRI) OBJECTIVE : To evaluate the performance of our convolutional neural network (CNN) in differentiating between spinal schwannoma and meningioma on MRI  We compared the performance of the CNN and that of two expert radiologists Preoperative discrimination between spinal schwannomas and meningiomas is crucial because different surgical procedures are required for their treatment  A deep-learning approach based on CNNs is gaining interest in the medical imaging field We retrospectively reviewed data from patients with spinal schwannoma and meningioma who had undergone MRI and tumor resection  There were 50 patients with schwannoma and 34 patients with meningioma  Sagittal T2-weighted magnetic resonance imaging (T2WI) and sagittal contrast-enhanced T1-weighted magnetic resonance imaging (T1WI) were used for the CNN training and validation  The deep learning framework Tensorflow were used to construct the CNN architecture  To evaluate the performance of the CNN, we plotted the receiver operating characteristic (ROC) curve and calculated the area under the curve (AUC)  We calculated and compared the sensitivity, specificity, and accuracy of the diagnosis by the CNN and two board-certified radiologists   The AUC of ROC curves of the CNN based on T2WI and contrast-enhanced T1WI were 0 876 and 0 870, respectively  The sensitivity of the CNN based on T2WI was 78%; 100% for radiologist 1; and 95% for radiologist 2  The specificity was 82%, 26%, and 42%, respectively  The accuracy was 80%, 69%, and 73%, respectively  By contrast, the sensitivity of the CNN based on contrast-enhanced T1WI was 85%; 100% for radiologist 1; and 96% for radiologist 2  The specificity was 75%, 56, and 58%, respectively  The accuracy was 81, 82, and 81%, respectively We have successfully differentiated spinal schwannomas and meningiomas using the CNN with high diagnostic accuracy comparable to that of experienced radiologists 4 </t>
  </si>
  <si>
    <t xml:space="preserve">Department of Orthopaedic Surgery, Graduate School of Medicine, Chiba University, Japan </t>
  </si>
  <si>
    <t>Maki, S; Furuya, T; Horikoshi, T; Yokota, H; Mori, Y; Ota, J; Kawasaki, Y; Miyamoto, T; Norimoto, M; Okimatsu, S; Shiga, Y; Inage, K; Orita, S; Takahashi, H; Suyari, H; Uno, T; Ohtori, S</t>
  </si>
  <si>
    <t>10 1347983549199</t>
  </si>
  <si>
    <t xml:space="preserve">Age Assessment of Youth and Young Adults Using Magnetic Resonance Imaging of the Knee: A Deep Learning Approach </t>
  </si>
  <si>
    <t xml:space="preserve">Bone age assessment (BAA) is an important tool for diagnosis and in determining the time of treatment in a number of pediatric clinical scenarios, as well as in legal settings where it is used to estimate the chronological age of an individual where valid documents are lacking  Traditional methods for BAA suffer from drawbacks, such as exposing juveniles to radiation, intra- and interrater variability, and the time spent on the assessment  The employment of automated methods such as deep learning and the use of magnetic resonance imaging (MRI) can address these drawbacks and improve the assessment of age The aim of this paper is to propose an automated approach for age assessment of youth and young adults in the age range when the length growth ceases and growth zones are closed (14-21 years of age) by employing deep learning using MRI of the knee This study carried out MRI examinations of the knee of 402 volunteer subjects-221 males (55 0%) and 181 (45 0%) females-aged 14-21 years  The method comprised two convolutional neural network (CNN) models: the first one selected the most informative images of an MRI sequence, concerning age-assessment purposes; these were then used in the second module, which was responsible for the age estimation  Different CNN architectures were tested, both training from scratch and employing transfer learning The CNN architecture that provided the best results was GoogLeNet pretrained on the ImageNet database  The proposed method was able to assess the age of male subjects in the range of 14-20 5 years, with a mean absolute error (MAE) of 0 793 years, and of female subjects in the range of 14-19 5 years, with an MAE of 0 988 years  Regarding the classification of minors-with the threshold of 18 years of age-an accuracy of 98 1% for male subjects and 95 0% for female subjects was achieved The proposed method was able to assess the age of youth and young adults from 14 to 20 5 years of age for male subjects and 14 to 19 5 years of age for female subjects in a fully automated manner, without the use of ionizing radiation, addressing the drawbacks of traditional methods </t>
  </si>
  <si>
    <t xml:space="preserve">CNN,GoogLeNet, ResNet, Inception,VGG, AlexNet, DenseNet,Unet </t>
  </si>
  <si>
    <t xml:space="preserve">Department of Health, Blekinge Institute of Technology, Karlskrona, Sweden </t>
  </si>
  <si>
    <t>Dallora, AL; Berglund, JS; Brogren, M; Kvist, O; Diaz Ruiz, S; Dübbel, A; Anderberg, P</t>
  </si>
  <si>
    <t>10 1038/s41598-019-54779-7</t>
  </si>
  <si>
    <t xml:space="preserve">Identifying Ear Abnormality from 2D Photographs Using Convolutional Neural Networks </t>
  </si>
  <si>
    <t xml:space="preserve">Quantifying ear deformity using linear measurements and mathematical modeling is difficult due to the ear's complex shape  Machine learning techniques, such as convolutional neural networks (CNNs), are well-suited for this role  CNNs are deep learning methods capable of finding complex patterns from medical images, automatically building solution models capable of machine diagnosis  In this study, we applied CNN to automatically identify ear deformity from 2D photographs  Institutional review board (IRB) approval was obtained for this retrospective study to train and test the CNNs  Photographs of patients with and without ear deformity were obtained as standard of care in our photography studio  Profile photographs were obtained for one or both ears  A total of 671 profile pictures were used in this study including: 457 photographs of patients with ear deformity and 214 photographs of patients with normal ears  Photographs were cropped to the ear boundary and randomly divided into training (60%), validation (20%), and testing (20%) datasets  We modified the softmax classifier in the last layer in GoogLeNet, a deep CNN, to generate an ear deformity detection model in Matlab  All images were deemed of high quality and usable for training and testing  It took about 2 hours to train the system and the training accuracy reached almost 100%  The test accuracy was about 94 1%  We demonstrate that deep learning has a great potential in identifying ear deformity  These machine learning techniques hold the promise in being used in the future to evaluate treatment outcomes </t>
  </si>
  <si>
    <t xml:space="preserve">Department of Plastic Surgery, UT Southwestern, 5323 Harry Hines Blvd , Dallas, TX, 75390, United States  Rami Hallac@Childrens com </t>
  </si>
  <si>
    <t>Hallac, RR; Lee, J; Pressler, M; Seaward, JR; Kane, AA</t>
  </si>
  <si>
    <t>10 1121/1 5133665</t>
  </si>
  <si>
    <t xml:space="preserve">Domain adaptation for ultrasound tongue contour extraction using transfer learning: A deep learning approach </t>
  </si>
  <si>
    <t xml:space="preserve">Automatic and precise delineating of the tongue surface in real-time frames is a challenging task because of the noisy nature of ultrasound images and rapid changes of the tongue  Deep convolutional neural networks have been shown to be successful in medical image analysis tasks such as tongue contour extraction  However, they are typically weak for the same task on different domains  Domain adaptation is an alternative solution for this difficulty by transferring and fine-tuning models on different datasets  In this study, the problem of transfer learning for tongue contour extraction was investigated on different ultrasound datasets </t>
  </si>
  <si>
    <t xml:space="preserve">School of Electrical Engineering and Computer Science, University of Ottawa, 800 King-Edward Avenue, Ottawa, Ontario K1N-6N5, Canadammoza102@uottawa ca, wslee@uottawa ca </t>
  </si>
  <si>
    <t>Hamed Mozaffari, M; Lee, WS</t>
  </si>
  <si>
    <t>10 3892/ol 2019 10928</t>
  </si>
  <si>
    <t xml:space="preserve">Deep learning techniques for detecting preneoplastic and neoplastic lesions in human colorectal histological images </t>
  </si>
  <si>
    <t xml:space="preserve">Trained pathologists base colorectal cancer identification on the visual interpretation of microscope images  However, image labeling is not always straightforward and this repetitive task is prone to mistakes due to human distraction  Significant efforts are underway to develop informative tools to assist pathologists and decrease the burden and frequency of errors  The present study proposes a deep learning approach to recognize four different stages of cancerous tissue development, including normal mucosa, early preneoplastic lesion, adenoma and cancer  A dataset of human colon tissue images collected and labeled over a 10-year period by a team of pathologists was partitioned into three sets  These were used to train, validate and test the neural network, comprising several convolutional and a few linear layers  The approach used in the present study is 'direct'; it labels raw images and bypasses the segmentation step  An overall accuracy of &gt;95% was achieved, with the majority of mislabeling referring to a near category  Tests on an external dataset with a different resolution yielded accuracies &gt;80%  The present study demonstrated that the neural network, when properly trained, can provide fast, accurate and reproducible labeling for colon cancer images, with the potential to significantly improve the quality and speed of medical diagnoses </t>
  </si>
  <si>
    <t xml:space="preserve">Department of Biomedical, Metabolic and Neurosciences, University of Modena and Reggio Emilia, I-41125 Modena, Italy </t>
  </si>
  <si>
    <t>Sena, P; Fioresi, R; Faglioni, F; Losi, L; Faglioni, G; Roncucci, L</t>
  </si>
  <si>
    <t>10 1016/j compmedimag 2019 101660</t>
  </si>
  <si>
    <t xml:space="preserve">Deep CNN ensembles and suggestive annotations for infant brain MRI segmentation </t>
  </si>
  <si>
    <t xml:space="preserve">Precise 3D segmentation of infant brain tissues is an essential step towards comprehensive volumetric studies and quantitative analysis of early brain development  However, computing such segmentations is very challenging, especially for 6-month infant brain, due to the poor image quality, among other difficulties inherent to infant brain MRI, e g , the isointense contrast between white and gray matter and the severe partial volume effect due to small brain sizes  This study investigates the problem with an ensemble of semi-dense fully convolutional neural networks (CNNs), which employs T1-weighted and T2-weighted MR images as input  We demonstrate that the ensemble agreement is highly correlated with the segmentation errors  Therefore, our method provides measures that can guide local user corrections  To the best of our knowledge, this work is the first ensemble of 3D CNNs for suggesting annotations within images  Our quasi-dense architecture allows the efficient propagation of gradients during training, while limiting the number of parameters, requiring one order of magnitude less parameters than popular medical image segmentation networks such as 3D U-Net (Çiçek, et al )  We also investigated the impact that early or late fusions of multiple image modalities might have on the performances of deep architectures  We report evaluations of our method on the public data of the MICCAI iSEG-2017 Challenge on 6-month infant brain MRI segmentation, and show very competitive results among 21 teams, ranking first or second in most metrics </t>
  </si>
  <si>
    <t xml:space="preserve">Ecole de Technologie Superieure (ETS), University of Quebec, Montreal, QC, Canada  Electronic address: jose dolz@etsmtl ca </t>
  </si>
  <si>
    <t>Dolz, J; Desrosiers, C; Wang, L; Yuan, J; Shen, D; Ben Ayed, I</t>
  </si>
  <si>
    <t>10 1117/12 2512559</t>
  </si>
  <si>
    <t xml:space="preserve">Montage based 3D Medical Image Retrieval from Traumatic Brain Injury Cohort using Deep Convolutional Neural Network </t>
  </si>
  <si>
    <t xml:space="preserve">Brain imaging analysis on clinically acquired computed tomography (CT) is essential for the diagnosis, risk prediction of progression, and treatment of the structural phenotypes of traumatic brain injury (TBI)  However, in real clinical imaging scenarios, entire body CT images (e g , neck, abdomen, chest, pelvis) are typically captured along with whole brain CT scans  For instance, in a typical sample of clinical TBI imaging cohort, only ~15% of CT scans actually contain whole brain CT images suitable for volumetric brain analyses; the remaining are partial brain or non-brain images  Therefore, a manual image retrieval process is typically required to isolate the whole brain CT scans from the entire cohort  However, the manual image retrieval is time and resource consuming and even more difficult for the larger cohorts  To alleviate the manual efforts, in this paper we propose an automated 3D medical image retrieval pipeline, called deep montage-based image retrieval (dMIR), which performs classification on 2D montage images via a deep convolutional neural network  The novelty of the proposed method for image processing is to characterize the medical image retrieval task based on the montage images  In a cohort of 2000 clinically acquired TBI scans, 794 scans were used as training data, 206 scans were used as validation data, and the remaining 1000 scans were used as testing data  The proposed achieved accuracy=1 0, recall=1 0, precision=1 0, f1=1 0 for validation data, while achieved accuracy=0 988, recall=0 962, precision=0 962, f1=0 962 for testing data  Thus, the proposed dMIR is able to perform accurate CT whole brain image retrieval from large-scale clinical cohorts </t>
  </si>
  <si>
    <t xml:space="preserve">Department of Electrical Engineering, Vanderbilt University, Nashville, TN, USA </t>
  </si>
  <si>
    <t>Kerley, CI; Huo, Y; Chaganti, S; Bao, S; Patel, MB; Landman, BA</t>
  </si>
  <si>
    <t>10 3389/fnins 2019 01182</t>
  </si>
  <si>
    <t xml:space="preserve">Divide and Conquer: Stratifying Training Data by Tumor Grade Improves Deep Learning-Based Brain Tumor Segmentation </t>
  </si>
  <si>
    <t xml:space="preserve">It is a general assumption in deep learning that more training data leads to better performance, and that models will learn to generalize well across heterogeneous input data as long as that variety is represented in the training set  Segmentation of brain tumors is a well-investigated topic in medical image computing, owing primarily to the availability of a large publicly-available dataset arising from the long-running yearly Multimodal Brain Tumor Segmentation (BraTS) challenge  Research efforts and publications addressing this dataset focus predominantly on technical improvements of model architectures and less on properties of the underlying data  Using the dataset and the method ranked third in the BraTS 2018 challenge, we performed experiments to examine the impact of tumor type on segmentation performance  We propose to stratify the training dataset into high-grade glioma (HGG) and low-grade glioma (LGG) subjects and train two separate models  Although we observed only minor gains in overall mean dice scores by this stratification, examining case-wise rankings of individual subjects revealed statistically significant improvements  Compared to a baseline model trained on both HGG and LGG cases, two separately trained models led to better performance in 64 9% of cases (p &lt; 0 0001) for the tumor core  An analysis of subjects which did not profit from stratified training revealed that cases were missegmented which had poor image quality, or which presented clinically particularly challenging cases (e g , underrepresented subtypes such as IDH1-mutant tumors), underlining the importance of such latent variables in the context of tumor segmentation  In summary, we found that segmentation models trained on the BraTS 2018 dataset, stratified according to tumor type, lead to a significant increase in segmentation performance  Furthermore, we demonstrated that this gain in segmentation performance is evident in the case-wise ranking of individual subjects but not in summary statistics  We conclude that it may be useful to consider the segmentation of brain tumors of different types or grades as separate tasks, rather than developing one tool to segment them all  Consequently, making this information available for the test data should be considered, potentially leading to a more clinically relevant BraTS competition </t>
  </si>
  <si>
    <t xml:space="preserve">Support Center for Advanced Neuroimaging (SCAN), University Institute of Diagnostic and Interventional Neuroradiology, Inselspital, Bern University Hospital, University of Bern, Bern, Switzerland </t>
  </si>
  <si>
    <t>Rebsamen, M; Knecht, U; Reyes, M; Wiest, R; Meier, R; McKinley, R</t>
  </si>
  <si>
    <t>10 1148/radiol 2019190372</t>
  </si>
  <si>
    <t xml:space="preserve">Lymph Node Metastasis Prediction from Primary Breast Cancer US Images Using Deep Learning </t>
  </si>
  <si>
    <t xml:space="preserve">Background Deep learning (DL) algorithms are gaining extensive attention for their excellent performance in image recognition tasks  DL models can automatically make a quantitative assessment of complex medical image characteristics and achieve increased accuracy in diagnosis with higher efficiency  Purpose To determine the feasibility of using a DL approach to predict clinically negative axillary lymph node metastasis from US images in patients with primary breast cancer  Materials and Methods A data set of US images in patients with primary breast cancer with clinically negative axillary lymph nodes from Tongji Hospital (974 imaging studies from 2016 to 2018, 756 patients) and an independent test set from Hubei Cancer Hospital (81 imaging studies from 2018 to 2019, 78 patients) were collected  Axillary lymph node status was confirmed with pathologic examination  Three different convolutional neural networks (CNNs) of Inception V3, Inception-ResNet V2, and ResNet-101 architectures were trained on 90% of the Tongji Hospital data set and tested on the remaining 10%, as well as on the independent test set  The performance of the models was compared with that of five radiologists  The models' performance was analyzed in terms of accuracy, sensitivity, specificity, receiver operating characteristic curves, areas under the receiver operating characteristic curve (AUCs), and heat maps  Results The best-performing CNN model, Inception V3, achieved an AUC of 0 89 (95% confidence interval [CI]: 0 83, 0 95) in the prediction of the final clinical diagnosis of axillary lymph node metastasis in the independent test set  The model achieved 85% sensitivity (35 of 41 images; 95% CI: 70%, 94%) and 73% specificity (29 of 40 images; 95% CI: 56%, 85%), and the radiologists achieved 73% sensitivity (30 of 41 images; 95% CI: 57%, 85%; P =  17) and 63% specificity (25 of 40 images; 95% CI: 46%, 77%; P =  34)  Conclusion Using US images from patients with primary breast cancer, deep learning models can effectively predict clinically negative axillary lymph node metastasis  Artificial intelligence may provide an early diagnostic strategy for lymph node metastasis in patients with breast cancer with clinically negative lymph nodes  Published under a CC BY 4 0 license  Online supplemental material is available for this article  See also the editorial by Bae in this issue </t>
  </si>
  <si>
    <t xml:space="preserve">From the Sino-German Tongji-Caritas Research Center of Ultrasound in Medicine, Department of Medical Ultrasound, Tongji Hospital, Tongji Medical College, Huazhong University of Science and Technology, Wuhan 430030, Hubei Province, China (L Q Z , G G W , Q W , Y B D , X W C , C F D ); School of Mathematics and Computer Science, Wuhan Textile University, Wuhan, Hubei Province, China (X L W ); Department of Ultrasound, The First People's Hospital of Huaihua, University of South China, Huaihua, China (S Y H ); Department of Ultrasound, China Resources &amp; Wisco General Hospital, Wuhan, Hubei Province, China (H R Y ); Department of Ultrasound, Affiliated Hangzhou First People's Hospital, Zhejiang University School of Medicine, Hangzhou, Zhejiang, China (L Y B ); Department of Thyroid and Breast Surgery, Tongji Hospital, Tongji Medical College, Huazhong University of Science and Technology, Wuhan, Hubei Province, China (X R L ); and Medical Clinic 2, Caritas-Krankenhaus Bad Mergentheim, Academic Teaching Hospital of the University of Wuerzburg, Bad Mergentheim, Germany (C F D ) </t>
  </si>
  <si>
    <t>Zhou, LQ; Wu, XL; Huang, SY; Wu, GG; Ye, HR; Wei, Q; Bao, LY; Deng, YB; Li, XR; Cui, XW; Dietrich, CF</t>
  </si>
  <si>
    <t>10 1016/j compbiomed 2019 103528</t>
  </si>
  <si>
    <t xml:space="preserve">Synthesizing diffusion tensor imaging from functional MRI using fully convolutional networks </t>
  </si>
  <si>
    <t xml:space="preserve">Medical image synthesis can simulate a target modality of interest based on existing modalities and has the potential to save scanning time while contributing to efficient data collection  This study proposed a three-dimensional (3D) deep learning architecture based on a fully convolutional network (FCN) to synthesize diffusion-tensor imaging (DTI) from resting-state functional magnetic resonance imaging (fMRI) fMRI signals derived from white matter (WM) exist and can be used for assessing WM alterations  We constructed an initial functional correlation tensor image using the correlation patterns of adjacent fMRI voxels as one input to the FCN  We considered T1-weighted images as an additional input to provide an algorithm with the structural information needed to synthesize DTI  Our architecture was trained and tested using a large-scale open database dataset (training n = 648; testing n = 293) The average correlation value between synthesized and actual diffusion tensors for 38 WM regions was 0 808, which significantly improves upon an existing study (r = 0 480)  We also validated our approach using two open databases  Our proposed method showed a higher correlation with the actual diffusion tensor than the conventional machine-learning method for many WM regions Our method synthesized DTI images from fMRI images using a 3D FCN architecture  We hope to expand our method of synthesizing various other imaging modalities from a single image source </t>
  </si>
  <si>
    <t xml:space="preserve">Department of Electronic and Computer Engineering, Sungkyunkwan University, South Korea; Center for Neuroscience Imaging Research (CNIR), Institute for Basic Science, South Korea; NEUROPHET Inc , South Korea </t>
  </si>
  <si>
    <t>Son, SJ; Park, BY; Byeon, K; Park, H</t>
  </si>
  <si>
    <t>10 1007/s11548-019-02089-8</t>
  </si>
  <si>
    <t xml:space="preserve">Multimodal 3D medical image registration guided by shape encoder-decoder networks </t>
  </si>
  <si>
    <t xml:space="preserve">Nonlinear multimodal image registration, for example, the fusion of computed tomography (CT) and magnetic resonance imaging (MRI), fundamentally depends on a definition of image similarity  Previous methods that derived modality-invariant representations focused on either global statistical grayscale relations or local structural similarity, both of which are prone to local optima  In contrast to most learning-based methods that rely on strong supervision of aligned multimodal image pairs, we aim to overcome this limitation for further practical use cases We propose a new concept that exploits anatomical shape information and requires only segmentation labels for both modalities individually  First, a shape-constrained encoder-decoder segmentation network without skip connections is jointly trained on labeled CT and MRI inputs  Second, an iterative energy-based minimization scheme is introduced that relies on the capability of the network to generate intermediate nonlinear shape representations  This further eases the multimodal alignment in the case of large deformations Our novel approach robustly and accurately aligns 3D scans from the multimodal whole-heart segmentation dataset, outperforming classical unsupervised frameworks  Since both parts of our method rely on (stochastic) gradient optimization, it can be easily integrated in deep learning frameworks and executed on GPUs We present an integrated approach for weakly supervised multimodal image registration  Achieving promising results due to the exploration of intermediate shape features as registration guidance encourages further research in this direction </t>
  </si>
  <si>
    <t xml:space="preserve">Institute of Medical Informatics, University of Lübeck, Ratzeburger Allee 160, 23562, Lübeck, Germany  blendowski@imi uni-luebeck de </t>
    <phoneticPr fontId="0" type="noConversion"/>
  </si>
  <si>
    <t>Blendowski, M; Bouteldja, N; Heinrich, MP</t>
  </si>
  <si>
    <t>10 1038/s41598-019-52737-x</t>
  </si>
  <si>
    <t xml:space="preserve">Data augmentation using generative adversarial networks (CycleGAN) to improve generalizability in CT segmentation tasks </t>
  </si>
  <si>
    <t xml:space="preserve">Labeled medical imaging data is scarce and expensive to generate  To achieve generalizable deep learning models large amounts of data are needed  Standard data augmentation is a method to increase generalizability and is routinely performed  Generative adversarial networks offer a novel method for data augmentation  We evaluate the use of CycleGAN for data augmentation in CT segmentation tasks  Using a large image database we trained a CycleGAN to transform contrast CT images into non-contrast images  We then used the trained CycleGAN to augment our training using these synthetic non-contrast images  We compared the segmentation performance of a U-Net trained on the original dataset compared to a U-Net trained on the combined dataset of original data and synthetic non-contrast images  We further evaluated the U-Net segmentation performance on two separate datasets: The original contrast CT dataset on which segmentations were created and a second dataset from a different hospital containing only non-contrast CTs  We refer to these 2 separate datasets as the in-distribution and out-of-distribution datasets, respectively  We show that in several CT segmentation tasks performance is improved significantly, especially in out-of-distribution (noncontrast CT) data  For example, when training the model with standard augmentation techniques, performance of segmentation of the kidneys on out-of-distribution non-contrast images was dramatically lower than for in-distribution data (Dice score of 0 09 vs  0 94 for out-of-distribution vs  in-distribution data, respectively, p &lt; 0 001)  When the kidney model was trained with CycleGAN augmentation techniques, the out-of-distribution (non-contrast) performance increased dramatically (from a Dice score of 0 09 to 0 66, p &lt; 0 001)  Improvements for the liver and spleen were smaller, from 0 86 to 0 89 and 0 65 to 0 69, respectively  We believe this method will be valuable to medical imaging researchers to reduce manual segmentation effort and cost in CT imaging </t>
  </si>
  <si>
    <t xml:space="preserve">Imaging Biomarkers and Computer-Aided Diagnosis Laboratory, Radiology and Imaging Sciences, National Institutes of Health Clinical Center, Building 10 Room 1C224D MSC 1182, Bethesda, MD, 20892-1182, USA </t>
  </si>
  <si>
    <t>Sandfort, V; Yan, K; Pickhardt, PJ; Summers, RM</t>
  </si>
  <si>
    <t>10 1259/bjr 20181019</t>
  </si>
  <si>
    <t xml:space="preserve">Potential for dose reduction in CT emphysema densitometry with post-scan noise reduction: a phantom study </t>
  </si>
  <si>
    <t xml:space="preserve">The aim of this phantom study was to investigate the effect of scan parameters and noise suppression techniques on the minimum radiation dose for acceptable image quality for CT emphysema densitometry The COPDGene phantom was scanned on a third generation dual-source CT system with 16 scan setups (CTDIvol 0 035-10 680 mGy)  Images were reconstructed at 1 0/0 7 mm slice thickness/increment, with three kernels (one soft, two hard), filtered backprojection and three grades of third-generation iterative reconstruction (IR)  Additionally, deep learning-based noise suppression software was applied  Main outcomes: overlap in area of the normalized histograms of CT density for the emphysema insert and lung material, and the radiation dose required for a maximum of 4 3% overlap (defined as acceptable image quality) In total, 384 scan reconstructions were analyzed  Decreasing radiation dose resulted in an exponential increase of the overlap in normalized histograms of CT density  The overlap was 11-91% for the lowest dose setting (CTDIvol 0 035mGy)  The soft kernel reconstruction showed less histogram overlap than hard filter kernels  IR and noise suppression also reduced overlap  Using intermediate grade IR plus noise suppression software allowed for 85% radiation dose reduction while maintaining acceptable image quality CT density histogram overlap can quantify the degree of discernibility of emphysema and healthy lung tissue  Noise suppression software, IR, and soft reconstruction kernels substantially decrease the dose required for acceptable image quality Noise suppression software, IR, and soft reconstruction kernels allow radiation dose reduction by 85% while still allowing differentiation between emphysema and normal lung tissue </t>
  </si>
  <si>
    <t xml:space="preserve">University of Groningen, University Medical Center Groningen, Center for Medical Imaging, Groningen, The Netherlands </t>
  </si>
  <si>
    <t>Wisselink, HJ; Pelgrim, GJ; Rook, M; van den Berge, M; Slump, K; Nagaraj, Y; van Ooijen, P; Oudkerk, M; Vliegenthart, R</t>
  </si>
  <si>
    <t>10 1016/j cmpb 2019 105162</t>
  </si>
  <si>
    <t xml:space="preserve">Deep learning, reusable and problem-based architectures for detection of consolidation on chest X-ray images </t>
  </si>
  <si>
    <t xml:space="preserve">In most patients presenting with respiratory symptoms, the findings of chest radiography play a key role in the diagnosis, management, and follow-up of the disease  Consolidation is a common term in radiology, which indicates focally increased lung density  When the alveolar structures become filled with pus, fluid, blood cells or protein subsequent to a pulmonary pathological process, it may result in different types of lung opacity in chest radiograph  This study aims at detecting consolidations in chest x-ray radiographs, with a certain precision, using artificial intelligence and especially Deep Convolutional Neural Networks to assist radiologist for better diagnosis Medical image datasets usually are relatively small to be used for training a Deep Convolutional Neural Network (DCNN), so transfer learning technique with well-known DCNNs pre-trained with ImageNet dataset are used to improve the accuracy of the models  ImageNet feature space is different from medical images and in the other side, the well-known DCNNs are designed to achieve the best performance on ImageNet  Therefore, they cannot show their best performance on medical images  To overcome this problem, we designed a problem-based architecture which preserves the information of images for detecting consolidation in Pediatric Chest X-ray dataset  We proposed a three-step pre-processing approach to enhance generalization of the models  To demonstrate the correctness of numerical results, an occlusion test is applied to visualize outputs of the model and localize the detected appropriate area  A different dataset as an extra validation is used in order to investigate the generalization of the proposed model The best accuracy to detect consolidation is 94 67% obtained by our problem based architecture for the understudy dataset which outperforms the previous works and the other architectures The designed models can be employed as computer aided diagnosis tools in real practice  We critically discussed the datasets and the previous works based on them and show that without some considerations the results of them may be misleading  We believe, the output of AI should be only interpreted as focal consolidation  The clinical significance of the finding can not be interpreted without integration of clinical data </t>
  </si>
  <si>
    <t>CNN,VGG,DENSENET</t>
  </si>
  <si>
    <t xml:space="preserve">Computer Engineering Department, School of Engineering, Persian Gulf University, Bushehr, Iran </t>
  </si>
  <si>
    <t>Behzadi-Khormouji, H; Rostami, H; Salehi, S; Derakhshande-Rishehri, T; Masoumi, M; Salemi, S; Keshavarz, A; Gholamrezanezhad, A; Assadi, M; Batouli, A</t>
  </si>
  <si>
    <t>10 1016/j media 2019 101591</t>
  </si>
  <si>
    <t xml:space="preserve">Commensal correlation network between segmentation and direct area estimation for bi-ventricle quantification </t>
  </si>
  <si>
    <t xml:space="preserve">Accurate and automated cardiac bi-ventricle quantification based on cardiac magnetic resonance (CMR) image is a very crucial procedure for clinical cardiac disease diagnosis  Two traditional and commensal tasks, i e , bi-ventricle segmentation and direct ventricle function index estimation, are always independently devoting to address ventricle quantification problem  However, because of inherent difficulties from the variable CMR imaging conditions, these two tasks are still open challenging  In this paper, we proposed a unified bi-ventricle quantification framework based on commensal correlation between the bi-ventricle segmentation and direct area estimation  Firstly, we proposed the area commensal correlation between the two traditional cardiac quantification tasks for the first time, and designed a novel deep commensal network (DCN) to join these two commensal tasks into a unified framework based on the proposed commensal correlation loss  Secondly, we proposed an differentiable area operator to model the proposed area commensal correlation and made the proposed model continuously differentiable  Thirdly, we proposed a high-efficiency and novel uncertainty estimation method through one-time inference based on cross-task output variability  And finally DCN achieved end-to-end optimization and fast convergence as well as uncertainty estimation with one-time inference  Experiments on the four open accessible short-axis CMR benchmark datasets (i e , Sunnybrook, STACOM 2011, RVSC, and ACDC) showed that the proposed method achieves best bi-ventricle quantification accuracy and optimization performance  Hence, the proposed method has big potential to be extended to other medical image analysis tasks and has clinical application value </t>
  </si>
  <si>
    <t xml:space="preserve">Biocomputing Research Center, School of Computer Science and Technology, Harbin Institute of Technology, Harbin, China </t>
  </si>
  <si>
    <t>Luo, G; Dong, S; Wang, W; Wang, K; Cao, S; Tam, C; Zhang, H; Howey, J; Ohorodnyk, P; Li, S</t>
  </si>
  <si>
    <t>10 1007/978-3-030-32239-7_23</t>
  </si>
  <si>
    <t xml:space="preserve">Active Appearance Model Induced Generative Adversarial Network for Controlled Data Augmentation </t>
  </si>
  <si>
    <t xml:space="preserve">Data augmentation is an important strategy for enlarging training datasets in deep learning-based medical image analysis  This is because large, annotated medical datasets are not only difficult and costly to generate, but also quickly become obsolete due to rapid advances in imaging technology  Image-to-image conditional generative adversarial networks (C-GAN) provide a potential solution for data augmentation  However, annotations used as inputs to C-GAN are typically based only on shape information, which can result in undesirable intensity distributions in the resulting artificially-created images  In this paper, we introduce an active cell appearance model (ACAM) that can measure statistical distributions of shape and intensity and use this ACAM model to guide C-GAN to generate more realistic images, which we call A-GAN  A-GAN provides an effective means for conveying anisotropic intensity information to C-GAN  A-GAN incorporates a statistical model (ACAM) to determine how transformations are applied for data augmentation  Traditional approaches for data augmentation that are based on arbitrary transformations might lead to unrealistic shape variations in an augmented dataset that are not representative of real data  A-GAN is designed to ameliorate this  To validate the effectiveness of using A-GAN for data augmentation, we assessed its performance on cell analysis in adaptive optics retinal imaging, which is a rapidly-changing medical imaging modality  Compared to C-GAN, A-GAN achieved stability in fewer iterations  The cell detection and segmentation accuracy when assisted by A-GAN augmentation was higher than that achieved with C-GAN  These findings demonstrate the potential for A-GAN to substantially improve existing data augmentation methods in medical image analysis </t>
  </si>
  <si>
    <t>GAN,CNN,UNET</t>
  </si>
  <si>
    <t xml:space="preserve">National Eye Institute, National Institutes of Health, Bethesda, MD, USA </t>
  </si>
  <si>
    <t>Liu, J; Shen, C; Liu, T; Aguilera, N; Tam, J</t>
  </si>
  <si>
    <t>10 7507/1001-5515 201809040</t>
  </si>
  <si>
    <t xml:space="preserve">[Early prognosis of Alzheimer's disease based on convolutional neural networks and ensemble learning] </t>
  </si>
  <si>
    <t xml:space="preserve">Alzheimer's disease (AD) is a typical neurodegenerative disease, which is clinically manifested as amnesia, loss of language ability and self-care ability, and so on  So far, the cause of the disease has still been unclear and the course of the disease is irreversible, and there has been no cure for the disease yet  Hence, early prognosis of AD is important for the development of new drugs and measures to slow the progression of the disease  Mild cognitive impairment (MCI) is a state between AD and healthy controls (HC)  Studies have shown that patients with MCI are more likely to develop AD than those without MCI  Therefore, accurate screening of MCI patients has become one of the research hotspots of early prognosis of AD  With the rapid development of neuroimaging techniques and deep learning, more and more researchers employ deep learning methods to analyze brain neuroimaging images, such as magnetic resonance imaging (MRI), for early prognosis of AD  Hence, in this paper, a three-dimensional multi-slice classifiers ensemble based on convolutional neural network (CNN) and ensemble learning for early prognosis of AD has been proposed  Compared with the CNN classification model based on a single slice, the proposed classifiers ensemble based on multiple two-dimensional slices from three dimensions could use more effective information contained in MRI to improve classification accuracy and stability in a parallel computing mode 阿尔茨海默症（AD）是一种典型的神经退行性疾病，临床上表现为失忆、丧失语言能力、丧失生活自理能力等。迄今为止，AD 病因尚不明确且病程不可逆，也没有治愈的方法，因此，AD 的早期诊断对于研发新型药物和措施以减缓病情发展具有重要意义。轻度认知障碍（MCI）是一种介于 AD 和正常老化（HC）之间的状态。研究表明，MCI 患者比没有患过 MCI 的人更有可能发展成 AD，因此，对 MCI 患者的准确筛查成为了 AD 早期诊断的研究热点之一。随着神经影像技术和深度学习的飞速发展，越来越多的研究者使用深度学习方法对大脑神经影像如磁共振影像（MRI）进行分析，用于 AD 的早期诊断。于是，本文提出基于卷积神经网络（CNN）和集成学习的多切片集成分类模型用于 AD 早期诊断。与只用单切片训练获得的 CNN 分类模型相比，本文采用三个维度上的多个二维切片进行训练而获得的集成分类器模型，能更充分地利用 MRI 包含的有效信息，从而提高分类的准确率和稳定性。 </t>
  </si>
  <si>
    <t xml:space="preserve">School of Computers, Guangdong University of Technology, Guangzhou 510006, P R China;Guangdong Key Laboratory of Big Data Analysis and Processing, Guangzhou 510006, P R China </t>
  </si>
  <si>
    <t>Zeng, A; Jia, L; Pan, D; Song, X</t>
  </si>
  <si>
    <t>10 31083/j rcm 2019 03 5201</t>
  </si>
  <si>
    <t xml:space="preserve">Optical Coherence Tomography Vulnerable Plaque Segmentation Based on Deep Residual U-Net </t>
  </si>
  <si>
    <t xml:space="preserve">Automatic and accurate segmentation of intravascular optical coherence tomography imagery is of great importance in computer-aided diagnosis and in treatment of cardiovascular diseases  However, this task has not been well addressed for two reasons  First, because of the difficulty of acquisition, and the laborious labeling from personnel, optical coherence tomography image datasets are usually small  Second, optical coherence tomography images contain a variety of imaging artifacts, which hinder a clear observation of the vascular wall  In order to overcome these limitations, a new method of cardiovascular vulnerable plaque segmentation is proposed  This method constructs a novel Deep Residual U-Net to segment vulnerable plaque regions  Furthermore, in order to overcome the inaccuracy in object boundary segmentation which previous research has shown extensively, a loss function consisting of weighted cross-entropy loss and Dice coefficient is proposed to solve this problem  Thorough experiments and analysis have been carried out to verify the effectiveness and superior performance of the proposed method </t>
  </si>
  <si>
    <t>CNN,UNET,VGG</t>
  </si>
  <si>
    <t xml:space="preserve">College of Mechanical Engineering and Automation, Northeastern University, Shenyang, 110004, P  R  China </t>
  </si>
  <si>
    <t>Li, L; Jia, T</t>
  </si>
  <si>
    <t>10 3168/jds 2018-16164</t>
  </si>
  <si>
    <t xml:space="preserve">Automatic monitoring system for individual dairy cows based on a deep learning framework that provides identification via body parts and estimation of body condition score </t>
  </si>
  <si>
    <t xml:space="preserve">Body condition score (BCS) is a common tool for indirectly estimating the mobilization of energy reserves in the fat and muscle of cattle that meets the requirements of animal welfare and precision livestock farming for the effective monitoring of individual animals  However, previous studies on automatic BCS systems have used manual scoring for data collection, and traditional image extraction methods have limited model performance accuracy  In addition, the radio frequency identification device system commonly used in ranching has the disadvantages of misreadings and damage to bovine bodies  Therefore, the aim of this research was to develop and validate an automatic system for identifying individuals and assessing BCS using a deep learning framework  This work developed a linear regression model of BCS using ultrasound backfat thickness to determine BCS for training sets and tested a system based on convolutional neural networks with 3 channels, including depth, gray, and phase congruency, to analyze the back images of 686 cows  After we performed an analysis of image model performance, online verification was used to evaluate the accuracy and precision of the system  The results showed that the selected linear regression model had a high coefficient of determination value (0 976), and the correlation coefficient between manual BCS and ultrasonic BCS was 0 94  Although the overall accuracy of the BCS estimations was high (0 45, 0 77, and 0 98 within 0, 0 25, and 0 5 unit, respectively), the validation for actual BCS ranging from 3 25 to 3 5 was weak (the F1 scores were only 0 6 and 0 57, respectively, within the 0 25-unit range)  Overall, individual identification and BCS assessment performed well in the online measurement, with accuracies of 0 937 and 0 409, respectively  A system for individual identification and BCS assessment was developed, and a convolutional neural network using depth, gray, and phase congruency channels to interpret image features exhibited advantages for monitoring thin cows </t>
  </si>
  <si>
    <t>CNN,DenseNet,SqueezeNet</t>
  </si>
  <si>
    <t xml:space="preserve">College of Animal Sciences and Technology, Northeast Agriculture University, Harbin 150030, PR China </t>
  </si>
  <si>
    <t>Yukun, S; Pengju, H; Yujie, W; Ziqi, C; Yang, L; Baisheng, D; Runze, L; Yonggen, Z</t>
  </si>
  <si>
    <t>10 1016/j ijmedinf 2019 05 021</t>
  </si>
  <si>
    <t xml:space="preserve">Identifying incidental findings from radiology reports of trauma patients: An evaluation of automated feature representation methods </t>
  </si>
  <si>
    <t xml:space="preserve">Radiologic imaging of trauma patients often uncovers findings that are unrelated to the trauma  These are termed as incidental findings and identifying them in radiology examination reports is necessary for appropriate follow-up  We developed and evaluated an automated pipeline to identify incidental findings at sentence and section levels in radiology reports of trauma patients We created an annotated dataset of 4,181 reports and investigated automated feature representations including traditional word and clinical concept (such as SNOMED CT) representations, as well as word and concept embeddings  We evaluated these representations by using them with traditional classifiers such as logistic regression and with deep learning methods such as convolutional neural networks (CNNs) The best performance was observed using word embeddings with CNNs with F1 scores of 0 66 and 0 52 at section and sentence levels respectively  The F1 score was statistically significantly higher for sections compared to sentences (Wilcoxon; Z &lt; 0 001, p &lt; 0 05)  Compared to using words alone, the addition of SNOMED CT concepts did not improve performance  At the sentence level, the F1 score improved significantly from 0 46 to 0 52 when using pre-trained embeddings (Wilcoxon; Z &lt; 0 001, p &lt; 0 05) The results show that the best performance was achieved by using embeddings with CNNs at both sentence and section levels  This provides evidence that such a pipeline is capable of accurately identifying incidental findings in radiology reports in an automated manner </t>
  </si>
  <si>
    <t>genitourinary,thoracic,breast,musculoskeletal,head and neck</t>
  </si>
  <si>
    <t xml:space="preserve">Intelligent Systems Program, University of Pittsburgh, Pittsburgh, PA, United States; School of Computing and Information, University of Pittsburgh, Pittsburgh, PA, United States </t>
  </si>
  <si>
    <t>Trivedi, G; Hong, C; Dadashzadeh, ER; Handzel, RM; Hochheiser, H; Visweswaran, S</t>
  </si>
  <si>
    <t>10 1155/2019/3059170</t>
  </si>
  <si>
    <t xml:space="preserve">Automated Ventricular System Segmentation in Paediatric Patients Treated for Hydrocephalus Using Deep Learning Methods </t>
  </si>
  <si>
    <t xml:space="preserve">Hydrocephalus is a common neurological condition that can have traumatic ramifications and can be lethal without treatment  Nowadays, during therapy radiologists have to spend a vast amount of time assessing the volume of cerebrospinal fluid (CSF) by manual segmentation on Computed Tomography (CT) images  Further, some of the segmentations are prone to radiologist bias and high intraobserver variability  To improve this, researchers are exploring methods to automate the process, which would enable faster and more unbiased results  In this study, we propose the application of U-Net convolutional neural network in order to automatically segment CT brain scans for location of CSF  U-Net is a neural network that has proven to be successful for various interdisciplinary segmentation tasks  We optimised training using state of the art methods, including "1cycle" learning rate policy, transfer learning, generalized dice loss function, mixed float precision, self-attention, and data augmentation  Even though the study was performed using a limited amount of data (80 CT images), our experiment has shown near human-level performance  We managed to achieve a 0 917 mean dice score with 0 0352 standard deviation on cross validation across the training data and a 0 9506 mean dice score on a separate test set  To our knowledge, these results are better than any known method for CSF segmentation in hydrocephalic patients, and thus, it is promising for potential practical applications </t>
  </si>
  <si>
    <t xml:space="preserve">Department of Radiology, Poznań University of Medical Sciences, Poznań, Poland </t>
  </si>
  <si>
    <t>Klimont, M; Flieger, M; Rzeszutek, J; Stachera, J; Zakrzewska, A; Jończyk-Potoczna, K</t>
  </si>
  <si>
    <t>10 1038/s41592-019-0500-1</t>
  </si>
  <si>
    <t xml:space="preserve">Protein secondary structure detection in intermediate-resolution cryo-EM maps using deep learning </t>
  </si>
  <si>
    <t xml:space="preserve">Although structures determined at near-atomic resolution are now routinely reported by cryo-electron microscopy (cryo-EM), many density maps are determined at an intermediate resolution, and extracting structure information from these maps is still a challenge  We report a computational method, Emap2sec, that identifies the secondary structures of proteins (α-helices, β-sheets and other structures) in EM maps at resolutions of between 5 and 10 Å  Emap2sec uses a three-dimensional deep convolutional neural network to assign secondary structure to each grid point in an EM map  We tested Emap2sec on EM maps simulated from 34 structures at resolutions of 6 0 and 10 0 Å, as well as on 43 maps determined experimentally at resolutions of between 5 0 and 9 5 Å  Emap2sec was able to clearly identify the secondary structures in many maps tested, and showed substantially better performance than existing methods </t>
  </si>
  <si>
    <t xml:space="preserve">Department of Computer Science, Purdue University, West Lafayette, IN, USA </t>
  </si>
  <si>
    <t>Maddhuri Venkata Subramaniya, SR; Terashi, G; Kihara, D</t>
  </si>
  <si>
    <t>10 1016/j mri 2019 07 012</t>
  </si>
  <si>
    <t xml:space="preserve">Deep learning reveals untapped information for local white-matter fiber reconstruction in diffusion-weighted MRI </t>
  </si>
  <si>
    <t xml:space="preserve">Diffusion-weighted magnetic resonance imaging (DW-MRI) is of critical importance for characterizing in-vivo white matter  Models relating microarchitecture to observed DW-MRI signals as a function of diffusion sensitization are the lens through which DW-MRI data are interpreted  Numerous modern approaches offer opportunities to assess more complex intra-voxel structures  Nevertheless, there remains a substantial gap between intra-voxel estimated structures and ground truth captured by 3-D histology Herein, we propose a novel data-driven approach to model the non-linear mapping between observed DW-MRI signals and ground truth structures using a sequential deep neural network regression using residual block deep neural network (ResDNN)  Training was performed on two 3-D histology datasets of squirrel monkey brains and validated on a third  A second validation was performed using scan-rescan datasets of 12 subjects from Human Connectome Project  The ResDNN was compared with multiple micro-structure reconstruction methods and super resolved-constrained spherical deconvolution (sCSD) in particular as baseline for both the validations Angular correlation coefficient (ACC) is a correlation/similarity measure and can be interpreted as accuracy when compared with a ground truth  The median ACC of ResDNN is 0 82 and median ACC's of different variants of CSD are 0 75, 0 77, 0 79  The mean, median and std  of ResDNN &amp; sCSD ACC across 12 subjects from HCP are 0 74, 0 88, 0 31 and 0 61, 0 71, 0 31 respectively This work highlights the ability of deep learning to capture linkages between ex-vivo ground truth data with feasible MRI sequences  The data-driven approach is applicable to human in-vivo data and results in intriguingly high reproducibility of orientation structure </t>
  </si>
  <si>
    <t>DNN,resNET</t>
  </si>
  <si>
    <t xml:space="preserve">Computer Science, Vanderbilt University, Nashville, TN, USA </t>
  </si>
  <si>
    <t>Nath, V; Schilling, KG; Parvathaneni, P; Hansen, CB; Hainline, AE; Huo, Y; Blaber, JA; Lyu, I; Janve, V; Gao, Y; Stepniewska, I; Anderson, AW; Landman, BA</t>
  </si>
  <si>
    <t>10 3390/s19132970</t>
  </si>
  <si>
    <t xml:space="preserve">Deep Ensemble Learning Based Objective Grading of Macular Edema by Extracting Clinically Significant Findings from Fused Retinal Imaging Modalities </t>
  </si>
  <si>
    <t xml:space="preserve">Macular edema (ME) is a retinal condition in which central vision of a patient is affected  ME leads to accumulation of fluid in the surrounding macular region resulting in a swollen macula  Optical coherence tomography (OCT) and the fundus photography are the two widely used retinal examination techniques that can effectively detect ME  Many researchers have utilized retinal fundus and OCT imaging for detecting ME  However, to the best of our knowledge, no work is found in the literature that fuses the findings from both retinal imaging modalities for the effective and more reliable diagnosis of ME  In this paper, we proposed an automated framework for the classification of ME and healthy eyes using retinal fundus and OCT scans  The proposed framework is based on deep ensemble learning where the input fundus and OCT scans are recognized through the deep convolutional neural network (CNN) and are processed accordingly  The processed scans are further passed to the second layer of the deep CNN model, which extracts the required feature descriptors from both images  The extracted descriptors are then concatenated together and are passed to the supervised hybrid classifier made through the ensemble of the artificial neural networks, support vector machines and naïve Bayes  The proposed framework has been trained on 73,791 retinal scans and is validated on 5100 scans of publicly available Zhang dataset and Rabbani dataset  The proposed framework achieved the accuracy of 94 33% for diagnosing ME and healthy subjects and achieved the mean dice coefficient of 0 9019 ± 0 04 for accurately extracting the retinal fluids, 0 7069 ± 0 11 for accurately extracting hard exudates and 0 8203 ± 0 03 for accurately extracting retinal blood vessels against the clinical markings </t>
  </si>
  <si>
    <t xml:space="preserve">School of Automation Science and Electrical Engineering, Beihang University (BUAA), Beijing 100191, China </t>
  </si>
  <si>
    <t>Hassan, B; Hassan, T; Li, B; Ahmed, R; Hassan, O</t>
  </si>
  <si>
    <t>10 1007/s10916-019-1406-2</t>
  </si>
  <si>
    <t xml:space="preserve">Classification of Carotid Artery Intima Media Thickness Ultrasound Images with Deep Learning </t>
  </si>
  <si>
    <t xml:space="preserve">Cerebrovascular accident due to carotid artery disease is the most common cause of death in developed countries following heart disease and cancer  For a reliable early detection of atherosclerosis, Intima Media Thickness (IMT) measurement and classification are important  A new method for decision support purpose for the classification of IMT was proposed in this study  Ultrasound images are used for IMT measurements  Images are classified and evaluated by experts  This is a manual procedure, so it causes subjectivity and variability in the IMT classification  Instead, this article proposes a methodology based on artificial intelligence methods for IMT classification  For this purpose, a deep learning strategy with multiple hidden layers has been developed  In order to create the proposed model, convolutional neural network algorithm, which is frequently used in image classification problems, is used  501 ultrasound images from 153 patients were used to test the model  The images are classified by two specialists, then the model is trained and tested on the images, and the results are explained  The deep learning model in the study achieved an accuracy of 89 1% in the IMT classification with 89% sensitivity and 88% specificity  Thus, the assessments in this paper have shown that this methodology performs reasonable results for IMT classification </t>
  </si>
  <si>
    <t xml:space="preserve">Faculty of Technology, Computer Engineering Department Ph D, Gazi University, Ankara, Turkey </t>
  </si>
  <si>
    <t>Savaş, S; Topaloğlu, N; Kazcı, Ö; Koşar, PN</t>
  </si>
  <si>
    <t>10 1016/j ejmp 2019 06 003</t>
  </si>
  <si>
    <t xml:space="preserve">A cascaded dual-pathway residual network for lung nodule segmentation in CT images </t>
  </si>
  <si>
    <t xml:space="preserve">It is difficult to obtain an accurate segmentation due to the variety of lung nodules in computed tomography (CT) images  In this study, we propose a data-driven model, called the Cascaded Dual-Pathway Residual Network (CDP-ResNet) to improve the segmentation of lung nodules in the CT images  Our approach incorporates the multi-view and multi-scale features of different nodules from CT images  The proposed residual block based dual-path network extracts local features and rich contextual information of lung nodules  In addition, we designed an improved weighted sampling strategy to select training samples based on the edge  The proposed method was extensively evaluated on an LIDC dataset, which contains 986 nodules  Experimental results show that the CDP-ResNet achieves superior segmentation performance with an average DICE score (standard deviation) of 81 58% (11 05) on the LIDC dataset  Moreover, we compared our results with those of four radiologists on the same dataset  The comparison shows that the CDP-ResNet is slightly better than human experts in terms of segmentation accuracy  Meanwhile, the proposed segmentation method outperforms existing methods </t>
  </si>
  <si>
    <t xml:space="preserve">Huazhong University of Science and Technology, School of Computer Science &amp; Technology, Wuhan 430074, China </t>
  </si>
  <si>
    <t>Liu, H; Cao, H; Song, E; Ma, G; Xu, X; Jin, R; Jin, Y; Hung, CC</t>
  </si>
  <si>
    <t>10 1016/j cmpb 2019 05 006</t>
  </si>
  <si>
    <t xml:space="preserve">Segmenting brain tumors from FLAIR MRI using fully convolutional neural networks </t>
  </si>
  <si>
    <t xml:space="preserve">Magnetic resonance imaging (MRI) is an indispensable tool in diagnosing brain-tumor patients  Automated tumor segmentation is being widely researched to accelerate the MRI analysis and allow clinicians to precisely plan treatment-accurate delineation of brain tumors is a critical step in assessing their volume, shape, boundaries, and other characteristics  However, it is still a very challenging task due to inherent MR data characteristics and high variability, e g , in tumor sizes or shapes  We present a new deep learning approach for accurate brain tumor segmentation which can be trained from small and heterogeneous datasets annotated by a human reader (providing high-quality ground-truth segmentation is very costly in practice) In this paper, we present a new deep learning technique for segmenting brain tumors from fluid attenuation inversion recovery MRI  Our technique exploits fully convolutional neural networks, and it is equipped with a battery of augmentation techniques that make the algorithm robust against low data quality, and heterogeneity of small training sets  We train our models using only positive (tumorous) examples, due to the limited amount of available data Our algorithm was tested on a set of stage II-IV brain-tumor patients (image data collected using MAGNETOM Prisma 3T, Siemens)  Rigorous experiments, backed up with statistical tests, revealed that our approach outperforms the state-of-the-art approach (utilizing hand-crafted features) in terms of segmentation accuracy, offers very fast training and instant segmentation (analysis of an image takes less than a second)  Building our deep model is 1 3 times faster compared with extracting features for extremely randomized trees, and this training time can be controlled  Finally, we showed that too aggressive data augmentation may lead to deteriorated performance of the model, especially in the fixed-budget training (with maximum numbers of training epochs) Our method yields the better performance when compared with the state of the art method which utilizes hand-crafted features  In addition, our deep network can be effectively applied to difficult (small, imbalanced, and heterogeneous) datasets, offers controllable training time, and infers in real-time </t>
  </si>
  <si>
    <t xml:space="preserve">Future Processing, Bojkowska 37A, 44-100 Gliwice, Poland </t>
  </si>
  <si>
    <t>Ribalta Lorenzo, P; Nalepa, J; Bobek-Billewicz, B; Wawrzyniak, P; Mrukwa, G; Kawulok, M; Ulrych, P; Hayball, MP</t>
  </si>
  <si>
    <t>10 3779/j issn 1009-3419 2019 06 02</t>
  </si>
  <si>
    <t xml:space="preserve">[Performance of Deep-learning-based Artificial Intelligence on Detection of Pulmonary Nodules in Chest CT] </t>
  </si>
  <si>
    <t xml:space="preserve">The detection of pulmonary nodules is a key step to achieving the early diagnosis and therapy of lung cancer  Deep learning based Artificial intelligence (AI) presents as the state of the art in the area of nodule detection, however, a validation with clinical data is necessary for further application  Therefore, the aim of this study is to evaluate the performance of AI in the detection of malignant and non-calcified nodules in chest CT Two hundred chest computed tomography (CT) data were randomly selected from a self-built nodule database from Tianjin Medical University General Hospital  Both the pathology confirmed lung cancers and the nodules in the process of follow-up were included  All CTs were processed by AI and the results were compared with that of radiologists retrieved from the original medical reports  The ground truths were further determined by two experienced radiologists  The size and characteristics of the nodules were evaluated as well  The sensitivity and false positive rate were used to evaluate the effectiveness of AI and radiologists in detecting nodules  The McNemar test was used to determine whether there was a significant difference A total of 889 non-calcified nodules were determined by experts on chest CT, including 133 lung cancers  Of them, 442 nodules were less than 5 mm  The cancer detection rates of AI and radiologists are 100%  The sensitivity of AI on nodule detection was significantly higher than that of radiologists (99 1% vs 43%, P&lt;0 001)  The false-positive rate of AI was 4 9 per CT and decreased to 1 5 when nodules less than 5 mm were excluded AI achieves the detection of all malignancies and improve the sensitivity of pulmonary nodules detection beyond radiologists, with a low false positive rate after excluding small nodules 【中文题目：基于深度学习的人工智能胸部CT肺结节检测效能评估】 【中文摘要：背景与目的 肺结节精确检测是实现肺癌早诊的基础。基于深度学习的人工智能在肺内结节检测领域发展迅速，对其效能进行验证是促进其应用于临床的前提。本研究旨在评估基于深度学习技术的人工智能软件在胸部计算机断层扫描（computed tomography, CT）恶性及非钙化结节检出中的价值。方法 由天津医科大学总医院自建胸部CT肺结节数据库中随机抽取200例胸部CT数据，包含病理证实的肺癌及随访结节病例，导入肺结节人工智能识别系统，记录软件自动识别结节，并与原始影像报告结果进行对比。人工智能软件及阅片者检测到的结节由2名胸部专家进行评估并记录其大小及特征。计算灵敏度、假阳性率评估人工智能软件及医师的结节检测效能，应用McNemar检验确定二者之间是否存在显著性差异。结果 200例胸部多层螺旋CT共包含非钙化结节889枚，其中肺癌结节133枚，小于5 mm结节442枚。人工智能及放射科医师肺癌检出率皆为100%。人工智能软件结节检测灵敏度明显高于放射科医师（99 1% vs 43%, P&lt;0 001）。人工智能总体假阳性率为每例CT 4 9个，排除5 mm以下结节后降为1 5个。结论 基于深度学习的人工智能软件能实现恶性肺结节的无漏诊检出，具有较医师更高的结节检出灵敏度，在排除微小结节后可降低假阳性率。
】 【中文关键词：计算机体层成像；肺结节；深度学习；人工智能；检出】 </t>
  </si>
  <si>
    <t xml:space="preserve">Department of Radiology, Tianjin Medical University General Hospital, Tianjin 300052, China </t>
  </si>
  <si>
    <t>Li, X; Guo, F; Zhou, Z; Zhang, F; Wang, Q; Peng, Z; Su, D; Fan, Y; Wang, Y</t>
  </si>
  <si>
    <t>10 1007/s11548-019-02011-2</t>
  </si>
  <si>
    <t xml:space="preserve">Enabling machine learning in X-ray-based procedures via realistic simulation of image formation </t>
  </si>
  <si>
    <t xml:space="preserve">Machine learning-based approaches now outperform competing methods in most disciplines relevant to diagnostic radiology  Image-guided procedures, however, have not yet benefited substantially from the advent of deep learning, in particular because images for procedural guidance are not archived and thus unavailable for learning, and even if they were available, annotations would be a severe challenge due to the vast amounts of data  In silico simulation of X-ray images from 3D CT is an interesting alternative to using true clinical radiographs since labeling is comparably easy and potentially readily available We extend our framework for fast and realistic simulation of fluoroscopy from high-resolution CT, called DeepDRR, with tool modeling capabilities  The framework is publicly available, open source, and tightly integrated with the software platforms native to deep learning, i e , Python, PyTorch, and PyCuda  DeepDRR relies on machine learning for material decomposition and scatter estimation in 3D and 2D, respectively, but uses analytic forward projection and noise injection to ensure acceptable computation times  On two X-ray image analysis tasks, namely (1) anatomical landmark detection and (2) segmentation and localization of robot end-effectors, we demonstrate that convolutional neural networks (ConvNets) trained on DeepDRRs generalize well to real data without re-training or domain adaptation  To this end, we use the exact same training protocol to train ConvNets on naïve and DeepDRRs and compare their performance on data of cadaveric specimens acquired using a clinical C-arm X-ray system Our findings are consistent across both considered tasks  All ConvNets performed similarly well when evaluated on the respective synthetic testing set  However, when applied to real radiographs of cadaveric anatomy, ConvNets trained on DeepDRRs significantly outperformed ConvNets trained on naïve DRRs ([Formula: see text]) Our findings for both tasks are positive and promising  Combined with complementary approaches, such as image style transfer, the proposed framework for fast and realistic simulation of fluoroscopy from CT contributes to promoting the implementation of machine learning in X-ray-guided procedures  This paradigm shift has the potential to revolutionize intra-operative image analysis to simplify surgical workflows </t>
  </si>
  <si>
    <t xml:space="preserve">Department of Computer Science, Johns Hopkins University, Baltimore, MD, USA </t>
  </si>
  <si>
    <t>Unberath, M; Zaech, JN; Gao, C; Bier, B; Goldmann, F; Lee, SC; Fotouhi, J; Taylor, R; Armand, M; Navab, N</t>
  </si>
  <si>
    <t>10 1155/2019/9783106</t>
  </si>
  <si>
    <t xml:space="preserve">Noninvasive Evaluation of the Pathologic Grade of Hepatocellular Carcinoma Using MCF-3DCNN: A Pilot Study </t>
  </si>
  <si>
    <t xml:space="preserve">To evaluate the diagnostic performance of deep learning with a multichannel fusion three-dimensional convolutional neural network (MCF-3DCNN) in the differentiation of the pathologic grades of hepatocellular carcinoma (HCC) based on dynamic contrast-enhanced magnetic resonance images (DCE-MR images) Fifty-one histologically proven HCCs from 42 consecutive patients from January 2015 to September 2017 were included in this retrospective study  Pathologic examinations revealed nine well-differentiated (WD), 35 moderately differentiated (MD), and seven poorly differentiated (PD) HCCs  DCE-MR images with five phases were collected using a 3 0 Tesla MR scanner  The 4D-tensor representation was employed to organize the collected data in one temporal and three spatial dimensions by referring to the phases and 3D scanning slices of the DCE-MR images  A deep learning diagnosis model with MCF-3DCNN was proposed, and the structure of MCF-3DCNN was determined to approximate clinical diagnosis experience by taking into account the significance of the spatial and temporal information from DCE-MR images  Then, MCF-3DCNN was trained based on well-labeled samples of HCC lesions from real patient cases by experienced radiologists  The accuracy when differentiating the pathologic grades of HCC was calculated, and the performance of MCF-3DCNN in lesion diagnosis was assessed  Additionally, the areas under the receiver operating characteristic curves (AUC) for distinguishing WD, MD, and PD HCCs were calculated MCF-3DCNN achieved an average accuracy of 0 7396±0 0104 with regard to totally differentiating the pathologic grade of HCC  MCF-3DCNN also achieved the highest diagnostic performance for discriminating WD HCCs from others, with an average AUC, accuracy, sensitivity, and specificity of 0 96, 91 00%, 96 88%, and 89 62%, respectively This study indicates that MCF-3DCNN can be a promising technology for evaluating the pathologic grade of HCC based on DCE-MR images </t>
  </si>
  <si>
    <t xml:space="preserve">Department of Radiology, Beijing Friendship Hospital, Capital Medical University, Beijing 100050, China </t>
  </si>
  <si>
    <t>Yang, DW; Jia, XB; Xiao, YJ; Wang, XP; Wang, ZC; Yang, ZH</t>
  </si>
  <si>
    <t>10 1007/s10916-019-1358-6</t>
  </si>
  <si>
    <t xml:space="preserve">DRRNet: Dense Residual Refine Networks for Automatic Brain Tumor Segmentation </t>
  </si>
  <si>
    <t xml:space="preserve">Glioma is one of the most common and aggressive brain tumors  Segmentation and subsequent quantitative analysis of brain tumor MRI are routine and crucial for treatment  Due to the time-consuming and tedious manual segmentation, automatic segmentation methods are required for accurate and timely treatment  Recently, segmentation methods based on deep learning are popular because of their self-learning and generalization ability  Therefore, we propose a novel automatic 3D CNN-based method for brain tumor segmentation  In order to better capture the contextual information, we design the network architecture based on u-net and replace the simple skip connection with encoder adaptation blocks  To further improve the performance and reduce computational burden at the same time, we also use dense connected fusion blocks in decoder  We train our model with generalised dice loss function to alleviate the problem of class imbalance  The proposed model is evaluated on the BRATS 2015 testing dataset and obtains dice scores of 0 84, 0 72 and 0 62 for whole tumor, tumor core and enhancing tumor, respectively  Our model is accurate and efficient, achieving results that comparable to the reported state-of-the-art results </t>
  </si>
  <si>
    <t>CNN,unet</t>
  </si>
  <si>
    <t xml:space="preserve">School of Control Science and Engineering, Shandong University, Jinan, 250061, China </t>
  </si>
  <si>
    <t>Sun, J; Chen, W; Peng, S; Liu, B</t>
  </si>
  <si>
    <t>10 3390/s19112573</t>
  </si>
  <si>
    <t xml:space="preserve">Cerebral Small Vessel Disease Biomarkers Detection on MRI-Sensor-Based Image and Deep Learning </t>
  </si>
  <si>
    <t xml:space="preserve">Magnetic resonance imaging (MRI) offers the most detailed brain structure image available today; it can identify tiny lesions or cerebral cortical abnormalities  The primary purpose of the procedure is to confirm whether there is structural variation that causes epilepsy, such as hippocampal sclerotherapy, local cerebral cortical dysplasia, and cavernous hemangioma  Cerebrovascular disease, the second most common factor of death in the world, is also the fourth leading cause of death in Taiwan, with cerebrovascular disease having the highest rate of stroke  Among the most common are large vascular atherosclerotic lesions, small vascular lesions, and cardiac emboli  The purpose of this thesis is to establish a computer-aided diagnosis system based on small blood vessel lesions in MRI images, using the method of Convolutional Neural Network and deep learning to analyze brain vascular occlusion by analyzing brain MRI images  Blocks can help clinicians more quickly determine the probability and severity of stroke in patients  We analyzed MRI data from 50 patients, including 30 patients with stroke, 17 patients with occlusion but no stroke, and 3 patients with dementia  This system mainly helps doctors find out whether there are cerebral small vessel lesions in the brain MRI images, and to output the found results into labeled images  The marked contents include the position coordinates of the small blood vessel blockage, the block range, the area size, and if it may cause a stroke  Finally, all the MRI images of the patient are synthesized, showing a 3D display of the small blood vessels in the brain to assist the doctor in making a diagnosis or to provide accurate lesion location for the patient </t>
  </si>
  <si>
    <t xml:space="preserve">Department of Electrical Engineering, National Taiwan Ocean University, Keelung 20224, Taiwan </t>
  </si>
  <si>
    <t>Hsieh, YZ; Luo, YC; Pan, C; Su, MC; Chen, CJ; Hsieh, KL</t>
  </si>
  <si>
    <t>10 1186/s12938-019-0675-9</t>
  </si>
  <si>
    <t xml:space="preserve">Microaneurysm detection in fundus images using a two-step convolutional neural network </t>
  </si>
  <si>
    <t xml:space="preserve">Diabetic retinopathy (DR) is the leading cause of blindness worldwide, and therefore its early detection is important in order to reduce disease-related eye injuries  DR is diagnosed by inspecting fundus images  Since microaneurysms (MA) are one of the main symptoms of the disease, distinguishing this complication within the fundus images facilitates early DR detection  In this paper, an automatic analysis of retinal images using convolutional neural network (CNN) is presented Our method incorporates a novel technique utilizing a two-stage process with two online datasets which results in accurate detection while solving the imbalance data problem and decreasing training time in comparison with previous studies  We have implemented our proposed CNNs using the Keras library In order to evaluate our proposed method, an experiment was conducted on two standard publicly available datasets, i e , Retinopathy Online Challenge dataset and E-Ophtha-MA dataset  Our results demonstrated a promising sensitivity value of about 0 8 for an average of &gt;6 false positives per image, which is competitive with state of the art approaches Our method indicates significant improvement in MA-detection using retinal fundus images for monitoring diabetic retinopathy </t>
  </si>
  <si>
    <t xml:space="preserve">Machine Vision Lab , Computer Engineering Department, Faculty of Engineering, Ferdowsi University of Mashhad (FUM), Azadi Sqr , Mashhad, Iran </t>
  </si>
  <si>
    <t>Eftekhari, N; Pourreza, HR; Masoudi, M; Ghiasi-Shirazi, K; Saeedi, E</t>
  </si>
  <si>
    <t>10 1038/s10038-019-0619-z</t>
  </si>
  <si>
    <t xml:space="preserve">Evaluation of Face2Gene using facial images of patients with congenital dysmorphic syndromes recruited in Japan </t>
  </si>
  <si>
    <t xml:space="preserve">An increasing number of genetic syndromes present a challenge to clinical geneticists  A deep learning-based diagnosis assistance system, Face2Gene, utilizes the aggregation of "gestalt," comprising data summarizing features of patients' facial images, to suggest candidate syndromes  Because Face2Gene's results may be affected by ethnicity and age at which training facial images were taken, the system performance for patients in Japan is still unclear  Here, we present an evaluation of Face2Gene using the following two patient groups recruited in Japan: Group 1 consisting of 74 patients with 47 congenital dysmorphic syndromes, and Group 2 consisting of 34 patients with Down syndrome  In Group 1, facial recognition failed for 4 of 74 patients, while 13-21 of 70 patients had a diagnosis for which Face2Gene had not been trained  Omitting these 21 patients, for 85 7% (42/49) of the remainder, the correct syndrome was identified within the top 10 suggested list  In Group 2, for the youngest facial images taken for each of the 34 patients, Down syndrome was successfully identified as the highest-ranking condition using images taken from newborns to those aged 25 years  For the oldest facial images taken at ≥20 years in each of 17 applicable patients, Down syndrome was successfully identified as the highest- and second-highest-ranking condition in 82 2% (14/17) and 100% (17/17) of the patients using images taken from 20 to 40 years  These results suggest that Face2Gene in its current format is already useful in suggesting candidate syndromes to clinical geneticists, using patients with congenital dysmorphic syndromes in Japan </t>
  </si>
  <si>
    <t xml:space="preserve">Department of Human Genetics, Nagasaki University Graduate School of Biomedical Sciences, Nagasaki, Japan </t>
  </si>
  <si>
    <t>Mishima, H; Suzuki, H; Doi, M; Miyazaki, M; Watanabe, S; Matsumoto, T; Morifuji, K; Moriuchi, H; Yoshiura, KI; Kondoh, T; Kosaki, K</t>
  </si>
  <si>
    <t>10 3934/mbe 2019097</t>
  </si>
  <si>
    <t xml:space="preserve">Identifying concepts from medical images via transfer learning and image retrieval </t>
  </si>
  <si>
    <t xml:space="preserve">Automatically identifying semantic concepts from medical images provides multimodal insights for clinical research  To study the effectiveness of concept detection on large scale medical images, we reconstructed over 230,000 medical image-concepts pairs collected from the ImageCLEFcaption 2018 evaluation task  A transfer learning-based multi-label classification model was used to predict multiple high-frequency concepts for medical images  Semantically relevant concepts of visually similar medical images were identified by the image retrieval-based topic model  The results showed that the transfer learning method achieved F1 score of 0 1298, which was comparable with the state of art methods in the ImageCLEFcaption tasks  The image retrieval-based method contributed to the recall performance but reduced the overall F1 score, since the retrieval results of the search engine introduced irrelevant concepts  Although our proposed method achieved second-best performance in the concept detection subtask of ImageCLEFcaption 2018, there will be plenty of further work to improve the concept detection with better understanding the medical images </t>
  </si>
  <si>
    <t xml:space="preserve">Institute of Medical Information and Library, Chinese Academy of Medical Sciences/Peking Union Medical College, Beijing 100020, China </t>
  </si>
  <si>
    <t>Wang, XW; Zhang, Y; Guo, Z; Li, J</t>
  </si>
  <si>
    <t>10 1016/j tice 2019 04 009</t>
  </si>
  <si>
    <t xml:space="preserve">A comparative study of deep learning architectures on melanoma detection </t>
  </si>
  <si>
    <t xml:space="preserve">Melanoma is the most aggressive type of skin cancer, which significantly reduces the life expectancy  Early detection of melanoma can reduce the morbidity and mortality associated with skin cancer  Dermoscopic images acquired by dermoscopic instruments are used in computational analysis for skin cancer detection  However, some image quality limitations such as noises, shadows, artefacts exist that could compromise the robustness of the skin image analysis  Hence, developing an automatic intelligent system for skin cancer diagnosis with accurate detection rate is crucial  In this paper, we evaluate the performance of several state-of-the-art convolutional neural networks in dermoscopic images of skin lesions  Our experiment is conducted on a graphics processing unit (GPU) to speed up the training and deployment process  To enhance the quality of images, we employ different pre-processing steps  We also apply data augmentation methodology such as horizontal and vertical flipping techniques to address the class skewness problem  Both pre-processing and data augmentation could help to improve the final accuracy </t>
  </si>
  <si>
    <t>CNN,Xception,AlexNet,VGG,Resnet</t>
  </si>
  <si>
    <t xml:space="preserve">Department of Computer Science, University of Saskatchewan, Saskatchewan, Canada </t>
  </si>
  <si>
    <t>Hosseinzadeh Kassani, S; Hosseinzadeh Kassani, P</t>
  </si>
  <si>
    <t>10 31557/APJCP 2019 20 5 1555</t>
  </si>
  <si>
    <r>
      <t xml:space="preserve">Deep Learning Based </t>
    </r>
    <r>
      <rPr>
        <sz val="10"/>
        <color indexed="10"/>
        <rFont val="Arial"/>
        <family val="2"/>
      </rPr>
      <t>Skin L</t>
    </r>
    <r>
      <rPr>
        <sz val="10"/>
        <rFont val="Arial"/>
        <family val="2"/>
      </rPr>
      <t>esion S</t>
    </r>
    <r>
      <rPr>
        <sz val="10"/>
        <color indexed="10"/>
        <rFont val="Arial"/>
        <family val="2"/>
      </rPr>
      <t>egmentation and Classification o</t>
    </r>
    <r>
      <rPr>
        <sz val="10"/>
        <rFont val="Arial"/>
        <family val="2"/>
      </rPr>
      <t xml:space="preserve">f Melanoma Using </t>
    </r>
    <r>
      <rPr>
        <sz val="10"/>
        <color indexed="10"/>
        <rFont val="Arial"/>
        <family val="2"/>
      </rPr>
      <t>Support Vector Machine (SVM)</t>
    </r>
  </si>
  <si>
    <t xml:space="preserve">Objective: The main objective of this study is to improve the classification performance of melanoma using deep
learning based automatic skin lesion segmentation  It can be assist medical experts on early diagnosis of melanoma
on dermoscopy images  Methods: First A Convolutional Neural Network (CNN) based U-net algorithm is used for
segmentation process  Then extract color, texture and shape features from the segmented image using Local Binary
Pattern ( LBP), Edge Histogram (EH), Histogram of Oriented Gradients (HOG) and Gabor method  Finally all the
features extracted from these methods were fed into the Support Vector Machine (SVM), Random Forest (RF), K-Nearest
Neighbor (KNN) and Naïve Bayes (NB) classifiers to diagnose the skin image which is either melanoma or benign
lesions  Results: Experimental results show the effectiveness of the proposed method  The Dice co-efficiency value
of 77 5% is achieved for image segmentation and SVM classifier produced 85 19% of accuracy  Conclusion: In deep
learning environment, U-Net segmentation algorithm is found to be the best method for segmentation and it helps to
improve the classification performance </t>
  </si>
  <si>
    <t xml:space="preserve">Research Scholar, Department of Computer Science, Periyar University, Tamil Nadu, India </t>
  </si>
  <si>
    <t>R D, S; A, S</t>
  </si>
  <si>
    <t>10 3390/cells8050499</t>
  </si>
  <si>
    <t xml:space="preserve">Multi-Path Dilated Residual Network for Nuclei Segmentation and Detection </t>
  </si>
  <si>
    <t xml:space="preserve">As a typical biomedical detection task, nuclei detection has been widely used in human health management, disease diagnosis and other fields  However, the task of cell detection in microscopic images is still challenging because the nuclei are commonly small and dense with many overlapping nuclei in the images  In order to detect nuclei, the most important key step is to segment the cell targets accurately  Based on Mask RCNN model, we designed a multi-path dilated residual network, and realized a network structure to segment and detect dense small objects, and effectively solved the problem of information loss of small objects in deep neural network  The experimental results on two typical nuclear segmentation data sets show that our model has better recognition and segmentation capability for dense small targets </t>
  </si>
  <si>
    <t>genitourinary,breast,abdominal</t>
  </si>
  <si>
    <t xml:space="preserve">MASK R-CNN,RESNET
</t>
  </si>
  <si>
    <t xml:space="preserve">Harbin Institute of Technology, Shenzhen 518055, China </t>
  </si>
  <si>
    <t>Wang, EK; Zhang, X; Pan, L; Cheng, C; Dimitrakopoulou-Strauss, A; Li, Y; Zhe, N</t>
  </si>
  <si>
    <t>10 1007/s10549-019-05281-1</t>
  </si>
  <si>
    <t xml:space="preserve">Breast cancer outcome prediction with tumour tissue images and machine learning </t>
  </si>
  <si>
    <t xml:space="preserve">Recent advances in machine learning have enabled better understanding of large and complex visual data  Here, we aim to investigate patient outcome prediction with a machine learning method using only an image of tumour sample as an input Utilising tissue microarray (TMA) samples obtained from the primary tumour of patients (N = 1299) within a nationwide breast cancer series with long-term-follow-up, we train and validate a machine learning method for patient outcome prediction  The prediction is performed by classifying samples into low or high digital risk score (DRS) groups  The outcome classifier is trained using sample images of 868 patients and evaluated and compared with human expert classification in a test set of 431 patients In univariate survival analysis, the DRS classification resulted in a hazard ratio of 2 10 (95% CI 1 33-3 32, p = 0 001) for breast cancer-specific survival  The DRS classification remained as an independent predictor of breast cancer-specific survival in a multivariate Cox model with a hazard ratio of 2 04 (95% CI 1 20-3 44, p = 0 007)  The accuracy (C-index) of the DRS grouping was 0 60 (95% CI 0 55-0 65), as compared to 0 58 (95% CI 0 53-0 63) for human expert predictions based on the same TMA samples Our findings demonstrate the feasibility of learning prognostic signals in tumour tissue images without domain knowledge  Although further validation is needed, our study suggests that machine learning algorithms can extract prognostically relevant information from tumour histology complementing the currently used prognostic factors in breast cancer </t>
  </si>
  <si>
    <t xml:space="preserve">Institute for Molecular Medicine Finland (FIMM), University of Helsinki, Helsinki, Finland </t>
  </si>
  <si>
    <t>Turkki, R; Byckhov, D; Lundin, M; Isola, J; Nordling, S; Kovanen, PE; Verrill, C; von Smitten, K; Joensuu, H; Lundin, J; Linder, N</t>
  </si>
  <si>
    <t>10 1016/j cmpb 2019 04 006</t>
  </si>
  <si>
    <t xml:space="preserve">Deep feature descriptor based hierarchical dense matching for X-ray angiographic images </t>
  </si>
  <si>
    <t xml:space="preserve">Backgroud and Objective: X-ray angiography, a powerful technique for blood vessel visualization, is widely used for interventional diagnosis of coronary artery disease because of its fast imaging speed and perspective inspection ability  Matching feature points in angiographic images is a considerably challenging task due to repetitive weak-textured regions In this paper, we propose an angiographic image matching method based on the hierarchical dense matching framework, where a novel deep feature descriptor is designed to compute multilevel correlation maps  In particular, the deep feature descriptor is computed by a deep learning model specifically designed and trained for angiographic images, thereby making the correlation maps more distinctive for corresponding feature points in different angiographic images  Moreover, point correspondences are further hierarchically extracted from multilevel correlation maps with the highest similarity response(s), which is relatively robust and accurate  To overcome the problem regarding the lack of training samples, the convolutional neural network (designed for deep feature descriptor) is initially trained on samples from natural images and then fine-tuned on manually annotated angiographic images  Finally, a dense matching completion method, based on the distance between deep feature descriptors, is proposed to generate dense matches between images The proposed method has been evaluated on the number and accuracy of extracted matches and the performance of subtraction images  Experiments on a variety of angiographic images show promising matching accuracy, compared with state-of-the-art methods The proposed angiographic image matching method is shown to be accurate and effective for feature matching in angiographic images, and further achieves good performance in image subtraction </t>
  </si>
  <si>
    <t xml:space="preserve">Beijing Engineering Research Center of Mixed Reality and Advanced Display, School of Optics and Photonics, Beijing Institute of Technology, Beijing 100081, China; Department of Radiology and BRIC, University of North Carolina at Chapel Hill, Chapel Hill, NC 27599, USA </t>
  </si>
  <si>
    <t>Fan, J; Yang, J; Wang, Y; Yang, S; Ai, D; Huang, Y; Song, H; Wang, Y; Shen, D</t>
  </si>
  <si>
    <t>10 1016/j ebiom 2019 04 055</t>
  </si>
  <si>
    <t xml:space="preserve">Skin cancer detection by deep learning and sound analysis algorithms: A prospective clinical study of an elementary dermoscope </t>
  </si>
  <si>
    <t xml:space="preserve">Skin cancer (SC), especially melanoma, is a growing public health burden  Experimental studies have indicated a potential diagnostic role for deep learning (DL) algorithms in identifying SC at varying sensitivities  Previously, it was demonstrated that diagnostics by dermoscopy are improved by applying an additional sonification (data to sound waves conversion) layer on DL algorithms  The aim of the study was to determine the impact of image quality on accuracy of diagnosis by sonification employing a rudimentary skin magnifier with polarized light (SMP) Dermoscopy images acquired by SMP were processed by a first deep learning algorithm and sonified  Audio output was further analyzed by a different secondary DL  Study criteria outcomes of SMP were specificity and sensitivity, which were further processed by a F2-score, i e  applying a twice extra weight to sensitivity over positive predictive values Patients (n = 73) fulfilling inclusion criteria were referred to biopsy  SMP analysis metrics resulted in a receiver operator characteristic curve AUC's of 0 814 (95% CI, 0 798-0 831)  SMP achieved a F2-score sensitivity of 91 7%, specificity of 41 8% and positive predictive value of 57 3%  Diagnosing the same set of patients' lesions by an advanced dermoscope resulted in a F2-score sensitivity of 89 5%, specificity of 57 8% and a positive predictive value of 59 9% (P=NS) DL processing of dermoscopic images followed by sonification results in an accurate diagnostic output for SMP, implying that the quality of the dermoscope is not the major factor influencing DL diagnosis of skin cancer  Present system might assist all healthcare providers as a feasible computer-assisted detection system  FUND: Bostel Technologies  Trial Registration clinicaltrials gov Identifier: NCT03362138 </t>
  </si>
  <si>
    <t xml:space="preserve">Department of Physiology and Pharmacology, Sackler School of Medicine, Tel Aviv University, Tel Aviv, Israel </t>
  </si>
  <si>
    <t>Dascalu, A; David, EO</t>
  </si>
  <si>
    <t>10 1002/mp 13583</t>
  </si>
  <si>
    <t xml:space="preserve">Projection-domain scatter correction for cone beam computed tomography using a residual convolutional neural network </t>
  </si>
  <si>
    <t xml:space="preserve">Scatter is a major factor degrading the image quality of cone beam computed tomography (CBCT)  Conventional scatter correction strategies require handcrafted analytical models with ad hoc assumptions, which often leads to less accurate scatter removal  This study aims to develop an effective scatter correction method using a residual convolutional neural network (CNN) A U-net based 25-layer CNN was constructed for CBCT scatter correction  The establishment of the model consists of three steps: model training, validation, and testing  For model training, a total of 1800 pairs of x-ray projection and the corresponding scatter-only distribution in nonanthropomorphic phantoms taken in full-fan scan were generated using Monte Carlo simulation of a CBCT scanner installed with a proton therapy system  An end-to-end CNN training was implemented with two major loss functions for 100 epochs with a mini-batch size of 10  Image rotations and flips were randomly applied to augment the training datasets during training  For validation, 200 projections of a digital head phantom were collected  The proposed CNN-based method was compared to a conventional projection-domain scatter correction method named fast adaptive scatter kernel superposition (fASKS) method using 360 projections of an anthropomorphic head phantom  Two different loss functions were applied for the same CNN to evaluate the impact of loss functions on the final results  Furthermore, the CNN model trained with full-fan projections was fine-tuned for scatter correction in half-fan scan by using transfer learning with additional 360 half-fan projection pairs of nonanthropomorphic phantoms  The tuned-CNN model for half-fan scan was compared with the fASKS method as well as the CNN-based method without the fine-tuning using additional lung phantom projections The CNN-based method provides projections with significantly reduced scatter and CBCT images with more accurate Hounsfield Units (HUs) than that of the fASKS-based method  Root mean squared error of the CNN-corrected projections was improved to 0 0862 compared to 0 278 for uncorrected projections or 0 117 for the fASKS-corrected projections  The CNN-corrected reconstruction provided better HU quantification, especially in regions near the air or bone interfaces  All four image quality measures, which include mean absolute error (MAE), mean squared error (MSE), peak signal-to-noise ratio (PSNR), and structural similarity (SSIM), indicated that the CNN-corrected images were significantly better than that of the fASKS-corrected images  Moreover, the proposed transfer learning technique made it possible for the CNN model trained with full-fan projections to be applicable to remove scatters in half-fan projections after fine-tuning with only a small number of additional half-fan training datasets  SSIM value of the tuned-CNN-corrected images was 0 9993 compared to 0 9984 for the non-tuned-CNN-corrected images or 0 9990 for the fASKS-corrected images  Finally, the CNN-based method is computationally efficient - the correction time for the 360 projections only took less than 5 s in the reported experiments on a PC (4 20 GHz Intel Core-i7 CPU) with a single NVIDIA GTX 1070 GPU The proposed deep learning-based method provides an effective tool for CBCT scatter correction and holds significant value for quantitative imaging and image-guided radiation therapy </t>
  </si>
  <si>
    <t xml:space="preserve">Department of Radiation Oncology, Faculty of Medicine and Graduate School of Medicine, Hokkaido University, Sapporo, 060-8638, Japan </t>
  </si>
  <si>
    <t>Nomura, Y; Xu, Q; Shirato, H; Shimizu, S; Xing, L</t>
  </si>
  <si>
    <t>10 1002/mp 13577</t>
  </si>
  <si>
    <t xml:space="preserve">Ultrasound prostate segmentation based on multidirectional deeply supervised V-Net </t>
  </si>
  <si>
    <t xml:space="preserve">Transrectal ultrasound (TRUS) is a versatile and real-time imaging modality that is commonly used in image-guided prostate cancer interventions (e g , biopsy and brachytherapy)  Accurate segmentation of the prostate is key to biopsy needle placement, brachytherapy treatment planning, and motion management  Manual segmentation during these interventions is time-consuming and subject to inter- and intraobserver variation  To address these drawbacks, we aimed to develop a deep learning-based method which integrates deep supervision into a three-dimensional (3D) patch-based V-Net for prostate segmentation We developed a multidirectional deep-learning-based method to automatically segment the prostate for ultrasound-guided radiation therapy  A 3D supervision mechanism is integrated into the V-Net stages to deal with the optimization difficulties when training a deep network with limited training data  We combine a binary cross-entropy (BCE) loss and a batch-based Dice loss into the stage-wise hybrid loss function for a deep supervision training  During the segmentation stage, the patches are extracted from the newly acquired ultrasound image as the input of the well-trained network and the well-trained network adaptively labels the prostate tissue  The final segmented prostate volume is reconstructed using patch fusion and further refined through a contour refinement processing Forty-four patients' TRUS images were used to test our segmentation method  Our segmentation results were compared with the manually segmented contours (ground truth)  The mean prostate volume Dice similarity coefficient (DSC), Hausdorff distance (HD), mean surface distance (MSD), and residual mean surface distance (RMSD) were 0 92 ± 0 03, 3 94 ± 1 55, 0 60 ± 0 23, and 0 90 ± 0 38 mm, respectively We developed a novel deeply supervised deep learning-based approach with reliable contour refinement to automatically segment the TRUS prostate, demonstrated its clinical feasibility, and validated its accuracy compared to manual segmentation  The proposed technique could be a useful tool for diagnostic and therapeutic applications in prostate cancer </t>
  </si>
  <si>
    <t>CNN,VNET,UNET</t>
  </si>
  <si>
    <t>Lei, Y; Tian, S; He, X; Wang, T; Wang, B; Patel, P; Jani, AB; Mao, H; Curran, WJ; Liu, T; Yang, X</t>
  </si>
  <si>
    <t>10 1002/mp 13581</t>
  </si>
  <si>
    <t xml:space="preserve">Deep learning-based carotid media-adventitia and lumen-intima boundary segmentation from three-dimensional ultrasound images </t>
  </si>
  <si>
    <t xml:space="preserve">Quantification of carotid plaques has been shown to be important for assessing as well as monitoring the progression and regression of carotid atherosclerosis  Various metrics have been proposed and methods of measurements ranging from manual tracing to automated segmentations have also been investigated  Of those metrics, quantification of carotid plaques by measuring vessel-wall-volume (VWV) using the segmented media-adventitia (MAB) and lumen-intima (LIB) boundaries has been shown to be sensitive to temporal changes in carotid plaque burden  Thus, semi-automatic MAB and LIB segmentation methods are required to help generate VWV measurements with high accuracy and less user interaction In this paper, we propose a semiautomatic segmentation method based on deep learning to segment the MAB and LIB from carotid three-dimensional ultrasound (3DUS) images  For the MAB segmentation, we convert the segmentation problem to a pixel-by-pixel classification problem  A dynamic convolutional neural network (Dynamic CNN) is proposed to classify the patches generated by sliding a window along the norm line of the initial contour where the CNN model is fine-tuned dynamically in each test task  The LIB is segmented by applying a region-of-interest of carotid images to a U-Net model, which allows the network to be trained end-to-end for pixel-wise classification A total of 144 3DUS images were used in this development, and a threefold cross-validation technique was used for evaluation of the proposed algorithm  The proposed algorithm-generated accuracy was significantly higher than the previous methods but with less user interactions  Comparing the algorithm segmentation results with manual segmentations by an expert showed that the average Dice similarity coefficients (DSC) were 96 46 ± 2 22% and 92 84 ± 4 46% for the MAB and LIB, respectively, while only an average of 34 s (vs 1 13, 2 8 and 4 4 min in previous methods) was required to segment a 3DUS image  The interobserver experiment indicated that the DSC was 96 14 ± 1 87% between algorithm-generated MAB contours of two observers' initialization Our results showed that the proposed carotid plaque segmentation method obtains high accuracy and repeatability with less user interactions, suggesting that the method could be used in clinical practice to measure VWV and monitor the progression and regression of carotid plaques </t>
  </si>
  <si>
    <t xml:space="preserve">Medical Ultrasound Laboratory, Department of Biomedical Engineering, College of Life Science and Technology, Huazhong University of Science and Technology, Wuhan, Hubei, 430074, China </t>
  </si>
  <si>
    <t>Zhou, R; Fenster, A; Xia, Y; Spence, JD; Ding, M</t>
  </si>
  <si>
    <t>10 1007/s10916-019-1305-6</t>
  </si>
  <si>
    <t xml:space="preserve">Deep Belief CNN Feature Representation Based Content Based Image Retrieval for Medical Images </t>
  </si>
  <si>
    <t xml:space="preserve">Avascular Necrosis (AN) is a cause of muscular-skeletal disability  As it is common amongst the younger people, early intervention and prompt diagnosis is requisite  This disease normally affects the femoral bones, in order that the bones' shape gets altered due to the fracture  Other common sites encompass knees, humerus, shoulders, jaw, and ankles  The retrieval of the AN affected bone images is challenging due to its varied fracture locations  This work proposes an effectual methodology for retrieval of AN images utilizing Deep Belief CNN Feature Representation  Initially, the input dataset undergoes preprocessing  The image noise is eradicated utilizing Median Filter (MF) and is resized in the preprocessing stage  Features are represented using Deep Belief Convolutional Neural Network (DB-CNN)  Now, the image feature representations are transmuted to binary codes  Then, the similarity measurement is computed utilizing Modified-Hamming Distance  Finally, the images are retrieved centered on the similarity values  The test outcomes evinced that the proposed work is better than the other existent techniques </t>
  </si>
  <si>
    <t xml:space="preserve">Department of Computer Science, Bharathiar University, Coimbatore, Tamil Nadu, India </t>
  </si>
  <si>
    <t>Sundararajan, SK; Sankaragomathi, B; Priya, DS</t>
  </si>
  <si>
    <t>10 1007/s10439-019-02280-7</t>
  </si>
  <si>
    <t xml:space="preserve">Arthroscopic Determination of Cartilage Proteoglycan Content and Collagen Network Structure with Near-Infrared Spectroscopy </t>
  </si>
  <si>
    <t xml:space="preserve">Conventional arthroscopic evaluation of articular cartilage is subjective and insufficient for assessing early compositional and structural changes during the progression of post-traumatic osteoarthritis  Therefore, in this study, arthroscopic near-infrared (NIR) spectroscopy is introduced, for the first time, for in vivo evaluation of articular cartilage thickness, proteoglycan (PG) content, and collagen orientation angle  NIR spectra were acquired in vivo and in vitro from equine cartilage adjacent to experimental cartilage repair sites  As reference, digital densitometry and polarized light microscopy were used to evaluate superficial and full-thickness PG content and collagen orientation angle  To relate NIR spectra and cartilage properties, ensemble neural networks, each with two different architectures, were trained and evaluated by using Spearman's correlation analysis (ρ)  The ensemble networks enabled accurate predictions for full-thickness reference properties (PG content: ρin vitro, Val= 0 691, ρin vivo= 0 676; collagen orientation angle: ρin vitro, Val= 0 626, ρin vivo= 0 574) from NIR spectral data  In addition, the networks enabled reliable prediction of PG content in superficial (25%) cartilage (ρin vitro, Val= 0 650, ρin vivo= 0 613) and cartilage thickness (ρin vitro, Val= 0 797, ρin vivo= 0 596)  To conclude, NIR spectroscopy could enhance the detection of initial cartilage degeneration and thus enable demarcation of the boundary between healthy and compromised cartilage tissue during arthroscopic surgery </t>
  </si>
  <si>
    <t xml:space="preserve">Department of Applied Physics, University of Eastern Finland, Kuopio, Finland </t>
  </si>
  <si>
    <t>Sarin, JK; Nykänen, O; Tiitu, V; Mancini, IAD; Brommer, H; Visser, J; Malda, J; van Weeren, PR; Afara, IO; Töyräs, J</t>
  </si>
  <si>
    <t>10 1016/j mri 2019 05 003</t>
  </si>
  <si>
    <t xml:space="preserve">Machine learning for prediction of chemoradiation therapy response in rectal cancer using pre-treatment and mid-radiation multi-parametric MRI </t>
  </si>
  <si>
    <t xml:space="preserve">To predict the neoadjuvant chemoradiation therapy (CRT) response in patients with locally advanced rectal cancer (LARC) using radiomics and deep learning based on pre-treatment MRI and a mid-radiation follow-up MRI taken 3-4 weeks after the start of CRT A total of 51 patients were included, 45 with pre-treatment, 41 with mid-radiation therapy (RT), and 35 with both MRI sets  The multi-parametric MRI protocol included T2, diffusion weighted imaging (DWI) with b-values of 0 and 800 s/mm2, and dynamic-contrast-enhanced (DCE) MRI  After completing CRT and surgery, the specimen was examined to determine the pathological response based on the tumor regression grade  The tumor ROI was manually drawn on the post-contrast image and mapped to other sequences  The total tumor volume and mean apparent diffusion coefficient (ADC) were measured  Radiomics using GLCM texture and histogram parameters, and deep learning using a convolutional neural network (CNN), were performed to differentiate pathologic complete response (pCR) vs  non-pCR, and good response (GR) vs  non-GR Tumor volume decreased and ADC increased significantly in the mid-RT MRI compared to the pre-treatment MRI  For predicting pCR vs  non-pCR, combining ROI and radiomics features achieved an AUC of 0 80 for pre-treatment, 0 82 for mid-RT, and 0 86 for both MRI together  For predicting GR vs  non-GR, the AUC was 0 91 for pre-treatment, 0 92 for mid-RT, and 0 93 for both MRI together  In deep learning using CNN, combining pre-treatment and mid-RT MRI achieved a higher accuracy compared to using either dataset alone, with AUC of 0 83 for predicting pCR vs  non-pCR Radiomics based on pre-treatment and early follow-up multi-parametric MRI in LARC patients receiving CRT could extract comprehensive quantitative information to predict final pathologic response </t>
  </si>
  <si>
    <t xml:space="preserve">Department of Radiation Oncology, Sir Run Run Shaw Hospital, Zhejiang University School of Medicine, Hangzhou, China </t>
  </si>
  <si>
    <t>Shi, L; Zhang, Y; Nie, K; Sun, X; Niu, T; Yue, N; Kwong, T; Chang, P; Chow, D; Chen, JH; Su, MY</t>
  </si>
  <si>
    <t>10 1002/mp 13560</t>
  </si>
  <si>
    <t xml:space="preserve">Learning-based automatic segmentation of arteriovenous malformations on contrast CT images in brain stereotactic radiosurgery </t>
  </si>
  <si>
    <t xml:space="preserve">Stereotactic radiosurgery (SRS) is widely used to obliterate arteriovenous malformations (AVMs)  Its performance relies on the accuracy of delineating the target AVM  Manual segmentation during a framed SRS procedure is time consuming and subject to inter- and intraobserver variation  To address these drawbacks, we proposed a deep learning-based method to automatically segment AVMs on CT simulation image sets We developed a deep learning-based method using a deeply supervised three-dimensional (3D) V-Net with a compound loss function  A 3D supervision mechanism was integrated into a residual network, V-Net, to deal with the optimization difficulties when training deep networks with limited training data  The proposed compound loss function including logistic and Dice losses encouraged similarity and penalized discrepancy simultaneously between prediction and training dataset; this was utilized to supervise the 3D V-Net at different stages  To evaluate the accuracy of segmentation, we retrospectively investigated 80 AVM patients who had CT simulation and digital subtraction angiography (DSA) acquired prior to treatment  The AVM target volume was segmented by our proposed method  They were compared with clinical contours approved by physicians with regard to Dice overlapping, difference in volume and centroid, and dose coverage changes on original plan Contours created by the proposed method demonstrated very good visual agreement to the ground truth contours  The mean Dice similarity coefficient (DSC), sensitivity and specificity of the contours delineated by our method were &gt;0 85 among all patients  The mean centroid distance between our results and ground truth was 0 675 ± 0 401 mm, and was not significantly different in any of the three orthogonal directions  The correlation coefficient between ground truth and AVM volume resulting from the proposed method was 0 992 with statistical significance  The mean volume difference among all patients was 0 076 ± 0 728 cc; there was no statistically significant difference  The average differences in dose metrics were all less than 0 2 Gy, with standard deviation less than 1 Gy  No statistically significant differences were observed in any of the dose metrics We developed a novel, deeply supervised, deep learning-based approach to automatically segment the AVM volume on CT images  We demonstrated its clinical feasibility by validating the shape and positional accuracy, and dose coverage of the automatic volume  These results demonstrate the potential of a learning-based segmentation method for delineating AVMs in the clinical setting </t>
  </si>
  <si>
    <t>CNN,VNET</t>
  </si>
  <si>
    <t>Wang, T; Lei, Y; Tian, S; Jiang, X; Zhou, J; Liu, T; Dresser, S; Curran, WJ; Shu, HK; Yang, X</t>
  </si>
  <si>
    <t>10 1007/s11548-019-01989-z</t>
  </si>
  <si>
    <t xml:space="preserve">Liver tissue segmentation in multiphase CT scans using cascaded convolutional neural networks </t>
  </si>
  <si>
    <t xml:space="preserve">We address the automatic segmentation of healthy and cancerous liver tissues (parenchyma, active and necrotic parts of hepatocellular carcinoma (HCC) tumor) on multiphase CT images using a deep learning approach We devise a cascaded convolutional neural network based on the U-Net architecture  Two strategies for dealing with multiphase information are compared: Single-phase images are concatenated in a multi-dimensional features map on the input layer, or output maps are computed independently for each phase before being merged to produce the final segmentation  Each network of the cascade is specialized in the segmentation of a specific tissue  The performances of these networks taken separately and of the cascaded architecture are assessed on both single-phase and on multiphase images In terms of Dice coefficients, the proposed method is on par with a state-of-the-art method designed for automatic MR image segmentation and outperforms previously used technique for interactive CT image segmentation  We validate the hypothesis that several cascaded specialized networks have a higher prediction accuracy than a single network addressing all tasks simultaneously  Although the portal venous phase alone seems to provide sufficient contrast for discriminating tumors from healthy parenchyma, the multiphase information brings significant improvement for the segmentation of cancerous tissues (active versus necrotic part) The proposed cascaded multiphase architecture showed promising performances for the automatic segmentation of liver tissues, allowing to reliably estimate the necrosis rate, a valuable imaging biomarker of the clinical outcome </t>
  </si>
  <si>
    <t xml:space="preserve">Nouvel Hôpital Civil, Institut Hospitalo-Universitaire de Strasbourg, 1 place de l'Hôpital, 67000, Strasbourg, France  farid ouhmich@ihu-strasbourg eu </t>
    <phoneticPr fontId="0" type="noConversion"/>
  </si>
  <si>
    <t>Ouhmich, F; Agnus, V; Noblet, V; Heitz, F; Pessaux, P</t>
  </si>
  <si>
    <t>10 1039/c9lc00107g</t>
  </si>
  <si>
    <t xml:space="preserve">A microfluidic platform with cell-scale precise temperature control for simultaneous investigation of the osmotic responses of multiple oocytes </t>
  </si>
  <si>
    <t xml:space="preserve">The temperature-dependent oocyte membrane permeability plays a significant role in oocyte cryopreservation, such as optimizing the addition/removal of cryoprotective agents and the rate of cooling/rewarming  However, the systems for studying the temperature dependence of oocyte membrane permeability are either too complicated or unable to achieve wide-range precise temperature control  In addition, these systems cannot achieve the simultaneous observation of multiple oocytes  Here, we report a novel microfluidic platform that combines a precise local temperature heater/detector and a simple global water bath to achieve wide-range accurate temperature control without increasing the difficulty of fabrication, and it also realizes non-interfering, position-controllable and non-missing capture of multiple oocytes for parallel experiments to increase throughput  The permeability coefficients (Lp, Ps) of the mouse oocyte membrane exposed to cryoprotective agents (1 5 M EG and 1 5 M PG) at four temperatures (4, 15, 25 and 37 °C) are consistent with those reported in previous works, which proves the feasibility and practicality of the microfluidic platform in this study </t>
  </si>
  <si>
    <t xml:space="preserve">Department of Electronic Science and Technology, University of Science and Technology of China, Hefei 230027, Anhui, China </t>
  </si>
  <si>
    <t>Lei, Z; Xie, D; Mbogba, MK; Chen, Z; Tian, C; Xu, L; Zhao, G</t>
  </si>
  <si>
    <t>10 1007/s10916-019-1284-7</t>
  </si>
  <si>
    <t xml:space="preserve">Application of Deep Learning Algorithm in Cervical Cancer MRI Image Segmentation Based on Wireless Sensor </t>
  </si>
  <si>
    <t xml:space="preserve">With the development of medical technology in China, new difficulties are gradually emerging in traditional medicine  Cervical cancer MRI image segmentation technology based on wireless network is one of the most famous means  But the traditional technology is not strong enough for information processing and analysis  Manual data processing alone may lead to errors in data processing and so on  Therefore, this research was aimed at the MRI image segmentation technology of cervical cancer based on wireless network, using depth learning algorithm to calculate and analyze  Through this kind of wireless network and the computer algorithm form, the data processing ability can be improved and increase the data processing ability be increased </t>
  </si>
  <si>
    <t xml:space="preserve">Yantaishan Hospital, Yantai City, Shandong Province, 264001, People's Republic of China </t>
  </si>
  <si>
    <t>Liang, P; Sun, G; Wei, S</t>
  </si>
  <si>
    <t>10 1007/s10916-019-1289-2</t>
  </si>
  <si>
    <t xml:space="preserve">Brain Tumor Segmentation Based on Improved Convolutional Neural Network in Combination with Non-quantifiable Local Texture Feature </t>
  </si>
  <si>
    <t xml:space="preserve">Accurate and reliable brain tumor segmentation is a critical component in cancer diagnosis  According to deep learning model, a novel brain tumor segmentation method is developed by integrating fully convolutional neural networks (FCNN) and dense micro-block difference feature (DMDF) into a unified framework so as to obtain segmentation results with appearance and spatial consistency  Firstly, we propose a local feature to describe the rotation invariant property of the texture  In order to deal with the change of rotation and scale in texture image, Fisher vector encoding method is used to analyze the texture feature, which can combine with the scale information without increasing the dimension of the local feature  The obtained local features have strong robustness to rotation and gray intensity variation  Then, the non-quantifiable local feature is fused to the FCNN to perform fine boundary segmentation  Since brain tumors occupy a small portion of the image, deconvolutional layers are designed with skip connections to obtain a high quality feature map  Compared with the traditional MRI brain tumor segmentation methods, the experimental results show that the segmentation accuracy and stability has been greatly improved  Average Dice index can be up to 90 98%  And the proposed method has very high real-time performance, where brain tumor image can segment within 1 s </t>
  </si>
  <si>
    <t xml:space="preserve">Information Center, West China Hospital of Sichuan university, Chengdu, 610000, Sichuan, China </t>
  </si>
  <si>
    <t>Deng, W; Shi, Q; Luo, K; Yang, Y; Ning, N</t>
  </si>
  <si>
    <t>10 1002/mp 13555</t>
  </si>
  <si>
    <t xml:space="preserve">Fast learning of fiber orientation distribution function for MR tractography using convolutional neural network </t>
  </si>
  <si>
    <t xml:space="preserve">In diffusion-weighted magnetic resonance imaging (DW-MRI), the fiber orientation distribution function (fODF) is of great importance for solving complex fiber configurations to achieve reliable tractography throughout the brain, which ultimately facilitates the understanding of brain connectivity and exploration of neurological dysfunction  Recently, multi-shell multi-tissue constrained spherical deconvolution (MSMT-CSD) method has been explored for reconstructing full fODFs  To achieve a reliable fitting, similar to other model-based approaches, a large number of diffusion measurements is typically required for MSMT-CSD method  The prolonged acquisition is, however, not feasible in practical clinical routine and is prone to motion artifacts  To accelerate the acquisition, we proposed a method to reconstruct the fODF from downsampled diffusion-weighted images (DWIs) by leveraging the strong inference ability of the deep convolutional neural network (CNN) The method treats spherical harmonics (SH)-represented DWI signals and fODF coefficients as inputs and outputs, respectively  To compensate for the reduced gradient directions with reduced number of DWIs in acquisition in each voxel, its surrounding voxels are incorporated by the network for exploiting their spatial continuity  The resulting fODF coefficients are fitted with applying the CNN in a multi-target regression model  The network is composed of two convolutional layers and three fully connected layers  To obtain an initial evaluation of the method, we quantitatively measured its performance on a simulated dataset  Then, for in vivo tests, we employed data from 24 subjects from the Human Connectome Project (HCP) as training set and six subjects as test set  The performance of the proposed method was primarily compared to the super-resolved MSMT-CSD with the decreasing number of DWIs  The fODFs reconstructed by MSMT-CSD from all available 288 DWIs were used as training labels and the reference standard  The performance was quantitatively measured by the angular correlation coefficient (ACC) and the mean angular error (MAE) For the simulated dataset, the proposed method exhibited the potential advantage over the model reconstruction  For the in vivo dataset, it achieved superior results over the MSMT-CSD in all the investigated cases, with its advantage more obvious when a limited number of DWIs were used  As the number of DWIs was reduced from 95 to 25, the median ACC ranged from 0 96 to 0 91 for the CNN, but 0 93 to 0 77 for the MSMT-CSD (with perfect score of 1)  The angular error in the typical regions of interest (ROIs) was also much lower, especially in multi-fiber regions  The average MAE for the CNN method in regions containing one, two, three fibers was, respectively, 1 09°, 2 75°, and 8 35° smaller than the MSMT-CSD method  The visual inception of the fODF further confirmed this superiority  Moreover, the tractography results validated the effectiveness of the learned fODF, in preserving known major branching fibers with only 25 DWIs Experiments on HCP datasets demonstrated the feasibility of the proposed method in recovering fODFs from up to 11-fold reduced number of DWIs  The proposed method offers a new streamlined reconstruction procedure and exhibits promising potential in acquisition acceleration for the reconstruction of fODFs with good accuracy </t>
  </si>
  <si>
    <t xml:space="preserve">Department of Instrument Science &amp; Technology, Zhejiang University, Hangzhou, 310027, China </t>
  </si>
  <si>
    <t>Lin, Z; Gong, T; Wang, K; Li, Z; He, H; Tong, Q; Yu, F; Zhong, J</t>
  </si>
  <si>
    <t>10 1016/j ebiom 2019 04 022</t>
  </si>
  <si>
    <t xml:space="preserve">Deep learning only by normal brain PET identify unheralded brain anomalies </t>
  </si>
  <si>
    <t xml:space="preserve">Recent deep learning models have shown remarkable accuracy for the diagnostic classification  However, they have limitations in clinical application due to the gap between the training cohorts and real-world data  We aimed to develop a model trained only by normal brain PET data with an unsupervised manner to identify an abnormality in various disorders as imaging data of the clinical routine Using variational autoencoder, a type of unsupervised learning, Abnormality Score was defined as how far a given brain image is from the normal data  The model was applied to FDG PET data of Alzheimer's disease (AD) and mild cognitive impairment (MCI) and clinical routine FDG PET data for assessing behavioral abnormality and seizures  Accuracy was measured by the area under curve (AUC) of receiver-operating-characteristic (ROC) curve  We investigated whether deep learning has additional benefits with experts' visual interpretation to identify abnormal patterns The AUC of the ROC curve for differentiating AD was 0 90  The changes in cognitive scores from baseline to 2-year follow-up were significantly correlated with Abnormality Score at baseline  The AUC of the ROC curve for discriminating patients with various disorders from controls was 0 74  Experts' visual interpretation was helped by the deep learning model to identify abnormal patterns in 60% of cases initially not identified without the model We suggest that deep learning model trained only by normal data was applicable for identifying wide-range of abnormalities in brain diseases, even uncommon ones, proposing its possible use for interpreting real-world clinical data </t>
  </si>
  <si>
    <t xml:space="preserve">Department of Nuclear Medicine, Seoul National University Hospital, Seoul, Republic of Korea; Department of Nuclear Medicine, Seoul National University College of Medicine, Seoul, Republic of Korea </t>
  </si>
  <si>
    <t xml:space="preserve">Choi, H; Ha, S; Kang, H; Lee, H; Lee, DS; , </t>
  </si>
  <si>
    <t>10 1155/2019/6357171</t>
  </si>
  <si>
    <t xml:space="preserve">Cobb Angle Measurement of Spine from X-Ray Images Using Convolutional Neural Network </t>
  </si>
  <si>
    <t xml:space="preserve">Scoliosis is a common spinal condition where the spine curves to the side and thus deforms the spine  Curvature estimation provides a powerful index to evaluate the deformation severity of scoliosis  In current clinical diagnosis, the standard curvature estimation method for assessing the curvature quantitatively is done by measuring the Cobb angle, which is the angle between two lines, drawn perpendicular to the upper endplate of the uppermost vertebra involved and the lower endplate of the lowest vertebra involved  However, manual measurement of spine curvature requires considerable time and effort, along with associated problems such as interobserver and intraobserver variations  In this article, we propose an automatic system for measuring spine curvature using the anterior-posterior (AP) view spinal X-ray images  Due to the characteristic of AP view images, we first reduced the image size and then used horizontal and vertical intensity projection histograms to define the region of interest of the spine which is then cropped for sequential processing  Next, the boundaries of the spine, the central spinal curve line, and the spine foreground are detected by using intensity and gradient information of the region of interest, and a progressive thresholding approach is then employed to detect the locations of the vertebrae  In order to reduce the influences of inconsistent intensity distribution of vertebrae in the spine AP image, we applied the deep learning convolutional neural network (CNN) approaches which include the U-Net, the Dense U-Net, and Residual U-Net, to segment the vertebrae  Finally, the segmentation results of the vertebrae are reconstructed into a complete segmented spine image, and the spine curvature is calculated based on the Cobb angle criterion  In the experiments, we showed the results for spine segmentation and spine curvature; the results were then compared to manual measurements by specialists  The segmentation results of the Residual U-Net were superior to the other two convolutional neural networks  The one-way ANOVA test also demonstrated that the three measurements including the manual records of two different physicians and our proposed measured record were not significantly different in terms of spine curvature measurement  Looking forward, the proposed system can be applied in clinical diagnosis to assist doctors for a better understanding of scoliosis severity and for clinical treatments </t>
  </si>
  <si>
    <t xml:space="preserve">Department of Computer Science and Information Engineering, National Pingtung University, Pingtung, Taiwan </t>
  </si>
  <si>
    <t>Horng, MH; Kuok, CP; Fu, MJ; Lin, CJ; Sun, YN</t>
  </si>
  <si>
    <t>10 1371/journal pone 0210706</t>
  </si>
  <si>
    <t xml:space="preserve">Viable and necrotic tumor assessment from whole slide images of osteosarcoma using machine-learning and deep-learning models </t>
  </si>
  <si>
    <t xml:space="preserve">Pathological estimation of tumor necrosis after chemotherapy is essential for patients with osteosarcoma  This study reports the first fully automated tool to assess viable and necrotic tumor in osteosarcoma, employing advances in histopathology digitization and automated learning  We selected 40 digitized whole slide images representing the heterogeneity of osteosarcoma and chemotherapy response  With the goal of labeling the diverse regions of the digitized tissue into viable tumor, necrotic tumor, and non-tumor, we trained 13 machine-learning models and selected the top performing one (a Support Vector Machine) based on reported accuracy  We also developed a deep-learning architecture and trained it on the same data set  We computed the receiver-operator characteristic for discrimination of non-tumor from tumor followed by conditional discrimination of necrotic from viable tumor and found our models performing exceptionally well  We then used the trained models to identify regions of interest on image-tiles generated from test whole slide images  The classification output is visualized as a tumor-prediction map, displaying the extent of viable and necrotic tumor in the slide image  Thus, we lay the foundation for a complete tumor assessment pipeline from original histology images to tumor-prediction map generation  The proposed pipeline can also be adopted for other types of tumor </t>
  </si>
  <si>
    <t>CNN,ALEXNET,LENET</t>
  </si>
  <si>
    <t xml:space="preserve">The University of Texas at Dallas, Richardson, TX, United States of America </t>
  </si>
  <si>
    <t>Arunachalam, HB; Mishra, R; Daescu, O; Cederberg, K; Rakheja, D; Sengupta, A; Leonard, D; Hallac, R; Leavey, P</t>
  </si>
  <si>
    <t>10 1007/s00330-019-06186-9</t>
  </si>
  <si>
    <t xml:space="preserve">Can we reduce the workload of mammographic screening by automatic identification of normal exams with artificial intelligence? A feasibility study </t>
  </si>
  <si>
    <t xml:space="preserve">To study the feasibility of automatically identifying normal digital mammography (DM) exams with artificial intelligence (AI) to reduce the breast cancer screening reading workload A total of 2652 DM exams (653 cancer) and interpretations by 101 radiologists were gathered from nine previously performed multi-reader multi-case receiver operating characteristic (MRMC ROC) studies  An AI system was used to obtain a score between 1 and 10 for each exam, representing the likelihood of cancer present  Using all AI scores between 1 and 9 as possible thresholds, the exams were divided into groups of low- and high likelihood of cancer present  It was assumed that, under the pre-selection scenario, only the high-likelihood group would be read by radiologists, while all low-likelihood exams would be reported as normal  The area under the reader-averaged ROC curve (AUC) was calculated for the original evaluations and for the pre-selection scenarios and compared using a non-inferiority hypothesis Setting the low/high-likelihood threshold at an AI score of 5 (high likelihood &gt; 5) results in a trade-off of approximately halving (- 47%) the workload to be read by radiologists while excluding 7% of true-positive exams  Using an AI score of 2 as threshold yields a workload reduction of 17% while only excluding 1% of true-positive exams  Pre-selection did not change the average AUC of radiologists (inferior 95% CI &gt; - 0 05) for any threshold except at the extreme AI score of 9 It is possible to automatically pre-select exams using AI to significantly reduce the breast cancer screening reading workload • There is potential to use artificial intelligence to automatically reduce the breast cancer screening reading workload by excluding exams with a low likelihood of cancer  • The exclusion of exams with the lowest likelihood of cancer in screening might not change radiologists' breast cancer detection performance  • When excluding exams with the lowest likelihood of cancer, the decrease in true-positive recalls would be balanced by a simultaneous reduction in false-positive recalls </t>
  </si>
  <si>
    <t xml:space="preserve">Department of Radiology and Nuclear Medicine, Radboud University Medical Center, PO Box 9101, 6500 HB, Nijmegen, The Netherlands </t>
  </si>
  <si>
    <t>Rodriguez-Ruiz, A; Lång, K; Gubern-Merida, A; Teuwen, J; Broeders, M; Gennaro, G; Clauser, P; Helbich, TH; Chevalier, M; Mertelmeier, T; Wallis, MG; Andersson, I; Zackrisson, S; Sechopoulos, I; Mann, RM</t>
  </si>
  <si>
    <t>10 1007/s00330-019-06183-y</t>
  </si>
  <si>
    <t xml:space="preserve">Deep learning-based image restoration algorithm for coronary CT angiography </t>
  </si>
  <si>
    <t xml:space="preserve">The purpose of this study was to compare the image quality of coronary computed tomography angiography (CTA) subjected to deep learning-based image restoration (DLR) method with images subjected to hybrid iterative reconstruction (IR) We enrolled 30 patients (22 men, 8 women) who underwent coronary CTA on a 320-slice CT scanner  The images were reconstructed with hybrid IR and with DLR  The image noise in the ascending aorta, left atrium, and septal wall of the ventricle was measured on all images and the contrast-to-noise ratio (CNR) in the proximal coronary arteries was calculated  We also generated CT attenuation profiles across the proximal coronary arteries and measured the width of the edge rise distance (ERD) and the edge rise slope (ERS)  Two observers visually evaluated the overall image quality using a 4-point scale (1 = poor, 4 = excellent) On DLR images, the mean image noise was lower than that on hybrid IR images (18 5 ± 2 8 HU vs  23 0 ± 4 6 HU, p &lt; 0 01) and the CNR was significantly higher (p &lt; 0 01)  The mean ERD was significantly shorter on DLR than on hybrid IR images, whereas the mean ERS was steeper on DLR than on hybrid IR images  The mean image quality score for hybrid IR and DLR images was 2 96 and 3 58, respectively (p &lt; 0 01) DLR reduces the image noise and improves the image quality at coronary CTA • Deep learning-based image restoration is a new technique that employs the deep convolutional neural network for image quality improvement  • Deep learning-based restoration reduces the image noise and improves image quality at coronary CT angiography  • This method may allow for a reduction in radiation exposure </t>
  </si>
  <si>
    <t xml:space="preserve">Department of Diagnostic Radiology, Hiroshima University, 1-2-3 Kasumi, Minami-ku, Hiroshima, 734-8551, Japan </t>
  </si>
  <si>
    <t>Tatsugami, F; Higaki, T; Nakamura, Y; Yu, Z; Zhou, J; Lu, Y; Fujioka, C; Kitagawa, T; Kihara, Y; Iida, M; Awai, K</t>
  </si>
  <si>
    <t>10 1080/17453674 2019 1600125</t>
  </si>
  <si>
    <t xml:space="preserve">Artificial intelligence detection of distal radius fractures: a comparison between the convolutional neural network and professional assessments </t>
  </si>
  <si>
    <t xml:space="preserve">Background and purpose - Artificial intelligence has rapidly become a powerful method in image analysis with the use of convolutional neural networks (CNNs)  We assessed the ability of a CNN, with a fast object detection algorithm previously identifying the regions of interest, to detect distal radius fractures (DRFs) on anterior-posterior (AP) wrist radiographs  Patients and methods - 2,340 AP wrist radiographs from 2,340 patients were enrolled in this study  We trained the CNN to analyze wrist radiographs in the dataset  Feasibility of the object detection algorithm was evaluated by intersection of the union (IOU)  The diagnostic performance of the network was measured by area under the receiver operating characteristics curve (AUC), accuracy, sensitivity, specificity, and Youden Index; the results were compared with those of medical professional groups  Results - The object detection model achieved a high average IOU, and none of the IOUs had a value less than 0 5  The AUC of the CNN for this test was 0 96  The network had better performance in distinguishing images with DRFs from normal images compared with a group of radiologists in terms of the accuracy, sensitivity, specificity, and Youden Index  The network presented a similar diagnostic performance to that of the orthopedists in terms of these variables  Interpretation - The network exhibited a diagnostic ability similar to that of the orthopedists and a performance superior to that of the radiologists in distinguishing AP wrist radiographs with DRFs from normal images under limited conditions  Further studies are required to determine the feasibility of applying our method as an auxiliary in clinical practice under extended conditions </t>
  </si>
  <si>
    <t>a Department of Orthopaedics , Ningbo Medical Center, Lihuili Hospital , Ningbo , 315000 , China</t>
    <phoneticPr fontId="0" type="noConversion"/>
  </si>
  <si>
    <t>Gan, K; Xu, D; Lin, Y; Shen, Y; Zhang, T; Hu, K; Zhou, K; Bi, M; Pan, L; Wu, W; Liu, Y</t>
  </si>
  <si>
    <t>10 1007/s12194-019-00512-y</t>
  </si>
  <si>
    <t xml:space="preserve">Automated segmentation of 2D low-dose CT images of the psoas-major muscle using deep convolutional neural networks </t>
  </si>
  <si>
    <t xml:space="preserve">The psoas-major muscle has been reported as a predictive factor of sarcopenia  The cross-sectional area (CSA) of the psoas-major muscle in axial images has been indicated to correlate well with the whole-body skeletal muscle mass  In this study, we evaluated the segmentation accuracy of low-dose X-ray computed tomography (CT) images of the psoas-major muscle using the U-Net convolutional neural network, which is a deep-learning technique  Deep learning has been recently known to outperform conventional image-segmentation techniques  We used fivefold cross validation to validate the segmentation performance (n = 100) of the psoas-major muscle  For the intersection over union and CSA ratio, segmentation accuracies of 86 0 and 103 1%, respectively, were achieved  These results suggest that the U-Net network is competitive compared with the previous methods  Therefore, the proposed technique is useful for segmenting the psoas-major muscle even in low-dose CT images </t>
  </si>
  <si>
    <t xml:space="preserve">Central Research Laboratory, Hamamatsu Photonics K K , Hamamatsu, 434-8601, Japan </t>
  </si>
  <si>
    <t>Hashimoto, F; Kakimoto, A; Ota, N; Ito, S; Nishizawa, S</t>
  </si>
  <si>
    <t>10 1007/s00330-019-06167-y</t>
  </si>
  <si>
    <t xml:space="preserve">Application of a deep learning algorithm for detection and visualization of hip fractures on plain pelvic radiographs </t>
  </si>
  <si>
    <t xml:space="preserve">To identify the feasibility of using a deep convolutional neural network (DCNN) for the detection and localization of hip fractures on plain frontal pelvic radiographs (PXRs)  Hip fracture is a leading worldwide health problem for the elderly  A missed diagnosis of hip fracture on radiography leads to a dismal prognosis  The application of a DCNN to PXRs can potentially improve the accuracy and efficiency of hip fracture diagnosis A DCNN was pretrained using 25,505 limb radiographs between January 2012 and December 2017  It was retrained using 3605 PXRs between August 2008 and December 2016  The accuracy, sensitivity, false-negative rate, and area under the receiver operating characteristic curve (AUC) were evaluated on 100 independent PXRs acquired during 2017  The authors also used the visualization algorithm gradient-weighted class activation mapping (Grad-CAM) to confirm the validity of the model The algorithm achieved an accuracy of 91%, a sensitivity of 98%, a false-negative rate of 2%, and an AUC of 0 98 for identifying hip fractures  The visualization algorithm showed an accuracy of 95 9% for lesion identification A DCNN not only detected hip fractures on PXRs with a low false-negative rate but also had high accuracy for localizing fracture lesions  The DCNN might be an efficient and economical model to help clinicians make a diagnosis without interrupting the current clinical pathway • Automated detection of hip fractures on frontal pelvic radiographs may facilitate emergent screening and evaluation efforts for primary physicians  • Good visualization of the fracture site by Grad-CAM enables the rapid integration of this tool into the current medical system  • The feasibility and efficiency of utilizing a deep neural network have been confirmed for the screening of hip fractures </t>
  </si>
  <si>
    <t xml:space="preserve">Department of Trauma and Emergency Surgery, Chang Gung Memorial Hospital, Linkou, Chang Gung University, Taoyuan, Taiwan </t>
  </si>
  <si>
    <t>Cheng, CT; Ho, TY; Lee, TY; Chang, CC; Chou, CC; Chen, CC; Chung, IF; Liao, CH</t>
  </si>
  <si>
    <t>10 1016/j neuroimage 2019 03 060</t>
  </si>
  <si>
    <t xml:space="preserve">DeepQSM - using deep learning to solve the dipole inversion for quantitative susceptibility mapping </t>
  </si>
  <si>
    <t xml:space="preserve">Quantitative susceptibility mapping (QSM) is based on magnetic resonance imaging (MRI) phase measurements and has gained broad interest because it yields relevant information on biological tissue properties, predominantly myelin, iron and calcium in vivo  Thereby, QSM can also reveal pathological changes of these key components in widespread diseases such as Parkinson's disease, Multiple Sclerosis, or hepatic iron overload  While the ill-posed field-to-source-inversion problem underlying QSM is conventionally assessed by the means of regularization techniques, we trained a fully convolutional deep neural network - DeepQSM - to directly invert the magnetic dipole kernel convolution  DeepQSM learned the physical forward problem using purely synthetic data and is capable of solving the ill-posed field-to-source inversion on in vivo MRI phase data  The magnetic susceptibility maps reconstructed by DeepQSM enable identification of deep brain substructures and provide information on their respective magnetic tissue properties  In summary, DeepQSM can invert the magnetic dipole kernel convolution and delivers robust solutions to this ill-posed problem </t>
  </si>
  <si>
    <t>CNN,UNET,FCN</t>
  </si>
  <si>
    <t xml:space="preserve">Centre for Advanced Imaging, The University of Queensland, Building 57 of University Dr, St Lucia, QLD, 4072, Brisbane, Australia </t>
  </si>
  <si>
    <t>Bollmann, S; Rasmussen, KGB; Kristensen, M; Blendal, RG; Østergaard, LR; Plocharski, M; O'Brien, K; Langkammer, C; Janke, A; Barth, M</t>
  </si>
  <si>
    <t>10 1016/j neuroimage 2019 03 042</t>
  </si>
  <si>
    <t xml:space="preserve">Bayesian QuickNAT: Model uncertainty in deep whole-brain segmentation for structure-wise quality control </t>
  </si>
  <si>
    <t xml:space="preserve">We introduce Bayesian QuickNAT for the automated quality control of whole-brain segmentation on MRI T1 scans  Next to the Bayesian fully convolutional neural network, we also present inherent measures of segmentation uncertainty that allow for quality control per brain structure  For estimating model uncertainty, we follow a Bayesian approach, wherein, Monte Carlo (MC) samples from the posterior distribution are generated by keeping the dropout layers active at test time  Entropy over the MC samples provides a voxel-wise model uncertainty map, whereas expectation over the MC predictions provides the final segmentation  Next to voxel-wise uncertainty, we introduce four metrics to quantify structure-wise uncertainty in segmentation for quality control  We report experiments on four out-of-sample datasets comprising of diverse age range, pathology and imaging artifacts  The proposed structure-wise uncertainty metrics are highly correlated with the Dice score estimated with manual annotation and therefore present an inherent measure of segmentation quality  In particular, the intersection over union over all the MC samples is a suitable proxy for the Dice score  In addition to quality control at scan-level, we propose to incorporate the structure-wise uncertainty as a measure of confidence to do reliable group analysis on large data repositories  We envisage that the introduced uncertainty metrics would help assess the fidelity of automated deep learning based segmentation methods for large-scale population studies, as they enable automated quality control and group analyses in processing large data repositories </t>
  </si>
  <si>
    <t>Artificial Intelligence in Medical Imaging (AI-Med), Department of Child and Adolescent Psychiatry, LMU, München, Germany</t>
    <phoneticPr fontId="0" type="noConversion"/>
  </si>
  <si>
    <t xml:space="preserve">Roy, AG; Conjeti, S; Navab, N; Wachinger, C; , </t>
  </si>
  <si>
    <t>10 1016/j diii 2019 02 008</t>
  </si>
  <si>
    <t xml:space="preserve">Detection and characterization of MRI breast lesions using deep learning </t>
  </si>
  <si>
    <t xml:space="preserve">The purpose of this study was to assess the potential of a deep learning model to discriminate between benign and malignant breast lesions using magnetic resonance imaging (MRI) and characterize different histological subtypes of breast lesions We developed a deep learning model that simultaneously learns to detect lesions and characterize them  We created a lesion-characterization model based on a single two-dimensional T1-weighted fat suppressed MR image obtained after intravenous administration of a gadolinium chelate selected by radiologists  The data included 335 MR images from 335 patients, representing 17 different histological subtypes of breast lesions grouped into four categories (mammary gland, benign lesions, invasive ductal carcinoma and other malignant lesions)  Algorithm performance was evaluated on an independent test set of 168 MR images using weighted sums of the area under the curve (AUC) scores We obtained a cross-validation score of 0 817 weighted average receiver operating characteristic (ROC)-AUC on the training set computed as the mean of three-shuffle three-fold cross-validation  Our model reached a weighted mean AUC of 0 816 on the independent challenge test set This study shows good performance of a supervised-attention model with deep learning for breast MRI  This method should be validated on a larger and independent cohort </t>
  </si>
  <si>
    <t xml:space="preserve">Owkin Inc, Research and Development Laboratory, 75003 Paris, France </t>
  </si>
  <si>
    <t>Herent, P; Schmauch, B; Jehanno, P; Dehaene, O; Saillard, C; Balleyguier, C; Arfi-Rouche, J; Jégou, S</t>
  </si>
  <si>
    <t>10 1007/s00330-019-06130-x</t>
  </si>
  <si>
    <t xml:space="preserve">Application of deep learning-based computer-aided detection system: detecting pneumothorax on chest radiograph after biopsy </t>
  </si>
  <si>
    <t xml:space="preserve">To retrospectively evaluate the diagnostic performance of a convolutional neural network (CNN) model in detecting pneumothorax on chest radiographs obtained after percutaneous transthoracic needle biopsy (PTNB) for pulmonary lesions A CNN system for computer-aided diagnosis on chest radiographs was developed using the full 26-layer You Only Look Once model  A total of 1596 chest radiographs with pneumothorax were used for training  To validate the clinical feasibility of this model, follow-up chest radiographs obtained after PTNB for 1333 pulmonary lesions in 1319 patients in 2016 were prepared as an independent test set  Two experienced radiologists determined the presence of pneumothorax by consensus  The diagnostic performance of the CNN model was assessed using the jackknife free-response receiver operating characteristic method The incidence of pneumothorax was 17 9% (247/1379) on 3-h follow-up chest radiographs and 23 3% (309/1329) on 1-day follow-up chest radiographs  Twenty-three (1 7% of all PTNBs) cases required drainage catheter insertion  Our approach had a sensitivity, a specificity, and an area under the curve (AUC), respectively, of 61 1% (151/247), 93 0% (1053/1132), and 0 898 for 3-h follow-up chest radiographs and 63 4% (196/309), 93 5% (954/1020), and 0 905 for 1-day follow-up chest radiographs  The overall accuracy was 87 3% (1204/1379) for 3-h follow-up radiographs and 86 5% (1150/1329) for 1-day follow-up radiographs  The CNN model found all 23 cases of pneumothorax requiring drainage Our CNN model had good performance for detection of pneumothorax on chest radiographs after PTNB, especially for those requiring further procedures  It can be used as a screening tool prior to radiologist interpretation • The CNN model had good performance for detection of pneumothorax on chest radiographs after PTNB and showed high specificity and negative predictive value  • The CNN model found all cases of pneumothorax requiring drainage after PTNB  • The CNN model can be used as a screening tool prior to radiologist interpretation </t>
  </si>
  <si>
    <t xml:space="preserve">Department of Radiology and Research Institute of Radiology, Asan Medical Center, College of Medicine, University of Ulsan, 88 Olympic-ro 43 Gil, Songpa-gu, Seoul, 138736, South Korea </t>
  </si>
  <si>
    <t>Park, S; Lee, SM; Kim, N; Choe, J; Cho, Y; Do, KH; Seo, JB</t>
  </si>
  <si>
    <t>10 1001/jamanetworkopen 2019 1095</t>
  </si>
  <si>
    <t xml:space="preserve">Development and Validation of a Deep Learning-Based Automated Detection Algorithm for Major Thoracic Diseases on Chest Radiographs </t>
  </si>
  <si>
    <t xml:space="preserve">Interpretation of chest radiographs is a challenging task prone to errors, requiring expert readers  An automated system that can accurately classify chest radiographs may help streamline the clinical workflow To develop a deep learning-based algorithm that can classify normal and abnormal results from chest radiographs with major thoracic diseases including pulmonary malignant neoplasm, active tuberculosis, pneumonia, and pneumothorax and to validate the algorithm's performance using independent data sets This diagnostic study developed a deep learning-based algorithm using single-center data collected between November 1, 2016, and January 31, 2017  The algorithm was externally validated with multicenter data collected between May 1 and July 31, 2018  A total of 54 221 chest radiographs with normal findings from 47 917 individuals (21 556 men and 26 361 women; mean [SD] age, 51 [16] years) and 35 613 chest radiographs with abnormal findings from 14 102 individuals (8373 men and 5729 women; mean [SD] age, 62 [15] years) were used to develop the algorithm  A total of 486 chest radiographs with normal results and 529 with abnormal results (1 from each participant; 628 men and 387 women; mean [SD] age, 53 [18] years) from 5 institutions were used for external validation  Fifteen physicians, including nonradiology physicians, board-certified radiologists, and thoracic radiologists, participated in observer performance testing  Data were analyzed in August 2018 Deep learning-based algorithm Image-wise classification performances measured by area under the receiver operating characteristic curve; lesion-wise localization performances measured by area under the alternative free-response receiver operating characteristic curve The algorithm demonstrated a median (range) area under the curve of 0 979 (0 973-1 000) for image-wise classification and 0 972 (0 923-0 985) for lesion-wise localization; the algorithm demonstrated significantly higher performance than all 3 physician groups in both image-wise classification (0 983 vs 0 814-0 932; all P &lt;  005) and lesion-wise localization (0 985 vs 0 781-0 907; all P &lt;  001)  Significant improvements in both image-wise classification (0 814-0 932 to 0 904-0 958; all P &lt;  005) and lesion-wise localization (0 781-0 907 to 0 873-0 938; all P &lt;  001) were observed in all 3 physician groups with assistance of the algorithm The algorithm consistently outperformed physicians, including thoracic radiologists, in the discrimination of chest radiographs with major thoracic diseases, demonstrating its potential to improve the quality and efficiency of clinical practice </t>
  </si>
  <si>
    <t xml:space="preserve">Department of Radiology, Seoul National University College of Medicine, Seoul, South Korea </t>
  </si>
  <si>
    <t xml:space="preserve">Hwang, EJ; Park, S; Jin, KN; Kim, JI; Choi, SY; Lee, JH; Goo, JM; Aum, J; Yim, JJ; Cohen, JG; Ferretti, GR; Park, CM; , </t>
  </si>
  <si>
    <t>10 1007/s00330-019-06098-8</t>
  </si>
  <si>
    <t xml:space="preserve">Application of deep learning to the diagnosis of cervical lymph node metastasis from thyroid cancer with CT </t>
  </si>
  <si>
    <t xml:space="preserve">To develop a deep learning-based computer-aided diagnosis (CAD) system for use in the CT diagnosis of cervical lymph node metastasis (LNM) in patients with thyroid cancer A total of 995 axial CT images that included benign (n = 647) and malignant (n = 348) lymph nodes were collected from 202 patients with thyroid cancer who underwent CT for surgical planning between July 2017 and January 2018  The datasets were randomly split into training (79 0%), validation (10 5%), and test (10 5%) datasets  Eight deep convolutional neural network (CNN) models were used to classify the images into metastatic or benign lymph nodes  Pretrained networks were used on the ImageNet and the best-performing algorithm was selected  Class-specific discriminative regions were visualized with attention heatmap using a global average pooling method The area under the ROC curve (AUROC) for the tested algorithms ranged from 0 909 to 0 953  The sensitivity, specificity, and accuracy of the best-performing algorithm were all 90 4%, respectively  Attention heatmap highlighted important subregions for further clinical review A deep learning-based CAD system could accurately classify cervical LNM in patients with thyroid cancer on preoperative CT with an AUROC of 0 953  Whether this approach has clinical utility will require evaluation in a clinical setting • A deep learning-based CAD system could accurately classify cervical lymph node metastasis  The AUROC for the eight tested algorithms ranged from 0 909 to 0 953  • Of the eight models, the ResNet50 algorithm was the best-performing model for the validation dataset with 0 953 AUROC  The sensitivity, specificity, and accuracy of the ResNet50 model were all 90 4%, respectively, in the test dataset  • Based on its high accuracy of 90 4%, we consider that this model may be useful in a clinical setting to detect LNM on preoperative CT in patients with thyroid cancer </t>
  </si>
  <si>
    <t>CNN,VGG,RESNET,DENSENET,Xception</t>
  </si>
  <si>
    <t xml:space="preserve">Division of Biomedical Informatics, Seoul National University Biomedical Informatics (SNUBI), Seoul National University College of Medicine, Seoul, 110799, Republic of Korea </t>
  </si>
  <si>
    <t>Lee, JH; Ha, EJ; Kim, JH</t>
  </si>
  <si>
    <t>10 1016/j neuroimage 2019 02 060</t>
  </si>
  <si>
    <t xml:space="preserve">White matter connectomes at birth accurately predict cognitive abilities at age 2 </t>
  </si>
  <si>
    <t xml:space="preserve">Cognitive ability is an important predictor of mental health outcomes that is influenced by neurodevelopment  Evidence suggests that the foundational wiring of the human brain is in place by birth, and that the white matter (WM) connectome supports developing brain function  It is unknown, however, how the WM connectome at birth supports emergent cognition  In this study, a deep learning model was trained using cross-validation to classify full-term infants (n = 75) as scoring above or below the median at age 2 using WM connectomes generated from diffusion weighted magnetic resonance images at birth  Results from this model were used to predict individual cognitive scores  We additionally identified WM connections important for classification  The model was also evaluated in a separate set of preterm infants (n = 37) scanned at term-age equivalent  Findings revealed that WM connectomes at birth predicted 2-year cognitive score group with high accuracy in both full-term (89 5%) and preterm (83 8%) infants  Scores predicted by the model were strongly correlated with actual scores (r = 0 98 for full-term and r = 0 96 for preterm)  Connections within the frontal lobe, and between the frontal lobe and other brain areas were found to be important for classification  This work suggests that WM connectomes at birth can accurately predict a child's 2-year cognitive group and individual score in full-term and preterm infants  The WM connectome at birth appears to be a useful neuroimaging biomarker of subsequent cognitive development that deserves further study </t>
  </si>
  <si>
    <t xml:space="preserve">Department of Psychiatry, UNC Chapel Hill, Chapel Hill, NC, 27599, USA </t>
  </si>
  <si>
    <t>Girault, JB; Munsell, BC; Puechmaille, D; Goldman, BD; Prieto, JC; Styner, M; Gilmore, JH</t>
  </si>
  <si>
    <t>10 1016/j diii 2019 01 008</t>
  </si>
  <si>
    <t xml:space="preserve">Detecting abnormal thyroid cartilages on CT using deep learning </t>
  </si>
  <si>
    <t xml:space="preserve">The purpose of this study was to evaluate the performance of a deep learning algorithm in detecting abnormalities of thyroid cartilage from computed tomography (CT) examination A database of 515 harmonized thyroid CT examinations was used, of which information regarding cartilage abnormality was provided for 326  The process consisted of determining image abnormality and, from these preprocessed images, finding the best learning algorithm to appropriately characterize thyroid cartilage as normal or abnormal  CT images were cropped to be centered around the cartilage in order to focus on the relevant area  New images were generated from the originals by applying simple transformations in order to augment the database  Characterizations of cartilage abnormalities were made using transfer learning, by using the architecture of a pre-trained neural network called VGG16 and adapting the final layers to a binary classification problem The best algorithm yielded an area under the receiving operator characteristic curve (AUC) of 0 72 on a sample of 82 thyroid test images  The sensitivity and specificity of the abnormality detection were 83% and 64% at the best threshold, respectively  Applying the model on another independent sample of 189 new thyroid images resulted in an AUC of 0 70 This study demonstrates the feasibility of using a deep learning-based abnormality detection system to evaluate thyroid cartilage from CT examinations  However, although promising results, the model is not yet able to match an expert's diagnosis </t>
  </si>
  <si>
    <t xml:space="preserve">Kernix Software, 6, rue Lalande, 75014 Paris, France </t>
  </si>
  <si>
    <t>Santin, M; Brama, C; Théro, H; Ketheeswaran, E; El-Karoui, I; Bidault, F; Gillet, R; Gondim Teixeira, P; Blum, A</t>
  </si>
  <si>
    <t xml:space="preserve">Multi-View Graph Convolutional Network and Its Applications on Neuroimage Analysis for Parkinson's Disease </t>
  </si>
  <si>
    <t xml:space="preserve">Parkinson's Disease (PD) is one of the most prevalent neurodegenerative diseases that affects tens of millions of Americans  PD is highly progressive and heterogeneous  Quite a few studies have been conducted in recent years on predictive or disease progression modeling of PD using clinical and biomarkers data  Neuroimaging, as another important information source for neurodegenerative disease, has also arisen considerable interests from the PD community  In this paper, we propose a deep learning method based on Graph Convolutional Networks (GCN) for fusing multiple modalities of brain images in relationship prediction which is useful for distinguishing PD cases from controls  On Parkinson's Progression Markers Initiative (PPMI) cohort, our approach achieved 0 9537±0 0587 AUC, compared with 0 6443±0 0223 AUC achieved by traditional approaches such as PCA </t>
  </si>
  <si>
    <t xml:space="preserve">Department of Healthcare Policy and Research, Weill Cornell Medical College, Cornell University, NY </t>
  </si>
  <si>
    <t>Zhang, X; He, L; Chen, K; Luo, Y; Zhou, J; Wang, F</t>
  </si>
  <si>
    <t>10 1097/RTI 0000000000000388</t>
  </si>
  <si>
    <t xml:space="preserve">Performance of Deep Learning Model in Detecting Operable Lung Cancer With Chest Radiographs </t>
  </si>
  <si>
    <t xml:space="preserve">The aim of this study was to evaluate the diagnostic performance of a trained deep convolutional neural network (DCNN) model for detecting operable lung cancer with chest radiographs (CXRs) The institutional review board approved this study  A deep learning model (DLM) based on DCNN was trained with 17,211 CXRs (5700 CT-confirmed lung nodules in 3500 CXRs and 13,711 normal CXRs), finally augmented to 600,000 images  For validation, a trained DLM was tested with 1483 CXRs with surgically resected lung cancer, marked and scored by 2 radiologists  Furthermore, diagnostic performances of DLM and 6 human observers were compared with 500 cases (200 visible T1 lung cancer on CXR and 300 normal CXRs) and analyzed using free-response receiver-operating characteristics curve (FROC) analysis The overall detection rate of DLM for resected lung cancers (27 2±14 6 mm) was a sensitivity of 76 8% (1139/1483) with a false positive per image (FPPI) of 0 3 and area under the FROC curve (AUC) of 0 732  In the comparison with human readers, DLM demonstrated a sensitivity of 86 5% at 0 1 FPPI and a sensitivity of 92% at 0 3 FPPI with AUC of 0 899 at an FPPI range of 0 03 to 0 44 for detecting visible T1 lung cancers, which were superior to the average of 6 human readers [mean sensitivity; 78% (range, 71 6% to 82 6%) at an FPPI of 0 1% and 85% (range, 80 2% to 89 2%) at an FPPI of 0 3, AUC of 0 819 (range, 0 754 to 0 862) at an FPPI of 0 03 to 0 44) A DLM has high diagnostic performance in detecting operable lung cancer with CXR, demonstrating a potential of playing a pivotal role for lung cancer screening </t>
  </si>
  <si>
    <t xml:space="preserve">Department of Radiology and Center for Imaging Science, Samsung Medical Center, Sungkyunkwan University School of Medicine, Seoul, Korea </t>
  </si>
  <si>
    <t>Cha, MJ; Chung, MJ; Lee, JH; Lee, KS</t>
  </si>
  <si>
    <t>10 1111/his 13844</t>
  </si>
  <si>
    <t xml:space="preserve">Impact of pre-analytical variables on deep learning accuracy in histopathology </t>
  </si>
  <si>
    <t xml:space="preserve">Machine learning (ML) binary classification in diagnostic histopathology is an area of intense investigation  Several assumptions, including training image quality/format and the number of training images required, appear to be similar in many studies irrespective of the paucity of supporting evidence  We empirically compared training image file type, training set size, and two common convolutional neural networks (CNNs) using transfer learning (ResNet50 and SqueezeNet) Thirty haematoxylin and eosin (H&amp;E)-stained slides with carcinoma or normal tissue from three tissue types (breast, colon, and prostate) were photographed, generating 3000 partially overlapping images (1000 per tissue type)  These lossless Portable Networks Graphics (PNGs) images were converted to lossy Joint Photographic Experts Group (JPG) images  Tissue type-specific binary classification ML models were developed by the use of all PNG or JPG images, and repeated with a subset of 500, 200, 100, 50, 30 and 10 images  Eleven models were generated for each tissue type, at each quantity of training images, for each file type, and for each CNN, resulting in 924 models  Internal accuracies and generalisation accuracies were compared  There was no meaningful significant difference in accuracies between PNG and JPG models  Models trained with more images did not invariably perform better  ResNet50 typically outperformed SqueezeNet  Models were generalisable within a tissue type but not across tissue types Lossy JPG images were not inferior to lossless PNG images in our models  Large numbers of unique H&amp;E-stained slides were not required for training optimal ML models  This reinforces the need for an evidence-based approach to best practices for histopathological ML </t>
  </si>
  <si>
    <t>genitourinary,thoracic,genitourinary</t>
  </si>
  <si>
    <t>CNN,ResNet,SqueezeNet</t>
  </si>
  <si>
    <t xml:space="preserve">Department of Pathology and Laboratory Medicine, University of California Davis Health, Sacramento, CA, USA </t>
  </si>
  <si>
    <t>Jones, AD; Graff, JP; Darrow, M; Borowsky, A; Olson, KA; Gandour-Edwards, R; Datta Mitra, A; Wei, D; Gao, G; Durbin-Johnson, B; Rashidi, HH</t>
  </si>
  <si>
    <t>10 1007/s00330-019-06020-2</t>
  </si>
  <si>
    <t xml:space="preserve">Amount of fibroglandular tissue FGT and background parenchymal enhancement BPE in relation to breast cancer risk and false positives in a breast MRI screening program : A retrospective cohort study </t>
  </si>
  <si>
    <t xml:space="preserve">The purpose of this study is to evaluate the predictive value of the amount of fibroglandular tissue (FGT) and background parenchymal enhancement (BPE), measured at baseline on breast MRI, for breast cancer development and risk of false-positive findings in women at increased risk for breast cancer Negative baseline MRI scans of 1533 women participating in a screening program for women at increased risk for breast cancer between January 1, 2003, and January 1, 2014, were selected  Automated tools based on deep learning were used to obtain quantitative measures of FGT and BPE  Logistic regression using forward selection was used to assess relationships between FGT, BPE, cancer detection, false-positive recall, and false-positive biopsy Sixty cancers were detected in follow-up  FGT was only associated to short-term cancer risk; BPE was not associated with cancer risk  High FGT and BPE did lead to more false-positive recalls at baseline (OR 1 259, p = 0 050, and OR 1 475, p = 0 003) and to more frequent false-positive biopsies at baseline (OR 1 315, p = 0 049, and OR 1 807, p = 0 002), but were not predictive for false-positive findings in subsequent screening rounds FGT and BPE, measured on baseline MRI, are not predictive for overall breast cancer development in women at increased risk  High FGT and BPE lead to more false-positive findings at baseline • Amount of fibroglandular tissue is only predictive for short-term breast cancer risk in women at increased risk  • Background parenchymal enhancement measured on baseline MRI is not predictive for breast cancer development in women at increased risk  • High amount of fibroglandular tissue and background parenchymal enhancement lead to more false-positive findings at baseline MRI </t>
  </si>
  <si>
    <t>UNET</t>
  </si>
  <si>
    <t xml:space="preserve">Department of Radiology and Nuclear Medicine, Radboud University Medical Center, Geert Grooteplein 10, route 766, 6525 GA, Nijmegen, the Netherlands </t>
  </si>
  <si>
    <t>Vreemann, S; Dalmis, MU; Bult, P; Karssemeijer, N; Broeders, MJM; Gubern-Mérida, A; Mann, RM</t>
  </si>
  <si>
    <t>10 1016/j zemedi 2019 01 001</t>
  </si>
  <si>
    <t xml:space="preserve">SHARQnet - Sophisticated harmonic artifact reduction in quantitative susceptibility mapping using a deep convolutional neural network </t>
  </si>
  <si>
    <t xml:space="preserve">Quantitative susceptibility mapping (QSM) reveals pathological changes in widespread diseases such as Parkinson's disease, Multiple Sclerosis, or hepatic iron overload  QSM requires multiple processing steps after the acquisition of magnetic resonance imaging (MRI) phase measurements such as unwrapping, background field removal and the solution of an ill-posed field-to-source-inversion  Current techniques utilize iterative optimization procedures to solve the inversion and background field correction, which are computationally expensive and lead to suboptimal or over-regularized solutions requiring a careful choice of parameters that make a clinical application of QSM challenging  We have previously demonstrated that a deep convolutional neural network can invert the magnetic dipole kernel with a very efficient feed forward multiplication not requiring iterative optimization or the choice of regularization parameters  In this work, we extended this approach to remove background fields in QSM  The prototype method, called SHARQnet, was trained on simulated background fields and tested on 3T and 7T brain datasets  We show that SHARQnet outperforms current background field removal procedures and generalizes to a wide range of input data without requiring any parameter adjustments  In summary, we demonstrate that the solution of ill-posed problems in QSM can be achieved by learning the underlying physics causing the artifacts and removing them in an efficient and reliable manner and thereby will help to bring QSM towards clinical applications </t>
  </si>
  <si>
    <t xml:space="preserve">Centre for Advanced Imaging, The University of Queensland, Building 57 of University Dr, St Lucia, QLD 4072, Brisbane, Australia  Electronic address: steffen bollmann@cai uq edu au </t>
    <phoneticPr fontId="0" type="noConversion"/>
  </si>
  <si>
    <t>Bollmann, S; Kristensen, MH; Larsen, MS; Olsen, MV; Pedersen, MJ; Østergaard, LR; O'Brien, K; Langkammer, C; Fazlollahi, A; Barth, M</t>
  </si>
  <si>
    <t>10 1016/j radonc 2018 10 037</t>
  </si>
  <si>
    <t xml:space="preserve">Segmenting lung tumors on longitudinal imaging studies via a patient-specific adaptive convolutional neural network </t>
  </si>
  <si>
    <t xml:space="preserve">To design a deep learning algorithm that automatically delineates lung tumors seen on weekly magnetic resonance imaging (MRI) scans acquired during radiotherapy and facilitates the analysis of geometric tumor changes This longitudinal imaging study comprised 9 lung cancer patients who had 6-7 weekly T2-weighted MRI scans during radiotherapy  Tumors on all scans were manually contoured as the ground truth  Meanwhile, a patient-specific adaptive convolutional neural network (A-net) was developed to simulate the workflow of adaptive radiotherapy and to utilize past weekly MRI and tumor contours to segment tumors on the current weekly MRI  To augment the training data, each voxel inside the volume of interest was expanded to a 3 × 3 cm patch as the input, whereas the classification of the corresponding patch, background or tumor, was the output  Training was updated weekly to incorporate the latest MRI scan  For comparison, a population-based neural network was implemented, trained, and validated on the leave-one-out scheme  Both algorithms were evaluated by their precision, DICE coefficient, and root mean square surface distance between the manual and computerized segmentations Training of A-net converged well within 2 h of computations on a computer cluster  A-net segmented the weekly MR with a precision, DICE, and root mean square surface distance of 0 81 ± 0 10, 0 82 ± 0 10, and 2 4 ± 1 4 mm, and outperformed the population-based algorithm with 0 63 ± 0 21, 0 64 ± 0 19, and 4 1 ± 3 0 mm, respectively A-net can be feasibly integrated into the clinical workflow of a longitudinal imaging study and become a valuable tool to facilitate decision- making in adaptive radiotherapy </t>
  </si>
  <si>
    <t xml:space="preserve">Department of Medical Physics, Memorial Sloan-Kettering Cancer Center, New York, USA; Department of Radiation Oncology, Memorial Sloan-Kettering Cancer Center, New York, USA </t>
  </si>
  <si>
    <t>Wang, C; Tyagi, N; Rimner, A; Hu, YC; Veeraraghavan, H; Li, G; Hunt, M; Mageras, G; Zhang, P</t>
  </si>
  <si>
    <t>10 1016/j zemedi 2019 01 002</t>
  </si>
  <si>
    <t xml:space="preserve">Simulation-based deep artifact correction with Convolutional Neural Networks for limited angle artifacts </t>
  </si>
  <si>
    <t xml:space="preserve">Non-conventional scan trajectories for interventional three-dimensional imaging promise low-dose interventions and a better radiation protection to the personnel  Circular tomosynthesis (cTS) scan trajectories yield an anisotropical image quality distribution  In contrast to conventional Computed Tomographies (CT), the reconstructions have a preferred focus plane  In the other two perpendicular planes, limited angle artifacts are introduced  A reduction of these artifacts leads to enhanced image quality while maintaining the low dose  We apply Deep Artifact Correction (DAC) to this task  cTS simulations of a digital phantom are used to generate training data  Three U-Net-based networks and a 3D-ResNet are trained to estimate the correction map between the cTS and the phantom  We show that limited angle artifacts can be mitigated using simulation-based DAC  The U-Net-corrected cTS achieved a Root Mean Squared Error (RMSE) of 124 24 Hounsfield Units (HU) on 60 simulated test scans in comparison to the digital phantoms  This equals an error reduction of 59 35% from the cTS  The achieved image quality is similar to a simulated cone beam CT (CBCT)  Our network was also able to mitigate artifacts in scans of objects which strongly differ from the training data  Application to real cTS test scans showed an error reduction of 45 18% and 26 4% with the 3D-ResNet in reference to a high-dose CBCT </t>
  </si>
  <si>
    <t>CNN,UNET,RESNET</t>
  </si>
  <si>
    <t xml:space="preserve">Computer Assisted Clinical Medicine, Medical Faculty Mannheim, Heidelberg University, Theodor Kutzer Ufer 1-3, 68167 Mannheim, Germany  Electronic address: alena-kathrin schnurr@medma uni-heidelberg de </t>
    <phoneticPr fontId="0" type="noConversion"/>
  </si>
  <si>
    <t>Schnurr, AK; Chung, K; Russ, T; Schad, LR; Zöllner, FG</t>
  </si>
  <si>
    <t>10 1016/j media 2019 02 005</t>
  </si>
  <si>
    <t xml:space="preserve">Iterative fully convolutional neural networks for automatic vertebra segmentation and identification </t>
  </si>
  <si>
    <t xml:space="preserve">Precise segmentation and anatomical identification of the vertebrae provides the basis for automatic analysis of the spine, such as detection of vertebral compression fractures or other abnormalities  Most dedicated spine CT and MR scans as well as scans of the chest, abdomen or neck cover only part of the spine  Segmentation and identification should therefore not rely on the visibility of certain vertebrae or a certain number of vertebrae  We propose an iterative instance segmentation approach that uses a fully convolutional neural network to segment and label vertebrae one after the other, independently of the number of visible vertebrae  This instance-by-instance segmentation is enabled by combining the network with a memory component that retains information about already segmented vertebrae  The network iteratively analyzes image patches, using information from both image and memory to search for the next vertebra  To efficiently traverse the image, we include the prior knowledge that the vertebrae are always located next to each other, which is used to follow the vertebral column  The network concurrently performs multiple tasks, which are segmentation of a vertebra, regression of its anatomical label and prediction whether the vertebra is completely visible in the image, which allows to exclude incompletely visible vertebrae from further analyses  The predicted anatomical labels of the individual vertebrae are additionally refined with a maximum likelihood approach, choosing the overall most likely labeling if all detected vertebrae are taken into account  This method was evaluated with five diverse datasets, including multiple modalities (CT and MR), various fields of view and coverages of different sections of the spine, and a particularly challenging set of low-dose chest CT scans  For vertebra segmentation, the average Dice score was 94 9 ± 2 1% with an average absolute symmetric surface distance of 0 2 ± 10 1mm  The anatomical identification had an accuracy of 93%, corresponding to a single case with mislabeled vertebrae  Vertebrae were classified as completely or incompletely visible with an accuracy of 97%  The proposed iterative segmentation method compares favorably with state-of-the-art methods and is fast, flexible and generalizable </t>
  </si>
  <si>
    <t xml:space="preserve">Image Sciences Institute, University Medical Center Utrecht, Room Q 02 4 45, 3508 GA Utrecht, P O  Box 85500, The Netherlands  Electronic address: n lessmann@umcutrecht nl </t>
  </si>
  <si>
    <t>Lessmann, N; van Ginneken, B; de Jong, PA; Išgum, I</t>
  </si>
  <si>
    <t>10 1016/j media 2019 01 011</t>
  </si>
  <si>
    <t xml:space="preserve">Adversarial training with cycle consistency for unsupervised super-resolution in endomicroscopy </t>
  </si>
  <si>
    <t xml:space="preserve">In recent years, endomicroscopy has become increasingly used for diagnostic purposes and interventional guidance  It can provide intraoperative aids for real-time tissue characterization and can help to perform visual investigations aimed for example to discover epithelial cancers  Due to physical constraints on the acquisition process, endomicroscopy images, still today have a low number of informative pixels which hampers their quality  Post-processing techniques, such as Super-Resolution (SR), are a potential solution to increase the quality of these images  SR techniques are often supervised, requiring aligned pairs of low-resolution (LR) and high-resolution (HR) images patches to train a model  However, in our domain, the lack of HR images hinders the collection of such pairs and makes supervised training unsuitable  For this reason, we propose an unsupervised SR framework based on an adversarial deep neural network with a physically-inspired cycle consistency, designed to impose some acquisition properties on the super-resolved images  Our framework can exploit HR images, regardless of the domain where they are coming from, to transfer the quality of the HR images to the initial LR images  This property can be particularly useful in all situations where pairs of LR/HR are not available during the training  Our quantitative analysis, validated using a database of 238 endomicroscopy video sequences from 143 patients, shows the ability of the pipeline to produce convincing super-resolved images  A Mean Opinion Score (MOS) study also confirms this quantitative image quality assessment </t>
  </si>
  <si>
    <t xml:space="preserve">Centre for Medical Image Computing, University College London, United Kingdom  Electronic address: d ravi@ucl ac uk </t>
  </si>
  <si>
    <t>Ravì, D; Szczotka, AB; Pereira, SP; Vercauteren, T</t>
  </si>
  <si>
    <t>10 1001/jamanetworkopen 2018 8029</t>
  </si>
  <si>
    <t xml:space="preserve">Estimating Retinal Sensitivity Using Optical Coherence Tomography With Deep-Learning Algorithms in Macular Telangiectasia Type 2 </t>
  </si>
  <si>
    <t xml:space="preserve">As currently used, microperimetry is a burdensome clinical testing modality for testing retinal sensitivity requiring long testing times and trained technicians To create a deep-learning network that could directly estimate function from structure de novo to provide an en face high-resolution map of estimated retinal sensitivity A cross-sectional imaging study using data collected between January 1, 2016, and November 30, 2017, from the Natural History Observation and Registry of macular telangiectasia type 2 (MacTel) evaluated 38 participants with confirmed MacTel from 2 centers Mean absolute error of estimated compared with observed retinal sensitivity  Observed retinal sensitivity was obtained with fundus-controlled perimetry (microperimetry)  Estimates of retinal sensitivity were made with deep-learning models that learned on superpositions of high-resolution optical coherence tomography (OCT) scans and microperimetry results  Those predictions were used to create high-density en face sensitivity maps of the macula  Training, validation, and test sets were segregated at the patient level A total of 2499 microperimetry sensitivities were mapped onto 1708 OCT B-scans from 63 eyes of 38 patients (mean [SD] age, 74 3 [9 7] years; 15 men [39 5%])  The numbers of examples for our algorithm were 67 899 (103 053 after data augmentation) for training, 1695 for validation, and 1212 for testing  Mean absolute error results were 4 51 dB (95% CI, 4 36-4 65 dB) when using linear regression and 3 66 dB (95% CI, 3 53-3 78 dB) when using the LeNet model  Using a 49 9 million-variable deep-learning model, a mean absolute error of 3 36 dB (95% CI, 3 25-3 48 dB) of retinal sensitivity for validation and test was achieved  Correlation showed a high degree of agreement (Pearson correlation r = 0 78)  By paired Wilcoxon rank sum test, our model significantly outperformed these 2 baseline models (P &lt;  001) High-resolution en face maps of estimated retinal sensitivities were created in eyes with MacTel  The maps were of unequalled resolution compared with microperimetry and were able to correctly delineate functionally healthy and impaired retina  This model may be useful to monitor structural and functional disease progression and has potential as an objective surrogate outcome measure in investigational trials </t>
  </si>
  <si>
    <t xml:space="preserve">Department of Ophthalmology, University of Washington, Seattle </t>
  </si>
  <si>
    <t>Kihara, Y; Heeren, TFC; Lee, CS; Wu, Y; Xiao, S; Tzaridis, S; Holz, FG; Charbel Issa, P; Egan, CA; Lee, AY</t>
  </si>
  <si>
    <t>10 1109/TMI 2018 2865709</t>
  </si>
  <si>
    <t xml:space="preserve">Segmentation of Nuclei in Histopathology Images by Deep Regression of the Distance Map </t>
  </si>
  <si>
    <t xml:space="preserve">The advent of digital pathology provides us with the challenging opportunity to automatically analyze whole slides of diseased tissue in order to derive quantitative profiles that can be used for diagnosis and prognosis tasks  In particular, for the development of interpretable models, the detection and segmentation of cell nuclei is of the utmost importance  In this paper, we describe a new method to automatically segment nuclei from Haematoxylin and Eosin (H&amp;E) stained histopathology data with fully convolutional networks  In particular, we address the problem of segmenting touching nuclei by formulating the segmentation problem as a regression task of the distance map  We demonstrate superior performance of this approach as compared to other approaches using Convolutional Neural Networks </t>
  </si>
  <si>
    <t xml:space="preserve">FCN,Unet,mask R-CNN </t>
  </si>
  <si>
    <t>Center for Computational
Biology from MINES ParisTech, PSL Research University, F-75006 Paris,</t>
    <phoneticPr fontId="0" type="noConversion"/>
  </si>
  <si>
    <t>Naylor, P; Lae, M; Reyal, F; Walter, T</t>
  </si>
  <si>
    <t>10 1016/j media 2019 01 005</t>
  </si>
  <si>
    <t xml:space="preserve">Recurrent inference machines for reconstructing heterogeneous MRI data </t>
  </si>
  <si>
    <t xml:space="preserve">Deep learning allows for accelerated magnetic resonance image (MRI) reconstruction, thereby shortening measurement times  Rather than using sparsifying transforms, a prerequisite in Compressed Sensing (CS), suitable MRI prior distributions are learned from data  In clinical practice, both the underlying anatomy as well as image acquisition settings vary  For this reason, deep neural networks must be able to reapply what they learn across different measurement conditions  We propose to use Recurrent Inference Machines (RIM) as a framework for accelerated MRI reconstruction  RIMs solve inverse problems in an iterative and recurrent inference procedure by repeatedly reassessing the state of their reconstruction, and subsequently making incremental adjustments to it in accordance with the forward model of accelerated MRI  RIMs learn the inferential process of reconstructing a given signal, which, in combination with the use of internal states as part of their recurrent architecture, makes them less dependent on learning the features pertaining to the source of the signal itself  This gives RIMs a low tendency to overfit, and a high capacity to generalize to unseen types of data  We demonstrate this ability with respect to anatomy by reconstructing brain and knee scans, as well as other MRI acquisition settings, by reconstructing scans of different contrast and resolution, at different field strength, subjected to varying acceleration levels  We show that RIMs outperform CS not only with respect to quality metrics, but also according to a rating given by an experienced neuroradiologist in a double blinded experiment  Finally, we show with qualitative results that our model can be applied to prospectively under-sampled raw data, as acquired by pre-installed acquisition protocols </t>
  </si>
  <si>
    <t>musculoskeletal,head and neck</t>
  </si>
  <si>
    <t>Spinoza Centre for Neuroimaging, Amsterdam 1105 BK, the Netherlands; Informatics Institute at the University of Amsterdam, Amsterdam 1098 XH, the Netherlands; Netherlands Cancer Institute, Amsterdam 1066 CX, the Netherlands</t>
    <phoneticPr fontId="0" type="noConversion"/>
  </si>
  <si>
    <t>Lønning, K; Putzky, P; Sonke, JJ; Reneman, L; Caan, MWA; Welling, M</t>
  </si>
  <si>
    <t>10 1088/1361-6560/ab00c9</t>
  </si>
  <si>
    <t xml:space="preserve">Automatic 3D cephalometric annotation system using shadowed 2D image-based machine learning </t>
  </si>
  <si>
    <t xml:space="preserve">This paper presents a new approach to automatic three-dimensional (3D) cephalometric annotation for diagnosis, surgical planning, and treatment evaluation  There has long been considerable demand for automated cephalometric landmarking, since manual landmarking requires considerable time and experience as well as objectivity and scrupulous error avoidance  Due to the inherent limitation of two-dimensional (2D) cephalometry and the 3D nature of surgical simulation, there is a trend away from current 2D to 3D cephalometry  Deep learning approaches to cephalometric landmarking seem highly promising, but there exist serious difficulties in handling high dimensional 3D CT data, dimension referring to the number of voxels  To address this issue of dimensionality, this paper proposes a shadowed 2D image-based machine learning method which uses multiple shadowed 2D images with various lighting and view directions to capture 3D geometric cues  The proposed method using VGG-net was trained and tested using 2700 shadowed 2D images and corresponding manual landmarkings  Test data evaluation shows that our method achieved an average point-to-point error of 1 5 mm for the seven major landmarks </t>
  </si>
  <si>
    <t>Lee, SM; Kim, HP; Jeon, K; Lee, SH; Seo, JK</t>
  </si>
  <si>
    <t>10 1148/radiol 2018180921</t>
  </si>
  <si>
    <t xml:space="preserve">Automated Triaging of Adult Chest Radiographs with Deep Artificial Neural Networks </t>
  </si>
  <si>
    <t xml:space="preserve">Purpose To develop and test an artificial intelligence (AI) system, based on deep convolutional neural networks (CNNs), for automated real-time triaging of adult chest radiographs on the basis of the urgency of imaging appearances  Materials and Methods An AI system was developed by using 470 388 fully anonymized institutional adult chest radiographs acquired from 2007 to 2017  The free-text radiology reports were preprocessed by using an in-house natural language processing (NLP) system modeling radiologic language  The NLP system analyzed the free-text report to prioritize each radiograph as critical, urgent, nonurgent, or normal  An AI system for computer vision using an ensemble of two deep CNNs was then trained by using labeled radiographs to predict the clinical priority from radiologic appearances only  The system's performance in radiograph prioritization was tested in a simulation by using an independent set of 15 887 radiographs  Prediction performance was assessed with the area under the receiver operating characteristic curve; sensitivity, specificity, positive predictive value (PPV), and negative predictive value (NPV) were also determined  Nonparametric testing of the improvement in time to final report was determined at a nominal significance level of 5%  Results Normal chest radiographs were detected by our AI system with a sensitivity of 71%, specificity of 95%, PPV of 73%, and NPV of 94%  The average reporting delay was reduced from 11 2 to 2 7 days for critical imaging findings (P &lt;  001) and from 7 6 to 4 1 days for urgent imaging findings (P &lt;  001) in the simulation compared with historical data  Conclusion Automated real-time triaging of adult chest radiographs with use of an artificial intelligence system is feasible, with clinically acceptable performance  © RSNA, 2019 Online supplemental material is available for this article  See also the editorial by Auffermann in this issue </t>
  </si>
  <si>
    <t>From the Departments of Biomedical Engineering (M A , R J B , E P , G M ) and Cancer Imaging (S J W , V G ), School of Biomedical Engineering &amp; Imaging Sciences, King's College London, London, England; Department of Radiology, Guy's &amp; St Thomas' NHS Foundation Trust, London, England (S J W , V G ); and WMG International Digital Laboratory, University of Warwick, Coventry CV32 7AL, England</t>
    <phoneticPr fontId="0" type="noConversion"/>
  </si>
  <si>
    <t>Annarumma, M; Withey, SJ; Bakewell, RJ; Pesce, E; Goh, V; Montana, G</t>
  </si>
  <si>
    <t>10 1016/j media 2018 12 007</t>
  </si>
  <si>
    <t xml:space="preserve">Learning to detect chest radiographs containing pulmonary lesions using visual attention networks </t>
  </si>
  <si>
    <t xml:space="preserve">Machine learning approaches hold great potential for the automated detection of lung nodules on chest radiographs, but training algorithms requires very large amounts of manually annotated radiographs, which are difficult to obtain  The increasing availability of PACS (Picture Archiving and Communication System), is laying the technological foundations needed to make available large volumes of clinical data and images from hospital archives  Binary labels indicating whether a radiograph contains a pulmonary lesion can be extracted at scale, using natural language processing algorithms  In this study, we propose two novel neural networks for the detection of chest radiographs containing pulmonary lesions  Both architectures make use of a large number of weakly-labelled images combined with a smaller number of manually annotated x-rays  The annotated lesions are used during training to deliver a type of visual attention feedback informing the networks about their lesion localisation performance  The first architecture extracts saliency maps from high-level convolutional layers and compares the inferred position of a lesion against the true position when this information is available; a localisation error is then back-propagated along with the softmax classification error  The second approach consists of a recurrent attention model that learns to observe a short sequence of smaller image portions through reinforcement learning; the reward function penalises the exploration of areas, within an image, that are unlikely to contain nodules  Using a repository of over 430,000 historical chest radiographs, we present and discuss the proposed methods over related architectures that use either weakly-labelled or annotated images only </t>
  </si>
  <si>
    <t xml:space="preserve">Department of Biomedical Engineering, King's College London, London, UK </t>
  </si>
  <si>
    <t>Pesce, E; Joseph Withey, S; Ypsilantis, PP; Bakewell, R; Goh, V; Montana, G</t>
  </si>
  <si>
    <t>10 1161/STROKEAHA 118 024124</t>
  </si>
  <si>
    <t xml:space="preserve">Deep Learning Natural Language Processing Successfully Predicts the Cerebrovascular Cause of Transient Ischemic Attack-Like Presentations </t>
  </si>
  <si>
    <t xml:space="preserve">Background and Purpose- Triaging of referrals to transient ischemic attack (TIA) clinics is aided by risk stratification  Deep learning-based natural language processing, a type of machine learning, may be able to assist with the prediction of cerebrovascular cause of TIA-like presentations from free-text information  Methods- Consecutive TIA clinic notes were retrieved from existing databases  Texts associated with cerebrovascular and noncerebrovascular diagnoses were preprocessed before classification experiments, using a variety of classifier models, based on only the free-text description of the history of presenting complaint  The primary outcome was area under the curve (AUC) of the receiver operator curve  The model with the greatest AUC was then used in classification experiments in which it was provided with additional clinical information  Results- Of the classifier models trialed on the history of presenting complaint, the convolutional neural network achieved the greatest predictive capability (AUC±SD; 81 9±2 0)  The effects of additional clinical information on AUC were variable  The greatest AUC was achieved when the convolutional neural network was provided with the history of presenting complaint and magnetic resonance imaging report (88 3±3 6)  Conclusions- Deep learning-based natural language processing, in particular convolutional neural networks, based on medical free-text, may prove effective in prediction of the cause of TIA-like presentations  Future research investigating the role of the application of deep learning-based natural language processing to the automated triaging of clinic referrals in TIA, and potentially other specialty areas, is indicated </t>
  </si>
  <si>
    <t>From the Royal Adelaide Hospital, Adelaide, Australia</t>
    <phoneticPr fontId="0" type="noConversion"/>
  </si>
  <si>
    <t>Bacchi, S; Oakden-Rayner, L; Zerner, T; Kleinig, T; Patel, S; Jannes, J</t>
  </si>
  <si>
    <t>10 1097/RLI 0000000000000544</t>
  </si>
  <si>
    <t xml:space="preserve">Artificial Intelligence-Based Classification of Breast Lesions Imaged With a Multiparametric Breast MRI Protocol With Ultrafast DCE-MRI, T2, and DWI </t>
    <phoneticPr fontId="0" type="noConversion"/>
  </si>
  <si>
    <t xml:space="preserve">We investigated artificial intelligence (AI)-based classification of benign and malignant breast lesions imaged with a multiparametric breast magnetic resonance imaging (MRI) protocol with ultrafast dynamic contrast-enhanced MRI, T2-weighted, and diffusion-weighted imaging with apparent diffusion coefficient mapping We analyzed 576 lesions imaged with MRI, including a consecutive set of biopsied malignant (368) and benign (149) lesions, and an additional set of 59 benign lesions proven by follow-up  We used deep learning methods to interpret ultrafast dynamic contrast-enhanced MRI and T2-weighted information  A random forests classifier combined the output with patient information (PI; age and BRCA status) and apparent diffusion coefficient values obtained from diffusion-weighted imaging to perform the final lesion classification  We used receiver operating characteristic (ROC) analysis to evaluate our results  Sensitivity and specificity were compared with the results of the prospective clinical evaluation by radiologists The area under the ROC curve was 0 811 when only ultrafast dynamics was used  The final AI system that combined all imaging information with PI resulted in an area under the ROC curve of 0 852, significantly higher than the ultrafast dynamics alone (P = 0 002)  When operating at the same sensitivity level of radiologists in this dataset, this system produced 19 less false-positives than the number of biopsied benign lesions in our dataset Use of adjunct imaging and PI has a significant contribution in diagnostic performance of ultrafast breast MRI  The developed AI system for interpretation of multiparametric ultrafast breast MRI may improve specificity </t>
  </si>
  <si>
    <t>From the Royal Adelaide Hospital, Adelaide, Australia (S.B., L.O.-R., T.K., S.P., J.J.); Australian Institute for Machine Learning, University of Adelaide,
Australia (L.O.-R.); and Faculty of Health and Medical Sciences, University of Adelaide, Australia</t>
    <phoneticPr fontId="0" type="noConversion"/>
  </si>
  <si>
    <t>Dalmiş, MU; Gubern-Mérida, A; Vreemann, S; Bult, P; Karssemeijer, N; Mann, R; Teuwen, J</t>
  </si>
  <si>
    <t>10 1155/2018/8413403</t>
  </si>
  <si>
    <r>
      <t xml:space="preserve">Is Intensity Inhomogeneity Correction Useful for </t>
    </r>
    <r>
      <rPr>
        <sz val="10"/>
        <color indexed="10"/>
        <rFont val="Arial"/>
        <family val="2"/>
      </rPr>
      <t>Classification of Breast Cancer i</t>
    </r>
    <r>
      <rPr>
        <sz val="10"/>
        <rFont val="Arial"/>
        <family val="2"/>
      </rPr>
      <t xml:space="preserve">n Sonograms Using </t>
    </r>
    <r>
      <rPr>
        <sz val="10"/>
        <color indexed="10"/>
        <rFont val="Arial"/>
        <family val="2"/>
      </rPr>
      <t>Deep Neural Network</t>
    </r>
    <r>
      <rPr>
        <sz val="10"/>
        <rFont val="Arial"/>
        <family val="2"/>
      </rPr>
      <t>?</t>
    </r>
  </si>
  <si>
    <t xml:space="preserve">The sonogram is currently an effective cancer screening and diagnosis way due to the convenience and harmlessness in humans  Traditionally, lesion boundary segmentation is first adopted and then classification is conducted, to reach the judgment of benign or malignant tumor  In addition, sonograms often contain much speckle noise and intensity inhomogeneity  This study proposes a novel benign or malignant tumor classification system, which comprises intensity inhomogeneity correction and stacked denoising autoencoder (SDAE), and it is suitable for small-size dataset  A classifier is established by extracting features in the multilayer training of SDAE; automatic analysis of imaging features by the deep learning algorithm is applied on image classification, thus allowing the system to have high efficiency and robust distinguishing  In this study, two kinds of dataset (private data and public data) are used for deep learning models training  For each dataset, two groups of test images are compared: the original images and the images after intensity inhomogeneity correction, respectively  The results show that when deep learning algorithm is applied on the sonograms after intensity inhomogeneity correction, there is a significant increase of the tumor distinguishing accuracy  This study demonstrated that it is important to use preprocessing to highlight the image features and further give these features for deep learning models  In this way, the classification accuracy will be better to just use the original images for deep learning </t>
  </si>
  <si>
    <t xml:space="preserve">Department of Electrical Engineering, National United University, Miaoli, Taiwan </t>
  </si>
  <si>
    <t>Lee, CY; Chen, GL; Zhang, ZX; Chou, YH; Hsu, CC</t>
  </si>
  <si>
    <t>10 1186/s12968-018-0516-1</t>
  </si>
  <si>
    <t xml:space="preserve">Automated analysis of cardiovascular magnetic resonance myocardial native T1 mapping images using fully convolutional neural networks </t>
  </si>
  <si>
    <t xml:space="preserve">Cardiovascular magnetic resonance (CMR) myocardial native T1 mapping allows assessment of interstitial diffuse fibrosis  In this technique, the global and regional T1 are measured manually by drawing region of interest in motion-corrected T1 maps  The manual analysis contributes to an already lengthy CMR analysis workflow and impacts measurements reproducibility  In this study, we propose an automated method for combined myocardium segmentation, alignment, and T1 calculation for myocardial T1 mapping A deep fully convolutional neural network (FCN) was used for myocardium segmentation in T1 weighted images  The segmented myocardium was then resampled on a polar grid, whose origin is located at the center-of-mass of the segmented myocardium  Myocardium T1 maps were reconstructed from the resampled T1 weighted images using curve fitting  The FCN was trained and tested using manually segmented images for 210 patients (5 slices, 11 inversion times per patient)  An additional image dataset for 455 patients (5 slices and 11 inversion times per patient), analyzed by an expert reader using a semi-automatic tool, was used to validate the automatically calculated global and regional T1 values  Bland-Altman analysis, Pearson correlation coefficient, r, and the Dice similarity coefficient (DSC) were used to evaluate the performance of the FCN-based analysis on per-patient and per-slice basis  Inter-observer variability was assessed using intraclass correlation coefficient (ICC) of the T1 values calculated by the FCN-based automatic method and two readers The FCN achieved fast segmentation (&lt; 0 3 s/image) with high DSC (0 85 ± 0 07)  The automatically and manually calculated T1 values (1091 ± 59 ms and 1089 ± 59 ms, respectively) were highly correlated in per-patient (r = 0 82; slope = 1 01; p &lt; 0 0001) and per-slice (r = 0 72; slope = 1 01; p &lt; 0 0001) analyses  Bland-Altman analysis showed good agreement between the automated and manual measurements with 95% of measurements within the limits-of-agreement in both per-patient and per-slice analyses  The intraclass correllation of the T1 calculations by the automatic method vs reader 1 and reader 2 was respectively 0 86/0 56 and 0 74/0 49 in the per-patient/per-slice analyses, which were comparable to that between two expert readers (=0 72/0 58 in per-patient/per-slice analyses) The proposed FCN-based image processing platform allows fast and automatic analysis of myocardial native T1 mapping images mitigating the burden and observer-related variability of manual analysis </t>
  </si>
  <si>
    <t xml:space="preserve">Department of Medicine, Beth Israel Deaconess Medical Center and Harvard Medical School, 330 Brookline Ave, Boston, MA, 02215, USA </t>
  </si>
  <si>
    <t>Fahmy, AS; El-Rewaidy, H; Nezafat, M; Nakamori, S; Nezafat, R</t>
  </si>
  <si>
    <t>10 1088/1361-6560/aafd50</t>
  </si>
  <si>
    <t xml:space="preserve">Training improvements for ultrasound beamforming with deep neural networks </t>
    <phoneticPr fontId="0" type="noConversion"/>
  </si>
  <si>
    <t xml:space="preserve">This paper investigates practical considerations of training ultrasound deep neural network (DNN) beamformers  First, we studied training DNNs using the combination of multiple point target responses instead of single point target responses  Next, we demonstrated the effect of different hyperparameter settings on ultrasound image quality for simulated scans  This study also showed that DNN beamforming was robust to electronic noise  Next, we showed that mean squared error validation loss was not a good predictor for image quality for simulation, phantom, and in vivo scans  As an alternative to validation loss for selecting DNN beamformers, we studied image quality in physical phantom and in vivo scans and demonstrated that DNN beamformer image quality in these settings was correlated to DNN beamformer image quality in simulated images  These findings suggest that simulated image quality can be used to select DNN beamformers  Finally, we studied the effect of dataset size on DNN beamformer image quality in simulation, physical phantom, and in vivo scans  We interpret the results in terms of recent work on the scaling of deep learning  Overall, the results in this paper show that DNN beamforming has significant potential for improving B-mode image quality </t>
  </si>
  <si>
    <t>1Department
of Medicine, Beth Israel Deaconess Medical Center and Harvard
Medical School, 330 Brookline Ave, Boston, MA 02215, USA</t>
    <phoneticPr fontId="0" type="noConversion"/>
  </si>
  <si>
    <t>10 1186/s12968-018-0509-0</t>
  </si>
  <si>
    <t xml:space="preserve">Machine learning derived segmentation of phase velocity encoded cardiovascular magnetic resonance for fully automated aortic flow quantification </t>
  </si>
  <si>
    <t xml:space="preserve">Phase contrast (PC) cardiovascular magnetic resonance (CMR) is widely employed for flow quantification, but analysis typically requires time consuming manual segmentation which can require human correction  Advances in machine learning have markedly improved automated processing, but have yet to be applied to PC-CMR  This study tested a novel machine learning model for fully automated analysis of PC-CMR aortic flow A machine learning model was designed to track aortic valve borders based on neural network approaches  The model was trained in a derivation cohort encompassing 150 patients who underwent clinical PC-CMR then compared to manual and commercially-available automated segmentation in a prospective validation cohort  Further validation testing was performed in an external cohort acquired from a different site/CMR vendor Among 190 coronary artery disease patients prospectively undergoing CMR on commercial scanners (84% 1 5T, 16% 3T), machine learning segmentation was uniformly successful, requiring no human intervention: Segmentation time was &lt; 0 01 min/case (1 2 min for entire dataset); manual segmentation required 3 96 ± 0 36 min/case (12 5 h for entire dataset)  Correlations between machine learning and manual segmentation-derived flow approached unity (r = 0 99, p &lt; 0 001)  Machine learning yielded smaller absolute differences with manual segmentation than did commercial automation (1 85 ± 1 80 vs  3 33 ± 3 18 mL, p &lt; 0 01): Nearly all (98%) of cases differed by ≤5 mL between machine learning and manual methods  Among patients without advanced mitral regurgitation, machine learning correlated well (r = 0 63, p &lt; 0 001) and yielded small differences with cine-CMR stroke volume (∆ 1 3 ± 17 7 mL, p = 0 36)  Among advanced mitral regurgitation patients, machine learning yielded lower stroke volume than did volumetric cine-CMR (∆ 12 6 ± 20 9 mL, p = 0 005), further supporting validity of this method  Among the external validation cohort (n = 80) acquired using a different CMR vendor, the algorithm yielded equivalently small differences (∆ 1 39 ± 1 77 mL, p = 0 4) and high correlations (r = 0 99, p &lt; 0 001) with manual segmentation, including similar results in 20 patients with bicuspid or stenotic aortic valve pathology (∆ 1 71 ± 2 25 mL, p = 0 25) Fully automated machine learning PC-CMR segmentation performs robustly for aortic flow quantification - yielding rapid segmentation, small differences with manual segmentation, and identification of differential forward/left ventricular volumetric stroke volume in context of concomitant mitral regurgitation  Findings support use of machine learning for analysis of large scale CMR datasets </t>
  </si>
  <si>
    <t>CNN,FCN,Unet
Micro</t>
  </si>
  <si>
    <t xml:space="preserve">Department of Radiology, Weill Cornell Medicine, 525 E 68th St, New York, NY, 10065, USA </t>
  </si>
  <si>
    <t>Bratt, A; Kim, J; Pollie, M; Beecy, AN; Tehrani, NH; Codella, N; Perez-Johnston, R; Palumbo, MC; Alakbarli, J; Colizza, W; Drexler, IR; Azevedo, CF; Kim, RJ; Devereux, RB; Weinsaft, JW</t>
  </si>
  <si>
    <t>10 1016/j nicl 2018 101645</t>
  </si>
  <si>
    <t xml:space="preserve">Automated classification of Alzheimer's disease and mild cognitive impairment using a single MRI and deep neural networks </t>
  </si>
  <si>
    <t xml:space="preserve">We built and validated a deep learning algorithm predicting the individual diagnosis of Alzheimer's disease (AD) and mild cognitive impairment who will convert to AD (c-MCI) based on a single cross-sectional brain structural MRI scan  Convolutional neural networks (CNNs) were applied on 3D T1-weighted images from ADNI and subjects recruited at our Institute (407 healthy controls [HC], 418 AD, 280 c-MCI, 533 stable MCI [s-MCI])  CNN performance was tested in distinguishing AD, c-MCI and s-MCI  High levels of accuracy were achieved in all the classifications, with the highest rates achieved in the AD vs HC classification tests using both the ADNI dataset only (99%) and the combined ADNI + non-ADNI dataset (98%)  CNNs discriminated c-MCI from s-MCI patients with an accuracy up to 75% and no difference between ADNI and non-ADNI images  CNNs provide a powerful tool for the automatic individual patient diagnosis along the AD continuum  Our method performed well without any prior feature engineering and regardless the variability of imaging protocols and scanners, demonstrating that it is exploitable by not-trained operators and likely to be generalizable to unseen patient data  CNNs may accelerate the adoption of structural MRI in routine practice to help assessment and management of patients </t>
  </si>
  <si>
    <t xml:space="preserve">Neuroimaging Research Unit, Institute of Experimental Neurology, Division of Neuroscience, San Raffaele Scientific Institute, Vita-Salute San Raffaele University, Milan, Italy </t>
  </si>
  <si>
    <t xml:space="preserve">Basaia, S; Agosta, F; Wagner, L; Canu, E; Magnani, G; Santangelo, R; Filippi, M; , </t>
  </si>
  <si>
    <t>10 1016/j media 2018 12 003</t>
  </si>
  <si>
    <t xml:space="preserve">Micro-Net: A unified model for segmentation of various objects in microscopy images </t>
  </si>
  <si>
    <t xml:space="preserve">Object segmentation and structure localization are important steps in automated image analysis pipelines for microscopy images  We present a convolution neural network (CNN) based deep learning architecture for segmentation of objects in microscopy images  The proposed network can be used to segment cells, nuclei and glands in fluorescence microscopy and histology images after slight tuning of input parameters  The network trains at multiple resolutions of the input image, connects the intermediate layers for better localization and context and generates the output using multi-resolution deconvolution filters  The extra convolutional layers which bypass the max-pooling operation allow the network to train for variable input intensities and object size and make it robust to noisy data  We compare our results on publicly available data sets and show that the proposed network outperforms recent deep learning algorithms </t>
  </si>
  <si>
    <t>abdominal,head and neck,breast</t>
  </si>
  <si>
    <t>Division of Molecular Pathology, The Institute of Cancer Research, UK; Department of Computer Science, University of Warwick, UK; Centre for Evolution and Cancer, The Institute of Cancer Research, London, UK</t>
    <phoneticPr fontId="0" type="noConversion"/>
  </si>
  <si>
    <t>Raza, SEA; Cheung, L; Shaban, M; Graham, S; Epstein, D; Pelengaris, S; Khan, M; Rajpoot, NM</t>
  </si>
  <si>
    <t>10 1016/j ophtha 2018 12 033</t>
  </si>
  <si>
    <t xml:space="preserve">From Machine to Machine: An OCT-Trained Deep Learning Algorithm for Objective Quantification of Glaucomatous Damage in Fundus Photographs </t>
  </si>
  <si>
    <t xml:space="preserve">Previous approaches using deep learning (DL) algorithms to classify glaucomatous damage on fundus photographs have been limited by the requirement for human labeling of a reference training set  We propose a new approach using quantitative spectral-domain (SD) OCT data to train a DL algorithm to quantify glaucomatous structural damage on optic disc photographs Cross-sectional study A total of 32 820 pairs of optic disc photographs and SD OCT retinal nerve fiber layer (RNFL) scans from 2312 eyes of 1198 participants The sample was divided randomly into validation plus training (80%) and test (20%) sets, with randomization performed at the patient level  A DL convolutional neural network was trained to assess optic disc photographs and predict SD OCT average RNFL thickness The DL algorithm performance was evaluated in the test sample by evaluating correlation and agreement between the predictions and actual SD OCT measurements  We also assessed the ability to discriminate eyes with glaucomatous visual field loss from healthy eyes with area under the receiver operating characteristic (ROC) curves The mean prediction of average RNFL thickness from all 6292 optic disc photographs in the test set was 83 3±14 5 μm, whereas the mean average RNFL thickness from all corresponding SD OCT scans was 82 5±16 8 μm (P = 0 164)  There was a very strong correlation between predicted and observed RNFL thickness values (Pearson r = 0 832; R2 = 69 3%; P &lt; 0 001), with mean absolute error of the predictions of 7 39 μm  The area under the ROC curves for discriminating glaucomatous from healthy eyes with the DL predictions and actual SD OCT average RNFL thickness measurements were 0 944 (95% confidence interval [CI], 0 912-0 966) and 0 940 (95% CI, 0 902-0 966), respectively (P = 0 724) We introduced a novel DL approach to assess fundus photographs and provide quantitative information about the amount of neural damage that can be used to diagnose and stage glaucoma  In addition, training neural networks to predict SD OCT data objectively represents a new approach that overcomes limitations of human labeling and could be useful in other areas of ophthalmology </t>
  </si>
  <si>
    <t xml:space="preserve">Vision, Imaging and Performance (VIP) Laboratory, Duke Eye Center and Department of Ophthalmology, Duke University, Durham, North Carolina </t>
  </si>
  <si>
    <t>Medeiros, FA; Jammal, AA; Thompson, AC</t>
  </si>
  <si>
    <t>10 1016/j ultrasmedbio 2018 09 015</t>
  </si>
  <si>
    <t xml:space="preserve">Automated Fetal Head Detection and Circumference Estimation from Free-Hand Ultrasound Sweeps Using Deep Learning in Resource-Limited Countries </t>
  </si>
  <si>
    <t xml:space="preserve">Ultrasound imaging remains out of reach for most pregnant women in developing countries because it requires a trained sonographer to acquire and interpret the images  We address this problem by presenting a system that can automatically estimate the fetal head circumference (HC) from data obtained with use of the obstetric sweep protocol (OSP)  The OSP consists of multiple pre-defined sweeps with the ultrasound transducer over the abdomen of the pregnant woman  The OSP can be taught within a day to any health care worker without prior knowledge of ultrasound  An experienced sonographer acquired both the standard plane-to obtain the reference HC-and the OSP from 183 pregnant women in St  Luke's Hospital, Wolisso, Ethiopia  The OSP data, which will most likely not contain the standard plane, was used to automatically estimate HC using two fully convolutional neural networks  First, a VGG-Net-inspired network was trained to automatically detect the frames that contained the fetal head  Second, a U-net-inspired network was trained to automatically measure the HC for all frames in which the first network detected a fetal head  The HC was estimated from these frame measurements, and the curve of Hadlock was used to determine gestational age (GA)  The results indicated that most automatically estimated GAs fell within the P2 5-P97 5 interval of the Hadlock curve compared with the GAs obtained from the reference HC, so it is possible to automatically estimate GA from OSP data  Our method therefore has potential application for providing maternal care in resource-constrained countries </t>
  </si>
  <si>
    <t>CNN,VGG,UNET</t>
  </si>
  <si>
    <t xml:space="preserve">Diagnostic Image Analysis Group, Department of Radiology and Nuclear Medicine, Radboud University Medical Center, Nijmegen, The Netherlands; Medical Ultrasound Imaging Center, Department of Radiology and Nuclear Medicine, Radboud University Medical Center, Nijmegen, The Netherlands </t>
  </si>
  <si>
    <t>van den Heuvel, TLA; Petros, H; Santini, S; de Korte, CL; van Ginneken, B</t>
  </si>
  <si>
    <t>10 1016/j ophtha 2018 11 016</t>
  </si>
  <si>
    <t xml:space="preserve">Using a Deep Learning Algorithm and Integrated Gradients Explanation to Assist Grading for Diabetic Retinopathy </t>
  </si>
  <si>
    <t xml:space="preserve">To understand the impact of deep learning diabetic retinopathy (DR) algorithms on physician readers in computer-assisted settings Evaluation of diagnostic technology One thousand seven hundred ninety-six retinal fundus images from 1612 diabetic patients Ten ophthalmologists (5 general ophthalmologists, 4 retina specialists, 1 retina fellow) read images for DR severity based on the International Clinical Diabetic Retinopathy disease severity scale in each of 3 conditions: unassisted, grades only, or grades plus heatmap  Grades-only assistance comprised a histogram of DR predictions (grades) from a trained deep-learning model  For grades plus heatmap, we additionally showed explanatory heatmaps For each experiment arm, we computed sensitivity and specificity of each reader and the algorithm for different levels of DR severity against an adjudicated reference standard  We also measured accuracy (exact 5-class level agreement and Cohen's quadratically weighted κ), reader-reported confidence (5-point Likert scale), and grading time Readers graded more accurately with model assistance than without for the grades-only condition (P &lt; 0 001)  Grades plus heatmaps improved accuracy for patients with DR (P &lt; 0 001), but reduced accuracy for patients without DR (P = 0 006)  Both forms of assistance increased readers' sensitivity moderate-or-worse DR: unassisted: mean, 79 4% [95% confidence interval (CI), 72 3%-86 5%]; grades only: mean, 87 5% [95% CI, 85 1%-89 9%]; grades plus heatmap: mean, 88 7% [95% CI, 84 9%-92 5%] without a corresponding drop in specificity (unassisted: mean, 96 6% [95% CI, 95 9%-97 4%]; grades only: mean, 96 1% [95% CI, 95 5%-96 7%]; grades plus heatmap: mean, 95 5% [95% CI, 94 8%-96 1%])  Algorithmic assistance increased the accuracy of retina specialists above that of the unassisted reader or model alone; and increased grading confidence and grading time across all readers  For most cases, grades plus heatmap was only as effective as grades only  Over the course of the experiment, grading time decreased across all conditions, although most sharply for grades plus heatmap Deep learning algorithms can improve the accuracy of, and confidence in, DR diagnosis in an assisted read setting  They also may increase grading time, although these effects may be ameliorated with experience </t>
  </si>
  <si>
    <t>CNN,INCEPTION</t>
  </si>
  <si>
    <t xml:space="preserve">Google Research, Google, LLC, Mountain View, California </t>
  </si>
  <si>
    <t>Sayres, R; Taly, A; Rahimy, E; Blumer, K; Coz, D; Hammel, N; Krause, J; Narayanaswamy, A; Rastegar, Z; Wu, D; Xu, S; Barb, S; Joseph, A; Shumski, M; Smith, J; Sood, AB; Corrado, GS; Peng, L; Webster, DR</t>
  </si>
  <si>
    <t>10 2214/AJR 18 20094</t>
  </si>
  <si>
    <t xml:space="preserve">Prediction of Lymph Node Maximum Standardized Uptake Value in Patients With Cancer Using a 3D Convolutional Neural Network: A Proof-of-Concept Study </t>
  </si>
  <si>
    <t xml:space="preserve">The purpose of this study is to determine whether a convolutional neural network (CNN) can predict the maximum standardized uptake value (SUVmax) of lymph nodes in patients with cancer using the unenhanced CT images from a PET/CT examination, thus providing a proof of concept for potentially using deep learning to diagnose nodal involvement Consecutive initial staging PET/CT scans obtained in 2017 for patients with pathologically proven malignancy were collected  Two blinded radiologists selected one to 10 lymph nodes from the unenhanced CT portion of each PET/CT examination  The SUVmax of the lymph nodes was recorded  Lymph nodes were cropped and used with the primary tumor histology type as input for a novel 3D CNN with predicted SUVmax as the output  The CNN was trained using one cohort and tested using a separate cohort  An SUVmax of 2 5 or greater was defined as FDG avid  Two blinded radiologists separately classified lymph nodes as FDG avid or not FDG avid on the basis of unenhanced CT images and separately using a short-axis measurement cutoff of 1 cm  Logistic regression analysis was performed A total of 400 lymph nodes (median SUVmax, 6 8 [interquartile range {IQR}, 2 7-11 6]; median short-axis, 1 1 cm [IQR, 0 9-1 6 cm]) in 136 patients were used for training  A total of 164 lymph nodes (median SUVmax, 3 5 [IQR, 1 9-8 6]; median short-axis, 1 0 cm [IQR, 0 7-1 4 cm]) in 49 patients were used for testing  The predicted SUVmax was associated with the real SUVmax (β estimate = 0 83, p &lt; 0 0001)  The predicted SUVmax was associated with FDG avidity (p &lt; 0 0001), with an ROC AUC value of 0 85, and it improved when combined with radiologist qualitative assessment and short-axis criteria A CNN is able to predict with moderate accuracy the SUVmax of lymph nodes, as determined from the unenhanced CT images and tumor histology subtype for patients with cancer </t>
  </si>
  <si>
    <t>1 Department of Radiology, Columbia University Medical Center, 630 W 168th St, New York, NY 10016 USA</t>
  </si>
  <si>
    <t>Shaish, H; Mutasa, S; Makkar, J; Chang, P; Schwartz, L; Ahmed, F</t>
  </si>
  <si>
    <t>10 1148/radiol 2018181432</t>
  </si>
  <si>
    <t xml:space="preserve">Automated Abdominal Segmentation of CT Scans for Body Composition Analysis Using Deep Learning </t>
  </si>
  <si>
    <t xml:space="preserve">Purpose To develop and evaluate a fully automated algorithm for segmenting the abdomen from CT to quantify body composition  Materials and Methods For this retrospective study, a convolutional neural network based on the U-Net architecture was trained to perform abdominal segmentation on a data set of 2430 two-dimensional CT examinations and was tested on 270 CT examinations  It was further tested on a separate data set of 2369 patients with hepatocellular carcinoma (HCC)  CT examinations were performed between 1997 and 2015  The mean age of patients was 67 years; for male patients, it was 67 years (range, 29-94 years), and for female patients, it was 66 years (range, 31-97 years)  Differences in segmentation performance were assessed by using two-way analysis of variance with Bonferroni correction  Results Compared with reference segmentation, the model for this study achieved Dice scores (mean ± standard deviation) of 0 98 ± 0 03, 0 96 ± 0 02, and 0 97 ± 0 01 in the test set, and 0 94 ± 0 05, 0 92 ± 0 04, and 0 98 ± 0 02 in the HCC data set, for the subcutaneous, muscle, and visceral adipose tissue compartments, respectively  Performance met or exceeded that of expert manual segmentation  Conclusion Model performance met or exceeded the accuracy of expert manual segmentation of CT examinations for both the test data set and the hepatocellular carcinoma data set  The model generalized well to multiple levels of the abdomen and may be capable of fully automated quantification of body composition metrics in three-dimensional CT examinations  © RSNA, 2018 Online supplemental material is available for this article  See also the editorial by Chang in this issue </t>
  </si>
  <si>
    <t>From the Department of Biomedical Engineering and Physiology (A D W ) and Department of Radiology (P K , T L K , K A P , P K , T S , M S , N T , B J E ), Mayo Clinic, 200 First St SW, Rochester, MN 55905  USA</t>
  </si>
  <si>
    <t>Weston, AD; Korfiatis, P; Kline, TL; Philbrick, KA; Kostandy, P; Sakinis, T; Sugimoto, M; Takahashi, N; Erickson, BJ</t>
  </si>
  <si>
    <t>10 1148/radiol 2018180940</t>
  </si>
  <si>
    <t xml:space="preserve">Ultra-Low-Dose 18F-Florbetaben Amyloid PET Imaging Using Deep Learning with Multi-Contrast MRI Inputs </t>
  </si>
  <si>
    <t xml:space="preserve">Purpose To reduce radiotracer requirements for amyloid PET/MRI without sacrificing diagnostic quality by using deep learning methods  Materials and Methods Forty data sets from 39 patients (mean age ± standard deviation [SD], 67 years ± 8), including 16 male patients and 23 female patients (mean age, 66 years ± 6 and 68 years ± 9, respectively), who underwent simultaneous amyloid (fluorine 18 [18F]-florbetaben) PET/MRI examinations were acquired from March 2016 through October 2017 and retrospectively analyzed  One hundredth of the raw list-mode PET data were randomly chosen to simulate a low-dose (1%) acquisition  Convolutional neural networks were implemented with low-dose PET and multiple MR images (PET-plus-MR model) or with low-dose PET alone (PET-only) as inputs to predict full-dose PET images  Quality of the synthesized images was evaluated while Bland-Altman plots assessed the agreement of regional standard uptake value ratios (SUVRs) between image types  Two readers scored image quality on a five-point scale (5 = excellent) and determined amyloid status (positive or negative)  Statistical analyses were carried out to assess the difference of image quality metrics and reader agreement and to determine confidence intervals (CIs) for reading results  Results The synthesized images (especially from the PET-plus-MR model) showed marked improvement on all quality metrics compared with the low-dose image  All PET-plus-MR images scored 3 or higher, with proportions of images rated greater than 3 similar to those for the full-dose images (-10% difference [eight of 80 readings], 95% CI: -15%, -5%)  Accuracy for amyloid status was high (71 of 80 readings [89%]) and similar to intrareader reproducibility of full-dose images (73 of 80 [91%])  The PET-plus-MR model also had the smallest mean and variance for SUVR difference to full-dose images  Conclusion Simultaneously acquired MRI and ultra-low-dose PET data can be used to synthesize full-dose-like amyloid PET images  © RSNA, 2018 Online supplemental material is available for this article  See also the editorial by Catana in this issue </t>
  </si>
  <si>
    <t>From the Departments of Radiology (K T C , F B d C M , S S , G Z ), Electrical Engineering (E G , J M P ), and Neurology and Neurological Sciences (A B , K L P , S J S , M D G , E M ), Stanford University, 1201 Welch Rd, Stanford, CA 94305; Department of Engineering Physics, Tsinghua University, Beijing, PR China (J X ); GE Healthcare, Menlo Park, Calif (M K ); and Subtle Medical, Menlo Park, CA (E G )  USA</t>
  </si>
  <si>
    <t>Chen, KT; Gong, E; de Carvalho Macruz, FB; Xu, J; Boumis, A; Khalighi, M; Poston, KL; Sha, SJ; Greicius, MD; Mormino, E; Pauly, JM; Srinivas, S; Zaharchuk, G</t>
  </si>
  <si>
    <t>10 2214/AJR 18 20362</t>
  </si>
  <si>
    <t xml:space="preserve">Refining Convolutional Neural Network Detection of Small-Bowel Obstruction in Conventional Radiography </t>
  </si>
  <si>
    <t xml:space="preserve">The purpose of this study was to evaluate improvement of convolutional neural network detection of high-grade small-bowel obstruction on conventional radiographs with increased training set size A set of 2210 abdominal radiographs from one institution (image set 1) had been previously classified into obstructive and nonobstructive categories by consensus judgments of three abdominal radiologists  The images were used to fine-tune an initial convolutional neural network classifier (stage 1)  An additional set of 13,935 clinical images from the same institution was reduced to 5558 radiographs (image set 2) primarily by retaining only images classified positive for bowel obstruction by the initial classifier  These images were classified into obstructive and nonobstructive categories by an abdominal radiologist  The combined 7768 radiographs were used to train additional classifiers (stage 2 training)  The best classifiers from stage 1 and stage 2 training were evaluated on a held-out test set of 1453 abdominal radiographs from image set 1 The ROC AUC for the neural network trained on image set 1 was 0 803; after stage 2, the ROC AUC of the best model was 0 971  By use of an operating point based on maximizing the validation set Youden J index, the stage 2-trained model had a test set sensitivity of 91 4% and specificity of 91 9%  Classification performance increased with training set size, reaching a plateau with over 200 positive training examples Accuracy of detection of high-grade small-bowel obstruction with a convolutional neural network improves significantly with the number of positive training radiographs </t>
  </si>
  <si>
    <t>CNN,RESNET,XCEPTION,DENSENET</t>
  </si>
  <si>
    <t>1 Department of Radiology, Keck School of Medicine of USC, 1441 Eastlake Ave, Ste 2315B, Los Angeles, CA 90033  USA</t>
  </si>
  <si>
    <t>Cheng, PM; Tran, KN; Whang, G; Tejura, TK</t>
  </si>
  <si>
    <t>10 1016/j media 2018 11 003</t>
  </si>
  <si>
    <t xml:space="preserve">Motion artifact recognition and quantification in coronary CT angiography using convolutional neural networks </t>
  </si>
  <si>
    <t xml:space="preserve">Excellent image quality is a primary prerequisite for diagnostic non-invasive coronary CT angiography  Artifacts due to cardiac motion may interfere with detection and diagnosis of coronary artery disease and render subsequent treatment decisions more difficult  We propose deep-learning-based measures for coronary motion artifact recognition and quantification in order to assess the diagnostic reliability and image quality of coronary CT angiography images  More specifically, the application, steering and evaluation of motion compensation algorithms can be triggered by these measures  A Coronary Motion Forward Artifact model for CT data (CoMoFACT) is developed and applied to clinical cases with excellent image quality to introduce motion artifacts using simulated motion vector fields  The data required for supervised learning is generated by the CoMoFACT from 17 prospectively ECG-triggered clinical cases with controlled motion levels on a scale of 0-10  Convolutional neural networks achieve an accuracy of 93 3% ± 1 8% for the classification task of separating motion-free from motion-perturbed coronary cross-sectional image patches  The target motion level is predicted by a corresponding regression network with a mean absolute error of 1 12 ± 0 07  Transferability and generalization capabilities are demonstrated by motion artifact measurements on eight additional CCTA cases with real motion artifacts </t>
  </si>
  <si>
    <t>CNN,RESNET,VGG</t>
  </si>
  <si>
    <t xml:space="preserve">Philips Research, Hamburg, Germany; Hamburg University of Technology, Germany </t>
  </si>
  <si>
    <t>Lossau, T; Nickisch, H; Wissel, T; Bippus, R; Schmitt, H; Morlock, M; Grass, M</t>
  </si>
  <si>
    <t>10 1016/j ophtha 2018 11 015</t>
  </si>
  <si>
    <t xml:space="preserve">DeepSeeNet: A Deep Learning Model for Automated Classification of Patient-based Age-related Macular Degeneration Severity from Color Fundus Photographs </t>
  </si>
  <si>
    <t xml:space="preserve">In assessing the severity of age-related macular degeneration (AMD), the Age-Related Eye Disease Study (AREDS) Simplified Severity Scale predicts the risk of progression to late AMD  However, its manual use requires the time-consuming participation of expert practitioners  Although several automated deep learning systems have been developed for classifying color fundus photographs (CFP) of individual eyes by AREDS severity score, none to date has used a patient-based scoring system that uses images from both eyes to assign a severity score DeepSeeNet, a deep learning model, was developed to classify patients automatically by the AREDS Simplified Severity Scale (score 0-5) using bilateral CFP DeepSeeNet was trained on 58 402 and tested on 900 images from the longitudinal follow-up of 4549 participants from AREDS  Gold standard labels were obtained using reading center grades DeepSeeNet simulates the human grading process by first detecting individual AMD risk factors (drusen size, pigmentary abnormalities) for each eye and then calculating a patient-based AMD severity score using the AREDS Simplified Severity Scale Overall accuracy, specificity, sensitivity, Cohen's kappa, and area under the curve (AUC)  The performance of DeepSeeNet was compared with that of retinal specialists DeepSeeNet performed better on patient-based classification (accuracy = 0 671; kappa = 0 558) than retinal specialists (accuracy = 0 599; kappa = 0 467) with high AUC in the detection of large drusen (0 94), pigmentary abnormalities (0 93), and late AMD (0 97)  DeepSeeNet also outperformed retinal specialists in the detection of large drusen (accuracy 0 742 vs  0 696; kappa 0 601 vs  0 517) and pigmentary abnormalities (accuracy 0 890 vs  0 813; kappa 0 723 vs  0 535) but showed lower performance in the detection of late AMD (accuracy 0 967 vs  0 973; kappa 0 663 vs  0 754) By simulating the human grading process, DeepSeeNet demonstrated high accuracy with increased transparency in the automated assignment of individual patients to AMD risk categories based on the AREDS Simplified Severity Scale  These results highlight the potential of deep learning to assist and enhance clinical decision-making in patients with AMD, such as early AMD detection and risk prediction for developing late AMD  DeepSeeNet is publicly available on https://github com/ncbi-nlp/DeepSeeNet </t>
  </si>
  <si>
    <t xml:space="preserve">National Center for Biotechnology Information, National Library of Medicine, National Institutes of Health, Bethesda, Maryland </t>
  </si>
  <si>
    <t>Peng, Y; Dharssi, S; Chen, Q; Keenan, TD; Agrón, E; Wong, WT; Chew, EY; Lu, Z</t>
  </si>
  <si>
    <t>10 1016/j media 2018 10 012</t>
  </si>
  <si>
    <t xml:space="preserve">Automatic brain labeling via multi-atlas guided fully convolutional networks </t>
  </si>
  <si>
    <t xml:space="preserve">Multi-atlas-based methods are commonly used for MR brain image labeling, which alleviates the burdening and time-consuming task of manual labeling in neuroimaging analysis studies  Traditionally, multi-atlas-based methods first register multiple atlases to the target image, and then propagate the labels from the labeled atlases to the unlabeled target image  However, the registration step involves non-rigid alignment, which is often time-consuming and might lack high accuracy  Alternatively, patch-based methods have shown promise in relaxing the demand for accurate registration, but they often require the use of hand-crafted features  Recently, deep learning techniques have demonstrated their effectiveness in image labeling, by automatically learning comprehensive appearance features from training images  In this paper, we propose a multi-atlas guided fully convolutional network (MA-FCN) for automatic image labeling, which aims at further improving the labeling performance with the aid of prior knowledge from the training atlases  Specifically, we train our MA-FCN model in a patch-based manner, where the input data consists of not only a training image patch but also a set of its neighboring (i e , most similar) affine-aligned atlas patches  The guidance information from neighboring atlas patches can help boost the discriminative ability of the learned FCN  Experimental results on different datasets demonstrate the effectiveness of our proposed method, by significantly outperforming the conventional FCN and several state-of-the-art MR brain labeling methods </t>
  </si>
  <si>
    <t>CNN,FCN,UNet</t>
  </si>
  <si>
    <t xml:space="preserve">Research Center for Brain-inspired Intelligence and National Laboratory of Pattern Recognition, Institute of Automation, Chinese Academy of Sciences(CAS), Beijing, 100190, China; University of Chinese Academy of Sciences, Beijing, China; Department of Radiology and BRIC, University of North Carolina at Chapel Hill, NC, USA </t>
  </si>
  <si>
    <t>Fang, L; Zhang, L; Nie, D; Cao, X; Rekik, I; Lee, SW; He, H; Shen, D</t>
  </si>
  <si>
    <t>10 1016/j media 2018 10 010</t>
  </si>
  <si>
    <t xml:space="preserve">A collaborative computer aided diagnosis (C-CAD) system with eye-tracking, sparse attentional model, and deep learning </t>
  </si>
  <si>
    <t xml:space="preserve">Computer aided diagnosis (CAD) tools help radiologists to reduce diagnostic errors such as missing tumors and misdiagnosis  Vision researchers have been analyzing behaviors of radiologists during screening to understand how and why they miss tumors or misdiagnose  In this regard, eye-trackers have been instrumental in understanding visual search processes of radiologists  However, most relevant studies in this aspect are not compatible with realistic radiology reading rooms  In this study, we aim to develop a paradigm shifting CAD system, called collaborative CAD (C-CAD), that unifies CAD and eye-tracking systems in realistic radiology room settings  We first developed an eye-tracking interface providing radiologists with a real radiology reading room experience  Second, we propose a novel algorithm that unifies eye-tracking data and a CAD system  Specifically, we present a new graph based clustering and sparsification algorithm to transform eye-tracking data (gaze) into a graph model to interpret gaze patterns quantitatively and qualitatively  The proposed C-CAD collaborates with radiologists via eye-tracking technology and helps them to improve their diagnostic decisions  The C-CAD uses radiologists' search efficiency by processing their gaze patterns  Furthermore, the C-CAD incorporates a deep learning algorithm in a newly designed multi-task learning platform to segment and diagnose suspicious areas simultaneously  The proposed C-CAD system has been tested in a lung cancer screening experiment with multiple radiologists, reading low dose chest CTs  Promising results support the efficiency, accuracy and applicability of the proposed C-CAD system in a real radiology room setting  We have also shown that our framework is generalizable to more complex applications such as prostate cancer screening with multi-parametric magnetic resonance imaging (mp-MRI) </t>
  </si>
  <si>
    <t>genitourinary,thoracic</t>
  </si>
  <si>
    <t>ROI</t>
    <phoneticPr fontId="0" type="noConversion"/>
  </si>
  <si>
    <t>Center for Research in Computer Vision, University of Central Florida, FL, United States  USA</t>
  </si>
  <si>
    <t>Khosravan, N; Celik, H; Turkbey, B; Jones, EC; Wood, B; Bagci, U</t>
  </si>
  <si>
    <t>10 1148/radiol 2018180958</t>
  </si>
  <si>
    <t xml:space="preserve">A Deep Learning Model to Predict a Diagnosis of Alzheimer Disease by Using 18F-FDG PET of the Brain </t>
  </si>
  <si>
    <t xml:space="preserve">Purpose To develop and validate a deep learning algorithm that predicts the final diagnosis of Alzheimer disease (AD), mild cognitive impairment, or neither at fluorine 18 (18F) fluorodeoxyglucose (FDG) PET of the brain and compare its performance to that of radiologic readers  Materials and Methods Prospective 18F-FDG PET brain images from the Alzheimer's Disease Neuroimaging Initiative (ADNI) (2109 imaging studies from 2005 to 2017, 1002 patients) and retrospective independent test set (40 imaging studies from 2006 to 2016, 40 patients) were collected  Final clinical diagnosis at follow-up was recorded  Convolutional neural network of InceptionV3 architecture was trained on 90% of ADNI data set and tested on the remaining 10%, as well as the independent test set, with performance compared to radiologic readers  Model was analyzed with sensitivity, specificity, receiver operating characteristic (ROC), saliency map, and t-distributed stochastic neighbor embedding  Results The algorithm achieved area under the ROC curve of 0 98 (95% confidence interval: 0 94, 1 00) when evaluated on predicting the final clinical diagnosis of AD in the independent test set (82% specificity at 100% sensitivity), an average of 75 8 months prior to the final diagnosis, which in ROC space outperformed reader performance (57% [four of seven] sensitivity, 91% [30 of 33] specificity; P &lt;  05)  Saliency map demonstrated attention to known areas of interest but with focus on the entire brain  Conclusion By using fluorine 18 fluorodeoxyglucose PET of the brain, a deep learning algorithm developed for early prediction of Alzheimer disease achieved 82% specificity at 100% sensitivity, an average of 75 8 months prior to the final diagnosis  © RSNA, 2018 Online supplemental material is available for this article  See also the editorial by Larvie in this issue </t>
  </si>
  <si>
    <t>From the Department of Radiology and Biomedical Imaging (Y D , J H S , H T , R H , N W J , T P C , M S A , C M A , S C B , R R F , S Y H , Y S , R A H , M H P , B L F ) and Institute for Computational Health Sciences (J H S , M G K , H T , D L , K A Z , D H ), University of California, San Francisco, 550 Parnassus Ave, San Francisco, CA 94143; Department of Electrical Engineering and Computer Sciences, University of California, Berkeley, Berkeley, Calif (Y D ); and Department of Radiology, University of California, Davis, Sacramento, Calif (L N ) USA</t>
  </si>
  <si>
    <t>Ding, Y; Sohn, JH; Kawczynski, MG; Trivedi, H; Harnish, R; Jenkins, NW; Lituiev, D; Copeland, TP; Aboian, MS; Mari Aparici, C; Behr, SC; Flavell, RR; Huang, SY; Zalocusky, KA; Nardo, L; Seo, Y; Hawkins, RA; Hernandez Pampaloni, M; Hadley, D; Franc, BL</t>
  </si>
  <si>
    <t>10 1016/j media 2018 10 008</t>
  </si>
  <si>
    <t xml:space="preserve">3D regression neural network for the quantification of enlarged perivascular spaces in brain MRI </t>
  </si>
  <si>
    <t xml:space="preserve">Enlarged perivascular spaces (EPVS) in the brain are an emerging imaging marker for cerebral small vessel disease, and have been shown to be related to increased risk of various neurological diseases, including stroke and dementia  Automated quantification of EPVS would greatly help to advance research into its etiology and its potential as a risk indicator of disease  We propose a convolutional network regression method to quantify the extent of EPVS in the basal ganglia from 3D brain MRI  We first segment the basal ganglia and subsequently apply a 3D convolutional regression network designed for small object detection within this region of interest  The network takes an image as input, and outputs a quantification score of EPVS  The network has significantly more convolution operations than pooling ones and no final activation, allowing it to span the space of real numbers  We validated our approach using a dataset of 2000 brain MRI scans scored visually  Experiments with varying sizes of training and test sets showed that a good performance can be achieved with a training set of only 200 scans  With a training set of 1000 scans, the intraclass correlation coefficient (ICC) between our scoring method and the expert's visual score was 0 74  Our method outperforms by a large margin - more than 0 10 - four more conventional automated approaches based on intensities, scale-invariant feature transform, and random forest  We show that the network learns the structures of interest and investigate the influence of hyper-parameters on the performance  We also evaluate the reproducibility of our network using a set of 60 subjects scanned twice (scan-rescan reproducibility)  On this set our network achieves an ICC of 0 93, while the intrarater agreement reaches 0 80  Furthermore, the automated EPVS scoring correlates similarly to age as visual scoring </t>
  </si>
  <si>
    <t xml:space="preserve">Biomedical Imaging Group Rotterdam, Departments of Radiology and Medical Informatics, Erasmus MC - University Medical Center Rotterdam, The Netherland </t>
  </si>
  <si>
    <t>Dubost, F; Adams, H; Bortsova, G; Ikram, MA; Niessen, W; Vernooij, M; de Bruijne, M</t>
  </si>
  <si>
    <t>10 1016/j media 2018 10 005</t>
  </si>
  <si>
    <t xml:space="preserve">Coronary artery centerline extraction in cardiac CT angiography using a CNN-based orientation classifier </t>
  </si>
  <si>
    <t xml:space="preserve">Coronary artery centerline extraction in cardiac CT angiography (CCTA) images is a prerequisite for evaluation of stenoses and atherosclerotic plaque  In this work, we propose an algorithm that extracts coronary artery centerlines in CCTA using a convolutional neural network (CNN)  In the proposed method, a 3D dilated CNN is trained to predict the most likely direction and radius of an artery at any given point in a CCTA image based on a local image patch  Starting from a single seed point placed manually or automatically anywhere in a coronary artery, a tracker follows the vessel centerline in two directions using the predictions of the CNN  Tracking is terminated when no direction can be identified with high certainty  The CNN is trained using manually annotated centerlines in training images  No image preprocessing is required, so that the process is guided solely by the local image values around the tracker's location  The CNN was trained using a training set consisting of 8 CCTA images with a total of 32 manually annotated centerlines provided in the MICCAI 2008 Coronary Artery Tracking Challenge (CAT08)  Evaluation was performed within the CAT08 challenge using a test set consisting of 24 CCTA test images in which 96 centerlines were extracted  The extracted centerlines had an average overlap of 93 7% with manually annotated reference centerlines  Extracted centerline points were highly accurate, with an average distance of 0 21 mm to reference centerline points  Based on these results the method ranks third among 25 publicly evaluated methods in CAT08  In a second test set consisting of 50 CCTA scans acquired at our institution (UMCU), an expert placed 5448 markers in the coronary arteries, along with radius measurements  Each marker was used as a seed point to extract a single centerline, which was compared to the other markers placed by the expert  This showed strong correspondence between extracted centerlines and manually placed markers  In a third test set containing 36 CCTA scans from the MICCAI 2014 Challenge on Automatic Coronary Calcium Scoring (orCaScore), fully automatic seeding and centerline extraction was evaluated using a segment-wise analysis  This showed that the algorithm is able to fully-automatically extract on average 92% of clinically relevant coronary artery segments  Finally, the limits of agreement between reference and automatic artery radius measurements were found to be below the size of one voxel in both the CAT08 dataset and the UMCU dataset  Extraction of a centerline based on a single seed point required on average 0 4 ± 0 1 s and fully automatic coronary tree extraction required around 20 s  The proposed method is able to accurately and efficiently determine the direction and radius of coronary arteries based on information derived directly from the image data  The method can be trained with limited training data, and once trained allows fast automatic or interactive extraction of coronary artery trees from CCTA images </t>
  </si>
  <si>
    <t xml:space="preserve">Image Sciences Institute, University Medical Center Utrecht &amp; Utrecht University, Q 02 4 45, 3508, GA, Utrecht, P O  Box 85500, The Netherlands </t>
  </si>
  <si>
    <t>Wolterink, JM; van Hamersvelt, RW; Viergever, MA; Leiner, T; Išgum, I</t>
  </si>
  <si>
    <t>10 1016/j media 2018 10 006</t>
  </si>
  <si>
    <t xml:space="preserve">Improvement of fully automated airway segmentation on volumetric computed tomographic images using a 2 5 dimensional convolutional neural net </t>
  </si>
  <si>
    <t xml:space="preserve">We propose a novel airway segmentation method in volumetric chest computed tomography (CT) and evaluate its performance on multiple datasets  The segmentation is performed voxel-by-voxel by a 2 5D convolutional neural net (2 5D CNN) trained in a supervised manner  To enhance the accuracy of the segmented airway tree, we simultaneously took three adjacent slices in each of the orthogonal directions including axial, sagittal, and coronal and fine-tuned the parameters that influence the tree length and the number of leakage  The gold standard of airway segmentation was generated by a semi-automated method using AVIEW™  The 2 5D CNN was trained and evaluated on a subset of inspiratory thoracic CT scans taken from the Korean obstructive lung disease study, which includes normal subjects and chronic obstructive pulmonary disease patients  The reliability and further practicality of our proposed method was demonstrated in multiple datasets  In eight test datasets collected by the same imaging protocol, the percentage detected tree length, false positive rate, and Dice similarity coefficient of our method were 92 16%, 7 74%, and 0 8997 ± 0 0892, respectively  In 20 test datasets of the EXACT'09 challenge, the percentage detected tree length was 60 1% and the false positive rate was 4 56%  Our fully automated (end-to-end) segmentation method could be applied in radiologic practice </t>
  </si>
  <si>
    <t xml:space="preserve">Department of Convergence Medicine, Biomedical Engineering Research Center, University of Ulsan College of Medicine, Asan Medical Center, 88 Olympic-Ro 43-Gil Songpa-Gu, Seoul 05505, South Korea </t>
  </si>
  <si>
    <t>Yun, J; Park, J; Yu, D; Yi, J; Lee, M; Park, HJ; Lee, JG; Seo, JB; Kim, N</t>
  </si>
  <si>
    <t>10 1016/j ajo 2018 10 007</t>
  </si>
  <si>
    <t xml:space="preserve">Using Deep Learning and Transfer Learning to Accurately Diagnose Early-Onset Glaucoma From Macular Optical Coherence Tomography Images </t>
  </si>
  <si>
    <t xml:space="preserve">We sought to construct and evaluate a deep learning (DL) model to diagnose early glaucoma from spectral-domain optical coherence tomography (OCT) images Artificial intelligence diagnostic tool development, evaluation, and comparison This multi-institution study included pretraining data of 4316 OCT images (RS3000) from 1371 eyes with open angle glaucoma (OAG) regardless of the stage of glaucoma and 193 normal eyes  Training data included OCT-1000/2000 images from 94 eyes of 94 patients with early OAG (mean deviation &gt; -5 0 dB) and 84 eyes of 84 normal subjects  Testing data included OCT-1000/2000 from 114 eyes of 114 patients with early OAG (mean deviation &gt; -5 0 dB) and 82 eyes of 82 normal subjects  A DL (convolutional neural network) classifier was trained using a pretraining dataset, followed by a second round of training using an independent training dataset  The DL model input features were the 8 × 8 grid macular retinal nerve fiber layer thickness and ganglion cell complex layer thickness from spectral-domain OCT  Diagnostic accuracy was investigated in the testing dataset  For comparison, diagnostic accuracy was also evaluated using the random forests and support vector machine models  The primary outcome measure was the area under the receiver operating characteristic curve (AROC) The AROC with the DL model was 93 7%  The AROC significantly decreased to between 76 6% and 78 8% without the pretraining process  Significantly smaller AROCs were obtained with random forests and support vector machine models (82 0% and 67 4%, respectively) A DL model for glaucoma using spectral-domain OCT offers a substantive increase in diagnostic performance </t>
  </si>
  <si>
    <t xml:space="preserve">Department of Ophthalmology, The University of Tokyo, Tokyo, Japan </t>
  </si>
  <si>
    <t>Asaoka, R; Murata, H; Hirasawa, K; Fujino, Y; Matsuura, M; Miki, A; Kanamoto, T; Ikeda, Y; Mori, K; Iwase, A; Shoji, N; Inoue, K; Yamagami, J; Araie, M</t>
  </si>
  <si>
    <t>10 1158/1078-0432 CCR-18-1115</t>
  </si>
  <si>
    <t xml:space="preserve">Deep Learning to Distinguish Recalled but Benign Mammography Images in Breast Cancer Screening </t>
  </si>
  <si>
    <t xml:space="preserve">False positives in digital mammography screening lead to high recall rates, resulting in unnecessary medical procedures to patients and health care costs  This study aimed to investigate the revolutionary deep learning methods to distinguish recalled but benign mammography images from negative exams and those with malignancy Deep learning convolutional neural network (CNN) models were constructed to classify mammography images into malignant (breast cancer), negative (breast cancer free), and recalled-benign categories  A total of 14,860 images of 3,715 patients from two independent mammography datasets: Full-Field Digital Mammography Dataset (FFDM) and a digitized film dataset, Digital Dataset of Screening Mammography (DDSM), were used in various settings for training and testing the CNN models  The ROC curve was generated and the AUC was calculated as a metric of the classification accuracy Training and testing using only the FFDM dataset resulted in AUC ranging from 0 70 to 0 81  When the DDSM dataset was used, AUC ranged from 0 77 to 0 96  When datasets were combined for training and testing, AUC ranged from 0 76 to 0 91  When pretrained on a large nonmedical dataset and DDSM, the models showed consistent improvements in AUC ranging from 0 02 to 0 05 (all P &gt; 0 05), compared with pretraining only on the nonmedical dataset This study demonstrates that automatic deep learning CNN methods can identify nuanced mammographic imaging features to distinguish recalled-benign images from malignant and negative cases, which may lead to a computerized clinical toolkit to help reduce false recalls </t>
  </si>
  <si>
    <t>Department of Biomedical Informatics, University of Pittsburgh School of Medicine, Pittsburgh, Pennsylvania  USA</t>
  </si>
  <si>
    <t>Aboutalib, SS; Mohamed, AA; Berg, WA; Zuley, ML; Sumkin, JH; Wu, S</t>
  </si>
  <si>
    <t>10 1038/s41598-018-33013-w</t>
  </si>
  <si>
    <t xml:space="preserve">Development of a deep residual learning algorithm to screen for glaucoma from fundus photography </t>
  </si>
  <si>
    <t xml:space="preserve">The Purpose of the study was to develop a deep residual learning algorithm to screen for glaucoma from fundus photography and measure its diagnostic performance compared to Residents in Ophthalmology  A training dataset consisted of 1,364 color fundus photographs with glaucomatous indications and 1,768 color fundus photographs without glaucomatous features  A testing dataset consisted of 60 eyes of 60 glaucoma patients and 50 eyes of 50 normal subjects  Using the training dataset, a deep learning algorithm known as Deep Residual Learning for Image Recognition (ResNet) was developed to discriminate glaucoma, and its diagnostic accuracy was validated in the testing dataset, using the area under the receiver operating characteristic curve (AROC)  The Deep Residual Learning for Image Recognition was constructed using the training dataset and validated using the testing dataset  The presence of glaucoma in the testing dataset was also confirmed by three Residents in Ophthalmology  The deep learning algorithm achieved significantly higher diagnostic performance compared to Residents in Ophthalmology; with ResNet, the AROC from all testing data was 96 5 (95% confidence interval [CI]: 93 5 to 99 6)% while the AROCs obtained by the three Residents were between 72 6% and 91 2% </t>
  </si>
  <si>
    <t xml:space="preserve">Queue inc, Tokyo, Japan </t>
  </si>
  <si>
    <t>Shibata, N; Tanito, M; Mitsuhashi, K; Fujino, Y; Matsuura, M; Murata, H; Asaoka, R</t>
  </si>
  <si>
    <t>10 1002/mrm 27420</t>
  </si>
  <si>
    <t xml:space="preserve">Scan-specific robust artificial-neural-networks for k-space interpolation (RAKI) reconstruction: Database-free deep learning for fast imaging </t>
  </si>
  <si>
    <t xml:space="preserve">To develop an improved k-space reconstruction method using scan-specific deep learning that is trained on autocalibration signal (ACS) data Robust artificial-neural-networks for k-space interpolation (RAKI) reconstruction trains convolutional neural networks on ACS data  This enables nonlinear estimation of missing k-space lines from acquired k-space data with improved noise resilience, as opposed to conventional linear k-space interpolation-based methods, such as GRAPPA, which are based on linear convolutional kernels The training algorithm is implemented using a mean square error loss function over the target points in the ACS region, using a gradient descent algorithm  The neural network contains 3 layers of convolutional operators, with 2 of these including nonlinear activation functions  The noise performance and reconstruction quality of the RAKI method was compared with GRAPPA in phantom, as well as in neurological and cardiac in vivo data sets Phantom imaging shows that the proposed RAKI method outperforms GRAPPA at high (≥4) acceleration rates, both visually and quantitatively  Quantitative cardiac imaging shows improved noise resilience at high acceleration rates (rate 4:23% and rate 5:48%) over GRAPPA  The same trend of improved noise resilience is also observed in high-resolution brain imaging at high acceleration rates The RAKI method offers a training database-free deep learning approach for MRI reconstruction, with the potential to improve many existing reconstruction approaches, and is compatible with conventional data acquisition protocols </t>
  </si>
  <si>
    <t>neuroradiology,cardiac,head and neck</t>
  </si>
  <si>
    <t>Department of Electrical and Computer Engineering, University of Minnesota, Minneapolis, Minnesota  USA</t>
  </si>
  <si>
    <t>Akçakaya, M; Moeller, S; Weingärtner, S; Uğurbil, K</t>
  </si>
  <si>
    <t>10 1002/mrm 27480</t>
  </si>
  <si>
    <t xml:space="preserve">Real-time cardiovascular MR with spatio-temporal artifact suppression using deep learning-proof of concept in congenital heart disease </t>
  </si>
  <si>
    <t xml:space="preserve">Real-time assessment of ventricular volumes requires high acceleration factors  Residual convolutional neural networks (CNN) have shown potential for removing artifacts caused by data undersampling  In this study, we investigated the ability of CNNs to reconstruct highly accelerated radial real-time data in patients with congenital heart disease (CHD) A 3D (2D plus time) CNN architecture was developed and trained using synthetic training data created from previously acquired breath hold cine images from 250 CHD patients  The trained CNN was then used to reconstruct actual real-time, tiny golden angle (tGA) radial SSFP data (13 × undersampled) acquired in 10 new patients with CHD  The same real-time data was also reconstructed with compressed sensing (CS) to compare image quality and reconstruction time  Ventricular volume measurements made using both the CNN and CS reconstructed images were compared to reference standard breath hold data It was feasible to train a CNN to remove artifact from highly undersampled radial real-time data  The overall reconstruction time with the CNN (including creation of aliased images) was shown to be &gt;5 × faster than the CS reconstruction  In addition, the image quality and accuracy of biventricular volumes measured from the CNN reconstructed images were superior to the CS reconstructions This article has demonstrated the potential for the use of a CNN for reconstruction of real-time radial data within the clinical setting  Clinical measures of ventricular volumes using real-time data with CNN reconstruction are not statistically significantly different from gold-standard, cardiac-gated, breath-hold techniques </t>
  </si>
  <si>
    <t>Department of Computer Science, University College London, London, United Kingdom  UK</t>
  </si>
  <si>
    <t>Hauptmann, A; Arridge, S; Lucka, F; Muthurangu, V; Steeden, JA</t>
  </si>
  <si>
    <t>10 1109/TMI 2018 2868977</t>
  </si>
  <si>
    <t xml:space="preserve">Learning Cross-Modality Representations From Multi-Modal Images </t>
  </si>
  <si>
    <t xml:space="preserve">Machine learning algorithms can have difficulties adapting to data from different sources, for example from different imaging modalities  We present and analyze three techniques for unsupervised cross-modality feature learning, using a shared autoencoder-like convolutional network that learns a common representation from multi-modal data  We investigate a form of feature normalization, a learning objective that minimizes cross-modality differences, and modality dropout, in which the network is trained with varying subsets of modalities  We measure the same-modality and cross-modality classification accuracies and explore whether the models learn modality-specific or shared features  This paper presents experiments on two public data sets, with knee images from two MRI modalities, provided by the Osteoarthritis Initiative, and brain tumor segmentation on four MRI modalities from the BRATS challenge  All three approaches improved the cross-modality classification accuracy, with modality dropout and per-feature normalization giving the largest improvement  We observed that the networks tend to learn a combination of cross-modality and modality-specific features  Overall, a combination of all three methods produced the most cross-modality features and the highest cross-modality classification accuracy, while maintaining most of the same-modality accuracy </t>
  </si>
  <si>
    <t>Biomedical Imaging Group,
Erasmus MC, Rotterdam, The Netherlands</t>
    <phoneticPr fontId="0" type="noConversion"/>
  </si>
  <si>
    <t>van Tulder, G; de Bruijne, M</t>
  </si>
  <si>
    <t>10 1109/TMI 2018 2868333</t>
  </si>
  <si>
    <t xml:space="preserve">An End-to-End Deep Learning Histochemical Scoring System for Breast Cancer TMA </t>
  </si>
  <si>
    <t xml:space="preserve">One of the methods for stratifying different molecular classes of breast cancer is the Nottingham prognostic index plus, which uses breast cancer relevant biomarkers to stain tumor tissues prepared on tissue microarray (TMA)  To determine the molecular class of the tumor, pathologists will have to manually mark the nuclei activity biomarkers through a microscope and use a semi-quantitative assessment method to assign a histochemical score (H-Score) to each TMA core  Manually marking positively stained nuclei is a time-consuming, imprecise, and subjective process, which will lead to inter-observer and intra-observer discrepancies  In this paper, we present an end-to-end deep learning system, which directly predicts the H-Score automatically  Our system imitates the pathologists' decision process and uses one fully convolutional network (FCN) to extract all nuclei region (tumor and non-tumor), a second FCN to extract tumor nuclei region, and a multi-column convolutional neural network, which takes the outputs of the first two FCNs and the stain intensity description image as an input and acts as the high-level decision making mechanism to directly output the H-Score of the input TMA image  To the best of our knowledge, this is the first end-to-end system that takes a TMA image as the input and directly outputs a clinical score  We will present experimental results, which demonstrate that the H-Scores predicted by our model have very high and statistically significant correlation with experienced pathologists' scores and that the H-Score discrepancy between our algorithm and the pathologists is on par with the inter-subject discrepancy between the pathologists </t>
  </si>
  <si>
    <t>CNN,FCN,SegNet, Unet,ResNet</t>
  </si>
  <si>
    <t>College
of Information Engineering, Shenzhen University and Guangdong Key
Laboratory of Intelligent Information Processing, China;</t>
    <phoneticPr fontId="0" type="noConversion"/>
  </si>
  <si>
    <t>Liu, J; Xu, B; Zheng, C; Gong, Y; Garibaldi, J; Soria, D; Green, A; Ellis, IO; Zou, W; Qiu, G</t>
  </si>
  <si>
    <t>10 1109/TMI 2018 2868045</t>
  </si>
  <si>
    <t xml:space="preserve">Segmenting the Brain Surface From CT Images With Artifacts Using Locally Oriented Appearance and Dictionary Learning </t>
  </si>
  <si>
    <t xml:space="preserve">The accurate segmentation of the brain surface in post-surgical computed tomography (CT) images is critical for image-guided neurosurgical procedures in epilepsy patients  Following surgical implantation of intracranial electrodes, surgeons require accurate registration of the post-implantation CT images to the pre-implantation functional and structural magnetic resonance imaging to guide surgical resection of epileptic tissue  One way to perform the registration is via surface matching  The key challenge in this setup is the CT segmentation, where the extraction of the cortical surface is difficult due to the missing parts of the skull and artifacts introduced from the electrodes  In this paper, we present a dictionary learning-based method to segment the brain surface in post-surgical CT images of epilepsy patients following surgical implantation of electrodes  We propose learning a model of locally oriented appearance that captures both the normal tissue and the artifacts found along this brain surface boundary  Utilizing a database of clinical epilepsy imaging data to train and test our approach, we demonstrate that our method using locally oriented image appearance both more accurately extracts the brain surface and better localizes electrodes on the post-operative brain surface compared to standard, non-oriented appearance modeling  In addition, we compare our method to a standard atlas-based segmentation approach and to a U-Net-based deep convolutional neural network segmentation method </t>
  </si>
  <si>
    <t>Department of Radiology &amp; Biomedical Imaging, Yale University, New Haven, CT, 06520, USA</t>
    <phoneticPr fontId="0" type="noConversion"/>
  </si>
  <si>
    <t>Onofrey, JA; Staib, LH; Papademetris, X</t>
  </si>
  <si>
    <t>10 1109/TMI 2018 2867837</t>
  </si>
  <si>
    <t xml:space="preserve">Pelvic Organ Segmentation Using Distinctive Curve Guided Fully Convolutional Networks </t>
  </si>
  <si>
    <t xml:space="preserve">Accurate segmentation of pelvic organs (i e , prostate, bladder, and rectum) from CT image is crucial for effective prostate cancer radiotherapy  However, it is a challenging task due to: 1) low soft tissue contrast in CT images and 2) large shape and appearance variations of pelvic organs  In this paper, we employ a two-stage deep learning-based method, with a novel distinctive curve-guided fully convolutional network (FCN), to solve the aforementioned challenges  Specifically, the first stage is for fast and robust organ detection in the raw CT images  It is designed as a coarse segmentation network to provide region proposals for three pelvic organs  The second stage is for fine segmentation of each organ, based on the region proposal results  To better identify those indistinguishable pelvic organ boundaries, a novel morphological representation, namely, distinctive curve, is also introduced to help better conduct the precise segmentation  To implement this, in this second stage, a multi-task FCN is initially utilized to learn the distinctive curve and the segmentation map separately and then combine these two tasks to produce accurate segmentation map  The final segmentation results of all three pelvic organs are generated by a weighted max-voting strategy  We have conducted exhaustive experiments on a large and diverse pelvic CT data set for evaluating our proposed method  The experimental results demonstrate that our proposed method is accurate and robust for this challenging segmentation task, by also outperforming the state-of-the-art segmentation methods </t>
  </si>
  <si>
    <t xml:space="preserve">State Key Laboratory for Novel Software Technology, Nanjing University, P  R  China  Biomedical
Research Imaging Center, University of North Carolina, Chapel Hill, NC, U S </t>
  </si>
  <si>
    <t>He, K; Cao, X; Shi, Y; Nie, D; Gao, Y; Shen, D</t>
  </si>
  <si>
    <t>10 1155/2018/4168538</t>
  </si>
  <si>
    <t xml:space="preserve">Deep Convolutional Neural Networks for Chest Diseases Detection </t>
  </si>
  <si>
    <t xml:space="preserve">Chest diseases are very serious health problems in the life of people  These diseases include chronic obstructive pulmonary disease, pneumonia, asthma, tuberculosis, and lung diseases  The timely diagnosis of chest diseases is very important  Many methods have been developed for this purpose  In this paper, we demonstrate the feasibility of classifying the chest pathologies in chest X-rays using conventional and deep learning approaches  In the paper, convolutional neural networks (CNNs) are presented for the diagnosis of chest diseases  The architecture of CNN and its design principle are presented  For comparative purpose, backpropagation neural networks (BPNNs) with supervised learning, competitive neural networks (CpNNs) with unsupervised learning are also constructed for diagnosis chest diseases  All the considered networks CNN, BPNN, and CpNN are trained and tested on the same chest X-ray database, and the performance of each network is discussed  Comparative results in terms of accuracy, error rate, and training time between the networks are presented </t>
  </si>
  <si>
    <t>Department, of Computer Engineering, Near East University, North Cyprus, Mersin-10, Turkey.</t>
  </si>
  <si>
    <t>Abiyev, RH; Ma'aitah, MKS</t>
  </si>
  <si>
    <r>
      <t>To demonstrate and test the validity of a novel deep-learning-based system for the automated detection of pulmonary nodules.The proposed system uses 2 3D deep learning models, 1 for each of the essential tasks of computer-aided nodule detection: candidate generation and false positive reduction. A total of</t>
    </r>
    <r>
      <rPr>
        <sz val="10"/>
        <color indexed="10"/>
        <rFont val="Arial"/>
        <family val="2"/>
      </rPr>
      <t xml:space="preserve"> 888 scans from the LIDC-IDRI dataset</t>
    </r>
    <r>
      <rPr>
        <sz val="10"/>
        <rFont val="Arial"/>
        <family val="2"/>
      </rPr>
      <t xml:space="preserve"> were used for training and evaluation.Results for candidate generation on the test data indicated a detection rate of 94.77% with 30.39 false positives per scan, while the test results for false positive reduction exhibited a sensitivity of 94.21% with 1.789 false positives per scan. The overall system detection rate on the test data was 89.29% with 1.789 false positives per scan.An extensive and rigorous validation was conducted to assess the performance of the proposed system. The system demonstrated a novel combination of 3D deep neural network architectures and demonstrates the use of deep learning for both candidate generation and false positive reduction to be evaluated with a substantial test dataset. The results strongly support the ability of deep learning pulmonary nodule detection systems to generalize to unseen data. The source code and trained model weights have been made available.A novel deep-neural-network-based pulmonary nodule detection system is demonstrated and validated. The results provide comparison of the proposed deep-learning-based system over other similar systems based on performance.</t>
    </r>
  </si>
  <si>
    <t>DNN,UNET</t>
  </si>
  <si>
    <t>Department of Systems &amp; Technology, Raymond J. Harbert College of Business, Auburn University, Auburn, AL, USA</t>
    <phoneticPr fontId="0" type="noConversion"/>
  </si>
  <si>
    <t>Gruetzemacher, R; Gupta, A; Paradice, D</t>
  </si>
  <si>
    <t>10.1109/TMI.2018.2865659</t>
  </si>
  <si>
    <r>
      <rPr>
        <sz val="10"/>
        <color indexed="10"/>
        <rFont val="Arial"/>
        <family val="2"/>
      </rPr>
      <t xml:space="preserve">Coronary </t>
    </r>
    <r>
      <rPr>
        <sz val="10"/>
        <rFont val="Arial"/>
        <family val="2"/>
      </rPr>
      <t>heart disease is a common cause of death despite being preventable. To treat the underlying plaque deposits in the arterial walls, intravascular o</t>
    </r>
    <r>
      <rPr>
        <sz val="10"/>
        <color indexed="10"/>
        <rFont val="Arial"/>
        <family val="2"/>
      </rPr>
      <t>ptical coherence tomography</t>
    </r>
    <r>
      <rPr>
        <sz val="10"/>
        <rFont val="Arial"/>
        <family val="2"/>
      </rPr>
      <t xml:space="preserve"> can be used by experts to detect and characterize the lesions. In clinical routine, hundreds of images are acquired for each patient, which require automatic plaque detection for fast and accurate decision support. So far, automatic approaches rely on classic machine learning methods and deep learning solutions have rarely been studied. Given the success of deep learning methods with other imaging modalities, a thorough understanding of deep learning-based plaque detection for future clinical decision support systems is required. We address this issue with a new data set consisting of in vivo patient images labeled by three trained experts. Using this data set, we employ the state-of-the-art deep learning models that directly learn plaque classification from the images. For improved performance, we study different transfer learning approaches. Furthermore, we investigate the use of Cartesian and polar image representations and employ data augmentation techniques tailored to each representation. We fuse both representations in a multi-path architecture for more effective feature exploitation. Last, we address the challenge of plaque differentiation in addition to detection. Overall, we find that our combined model performs best with an accuracy of 91.7%, a sensitivity of 90.9%, and a specificity of 92.4%. Our results indicate that building a deep learning-based clinical decision support system for plaque detection is feasible.</t>
    </r>
  </si>
  <si>
    <t>the Institute of Medical Technology, Hamburg University of Technol
ogy,
Am-Schwarzenberg-Campus 3, 21073, Hamburg, Germany</t>
    <phoneticPr fontId="0" type="noConversion"/>
  </si>
  <si>
    <t>Gessert, N; Lutz, M; Heyder, M; Latus, S; Leistner, DM; Abdelwahed, YS; Schlaefer, A</t>
  </si>
  <si>
    <r>
      <t>This study aimed at elucidating the relationship between the number of computed tomography (CT) images, including data concerning the accuracy of models and contrast enhancement for classifying the images. We enrolled 1539 patients who underwent contrast or noncontrast CT imaging, followed by dividing the CT imaging dataset for creating classification models into 10 classes for</t>
    </r>
    <r>
      <rPr>
        <sz val="10"/>
        <color indexed="10"/>
        <rFont val="Arial"/>
        <family val="2"/>
      </rPr>
      <t xml:space="preserve"> brain, neck, chest, abdomen,</t>
    </r>
    <r>
      <rPr>
        <sz val="10"/>
        <rFont val="Arial"/>
        <family val="2"/>
      </rPr>
      <t xml:space="preserve"> and pelvis with contrast-enhanced and plain imaging. </t>
    </r>
    <r>
      <rPr>
        <sz val="10"/>
        <color indexed="10"/>
        <rFont val="Arial"/>
        <family val="2"/>
      </rPr>
      <t>The number of images prepared in each class were 100, 500, 1000, 2000, 3000, 4000,</t>
    </r>
    <r>
      <rPr>
        <sz val="10"/>
        <rFont val="Arial"/>
        <family val="2"/>
      </rPr>
      <t xml:space="preserve"> 5000, 6000, 7000, 8000, 9000, and 10,000. Accordingly, the names of datasets were defined as 0.1K, 0.5K, 1K, 2K, 3K, 4K, 5K, 6K, 7K, 8K, 9K, and 10K, respectively. We subsequently created and evaluated the models and compared the convolutional neural network (CNN) architecture between </t>
    </r>
    <r>
      <rPr>
        <sz val="10"/>
        <color indexed="10"/>
        <rFont val="Arial"/>
        <family val="2"/>
      </rPr>
      <t>AlexNet and GoogLeNet</t>
    </r>
    <r>
      <rPr>
        <sz val="10"/>
        <rFont val="Arial"/>
        <family val="2"/>
      </rPr>
      <t>. The time required for training models of AlexNet was lesser than that for GoogLeNet. The best overall accuracy for the classification of 10 classes was 0.721 with the 10K dataset of GoogLeNet. Furthermore, the best overall accuracy for the classification of the slice position without contrast media was 0.862 with the 2K dataset of AlexNet.</t>
    </r>
  </si>
  <si>
    <t>abdominal, head and neck, thoracic</t>
  </si>
  <si>
    <t>Am-Schwarzenberg-Campus 3, 21072, Hamburg, Germany</t>
  </si>
  <si>
    <t>Sugimori, H</t>
  </si>
  <si>
    <t>10.1109/TMI.2018.2865356</t>
  </si>
  <si>
    <r>
      <t xml:space="preserve">We introduce a model-based image </t>
    </r>
    <r>
      <rPr>
        <sz val="10"/>
        <color indexed="10"/>
        <rFont val="Arial"/>
        <family val="2"/>
      </rPr>
      <t>reconstruction</t>
    </r>
    <r>
      <rPr>
        <sz val="10"/>
        <rFont val="Arial"/>
        <family val="2"/>
      </rPr>
      <t xml:space="preserve"> framework with a convolution neural network</t>
    </r>
    <r>
      <rPr>
        <sz val="10"/>
        <color indexed="10"/>
        <rFont val="Arial"/>
        <family val="2"/>
      </rPr>
      <t xml:space="preserve"> (CNN)-</t>
    </r>
    <r>
      <rPr>
        <sz val="10"/>
        <rFont val="Arial"/>
        <family val="2"/>
      </rPr>
      <t>based regularization prior. The proposed formulation provides a systematic approach for deriving deep architectures for inverse problems with the arbitrary structure. Since the forward model is explicitly accounted for, a smaller network with fewer parameters is sufficient to capture the image information compared to direct inversion approaches. Thus, reducing the demand for training data and training time. Since we rely on end-to-end training with weight sharing across iterations, the CNN weights are customized to the forward model, thus offering improved performance over approaches that rely on pre-trained denoisers. Our experiments show that the decoupling of the number of iterations from the network complexity offered by this approach provides benefits, including lower demand for training data, reduced risk of overfitting, and implementations with significantly reduced memory footprint. We propose to enforce data-consistency by using numerical optimization blocks, such as conjugate gradients algorithm within the network. This approach offers faster convergence per iteration, compared to methods that rely on proximal gradients steps to enforce data consistency. Our experiments show that the faster convergence translates to improved performance, primarily when the available GPU memory restricts the number of iterations.</t>
    </r>
  </si>
  <si>
    <t>Department of Electrical and Computer Engineering, The University of Iowa, Iowa City, IA 52242
USA.</t>
    <phoneticPr fontId="0" type="noConversion"/>
  </si>
  <si>
    <t>Aggarwal, HK; Mani, MP; Jacob, M</t>
  </si>
  <si>
    <t>10.1109/TMI.2018.2865202</t>
  </si>
  <si>
    <t>Reducing the exposure to X-ray radiation while maintaining a clinically acceptable image quality is desirable in various CT applications. To realize low-dose CT (LdCT) imaging, model-based iterative reconstruction (MBIR) algorithms are widely adopted, but they require proper prior knowledge assumptions in the sinogram and/or image domains and involve tedious manual optimization of multiple parameters. In this paper, we propose a deep learning (DL)-based strategy for MBIR to simultaneously address prior knowledge design and MBIR parameter selection in one optimization framework. Specifically, a parameterized plug-and-play alternating direction method of multipliers (3pADMM) is proposed for the general penalized weighted least-squares model, and then, by adopting the basic idea of DL, the parameterized plug-and-play (3p) prior and the related parameters are optimized simultaneously in a single framework using a large number of training data. The main contribution of this paper is that the 3p prior and the related parameters in the proposed 3pADMM framework can be supervised and optimized simultaneously to achieve robust LdCT reconstruction performance. Experimental results obtained on clinical patient datasets demonstrate that the proposed method can achieve promising gains over existing algorithms for LdCT image reconstruction in terms of noise-induced artifact suppression and edge detail preservation.</t>
    <phoneticPr fontId="0" type="noConversion"/>
  </si>
  <si>
    <t>abdominal，thoracic</t>
  </si>
  <si>
    <t>School of Biomedical
Engineering, Southern Medical University, Guangzhou 510515, China</t>
    <phoneticPr fontId="0" type="noConversion"/>
  </si>
  <si>
    <t>He, J; Yang, Y; Wang, Y; Zeng, D; Bian, Z; Zhang, H; Sun, J; Xu, Z; Ma, J</t>
  </si>
  <si>
    <t>10.1109/TMI.2018.2864821</t>
  </si>
  <si>
    <t>abdominal，head and neck</t>
  </si>
  <si>
    <t>Department of Bio and Brain Engineering, Korea
Advanced Institute of Science and Technology (KAIST), Daejeon 34141, Re
public
of Korea</t>
    <phoneticPr fontId="0" type="noConversion"/>
  </si>
  <si>
    <t>Yoon, YH; Khan, S; Huh, J; Ye, JC</t>
  </si>
  <si>
    <t>10.1109/TMI.2018.2858202</t>
  </si>
  <si>
    <r>
      <t xml:space="preserve">Pulmonary fissure detection in computed tomography (CT) is a critical component for automatic lobar segmentation. The majority of fissure detection methods use feature descriptors that are hand-crafted, low-level, and have local spatial extent. The design of such feature detectors is typically targeted toward normal fissure anatomy, yielding low sensitivity to weak, and abnormal fissures that are common in clinical data sets. Furthermore, local features commonly suffer from low specificity, as the complex textures in the lung can be indistinguishable from the fissure when the global context is not considered. We propose a supervised discriminative learning framework for simultaneous feature extraction and classification. The proposed framework, called FissureNet, is a coarse-to-fine cascade of two </t>
    </r>
    <r>
      <rPr>
        <sz val="10"/>
        <color indexed="10"/>
        <rFont val="Arial"/>
        <family val="2"/>
      </rPr>
      <t>convolutional neural networks.</t>
    </r>
    <r>
      <rPr>
        <sz val="10"/>
        <rFont val="Arial"/>
        <family val="2"/>
      </rPr>
      <t xml:space="preserve"> The coarse-to-fine strategy alleviates the challenges associated with training a network to segment a thin structure that represents a small fraction of the image voxels. FissureNet was evaluated on </t>
    </r>
    <r>
      <rPr>
        <sz val="10"/>
        <color indexed="10"/>
        <rFont val="Arial"/>
        <family val="2"/>
      </rPr>
      <t>a cohort of 3706 subjects</t>
    </r>
    <r>
      <rPr>
        <sz val="10"/>
        <rFont val="Arial"/>
        <family val="2"/>
      </rPr>
      <t xml:space="preserve"> with inspiration and expiration 3DCT scans from the COPDGene clinical trial and </t>
    </r>
    <r>
      <rPr>
        <sz val="10"/>
        <color indexed="10"/>
        <rFont val="Arial"/>
        <family val="2"/>
      </rPr>
      <t>a cohort of 20 subjects with 4DCT scans</t>
    </r>
    <r>
      <rPr>
        <sz val="10"/>
        <rFont val="Arial"/>
        <family val="2"/>
      </rPr>
      <t xml:space="preserve"> from a lung cancer clinical trial. On both data sets, FissureNet showed superior performance compared with a deep learning approach using the </t>
    </r>
    <r>
      <rPr>
        <sz val="10"/>
        <color indexed="10"/>
        <rFont val="Arial"/>
        <family val="2"/>
      </rPr>
      <t xml:space="preserve">U-Net </t>
    </r>
    <r>
      <rPr>
        <sz val="10"/>
        <rFont val="Arial"/>
        <family val="2"/>
      </rPr>
      <t>architecture and a Hessian-based fissure detection method in terms of area under the precision-recall curve (PR-AUC). The overall PR-AUC for FissureNet, U-Net, and Hessian on the COPDGene (lung cancer) data set was 0.980 (0.966), 0.963 (0.937), and 0.158 (0.182), respectively. On a subset of 30 COPDGene scans, FissureNet was compared with a recently proposed advanced fissure detection method called derivative of sticks (DoS) and showed superior performance with a PR-AUC of 0.991 compared with 0.668 for DoS.</t>
    </r>
  </si>
  <si>
    <t>CNN, SEGNET,UNET</t>
  </si>
  <si>
    <t>Department of Biomedical Engineering, University of Iowa, Iowa City, IA, 52242 USA</t>
    <phoneticPr fontId="0" type="noConversion"/>
  </si>
  <si>
    <t>Gerard, SE; Patton, TJ; Christensen, GE; Bayouth, JE; Reinhardt, JM</t>
  </si>
  <si>
    <t>CNN,GoogLeNet, AlexNet 
ResNet [21], VGG</t>
  </si>
  <si>
    <t>Faculty of Informatics, University of Debrecen, POB 400, 4002 Debrecen, Hungary.</t>
    <phoneticPr fontId="0" type="noConversion"/>
  </si>
  <si>
    <t>Harangi, B</t>
  </si>
  <si>
    <t>10.1109/TMI.2018.2863670</t>
  </si>
  <si>
    <t>Biomedical
Image Analysis Group, Department of Computing, Imperial College London,
SW7 2AZ London, UK.</t>
    <phoneticPr fontId="0" type="noConversion"/>
  </si>
  <si>
    <t>Qin, C; Schlemper, J; Caballero, J; Price, AN; Hajnal, JV; Rueckert, D</t>
  </si>
  <si>
    <t>10.1109/TMI.2018.2858752</t>
  </si>
  <si>
    <r>
      <t>Undersampled magnetic resonance image (MRI) reconstruction is typically an ill-posed linear inverse task. The time and resource intensive computations require tradeoffs between accuracy and speed. In addition, state-of-the-art compressed sensing (CS) analytics are not cognizant of the image diagnostic quality. To address these challenges, we propose a novel CS framework that uses generative adversarial networks (</t>
    </r>
    <r>
      <rPr>
        <sz val="10"/>
        <color indexed="10"/>
        <rFont val="Arial"/>
        <family val="2"/>
      </rPr>
      <t>GAN</t>
    </r>
    <r>
      <rPr>
        <sz val="10"/>
        <rFont val="Arial"/>
        <family val="2"/>
      </rPr>
      <t xml:space="preserve">) to model the (low-dimensional) manifold of high-quality MR images. Leveraging a mixture of least-squares (LS) GANs and pixel-wise l1/l2 cost, a deep residual network with skip connections is trained as the generator that learns to remove the aliasing artifacts by projecting onto the image manifold. The LSGAN learns the texture details, while the l1/l2 cost suppresses high-frequency noise. A discriminator network, which is a multilayer convolutional neural network (CNN), plays the role of a perceptual cost that is then jointly trained based on high-quality MR images to score the quality of retrieved images. In the operational phase, an initial aliased estimate (e.g., simply obtained by zero-filling) is propagated into the trained generator to output the desired </t>
    </r>
    <r>
      <rPr>
        <sz val="10"/>
        <color indexed="10"/>
        <rFont val="Arial"/>
        <family val="2"/>
      </rPr>
      <t>reconstruction</t>
    </r>
    <r>
      <rPr>
        <sz val="10"/>
        <rFont val="Arial"/>
        <family val="2"/>
      </rPr>
      <t xml:space="preserve">. This demands a very low computational overhead. Extensive evaluations are performed on a large contrast-enhanced MR dataset of pediatric patients. Images rated by expert radiologists corroborate that </t>
    </r>
    <r>
      <rPr>
        <sz val="10"/>
        <color indexed="10"/>
        <rFont val="Arial"/>
        <family val="2"/>
      </rPr>
      <t>GANC</t>
    </r>
    <r>
      <rPr>
        <sz val="10"/>
        <rFont val="Arial"/>
        <family val="2"/>
      </rPr>
      <t>S retrieves higher quality images with improved fine texture details compared with conventional Wavelet-based and dictionary-learning-based CS schemes as well as with deep-learning-based schemes using pixel-wise training. In addition, it offers reconstruction times of under a few milliseconds, which are two orders of magnitude faster than the current state-of-the-art CS-MRI schemes.</t>
    </r>
  </si>
  <si>
    <t>musculoskeletal,abdominal</t>
  </si>
  <si>
    <t>Electrical Engineering and Radiology Departments, Stanford University, 350 Serra Mall, Stanford,
CA, 94305 USA</t>
  </si>
  <si>
    <t>Mardani, M; Gong, E; Cheng, JY; Vasanawala, SS; Zaharchuk, G; Xing, L; Pauly, JM</t>
  </si>
  <si>
    <t>10.1109/TMI.2018.2857800</t>
  </si>
  <si>
    <r>
      <t>Volumetric</t>
    </r>
    <r>
      <rPr>
        <sz val="10"/>
        <color indexed="10"/>
        <rFont val="Arial"/>
        <family val="2"/>
      </rPr>
      <t xml:space="preserve"> lung tumor segmentation </t>
    </r>
    <r>
      <rPr>
        <sz val="10"/>
        <rFont val="Arial"/>
        <family val="2"/>
      </rPr>
      <t xml:space="preserve">and accurate longitudinal tracking of tumor volume changes from </t>
    </r>
    <r>
      <rPr>
        <sz val="10"/>
        <color indexed="10"/>
        <rFont val="Arial"/>
        <family val="2"/>
      </rPr>
      <t>computed tomography</t>
    </r>
    <r>
      <rPr>
        <sz val="10"/>
        <rFont val="Arial"/>
        <family val="2"/>
      </rPr>
      <t xml:space="preserve"> images are essential for monitoring tumor response to therapy. Hence, we developed two</t>
    </r>
    <r>
      <rPr>
        <sz val="10"/>
        <color indexed="10"/>
        <rFont val="Arial"/>
        <family val="2"/>
      </rPr>
      <t xml:space="preserve"> multiple resolution residually connected network (MRRN) </t>
    </r>
    <r>
      <rPr>
        <sz val="10"/>
        <rFont val="Arial"/>
        <family val="2"/>
      </rPr>
      <t xml:space="preserve">formulations called incremental-MRRN and dense-MRRN. Our networks simultaneously combine features across multiple image resolution and feature levels through residual connections to detect and segment the lung tumors. We evaluated our method on </t>
    </r>
    <r>
      <rPr>
        <sz val="10"/>
        <color indexed="10"/>
        <rFont val="Arial"/>
        <family val="2"/>
      </rPr>
      <t>a total of 1210 non-small cell (NSCLC) lung tumors</t>
    </r>
    <r>
      <rPr>
        <sz val="10"/>
        <rFont val="Arial"/>
        <family val="2"/>
      </rPr>
      <t xml:space="preserve"> and nodules from three data sets consisting of 377 tumors from the open-source Cancer Imaging Archive (TCIA), 304 advanced stage NSCLC treated with anti- PD-1 checkpoint immunotherapy from </t>
    </r>
    <r>
      <rPr>
        <sz val="10"/>
        <color indexed="10"/>
        <rFont val="Arial"/>
        <family val="2"/>
      </rPr>
      <t>internal institution MSKCC data set,</t>
    </r>
    <r>
      <rPr>
        <sz val="10"/>
        <rFont val="Arial"/>
        <family val="2"/>
      </rPr>
      <t xml:space="preserve"> and 529 lung nodules from the </t>
    </r>
    <r>
      <rPr>
        <sz val="10"/>
        <color indexed="10"/>
        <rFont val="Arial"/>
        <family val="2"/>
      </rPr>
      <t>Lung Image Database Consortium (LIDC</t>
    </r>
    <r>
      <rPr>
        <sz val="10"/>
        <rFont val="Arial"/>
        <family val="2"/>
      </rPr>
      <t xml:space="preserve">). The algorithm was trained using 377 tumors from the </t>
    </r>
    <r>
      <rPr>
        <sz val="10"/>
        <color indexed="10"/>
        <rFont val="Arial"/>
        <family val="2"/>
      </rPr>
      <t>TCIA data set</t>
    </r>
    <r>
      <rPr>
        <sz val="10"/>
        <rFont val="Arial"/>
        <family val="2"/>
      </rPr>
      <t xml:space="preserve"> and validated on the MSKCC and tested on LIDC data sets. The </t>
    </r>
    <r>
      <rPr>
        <sz val="10"/>
        <color indexed="10"/>
        <rFont val="Arial"/>
        <family val="2"/>
      </rPr>
      <t>segmentation</t>
    </r>
    <r>
      <rPr>
        <sz val="10"/>
        <rFont val="Arial"/>
        <family val="2"/>
      </rPr>
      <t xml:space="preserve"> accuracy compared to expert delineations was evaluated by computing the dice similarity coefficient, Hausdorff distances, sensitivity, and precision metrics. Our best performing incremental-MRRN method produced the highest DSC of 0.74 ± 0.13 for TCIA, 0.75±0.12 for MSKCC, and 0.68±0.23 for the LIDC data sets. There was no significant difference in the estimations of volumetric tumor changes computed using the incremental-MRRN method compared with the expert segmentation. In summary, we have developed a multi-scale CNN approach for volumetrically segmenting lung tumors which enables accurate, automated </t>
    </r>
    <r>
      <rPr>
        <sz val="10"/>
        <color indexed="10"/>
        <rFont val="Arial"/>
        <family val="2"/>
      </rPr>
      <t>identification</t>
    </r>
    <r>
      <rPr>
        <sz val="10"/>
        <rFont val="Arial"/>
        <family val="2"/>
      </rPr>
      <t xml:space="preserve"> of and serial measurement of tumor volumes in the lung.</t>
    </r>
  </si>
  <si>
    <t>CNN,RESNET,SEGNET,UNET</t>
  </si>
  <si>
    <t>Department of Medical Physics, Memorial Sloan Kettering Cancer Center, New York, USA.</t>
    <phoneticPr fontId="0" type="noConversion"/>
  </si>
  <si>
    <t>Jiang, J; Hu, YC; Liu, CJ; Halpenny, D; Hellmann, MD; Deasy, JO; Mageras, G; Veeraraghavan, H</t>
  </si>
  <si>
    <r>
      <t xml:space="preserve">Deep learning using convolutional neural networks </t>
    </r>
    <r>
      <rPr>
        <sz val="10"/>
        <color indexed="10"/>
        <rFont val="Arial"/>
        <family val="2"/>
      </rPr>
      <t>(CNN</t>
    </r>
    <r>
      <rPr>
        <sz val="10"/>
        <rFont val="Arial"/>
        <family val="2"/>
      </rPr>
      <t>s) is a distinguished tool for many image classification tasks. Due to its outstanding robustness and generalization, it is also expected to play a key role to facilitate advanced computer-aided diagnosis (CAD) for pathology images. However, the shortage of well-annotated pathology image data for training deep neural networks has become a major issue at present because of the high-cost annotation upon pathologist's professional observation. Faced with this problem, transfer learning techniques are generally used to reinforcing the capacity of deep neural networks. In order to further boost the performance of the state-of-the-art deep neural networks and alleviate insufficiency of well-annotated data, this paper presents a novel stepwise fine-tuning-based deep learning scheme for gastric pathology image classification and establishes a new type of target-correlative intermediate datasets. Our proposed scheme is deemed capable of making the deep neural network imitating the pathologist's perception manner and of acquiring pathology-related knowledge in advance, but with very limited extra cost in data annotation. The experiments are conducted with both well-annotated gastric pathology data and the proposed target-correlative intermediate data on several state-of-the-art deep neural networks. The results congruously demonstrate the feasibility and superiority of our proposed scheme for boosting the classification performance.</t>
    </r>
  </si>
  <si>
    <t>CNN,VGG,AlexNet,Inception</t>
  </si>
  <si>
    <t>Department of Intelligent Interaction Technologies, University of Tsukuba, Tsukuba 305-8573, Japan.</t>
  </si>
  <si>
    <t>Qu, J; Hiruta, N; Terai, K; Nosato, H; Murakawa, M; Sakanashi, H</t>
  </si>
  <si>
    <r>
      <t xml:space="preserve">Application of machine learning techniques for automatic and reliable classification of clinical documents have shown promising results. However, machine learning models require abundant training data specific to each target hospital and may not be able to benefit from available labeled data from each of the hospitals due to data variations. Such training data limitations have presented one of the major obstacles for maximising potential application of machine learning approaches in the healthcare domain. We investigated transferability of artificial neural network models across hospitals from different domains representing various age demographic groups (i.e., children, adults, and mixed) in order to cope with such limitations.We explored the transferability of artificial neural networks for clinical document classification. Our case study was to detect abnormalities from </t>
    </r>
    <r>
      <rPr>
        <sz val="10"/>
        <color indexed="10"/>
        <rFont val="Arial"/>
        <family val="2"/>
      </rPr>
      <t xml:space="preserve">limb X-ray reports </t>
    </r>
    <r>
      <rPr>
        <sz val="10"/>
        <rFont val="Arial"/>
        <family val="2"/>
      </rPr>
      <t xml:space="preserve">obtained from the emergency department (ED) of three hospitals within different domains. Different transfer learning scenarios were investigated in order to employ a source hospital's trained model for addressing a target hospital's abnormality detection problem.A Convolutional Neural Network </t>
    </r>
    <r>
      <rPr>
        <sz val="10"/>
        <color indexed="10"/>
        <rFont val="Arial"/>
        <family val="2"/>
      </rPr>
      <t>(CNN</t>
    </r>
    <r>
      <rPr>
        <sz val="10"/>
        <rFont val="Arial"/>
        <family val="2"/>
      </rPr>
      <t>) model exhibited the best effectiveness compared to other networks when employing an embedding model trained on a large corpus of clinical documents. Furthermore, CNN models derived from a source hospital outperformed a conventional machine learning approach based on Support Vector Machines (SVM) when applied to a different (target) hospital. These models were further improved by leveraging available training data in target hospitals and outperformed the models that used only the target hospital data with F1-Score of 0.92-0.96 across three hospitals.Our transfer learning model used only simple vector representations of documents without any task-specific feature engineering. Transferring the CNN model significantly improved (approx.10% in F1-Score) the state-of-the-art approach for clinical document classification based on a trivial transferred model. In addition, the results showed that transfer learning techniques can further improve a CNN model that is trained only on either a source or target hospital's data.Transferring a pre-trained CNN model generated in one hospital to another facilitates application of machine learning approaches that alleviate both hospital-specific feature engineering and training data.</t>
    </r>
  </si>
  <si>
    <t>The Australian e-Health Research Centre, CSIRO, Brisbane, Australia.</t>
    <phoneticPr fontId="0" type="noConversion"/>
  </si>
  <si>
    <t>Hassanzadeh, H; Nguyen, A; Karimi, S; Chu, K</t>
  </si>
  <si>
    <t>10.1109/JBHI.2018.2850040</t>
  </si>
  <si>
    <r>
      <t>Recent advances in deep learning have produced encouraging results for biomedical image segmentation; however, outcomes rely heavily on comprehensive annotation. In this paper, we propose a neural network architecture and a new algorithm, known as overlapped region forecast, for the automatic segmentation of</t>
    </r>
    <r>
      <rPr>
        <sz val="10"/>
        <color indexed="10"/>
        <rFont val="Arial"/>
        <family val="2"/>
      </rPr>
      <t xml:space="preserve"> gastric</t>
    </r>
    <r>
      <rPr>
        <sz val="10"/>
        <rFont val="Arial"/>
        <family val="2"/>
      </rPr>
      <t xml:space="preserve"> cancer images. To the best of our knowledge, this report for the first time describes that deep learning has been applied to the segmentation of gastric cancer images. Moreover, a reiterative learning framework that achieves superior performance without pretraining or further manual annotation is presented to train a simple network on weakly annotated biomedical images. We customize the loss function to make the model converge faster while avoiding becoming trapped in local minima. Patch boundary errors were eliminated by our overlapped region forecast algorithm. By studying the characteristics of the model trained using two different patch extraction methods, we train iteratively and integrate predictions and weak annotations to improve the quality of the training data. Using these methods, a mean Intersection over Union coefficient of 0.883 and a mean accuracy of 91.09% were achieved on the partially labeled dataset, thereby securing a win in the 2017 China Big Data and Artificial Intelligence Innovation and Entrepreneurship Competition.</t>
    </r>
  </si>
  <si>
    <t>Faculty of Engineering and Applied Science, University
of Ontario Institute of Technology, Oshawa, Ontario, L1H 7K4, Canada</t>
    <phoneticPr fontId="0" type="noConversion"/>
  </si>
  <si>
    <t>Liang, Q; Nan, Y; Coppola, G; Zou, K; Sun, W; Zhang, D; Wang, Y; Yu, G</t>
  </si>
  <si>
    <t>10.1109/JBHI.2018.2852635</t>
  </si>
  <si>
    <t>cardiac,eyes</t>
  </si>
  <si>
    <t>Center
for
Visual
Information
Technology,
International
Institute
of
Information
Technology,Hyderabad, India</t>
  </si>
  <si>
    <t>Chakravarty, A; Sivaswamy, J</t>
  </si>
  <si>
    <t>10.1109/TBME.2018.2849987</t>
  </si>
  <si>
    <r>
      <t>Early diagnosis of acute renal transplant rejection (ARTR) is critical for accurate treatment. Although the current gold standard, diagnostic technique is renal biopsy, it is not preferred due to its invasiveness, long recovery time (1-2 weeks), and potential for complications, e.g., bleeding and/or infection.This paper presents a computer-aided diagnostic (CAD) system for early ARTR detection using (3D + b-value) diffusion-weighted (DW) magnetic resonance imaging (MRI) data. The CAD process starts from kidney tissue segmentation with an evolving geometric (level-set-based) deformable model. The evolution is guided by a voxel-wise stochastic speed function, which follows from a joint kidney-background Markov-Gibbs random field model accounting for an adaptive kidney shape prior and on-going kidney-background visual appearances. A B-spline-based three-dimensional data alignment is employed to handle local deviations due to breathing and heart beating. Then, empirical cumulative distribution functions of apparent diffusion coefficients of the segmented DW-MRI at different b-values are collected as discriminatory transplant status features. Finally, a deep-learning-based classifier with stacked nonnegative constrained autoencoders is employed to distinguish between rejected and nonrejected renal transplants.</t>
    </r>
    <r>
      <rPr>
        <sz val="10"/>
        <color indexed="10"/>
        <rFont val="Arial"/>
        <family val="2"/>
      </rPr>
      <t xml:space="preserve">In our initial "leave-one-subject-out" experiment on 100 subjects, </t>
    </r>
    <r>
      <rPr>
        <sz val="10"/>
        <rFont val="Arial"/>
        <family val="2"/>
      </rPr>
      <t>[Formula: see text] of the subjects were correctly classified. The subsequent four-fold and ten-fold cross-validations gave the average accuracy of [Formula: see text] and [Formula: see text], respectively.These results demonstrate the promise of this new CAD system to reliably diagnose renal transplant rejection.The technology presented here can significantly impact the quality of care of renal transplant patients since it has the potential to replace the gold standard in kidney diagnosis, biopsy.</t>
    </r>
  </si>
  <si>
    <t xml:space="preserve">STACKED AUTOENCODER </t>
  </si>
  <si>
    <t>Bioengineering Department, University of
Louisville, Louisville, KY 40292, USA.</t>
    <phoneticPr fontId="0" type="noConversion"/>
  </si>
  <si>
    <t>Shehata, M; Khalifa, F; Soliman, A; Ghazal, M; Taher, F; El-Ghar, MA; Dwyer, AC; Gimel'farb, G; Keynton, RS; El-Baz, A</t>
  </si>
  <si>
    <t>10.1109/JBHI.2017.2787487</t>
  </si>
  <si>
    <r>
      <t>Automatic skin lesion segmentation on dermoscopic images is an essential step in computer-aided diagnosis of melanoma. However, this task is challenging due to significant variations of lesion appearances across different patients. This challenge is further exacerbated when dealing with a large amount of image data. In this paper, we extended our previous work by developing a deeper network architecture with smaller kernels to enhance its discriminant capacity. In addition, we explicitly included color information from multiple color spaces to facilitate network training and thus to further improve the segmentation performance. We participated and extensively evaluated our method on the ISBI 2017 skin lesion segmentation challenge.</t>
    </r>
    <r>
      <rPr>
        <sz val="10"/>
        <color indexed="10"/>
        <rFont val="Arial"/>
        <family val="2"/>
      </rPr>
      <t xml:space="preserve"> By training with the 2000 challenge training images</t>
    </r>
    <r>
      <rPr>
        <sz val="10"/>
        <rFont val="Arial"/>
        <family val="2"/>
      </rPr>
      <t xml:space="preserve">, our method achieved an average Jaccard Index (JA) of 0:765 on </t>
    </r>
    <r>
      <rPr>
        <sz val="10"/>
        <color indexed="10"/>
        <rFont val="Arial"/>
        <family val="2"/>
      </rPr>
      <t>the 600 challenge testing images</t>
    </r>
    <r>
      <rPr>
        <sz val="10"/>
        <rFont val="Arial"/>
        <family val="2"/>
      </rPr>
      <t>, which ranked itself in the first place among 21 final submissions in the challenge.</t>
    </r>
  </si>
  <si>
    <t>Department of Radiation Oncology,
Icahn School of Medicine at Mount Sinai, New York, NY, USA</t>
    <phoneticPr fontId="0" type="noConversion"/>
  </si>
  <si>
    <t>Yuan, Y; Lo, YC</t>
  </si>
  <si>
    <t>10.1117/1.JBO.23.6.066002</t>
  </si>
  <si>
    <r>
      <t xml:space="preserve">Histopathological image analysis of stained tissue slides is routinely used in tumor detection and classification. However, diagnosis requires a highly trained pathologist and can thus be time-consuming, labor-intensive, and potentially risk bias. Here, we demonstrate a potential complementary approach for diagnosis. We show that multiphoton microscopy images from unstained, reproductive tissues can be robustly classified using deep learning techniques. We fine-train four pretrained </t>
    </r>
    <r>
      <rPr>
        <sz val="10"/>
        <color indexed="10"/>
        <rFont val="Arial"/>
        <family val="2"/>
      </rPr>
      <t>convolutional neural networks</t>
    </r>
    <r>
      <rPr>
        <sz val="10"/>
        <rFont val="Arial"/>
        <family val="2"/>
      </rPr>
      <t xml:space="preserve"> using </t>
    </r>
    <r>
      <rPr>
        <sz val="10"/>
        <color indexed="10"/>
        <rFont val="Arial"/>
        <family val="2"/>
      </rPr>
      <t>over 200 murine tissue images</t>
    </r>
    <r>
      <rPr>
        <sz val="10"/>
        <rFont val="Arial"/>
        <family val="2"/>
      </rPr>
      <t xml:space="preserve"> based on combined second-harmonic generation and two-photon excitation fluorescence contrast, to classify the tissues either as healthy or associated with high-grade serous carcinoma with over 95% sensitivity and 97% specificity. Our approach shows promise for applications involving automated disease diagnosis. It could also be readily applied to other tissues, diseases, and related classification problems.</t>
    </r>
  </si>
  <si>
    <t>University of Ottawa, Department of Physics, Ottawa, Ontario, Canada.</t>
  </si>
  <si>
    <t>Huttunen, MJ; Hassan, A; McCloskey, CW; Fasih, S; Upham, J; Vanderhyden, BC; Boyd, RW; Murugkar, S</t>
  </si>
  <si>
    <r>
      <t>Deep learning convolutional neural networks (CNN) may facilitate melanoma detection, but data comparing a CNN's diagnostic performance to larger groups of dermatologists are lacking.</t>
    </r>
    <r>
      <rPr>
        <sz val="10"/>
        <color indexed="10"/>
        <rFont val="Arial"/>
        <family val="2"/>
      </rPr>
      <t>Google's Inception</t>
    </r>
    <r>
      <rPr>
        <sz val="10"/>
        <rFont val="Arial"/>
        <family val="2"/>
      </rPr>
      <t xml:space="preserve"> v4 CNN architecture was trained and validated using </t>
    </r>
    <r>
      <rPr>
        <sz val="10"/>
        <color indexed="10"/>
        <rFont val="Arial"/>
        <family val="2"/>
      </rPr>
      <t xml:space="preserve">dermoscopic images </t>
    </r>
    <r>
      <rPr>
        <sz val="10"/>
        <rFont val="Arial"/>
        <family val="2"/>
      </rPr>
      <t>and corresponding diagnoses. In a comparative cross-sectional reader study</t>
    </r>
    <r>
      <rPr>
        <sz val="10"/>
        <color indexed="10"/>
        <rFont val="Arial"/>
        <family val="2"/>
      </rPr>
      <t xml:space="preserve"> a 100-image test-set was used</t>
    </r>
    <r>
      <rPr>
        <sz val="10"/>
        <rFont val="Arial"/>
        <family val="2"/>
      </rPr>
      <t xml:space="preserve"> (level-I: dermoscopy only; level-II: dermoscopy plus clinical information and images). Main outcome measures were sensitivity, specificity and area under the curve </t>
    </r>
    <r>
      <rPr>
        <sz val="10"/>
        <color indexed="10"/>
        <rFont val="Arial"/>
        <family val="2"/>
      </rPr>
      <t xml:space="preserve">(AUC) </t>
    </r>
    <r>
      <rPr>
        <sz val="10"/>
        <rFont val="Arial"/>
        <family val="2"/>
      </rPr>
      <t xml:space="preserve">of receiver operating characteristics (ROC) for </t>
    </r>
    <r>
      <rPr>
        <sz val="10"/>
        <color indexed="10"/>
        <rFont val="Arial"/>
        <family val="2"/>
      </rPr>
      <t>diagnostic classification</t>
    </r>
    <r>
      <rPr>
        <sz val="10"/>
        <rFont val="Arial"/>
        <family val="2"/>
      </rPr>
      <t xml:space="preserve"> (dichotomous) of lesions by the CNN versus an international group of 58 dermatologists during level-I or -II of the reader study. Secondary end points included the dermatologists' diagnostic performance in their management decisions and differences in the diagnostic performance of dermatologists during level-I and -II of the reader study. Additionally, the CNN's performance was compared with the top-five algorithms of the 2016 International Symposium on Biomedical Imaging (ISBI) challenge.In level-I dermatologists achieved a mean (±standard deviation) sensitivity and specificity for lesion classification of 86.6% (±9.3%) and 71.3% (±11.2%), respectively. More clinical information (level-II) improved the sensitivity to 88.9% (±9.6%, P = 0.19) and specificity to 75.7% (±11.7%, P &lt; 0.05). The CNN ROC curve revealed a higher specificity of 82.5% when compared with dermatologists in level-I (71.3%, P &lt; 0.01) and level-II (75.7%, P &lt; 0.01) at their sensitivities of 86.6% and 88.9%, respectively. The CNN ROC AUC was greater than the mean ROC area of dermatologists (0.86 versus 0.79, P &lt; 0.01). The CNN scored results close to the top three algorithms of the ISBI 2016 challenge.For the first time we compared a CNN's diagnostic performance with a large international group of 58 dermatologists, including 30 experts. Most dermatologists were outperformed by the CNN. Irrespective of any physicians' experience, they may benefit from assistance by a CNN's image classification.This study was registered at the German Clinical Trial Register (DRKS-Study-ID: DRKS00013570; https://www.drks.de/drks_web/).</t>
    </r>
  </si>
  <si>
    <t>Department of Dermatology, University of Heidelberg, Heidelberg, Germany.</t>
  </si>
  <si>
    <t xml:space="preserve">Haenssle, HA; Fink, C; Schneiderbauer, R; Toberer, F; Buhl, T; Blum, A; Kalloo, A; Hassen, ABH; Thomas, L; Enk, A; Uhlmann, L; , </t>
  </si>
  <si>
    <r>
      <t>Although deep learning has shown great promise for MR image reconstruction, an open question regarding the success of this approach is the robustness in the case of deviations between training and test data. The goal of this study is to assess the influence of image contrast, SNR, and image content on the generalization of learned image reconstruction, and to demonstrate the potential for transfer learning.Reconstructions were trained from undersampled data using data sets with varying SNR, sampling pattern, image contrast, and synthetic data generated from</t>
    </r>
    <r>
      <rPr>
        <sz val="10"/>
        <color indexed="10"/>
        <rFont val="Arial"/>
        <family val="2"/>
      </rPr>
      <t xml:space="preserve"> a public image database</t>
    </r>
    <r>
      <rPr>
        <sz val="10"/>
        <rFont val="Arial"/>
        <family val="2"/>
      </rPr>
      <t xml:space="preserve">. The performance of the trained reconstructions was </t>
    </r>
    <r>
      <rPr>
        <sz val="10"/>
        <color indexed="10"/>
        <rFont val="Arial"/>
        <family val="2"/>
      </rPr>
      <t>evaluated on 10 in vivo patient knee MRI acquisitions</t>
    </r>
    <r>
      <rPr>
        <sz val="10"/>
        <rFont val="Arial"/>
        <family val="2"/>
      </rPr>
      <t xml:space="preserve"> from </t>
    </r>
    <r>
      <rPr>
        <sz val="10"/>
        <color indexed="10"/>
        <rFont val="Arial"/>
        <family val="2"/>
      </rPr>
      <t>2 different pulse sequences that were not used during training</t>
    </r>
    <r>
      <rPr>
        <sz val="10"/>
        <rFont val="Arial"/>
        <family val="2"/>
      </rPr>
      <t>. Transfer learning was evaluated by fine-tuning baseline trainings from synthetic data with a small subset of in vivo MR training data.Deviations in SNR between training and testing led to substantial decreases in reconstruction image quality, whereas image contrast was less relevant. Trainings from heterogeneous training data generalized well toward the test data with a range of acquisition parameters. Trainings from synthetic, non-MR image data showed residual aliasing artifacts, which could be removed by transfer learning-inspired fine-tuning.This study presents insights into the generalization ability of learned image reconstruction with respect to deviations in the acquisition settings between training and testing. It also provides an outlook for the potential of transfer learning to fine-tune trainings to a particular target application using only a small number of training cases.</t>
    </r>
  </si>
  <si>
    <t>Center for Biomedical Imaging, Department of Radiology, New York University School of Medicine, New York, New York.</t>
  </si>
  <si>
    <t>Knoll, F; Hammernik, K; Kobler, E; Pock, T; Recht, MP; Sodickson, DK</t>
  </si>
  <si>
    <r>
      <t xml:space="preserve">Brain tumors can appear anywhere in the brain and have vastly different sizes and morphology. Additionally, these tumors are often diffused and poorly contrasted. Consequently, the segmentation of brain tumor and intratumor subregions using magnetic resonance imaging (MRI) data with minimal human interventions remains a challenging task. In this paper, we present a novel fully automatic segmentation method from MRI data containing in vivo brain gliomas. This approach can not only localize the entire tumor region but can also accurately segment the intratumor structure. The proposed work was based on a cascaded deep learning convolutional neural network consisting of two subnetworks: (1) a tumor localization network (TLN) and (2) an intratumor classification network (ITCN). The TLN, a fully convolutional network (FCN) in conjunction with the transfer learning technology, was used to first process MRI data. The goal of the first subnetwork was to define the tumor region from an MRI slice. Then, the ITCN was used to label the defined tumor region into multiple subregions. Particularly, ITCN exploited a convolutional neural network (CNN) with deeper architecture and smaller kernel. The proposed approach was validated on multimodal </t>
    </r>
    <r>
      <rPr>
        <sz val="10"/>
        <color indexed="10"/>
        <rFont val="Arial"/>
        <family val="2"/>
      </rPr>
      <t>brain tumor segmentation (BRATS 2015) datasets, which contain 220 high-grade glioma (HGG) and 54 low-grade glioma</t>
    </r>
    <r>
      <rPr>
        <sz val="10"/>
        <rFont val="Arial"/>
        <family val="2"/>
      </rPr>
      <t xml:space="preserve"> (LGG) cases. Dice similarity coefficient (DSC), positive predictive value (PPV), and sensitivity were used as evaluation metrics. Our experimental results indicated that our method could obtain the promising segmentation results and had a faster segmentation speed. More specifically, the proposed method obtained comparable and overall better DSC values (0.89, 0.77, and 0.80) on the combined (HGG + LGG) testing set, as compared to other methods reported in the literature. Additionally, the proposed approach was able to complete a segmentation task at a rate of 1.54 seconds per slice.</t>
    </r>
  </si>
  <si>
    <t>College of Computer Science and Engineering, Chongqing University of Technology, Chongqing 400054, China.</t>
  </si>
  <si>
    <t>Cui, S; Mao, L; Jiang, J; Liu, C; Xiong, S</t>
  </si>
  <si>
    <r>
      <t>Accurate spatial normalization (SN) of amyloid positron emission tomography (</t>
    </r>
    <r>
      <rPr>
        <sz val="10"/>
        <color indexed="10"/>
        <rFont val="Arial"/>
        <family val="2"/>
      </rPr>
      <t>PET) images for Alzheimer's disease</t>
    </r>
    <r>
      <rPr>
        <sz val="10"/>
        <rFont val="Arial"/>
        <family val="2"/>
      </rPr>
      <t xml:space="preserve"> assessment without coregistered anatomical magnetic resonance imaging (MRI) of the same individual is technically challenging. In this study, we applied deep neural networks to generate individually adaptive PET templates for robust and accurate SN of amylo</t>
    </r>
    <r>
      <rPr>
        <sz val="10"/>
        <color indexed="10"/>
        <rFont val="Arial"/>
        <family val="2"/>
      </rPr>
      <t xml:space="preserve">id PET without using matched 3D MR </t>
    </r>
    <r>
      <rPr>
        <sz val="10"/>
        <rFont val="Arial"/>
        <family val="2"/>
      </rPr>
      <t xml:space="preserve">images. Using </t>
    </r>
    <r>
      <rPr>
        <sz val="10"/>
        <color indexed="10"/>
        <rFont val="Arial"/>
        <family val="2"/>
      </rPr>
      <t>681 pairs of simultaneously acquired 11 C-PIB PET and T1-weighted 3D MRI</t>
    </r>
    <r>
      <rPr>
        <sz val="10"/>
        <rFont val="Arial"/>
        <family val="2"/>
      </rPr>
      <t xml:space="preserve"> scans of AD, MCI, and cognitively normal subjects, we trained and tested two deep neural networks [</t>
    </r>
    <r>
      <rPr>
        <sz val="10"/>
        <color indexed="10"/>
        <rFont val="Arial"/>
        <family val="2"/>
      </rPr>
      <t>convolutional auto-encoder (CAE)</t>
    </r>
    <r>
      <rPr>
        <sz val="10"/>
        <rFont val="Arial"/>
        <family val="2"/>
      </rPr>
      <t xml:space="preserve"> and generative adversarial network (</t>
    </r>
    <r>
      <rPr>
        <sz val="10"/>
        <color indexed="10"/>
        <rFont val="Arial"/>
        <family val="2"/>
      </rPr>
      <t>GAN</t>
    </r>
    <r>
      <rPr>
        <sz val="10"/>
        <rFont val="Arial"/>
        <family val="2"/>
      </rPr>
      <t>)] that produce adaptive best PET templates. More specifically, the networks were trained using 685,100 pieces of augmented data generated by rotating</t>
    </r>
    <r>
      <rPr>
        <sz val="10"/>
        <color indexed="10"/>
        <rFont val="Arial"/>
        <family val="2"/>
      </rPr>
      <t xml:space="preserve"> 527 randomly selected datasets and validated using 154 datasets.</t>
    </r>
    <r>
      <rPr>
        <sz val="10"/>
        <rFont val="Arial"/>
        <family val="2"/>
      </rPr>
      <t xml:space="preserve"> The input to the supervised neural networks was the 3D PET volume in native space and the label was the spatially normalized 3D PET image using the transformation parameters obtained from MRI-based SN. The proposed deep learning approach significantly enhanced the quantitative accuracy of MRI-less amyloid PET assessment by reducing the SN error observed when an average amyloid PET template is used. Given an input image, the trained deep neural networks rapidly provide individually adaptive 3D PET templates without any discontinuity between the slices (in 0.02 s). As the proposed method does not require 3D MRI for the SN of PET images, it has great potential for use in routine analysis of amyloid PET images in clinical practice and research.</t>
    </r>
  </si>
  <si>
    <t>CNN,CONVOLUTIONAL AUTOENCODER,GAN</t>
  </si>
  <si>
    <t>Department of Biomedical Sciences, Seoul National University, Seoul, Korea.</t>
  </si>
  <si>
    <t>Kang, SK; Seo, S; Shin, SA; Byun, MS; Lee, DY; Kim, YK; Lee, DS; Lee, JS</t>
  </si>
  <si>
    <t>Different modalities such as structural MRI, FDG-PET, and CSF have complementary information, which is likely to be very useful for diagnosis of AD and MCI. Therefore, it is possible to develop a more effective and accurate AD/MCI automatic diagnosis method by integrating complementary information of different modalities. In this paper, we propose multi-modal sparse hierarchical extreme leaning machine (MSH-ELM). We used volume and mean intensity extracted from 93 regions of interest (ROIs) as features of MRI and FDG-PET, respectively, and used p-tau, t-tau, and 
                        A
                                β
                                42
                     as CSF features. In detail, high-level representation was individually extracted from each of MRI, FDG-PET, and CSF using a stacked sparse extreme learning machine auto-encoder (sELM-AE). Then, another stacked sELM-AE was devised to acquire a joint hierarchical feature representation by fusing the high-level representations obtained from each modality. Finally, we classified joint hierarchical feature representation using a kernel-based extreme learning machine (KELM). The results of MSH-ELM were compared with those of conventional ELM, single kernel support vector machine (SK-SVM), multiple kernel support vector machine (MK-SVM) and stacked auto-encoder (SAE). Performance was evaluated through 10-fold cross-validation. In the classification of AD vs. HC and MCI vs. HC problem, the proposed MSH-ELM method showed mean balanced accuracies of 96.10% and 86.46%, respectively, which is much better than those of competing methods. In summary, the proposed algorithm exhibits consistently better performance than SK-SVM, ELM, MK-SVM and SAE in the two binary classification problems (AD vs. HC and MCI vs. HC).</t>
  </si>
  <si>
    <t>Department of Biomedical Science and Engineering (BMSE), Institute of Integrated Technology (IIT), Gwangju Institute of Science and Technology (GIST), Gwangju, 61005, Republic of Korea.</t>
  </si>
  <si>
    <t>Kim, J; Lee, B</t>
  </si>
  <si>
    <r>
      <t xml:space="preserve">The purposes of this study are to evaluate the feasibility of protocol determination with a convolutional neural networks (CNN) classifier based on short-text classification and to evaluate the agreements by comparing protocols determined by CNN with those determined by musculoskeletal radiologists. Following institutional review board approval, </t>
    </r>
    <r>
      <rPr>
        <sz val="10"/>
        <color indexed="10"/>
        <rFont val="Arial"/>
        <family val="2"/>
      </rPr>
      <t>the database of a hospital information system (H</t>
    </r>
    <r>
      <rPr>
        <sz val="10"/>
        <rFont val="Arial"/>
        <family val="2"/>
      </rPr>
      <t>IS) was queried for lists of MRI examinations, referring department, patient age, and patient gender. These were exported to a local workstation for analyses:</t>
    </r>
    <r>
      <rPr>
        <sz val="10"/>
        <color indexed="10"/>
        <rFont val="Arial"/>
        <family val="2"/>
      </rPr>
      <t xml:space="preserve"> 5258 and 1018 consecutive musculoskeletal MRI examinations </t>
    </r>
    <r>
      <rPr>
        <sz val="10"/>
        <rFont val="Arial"/>
        <family val="2"/>
      </rPr>
      <t>were used for the training and test datasets, respectively. The subjects for pre-processing were routine or tumor protocols and the contents were word combinations of the referring department, region, contrast media (or not), gender, and age. The CNN Embedded vector classifier was used with Word2Vec Google news vectors. The test set was tested with each classification model and results were output as routine or tumor protocols. The CNN determinations were evaluated using the receiver operating characteristic (ROC) curves. The accuracies were evaluated by a radiologist-confirmed protocol as the reference protocols. The optimal cut-off values for protocol determination between routine protocols and tumor protocols was 0.5067 with a sensitivity of 92.10%, a specificity of 95.76%, and an area under curve (AUC) of 0.977. The overall accuracy was 94.2% for the ConvNet model. All MRI protocols were correct in the pelvic bone, upper arm, wrist, and lower leg MRIs. Deep-learning-based convolutional neural networks were clinically utilized to determine musculoskeletal MRI protocols. CNN-based text learning and applications could be extended to other radiologic tasks besides image interpretations, improving the work performance of the radiologist.</t>
    </r>
  </si>
  <si>
    <t>Department of Radiology, Research Institute of Radiological Science, YUHS-KRIBB Medical Convergence Research Institute and Center for Clinical Imaging Data Science, Yonsei University College of Medicine, 50-1 Yonsei-ro, Seodaemun-gu, Seoul, 03722, South Korea. sando@yuhs.ac.</t>
    <phoneticPr fontId="0" type="noConversion"/>
  </si>
  <si>
    <t>Lee, YH</t>
  </si>
  <si>
    <t>10.1109/ISBI.2018.8363628</t>
  </si>
  <si>
    <t>Department of Electrical and Computer Engineering, The University of Iowa, Iowa City, IA 52242, USA.</t>
  </si>
  <si>
    <t>Wu, X; Zhong, Z; Buatti, J; Bai, J</t>
  </si>
  <si>
    <r>
      <t xml:space="preserve">The study evaluated the automatic prediction of obstructive disease from myocardial perfusion imaging </t>
    </r>
    <r>
      <rPr>
        <sz val="10"/>
        <color indexed="10"/>
        <rFont val="Arial"/>
        <family val="2"/>
      </rPr>
      <t>(MPI</t>
    </r>
    <r>
      <rPr>
        <sz val="10"/>
        <rFont val="Arial"/>
        <family val="2"/>
      </rPr>
      <t>) by deep learning as compared with total perfusion deficit (TPD).Deep</t>
    </r>
    <r>
      <rPr>
        <sz val="10"/>
        <color indexed="10"/>
        <rFont val="Arial"/>
        <family val="2"/>
      </rPr>
      <t xml:space="preserve"> convolutional neural networks</t>
    </r>
    <r>
      <rPr>
        <sz val="10"/>
        <rFont val="Arial"/>
        <family val="2"/>
      </rPr>
      <t xml:space="preserve"> trained with a large multicenter population may provide improved </t>
    </r>
    <r>
      <rPr>
        <sz val="10"/>
        <color indexed="10"/>
        <rFont val="Arial"/>
        <family val="2"/>
      </rPr>
      <t xml:space="preserve">prediction of per-patient and per-vessel coronary artery disease </t>
    </r>
    <r>
      <rPr>
        <sz val="10"/>
        <rFont val="Arial"/>
        <family val="2"/>
      </rPr>
      <t>from single-photon emission computed tomography MPI.</t>
    </r>
    <r>
      <rPr>
        <sz val="10"/>
        <color indexed="10"/>
        <rFont val="Arial"/>
        <family val="2"/>
      </rPr>
      <t xml:space="preserve">A total of 1,638 patients </t>
    </r>
    <r>
      <rPr>
        <sz val="10"/>
        <rFont val="Arial"/>
        <family val="2"/>
      </rPr>
      <t>(67% men) without known coronary artery disease, undergoing stress 99mTc-sestamibi or tetrofosmin MPI with new generation solid-state scanners in 9 different sites, with invasive coronary angiography performed within 6 months of MPI, were studied. Obstructive disease was defined as ≥70% narrowing of coronary arteries (≥50% for left main artery). Left ventricular myocardium was segmented using clinical nuclear cardiology software and verified by an expert reader. Stress TPD was computed using sex- and camera-specific normal limits. Deep learning was trained using raw and quantitative polar maps and evaluated for prediction of obstructive stenosis in a stratified 10-fold cross-validation procedure.</t>
    </r>
    <r>
      <rPr>
        <sz val="10"/>
        <color indexed="10"/>
        <rFont val="Arial"/>
        <family val="2"/>
      </rPr>
      <t>A total of 1,018 (62%) patients and 1,797 of 4,914 (37%) arteries had obstructive disease</t>
    </r>
    <r>
      <rPr>
        <sz val="10"/>
        <rFont val="Arial"/>
        <family val="2"/>
      </rPr>
      <t xml:space="preserve">. Area under the receiver-operating characteristic curve for disease prediction by deep learning was higher than for TPD (per patient: 0.80 vs. 0.78; per vessel: 0.76 vs. 0.73: </t>
    </r>
    <r>
      <rPr>
        <sz val="10"/>
        <color indexed="10"/>
        <rFont val="Arial"/>
        <family val="2"/>
      </rPr>
      <t>p &lt; 0.01</t>
    </r>
    <r>
      <rPr>
        <sz val="10"/>
        <rFont val="Arial"/>
        <family val="2"/>
      </rPr>
      <t>). With deep learning threshold set to the same specificity as TPD, per-patient sensitivity improved from 79.8% (TPD) to 82.3% (deep learning) (p &lt; 0.05), and per-vessel sensitivity improved from 64.4% (TPD) to 69.8% (deep learning) (p &lt; 0.01).Deep learning has the potential to improve automatic interpretation of MPI as compared with current clinical methods.</t>
    </r>
  </si>
  <si>
    <t>Department of Imaging (Division of Nuclear Medicine), Medicine, and Biomedical Sciences, Cedars-Sinai Medical Center, Los Angeles, California. USA</t>
  </si>
  <si>
    <t>Betancur, J; Commandeur, F; Motlagh, M; Sharir, T; Einstein, AJ; Bokhari, S; Fish, MB; Ruddy, TD; Kaufmann, P; Sinusas, AJ; Miller, EJ; Bateman, TM; Dorbala, S; Di Carli, M; Germano, G; Otaki, Y; Tamarappoo, BK; Dey, D; Berman, DS; Slomka, PJ</t>
  </si>
  <si>
    <r>
      <t xml:space="preserve">To present a novel method for automated segmentation of knee menisci from MRIs. To evaluate quantitative meniscal biomarkers for osteoarthritis (OA) estimated thereof.A segmentation method employing convolutional neural networks in combination with statistical shape models was developed. Accuracy was evaluated on 88 manual segmentations. Meniscal volume, tibial coverage, and meniscal extrusion were computed and tested for differences between groups of OA, joint space narrowing (JSN), and WOMAC pain. Correlation between computed meniscal extrusion and MRI Osteoarthritis Knee Score (MOAKS) experts' readings was evaluated for </t>
    </r>
    <r>
      <rPr>
        <sz val="10"/>
        <color indexed="10"/>
        <rFont val="Arial"/>
        <family val="2"/>
      </rPr>
      <t>600 subjects.</t>
    </r>
    <r>
      <rPr>
        <sz val="10"/>
        <rFont val="Arial"/>
        <family val="2"/>
      </rPr>
      <t xml:space="preserve"> Suitability of biomarkers for predicting incident radiographic OA from baseline to 24 months </t>
    </r>
    <r>
      <rPr>
        <sz val="10"/>
        <color indexed="10"/>
        <rFont val="Arial"/>
        <family val="2"/>
      </rPr>
      <t>was tested on a group of 552 patients</t>
    </r>
    <r>
      <rPr>
        <sz val="10"/>
        <rFont val="Arial"/>
        <family val="2"/>
      </rPr>
      <t xml:space="preserve"> (184 incident OA, 386 controls) by performing conditional logistic regression.Segmentation accuracy measured as dice similarity coefficient was 83.8% for medial menisci (MM) and 88.9% for lateral menisci (LM) at baseline, and 83.1% and 88.3% at 12-month follow-up. Medial tibial coverage was significantly lower for arthritic cases compared to non-arthritic ones. Medial meniscal extrusion was significantly higher for arthritic knees. A moderate correlation between automatically computed medial meniscal extrusion and experts' readings was found (ρ = 0.44). Mean medial meniscal extrusion was significantly greater for incident OA cases compared to controls (1.16 ± 0.93 mm vs 0.83 ± 0.92 mm; P &lt; 0.05).Especially for medial menisci an excellent segmentation accuracy was achieved. Our meniscal biomarkers were validated by comparison to experts' readings as well as analysis of differences w.r.t groups of OA, JSN, and WOMAC pain. It was confirmed that medial meniscal extrusion is a predictor for incident OA.</t>
    </r>
  </si>
  <si>
    <t>CNN,SEGNET</t>
  </si>
  <si>
    <t>Zuse Institute Berlin, Berlin, Germany.</t>
    <phoneticPr fontId="0" type="noConversion"/>
  </si>
  <si>
    <t>Tack, A; Mukhopadhyay, A; Zachow, S</t>
  </si>
  <si>
    <t xml:space="preserve">10.1007/s10278-018-0056-0   </t>
    <phoneticPr fontId="0" type="noConversion"/>
  </si>
  <si>
    <t>Low-dose computed tomography (LDCT) has offered tremendous benefits in radiation-restricted applications, but the quantum noise as resulted by the insufficient number of photons could potentially harm the diagnostic performance. Current image-based denoising methods tend to produce a blur effect on the final reconstructed results especially in high noise levels. In this paper, a deep learning-based approach was proposed to mitigate this problem. An adversarially trained network and a sharpness detection network were trained to guide the training process. Experiments on both simulated and real dataset show that the results of the proposed method have very small resolution loss and achieves better performance relative to state-of-the-art methods both quantitatively and visually.</t>
    <phoneticPr fontId="0" type="noConversion"/>
  </si>
  <si>
    <t>CNN,GAN,UNET</t>
  </si>
  <si>
    <t>University of Saskatchewan, College of Medicine, Saskatoon, SK, Canada.</t>
    <phoneticPr fontId="0" type="noConversion"/>
  </si>
  <si>
    <t>Yi, X; Babyn, P</t>
  </si>
  <si>
    <t>School of Electrical and Computer Engineering, Purdue University, West Lafayette, IN, USA.</t>
  </si>
  <si>
    <t>Wen, H; Shi, J; Zhang, Y; Lu, KH; Cao, J; Liu, Z</t>
  </si>
  <si>
    <t>Imaging Advances in Chronic Obstructive Pulmonary Disease  Insights from the Genetic Epidemiology of Chronic Obstructive Pulmonary Disease (COPDGene) Study</t>
  </si>
  <si>
    <t>Applications of Artificial Intelligence in Cardiology  The Future is Already Here</t>
  </si>
  <si>
    <t>Performance of Qure ai automatic classifiers against a large annotated database of patients with diverse forms of tuberculosis</t>
  </si>
  <si>
    <t>Multi-structure Segmentation from Partially Labeled Datasets  Application to Body Composition Measurements on CT Scans</t>
  </si>
  <si>
    <t>Memory-efficient 2 5D convolutional transformer networks for multi-modal deformable registration with weak label supervision applied to whole-heart CT and MRI scans</t>
  </si>
  <si>
    <t>Quanti us: a tool for rapid, flexible, crowd-based annotation of images</t>
  </si>
  <si>
    <t>Artificial Intelligence and Chest Imaging  Will Deep Learning Make Us Smarter?</t>
  </si>
  <si>
    <t>Big data in epilepsy: Clinical and research considerations  Report from the Epilepsy Big Data Task Force of the International League Against Epilepsy</t>
  </si>
  <si>
    <t>CellProfiler 3 0: Next-generation image processing for biology</t>
  </si>
  <si>
    <t>Diagnosis of Thyroid Nodules: Performance of a Deep Learning Convolutional Neural Network Model vs  Radiologists</t>
  </si>
  <si>
    <t>Deep learning for dermatologists: Part II  Current applications</t>
  </si>
  <si>
    <t>R  Raman, S  Srinivasan, S  Virmani, S  Sivaprasad, C  Rao and R  Rajalakshmi</t>
  </si>
  <si>
    <t>Deep learning in rare disease  Detection of tubers in tuberous sclerosis complex</t>
  </si>
  <si>
    <t>[1  Deep Learning Super-resolution in Medical Imaging: What Is It and How to Use It]</t>
  </si>
  <si>
    <t>In vivo magnetic resonance imaging and spectroscopy  Technological advances and opportunities for applications continue to abound</t>
  </si>
  <si>
    <t>A multi-path 2 5 dimensional convolutional neural network system for segmenting stroke lesions in brain MRI images</t>
  </si>
  <si>
    <t>Improvement of fully automated airway segmentation on volumetric computed tomographic images using a 2 5 dimensional convolutional neural net</t>
  </si>
  <si>
    <t>DeepCEST: 9 4 T Chemical exchange saturation transfer MRI contrast predicted from 3 T data - a proof of concept study</t>
  </si>
  <si>
    <t>Developing deep learning based regression approaches for determination of chemical compositions in dry black goji berries (Lycium ruthenicum Murr ) using near-infrared hyperspectral imaging</t>
  </si>
  <si>
    <t>Improving the slice interaction of 2 5D CNN for automatic pancreas segmentation</t>
  </si>
  <si>
    <t xml:space="preserve">3D deep learning for detecting pulmonary nodules in CT scans </t>
  </si>
  <si>
    <t xml:space="preserve">Automatic Plaque Detection in IVOCT Pullbacks Using Convolutional Neural Networks </t>
  </si>
  <si>
    <t xml:space="preserve">Classification of Computed Tomography Images in Different Slice Positions Using Deep Learning </t>
  </si>
  <si>
    <t xml:space="preserve">MoDL: Model-Based Deep Learning Architecture for Inverse Problems </t>
  </si>
  <si>
    <t xml:space="preserve">Optimizing a Parameterized Plug-and-Play ADMM for Iterative Low-Dose CT Reconstruction </t>
  </si>
  <si>
    <t xml:space="preserve">Efficient B-Mode Ultrasound Image Reconstruction From Sub-Sampled RF Data Using Deep Learning </t>
  </si>
  <si>
    <t xml:space="preserve">FissureNet: A Deep Learning Approach For Pulmonary Fissure Detection in CT Images </t>
  </si>
  <si>
    <t xml:space="preserve">Skin lesion classification with ensembles of deep convolutional neural networks </t>
  </si>
  <si>
    <t xml:space="preserve">Convolutional Recurrent Neural Networks for Dynamic MR Image Reconstruction </t>
  </si>
  <si>
    <t xml:space="preserve">Deep Generative Adversarial Neural Networks for Compressive Sensing MRI </t>
  </si>
  <si>
    <t xml:space="preserve">Multiple Resolution Residually Connected Feature Streams for Automatic Lung Tumor Segmentation From CT Images </t>
  </si>
  <si>
    <t xml:space="preserve">Gastric Pathology Image Classification Using Stepwise Fine-Tuning for Deep Neural Networks </t>
  </si>
  <si>
    <t xml:space="preserve">Transferability of artificial neural networks for clinical document classification across hospitals: A case study on abnormality detection from radiology reports </t>
  </si>
  <si>
    <t xml:space="preserve">Weakly Supervised Biomedical Image Segmentation by Reiterative Learning </t>
  </si>
  <si>
    <t xml:space="preserve">RACE-Net: A Recurrent Neural Network for Biomedical Image Segmentation </t>
  </si>
  <si>
    <t xml:space="preserve">Computer-Aided Diagnostic System for Early Detection of Acute Renal Transplant Rejection Using Diffusion-Weighted MRI </t>
  </si>
  <si>
    <t xml:space="preserve">Improving Dermoscopic Image Segmentation with Enhanced Convolutional-Deconvolutional Networks </t>
  </si>
  <si>
    <t xml:space="preserve">Automated classification of multiphoton microscopy images of ovarian tissue using deep learning </t>
  </si>
  <si>
    <t xml:space="preserve">Man against machine: diagnostic performance of a deep learning convolutional neural network for dermoscopic melanoma recognition in comparison to 58 dermatologists </t>
  </si>
  <si>
    <t xml:space="preserve">Assessment of the generalization of learned image reconstruction and the potential for transfer learning </t>
  </si>
  <si>
    <t xml:space="preserve">Automatic Semantic Segmentation of Brain Gliomas from MRI Images Using a Deep Cascaded Neural Network </t>
  </si>
  <si>
    <t xml:space="preserve">Adaptive template generation for amyloid PET using a deep learning approach </t>
  </si>
  <si>
    <t xml:space="preserve">Identification of Alzheimer's disease and mild cognitive impairment using multimodal sparse hierarchical extreme learning machine </t>
  </si>
  <si>
    <t xml:space="preserve">Efficiency Improvement in a Busy Radiology Practice: Determination of Musculoskeletal Magnetic Resonance Imaging Protocol Using Deep-Learning Convolutional Neural Networks </t>
  </si>
  <si>
    <t xml:space="preserve">MULTI-SCALE SEGMENTATION USING DEEP GRAPH CUTS: ROBUST LUNG TUMOR DELINEATION IN MVCBCT </t>
  </si>
  <si>
    <t xml:space="preserve">Deep Learning for Prediction of Obstructive Disease From Fast Myocardial Perfusion SPECT: A Multicenter Study </t>
  </si>
  <si>
    <t xml:space="preserve">Knee menisci segmentation using convolutional neural networks: data from the Osteoarthritis Initiative </t>
  </si>
  <si>
    <t xml:space="preserve">Sharpness-Aware Low-Dose CT Denoising Using Conditional Generative Adversarial Network </t>
  </si>
  <si>
    <t xml:space="preserve">Neural Encoding and Decoding with Deep Learning for Dynamic Natural Vision </t>
  </si>
  <si>
    <t>first author’s affiliation [radiology (including radiology, nuclear medicine, and other imaging-related specialties) medicine or related specialties (including internal medicine, paediatrics, psychiatry, neurology, dermatology, etc ), surgery or related s</t>
  </si>
  <si>
    <t>10.1007/s11517-017-1638-6</t>
  </si>
  <si>
    <t>10.1016/j.artmed.2019.101779</t>
  </si>
  <si>
    <t>10.1523/eneuro.0443-17.2018</t>
  </si>
  <si>
    <t>10.1186/s12859-020-3521-y</t>
  </si>
  <si>
    <t>10.1186/s12859-019-2823-4</t>
  </si>
  <si>
    <t>10.1038/s41598-019-42431-3</t>
  </si>
  <si>
    <t>10.1109/jbhi.2018.2878914</t>
  </si>
  <si>
    <t>10.1155/2018/4168538</t>
  </si>
  <si>
    <t>10.1016/j.compmedimag.2018.08.006</t>
  </si>
  <si>
    <t>10.1109/embc.2019.8856500</t>
  </si>
  <si>
    <t>10.1117/12.2548871</t>
  </si>
  <si>
    <t>10.1016/j.nicl.2017.02.004</t>
  </si>
  <si>
    <t>10.1109/tmi.2018.2799231</t>
  </si>
  <si>
    <t>10.1007/s11548-019-01939-9</t>
  </si>
  <si>
    <t>10.1093/ilar/ily007</t>
  </si>
  <si>
    <t>10.1038/s41598-020-69106-8</t>
  </si>
  <si>
    <t>10.1016/j.compmedimag.2018.09.008</t>
  </si>
  <si>
    <t>10.1016/j.compbiomed.2020.103774</t>
  </si>
  <si>
    <t>10.1016/j.crad.2020.01.010</t>
  </si>
  <si>
    <t>10.1109/tmi.2018.2865356</t>
  </si>
  <si>
    <t>10.1111/srt.12726</t>
  </si>
  <si>
    <t>10.1007/s10278-019-00196-1</t>
  </si>
  <si>
    <t>10.4103/jmp.JMP_101_19</t>
  </si>
  <si>
    <t>10.1002/mp.14439</t>
  </si>
  <si>
    <t>10.1007/s10916-019-1228-2</t>
  </si>
  <si>
    <t>10.1007/s10916-017-0863-8</t>
  </si>
  <si>
    <t>10.2174/1573405615666191219100824</t>
  </si>
  <si>
    <t>10.1371/journal.pone.0183838</t>
  </si>
  <si>
    <t>10.1109/embc44109.2020.9175730</t>
  </si>
  <si>
    <t>10.1109/jbhi.2019.2895855</t>
  </si>
  <si>
    <t>10.1016/j.media.2019.06.005</t>
  </si>
  <si>
    <t>10.1109/tmi.2020.2971258</t>
  </si>
  <si>
    <t>10.1371/journal.pone.0207982</t>
  </si>
  <si>
    <t>10.1186/s13014-019-1392-z</t>
  </si>
  <si>
    <t>10.3348/kjr.2018.19.3.526</t>
  </si>
  <si>
    <t>10.3348/kjr.2020.0237</t>
  </si>
  <si>
    <t>10.11406/rinketsu.61.549</t>
  </si>
  <si>
    <t>10.1007/s00330-019-06170-3</t>
  </si>
  <si>
    <t>10.3390/biom9110673</t>
  </si>
  <si>
    <t>10.1038/s41598-018-37359-z</t>
  </si>
  <si>
    <t>10.1002/cncr.32790</t>
  </si>
  <si>
    <t>10.1002/mrm.27420</t>
  </si>
  <si>
    <t>10.1242/dmm.040188</t>
  </si>
  <si>
    <t>10.1007/s10278-018-0093-8</t>
  </si>
  <si>
    <t>10.1016/j.jstrokecerebrovasdis.2020.105322</t>
  </si>
  <si>
    <t>10.1148/radiol.2019182622</t>
  </si>
  <si>
    <t>10.1016/j.cmpb.2018.01.006</t>
  </si>
  <si>
    <t>10.1016/j.media.2018.11.008</t>
  </si>
  <si>
    <t>10.1016/j.jchemneu.2018.12.010</t>
  </si>
  <si>
    <t>10.1016/j.media.2019.02.007</t>
  </si>
  <si>
    <t>10.1016/j.ijmedinf.2018.06.003</t>
  </si>
  <si>
    <t>10.1016/j.cmpb.2020.105584</t>
  </si>
  <si>
    <t>10.3390/s19061265</t>
  </si>
  <si>
    <t>10.1097/ijg.0000000000001319</t>
  </si>
  <si>
    <t>10.1186/s12859-020-03885-9</t>
  </si>
  <si>
    <t>10.1186/s12859-020-03809-7</t>
  </si>
  <si>
    <t>10.1186/s12859-019-2926-y</t>
  </si>
  <si>
    <t>10.1002/mp.12752</t>
  </si>
  <si>
    <t>10.1371/journal.pone.0242899</t>
  </si>
  <si>
    <t>10.7150/ijms.46684</t>
  </si>
  <si>
    <t>10.2174/1573405616666201123120417</t>
  </si>
  <si>
    <t>10.3233/xst-200720</t>
  </si>
  <si>
    <t>10.1109/mpul.2018.2866356</t>
  </si>
  <si>
    <t>10.1109/tmi.2016.2528120</t>
  </si>
  <si>
    <t>10.1016/j.dib.2019.104863</t>
  </si>
  <si>
    <t>10.1007/s00330-019-06417-z</t>
  </si>
  <si>
    <t>10.1016/j.media.2020.101771</t>
  </si>
  <si>
    <t>10.1016/j.media.2020.101900</t>
  </si>
  <si>
    <t>10.1038/s41598-020-59413-5</t>
  </si>
  <si>
    <t>10.1021/acs.analchem.9b03395</t>
  </si>
  <si>
    <t>10.1007/s10278-018-0160-1</t>
  </si>
  <si>
    <t>10.1016/j.compmedimag.2019.05.007</t>
  </si>
  <si>
    <t>10.1186/s12859-018-2375-z</t>
  </si>
  <si>
    <t>10.1097/md.0000000000023568</t>
  </si>
  <si>
    <t>10.1016/j.cmpb.2018.05.027</t>
  </si>
  <si>
    <t>10.1016/j.cmpb.2018.01.017</t>
  </si>
  <si>
    <t>10.1109/embc.2017.8037053</t>
  </si>
  <si>
    <t>10.1109/embc44109.2020.9176073</t>
  </si>
  <si>
    <t>10.3390/s20051516</t>
  </si>
  <si>
    <t>10.1117/1.Jmi.6.1.014006</t>
  </si>
  <si>
    <t>10.1007/s10278-019-00182-7</t>
  </si>
  <si>
    <t>10.1007/s11517-019-02066-y</t>
  </si>
  <si>
    <t>10.1007/s11548-019-01981-7</t>
  </si>
  <si>
    <t>10.1007/s11548-019-01934-0</t>
  </si>
  <si>
    <t>10.1007/s11548-020-02221-z</t>
  </si>
  <si>
    <t>10.1016/j.cmpb.2020.105823</t>
  </si>
  <si>
    <t>10.1016/j.media.2018.11.009</t>
  </si>
  <si>
    <t>10.1109/embc44109.2020.9175436</t>
  </si>
  <si>
    <t>10.1109/tuffc.2020.3015081</t>
  </si>
  <si>
    <t>10.1109/embc44109.2020.9175353</t>
  </si>
  <si>
    <t>10.1016/j.jneumeth.2017.12.011</t>
  </si>
  <si>
    <t>10.1016/j.compbiomed.2020.104037</t>
  </si>
  <si>
    <t>10.1109/embc.2019.8857468</t>
  </si>
  <si>
    <t>10.1016/j.media.2018.05.010</t>
  </si>
  <si>
    <t>10.1136/rmdopen-2018-000891</t>
  </si>
  <si>
    <t>10.1002/mrm.27786</t>
  </si>
  <si>
    <t>10.1016/j.media.2020.101756</t>
  </si>
  <si>
    <t>10.1016/j.cmpb.2019.105268</t>
  </si>
  <si>
    <t>10.1016/j.neunet.2020.07.010</t>
  </si>
  <si>
    <t>10.1148/radiol.2018180921</t>
  </si>
  <si>
    <t>10.1109/tmi.2016.2570123</t>
  </si>
  <si>
    <t>10.1109/tmi.2016.2535865</t>
  </si>
  <si>
    <t>10.1142/s0129065718500090</t>
  </si>
  <si>
    <t>10.1371/journal.pone.0203726</t>
  </si>
  <si>
    <t>10.1038/s41598-019-41500-x</t>
  </si>
  <si>
    <t>10.1007/s40846-020-00529-4</t>
  </si>
  <si>
    <t>10.1007/s13246-020-00865-4</t>
  </si>
  <si>
    <t>10.1967/s002449912101</t>
  </si>
  <si>
    <t>10.1088/1361-6560/abb02c</t>
  </si>
  <si>
    <t>10.1007/s00259-019-04380-x</t>
  </si>
  <si>
    <t>10.1016/j.media.2020.101715</t>
  </si>
  <si>
    <t>10.1167/iovs.18-25634</t>
  </si>
  <si>
    <t>10.1016/j.compbiomed.2020.103795</t>
  </si>
  <si>
    <t>10.1038/s41591-019-0447-x</t>
  </si>
  <si>
    <t>10.1002/mp.13886</t>
  </si>
  <si>
    <t>10.1016/j.media.2019.05.010</t>
  </si>
  <si>
    <t>10.1016/j.cmpb.2015.12.014</t>
  </si>
  <si>
    <t>10.1016/j.oooo.2018.10.002</t>
  </si>
  <si>
    <t>10.1007/s11282-019-00391-4</t>
  </si>
  <si>
    <t>10.1016/j.oooo.2019.05.014</t>
  </si>
  <si>
    <t>10.1967/s002449911053</t>
  </si>
  <si>
    <t>10.1007/s11517-020-02150-8</t>
  </si>
  <si>
    <t>10.3390/jcm8091446</t>
  </si>
  <si>
    <t>10.2174/1573405616666201118122908</t>
  </si>
  <si>
    <t>10.1371/journal.pone.0210706</t>
  </si>
  <si>
    <t>10.1016/j.ajo.2018.10.007</t>
  </si>
  <si>
    <t>10.1016/j.ophtha.2016.05.029</t>
  </si>
  <si>
    <t>10.1016/j.neuroimage.2019.05.049</t>
  </si>
  <si>
    <t>10.1016/j.morpho.2019.09.002</t>
  </si>
  <si>
    <t>10.1155/2019/3591314</t>
  </si>
  <si>
    <t>10.1155/2020/9843275</t>
  </si>
  <si>
    <t>10.1007/s12021-019-09417-y</t>
  </si>
  <si>
    <t>10.5137/1019-5149.Jtn.27106-19.2</t>
  </si>
  <si>
    <t>10.1016/j.nicl.2019.102085</t>
  </si>
  <si>
    <t>10.1016/j.media.2019.05.006</t>
  </si>
  <si>
    <t>10.1111/jce.13889</t>
  </si>
  <si>
    <t>10.1038/s41598-017-12320-8</t>
  </si>
  <si>
    <t>10.1007/s11548-018-1836-1</t>
  </si>
  <si>
    <t>10.1093/bioinformatics/btaa154</t>
  </si>
  <si>
    <t>10.2214/ajr.18.20771</t>
  </si>
  <si>
    <t>10.1016/j.media.2016.01.005</t>
  </si>
  <si>
    <t>10.1002/mrm.26631</t>
  </si>
  <si>
    <t>10.3390/s19071556</t>
  </si>
  <si>
    <t>10.1007/s11548-018-1702-1</t>
  </si>
  <si>
    <t>10.3390/molecules24061181</t>
  </si>
  <si>
    <t>10.4251/wjgo.v11.i12.1218</t>
  </si>
  <si>
    <t>10.1109/embc44109.2020.9175360</t>
  </si>
  <si>
    <t>10.1109/tmi.2018.2849959</t>
  </si>
  <si>
    <t>10.1007/s11548-017-1627-0</t>
  </si>
  <si>
    <t>10.1007/s11548-016-1395-2</t>
  </si>
  <si>
    <t>10.1007/s11548-017-1573-x</t>
  </si>
  <si>
    <t>10.1007/s11548-018-1749-z</t>
  </si>
  <si>
    <t>10.1016/j.neuron.2020.09.040</t>
  </si>
  <si>
    <t>10.1002/mp.13896</t>
  </si>
  <si>
    <t>10.1161/strokeaha.118.024124</t>
  </si>
  <si>
    <t>10.1016/j.jocn.2019.10.003</t>
  </si>
  <si>
    <t>10.1016/j.cmpb.2019.105119</t>
  </si>
  <si>
    <t>10.1038/s41598-018-36047-2</t>
  </si>
  <si>
    <t>10.1038/s41598-020-68980-6</t>
  </si>
  <si>
    <t>10.1038/s41598-019-53461-2</t>
  </si>
  <si>
    <t>10.1111/bju.14985</t>
  </si>
  <si>
    <t>10.1016/j.acra.2019.08.014</t>
  </si>
  <si>
    <t>10.1002/uog.20168</t>
  </si>
  <si>
    <t>10.1002/mrm.27680</t>
  </si>
  <si>
    <t>10.1186/s12968-018-0471-x</t>
  </si>
  <si>
    <t>10.2174/1573405615666190129120449</t>
  </si>
  <si>
    <t>10.1186/s12911-019-0842-8</t>
  </si>
  <si>
    <t>10.1038/s41467-020-18441-5</t>
  </si>
  <si>
    <t>10.1093/jamia/ocaa017</t>
  </si>
  <si>
    <t>10.1093/jamia/ocaa118</t>
  </si>
  <si>
    <t>10.1088/1361-6560/aaf11c</t>
  </si>
  <si>
    <t>10.1016/j.neunet.2020.03.007</t>
  </si>
  <si>
    <t>10.1038/s41598-019-54707-9</t>
  </si>
  <si>
    <t>10.1016/j.cmpb.2018.01.007</t>
  </si>
  <si>
    <t>10.1016/j.jbi.2019.103137</t>
  </si>
  <si>
    <t>10.1016/j.compmedimag.2017.05.002</t>
  </si>
  <si>
    <t>10.1038/s41598-020-72359-y</t>
  </si>
  <si>
    <t>10.1016/j.artmed.2018.11.004</t>
  </si>
  <si>
    <t>10.1093/neuonc/noz199</t>
  </si>
  <si>
    <t>10.1016/j.neuroimage.2018.05.037</t>
  </si>
  <si>
    <t>10.1186/s12917-018-1638-2</t>
  </si>
  <si>
    <t>10.1002/jmri.26723</t>
  </si>
  <si>
    <t>10.1109/tmi.2019.2906853</t>
  </si>
  <si>
    <t>10.1109/tip.2018.2829263</t>
  </si>
  <si>
    <t>10.1007/s11548-020-02203-1</t>
  </si>
  <si>
    <t>10.3389/fninf.2018.00082</t>
  </si>
  <si>
    <t>10.1055/a-1008-9400</t>
  </si>
  <si>
    <t>10.1016/j.nicl.2018.101645</t>
  </si>
  <si>
    <t>10.1186/s41747-020-00159-0</t>
  </si>
  <si>
    <t>10.1016/j.trci.2019.10.001</t>
  </si>
  <si>
    <t>10.1093/brain/awaa160</t>
  </si>
  <si>
    <t>10.1371/journal.pone.0232573</t>
  </si>
  <si>
    <t>10.1016/j.jcmg.2019.08.025</t>
  </si>
  <si>
    <t>10.1016/j.compmedimag.2020.101699</t>
  </si>
  <si>
    <t>10.5588/ijtld.17.0520</t>
  </si>
  <si>
    <t>10.1097/rli.0000000000000358</t>
  </si>
  <si>
    <t>10.1259/bjr.20170576</t>
  </si>
  <si>
    <t>10.1109/embc44109.2020.9175846</t>
  </si>
  <si>
    <t>10.1109/embc.2019.8857218</t>
  </si>
  <si>
    <t>10.1016/j.cmpb.2019.105162</t>
  </si>
  <si>
    <t>10.1016/j.compbiomed.2017.05.018</t>
  </si>
  <si>
    <t>10.1016/s2589-7500(19)30004-4</t>
  </si>
  <si>
    <t>10.1128/aem.01835-18</t>
  </si>
  <si>
    <t>10.1038/s42256-019-0019-2</t>
  </si>
  <si>
    <t>10.1016/j.ophtha.2020.01.052</t>
  </si>
  <si>
    <t>10.1016/j.acra.2017.06.008</t>
  </si>
  <si>
    <t>10.1007/s11548-020-02178-z</t>
  </si>
  <si>
    <t>10.1016/j.jcct.2020.01.002</t>
  </si>
  <si>
    <t>10.1038/s41467-020-18952-1</t>
  </si>
  <si>
    <t>10.1016/j.mri.2019.06.018</t>
  </si>
  <si>
    <t>10.1109/tmi.2018.2837502</t>
  </si>
  <si>
    <t>10.1093/gigascience/giz056</t>
  </si>
  <si>
    <t>10.2967/jnumed.118.213538</t>
  </si>
  <si>
    <t>10.1186/s12911-019-0988-4</t>
  </si>
  <si>
    <t>10.1016/j.jflm.2019.01.004</t>
  </si>
  <si>
    <t>10.5606/ehc.2020.75300</t>
  </si>
  <si>
    <t>10.5606/ehc.2020.72163</t>
  </si>
  <si>
    <t>10.1016/j.scs.2020.102589</t>
  </si>
  <si>
    <t>10.1016/j.media.2020.101732</t>
  </si>
  <si>
    <t>10.1155/2020/6648574</t>
  </si>
  <si>
    <t>10.1371/journal.pmed.1002699</t>
  </si>
  <si>
    <t>10.1109/tmi.2020.2964499</t>
  </si>
  <si>
    <t>10.1002/mrm.27813</t>
  </si>
  <si>
    <t>10.1002/ana.25839</t>
  </si>
  <si>
    <t>10.1016/j.compbiomed.2018.05.014</t>
  </si>
  <si>
    <t>10.1016/j.cmpb.2017.12.016</t>
  </si>
  <si>
    <t>10.1007/s11517-018-1897-x</t>
  </si>
  <si>
    <t>10.1002/mrm.27706</t>
  </si>
  <si>
    <t>10.1038/s41597-020-00706-9</t>
  </si>
  <si>
    <t>10.1371/journal.pcbi.1006269</t>
  </si>
  <si>
    <t>10.1111/bju.15035</t>
  </si>
  <si>
    <t>10.1002/jum.15413</t>
  </si>
  <si>
    <t>10.1007/s00330-019-06630-w</t>
  </si>
  <si>
    <t>10.1007/s11548-019-02089-8</t>
  </si>
  <si>
    <t>10.1016/j.media.2020.101822</t>
  </si>
  <si>
    <t>10.1007/s11548-018-1888-2</t>
  </si>
  <si>
    <t>10.1016/j.ejrad.2020.108925</t>
  </si>
  <si>
    <t>10.1007/s13244-018-0669-3</t>
  </si>
  <si>
    <t>10.1088/1361-6560/ab6f99</t>
  </si>
  <si>
    <t>10.1038/s41598-020-61297-4</t>
  </si>
  <si>
    <t>10.1109/tmi.2019.2901398</t>
  </si>
  <si>
    <t>10.3389/fnagi.2019.00194</t>
  </si>
  <si>
    <t>10.1111/vru.12912</t>
  </si>
  <si>
    <t>10.1016/j.zemedi.2019.01.001</t>
  </si>
  <si>
    <t>10.1016/j.neuroimage.2019.03.060</t>
  </si>
  <si>
    <t>10.1002/jor.24617</t>
  </si>
  <si>
    <t>10.1016/j.fertnstert.2019.12.004</t>
  </si>
  <si>
    <t>10.1007/s10554-020-01935-0</t>
  </si>
  <si>
    <t>10.1186/s13014-020-01514-6</t>
  </si>
  <si>
    <t>10.1161/circimaging.119.009063</t>
  </si>
  <si>
    <t>10.1091/mbc.E17-06-0368</t>
  </si>
  <si>
    <t>10.1038/s41598-020-66158-8</t>
  </si>
  <si>
    <t>10.1016/j.jacr.2019.02.037</t>
  </si>
  <si>
    <t>10.1186/s12968-018-0509-0</t>
  </si>
  <si>
    <t>10.3390/s20113085</t>
  </si>
  <si>
    <t>10.1007/s11548-018-1779-6</t>
  </si>
  <si>
    <t>10.1038/s41592-018-0194-9</t>
  </si>
  <si>
    <t>10.1038/s41598-020-70479-z</t>
  </si>
  <si>
    <t>10.1016/j.compbiomed.2020.103735</t>
  </si>
  <si>
    <t>10.1109/jbhi.2020.3012383</t>
  </si>
  <si>
    <t>10.3389/fmed.2020.00027</t>
  </si>
  <si>
    <t>10.1016/j.ejca.2019.05.023</t>
  </si>
  <si>
    <t>10.1016/j.ejca.2019.02.005</t>
  </si>
  <si>
    <t>10.1016/j.ejca.2019.04.001</t>
  </si>
  <si>
    <t>10.1371/journal.pone.0218713</t>
  </si>
  <si>
    <t>10.1007/978-3-642-40763-5_78</t>
  </si>
  <si>
    <t>10.1162/NECO_a_00682</t>
  </si>
  <si>
    <t>10.1007/978-3-319-10470-6_58</t>
  </si>
  <si>
    <t>10.1001/jamaophthalmol.2018.1934</t>
  </si>
  <si>
    <t>10.1016/j.cmpb.2020.105608</t>
  </si>
  <si>
    <t>10.3389/fnins.2020.00015</t>
  </si>
  <si>
    <t>10.1148/radiol.2019181343</t>
  </si>
  <si>
    <t>10.1016/j.mehy.2019.109431</t>
  </si>
  <si>
    <t>10.1038/nmeth.4182</t>
  </si>
  <si>
    <t>10.1016/j.artmed.2019.04.005</t>
  </si>
  <si>
    <t>10.1016/s1470-2045(19)30739-9</t>
  </si>
  <si>
    <t>10.1093/bib/bbaa310</t>
  </si>
  <si>
    <t>10.1038/s41598-020-67076-5</t>
  </si>
  <si>
    <t>10.1038/s41598-019-38576-w</t>
  </si>
  <si>
    <t>10.1371/journal.pone.0184059</t>
  </si>
  <si>
    <t>10.1016/j.compbiomed.2018.12.006</t>
  </si>
  <si>
    <t>10.1016/j.compbiomed.2017.01.018</t>
  </si>
  <si>
    <t>10.1016/j.acra.2019.03.011</t>
  </si>
  <si>
    <t>10.1016/j.tvjl.2020.105505</t>
  </si>
  <si>
    <t>10.1038/s41598-020-69857-4</t>
  </si>
  <si>
    <t>10.1038/s41598-018-21758-3</t>
  </si>
  <si>
    <t>10.1002/mp.13361</t>
  </si>
  <si>
    <t>10.1007/s11548-018-1843-2</t>
  </si>
  <si>
    <t>10.1136/gutjnl-2017-314547</t>
  </si>
  <si>
    <t>10.1109/embc44109.2020.9176184</t>
  </si>
  <si>
    <t>10.1002/mrm.27205</t>
  </si>
  <si>
    <t>10.1155/2019/2717454</t>
  </si>
  <si>
    <t>10.1186/s12880-020-00521-z</t>
  </si>
  <si>
    <t>10.1016/j.gie.2019.06.044</t>
  </si>
  <si>
    <t>10.1371/journal.pone.0197992</t>
  </si>
  <si>
    <t>10.1038/s41592-019-0612-7</t>
  </si>
  <si>
    <t>10.1002/cyto.a.23863</t>
  </si>
  <si>
    <t>10.1038/s41598-020-68857-8</t>
  </si>
  <si>
    <t>10.3233/xst-190545</t>
  </si>
  <si>
    <t>10.1186/s13742-014-0042-5</t>
  </si>
  <si>
    <t>10.1109/embc44109.2020.9176664</t>
  </si>
  <si>
    <t>10.1016/j.compmedimag.2017.09.001</t>
  </si>
  <si>
    <t>10.1016/j.neuroimage.2019.116316</t>
  </si>
  <si>
    <t>10.1109/tmi.2020.2965486</t>
  </si>
  <si>
    <t>10.1109/isbi.2019.8759474</t>
  </si>
  <si>
    <t>10.1038/s41467-020-19863-x</t>
  </si>
  <si>
    <t>10.1016/j.ejrad.2019.108713</t>
  </si>
  <si>
    <t>10.1016/j.mri.2020.03.009</t>
  </si>
  <si>
    <t>10.1109/embc44109.2020.9175777</t>
  </si>
  <si>
    <t>10.1002/jum.15070</t>
  </si>
  <si>
    <t>10.1109/tnb.2018.2840084</t>
  </si>
  <si>
    <t>10.1109/tbme.2018.2822826</t>
  </si>
  <si>
    <t>10.4137/cin.S14053</t>
  </si>
  <si>
    <t>10.1088/1361-6560/abca53</t>
  </si>
  <si>
    <t>10.1186/s12880-019-0349-x</t>
  </si>
  <si>
    <t>10.1002/mp.13966</t>
  </si>
  <si>
    <t>10.3390/cancers12092453</t>
  </si>
  <si>
    <t>10.1001/jama.2018.13316</t>
  </si>
  <si>
    <t>10.1002/emp2.12297</t>
  </si>
  <si>
    <t>10.1109/tmi.2017.2751523</t>
  </si>
  <si>
    <t>10.1109/tpami.2013.96</t>
  </si>
  <si>
    <t>10.1109/tip.2011.2169273</t>
  </si>
  <si>
    <t>10.1016/j.media.2020.101653</t>
  </si>
  <si>
    <t>10.1016/j.jacr.2018.10.020</t>
  </si>
  <si>
    <t>10.1200/cci.18.00133</t>
  </si>
  <si>
    <t>10.1177/0022034519871884</t>
  </si>
  <si>
    <t>10.1007/s11548-018-1895-3</t>
  </si>
  <si>
    <t>10.1007/s10439-019-02424-9</t>
  </si>
  <si>
    <t>10.1016/j.compmedimag.2020.101718</t>
  </si>
  <si>
    <t>10.1148/radiol.2018182573</t>
  </si>
  <si>
    <t>10.1088/1361-6560/abb0f8</t>
  </si>
  <si>
    <t>10.1038/s41598-018-27569-w</t>
  </si>
  <si>
    <t>10.1002/rcs.1947</t>
  </si>
  <si>
    <t>10.1016/j.neuroimage.2018.05.049</t>
  </si>
  <si>
    <t>10.1038/s41598-017-09315-w</t>
  </si>
  <si>
    <t>10.1118/1.4944498</t>
  </si>
  <si>
    <t>10.1016/j.acra.2018.10.010</t>
  </si>
  <si>
    <t>10.1097/rti.0000000000000388</t>
  </si>
  <si>
    <t>10.1016/j.acra.2019.05.018</t>
  </si>
  <si>
    <t>10.1016/j.media.2020.101934</t>
  </si>
  <si>
    <t>10.1109/tpami.2020.3003846</t>
  </si>
  <si>
    <t>10.1109/jbhi.2018.2852635</t>
  </si>
  <si>
    <t>10.1109/embc.2018.8512371</t>
  </si>
  <si>
    <t>10.1002/mp.13495</t>
  </si>
  <si>
    <t>10.1259/bjr.20180416</t>
  </si>
  <si>
    <t>10.1007/s00330-020-06658-3</t>
  </si>
  <si>
    <t>10.1109/tpami.2017.2656884</t>
  </si>
  <si>
    <t>10.1016/j.ajo.2020.03.027</t>
  </si>
  <si>
    <t>10.1158/1078-0432.Ccr-17-2236</t>
  </si>
  <si>
    <t>10.1093/jamia/ocy017</t>
  </si>
  <si>
    <t>10.1093/neuonc/noz106</t>
  </si>
  <si>
    <t>10.3174/ajnr.A5742</t>
  </si>
  <si>
    <t>10.1148/radiol.2018182557</t>
  </si>
  <si>
    <t>10.1148/radiol.2019190385</t>
  </si>
  <si>
    <t>10.1099/mic.0.000617</t>
  </si>
  <si>
    <t>10.1038/s41598-020-73339-y</t>
  </si>
  <si>
    <t>10.1016/j.compbiomed.2018.02.004</t>
  </si>
  <si>
    <t>10.1016/j.media.2020.101860</t>
  </si>
  <si>
    <t>10.1002/mrm.27178</t>
  </si>
  <si>
    <t>10.1177/0954411919871123</t>
  </si>
  <si>
    <t>10.1148/radiol.2020192793</t>
  </si>
  <si>
    <t>10.1109/jbhi.2017.2785389</t>
  </si>
  <si>
    <t>10.1148/radiol.2018180445</t>
  </si>
  <si>
    <t>10.1007/s11517-019-01976-1</t>
  </si>
  <si>
    <t>10.1088/1361-6560/ab9f60</t>
  </si>
  <si>
    <t>10.1109/embc44109.2020.9175816</t>
  </si>
  <si>
    <t>10.1038/s41598-019-40414-y</t>
  </si>
  <si>
    <t>10.1109/tmi.2018.2805692</t>
  </si>
  <si>
    <t>10.1109/tmi.2017.2715284</t>
  </si>
  <si>
    <t>10.1002/mp.14545</t>
  </si>
  <si>
    <t>10.1016/j.cmpb.2020.105878</t>
  </si>
  <si>
    <t>10.1038/s41598-020-76282-0</t>
  </si>
  <si>
    <t>10.1148/radiol.2018180940</t>
  </si>
  <si>
    <t>10.1109/embc44109.2020.9176120</t>
  </si>
  <si>
    <t>10.1016/j.media.2019.101539</t>
  </si>
  <si>
    <t>10.1016/j.nicl.2017.06.016</t>
  </si>
  <si>
    <t>10.1002/mp.13978</t>
  </si>
  <si>
    <t>10.1088/1361-6560/ab0b64</t>
  </si>
  <si>
    <t>10.1016/j.artmed.2020.101857</t>
  </si>
  <si>
    <t>10.3969/j.issn.1671-7104.2019.04.006</t>
  </si>
  <si>
    <t>10.1088/1361-6560/ab083a</t>
  </si>
  <si>
    <t>10.1259/bjr.20191028</t>
  </si>
  <si>
    <t>10.1148/radiol.2017171115</t>
  </si>
  <si>
    <t>10.1053/j.gastro.2017.10.010</t>
  </si>
  <si>
    <t>10.1177/1533033819858363</t>
  </si>
  <si>
    <t>10.3389/fnins.2020.00557</t>
  </si>
  <si>
    <t>10.1002/mp.13247</t>
  </si>
  <si>
    <t>10.1002/mp.13950</t>
  </si>
  <si>
    <t>10.1007/s00330-020-06870-1</t>
  </si>
  <si>
    <t>10.1002/jum.14995</t>
  </si>
  <si>
    <t>10.1155/2020/9258649</t>
  </si>
  <si>
    <t>10.1016/j.neuroimage.2019.116329</t>
  </si>
  <si>
    <t>10.1109/tmi.2019.2927289</t>
  </si>
  <si>
    <t>10.1200/cci.19.00068</t>
  </si>
  <si>
    <t>10.1016/j.media.2020.101819</t>
  </si>
  <si>
    <t>10.1016/j.artmed.2019.101786</t>
  </si>
  <si>
    <t>10.1007/s10278-018-0146-z</t>
  </si>
  <si>
    <t>10.1007/s11548-020-02117-y</t>
  </si>
  <si>
    <t>10.1186/s13244-020-00932-0</t>
  </si>
  <si>
    <t>10.1007/s00330-019-06167-y</t>
  </si>
  <si>
    <t>10.1109/tmi.2018.2838550</t>
  </si>
  <si>
    <t>10.1038/srep24454</t>
  </si>
  <si>
    <t>10.1007/s10278-016-9929-2</t>
  </si>
  <si>
    <t>10.1007/s00261-017-1294-1</t>
  </si>
  <si>
    <t>10.2214/ajr.18.20362</t>
  </si>
  <si>
    <t>10.3390/ijerph16111876</t>
  </si>
  <si>
    <t>10.22608/apo.201976</t>
  </si>
  <si>
    <t>10.1007/s10278-017-9997-y</t>
  </si>
  <si>
    <t>10.1088/1361-6560/abc363</t>
  </si>
  <si>
    <t>10.1097/md.0000000000015200</t>
  </si>
  <si>
    <t>10.1088/1741-2552/aaaf82</t>
  </si>
  <si>
    <t>10.1016/s0140-6736(18)31645-3</t>
  </si>
  <si>
    <t>10.3390/s18041055</t>
  </si>
  <si>
    <t>10.1007/s10278-018-00172-1</t>
  </si>
  <si>
    <t>10.1093/neuonc/noaa232</t>
  </si>
  <si>
    <t>10.1016/j.jvoice.2020.08.003</t>
  </si>
  <si>
    <t>10.1038/s41598-020-63887-8</t>
  </si>
  <si>
    <t>10.1148/radiol.2019181960</t>
  </si>
  <si>
    <t>10.1016/j.nicl.2017.09.010</t>
  </si>
  <si>
    <t>10.1016/j.ebiom.2019.04.022</t>
  </si>
  <si>
    <t>10.1016/j.jneumeth.2016.10.007</t>
  </si>
  <si>
    <t>10.1016/j.bbr.2018.02.017</t>
  </si>
  <si>
    <t>10.2967/jnumed.117.199414</t>
  </si>
  <si>
    <t>10.1088/1361-6560/ab857c</t>
  </si>
  <si>
    <t>10.3348/kjr.2018.0530</t>
  </si>
  <si>
    <t>10.1097/rli.0000000000000615</t>
  </si>
  <si>
    <t>10.1371/journal.pone.0187336</t>
  </si>
  <si>
    <t>10.1109/embc44109.2020.9176265</t>
  </si>
  <si>
    <t>10.1109/embc.2019.8857572</t>
  </si>
  <si>
    <t>10.1148/radiol.2018180763</t>
  </si>
  <si>
    <t>10.1093/neuonc/noz095</t>
  </si>
  <si>
    <t>10.1148/radiol.2020192763</t>
  </si>
  <si>
    <t>10.1016/j.ejrad.2020.109031</t>
  </si>
  <si>
    <t>10.1055/s-0040-1702009</t>
  </si>
  <si>
    <t>10.1016/j.cmpb.2018.01.011</t>
  </si>
  <si>
    <t>10.1097/rli.0000000000000574</t>
  </si>
  <si>
    <t>10.1016/j.cell.2018.03.040</t>
  </si>
  <si>
    <t>10.1016/j.jacr.2019.05.034</t>
  </si>
  <si>
    <t>10.1002/mp.13717</t>
  </si>
  <si>
    <t>10.3390/s19071716</t>
  </si>
  <si>
    <t>10.1080/17453674.2018.1453714</t>
  </si>
  <si>
    <t>10.1038/srep46479</t>
  </si>
  <si>
    <t>10.1016/j.media.2015.08.001</t>
  </si>
  <si>
    <t>10.1259/bjr.20180691</t>
  </si>
  <si>
    <t>10.1007/s10278-020-00369-3</t>
  </si>
  <si>
    <t>10.1016/j.compbiomed.2019.103487</t>
  </si>
  <si>
    <t>10.1161/circimaging.117.007217</t>
  </si>
  <si>
    <t>10.1016/j.compbiomed.2019.103351</t>
  </si>
  <si>
    <t>10.1016/j.compbiomed.2019.01.024</t>
  </si>
  <si>
    <t>10.1109/embc44109.2020.9176628</t>
  </si>
  <si>
    <t>10.1002/mrm.27198</t>
  </si>
  <si>
    <t>10.1016/s0140-6736(18)31925-1</t>
  </si>
  <si>
    <t>10.1016/j.neuroimage.2017.07.059</t>
  </si>
  <si>
    <t>10.1109/tmi.2018.2804799</t>
  </si>
  <si>
    <t>10.1038/s41598-018-31911-7</t>
  </si>
  <si>
    <t>10.1016/j.compbiomed.2020.103928</t>
  </si>
  <si>
    <t>10.1016/j.ultrasmedbio.2019.07.413</t>
  </si>
  <si>
    <t>10.1097/mpa.0000000000001327</t>
  </si>
  <si>
    <t>10.1007/s00261-019-01929-0</t>
  </si>
  <si>
    <t>10.1016/j.cmpb.2020.105583</t>
  </si>
  <si>
    <t>10.1117/1.Jmi.7.1.016501</t>
  </si>
  <si>
    <t>10.1038/srep46450</t>
  </si>
  <si>
    <t>10.1007/978-3-642-40763-5_50</t>
  </si>
  <si>
    <t>10.3390/s20061762</t>
  </si>
  <si>
    <t>10.1007/s00259-019-04468-4</t>
  </si>
  <si>
    <t>10.1371/journal.pone.0184667</t>
  </si>
  <si>
    <t>10.1109/jbhi.2018.2882392</t>
  </si>
  <si>
    <t>10.1038/s41598-020-70629-3</t>
  </si>
  <si>
    <t>10.1016/j.cmpb.2018.12.002</t>
  </si>
  <si>
    <t>10.1186/s12859-019-3055-3</t>
  </si>
  <si>
    <t>10.1016/j.cmpb.2018.05.006</t>
  </si>
  <si>
    <t>10.1088/1361-6560/aaf09f</t>
  </si>
  <si>
    <t>10.1097/rli.0000000000000544</t>
  </si>
  <si>
    <t>10.1002/mp.12079</t>
  </si>
  <si>
    <t>10.1109/embc.2018.8512285</t>
  </si>
  <si>
    <t>10.1016/j.compmedimag.2019.101644</t>
  </si>
  <si>
    <t>10.1007/s13246-020-00888-x</t>
  </si>
  <si>
    <t>10.1016/j.ebiom.2019.04.055</t>
  </si>
  <si>
    <t>10.1155/2019/4629859</t>
  </si>
  <si>
    <t>10.1016/j.artmed.2020.101988</t>
  </si>
  <si>
    <t>10.1038/s41591-018-0107-6</t>
  </si>
  <si>
    <t>10.1016/j.media.2018.11.010</t>
  </si>
  <si>
    <t>10.1016/j.compbiomed.2019.103345</t>
  </si>
  <si>
    <t>10.1148/radiol.2019190872</t>
  </si>
  <si>
    <t>10.3390/s20030812</t>
  </si>
  <si>
    <t>10.1007/s10916-019-1289-2</t>
  </si>
  <si>
    <t>10.1038/s41592-019-0353-7</t>
  </si>
  <si>
    <t>10.1016/j.ibmed.2020.100013</t>
  </si>
  <si>
    <t>10.1167/iovs.17-22617</t>
  </si>
  <si>
    <t>10.1038/s41598-019-51062-7</t>
  </si>
  <si>
    <t>10.1016/j.compbiomed.2020.104125</t>
  </si>
  <si>
    <t>10.1016/j.mri.2019.05.041</t>
  </si>
  <si>
    <t>10.1117/1.Jmi.7.6.064501</t>
  </si>
  <si>
    <t>10.1016/j.media.2017.01.009</t>
  </si>
  <si>
    <t>10.1038/s41598-019-39206-1</t>
  </si>
  <si>
    <t>10.1093/ehjci/jey211</t>
  </si>
  <si>
    <t>10.1007/s10554-019-01671-0</t>
  </si>
  <si>
    <t>10.1186/s12880-020-00511-1</t>
  </si>
  <si>
    <t>10.1109/embc44109.2020.9175810</t>
  </si>
  <si>
    <t>10.1088/1361-6560/ab831a</t>
  </si>
  <si>
    <t>10.1148/radiol.2018180958</t>
  </si>
  <si>
    <t>10.1053/j.gastro.2019.06.025</t>
  </si>
  <si>
    <t>10.1016/j.cmpb.2020.105685</t>
  </si>
  <si>
    <t>10.1016/j.cmpb.2018.04.011</t>
  </si>
  <si>
    <t>10.1002/mp.13663</t>
  </si>
  <si>
    <t>10.1002/mp.14006</t>
  </si>
  <si>
    <t>10.1016/j.tibtech.2017.12.008</t>
  </si>
  <si>
    <t>10.1016/j.compmedimag.2016.03.003</t>
  </si>
  <si>
    <t>10.1016/j.compmedimag.2019.101660</t>
  </si>
  <si>
    <t>10.1002/mp.13240</t>
  </si>
  <si>
    <t>10.1371/journal.pone.0224426</t>
  </si>
  <si>
    <t>10.1016/j.radonc.2019.09.028</t>
  </si>
  <si>
    <t>10.1088/1361-6560/ab652c</t>
  </si>
  <si>
    <t>10.1002/mp.13458</t>
  </si>
  <si>
    <t>10.1088/1361-6560/ab4eb7</t>
  </si>
  <si>
    <t>10.1186/s40644-020-00331-0</t>
  </si>
  <si>
    <t>10.1364/boe.10.000622</t>
  </si>
  <si>
    <t>10.1016/j.media.2017.05.001</t>
  </si>
  <si>
    <t>10.1016/j.media.2020.101814</t>
  </si>
  <si>
    <t>10.1016/j.media.2020.101857</t>
  </si>
  <si>
    <t>10.1007/s00330-020-07241-6</t>
  </si>
  <si>
    <t>10.1002/uog.22122</t>
  </si>
  <si>
    <t>10.1038/s41598-020-57866-2</t>
  </si>
  <si>
    <t>10.1016/j.cmpb.2019.105308</t>
  </si>
  <si>
    <t>10.1109/embc44109.2020.9175642</t>
  </si>
  <si>
    <t>10.1109/jbhi.2018.2879188</t>
  </si>
  <si>
    <t>10.1007/s11548-020-02128-9</t>
  </si>
  <si>
    <t>10.1002/mrm.27889</t>
  </si>
  <si>
    <t>10.1109/tmi.2019.2894322</t>
  </si>
  <si>
    <t>10.1002/jbio.201800146</t>
  </si>
  <si>
    <t>10.1038/s41598-019-45484-6</t>
  </si>
  <si>
    <t>10.1016/j.media.2018.10.008</t>
  </si>
  <si>
    <t>10.1016/j.media.2020.101767</t>
  </si>
  <si>
    <t>10.1016/j.neuroimage.2018.10.026</t>
  </si>
  <si>
    <t>10.1007/s12021-019-09419-w</t>
  </si>
  <si>
    <t>10.1155/2019/5982834</t>
  </si>
  <si>
    <t>10.1038/s41598-019-54244-5</t>
  </si>
  <si>
    <t>10.3174/ajnr.A6138</t>
  </si>
  <si>
    <t>10.1016/j.mri.2020.04.004</t>
  </si>
  <si>
    <t>10.5152/dir.2020.20407</t>
  </si>
  <si>
    <t>10.1016/j.neuroimage.2018.10.033</t>
  </si>
  <si>
    <t>10.1007/978-3-030-00931-1_38</t>
  </si>
  <si>
    <t>10.1002/ppul.24431</t>
  </si>
  <si>
    <t>10.1007/s12024-017-9906-1</t>
  </si>
  <si>
    <t>10.1016/j.neuroimage.2019.116324</t>
  </si>
  <si>
    <t>10.1177/2472630320962002</t>
  </si>
  <si>
    <t>10.1186/s12938-019-0675-9</t>
  </si>
  <si>
    <t>10.1109/embc.2018.8512458</t>
  </si>
  <si>
    <t>10.1161/circimaging.119.009829</t>
  </si>
  <si>
    <t>10.1016/j.nicl.2019.102003</t>
  </si>
  <si>
    <t>10.1007/s11548-020-02209-9</t>
  </si>
  <si>
    <t>10.1080/07391102.2020.1767212</t>
  </si>
  <si>
    <t>10.1109/embc.2019.8857125</t>
  </si>
  <si>
    <t>10.1109/embc.2015.7318454</t>
  </si>
  <si>
    <t>10.1136/bmjopen-2018-028752</t>
  </si>
  <si>
    <t>10.2214/ajr.18.19974</t>
  </si>
  <si>
    <t>10.1371/journal.pone.0224445</t>
  </si>
  <si>
    <t>10.1109/access.2019.2891970</t>
  </si>
  <si>
    <t>10.1002/mrm.27201</t>
  </si>
  <si>
    <t>10.1002/mp.13994</t>
  </si>
  <si>
    <t>10.1016/j.jacr.2017.12.027</t>
  </si>
  <si>
    <t>10.6009/jjrt.2020_JSRT_76.11.1133</t>
  </si>
  <si>
    <t>10.6009/jjrt.2020_JSRT_76.11.1107</t>
  </si>
  <si>
    <t>10.1007/s11548-018-1776-9</t>
  </si>
  <si>
    <t>10.1038/s41598-020-58103-6</t>
  </si>
  <si>
    <t>10.1109/tmi.2020.2974159</t>
  </si>
  <si>
    <t>10.1007/978-3-030-00919-9_39</t>
  </si>
  <si>
    <t>10.1002/jmri.25779</t>
  </si>
  <si>
    <t>10.3389/fncom.2020.00017</t>
  </si>
  <si>
    <t>10.1038/s41598-020-69932-w</t>
  </si>
  <si>
    <t>10.1016/j.cmpb.2018.08.012</t>
  </si>
  <si>
    <t>10.1016/s2589-7500(19)30108-6</t>
  </si>
  <si>
    <t>10.1186/s12968-018-0516-1</t>
  </si>
  <si>
    <t>10.1158/0008-5472.Can-19-2268</t>
  </si>
  <si>
    <t>10.1007/s11517-019-02090-y</t>
  </si>
  <si>
    <t>10.1109/tmi.2019.2963248</t>
  </si>
  <si>
    <t>10.3174/ajnr.A6070</t>
  </si>
  <si>
    <t>10.1002/mrm.28560</t>
  </si>
  <si>
    <t>10.1002/jbio.201800488</t>
  </si>
  <si>
    <t>10.1016/j.media.2019.101545</t>
  </si>
  <si>
    <t>10.1007/978-3-030-00928-1_83</t>
  </si>
  <si>
    <t>10.1016/j.media.2019.03.006</t>
  </si>
  <si>
    <t>10.1016/j.cmpb.2019.04.006</t>
  </si>
  <si>
    <t>10.3760/cma.j.issn.0529-5815.2020.01.005</t>
  </si>
  <si>
    <t>10.1016/j.media.2018.10.012</t>
  </si>
  <si>
    <t>10.1007/s11548-020-02147-6</t>
  </si>
  <si>
    <t>10.1109/tmi.2019.2899328</t>
  </si>
  <si>
    <t>10.1007/s13239-020-00481-z</t>
  </si>
  <si>
    <t>10.1186/s12911-019-0967-9</t>
  </si>
  <si>
    <t>10.1007/s00138-020-01101-5</t>
  </si>
  <si>
    <t>10.1038/s41569-019-0205-2</t>
  </si>
  <si>
    <t>10.3390/diagnostics10100773</t>
  </si>
  <si>
    <t>10.1007/s11548-019-01937-x</t>
  </si>
  <si>
    <t>10.1109/tmi.2020.2972616</t>
  </si>
  <si>
    <t>10.1109/embc44109.2020.9175237</t>
  </si>
  <si>
    <t>10.1016/j.ejrad.2020.109022</t>
  </si>
  <si>
    <t>10.1109/embc44109.2020.9176743</t>
  </si>
  <si>
    <t>10.1016/j.mri.2020.03.001</t>
  </si>
  <si>
    <t>10.1142/s012906572050032x</t>
  </si>
  <si>
    <t>10.1088/1361-6560/ab7877</t>
  </si>
  <si>
    <t>10.1016/j.neurobiolaging.2020.02.009</t>
  </si>
  <si>
    <t>10.1002/mp.13466</t>
  </si>
  <si>
    <t>10.3389/fncom.2020.00025</t>
  </si>
  <si>
    <t>10.7507/1001-5515.202005056</t>
  </si>
  <si>
    <t>10.1109/tcbb.2018.2835444</t>
  </si>
  <si>
    <t>10.1109/tcbb.2018.2858763</t>
  </si>
  <si>
    <t>10.1109/isbi.2018.8363713</t>
  </si>
  <si>
    <t>10.1109/embc.2017.8036912</t>
  </si>
  <si>
    <t>10.1093/jas/skaa250</t>
  </si>
  <si>
    <t>10.1049/htl.2019.0086</t>
  </si>
  <si>
    <t>10.1016/j.zemedi.2020.05.001</t>
  </si>
  <si>
    <t>10.1007/s10278-019-00242-y</t>
  </si>
  <si>
    <t>10.1007/s10278-019-00226-y</t>
  </si>
  <si>
    <t>10.1109/embc44109.2020.9176613</t>
  </si>
  <si>
    <t>10.1007/s40142-019-00177-4</t>
  </si>
  <si>
    <t>10.1016/s2589-7500(20)30106-0</t>
  </si>
  <si>
    <t>10.7554/eLife.40560</t>
  </si>
  <si>
    <t>10.1016/j.compbiomed.2018.03.003</t>
  </si>
  <si>
    <t>10.1007/s10278-017-9945-x</t>
  </si>
  <si>
    <t>10.1016/j.jormas.2019.06.002</t>
  </si>
  <si>
    <t>10.1109/embc44109.2020.9175683</t>
  </si>
  <si>
    <t>10.1007/s11548-020-02151-w</t>
  </si>
  <si>
    <t>10.1073/pnas.1711673114</t>
  </si>
  <si>
    <t>10.1002/mp.13464</t>
  </si>
  <si>
    <t>10.1038/s41467-019-11012-3</t>
  </si>
  <si>
    <t>10.1016/j.ejrad.2020.108928</t>
  </si>
  <si>
    <t>10.1016/j.ajo.2019.02.028</t>
  </si>
  <si>
    <t>10.1109/tmi.2018.2791488</t>
  </si>
  <si>
    <t>10.1109/tmi.2018.2837012</t>
  </si>
  <si>
    <t>10.1002/mp.13672</t>
  </si>
  <si>
    <t>10.1088/1361-6560/ab7970</t>
  </si>
  <si>
    <t>10.1186/s12918-018-0572-z</t>
  </si>
  <si>
    <t>10.3760/cma.j.issn.0376-2491.2019.07.003</t>
  </si>
  <si>
    <t>10.1016/j.compbiomed.2018.05.015</t>
  </si>
  <si>
    <t>10.1002/mp.14065</t>
  </si>
  <si>
    <t>10.1002/mp.13221</t>
  </si>
  <si>
    <t>10.1002/mp.14397</t>
  </si>
  <si>
    <t>10.3969/j.issn.1671-7104.2020.05.009</t>
  </si>
  <si>
    <t>10.1117/1.Jmi.8.S1.014501</t>
  </si>
  <si>
    <t>10.1016/j.ejrad.2020.108936</t>
  </si>
  <si>
    <t>10.1007/s11604-019-00831-5</t>
  </si>
  <si>
    <t>10.1111/bjd.16924</t>
  </si>
  <si>
    <t>10.1097/rli.0000000000000628</t>
  </si>
  <si>
    <t>10.1016/j.oooo.2020.04.005</t>
  </si>
  <si>
    <t>10.1007/s11282-019-00409-x</t>
  </si>
  <si>
    <t>10.6009/jjrt.2020_JSRT_76.11.1152</t>
  </si>
  <si>
    <t>10.1109/tpami.2018.2835450</t>
  </si>
  <si>
    <t>10.1016/s2213-2600(17)30292-8</t>
  </si>
  <si>
    <t>10.1093/rpd/ncz012</t>
  </si>
  <si>
    <t>10.1109/embc.2019.8857493</t>
  </si>
  <si>
    <t>10.1016/j.compbiomed.2018.04.020</t>
  </si>
  <si>
    <t>10.1007/s00586-019-05944-z</t>
  </si>
  <si>
    <t>10.1002/mp.13890</t>
  </si>
  <si>
    <t>10.3390/s19163583</t>
  </si>
  <si>
    <t>10.1080/17453674.2019.1600125</t>
  </si>
  <si>
    <t>10.1016/j.media.2019.101551</t>
  </si>
  <si>
    <t>10.1016/j.artmed.2018.04.005</t>
  </si>
  <si>
    <t>10.1259/bjr.20190057</t>
  </si>
  <si>
    <t>10.1109/jbhi.2019.2912659</t>
  </si>
  <si>
    <t>10.1016/j.compmedimag.2018.09.004</t>
  </si>
  <si>
    <t>10.1016/j.nicl.2020.102290</t>
  </si>
  <si>
    <t>10.2174/1386207323666200714002459</t>
  </si>
  <si>
    <t>10.1016/j.cmpb.2019.04.027</t>
  </si>
  <si>
    <t>10.1016/j.jbi.2020.103442</t>
  </si>
  <si>
    <t>10.1016/j.artmed.2020.101935</t>
  </si>
  <si>
    <t>10.1007/s11548-019-02070-5</t>
  </si>
  <si>
    <t>10.1016/j.cmpb.2016.10.007</t>
  </si>
  <si>
    <t>10.1021/acs.molpharmaceut.7b00875</t>
  </si>
  <si>
    <t>10.1109/jbhi.2019.2940695</t>
  </si>
  <si>
    <t>10.1097/cm9.0000000000000532</t>
  </si>
  <si>
    <t>10.1016/j.media.2020.101834</t>
  </si>
  <si>
    <t>10.1007/s11517-018-1835-y</t>
  </si>
  <si>
    <t>10.2196/14464</t>
  </si>
  <si>
    <t>10.1117/1.Jbo.25.11.112906</t>
  </si>
  <si>
    <t>10.1016/j.ophtha.2017.02.008</t>
  </si>
  <si>
    <t>10.1002/mp.13521</t>
  </si>
  <si>
    <t>10.1016/j.neunet.2019.12.001</t>
  </si>
  <si>
    <t>10.1109/embc.2018.8513556</t>
  </si>
  <si>
    <t>10.1515/bmt-2018-0244</t>
  </si>
  <si>
    <t>10.1080/24699322.2019.1649069</t>
  </si>
  <si>
    <t>10.1109/tmi.2018.2858202</t>
  </si>
  <si>
    <t>10.3390/cancers13010011</t>
  </si>
  <si>
    <t>10.1016/j.radonc.2018.04.011</t>
  </si>
  <si>
    <t>10.3390/cancers12071806</t>
  </si>
  <si>
    <t>10.1007/s11548-019-02004-1</t>
  </si>
  <si>
    <t>10.1109/tmi.2018.2865659</t>
  </si>
  <si>
    <t>10.1007/s11548-019-02006-z</t>
  </si>
  <si>
    <t>10.1016/j.media.2018.03.002</t>
  </si>
  <si>
    <t>10.1109/tbme.2019.2915839</t>
  </si>
  <si>
    <t>10.1098/rsfs.2019.0122</t>
  </si>
  <si>
    <t>10.1016/j.nicl.2017.01.033</t>
  </si>
  <si>
    <t>10.1088/1741-2552/aa6802</t>
  </si>
  <si>
    <t>10.1002/mp.13599</t>
  </si>
  <si>
    <t>10.1117/1.Jmi.6.2.027501</t>
  </si>
  <si>
    <t>10.1016/j.media.2018.06.007</t>
  </si>
  <si>
    <t>10.1109/tmi.2016.2538802</t>
  </si>
  <si>
    <t>10.1002/mrm.27568</t>
  </si>
  <si>
    <t>10.1109/tmi.2018.2806309</t>
  </si>
  <si>
    <t>10.1016/j.cmpb.2018.01.025</t>
  </si>
  <si>
    <t>10.1212/wnl.0000000000009728</t>
  </si>
  <si>
    <t>10.1007/s11548-020-02286-w</t>
  </si>
  <si>
    <t>10.1007/s00234-019-02330-w</t>
  </si>
  <si>
    <t>10.1016/j.neuroimage.2019.02.060</t>
  </si>
  <si>
    <t>10.1007/s11548-020-02231-x</t>
  </si>
  <si>
    <t>10.1088/1361-6560/ab4e3e</t>
  </si>
  <si>
    <t>10.1111/epi.14528</t>
  </si>
  <si>
    <t>10.1002/cnm.3225</t>
  </si>
  <si>
    <t>10.1002/jmri.26658</t>
  </si>
  <si>
    <t>10.1007/s40135-020-00240-2</t>
  </si>
  <si>
    <t>10.1109/tmi.2016.2551324</t>
  </si>
  <si>
    <t>10.2967/jnumed.118.222356</t>
  </si>
  <si>
    <t>10.1007/s11517-019-01965-4</t>
  </si>
  <si>
    <t>10.1136/bmjgast-2019-000371</t>
  </si>
  <si>
    <t>10.1002/jmri.25970</t>
  </si>
  <si>
    <t>10.1002/mp.13500</t>
  </si>
  <si>
    <t>10.1007/s00330-019-06533-w</t>
  </si>
  <si>
    <t>10.1109/tmi.2018.2888491</t>
  </si>
  <si>
    <t>10.1007/s11548-019-01979-1</t>
  </si>
  <si>
    <t>10.2174/1381612826666201125110710</t>
  </si>
  <si>
    <t>10.1164/rccm.201705-0860OC</t>
  </si>
  <si>
    <t>10.1002/bies.201900004</t>
  </si>
  <si>
    <t>10.1007/978-3-030-00946-5_22</t>
  </si>
  <si>
    <t>10.1016/j.ejmp.2019.12.014</t>
  </si>
  <si>
    <t>10.1109/tmi.2020.2994463</t>
  </si>
  <si>
    <t>10.1364/josaa.34.000111</t>
  </si>
  <si>
    <t>10.1016/j.media.2019.03.012</t>
  </si>
  <si>
    <t>10.1002/mp.13326</t>
  </si>
  <si>
    <t>10.1016/j.mri.2019.12.006</t>
  </si>
  <si>
    <t>10.1088/1361-6560/ab65dc</t>
  </si>
  <si>
    <t>10.1109/embc.2018.8512379</t>
  </si>
  <si>
    <t>10.1109/jbhi.2018.2868656</t>
  </si>
  <si>
    <t>10.1109/embc.2019.8856729</t>
  </si>
  <si>
    <t>10.1007/s00261-019-02014-2</t>
  </si>
  <si>
    <t>10.1259/bjr.20190327</t>
  </si>
  <si>
    <t>10.1148/radiol.2019190512</t>
  </si>
  <si>
    <t>10.1371/journal.pone.0204071</t>
  </si>
  <si>
    <t>10.1016/j.ophtha.2018.02.037</t>
  </si>
  <si>
    <t>10.1109/embc44109.2020.9175256</t>
  </si>
  <si>
    <t>10.1007/s00330-020-06724-w</t>
  </si>
  <si>
    <t>10.1007/s00701-020-04447-x</t>
  </si>
  <si>
    <t>10.1016/j.metabol.2020.154436</t>
  </si>
  <si>
    <t>10.1049/htl.2019.0075</t>
  </si>
  <si>
    <t>10.1371/journal.pone.0212550</t>
  </si>
  <si>
    <t>10.1109/embc44109.2020.9176677</t>
  </si>
  <si>
    <t>10.1109/jbhi.2019.2942429</t>
  </si>
  <si>
    <t>10.1016/j.compbiomed.2018.10.011</t>
  </si>
  <si>
    <t>10.1109/tbme.2018.2889915</t>
  </si>
  <si>
    <t>10.3390/s20061593</t>
  </si>
  <si>
    <t>10.1109/tmi.2019.2903562</t>
  </si>
  <si>
    <t>10.1109/jbhi.2019.2912935</t>
  </si>
  <si>
    <t>10.1117/1.Jmi.6.3.031411</t>
  </si>
  <si>
    <t>10.1523/jneurosci.5023-14.2015</t>
  </si>
  <si>
    <t>10.1016/j.cmpb.2019.105205</t>
  </si>
  <si>
    <t>10.1016/j.neuroimage.2018.11.042</t>
  </si>
  <si>
    <t>10.1016/j.media.2019.101587</t>
  </si>
  <si>
    <t>10.1080/00207454.2019.1698568</t>
  </si>
  <si>
    <t>10.1001/jama.2016.17216</t>
  </si>
  <si>
    <t>10.7554/eLife.48571</t>
  </si>
  <si>
    <t>10.1109/tmi.2018.2836965</t>
  </si>
  <si>
    <t>10.1016/j.gie.2019.08.018</t>
  </si>
  <si>
    <t>10.1038/s41587-020-0560-x</t>
  </si>
  <si>
    <t>10.3969/j.issn.1671-7104.2020.05.007</t>
  </si>
  <si>
    <t>10.1002/mp.13735</t>
  </si>
  <si>
    <t>10.1109/tmi.2015.2508280</t>
  </si>
  <si>
    <t>10.1007/978-3-319-10470-6_39</t>
  </si>
  <si>
    <t>10.1088/1361-6560/ab440d</t>
  </si>
  <si>
    <t>10.1038/s41598-018-37492-9</t>
  </si>
  <si>
    <t>10.1109/tmi.2018.2832656</t>
  </si>
  <si>
    <t>10.1016/j.nicl.2020.102186</t>
  </si>
  <si>
    <t>10.1109/embc.2019.8857437</t>
  </si>
  <si>
    <t>10.1002/mrm.27166</t>
  </si>
  <si>
    <t>10.1002/mrm.27641</t>
  </si>
  <si>
    <t>10.1088/1361-6560/abb0f9</t>
  </si>
  <si>
    <t>10.1371/journal.pone.0239913</t>
  </si>
  <si>
    <t>10.3390/s20051392</t>
  </si>
  <si>
    <t>10.1007/s10278-018-0144-1</t>
  </si>
  <si>
    <t>10.11607/jomi.8060</t>
  </si>
  <si>
    <t>10.1016/j.annonc.2019.10.013</t>
  </si>
  <si>
    <t>10.1038/s41598-020-62724-2</t>
  </si>
  <si>
    <t>10.1109/jbhi.2019.2891049</t>
  </si>
  <si>
    <t>10.1016/j.media.2019.03.013</t>
  </si>
  <si>
    <t>10.3174/ajnr.A5927</t>
  </si>
  <si>
    <t>10.1016/j.mri.2019.03.021</t>
  </si>
  <si>
    <t>10.1186/s12915-017-0477-0</t>
  </si>
  <si>
    <t>10.1117/1.Jbo.24.3.036007</t>
  </si>
  <si>
    <t>10.1117/1.Jbo.22.6.060503</t>
  </si>
  <si>
    <t>10.1038/s41598-019-54779-7</t>
  </si>
  <si>
    <t>10.1364/boe.9.006205</t>
  </si>
  <si>
    <t>10.1121/1.5133665</t>
  </si>
  <si>
    <t>10.1088/1361-6579/ab21b2</t>
  </si>
  <si>
    <t>10.1109/tmi.2018.2828303</t>
  </si>
  <si>
    <t>10.1007/s00330-019-06205-9</t>
  </si>
  <si>
    <t>10.1002/mrm.26977</t>
  </si>
  <si>
    <t>10.1038/s41598-020-64206-x</t>
  </si>
  <si>
    <t>10.1088/1361-6560/ab9356</t>
  </si>
  <si>
    <t>10.1148/radiol.2020191160</t>
  </si>
  <si>
    <t>10.1007/s11517-018-1850-z</t>
  </si>
  <si>
    <t>10.1007/s10278-019-00230-2</t>
  </si>
  <si>
    <t>10.1088/1361-6560/aa82ec</t>
  </si>
  <si>
    <t>10.1016/j.jid.2018.01.028</t>
  </si>
  <si>
    <t>10.1001/jamadermatol.2019.3807</t>
  </si>
  <si>
    <t>10.1371/journal.pone.0191493</t>
  </si>
  <si>
    <t>10.3174/ajnr.A6365</t>
  </si>
  <si>
    <t>10.1002/mp.12155</t>
  </si>
  <si>
    <t>10.1016/j.neuroimage.2018.04.073</t>
  </si>
  <si>
    <t>10.1109/tmi.2019.2927101</t>
  </si>
  <si>
    <t>10.1109/tmi.2018.2823768</t>
  </si>
  <si>
    <t>10.1002/mp.13631</t>
  </si>
  <si>
    <t>10.1002/mrm.27106</t>
  </si>
  <si>
    <t>10.1109/tip.2018.2816821</t>
  </si>
  <si>
    <t>10.1109/tmi.2020.2996256</t>
  </si>
  <si>
    <t>10.1002/mp.13175</t>
  </si>
  <si>
    <t>10.1007/s11548-019-02044-7</t>
  </si>
  <si>
    <t>10.1016/j.neunet.2020.05.005</t>
  </si>
  <si>
    <t>10.1016/j.nicl.2017.12.005</t>
  </si>
  <si>
    <t>10.1016/j.media.2020.101847</t>
  </si>
  <si>
    <t>10.1038/s41467-020-17971-2</t>
  </si>
  <si>
    <t>10.1002/mp.13656</t>
  </si>
  <si>
    <t>10.1371/journal.pone.0221339</t>
  </si>
  <si>
    <t>10.1109/tbme.2013.2268538</t>
  </si>
  <si>
    <t>10.1038/s41598-020-60311-z</t>
  </si>
  <si>
    <t>10.3390/e22091033</t>
  </si>
  <si>
    <t>10.1109/wnyipw.2018.8576421</t>
  </si>
  <si>
    <t>10.6009/jjrt.2018_JSRT_74.10.1138</t>
  </si>
  <si>
    <t>10.1109/access.2018.2886371</t>
  </si>
  <si>
    <t>10.1007/s12194-019-00512-y</t>
  </si>
  <si>
    <t>10.1002/mrm.27771</t>
  </si>
  <si>
    <t>10.1007/s11548-018-1875-7</t>
  </si>
  <si>
    <t>10.1007/s10278-019-00206-2</t>
  </si>
  <si>
    <t>10.3390/s19132970</t>
  </si>
  <si>
    <t>10.1038/s41598-020-69813-2</t>
  </si>
  <si>
    <t>10.1109/tmi.2020.3035555</t>
  </si>
  <si>
    <t>10.1109/embc44109.2020.9175151</t>
  </si>
  <si>
    <t>10.1109/tmi.2018.2883517</t>
  </si>
  <si>
    <t>10.1002/mrm.27480</t>
  </si>
  <si>
    <t>10.1109/tmi.2018.2820382</t>
  </si>
  <si>
    <t>10.1002/mp.14692</t>
  </si>
  <si>
    <t>10.3233/thc-191718</t>
  </si>
  <si>
    <t>10.1097/icl.0000000000000634</t>
  </si>
  <si>
    <t>10.1038/nature21369</t>
  </si>
  <si>
    <t>10.3389/fbioe.2020.00897</t>
  </si>
  <si>
    <t>10.1117/1.Jbo.25.9.095003</t>
  </si>
  <si>
    <t>10.1109/tmi.2018.2865202</t>
  </si>
  <si>
    <t>10.1109/tip.2018.2801119</t>
  </si>
  <si>
    <t>10.1109/tmi.2018.2867837</t>
  </si>
  <si>
    <t>10.1186/s12880-020-00457-4</t>
  </si>
  <si>
    <t>10.1016/j.neuroimage.2019.116276</t>
  </si>
  <si>
    <t>10.1200/cci.18.00121</t>
  </si>
  <si>
    <t>10.1088/1361-6560/ab8077</t>
  </si>
  <si>
    <t>10.3233/xst-190621</t>
  </si>
  <si>
    <t>10.3390/s18041229</t>
  </si>
  <si>
    <t>10.1117/1.Jmi.7.2.022410</t>
  </si>
  <si>
    <t>10.1038/s41746-019-0131-z</t>
  </si>
  <si>
    <t>10.1016/j.ijmedinf.2020.104284</t>
  </si>
  <si>
    <t>10.1371/journal.pone.0202708</t>
  </si>
  <si>
    <t>10.1038/s41598-019-54904-6</t>
  </si>
  <si>
    <t>10.1007/s11548-018-1797-4</t>
  </si>
  <si>
    <t>10.1016/j.media.2019.02.006</t>
  </si>
  <si>
    <t>10.1016/j.nicl.2017.08.017</t>
  </si>
  <si>
    <t>10.1016/j.ejca.2019.04.021</t>
  </si>
  <si>
    <t>10.1016/j.ejca.2019.07.019</t>
  </si>
  <si>
    <t>10.1016/j.ejca.2019.06.012</t>
  </si>
  <si>
    <t>10.1016/j.media.2020.101821</t>
  </si>
  <si>
    <t>10.1177/0954411919845747</t>
  </si>
  <si>
    <t>10.1016/j.compmedimag.2019.05.004</t>
  </si>
  <si>
    <t>10.1007/s00256-019-03289-8</t>
  </si>
  <si>
    <t>10.1109/embc.2015.7318984</t>
  </si>
  <si>
    <t>10.3390/ijerph16020250</t>
  </si>
  <si>
    <t>10.1007/s11548-020-02185-0</t>
  </si>
  <si>
    <t>10.1016/j.diii.2019.02.008</t>
  </si>
  <si>
    <t>10.1007/s11548-019-02068-z</t>
  </si>
  <si>
    <t>10.1016/j.cmpb.2019.105201</t>
  </si>
  <si>
    <t>10.1016/s2589-7500(19)30156-6</t>
  </si>
  <si>
    <t>10.1038/s41598-019-53217-y</t>
  </si>
  <si>
    <t>10.1016/j.acra.2019.09.008</t>
  </si>
  <si>
    <t>10.1016/j.compbiomed.2019.103516</t>
  </si>
  <si>
    <t>10.1186/s40644-019-0227-3</t>
  </si>
  <si>
    <t>10.1259/dmfr.20180218</t>
  </si>
  <si>
    <t>10.1007/s10120-018-0793-2</t>
  </si>
  <si>
    <t>10.1109/tmi.2019.2901445</t>
  </si>
  <si>
    <t>10.1016/j.compmedimag.2018.08.010</t>
  </si>
  <si>
    <t>10.1002/mp.13401</t>
  </si>
  <si>
    <t>10.1080/16549716.2017.1337325</t>
  </si>
  <si>
    <t>10.1371/journal.pone.0242355</t>
  </si>
  <si>
    <t>10.1109/embc44109.2020.9175731</t>
  </si>
  <si>
    <t>10.1016/j.cmpb.2019.105065</t>
  </si>
  <si>
    <t>10.1109/tmi.2018.2830381</t>
  </si>
  <si>
    <t>10.1097/ijg.0000000000001553</t>
  </si>
  <si>
    <t>10.1155/2019/6357171</t>
  </si>
  <si>
    <t>10.1007/s10278-018-0062-2</t>
  </si>
  <si>
    <t>10.1007/s10278-018-0107-6</t>
  </si>
  <si>
    <t>10.1371/journal.pmed.1002711</t>
  </si>
  <si>
    <t>10.1109/embc44109.2020.9176241</t>
  </si>
  <si>
    <t>10.1016/j.tice.2019.04.009</t>
  </si>
  <si>
    <t>10.1109/tnnls.2014.2336852</t>
  </si>
  <si>
    <t>10.1109/embc44109.2020.9176064</t>
  </si>
  <si>
    <t>10.3390/s19112573</t>
  </si>
  <si>
    <t>10.1155/2019/5065214</t>
  </si>
  <si>
    <t>10.1088/1361-6560/61/24/8676</t>
  </si>
  <si>
    <t>10.1038/s41598-020-67441-4</t>
  </si>
  <si>
    <t>10.1109/embc44109.2020.9176363</t>
  </si>
  <si>
    <t>10.1109/embc.2019.8856367</t>
  </si>
  <si>
    <t>10.3969/j.issn.1004-5619.2018.01.006</t>
  </si>
  <si>
    <t>10.1109/jbhi.2020.2972694</t>
  </si>
  <si>
    <t>10.1002/hbm.24005</t>
  </si>
  <si>
    <t>10.1109/embc.2019.8856457</t>
  </si>
  <si>
    <t>10.1002/mp.13268</t>
  </si>
  <si>
    <t>10.1002/mp.13415</t>
  </si>
  <si>
    <t>10.1088/1361-6560/aba5e9</t>
  </si>
  <si>
    <t>10.1142/s0129065718500156</t>
  </si>
  <si>
    <t>10.1109/embc.2019.8856552</t>
  </si>
  <si>
    <t>10.1109/embc44109.2020.9176844</t>
  </si>
  <si>
    <t>10.1155/2018/8923028</t>
  </si>
  <si>
    <t>10.1109/jbhi.2020.3043236</t>
  </si>
  <si>
    <t>10.1109/embc.2019.8857529</t>
  </si>
  <si>
    <t>10.1109/tmi.2017.2715285</t>
  </si>
  <si>
    <t>10.1017/s0022215119002536</t>
  </si>
  <si>
    <t>10.3934/mbe.2019149</t>
  </si>
  <si>
    <t>10.1016/s2589-7500(19)30159-1</t>
  </si>
  <si>
    <t>10.1002/mp.13510</t>
  </si>
  <si>
    <t>10.1038/s41598-020-78888-w</t>
  </si>
  <si>
    <t>10.1109/embc.2018.8512328</t>
  </si>
  <si>
    <t>10.1109/tmi.2019.2906677</t>
  </si>
  <si>
    <t>10.1016/j.compmedimag.2019.02.003</t>
  </si>
  <si>
    <t>10.1186/s12938-018-0609-y</t>
  </si>
  <si>
    <t>10.1107/s160057752000017x</t>
  </si>
  <si>
    <t>10.1097/md.0000000000019157</t>
  </si>
  <si>
    <t>10.1038/s41598-020-68378-4</t>
  </si>
  <si>
    <t>10.1088/1361-6560/abcd17</t>
  </si>
  <si>
    <t>10.1038/s41592-018-0069-0</t>
  </si>
  <si>
    <t>10.1109/tmi.2020.3008501</t>
  </si>
  <si>
    <t>10.1111/ijd.14511</t>
  </si>
  <si>
    <t>10.1148/radiol.2019191022</t>
  </si>
  <si>
    <t>10.1002/smll.201900656</t>
  </si>
  <si>
    <t>10.15252/embr.201948559</t>
  </si>
  <si>
    <t>10.1002/mp.13675</t>
  </si>
  <si>
    <t>10.1016/j.neuroimage.2019.03.041</t>
  </si>
  <si>
    <t>10.1097/rti.0000000000000512</t>
  </si>
  <si>
    <t>10.1186/s12938-020-00831-x</t>
  </si>
  <si>
    <t>10.1109/tmi.2019.2894349</t>
  </si>
  <si>
    <t>10.1117/1.Jbo.23.6.066002</t>
  </si>
  <si>
    <t>10.1117/1.Jmi.3.3.034501</t>
  </si>
  <si>
    <t>10.2967/jnumed.118.219493</t>
  </si>
  <si>
    <t>10.2967/jnumed.117.202317</t>
  </si>
  <si>
    <t>10.7150/thno.28447</t>
  </si>
  <si>
    <t>10.1007/s00330-020-06771-3</t>
  </si>
  <si>
    <t>10.3348/kjr.2020.0536</t>
  </si>
  <si>
    <t>10.1148/radiol.2019191225</t>
  </si>
  <si>
    <t>10.1001/jamanetworkopen.2019.1095</t>
  </si>
  <si>
    <t>10.1093/cid/ciy967</t>
  </si>
  <si>
    <t>10.2319/022019-129.1</t>
  </si>
  <si>
    <t>10.1016/j.compmedimag.2020.101763</t>
  </si>
  <si>
    <t>10.1088/1361-6560/aac71a</t>
  </si>
  <si>
    <t>10.1109/tmi.2018.2837002</t>
  </si>
  <si>
    <t>10.1038/s41598-020-59985-2</t>
  </si>
  <si>
    <t>10.1088/1361-6560/aa9262</t>
  </si>
  <si>
    <t>10.1002/mp.12045</t>
  </si>
  <si>
    <t>10.1016/j.neunet.2019.08.025</t>
  </si>
  <si>
    <t>10.1038/s41598-020-58467-9</t>
  </si>
  <si>
    <t>10.1038/s41598-019-45415-5</t>
  </si>
  <si>
    <t>10.1016/j.compbiomed.2019.103350</t>
  </si>
  <si>
    <t>10.1038/s41598-019-50137-9</t>
  </si>
  <si>
    <t>10.1002/jemt.23281</t>
  </si>
  <si>
    <t>10.1002/jemt.22994</t>
  </si>
  <si>
    <t>10.1007/s10916-018-1072-9</t>
  </si>
  <si>
    <t>10.1109/embc44109.2020.9175594</t>
  </si>
  <si>
    <t>10.1152/physiolgenomics.00084.2020</t>
  </si>
  <si>
    <t>10.1161/strokeaha.119.026561</t>
  </si>
  <si>
    <t>10.1002/hbm.24750</t>
  </si>
  <si>
    <t>10.1111/bju.14397</t>
  </si>
  <si>
    <t>10.1186/s40708-018-0080-3</t>
  </si>
  <si>
    <t>10.1186/s40708-020-00104-2</t>
  </si>
  <si>
    <t>10.1016/j.jalz.2015.01.010</t>
  </si>
  <si>
    <t>10.1007/978-3-319-10470-6_59</t>
  </si>
  <si>
    <t>10.1016/j.neunet.2019.03.014</t>
  </si>
  <si>
    <t>10.1007/s11548-019-01928-y</t>
  </si>
  <si>
    <t>10.1016/j.talanta.2019.120500</t>
  </si>
  <si>
    <t>10.3233/xst-16199</t>
  </si>
  <si>
    <t>10.3389/fonc.2018.00215</t>
  </si>
  <si>
    <t>10.1038/s41571-019-0248-7</t>
  </si>
  <si>
    <t>10.1016/j.zemedi.2018.11.004</t>
  </si>
  <si>
    <t>10.1155/2017/3640901</t>
  </si>
  <si>
    <t>10.1007/s11548-019-01954-w</t>
  </si>
  <si>
    <t>10.1007/s11548-020-02141-y</t>
  </si>
  <si>
    <t>10.1007/s11548-017-1567-8</t>
  </si>
  <si>
    <t>10.1007/s11517-019-02099-3</t>
  </si>
  <si>
    <t>10.1089/neu.2018.6183</t>
  </si>
  <si>
    <t>10.1109/embc.2019.8856528</t>
  </si>
  <si>
    <t>10.1177/0846537120918338</t>
  </si>
  <si>
    <t>10.1109/embc44109.2020.9175489</t>
  </si>
  <si>
    <t>10.1007/s00586-017-4956-3</t>
  </si>
  <si>
    <t>10.1016/j.ajo.2019.11.006</t>
  </si>
  <si>
    <t>10.1038/s41598-019-46294-6</t>
  </si>
  <si>
    <t>10.1148/radiol.2020200165</t>
  </si>
  <si>
    <t>10.1371/journal.pone.0242759</t>
  </si>
  <si>
    <t>10.1016/j.jneumeth.2019.108373</t>
  </si>
  <si>
    <t>10.1038/s41598-020-62321-3</t>
  </si>
  <si>
    <t>10.1016/j.compbiomed.2019.04.030</t>
  </si>
  <si>
    <t>10.1016/j.artmed.2019.07.010</t>
  </si>
  <si>
    <t>10.1016/j.ejrad.2020.109402</t>
  </si>
  <si>
    <t>10.1155/2018/5049390</t>
  </si>
  <si>
    <t>10.1007/s11548-020-02237-5</t>
  </si>
  <si>
    <t>10.2214/ajr.19.22332</t>
  </si>
  <si>
    <t>10.1038/s41598-020-73287-7</t>
  </si>
  <si>
    <t>10.2196/22739</t>
  </si>
  <si>
    <t>10.1007/s00432-018-02834-7</t>
  </si>
  <si>
    <t>10.1016/j.cmpb.2019.104987</t>
  </si>
  <si>
    <t>10.1109/embc44109.2020.9175455</t>
  </si>
  <si>
    <t>10.1002/mp.14364</t>
  </si>
  <si>
    <t>10.1109/tmi.2019.2928056</t>
  </si>
  <si>
    <t>10.1017/s1368980018000538</t>
  </si>
  <si>
    <t>10.1186/s12911-020-1109-0</t>
  </si>
  <si>
    <t>10.1109/embc44109.2020.9175392</t>
  </si>
  <si>
    <t>10.1109/embc.2019.8857467</t>
  </si>
  <si>
    <t>10.1186/s12911-020-01255-2</t>
  </si>
  <si>
    <t>10.1259/bjr.20190812</t>
  </si>
  <si>
    <t>10.1007/s11604-018-0758-8</t>
  </si>
  <si>
    <t>10.1109/jbhi.2017.2725903</t>
  </si>
  <si>
    <t>10.3934/mbe.2019218</t>
  </si>
  <si>
    <t>10.1109/tmi.2018.2857800</t>
  </si>
  <si>
    <t>10.1088/1361-6560/ab9fca</t>
  </si>
  <si>
    <t>10.1002/mp.13695</t>
  </si>
  <si>
    <t>10.7507/1001-5515.202002025</t>
  </si>
  <si>
    <t>10.1109/jbhi.2020.3042523</t>
  </si>
  <si>
    <t>10.1109/embc.2018.8512400</t>
  </si>
  <si>
    <t>10.1109/tmi.2019.2912791</t>
  </si>
  <si>
    <t>10.1088/1361-6560/ab5da0</t>
  </si>
  <si>
    <t>10.1016/j.compmedimag.2018.04.005</t>
  </si>
  <si>
    <t>10.1155/2020/2413706</t>
  </si>
  <si>
    <t>10.1007/978-3-030-59716-0_51</t>
  </si>
  <si>
    <t>10.1109/isbi45749.2020.9098666</t>
  </si>
  <si>
    <t>10.1371/journal.pcbi.1006238</t>
  </si>
  <si>
    <t>10.1007/s11548-020-02150-x</t>
  </si>
  <si>
    <t>10.3390/e22080844</t>
  </si>
  <si>
    <t>10.1038/s41467-020-18685-1</t>
  </si>
  <si>
    <t>10.1136/neurintsurg-2020-015824</t>
  </si>
  <si>
    <t>10.1088/1361-6560/ab28a1</t>
  </si>
  <si>
    <t>10.1002/mp.12846</t>
  </si>
  <si>
    <t>10.1038/s41598-020-71622-6</t>
  </si>
  <si>
    <t>10.1038/s41467-020-15784-x</t>
  </si>
  <si>
    <t>10.1016/j.artmed.2020.101794</t>
  </si>
  <si>
    <t>10.1002/nbm.4114</t>
  </si>
  <si>
    <t>10.1016/j.media.2019.101572</t>
  </si>
  <si>
    <t>10.1016/j.media.2019.101550</t>
  </si>
  <si>
    <t>10.1002/mp.13999</t>
  </si>
  <si>
    <t>10.1126/sciadv.1700606</t>
  </si>
  <si>
    <t>10.1016/j.cmpb.2019.105282</t>
  </si>
  <si>
    <t>10.1002/mrm.27772</t>
  </si>
  <si>
    <t>10.1002/hbm.24724</t>
  </si>
  <si>
    <t>10.1111/his.13844</t>
  </si>
  <si>
    <t>10.1038/s41467-019-13163-9</t>
  </si>
  <si>
    <t>10.1016/j.media.2019.06.006</t>
  </si>
  <si>
    <t>10.7507/1001-5515.201909040</t>
  </si>
  <si>
    <t>10.1109/tcbb.2017.2776910</t>
  </si>
  <si>
    <t>10.1016/j.ijmedinf.2019.05.002</t>
  </si>
  <si>
    <t>10.1002/mp.14066</t>
  </si>
  <si>
    <t>10.1007/s11517-018-1925-x</t>
  </si>
  <si>
    <t>10.1038/s41598-018-27742-1</t>
  </si>
  <si>
    <t>10.1002/mrm.27656</t>
  </si>
  <si>
    <t>10.1016/j.brachy.2019.06.003</t>
  </si>
  <si>
    <t>10.1186/s12880-018-0286-0</t>
  </si>
  <si>
    <t>10.1371/journal.pone.0203355</t>
  </si>
  <si>
    <t>10.1088/1361-6560/ab3fcb</t>
  </si>
  <si>
    <t>10.1109/embc.2017.8036917</t>
  </si>
  <si>
    <t>10.1016/j.cmpb.2020.105796</t>
  </si>
  <si>
    <t>10.1007/s11548-020-02144-9</t>
  </si>
  <si>
    <t>10.1088/1361-6560/abae06</t>
  </si>
  <si>
    <t>10.31557/apjcp.2019.20.2.457</t>
  </si>
  <si>
    <t>10.1007/s12194-018-0472-3</t>
  </si>
  <si>
    <t>10.1109/tmi.2016.2532122</t>
  </si>
  <si>
    <t>10.1371/journal.pone.0223386</t>
  </si>
  <si>
    <t>10.1109/tmi.2019.2928790</t>
  </si>
  <si>
    <t>10.1007/978-3-030-00931-1_34</t>
  </si>
  <si>
    <t>10.1109/embc44109.2020.9176455</t>
  </si>
  <si>
    <t>10.1038/s41598-017-17012-x</t>
  </si>
  <si>
    <t>10.1136/bmjopen-2019-031313</t>
  </si>
  <si>
    <t>10.1016/j.neunet.2019.07.009</t>
  </si>
  <si>
    <t>10.1109/embc.2019.8856791</t>
  </si>
  <si>
    <t>10.1039/c9lc00721k</t>
  </si>
  <si>
    <t>10.1109/tmi.2020.3024097</t>
  </si>
  <si>
    <t>10.1109/tfuzz.2020.2966163</t>
  </si>
  <si>
    <t>10.1109/tmi.2018.2823756</t>
  </si>
  <si>
    <t>10.1002/mp.13284</t>
  </si>
  <si>
    <t>10.1002/mp.12344</t>
  </si>
  <si>
    <t>10.1038/s41598-018-32441-y</t>
  </si>
  <si>
    <t>10.1200/jco.19.02031</t>
  </si>
  <si>
    <t>10.1007/s10278-018-0150-3</t>
  </si>
  <si>
    <t>10.1186/s12872-020-01620-z</t>
  </si>
  <si>
    <t>10.1371/journal.pone.0230605</t>
  </si>
  <si>
    <t>10.1016/j.compbiomed.2020.104181</t>
  </si>
  <si>
    <t>10.5582/bst.2020.03364</t>
  </si>
  <si>
    <t>10.1021/acs.analchem.8b04895</t>
  </si>
  <si>
    <t>10.1016/j.media.2020.101759</t>
  </si>
  <si>
    <t>10.1109/isbi45749.2020.9098599</t>
  </si>
  <si>
    <t>10.1007/s11548-018-1785-8</t>
  </si>
  <si>
    <t>10.1016/j.media.2019.07.005</t>
  </si>
  <si>
    <t>10.1186/s12968-020-00678-0</t>
  </si>
  <si>
    <t>10.1016/j.asoc.2020.106744</t>
  </si>
  <si>
    <t>10.1371/journal.pmed.1002730</t>
  </si>
  <si>
    <t>10.17796/1053-4625-44.3.6</t>
  </si>
  <si>
    <t>10.1007/s11548-020-02204-0</t>
  </si>
  <si>
    <t>10.1038/s41598-020-64455-w</t>
  </si>
  <si>
    <t>10.5152/dir.2019.19025</t>
  </si>
  <si>
    <t>10.1016/j.compbiomed.2020.104111</t>
  </si>
  <si>
    <t>10.1016/j.neuroimage.2016.09.046</t>
  </si>
  <si>
    <t>10.3389/fmed.2020.616746</t>
  </si>
  <si>
    <t>10.1186/s12885-020-6694-x</t>
  </si>
  <si>
    <t>10.1016/j.radonc.2019.03.026</t>
  </si>
  <si>
    <t>10.13201/j.issn.2096-7993.2020.10.002</t>
  </si>
  <si>
    <t>10.1088/1361-6560/abaffa</t>
  </si>
  <si>
    <t>10.1111/ceo.13575</t>
  </si>
  <si>
    <t>10.1016/j.ophtha.2019.06.005</t>
  </si>
  <si>
    <t>10.1016/j.neuron.2018.03.044</t>
  </si>
  <si>
    <t>10.1117/12.2512559</t>
  </si>
  <si>
    <t>10.1016/j.ejmp.2020.01.011</t>
  </si>
  <si>
    <t>10.1016/j.cell.2018.02.010</t>
  </si>
  <si>
    <t>10.1016/j.media.2019.02.009</t>
  </si>
  <si>
    <t>10.1038/s41598-019-46689-5</t>
  </si>
  <si>
    <t>10.3389/fpubh.2020.599550</t>
  </si>
  <si>
    <t>10.1016/j.mri.2019.05.020</t>
  </si>
  <si>
    <t>10.1016/j.nicl.2019.102061</t>
  </si>
  <si>
    <t>10.1016/j.cmpb.2020.105581</t>
  </si>
  <si>
    <t>10.3934/mbe.2020328</t>
  </si>
  <si>
    <t>10.1016/j.neunet.2020.03.023</t>
  </si>
  <si>
    <t>10.1007/s10916-017-0885-2</t>
  </si>
  <si>
    <t>10.1016/j.media.2018.10.004</t>
  </si>
  <si>
    <t>10.1177/1203475418792000</t>
  </si>
  <si>
    <t>10.1186/s12886-018-0954-4</t>
  </si>
  <si>
    <t>10.1016/j.compbiomed.2018.10.031</t>
  </si>
  <si>
    <t>10.1007/s11548-019-02115-9</t>
  </si>
  <si>
    <t>10.3390/s19184050</t>
  </si>
  <si>
    <t>10.1016/j.media.2018.10.010</t>
  </si>
  <si>
    <t>10.1002/mp.13963</t>
  </si>
  <si>
    <t>10.2463/mrms.mp.2019-0018</t>
  </si>
  <si>
    <t>10.1002/mp.14619</t>
  </si>
  <si>
    <t>10.1001/jamanetworkopen.2018.8029</t>
  </si>
  <si>
    <t>10.1002/mp.13713</t>
  </si>
  <si>
    <t>10.1016/j.crad.2017.11.015</t>
  </si>
  <si>
    <t>10.3348/kjr.2019.0025</t>
  </si>
  <si>
    <t>10.1371/journal.pone.0238908</t>
  </si>
  <si>
    <t>10.1038/s41598-018-21215-1</t>
  </si>
  <si>
    <t>10.1007/s10278-017-0028-9</t>
  </si>
  <si>
    <t>10.1148/radiol.2020192764</t>
  </si>
  <si>
    <t>10.1007/s00330-019-06628-4</t>
  </si>
  <si>
    <t>10.1007/s00330-019-06589-8</t>
  </si>
  <si>
    <t>10.1016/j.neuroimage.2018.10.054</t>
  </si>
  <si>
    <t>10.1088/1361-6579/ab21ac</t>
  </si>
  <si>
    <t>10.1186/s12938-020-00813-z</t>
  </si>
  <si>
    <t>10.1109/embc44109.2020.9176672</t>
  </si>
  <si>
    <t>10.3390/diagnostics9020038</t>
  </si>
  <si>
    <t>10.1016/j.neuroimage.2015.05.018</t>
  </si>
  <si>
    <t>10.1016/j.neunet.2016.12.002</t>
  </si>
  <si>
    <t>10.1038/s41598-019-53758-2</t>
  </si>
  <si>
    <t>10.1038/s41598-020-65875-4</t>
  </si>
  <si>
    <t>10.2214/ajr.17.18224</t>
  </si>
  <si>
    <t>10.1016/j.cmpb.2019.105063</t>
  </si>
  <si>
    <t>10.1038/s41598-018-31486-3</t>
  </si>
  <si>
    <t>10.1109/tmi.2018.2832613</t>
  </si>
  <si>
    <t>10.1148/radiol.2017171154</t>
  </si>
  <si>
    <t>10.1002/mp.12945</t>
  </si>
  <si>
    <t>10.14245/ns.1938396.198</t>
  </si>
  <si>
    <t>10.14245/ns.1938396.198.c1</t>
  </si>
  <si>
    <t>10.3390/app8091656</t>
  </si>
  <si>
    <t>10.1038/s41598-019-55536-6</t>
  </si>
  <si>
    <t>10.1038/s41598-018-35274-x</t>
  </si>
  <si>
    <t>10.1088/1361-6560/aaef0a</t>
  </si>
  <si>
    <t>10.1016/j.ebiom.2018.12.043</t>
  </si>
  <si>
    <t>10.1002/mp.13748</t>
  </si>
  <si>
    <t>10.1007/s00330-019-06639-1</t>
  </si>
  <si>
    <t>10.1097/rli.0000000000000503</t>
  </si>
  <si>
    <t>10.1016/j.compbiomed.2019.103334</t>
  </si>
  <si>
    <t>10.1161/strokeaha.118.024261</t>
  </si>
  <si>
    <t>10.1038/s41598-020-61519-9</t>
  </si>
  <si>
    <t>10.1007/s00330-020-06892-9</t>
  </si>
  <si>
    <t>10.4258/hir.2020.26.1.61</t>
  </si>
  <si>
    <t>10.1371/journal.pone.0234334</t>
  </si>
  <si>
    <t>10.1155/2019/8790694</t>
  </si>
  <si>
    <t>10.1038/s41379-020-00712-7</t>
  </si>
  <si>
    <t>10.1038/s41598-019-49942-z</t>
  </si>
  <si>
    <t>10.1155/2018/1382309</t>
  </si>
  <si>
    <t>10.1007/s00415-019-09488-6</t>
  </si>
  <si>
    <t>10.1007/s00330-019-06327-0</t>
  </si>
  <si>
    <t>10.1259/dmfr.20190019</t>
  </si>
  <si>
    <t>10.1259/dmfr.20190348</t>
  </si>
  <si>
    <t>10.6009/jjrt.2020_JSRT_76.1.16</t>
  </si>
  <si>
    <t>10.1007/s10278-018-0167-7</t>
  </si>
  <si>
    <t>10.1016/j.clinimag.2020.01.008</t>
  </si>
  <si>
    <t>10.1016/j.compmedimag.2019.05.002</t>
  </si>
  <si>
    <t>10.1002/mp.13927</t>
  </si>
  <si>
    <t>10.1007/s00292-020-00827-3</t>
  </si>
  <si>
    <t>10.1016/j.neuroimage.2016.01.024</t>
  </si>
  <si>
    <t>10.1007/s11548-018-1883-7</t>
  </si>
  <si>
    <t>10.1158/1078-0432.Ccr-20-3596</t>
  </si>
  <si>
    <t>10.1155/2019/3059170</t>
  </si>
  <si>
    <t>10.1371/journal.pone.0237092</t>
  </si>
  <si>
    <t>10.1007/s10278-017-9978-1</t>
  </si>
  <si>
    <t>10.1038/s41598-020-67544-y</t>
  </si>
  <si>
    <t>10.2196/19569</t>
  </si>
  <si>
    <t>10.1109/embc44109.2020.9176162</t>
  </si>
  <si>
    <t>10.1111/srt.12675</t>
  </si>
  <si>
    <t>10.1002/hed.25415</t>
  </si>
  <si>
    <t>10.1371/journal.pone.0233079</t>
  </si>
  <si>
    <t>10.1088/1361-6560/ab990e</t>
  </si>
  <si>
    <t>10.1038/s41598-020-72270-6</t>
  </si>
  <si>
    <t>10.1093/jrr/rrz063</t>
  </si>
  <si>
    <t>10.1002/mp.13925</t>
  </si>
  <si>
    <t>10.1109/embc.2019.8857645</t>
  </si>
  <si>
    <t>10.1038/s41598-020-62347-7</t>
  </si>
  <si>
    <t>10.1115/1.4048032</t>
  </si>
  <si>
    <t>10.1155/2019/2912458</t>
  </si>
  <si>
    <t>10.1148/radiol.2019191542</t>
  </si>
  <si>
    <t>10.3348/kjr.2019.0378</t>
  </si>
  <si>
    <t>10.1016/j.media.2016.07.007</t>
  </si>
  <si>
    <t>10.1002/mp.12110</t>
  </si>
  <si>
    <t>10.1371/journal.pcbi.1008179</t>
  </si>
  <si>
    <t>10.1007/s10278-017-0009-z</t>
  </si>
  <si>
    <t>10.1111/odi.13631</t>
  </si>
  <si>
    <t>10.1016/j.compbiomed.2019.103494</t>
  </si>
  <si>
    <t>10.1093/bioinformatics/btw252</t>
  </si>
  <si>
    <t>10.15252/msb.20177551</t>
  </si>
  <si>
    <t>10.1021/acs.est.0c01982</t>
  </si>
  <si>
    <t>10.1109/tmi.2019.2897112</t>
  </si>
  <si>
    <t>10.1016/j.jacr.2019.02.033</t>
  </si>
  <si>
    <t>10.1038/s41598-019-44839-3</t>
  </si>
  <si>
    <t>10.33549/physiolres.934380</t>
  </si>
  <si>
    <t>10.1148/radiol.2017172728</t>
  </si>
  <si>
    <t>10.1109/embc44109.2020.9175987</t>
  </si>
  <si>
    <t>10.3390/s20061546</t>
  </si>
  <si>
    <t>10.1007/s10278-019-00269-1</t>
  </si>
  <si>
    <t>10.1038/s41598-019-49816-4</t>
  </si>
  <si>
    <t>10.1007/s11548-020-02157-4</t>
  </si>
  <si>
    <t>10.1007/s00056-019-00203-8</t>
  </si>
  <si>
    <t>10.1073/pnas.1908021116</t>
  </si>
  <si>
    <t>10.1186/s12938-020-00768-1</t>
  </si>
  <si>
    <t>10.3389/fnins.2020.00027</t>
  </si>
  <si>
    <t>10.1088/1361-6560/ab4d8c</t>
  </si>
  <si>
    <t>10.1016/j.media.2018.06.006</t>
  </si>
  <si>
    <t>10.1002/mrm.27783</t>
  </si>
  <si>
    <t>10.1038/s41598-020-70551-8</t>
  </si>
  <si>
    <t>10.1016/j.mri.2018.07.003</t>
  </si>
  <si>
    <t>10.1016/j.jcmg.2019.02.024</t>
  </si>
  <si>
    <t>10.1016/j.oooo.2020.04.813</t>
  </si>
  <si>
    <t>10.1111/den.13880</t>
  </si>
  <si>
    <t>10.14309/ctg.0000000000000045</t>
  </si>
  <si>
    <t>10.1259/dmfr.20200171</t>
  </si>
  <si>
    <t>10.1038/s41598-020-62586-8</t>
  </si>
  <si>
    <t>10.1109/embc.2019.8857764</t>
  </si>
  <si>
    <t>10.1038/s41598-020-74653-1</t>
  </si>
  <si>
    <t>10.1111/echo.14220</t>
  </si>
  <si>
    <t>10.1259/dmfr.20200185</t>
  </si>
  <si>
    <t>10.1002/mrm.27096</t>
  </si>
  <si>
    <t>10.1164/rccm.201709-1879ED</t>
  </si>
  <si>
    <t>10.1002/mrm.28051</t>
  </si>
  <si>
    <t>10.1007/978-3-030-59713-9_13</t>
  </si>
  <si>
    <t>10.1155/2018/2061516</t>
  </si>
  <si>
    <t>10.1016/j.jacr.2017.09.044</t>
  </si>
  <si>
    <t>10.1148/radiol.2017162326</t>
  </si>
  <si>
    <t>10.1167/iovs.17-22721</t>
  </si>
  <si>
    <t>10.1016/j.pacs.2020.100197</t>
  </si>
  <si>
    <t>10.1109/embc.2019.8856590</t>
  </si>
  <si>
    <t>10.1109/embc.2019.8857019</t>
  </si>
  <si>
    <t>10.1016/j.mri.2019.02.013</t>
  </si>
  <si>
    <t>10.1002/jmri.26724</t>
  </si>
  <si>
    <t>10.1371/journal.pone.0218086</t>
  </si>
  <si>
    <t>10.1055/a-1303-6482</t>
  </si>
  <si>
    <t>10.1002/mrm.27550</t>
  </si>
  <si>
    <t>10.1038/s41598-017-10649-8</t>
  </si>
  <si>
    <t>10.1016/j.media.2017.12.003</t>
  </si>
  <si>
    <t>10.1016/j.ijrobp.2019.08.049</t>
  </si>
  <si>
    <t>10.1016/j.canrad.2020.01.008</t>
  </si>
  <si>
    <t>10.1073/pnas.1919012117</t>
  </si>
  <si>
    <t>10.1148/radiol.2017170236</t>
  </si>
  <si>
    <t>10.1016/j.diii.2019.02.001</t>
  </si>
  <si>
    <t>10.2174/1874471013666200621191259</t>
  </si>
  <si>
    <t>10.1007/s00417-019-04338-7</t>
  </si>
  <si>
    <t>10.1007/s00330-018-5595-8</t>
  </si>
  <si>
    <t>10.1109/tmi.2019.2900516</t>
  </si>
  <si>
    <t>10.1371/journal.pone.0236493</t>
  </si>
  <si>
    <t>10.1038/s41598-020-70660-4</t>
  </si>
  <si>
    <t>10.1038/s41598-019-42042-y</t>
  </si>
  <si>
    <t>10.1155/2018/8413403</t>
  </si>
  <si>
    <t>10.1002/mp.13258</t>
  </si>
  <si>
    <t>10.1088/1361-6560/ab1cee</t>
  </si>
  <si>
    <t>10.1007/s10278-018-0124-5</t>
  </si>
  <si>
    <t>10.1109/tbme.2018.2821699</t>
  </si>
  <si>
    <t>10.1016/j.neuroimage.2019.116113</t>
  </si>
  <si>
    <t>10.1049/htl.2019.0083</t>
  </si>
  <si>
    <t>10.1038/s41598-018-37769-z</t>
  </si>
  <si>
    <t>10.1002/mp.12828</t>
  </si>
  <si>
    <t>10.1038/s41598-019-51779-5</t>
  </si>
  <si>
    <t>10.1007/s10278-017-0025-z</t>
  </si>
  <si>
    <t>10.1007/s10278-017-9955-8</t>
  </si>
  <si>
    <t>10.1007/s10278-017-9988-z</t>
  </si>
  <si>
    <t>10.1021/acs.nanolett.0c04230</t>
  </si>
  <si>
    <t>10.2196/19918</t>
  </si>
  <si>
    <t>10.1002/mrm.27896</t>
  </si>
  <si>
    <t>10.1097/ijg.0000000000001187</t>
  </si>
  <si>
    <t>10.1038/s41598-020-60277-y</t>
  </si>
  <si>
    <t>10.1097/ijg.0000000000001458</t>
  </si>
  <si>
    <t>10.1038/s41598-020-59315-6</t>
  </si>
  <si>
    <t>10.1089/thy.2018.0082</t>
  </si>
  <si>
    <t>10.1007/s00330-019-06652-4</t>
  </si>
  <si>
    <t>10.1007/s00330-019-06098-8</t>
  </si>
  <si>
    <t>10.1016/j.oooo.2019.11.007</t>
  </si>
  <si>
    <t>10.1097/md.0000000000020787</t>
  </si>
  <si>
    <t>10.1007/s00330-019-06407-1</t>
  </si>
  <si>
    <t>10.1111/odi.13223</t>
  </si>
  <si>
    <t>10.1007/s13534-020-00151-y</t>
  </si>
  <si>
    <t>10.1148/radiol.2020201240</t>
  </si>
  <si>
    <t>10.1007/s11548-019-02113-x</t>
  </si>
  <si>
    <t>10.3390/jpm10040213</t>
  </si>
  <si>
    <t>10.1007/s00256-019-03342-6</t>
  </si>
  <si>
    <t>10.1186/s12859-020-03686-0</t>
  </si>
  <si>
    <t>10.1016/j.neunet.2020.01.026</t>
  </si>
  <si>
    <t>10.1088/1361-6560/ab00c9</t>
  </si>
  <si>
    <t>10.1016/j.compbiomed.2020.104206</t>
  </si>
  <si>
    <t>10.1148/radiol.2018180694</t>
  </si>
  <si>
    <t>10.1002/mp.13933</t>
  </si>
  <si>
    <t>10.1088/1361-6560/ab4891</t>
  </si>
  <si>
    <t>10.1088/1361-6560/ab79c4</t>
  </si>
  <si>
    <t>10.1002/mp.13617</t>
  </si>
  <si>
    <t>10.1002/mp.13577</t>
  </si>
  <si>
    <t>10.1039/c9lc00107g</t>
  </si>
  <si>
    <t>10.1038/s41598-017-17876-z</t>
  </si>
  <si>
    <t>10.1148/radiol.2019190783</t>
  </si>
  <si>
    <t>10.1109/embc44109.2020.9176145</t>
  </si>
  <si>
    <t>10.1109/jbhi.2016.2631401</t>
  </si>
  <si>
    <t>10.1109/embc.2018.8513140</t>
  </si>
  <si>
    <t>10.1109/jbhi.2016.2637004</t>
  </si>
  <si>
    <t>10.1148/radiol.2020202439</t>
  </si>
  <si>
    <t>10.1016/j.media.2019.02.005</t>
  </si>
  <si>
    <t>10.1186/s12883-020-01774-5</t>
  </si>
  <si>
    <t>10.1148/radiol.2020192091</t>
  </si>
  <si>
    <t>10.1016/s2213-2600(18)30371-0</t>
  </si>
  <si>
    <t>10.1002/path.5509</t>
  </si>
  <si>
    <t>10.14444/7131</t>
  </si>
  <si>
    <t>10.1016/j.jneumeth.2019.108418</t>
  </si>
  <si>
    <t>10.2967/jnumed.117.198051</t>
  </si>
  <si>
    <t>10.1111/epi.16633</t>
  </si>
  <si>
    <t>10.1142/s0129065720500501</t>
  </si>
  <si>
    <t>10.1109/jbhi.2020.3036722</t>
  </si>
  <si>
    <t>10.1016/j.media.2019.01.013</t>
  </si>
  <si>
    <t>10.1002/mp.14129</t>
  </si>
  <si>
    <t>10.1038/s41467-020-19817-3</t>
  </si>
  <si>
    <t>10.1007/s11548-020-02138-7</t>
  </si>
  <si>
    <t>10.1007/s00417-018-04224-8</t>
  </si>
  <si>
    <t>10.1364/boe.10.006204</t>
  </si>
  <si>
    <t>10.1109/jbhi.2015.2429556</t>
  </si>
  <si>
    <t>10.1016/j.cmpb.2019.105073</t>
  </si>
  <si>
    <t>10.1016/j.neuroimage.2019.116059</t>
  </si>
  <si>
    <t>10.1016/j.jalz.2019.02.007</t>
  </si>
  <si>
    <t>10.1016/j.neuroimage.2018.07.005</t>
  </si>
  <si>
    <t>10.1016/j.compbiomed.2019.03.014</t>
  </si>
  <si>
    <t>10.1109/embc.2019.8856745</t>
  </si>
  <si>
    <t>10.1038/s41598-018-25005-7</t>
  </si>
  <si>
    <t>10.1109/embc44109.2020.9175907</t>
  </si>
  <si>
    <t>10.1007/s00330-019-06621-x</t>
  </si>
  <si>
    <t>10.1109/tbme.2019.2906667</t>
  </si>
  <si>
    <t>10.1038/s41467-020-19673-1</t>
  </si>
  <si>
    <t>10.31083/j.rcm.2019.03.5201</t>
  </si>
  <si>
    <t>10.1111/1759-7714.12931</t>
  </si>
  <si>
    <t>10.1148/radiol.2020200905</t>
  </si>
  <si>
    <t>10.1097/scs.0000000000006069</t>
  </si>
  <si>
    <t>10.1002/mp.14003</t>
  </si>
  <si>
    <t>10.1016/j.parkreldis.2018.04.036</t>
  </si>
  <si>
    <t>10.1016/j.bbagen.2020.129702</t>
  </si>
  <si>
    <t>10.1109/tmi.2019.2926568</t>
  </si>
  <si>
    <t>10.1093/biostatistics/kxy019</t>
  </si>
  <si>
    <t>10.1155/2018/9128527</t>
  </si>
  <si>
    <t>10.1007/s11548-020-02206-y</t>
  </si>
  <si>
    <t>10.1109/embc44109.2020.9176112</t>
  </si>
  <si>
    <t>10.1371/journal.pcbi.1008227</t>
  </si>
  <si>
    <t>10.1109/tmi.2017.2679713</t>
  </si>
  <si>
    <t>10.1007/978-3-319-10443-0_39</t>
  </si>
  <si>
    <t>10.1111/vru.12901</t>
  </si>
  <si>
    <t>10.1088/1361-6560/aa9f87</t>
  </si>
  <si>
    <t>10.1177/1533033819884561</t>
  </si>
  <si>
    <t>10.1088/1361-6560/ab326a</t>
  </si>
  <si>
    <t>10.1088/1361-6560/ab8688</t>
  </si>
  <si>
    <t>10.1109/tpami.2018.2791608</t>
  </si>
  <si>
    <t>10.1097/ijg.0000000000001411</t>
  </si>
  <si>
    <t>10.21037/qims-19-885</t>
  </si>
  <si>
    <t>10.1038/s41551-020-0577-y</t>
  </si>
  <si>
    <t>10.1109/tmi.2018.2845918</t>
  </si>
  <si>
    <t>10.1016/j.media.2018.01.004</t>
  </si>
  <si>
    <t>10.3779/j.issn.1009-3419.2019.06.02</t>
  </si>
  <si>
    <t>10.1080/21655979.2020.1778913</t>
  </si>
  <si>
    <t>10.1007/s00330-019-06457-5</t>
  </si>
  <si>
    <t>10.1016/j.artmed.2019.101744</t>
  </si>
  <si>
    <t>10.1016/j.ejrad.2019.108692</t>
  </si>
  <si>
    <t>10.1109/embc.2019.8857334</t>
  </si>
  <si>
    <t>10.1109/tnnls.2020.2995319</t>
  </si>
  <si>
    <t>10.1007/s11548-018-1806-7</t>
  </si>
  <si>
    <t>10.1007/s00330-018-5791-6</t>
  </si>
  <si>
    <t>10.1109/tmi.2019.2910760</t>
  </si>
  <si>
    <t>10.1155/2020/5193707</t>
  </si>
  <si>
    <t>10.1109/jbhi.2020.3037079</t>
  </si>
  <si>
    <t>10.1038/s41598-019-47193-6</t>
  </si>
  <si>
    <t>10.1007/s11517-019-01974-3</t>
  </si>
  <si>
    <t>10.3390/s18020556</t>
  </si>
  <si>
    <t>10.1109/jbhi.2020.3018181</t>
  </si>
  <si>
    <t>10.1186/s12859-019-2979-y</t>
  </si>
  <si>
    <t>10.1093/bioinformatics/bty241</t>
  </si>
  <si>
    <t>10.1016/j.neucom.2019.10.085</t>
  </si>
  <si>
    <t>10.1002/jbio.201800410</t>
  </si>
  <si>
    <t>10.1007/s12021-018-9361-5</t>
  </si>
  <si>
    <t>10.3390/s19183941</t>
  </si>
  <si>
    <t>10.1038/s41746-020-00350-y</t>
  </si>
  <si>
    <t>10.1016/j.ophtha.2018.01.023</t>
  </si>
  <si>
    <t>10.1016/j.ijmedinf.2020.104363</t>
  </si>
  <si>
    <t>10.2337/dc18-0147</t>
  </si>
  <si>
    <t>10.1007/s11517-020-02159-z</t>
  </si>
  <si>
    <t>10.1038/s41598-017-05848-2</t>
  </si>
  <si>
    <t>10.1007/s00330-020-07042-x</t>
  </si>
  <si>
    <t>10.1016/j.media.2018.02.009</t>
  </si>
  <si>
    <t>10.12122/j.issn.1673-4254.2019.01.14</t>
  </si>
  <si>
    <t>10.1016/j.crad.2019.08.005</t>
  </si>
  <si>
    <t>10.1109/embc44109.2020.9176617</t>
  </si>
  <si>
    <t>10.1016/j.cmpb.2019.06.023</t>
  </si>
  <si>
    <t>10.1016/j.actbio.2017.09.025</t>
  </si>
  <si>
    <t>10.1007/s10916-019-1284-7</t>
  </si>
  <si>
    <t>10.1109/jbhi.2018.2850040</t>
  </si>
  <si>
    <t>10.1007/s00330-018-5748-9</t>
  </si>
  <si>
    <t>10.3390/genes9080382</t>
  </si>
  <si>
    <t>10.1109/tmi.2018.2798293</t>
  </si>
  <si>
    <t>10.1007/978-3-642-40763-5_32</t>
  </si>
  <si>
    <t>10.1016/j.compmedimag.2020.101785</t>
  </si>
  <si>
    <t>10.1109/tmi.2019.2959209</t>
  </si>
  <si>
    <t>10.2215/cjn.03210320</t>
  </si>
  <si>
    <t>10.3390/ijerph16071281</t>
  </si>
  <si>
    <t>10.1111/srt.12794</t>
  </si>
  <si>
    <t>10.3390/diagnostics10090662</t>
  </si>
  <si>
    <t>10.1007/978-981-32-9721-0_7</t>
  </si>
  <si>
    <t>10.1016/j.ejrad.2020.109079</t>
  </si>
  <si>
    <t>10.1109/tmi.2019.2891305</t>
  </si>
  <si>
    <t>10.1002/jbio.201800435</t>
  </si>
  <si>
    <t>10.1016/j.media.2018.06.004</t>
  </si>
  <si>
    <t>10.1148/radiol.2019182012</t>
  </si>
  <si>
    <t>10.1371/journal.pone.0243253</t>
  </si>
  <si>
    <t>10.1093/bioinformatics/btz364</t>
  </si>
  <si>
    <t>10.3760/cma.j.cn112144-20200209-00040</t>
  </si>
  <si>
    <t>10.1088/1361-6560/ab8105</t>
  </si>
  <si>
    <t>10.1007/s00330-019-06467-3</t>
  </si>
  <si>
    <t>10.1002/mp.13555</t>
  </si>
  <si>
    <t>10.1016/j.ejrad.2019.01.028</t>
  </si>
  <si>
    <t>10.1109/embc.2019.8856297</t>
  </si>
  <si>
    <t>10.1073/pnas.1806905115</t>
  </si>
  <si>
    <t>10.1038/srep26286</t>
  </si>
  <si>
    <t>10.1007/s11548-019-02096-9</t>
  </si>
  <si>
    <t>10.1371/journal.pone.0222025</t>
  </si>
  <si>
    <t>10.1002/mp.13770</t>
  </si>
  <si>
    <t>10.1002/mp.13939</t>
  </si>
  <si>
    <t>10.1088/1361-6560/ab4aa9</t>
  </si>
  <si>
    <t>10.1016/j.ejmp.2019.12.006</t>
  </si>
  <si>
    <t>10.1088/1361-6560/ab0dc0</t>
  </si>
  <si>
    <t>10.1016/j.mri.2019.07.003</t>
  </si>
  <si>
    <t>10.1007/s00330-019-06553-6</t>
  </si>
  <si>
    <t>10.1002/mrm.27627</t>
  </si>
  <si>
    <t>10.1002/mrm.27707</t>
  </si>
  <si>
    <t>10.1148/radiol.2017170700</t>
  </si>
  <si>
    <t>10.1016/j.media.2020.101793</t>
  </si>
  <si>
    <t>10.1002/mrm.27827</t>
  </si>
  <si>
    <t>10.1002/acm2.12554</t>
  </si>
  <si>
    <t>10.1002/mrm.26841</t>
  </si>
  <si>
    <t>10.1148/radiol.2018172986</t>
  </si>
  <si>
    <t>10.1016/j.ejmp.2019.06.003</t>
  </si>
  <si>
    <t>10.1002/mp.14651</t>
  </si>
  <si>
    <t>10.1016/j.compmedimag.2019.05.005</t>
  </si>
  <si>
    <t>10.1088/1361-6560/abae08</t>
  </si>
  <si>
    <t>10.1016/j.media.2020.101930</t>
  </si>
  <si>
    <t>10.1016/j.mri.2020.05.002</t>
  </si>
  <si>
    <t>10.1038/s41598-020-63242-x</t>
  </si>
  <si>
    <t>10.1007/978-3-030-32239-7_23</t>
  </si>
  <si>
    <t>10.1007/s10916-019-1502-3</t>
  </si>
  <si>
    <t>10.1109/tmi.2018.2868333</t>
  </si>
  <si>
    <t>10.1016/s2589-7500(20)30078-9</t>
  </si>
  <si>
    <t>10.1016/j.compmedimag.2020.101765</t>
  </si>
  <si>
    <t>10.1109/tbme.2018.2869989</t>
  </si>
  <si>
    <t>10.1016/j.media.2019.03.004</t>
  </si>
  <si>
    <t>10.1016/j.acra.2019.11.010</t>
  </si>
  <si>
    <t>10.1016/j.compbiomed.2019.103485</t>
  </si>
  <si>
    <t>10.1109/tbme.2014.2372011</t>
  </si>
  <si>
    <t>10.1038/s41598-020-64588-y</t>
  </si>
  <si>
    <t>10.1016/j.neuroimage.2019.05.046</t>
  </si>
  <si>
    <t>10.2174/1573405616999200817103920</t>
  </si>
  <si>
    <t>10.1038/s41598-019-40554-1</t>
  </si>
  <si>
    <t>10.1016/j.media.2019.101555</t>
  </si>
  <si>
    <t>10.1002/jbio.201900107</t>
  </si>
  <si>
    <t>10.1097/wno.0000000000000827</t>
  </si>
  <si>
    <t>10.1007/s00330-020-06699-8</t>
  </si>
  <si>
    <t>10.3760/cma.j.issn.1007-3418.2018.08.016</t>
  </si>
  <si>
    <t>10.1364/boe.10.001601</t>
  </si>
  <si>
    <t>10.1109/embc.2019.8856696</t>
  </si>
  <si>
    <t>10.1016/s2589-7500(19)30123-2</t>
  </si>
  <si>
    <t>10.1109/jbhi.2018.2856276</t>
  </si>
  <si>
    <t>10.1002/mp.13584</t>
  </si>
  <si>
    <t>10.1002/jbio.201900008</t>
  </si>
  <si>
    <t>10.1038/s41591-020-0842-3</t>
  </si>
  <si>
    <t>10.5858/arpa.2018-0147-OA</t>
  </si>
  <si>
    <t>10.1259/bjr.20190067</t>
  </si>
  <si>
    <t>10.1088/1361-6560/ab41af</t>
  </si>
  <si>
    <t>10.1088/1361-6560/ab25bc</t>
  </si>
  <si>
    <t>10.1371/journal.pone.0185844</t>
  </si>
  <si>
    <t>10.2174/1573405615666190115155223</t>
  </si>
  <si>
    <t>10.1016/j.compbiomed.2019.03.015</t>
  </si>
  <si>
    <t>10.1016/j.cmpb.2019.105014</t>
  </si>
  <si>
    <t>10.1016/j.cmpb.2019.105019</t>
  </si>
  <si>
    <t>10.1002/mp.13490</t>
  </si>
  <si>
    <t>10.1016/j.ejmp.2019.12.008</t>
  </si>
  <si>
    <t>10.1002/mp.14004</t>
  </si>
  <si>
    <t>10.3389/fnins.2019.00097</t>
  </si>
  <si>
    <t>10.1016/j.cmpb.2020.105765</t>
  </si>
  <si>
    <t>10.3390/nu10122005</t>
  </si>
  <si>
    <t>10.1038/s41598-020-65405-2</t>
  </si>
  <si>
    <t>10.1186/s12859-019-3332-1</t>
  </si>
  <si>
    <t>10.1016/j.media.2019.01.005</t>
  </si>
  <si>
    <t>10.1016/j.jpeds.2020.02.039</t>
  </si>
  <si>
    <t>10.1016/j.ophtha.2019.12.015</t>
  </si>
  <si>
    <t>10.1172/jci.insight.120178</t>
  </si>
  <si>
    <t>10.1016/j.compbiomed.2017.08.001</t>
  </si>
  <si>
    <t>10.1016/j.media.2018.03.010</t>
  </si>
  <si>
    <t>10.3390/s20030726</t>
  </si>
  <si>
    <t>10.1016/j.artmed.2019.101746</t>
  </si>
  <si>
    <t>10.1117/12.2549687</t>
  </si>
  <si>
    <t>10.1016/j.compmedimag.2019.06.001</t>
  </si>
  <si>
    <t>10.1016/j.media.2018.11.003</t>
  </si>
  <si>
    <t>10.1016/s2589-7500(19)30058-5</t>
  </si>
  <si>
    <t>10.1016/j.media.2019.02.011</t>
  </si>
  <si>
    <t>10.1038/s41598-018-22871-z</t>
  </si>
  <si>
    <t>10.1016/j.media.2018.02.002</t>
  </si>
  <si>
    <t>10.1007/s11548-016-1467-3</t>
  </si>
  <si>
    <t>10.1007/s00330-020-06663-6</t>
  </si>
  <si>
    <t>10.1001/jamanetworkopen.2019.7416</t>
  </si>
  <si>
    <t>10.7326/m20-1868</t>
  </si>
  <si>
    <t>10.1109/tnsre.2016.2601240</t>
  </si>
  <si>
    <t>10.1088/1361-6560/ab3242</t>
  </si>
  <si>
    <t>10.1002/mp.13317</t>
  </si>
  <si>
    <t>10.1109/tmi.2020.3043375</t>
  </si>
  <si>
    <t>10.1109/embc44109.2020.9176663</t>
  </si>
  <si>
    <t>10.1007/s00428-019-02577-x</t>
  </si>
  <si>
    <t>10.1089/end.2019.0354</t>
  </si>
  <si>
    <t>10.1016/j.artmed.2019.06.008</t>
  </si>
  <si>
    <t>10.1109/tmi.2018.2809641</t>
  </si>
  <si>
    <t>10.1088/1361-6560/aafd50</t>
  </si>
  <si>
    <t>10.1007/s11548-018-1794-7</t>
  </si>
  <si>
    <t>10.1097/qai.0000000000002181</t>
  </si>
  <si>
    <t>10.1371/journal.pcbi.1007673</t>
  </si>
  <si>
    <t>10.1016/j.jacr.2017.08.007</t>
  </si>
  <si>
    <t>10.1371/journal.pone.0230415</t>
  </si>
  <si>
    <t>10.1016/j.media.2019.101591</t>
  </si>
  <si>
    <t>10.1016/s1470-2045(19)30637-0</t>
  </si>
  <si>
    <t>10.1016/j.cmpb.2019.105099</t>
  </si>
  <si>
    <t>10.1109/embc.2019.8856509</t>
  </si>
  <si>
    <t>10.1088/1361-6560/aaf241</t>
  </si>
  <si>
    <t>10.1109/tmi.2020.3000949</t>
  </si>
  <si>
    <t>10.1016/j.jvir.2019.11.032</t>
  </si>
  <si>
    <t>10.1364/oe.27.013581</t>
  </si>
  <si>
    <t>10.1016/j.radonc.2017.11.012</t>
  </si>
  <si>
    <t>10.1002/mp.12870</t>
  </si>
  <si>
    <t>10.1016/j.compbiomed.2020.103865</t>
  </si>
  <si>
    <t>10.3389/fnins.2020.00853</t>
  </si>
  <si>
    <t>10.1155/2020/1242781</t>
  </si>
  <si>
    <t>10.1002/mp.14676</t>
  </si>
  <si>
    <t>10.1109/isbi45749.2020.9098735</t>
  </si>
  <si>
    <t>10.1002/acm2.13001</t>
  </si>
  <si>
    <t>10.1002/mp.13438</t>
  </si>
  <si>
    <t>10.1088/1361-6560/ab7e7f</t>
  </si>
  <si>
    <t>10.1002/mp.13451</t>
  </si>
  <si>
    <t>10.1109/tbme.2018.2890167</t>
  </si>
  <si>
    <t>10.1109/embc44109.2020.9176298</t>
  </si>
  <si>
    <t>10.1002/mp.13859</t>
  </si>
  <si>
    <t>10.1002/mp.13135</t>
  </si>
  <si>
    <t>10.1038/s41746-018-0065-x</t>
  </si>
  <si>
    <t>10.1038/s41592-019-0500-1</t>
  </si>
  <si>
    <t>10.1093/schbul/sby026</t>
  </si>
  <si>
    <t>10.1371/journal.pone.0219126</t>
  </si>
  <si>
    <t>10.1016/j.compmedimag.2018.10.007</t>
  </si>
  <si>
    <t>10.1016/j.cmpb.2020.105475</t>
  </si>
  <si>
    <t>10.1016/j.cmpb.2020.105725</t>
  </si>
  <si>
    <t>10.1109/tmi.2018.2842767</t>
  </si>
  <si>
    <t>10.1088/1361-6560/aada93</t>
  </si>
  <si>
    <t>10.1016/j.media.2018.06.005</t>
  </si>
  <si>
    <t>10.1109/tnnls.2018.2790388</t>
  </si>
  <si>
    <t>10.1016/j.compbiomed.2020.103869</t>
  </si>
  <si>
    <t>10.1097/brs.0000000000003353</t>
  </si>
  <si>
    <t>10.1109/tuffc.2019.2940003</t>
  </si>
  <si>
    <t>10.1109/embc44109.2020.9175791</t>
  </si>
  <si>
    <t>10.1007/s10278-018-00174-z</t>
  </si>
  <si>
    <t>10.1371/journal.pone.0220063</t>
  </si>
  <si>
    <t>10.1109/tmi.2019.2911588</t>
  </si>
  <si>
    <t>10.1097/rli.0000000000000448</t>
  </si>
  <si>
    <t>10.1016/j.neunet.2020.01.023</t>
  </si>
  <si>
    <t>10.1109/tmi.2016.2535222</t>
  </si>
  <si>
    <t>10.1117/12.2254412</t>
  </si>
  <si>
    <t>10.1109/embc.2016.7590649</t>
  </si>
  <si>
    <t>10.1109/embc44109.2020.9175631</t>
  </si>
  <si>
    <t>10.1016/j.media.2019.06.011</t>
  </si>
  <si>
    <t>10.1016/j.jaad.2017.08.016</t>
  </si>
  <si>
    <t>10.1016/j.jaad.2019.07.016</t>
  </si>
  <si>
    <t>10.1109/tmi.2018.2858752</t>
  </si>
  <si>
    <t>10.1038/s41598-019-57196-y</t>
  </si>
  <si>
    <t>10.1016/j.ejca.2019.06.013</t>
  </si>
  <si>
    <t>10.1364/boe.398357</t>
  </si>
  <si>
    <t>10.1109/tmi.2018.2851150</t>
  </si>
  <si>
    <t>10.1016/j.media.2020.101714</t>
  </si>
  <si>
    <t>10.1142/s0129065718500351</t>
  </si>
  <si>
    <t>10.1109/jbhi.2019.2914970</t>
  </si>
  <si>
    <t>10.3390/e22060687</t>
  </si>
  <si>
    <t>10.1186/s12968-020-00690-4</t>
  </si>
  <si>
    <t>10.1109/embc.2019.8857447</t>
  </si>
  <si>
    <t>10.3233/xst-18386</t>
  </si>
  <si>
    <t>10.1371/journal.pone.0230409</t>
  </si>
  <si>
    <t>10.1016/j.cmpb.2020.105834</t>
  </si>
  <si>
    <t>10.1016/j.jbi.2018.01.005</t>
  </si>
  <si>
    <t>10.1109/embc44109.2020.9176009</t>
  </si>
  <si>
    <t>10.1088/1361-6560/aada6d</t>
  </si>
  <si>
    <t>10.1164/rccm.201903-0505OC</t>
  </si>
  <si>
    <t>10.3233/xst-200660</t>
  </si>
  <si>
    <t>10.1007/s11548-020-02283-z</t>
  </si>
  <si>
    <t>10.1097/ijg.0000000000000988</t>
  </si>
  <si>
    <t>10.1148/radiol.2020192173</t>
  </si>
  <si>
    <t>10.1136/thoraxjnl-2018-212430</t>
  </si>
  <si>
    <t>10.1109/embc44109.2020.9176703</t>
  </si>
  <si>
    <t>10.1038/s41598-020-70474-4</t>
  </si>
  <si>
    <t>10.1158/0008-5472.Can-20-0348</t>
  </si>
  <si>
    <t>10.1007/s11060-019-03376-9</t>
  </si>
  <si>
    <t>10.1371/journal.pone.0219916</t>
  </si>
  <si>
    <t>10.1536/ihj.19-714</t>
  </si>
  <si>
    <t>10.1016/j.cmpb.2019.05.026</t>
  </si>
  <si>
    <t>10.1177/0146645320940827</t>
  </si>
  <si>
    <t>10.3174/ajnr.A6020</t>
  </si>
  <si>
    <t>10.1002/mp.13976</t>
  </si>
  <si>
    <t>10.1016/j.nicl.2019.102104</t>
  </si>
  <si>
    <t>10.1371/journal.pbio.2005970</t>
  </si>
  <si>
    <t>10.1016/s2589-7500(19)30087-1</t>
  </si>
  <si>
    <t>10.1016/j.ophtha.2018.12.033</t>
  </si>
  <si>
    <t>10.1117/12.2256011</t>
  </si>
  <si>
    <t>10.1002/ana.25706</t>
  </si>
  <si>
    <t>10.1002/acm2.12494</t>
  </si>
  <si>
    <t>10.3389/fonc.2017.00315</t>
  </si>
  <si>
    <t>10.1002/mp.12602</t>
  </si>
  <si>
    <t>10.1002/mp.13296</t>
  </si>
  <si>
    <t>10.1016/j.ijrobp.2019.06.009</t>
  </si>
  <si>
    <t>10.1016/j.ejmp.2018.05.006</t>
  </si>
  <si>
    <t>10.1038/s41598-020-64246-3</t>
  </si>
  <si>
    <t>10.1016/j.acra.2018.06.019</t>
  </si>
  <si>
    <t>10.1016/j.media.2019.101569</t>
  </si>
  <si>
    <t>10.2174/1573405615666190724101600</t>
  </si>
  <si>
    <t>10.1109/jbhi.2018.2878878</t>
  </si>
  <si>
    <t>10.1109/tmi.2020.3035424</t>
  </si>
  <si>
    <t>10.1109/tmi.2019.2913311</t>
  </si>
  <si>
    <t>10.1371/journal.pone.0216487</t>
  </si>
  <si>
    <t>10.1002/path.5026</t>
  </si>
  <si>
    <t>10.1016/j.ijmedinf.2018.08.009</t>
  </si>
  <si>
    <t>10.1038/s41467-020-14929-2</t>
  </si>
  <si>
    <t>10.1056/NEJMoa1917130</t>
  </si>
  <si>
    <t>10.1016/j.compbiomed.2019.103424</t>
  </si>
  <si>
    <t>10.2214/ajr.18.19914</t>
  </si>
  <si>
    <t>10.1109/jbhi.2018.2885214</t>
  </si>
  <si>
    <t>10.4244/eij-d-19-00487</t>
  </si>
  <si>
    <t>10.1016/j.media.2020.101794</t>
  </si>
  <si>
    <t>10.1109/tmi.2019.2905917</t>
  </si>
  <si>
    <t>10.1109/embc.2018.8512556</t>
  </si>
  <si>
    <t>10.2967/jnumed.119.226613</t>
  </si>
  <si>
    <t>10.1177/1120672120977346</t>
  </si>
  <si>
    <t>10.1097/md.0000000000023138</t>
  </si>
  <si>
    <t>10.1038/s10038-019-0619-z</t>
  </si>
  <si>
    <t>10.1155/2020/8843664</t>
  </si>
  <si>
    <t>10.1038/s41598-020-66355-5</t>
  </si>
  <si>
    <t>10.1002/mp.13918</t>
  </si>
  <si>
    <t>10.1016/j.compbiomed.2020.104092</t>
  </si>
  <si>
    <t>10.1016/j.cmpb.2018.08.003</t>
  </si>
  <si>
    <t>10.1016/j.ejmp.2019.06.009</t>
  </si>
  <si>
    <t>10.1038/s41374-020-0442-3</t>
  </si>
  <si>
    <t>10.1136/openhrt-2019-001177</t>
  </si>
  <si>
    <t>10.1016/j.compmedimag.2019.02.001</t>
  </si>
  <si>
    <t>10.1007/s10334-018-0718-4</t>
  </si>
  <si>
    <t>10.1073/pnas.1916219117</t>
  </si>
  <si>
    <t>10.1016/j.nicl.2017.10.007</t>
  </si>
  <si>
    <t>10.1007/s11548-019-02085-y</t>
  </si>
  <si>
    <t>10.1002/mp.12683</t>
  </si>
  <si>
    <t>10.1007/s10278-017-0022-2</t>
  </si>
  <si>
    <t>10.1109/tmi.2018.2866442</t>
  </si>
  <si>
    <t>10.1111/jns.12293</t>
  </si>
  <si>
    <t>10.1007/s10278-020-00337-x</t>
  </si>
  <si>
    <t>10.1016/j.acra.2019.06.018</t>
  </si>
  <si>
    <t>10.1016/s2589-7500(20)30085-6</t>
  </si>
  <si>
    <t>10.3174/ajnr.A5597</t>
  </si>
  <si>
    <t>10.1016/j.compbiomed.2019.01.018</t>
  </si>
  <si>
    <t>10.1016/j.ejmp.2019.10.001</t>
  </si>
  <si>
    <t>10.1109/embc44109.2020.9175904</t>
  </si>
  <si>
    <t>10.1016/j.ejmp.2019.08.008</t>
  </si>
  <si>
    <t>10.1007/s40123-019-00207-y</t>
  </si>
  <si>
    <t>10.1016/j.media.2020.101874</t>
  </si>
  <si>
    <t>10.1002/mp.13725</t>
  </si>
  <si>
    <t>10.1016/j.compbiomed.2019.04.032</t>
  </si>
  <si>
    <t>10.3760/cma.j.issn.1002-0098.2019.07.011</t>
  </si>
  <si>
    <t>10.1038/s41467-020-19116-x</t>
  </si>
  <si>
    <t>10.1007/s10916-019-1431-1</t>
  </si>
  <si>
    <t>10.1097/ijg.0000000000000765</t>
  </si>
  <si>
    <t>10.1117/1.Jmi.7.6.064006</t>
  </si>
  <si>
    <t>10.1186/s13104-018-3813-8</t>
  </si>
  <si>
    <t>10.1371/journal.pone.0232697</t>
  </si>
  <si>
    <t>10.1016/j.compbiomed.2020.103698</t>
  </si>
  <si>
    <t>10.6009/jjrt.2020_JSRT_76.11.1163</t>
  </si>
  <si>
    <t>10.1007/s11282-018-0363-7</t>
  </si>
  <si>
    <t>10.1016/j.atherosclerosis.2019.12.001</t>
  </si>
  <si>
    <t>10.1016/s0140-6736(20)31875-4</t>
  </si>
  <si>
    <t>10.1007/s10278-018-0053-3</t>
  </si>
  <si>
    <t>10.1007/s11548-019-01951-z</t>
  </si>
  <si>
    <t>10.1002/mp.13519</t>
  </si>
  <si>
    <t>10.1007/s10278-020-00347-9</t>
  </si>
  <si>
    <t>10.1016/j.cmpb.2018.09.007</t>
  </si>
  <si>
    <t>10.1371/journal.pone.0223965</t>
  </si>
  <si>
    <t>10.1136/bmj.m689</t>
  </si>
  <si>
    <t>10.3390/s20123482</t>
  </si>
  <si>
    <t>10.1016/j.media.2019.101557</t>
  </si>
  <si>
    <t>10.1016/j.jneumeth.2017.08.014</t>
  </si>
  <si>
    <t>10.1016/j.acra.2019.05.016</t>
  </si>
  <si>
    <t>10.1016/j.artmed.2019.101769</t>
  </si>
  <si>
    <t>10.1148/radiol.2018180237</t>
  </si>
  <si>
    <t>10.1016/j.neurobiolaging.2019.12.008</t>
  </si>
  <si>
    <t>10.1016/j.mri.2019.10.003</t>
  </si>
  <si>
    <t>10.1148/radiol.2019191061</t>
  </si>
  <si>
    <t>10.1007/978-3-030-32226-7_32</t>
  </si>
  <si>
    <t>10.1109/tmi.2018.2833385</t>
  </si>
  <si>
    <t>10.1109/embc.2019.8857105</t>
  </si>
  <si>
    <t>10.1016/j.jid.2018.06.175</t>
  </si>
  <si>
    <t>10.1109/embc44109.2020.9175258</t>
  </si>
  <si>
    <t>10.1038/s41598-019-56589-3</t>
  </si>
  <si>
    <t>10.1186/s12859-020-3351-y</t>
  </si>
  <si>
    <t>10.1109/embc.2016.7590963</t>
  </si>
  <si>
    <t>10.1109/embc.2016.7590784</t>
  </si>
  <si>
    <t>10.3390/s19173722</t>
  </si>
  <si>
    <t>10.1016/j.mri.2019.07.012</t>
  </si>
  <si>
    <t>10.1109/tmi.2020.3048055</t>
  </si>
  <si>
    <t>10.1007/s11548-019-01991-5</t>
  </si>
  <si>
    <t>10.1109/tmi.2018.2865709</t>
  </si>
  <si>
    <t>10.1016/j.artmed.2019.07.003</t>
  </si>
  <si>
    <t>10.1109/embc.2019.8857392</t>
  </si>
  <si>
    <t>10.1007/s00345-019-03059-0</t>
  </si>
  <si>
    <t>10.1038/s41592-020-0853-5</t>
  </si>
  <si>
    <t>10.1002/jemt.23059</t>
  </si>
  <si>
    <t>10.1093/jrr/rrz086</t>
  </si>
  <si>
    <t>10.1016/j.ejmp.2020.09.004</t>
  </si>
  <si>
    <t>10.1080/0284186x.2019.1630754</t>
  </si>
  <si>
    <t>10.1016/j.media.2016.05.009</t>
  </si>
  <si>
    <t>10.3390/s20071822</t>
  </si>
  <si>
    <t>10.3390/s18082601</t>
  </si>
  <si>
    <t>10.1155/2019/1353601</t>
  </si>
  <si>
    <t>10.1016/j.neunet.2020.06.025</t>
  </si>
  <si>
    <t>10.1364/oe.25.015043</t>
  </si>
  <si>
    <t>10.1016/j.cmpb.2019.105121</t>
  </si>
  <si>
    <t>10.1016/j.jvir.2019.05.026</t>
  </si>
  <si>
    <t>10.1007/s00330-020-07044-9</t>
  </si>
  <si>
    <t>10.1371/journal.pone.0195621</t>
  </si>
  <si>
    <t>10.1007/s11548-017-1605-6</t>
  </si>
  <si>
    <t>10.1016/j.ijmedinf.2019.01.005</t>
  </si>
  <si>
    <t>10.1038/s41598-018-37387-9</t>
  </si>
  <si>
    <t>10.1007/978-3-319-66179-7_48</t>
  </si>
  <si>
    <t>10.1109/tbme.2018.2814538</t>
  </si>
  <si>
    <t>10.1007/978-3-319-46723-8_25</t>
  </si>
  <si>
    <t>10.1161/strokeaha.117.019740</t>
  </si>
  <si>
    <t>10.1109/cvpr.2019.00866</t>
  </si>
  <si>
    <t>10.1007/s13577-017-0191-9</t>
  </si>
  <si>
    <t>10.1038/s41551-020-00633-5</t>
  </si>
  <si>
    <t>10.1109/jbhi.2018.2841992</t>
  </si>
  <si>
    <t>10.1016/j.ejmp.2019.11.026</t>
  </si>
  <si>
    <t>10.1001/jamanetworkopen.2019.0442</t>
  </si>
  <si>
    <t>10.1371/journal.pone.0192726</t>
  </si>
  <si>
    <t>10.1161/strokeaha.119.028101</t>
  </si>
  <si>
    <t>10.1016/j.jacr.2017.08.027</t>
  </si>
  <si>
    <t>10.11323/jjmp.38.1_10</t>
  </si>
  <si>
    <t>10.1097/scs.0000000000004901</t>
  </si>
  <si>
    <t>10.1371/journal.pone.0221245</t>
  </si>
  <si>
    <t>10.1038/s41598-020-73319-2</t>
  </si>
  <si>
    <t>10.1109/embc44109.2020.9176214</t>
  </si>
  <si>
    <t>10.1016/j.neuroimage.2019.05.017</t>
  </si>
  <si>
    <t>10.1007/s11604-018-0779-3</t>
  </si>
  <si>
    <t>10.2463/mrms.mp.2019-0063</t>
  </si>
  <si>
    <t>10.1002/mp.13583</t>
  </si>
  <si>
    <t>10.3390/s17112644</t>
  </si>
  <si>
    <t>10.23736/s1824-4785.20.03263-x</t>
  </si>
  <si>
    <t>10.1109/tmi.2020.3009002</t>
  </si>
  <si>
    <t>10.1148/radiol.2018172322</t>
  </si>
  <si>
    <t>10.1109/tmi.2018.2881678</t>
  </si>
  <si>
    <t>10.3390/healthcare8040493</t>
  </si>
  <si>
    <t>10.1109/cvprw50498.2020.00441</t>
  </si>
  <si>
    <t>10.1002/mp.13338</t>
  </si>
  <si>
    <t>10.1073/pnas.1919569117</t>
  </si>
  <si>
    <t>10.1016/j.acra.2019.10.006</t>
  </si>
  <si>
    <t>10.1038/s41598-017-01931-w</t>
  </si>
  <si>
    <t>10.1259/bjr.20200002</t>
  </si>
  <si>
    <t>10.1007/s11548-019-02062-5</t>
  </si>
  <si>
    <t>10.1016/j.schres.2019.07.034</t>
  </si>
  <si>
    <t>10.1109/tmi.2020.2993291</t>
  </si>
  <si>
    <t>10.1016/j.gie.2019.09.034</t>
  </si>
  <si>
    <t>10.1148/radiol.2020191740</t>
  </si>
  <si>
    <t>10.1093/cvr/cvaa021</t>
  </si>
  <si>
    <t>10.1109/tmi.2020.3008930</t>
  </si>
  <si>
    <t>10.1016/j.media.2019.04.009</t>
  </si>
  <si>
    <t>10.1001/jamanetworkopen.2020.27426</t>
  </si>
  <si>
    <t>10.1016/j.ejmp.2020.02.020</t>
  </si>
  <si>
    <t>10.1002/mp.13716</t>
  </si>
  <si>
    <t>10.1080/17453674.2017.1344459</t>
  </si>
  <si>
    <t>10.1109/jstsp.2020.3002385</t>
  </si>
  <si>
    <t>10.1161/strokeaha.120.030326</t>
  </si>
  <si>
    <t>10.1109/embc.2018.8513063</t>
  </si>
  <si>
    <t>10.1002/mp.13755</t>
  </si>
  <si>
    <t>10.1007/978-3-030-00946-5_28</t>
  </si>
  <si>
    <t>10.1117/12.2293761</t>
  </si>
  <si>
    <t>10.1007/s12194-020-00564-5</t>
  </si>
  <si>
    <t>10.1109/isbi.2019.8759295</t>
  </si>
  <si>
    <t>10.1146/annurev-bioeng-060418-052147</t>
  </si>
  <si>
    <t>10.1109/tmi.2018.2868045</t>
  </si>
  <si>
    <t>10.3390/diagnostics10121113</t>
  </si>
  <si>
    <t>10.1111/iej.13265</t>
  </si>
  <si>
    <t>10.1016/j.media.2019.101570</t>
  </si>
  <si>
    <t>10.1038/s41598-020-62329-9</t>
  </si>
  <si>
    <t>10.1016/j.cmpb.2017.10.017</t>
  </si>
  <si>
    <t>10.1016/j.cels.2017.03.009</t>
  </si>
  <si>
    <t>10.1142/s0129065716500258</t>
  </si>
  <si>
    <t>10.1016/j.compmedimag.2019.02.006</t>
  </si>
  <si>
    <t>10.1016/j.ultrasmedbio.2018.07.024</t>
  </si>
  <si>
    <t>10.1007/s11548-019-01989-z</t>
  </si>
  <si>
    <t>10.1038/s41586-020-2145-8</t>
  </si>
  <si>
    <t>10.1002/mp.13626</t>
  </si>
  <si>
    <t>10.1038/nbt.4106</t>
  </si>
  <si>
    <t>10.1038/s41592-019-0658-6</t>
  </si>
  <si>
    <t>10.1109/tmi.2020.2995508</t>
  </si>
  <si>
    <t>10.1109/tmi.2020.3042773</t>
  </si>
  <si>
    <t>10.3390/jcm8070986</t>
  </si>
  <si>
    <t>10.2196/18563</t>
  </si>
  <si>
    <t>10.1007/s11548-019-01984-4</t>
  </si>
  <si>
    <t>10.1016/j.compbiomed.2020.103792</t>
  </si>
  <si>
    <t>10.1016/j.mehy.2019.109433</t>
  </si>
  <si>
    <t>10.31557/apjcp.2019.20.11.3447</t>
  </si>
  <si>
    <t>10.1016/j.neuroimage.2019.116018</t>
  </si>
  <si>
    <t>10.1007/s10278-019-00180-9</t>
  </si>
  <si>
    <t>10.1016/j.ultras.2020.106271</t>
  </si>
  <si>
    <t>10.1002/mp.13937</t>
  </si>
  <si>
    <t>10.1007/s00586-019-06115-w</t>
  </si>
  <si>
    <t>10.1007/s00330-020-06679-y</t>
  </si>
  <si>
    <t>10.1109/jbhi.2020.2991043</t>
  </si>
  <si>
    <t>10.1109/jbhi.2018.2879381</t>
  </si>
  <si>
    <t>10.3390/s20061678</t>
  </si>
  <si>
    <t>10.1371/journal.pone.0217647</t>
  </si>
  <si>
    <t>10.1007/s11517-018-1819-y</t>
  </si>
  <si>
    <t>10.1109/tmi.2019.2906727</t>
  </si>
  <si>
    <t>10.1016/j.cmpb.2018.02.003</t>
  </si>
  <si>
    <t>10.1016/j.media.2019.04.012</t>
  </si>
  <si>
    <t>10.1371/journal.pone.0221720</t>
  </si>
  <si>
    <t>10.1016/j.cmpb.2016.12.019</t>
  </si>
  <si>
    <t>10.1016/j.chaos.2020.110190</t>
  </si>
  <si>
    <t>10.3892/br.2019.1199</t>
  </si>
  <si>
    <t>10.1371/journal.pone.0237213</t>
  </si>
  <si>
    <t>10.3390/diagnostics10080532</t>
  </si>
  <si>
    <t>10.1007/s12149-020-01510-6</t>
  </si>
  <si>
    <t>10.1002/mp.13849</t>
  </si>
  <si>
    <t>10.1001/jamanetworkopen.2019.5600</t>
  </si>
  <si>
    <t>10.1148/radiol.2019191154</t>
  </si>
  <si>
    <t>10.1002/mp.13677</t>
  </si>
  <si>
    <t>10.3348/kjr.2019.0470</t>
  </si>
  <si>
    <t>10.1002/mp.13199</t>
  </si>
  <si>
    <t>10.1038/s41598-019-40710-7</t>
  </si>
  <si>
    <t>10.1088/1361-6560/aacdd4</t>
  </si>
  <si>
    <t>10.1371/journal.pone.0234902</t>
  </si>
  <si>
    <t>10.1016/j.diii.2019.05.008</t>
  </si>
  <si>
    <t>10.3348/kjr.2019.0212</t>
  </si>
  <si>
    <t>10.1007/s00330-019-06130-x</t>
  </si>
  <si>
    <t>10.1007/s00330-019-06532-x</t>
  </si>
  <si>
    <t>10.1038/s41598-019-54434-1</t>
  </si>
  <si>
    <t>10.1017/s0022215120000444</t>
  </si>
  <si>
    <t>10.1534/g3.116.033654</t>
  </si>
  <si>
    <t>10.1016/j.jneumeth.2019.108311</t>
  </si>
  <si>
    <t>10.1038/s41598-019-42557-4</t>
  </si>
  <si>
    <t>10.1615/CritRevBiomedEng.2017025035</t>
  </si>
  <si>
    <t>10.2174/0929867328666201228125208</t>
  </si>
  <si>
    <t>10.1109/embc.2019.8857587</t>
  </si>
  <si>
    <t>10.1007/978-3-030-32251-9_43</t>
  </si>
  <si>
    <t>10.1007/s11517-020-02127-7</t>
  </si>
  <si>
    <t>10.1016/j.mri.2019.04.009</t>
  </si>
  <si>
    <t>10.18383/j.tom.2018.00034</t>
  </si>
  <si>
    <t>10.1016/j.survophthal.2019.02.003</t>
  </si>
  <si>
    <t>10.1002/jmri.26246</t>
  </si>
  <si>
    <t>10.1016/j.radonc.2019.06.031</t>
  </si>
  <si>
    <t>10.1016/j.compbiomed.2019.103445</t>
  </si>
  <si>
    <t>10.1371/journal.pone.0236868</t>
  </si>
  <si>
    <t>10.1109/embc.2019.8857478</t>
  </si>
  <si>
    <t>10.1158/1078-0432.Ccr-18-3065</t>
  </si>
  <si>
    <t>10.1371/journal.pone.0146490</t>
  </si>
  <si>
    <t>10.1007/s00330-019-06318-1</t>
  </si>
  <si>
    <t>10.1109/jbhi.2018.2890045</t>
  </si>
  <si>
    <t>10.1109/embc.2019.8857666</t>
  </si>
  <si>
    <t>10.1016/j.ophtha.2018.11.015</t>
  </si>
  <si>
    <t>10.1016/j.cmpb.2019.06.016</t>
  </si>
  <si>
    <t>10.1016/j.cmpb.2020.105532</t>
  </si>
  <si>
    <t>10.1109/tmi.2019.2918096</t>
  </si>
  <si>
    <t>10.1007/s11548-018-1876-6</t>
  </si>
  <si>
    <t>10.3389/fninf.2019.00033</t>
  </si>
  <si>
    <t>10.1097/rli.0000000000000484</t>
  </si>
  <si>
    <t>10.1016/j.neuroimage.2019.03.026</t>
  </si>
  <si>
    <t>10.1038/s41598-018-24304-3</t>
  </si>
  <si>
    <t>10.1016/j.media.2018.12.007</t>
  </si>
  <si>
    <t>10.1109/tmi.2019.2914656</t>
  </si>
  <si>
    <t>10.1109/tmi.2017.2739110</t>
  </si>
  <si>
    <t>10.1001/jamaophthalmol.2019.6143</t>
  </si>
  <si>
    <t>10.1038/s41598-020-74164-z</t>
  </si>
  <si>
    <t>10.1109/tmi.2018.2885572</t>
  </si>
  <si>
    <t>10.2214/ajr.18.20331</t>
  </si>
  <si>
    <t>10.1001/jamanetworkopen.2019.13436</t>
  </si>
  <si>
    <t>10.1016/j.artmed.2019.101781</t>
  </si>
  <si>
    <t>10.1016/s2589-7500(20)30025-x</t>
  </si>
  <si>
    <t>10.1038/srep38897</t>
  </si>
  <si>
    <t>10.1002/hbm.24423</t>
  </si>
  <si>
    <t>10.1007/s12021-018-9387-8</t>
  </si>
  <si>
    <t>10.1016/j.neuroimage.2018.07.047</t>
  </si>
  <si>
    <t>10.1111/cpf.12611</t>
  </si>
  <si>
    <t>10.1038/s41746-020-0281-z</t>
  </si>
  <si>
    <t>10.1038/s41551-018-0195-0</t>
  </si>
  <si>
    <t>10.1016/j.media.2019.101561</t>
  </si>
  <si>
    <t>10.1109/embc.2017.8036906</t>
  </si>
  <si>
    <t>10.1007/s00417-017-3839-y</t>
  </si>
  <si>
    <t>10.1016/j.cmpb.2019.02.006</t>
  </si>
  <si>
    <t>10.1007/978-3-642-40763-5_31</t>
  </si>
  <si>
    <t>10.1007/s10916-016-0460-2</t>
  </si>
  <si>
    <t>10.1117/1.Jbo.21.7.075008</t>
  </si>
  <si>
    <t>10.1148/radiol.2017162664</t>
  </si>
  <si>
    <t>10.1016/j.media.2018.06.003</t>
  </si>
  <si>
    <t>10.1016/j.compbiomed.2019.01.022</t>
  </si>
  <si>
    <t>10.1007/s00330-020-07156-2</t>
  </si>
  <si>
    <t>10.1371/journal.pone.0225759</t>
  </si>
  <si>
    <t>10.1109/tmi.2019.2907049</t>
  </si>
  <si>
    <t>10.1016/j.compbiomed.2020.104097</t>
  </si>
  <si>
    <t>10.1007/s00330-019-06344-z</t>
  </si>
  <si>
    <t>10.1002/mp.14075</t>
  </si>
  <si>
    <t>10.1109/jbhi.2018.2885134</t>
  </si>
  <si>
    <t>10.1109/embc44109.2020.9176204</t>
  </si>
  <si>
    <t>10.1109/jbhi.2020.3030853</t>
  </si>
  <si>
    <t>10.1109/tmi.2018.2863670</t>
  </si>
  <si>
    <t>10.1016/j.cmpb.2018.05.024</t>
  </si>
  <si>
    <t>10.1016/j.cmpb.2020.105568</t>
  </si>
  <si>
    <t>10.1038/s41598-019-51503-3</t>
  </si>
  <si>
    <t>10.1016/j.cmpb.2019.105059</t>
  </si>
  <si>
    <t>10.1016/j.compbiomed.2019.103327</t>
  </si>
  <si>
    <t>10.1093/brain/awaa137</t>
  </si>
  <si>
    <t>10.1016/j.mri.2020.04.016</t>
  </si>
  <si>
    <t>10.3233/xst-16226</t>
  </si>
  <si>
    <t>10.1109/tmi.2018.2820120</t>
  </si>
  <si>
    <t>10.1109/embc.2018.8512374</t>
  </si>
  <si>
    <t>10.1016/j.media.2017.04.012</t>
  </si>
  <si>
    <t>10.3174/ajnr.A6704</t>
  </si>
  <si>
    <t>10.1016/j.artmed.2019.06.003</t>
  </si>
  <si>
    <t>10.31557/apjcp.2019.20.5.1555</t>
  </si>
  <si>
    <t>10.1016/j.compmedimag.2018.02.002</t>
  </si>
  <si>
    <t>10.1016/j.compmedimag.2017.10.001</t>
  </si>
  <si>
    <t>10.1016/j.media.2019.101612</t>
  </si>
  <si>
    <t>10.1038/s41598-017-17858-1</t>
  </si>
  <si>
    <t>10.1016/j.jvs.2019.12.026</t>
  </si>
  <si>
    <t>10.3233/xst-200715</t>
  </si>
  <si>
    <t>10.1016/j.tice.2020.101473</t>
  </si>
  <si>
    <t>10.1016/j.compbiomed.2020.103815</t>
  </si>
  <si>
    <t>10.1007/s10916-019-1500-5</t>
  </si>
  <si>
    <t>10.7717/peerj.8693</t>
  </si>
  <si>
    <t>10.1371/journal.pone.0242301</t>
  </si>
  <si>
    <t>10.1109/embc.2019.8856715</t>
  </si>
  <si>
    <t>10.1016/j.artmed.2019.101724</t>
  </si>
  <si>
    <t>10.1007/s10278-016-9914-9</t>
  </si>
  <si>
    <t>10.1371/journal.pmed.1002686</t>
  </si>
  <si>
    <t>10.1038/s41598-020-61055-6</t>
  </si>
  <si>
    <t>10.1371/journal.pone.0228962</t>
  </si>
  <si>
    <t>10.1039/c8nr06116e</t>
  </si>
  <si>
    <t>10.1016/j.biosystems.2020.104211</t>
  </si>
  <si>
    <t>10.1016/j.media.2019.06.007</t>
  </si>
  <si>
    <t>10.1007/s10916-019-1475-2</t>
  </si>
  <si>
    <t>10.1016/s2589-7500(19)30085-8</t>
  </si>
  <si>
    <t>10.1016/j.media.2019.05.001</t>
  </si>
  <si>
    <t>10.1007/s10278-019-00282-4</t>
  </si>
  <si>
    <t>10.1088/1361-6560/ab7308</t>
  </si>
  <si>
    <t>10.1016/j.neuroimage.2019.116132</t>
  </si>
  <si>
    <t>10.1109/embc.2019.8857905</t>
  </si>
  <si>
    <t>10.1038/s41598-019-56583-9</t>
  </si>
  <si>
    <t>10.1002/mp.14447</t>
  </si>
  <si>
    <t>10.1186/s12938-019-0738-y</t>
  </si>
  <si>
    <t>10.1093/bioinformatics/btz505</t>
  </si>
  <si>
    <t>10.1148/radiol.2020190283</t>
  </si>
  <si>
    <t>10.1109/icassp40776.2020.9053555</t>
  </si>
  <si>
    <t>10.1016/j.media.2019.01.011</t>
  </si>
  <si>
    <t>10.1007/s11548-018-1764-0</t>
  </si>
  <si>
    <t>10.1109/jproc.2019.2936204</t>
  </si>
  <si>
    <t>10.1016/j.media.2018.12.003</t>
  </si>
  <si>
    <t>10.1109/jbhi.2018.2874033</t>
  </si>
  <si>
    <t>10.1038/d41586-019-03847-z</t>
  </si>
  <si>
    <t>10.3389/fnins.2019.01182</t>
  </si>
  <si>
    <t>10.1177/1533034618775530</t>
  </si>
  <si>
    <t>10.1016/j.compbiomed.2016.12.010</t>
  </si>
  <si>
    <t>10.1002/jemt.23139</t>
  </si>
  <si>
    <t>10.1007/s10278-019-00216-0</t>
  </si>
  <si>
    <t>10.1002/ase.1807</t>
  </si>
  <si>
    <t>10.1117/12.2513089</t>
  </si>
  <si>
    <t>10.3174/ajnr.A6573</t>
  </si>
  <si>
    <t>10.1117/12.2511997</t>
  </si>
  <si>
    <t>10.1002/mp.13880</t>
  </si>
  <si>
    <t>10.1002/lary.28539</t>
  </si>
  <si>
    <t>10.1109/jbhi.2018.2876916</t>
  </si>
  <si>
    <t>10.1007/s11548-019-02097-8</t>
  </si>
  <si>
    <t>10.1038/s41598-020-69920-0</t>
  </si>
  <si>
    <t>10.1155/2016/1537325</t>
  </si>
  <si>
    <t>10.1016/j.acra.2020.08.023</t>
  </si>
  <si>
    <t>10.1007/s11548-020-02254-4</t>
  </si>
  <si>
    <t>10.1016/j.ibmed.2020.100005</t>
  </si>
  <si>
    <t>10.1117/1.Jmi.3.4.044501</t>
  </si>
  <si>
    <t>10.1002/mp.13814</t>
  </si>
  <si>
    <t>10.1016/j.cmpb.2019.05.006</t>
  </si>
  <si>
    <t>10.1038/s41598-018-22437-z</t>
  </si>
  <si>
    <t>10.1556/650.2019.31263</t>
  </si>
  <si>
    <t>10.1016/j.acra.2020.01.012</t>
  </si>
  <si>
    <t>10.1016/j.ijrobp.2020.10.038</t>
  </si>
  <si>
    <t>10.1016/s2589-7500(20)30216-8</t>
  </si>
  <si>
    <t>10.1016/j.compbiomed.2019.103342</t>
  </si>
  <si>
    <t>10.1158/0008-5472.Can-17-0122</t>
  </si>
  <si>
    <t>10.1016/j.media.2019.101589</t>
  </si>
  <si>
    <t>10.1109/tpami.2018.2826549</t>
  </si>
  <si>
    <t>10.1007/s10916-020-1541-9</t>
  </si>
  <si>
    <t>10.1049/htl.2019.0078</t>
  </si>
  <si>
    <t>10.1007/s00330-019-06186-9</t>
  </si>
  <si>
    <t>10.1177/0284185117748487</t>
  </si>
  <si>
    <t>10.1002/mp.14507</t>
  </si>
  <si>
    <t>10.1002/cyto.a.23065</t>
  </si>
  <si>
    <t>10.1242/dmm.042200</t>
  </si>
  <si>
    <t>10.3389/frobt.2019.00086</t>
  </si>
  <si>
    <t>10.1016/j.compbiomed.2019.103355</t>
  </si>
  <si>
    <t>10.1007/s11548-018-1772-0</t>
  </si>
  <si>
    <t>10.1016/j.media.2018.01.006</t>
  </si>
  <si>
    <t>10.1016/j.compmedimag.2018.03.001</t>
  </si>
  <si>
    <t>10.1016/j.neuroimage.2019.03.042</t>
  </si>
  <si>
    <t>10.1038/s41374-020-0463-y</t>
  </si>
  <si>
    <t>10.1109/embc44109.2020.9175310</t>
  </si>
  <si>
    <t>10.1109/tmi.2020.2994459</t>
  </si>
  <si>
    <t>10.1109/embc44109.2020.9175453</t>
  </si>
  <si>
    <t>10.1093/bioinformatics/bty983</t>
  </si>
  <si>
    <t>10.1016/j.media.2019.06.014</t>
  </si>
  <si>
    <t>10.1109/embc.2017.8036887</t>
  </si>
  <si>
    <t>10.1016/j.jcmg.2019.05.030</t>
  </si>
  <si>
    <t>10.1007/s11548-019-02042-9</t>
  </si>
  <si>
    <t>10.1167/iovs.18-25325</t>
  </si>
  <si>
    <t>10.1088/1361-6560/ab3ad1</t>
  </si>
  <si>
    <t>10.1002/jmri.26712</t>
  </si>
  <si>
    <t>10.1007/s10916-018-1001-y</t>
  </si>
  <si>
    <t>10.1016/j.jiph.2020.06.033</t>
  </si>
  <si>
    <t>10.1007/s10916-019-1413-3</t>
  </si>
  <si>
    <t>10.1007/s10916-019-1455-6</t>
  </si>
  <si>
    <t>10.1016/s2589-7500(20)30063-7</t>
  </si>
  <si>
    <t>10.1109/embc.2016.7590962</t>
  </si>
  <si>
    <t>10.1007/s11701-020-01149-5</t>
  </si>
  <si>
    <t>10.5120/ijais2018451755</t>
  </si>
  <si>
    <t>10.1002/path.5577</t>
  </si>
  <si>
    <t>10.1109/tip.2018.2795742</t>
  </si>
  <si>
    <t>10.1038/s41598-019-47390-3</t>
  </si>
  <si>
    <t>10.1007/s10278-017-0040-0</t>
  </si>
  <si>
    <t>10.1038/s41598-020-71294-2</t>
  </si>
  <si>
    <t>10.1038/s41598-019-47181-w</t>
  </si>
  <si>
    <t>10.1016/j.tice.2019.02.001</t>
  </si>
  <si>
    <t>10.1007/s10916-019-1401-7</t>
  </si>
  <si>
    <t>10.3233/shti200481</t>
  </si>
  <si>
    <t>10.1016/j.nicl.2019.102149</t>
  </si>
  <si>
    <t>10.1016/j.celrep.2018.03.086</t>
  </si>
  <si>
    <t>10.1002/mp.14678</t>
  </si>
  <si>
    <t>10.1088/1361-6560/aabb5b</t>
  </si>
  <si>
    <t>10.1088/1361-6560/ab82e8</t>
  </si>
  <si>
    <t>10.1371/journal.pone.0232376</t>
  </si>
  <si>
    <t>10.1007/s11548-020-02262-4</t>
  </si>
  <si>
    <t>10.1002/hbm.24687</t>
  </si>
  <si>
    <t>10.1007/s00330-020-07474-5</t>
  </si>
  <si>
    <t>10.1038/s41598-019-52737-x</t>
  </si>
  <si>
    <t>10.1002/cncy.22176</t>
  </si>
  <si>
    <t>10.1016/j.diii.2019.01.008</t>
  </si>
  <si>
    <t>10.3390/s19163595</t>
  </si>
  <si>
    <t>10.1109/jbhi.2020.3012134</t>
  </si>
  <si>
    <t>10.1109/tmi.2018.2879369</t>
  </si>
  <si>
    <t>10.1109/tmi.2017.2665671</t>
  </si>
  <si>
    <t>10.1007/s10439-019-02280-7</t>
  </si>
  <si>
    <t>10.1371/journal.pone.0223549</t>
  </si>
  <si>
    <t>10.1007/s10916-019-1406-2</t>
  </si>
  <si>
    <t>10.1038/s41598-020-62607-6</t>
  </si>
  <si>
    <t>10.1016/j.jbi.2020.103656</t>
  </si>
  <si>
    <t>10.1016/j.ophtha.2018.11.016</t>
  </si>
  <si>
    <t>10.1002/cyto.a.23899</t>
  </si>
  <si>
    <t>10.1097/ico.0000000000002181</t>
  </si>
  <si>
    <t>10.1001/jamanetworkopen.2020.0265</t>
  </si>
  <si>
    <t>10.1172/jci131187</t>
  </si>
  <si>
    <t>10.1148/radiol.2019190938</t>
  </si>
  <si>
    <t>10.1371/journal.pone.0243219</t>
  </si>
  <si>
    <t>10.1371/journal.pone.0236418</t>
  </si>
  <si>
    <t>10.1016/j.mri.2019.05.008</t>
  </si>
  <si>
    <t>10.1016/j.nicl.2019.101884</t>
  </si>
  <si>
    <t>10.1002/hbm.23730</t>
  </si>
  <si>
    <t>10.1016/j.ophtha.2017.10.031</t>
  </si>
  <si>
    <t>10.1109/tmi.2017.2760978</t>
  </si>
  <si>
    <t>10.1097/corr.0000000000000755</t>
  </si>
  <si>
    <t>10.1016/j.diii.2019.02.009</t>
  </si>
  <si>
    <t>10.1016/j.ajo.2020.03.042</t>
  </si>
  <si>
    <t>10.1016/j.ophtha.2020.03.010</t>
  </si>
  <si>
    <t>10.1016/j.zemedi.2019.01.002</t>
  </si>
  <si>
    <t>10.1038/s41467-020-19449-7</t>
  </si>
  <si>
    <t>10.1038/s41467-020-18037-z</t>
  </si>
  <si>
    <t>10.1016/j.jdent.2019.103260</t>
  </si>
  <si>
    <t>10.1093/bioinformatics/btaa225</t>
  </si>
  <si>
    <t>10.1016/j.lungcan.2018.11.001</t>
  </si>
  <si>
    <t>10.1007/s00330-019-06498-w</t>
  </si>
  <si>
    <t>10.1016/j.breast.2019.12.014</t>
  </si>
  <si>
    <t>10.1007/s11548-020-02172-5</t>
  </si>
  <si>
    <t>10.1007/s11548-019-01950-0</t>
  </si>
  <si>
    <t>10.3390/v12070769</t>
  </si>
  <si>
    <t>10.1109/tmi.2019.2919951</t>
  </si>
  <si>
    <t>10.1177/2472630320958376</t>
  </si>
  <si>
    <t>10.1136/jramc-2018-001055</t>
  </si>
  <si>
    <t>10.3892/ol.2019.10928</t>
  </si>
  <si>
    <t>10.1200/cci.18.00138</t>
  </si>
  <si>
    <t>10.1002/mp.13649</t>
  </si>
  <si>
    <t>10.1155/2017/3098293</t>
  </si>
  <si>
    <t>10.1016/j.mehy.2019.109413</t>
  </si>
  <si>
    <t>10.1016/j.compbiomed.2019.103423</t>
  </si>
  <si>
    <t>10.1016/j.media.2017.06.015</t>
  </si>
  <si>
    <t>10.1016/j.joen.2020.03.025</t>
  </si>
  <si>
    <t>10.1109/tmi.2018.2872031</t>
  </si>
  <si>
    <t>10.1371/journal.pone.0233514</t>
  </si>
  <si>
    <t>10.1177/1533033818798800</t>
  </si>
  <si>
    <t>10.1016/j.media.2019.02.004</t>
  </si>
  <si>
    <t>10.3233/shti200594</t>
  </si>
  <si>
    <t>10.1016/j.neunet.2020.03.017</t>
  </si>
  <si>
    <t>10.2214/ajr.18.20094</t>
  </si>
  <si>
    <t>10.1109/tmi.2018.2832217</t>
  </si>
  <si>
    <t>10.1109/jbhi.2019.2899403</t>
  </si>
  <si>
    <t>10.1016/j.nicl.2019.101871</t>
  </si>
  <si>
    <t>10.1038/s41598-017-01779-0</t>
  </si>
  <si>
    <t>10.1109/tbme.2018.2849987</t>
  </si>
  <si>
    <t>10.1007/978-3-030-11723-8_9</t>
  </si>
  <si>
    <t>10.1109/tmi.2018.2823679</t>
  </si>
  <si>
    <t>10.1088/1361-6560/abc812</t>
  </si>
  <si>
    <t>10.1371/journal.pcbi.1006633</t>
  </si>
  <si>
    <t>10.1038/s41598-019-48995-4</t>
  </si>
  <si>
    <t>10.7507/1001-5515.201905029</t>
  </si>
  <si>
    <t>10.1038/s41551-019-0466-4</t>
  </si>
  <si>
    <t>10.1002/mp.13945</t>
  </si>
  <si>
    <t>10.1016/j.cmpb.2019.105012</t>
  </si>
  <si>
    <t>10.1109/embc.2018.8512398</t>
  </si>
  <si>
    <t>10.3389/fnins.2019.00396</t>
  </si>
  <si>
    <t>10.1007/s00330-019-06265-x</t>
  </si>
  <si>
    <t>10.1002/mp.14063</t>
  </si>
  <si>
    <t>10.1007/978-3-030-32692-0_3</t>
  </si>
  <si>
    <t>10.1016/j.media.2020.101908</t>
  </si>
  <si>
    <t>10.1109/cvpr.2019.00435</t>
  </si>
  <si>
    <t>10.1016/j.media.2019.07.007</t>
  </si>
  <si>
    <t>10.1161/strokeaha.119.026189</t>
  </si>
  <si>
    <t>10.1016/j.jacr.2017.11.036</t>
  </si>
  <si>
    <t>10.1155/2019/4393124</t>
  </si>
  <si>
    <t>10.1088/1361-6560/ab3556</t>
  </si>
  <si>
    <t>10.1016/j.cmpb.2020.105611</t>
  </si>
  <si>
    <t>10.1002/hbm.24006</t>
  </si>
  <si>
    <t>10.1109/jbhi.2016.2602823</t>
  </si>
  <si>
    <t>10.1109/jbhi.2017.2655720</t>
  </si>
  <si>
    <t>10.1016/j.mri.2019.05.003</t>
  </si>
  <si>
    <t>10.1038/s41467-020-19527-w</t>
  </si>
  <si>
    <t>10.1038/s41598-018-33013-w</t>
  </si>
  <si>
    <t>10.1038/s41598-020-72357-0</t>
  </si>
  <si>
    <t>10.1007/s11548-019-02105-x</t>
  </si>
  <si>
    <t>10.1109/tpami.2012.277</t>
  </si>
  <si>
    <t>10.1016/j.cmpb.2020.105815</t>
  </si>
  <si>
    <t>10.1016/j.media.2019.101556</t>
  </si>
  <si>
    <t>10.1016/j.compmedimag.2018.08.001</t>
  </si>
  <si>
    <t>10.3348/kjr.2019.0413</t>
  </si>
  <si>
    <t>10.1016/j.nicl.2019.101748</t>
  </si>
  <si>
    <t>10.1007/s11604-019-00894-4</t>
  </si>
  <si>
    <t>10.1136/neurintsurg-2019-015544</t>
  </si>
  <si>
    <t>10.1007/s00330-019-06229-1</t>
  </si>
  <si>
    <t>10.1016/j.ymeth.2020.10.004</t>
  </si>
  <si>
    <t>10.1016/j.eururo.2019.08.032</t>
  </si>
  <si>
    <t>10.1002/jum.14860</t>
  </si>
  <si>
    <t>10.1007/s10278-018-0141-4</t>
  </si>
  <si>
    <t>10.3390/biom10121691</t>
  </si>
  <si>
    <t>10.3791/60763</t>
  </si>
  <si>
    <t>10.1038/s41598-020-60598-y</t>
  </si>
  <si>
    <t>10.3174/ajnr.A5911</t>
  </si>
  <si>
    <t>10.1097/ju.0000000000001164</t>
  </si>
  <si>
    <t>10.1016/j.ejca.2020.04.043</t>
  </si>
  <si>
    <t>10.1021/acsnano.9b03140</t>
  </si>
  <si>
    <t>10.1109/tmi.2016.2629462</t>
  </si>
  <si>
    <t>10.1016/j.cmpb.2020.105867</t>
  </si>
  <si>
    <t>10.1148/radiol.2019182465</t>
  </si>
  <si>
    <t>10.1038/s41598-018-20453-7</t>
  </si>
  <si>
    <t>10.1038/s41592-020-0779-y</t>
  </si>
  <si>
    <t>10.1007/s10096-020-03901-z</t>
  </si>
  <si>
    <t>10.2214/ajr.19.21809</t>
  </si>
  <si>
    <t>10.1371/journal.pone.0204155</t>
  </si>
  <si>
    <t>10.1007/s00330-019-06607-9</t>
  </si>
  <si>
    <t>10.1007/s10278-019-00229-9</t>
  </si>
  <si>
    <t>10.1109/embc44109.2020.9175358</t>
  </si>
  <si>
    <t>10.1007/978-3-030-00928-1_57</t>
  </si>
  <si>
    <t>10.1109/tmi.2016.2525803</t>
  </si>
  <si>
    <t>10.1117/1.Jbo.24.5.051408</t>
  </si>
  <si>
    <t>10.1148/radiol.2019190791</t>
  </si>
  <si>
    <t>10.3389/fped.2020.00001</t>
  </si>
  <si>
    <t>10.1073/pnas.1912707116</t>
  </si>
  <si>
    <t>10.1128/jcm.01521-17</t>
  </si>
  <si>
    <t>10.1177/2472630317727721</t>
  </si>
  <si>
    <t>10.2174/1573405615666190404163233</t>
  </si>
  <si>
    <t>10.1109/embc.2019.8856981</t>
  </si>
  <si>
    <t>10.1371/journal.pone.0227240</t>
  </si>
  <si>
    <t>10.1073/pnas.1812995116</t>
  </si>
  <si>
    <t>10.1016/j.ophtha.2019.05.029</t>
  </si>
  <si>
    <t>10.1007/s00330-020-06665-4</t>
  </si>
  <si>
    <t>10.1016/j.compbiomed.2019.103528</t>
  </si>
  <si>
    <t>10.1016/j.ejca.2019.07.009</t>
  </si>
  <si>
    <t>10.1038/s41598-019-56697-0</t>
  </si>
  <si>
    <t>10.1097/md.0000000000015133</t>
  </si>
  <si>
    <t>10.1007/s00259-020-04929-1</t>
  </si>
  <si>
    <t>10.1109/jbhi.2020.2973614</t>
  </si>
  <si>
    <t>10.1002/mp.13727</t>
  </si>
  <si>
    <t>10.1155/2017/8314740</t>
  </si>
  <si>
    <t>10.1109/jbhi.2018.2878945</t>
  </si>
  <si>
    <t>10.1109/tbme.2015.2430895</t>
  </si>
  <si>
    <t>10.1109/embc.2014.6944230</t>
  </si>
  <si>
    <t>10.1002/jmri.26047</t>
  </si>
  <si>
    <t>10.1016/j.ajo.2020.07.020</t>
  </si>
  <si>
    <t>10.1038/s41598-019-41172-7</t>
  </si>
  <si>
    <t>10.1007/s10792-018-1016-x</t>
  </si>
  <si>
    <t>10.1155/2019/1075434</t>
  </si>
  <si>
    <t>10.2174/1389450121666200708120646</t>
  </si>
  <si>
    <t>10.1109/tmi.2019.2907805</t>
  </si>
  <si>
    <t>10.1016/j.mri.2020.06.002</t>
  </si>
  <si>
    <t>10.1016/j.media.2016.10.010</t>
  </si>
  <si>
    <t>10.1186/s41747-019-0118-1</t>
  </si>
  <si>
    <t>10.1016/j.neuroimage.2019.01.031</t>
  </si>
  <si>
    <t>10.1016/j.jbi.2019.103248</t>
  </si>
  <si>
    <t>10.1002/mrm.27758</t>
  </si>
  <si>
    <t>10.2967/jnumed.118.214320</t>
  </si>
  <si>
    <t>10.3174/ajnr.A5926</t>
  </si>
  <si>
    <t>10.1109/embc44109.2020.9175809</t>
  </si>
  <si>
    <t>10.1038/s41598-020-70542-9</t>
  </si>
  <si>
    <t>10.1186/s12968-020-00651-x</t>
  </si>
  <si>
    <t>10.1097/pas.0000000000001151</t>
  </si>
  <si>
    <t>10.1007/s10278-019-00220-4</t>
  </si>
  <si>
    <t>10.1007/s10278-018-0162-z</t>
  </si>
  <si>
    <t>10.1155/2019/4180949</t>
  </si>
  <si>
    <t>10.1259/bjr.20200677</t>
  </si>
  <si>
    <t>10.1148/radiol.2020200334</t>
  </si>
  <si>
    <t>10.1109/tmi.2019.2955184</t>
  </si>
  <si>
    <t>10.1016/j.media.2020.101742</t>
  </si>
  <si>
    <t>10.1080/02699052.2016.1222080</t>
  </si>
  <si>
    <t>10.1038/s41592-018-0028-9</t>
  </si>
  <si>
    <t>10.1038/s41592-018-0267-9</t>
  </si>
  <si>
    <t>10.1007/s11548-020-02197-w</t>
  </si>
  <si>
    <t>10.3390/jpm10040211</t>
  </si>
  <si>
    <t>10.1002/jmri.26693</t>
  </si>
  <si>
    <t>10.1016/j.neuroimage.2014.06.077</t>
  </si>
  <si>
    <t>10.1016/j.media.2017.01.008</t>
  </si>
  <si>
    <t>10.1007/978-3-642-40763-5_72</t>
  </si>
  <si>
    <t>10.1016/j.neuroimage.2016.01.005</t>
  </si>
  <si>
    <t>10.1016/j.cell.2018.04.003</t>
  </si>
  <si>
    <t>10.1038/nbt.4225</t>
  </si>
  <si>
    <t>10.1007/s00261-020-02741-x</t>
  </si>
  <si>
    <t>10.1093/jrr/rrz030</t>
  </si>
  <si>
    <t>10.1117/12.2549605</t>
  </si>
  <si>
    <t>10.1109/jbhi.2019.2949837</t>
  </si>
  <si>
    <t>10.3390/s19122649</t>
  </si>
  <si>
    <t>10.1007/s10916-019-1358-6</t>
  </si>
  <si>
    <t>10.1109/tip.2019.2925288</t>
  </si>
  <si>
    <t>10.1109/jbhi.2020.3019505</t>
  </si>
  <si>
    <t>10.1109/tmi.2019.2962792</t>
  </si>
  <si>
    <t>10.1016/j.neuroimage.2019.05.037</t>
  </si>
  <si>
    <t>10.24920/003576</t>
  </si>
  <si>
    <t>10.3390/s19061425</t>
  </si>
  <si>
    <t>10.1016/j.compmedimag.2016.07.004</t>
  </si>
  <si>
    <t>10.1016/j.compbiomed.2017.04.006</t>
  </si>
  <si>
    <t>10.1155/2017/7361042</t>
  </si>
  <si>
    <t>10.1007/s10916-019-1305-6</t>
  </si>
  <si>
    <t>10.1073/pnas.1902322116</t>
  </si>
  <si>
    <t>10.1016/j.jneumeth.2019.108319</t>
  </si>
  <si>
    <t>10.1016/j.compmedimag.2019.05.001</t>
  </si>
  <si>
    <t>10.1002/mp.13753</t>
  </si>
  <si>
    <t>10.1016/j.jacr.2018.01.028</t>
  </si>
  <si>
    <t>10.1007/s11548-020-02170-7</t>
  </si>
  <si>
    <t>10.2463/mrms.mp.2019-0021</t>
  </si>
  <si>
    <t>10.1016/j.compmedimag.2019.04.005</t>
  </si>
  <si>
    <t>10.1055/s-0040-1701629</t>
  </si>
  <si>
    <t>10.1109/tmi.2018.2888807</t>
  </si>
  <si>
    <t>10.1109/tnb.2018.2839585</t>
  </si>
  <si>
    <t>10.1016/j.media.2020.101693</t>
  </si>
  <si>
    <t>10.1007/s00256-018-3033-2</t>
  </si>
  <si>
    <t>10.1371/journal.pone.0179790</t>
  </si>
  <si>
    <t>10.1259/bjr.20190420</t>
  </si>
  <si>
    <t>10.1016/j.ejmp.2020.02.012</t>
  </si>
  <si>
    <t>10.1038/s41598-018-25842-6</t>
  </si>
  <si>
    <t>10.1016/j.artmed.2019.101743</t>
  </si>
  <si>
    <t>10.1016/j.compmedimag.2019.101673</t>
  </si>
  <si>
    <t>10.1016/j.media.2020.101783</t>
  </si>
  <si>
    <t>10.2463/mrms.mp.2018-0156</t>
  </si>
  <si>
    <t>10.3969/j.issn.1671-7104.2019.02.002</t>
  </si>
  <si>
    <t>10.3233/xst-180426</t>
  </si>
  <si>
    <t>10.1016/j.compmedimag.2020.101817</t>
  </si>
  <si>
    <t>10.1016/j.media.2017.04.002</t>
  </si>
  <si>
    <t>10.1002/jmri.25932</t>
  </si>
  <si>
    <t>10.2174/1568026620666200710101307</t>
  </si>
  <si>
    <t>10.1088/1361-6560/ab5093</t>
  </si>
  <si>
    <t>10.2214/ajr.19.22074</t>
  </si>
  <si>
    <t>10.1155/2019/8639825</t>
  </si>
  <si>
    <t>10.1007/s00330-019-06441-z</t>
  </si>
  <si>
    <t>10.1016/s2589-7500(20)30064-9</t>
  </si>
  <si>
    <t>10.1016/j.compbiomed.2019.103352</t>
  </si>
  <si>
    <t>10.1155/2019/5450373</t>
  </si>
  <si>
    <t>10.1117/1.Jmi.7.4.044002</t>
  </si>
  <si>
    <t>10.1016/j.neuroimage.2020.117366</t>
  </si>
  <si>
    <t>10.3233/xst-190548</t>
  </si>
  <si>
    <t>10.7507/1001-5515.201611064</t>
  </si>
  <si>
    <t>10.1148/radiol.2018180513</t>
  </si>
  <si>
    <t>10.3881/j.issn.1000-503X.11693</t>
  </si>
  <si>
    <t>10.1007/s11548-020-02175-2</t>
  </si>
  <si>
    <t>10.1007/s11548-019-01922-4</t>
  </si>
  <si>
    <t>10.1016/j.jacr.2020.08.018</t>
  </si>
  <si>
    <t>10.3390/ijerph17186933</t>
  </si>
  <si>
    <t>10.1093/bioinformatics/btaa029</t>
  </si>
  <si>
    <t>10.1007/s00330-019-06183-y</t>
  </si>
  <si>
    <t>10.1038/s41598-020-78696-2</t>
  </si>
  <si>
    <t>10.1371/journal.pmed.1002697</t>
  </si>
  <si>
    <t>10.1007/s10278-017-9993-2</t>
  </si>
  <si>
    <t>10.1038/s41592-019-0580-y</t>
  </si>
  <si>
    <t>10.1155/2019/8597606</t>
  </si>
  <si>
    <t>10.1371/journal.pone.0229951</t>
  </si>
  <si>
    <t>10.1088/1361-6560/ab9358</t>
  </si>
  <si>
    <t>10.1007/s12194-017-0435-0</t>
  </si>
  <si>
    <t>10.1109/tpami.2018.2876842</t>
  </si>
  <si>
    <t>10.1109/tmi.2018.2887072</t>
  </si>
  <si>
    <t>10.1053/j.gastro.2019.12.035</t>
  </si>
  <si>
    <t>10.1007/s10916-019-1223-7</t>
  </si>
  <si>
    <t>10.1007/s11548-019-02043-8</t>
  </si>
  <si>
    <t>10.1001/jamaophthalmol.2019.5983</t>
  </si>
  <si>
    <t>10.1016/j.ajo.2019.01.011</t>
  </si>
  <si>
    <t>10.1007/s11604-018-0798-0</t>
  </si>
  <si>
    <t>10.1002/mp.14062</t>
  </si>
  <si>
    <t>10.1038/s41591-018-0029-3</t>
  </si>
  <si>
    <t>10.1038/s41551-018-0210-5</t>
  </si>
  <si>
    <t>10.1148/radiol.2017172407</t>
  </si>
  <si>
    <t>10.1038/s41598-018-20132-7</t>
  </si>
  <si>
    <t>10.1109/tbme.2018.2791567</t>
  </si>
  <si>
    <t>10.1007/s11548-019-02022-z</t>
  </si>
  <si>
    <t>10.1007/s11548-019-02060-7</t>
  </si>
  <si>
    <t>10.1007/s11548-018-1841-4</t>
  </si>
  <si>
    <t>10.1001/jamacardio.2019.5620</t>
  </si>
  <si>
    <t>10.2196/11966</t>
  </si>
  <si>
    <t>10.1038/s41592-020-0792-1</t>
  </si>
  <si>
    <t>10.1016/j.mehy.2019.109531</t>
  </si>
  <si>
    <t>10.1016/j.compbiomed.2020.103805</t>
  </si>
  <si>
    <t>10.1016/j.compbiomed.2018.11.008</t>
  </si>
  <si>
    <t>10.1016/j.compbiomed.2020.103903</t>
  </si>
  <si>
    <t>10.1007/s00535-018-1514-7</t>
  </si>
  <si>
    <t>10.1038/s41598-020-63395-9</t>
  </si>
  <si>
    <t>10.1001/jamanetworkopen.2019.14645</t>
  </si>
  <si>
    <t>10.1007/s10916-018-1091-6</t>
  </si>
  <si>
    <t>10.1109/embc44109.2020.9176655</t>
  </si>
  <si>
    <t>10.1002/mp.13147</t>
  </si>
  <si>
    <t>10.1016/j.mri.2020.08.001</t>
  </si>
  <si>
    <t>10.1016/j.pacs.2020.100190</t>
  </si>
  <si>
    <t>10.1002/jhbp.825</t>
  </si>
  <si>
    <t>10.1109/tmi.2018.2875814</t>
  </si>
  <si>
    <t>10.2967/jnumed.118.209288</t>
  </si>
  <si>
    <t>10.1016/j.cmpb.2019.104993</t>
  </si>
  <si>
    <t>10.1007/s11548-018-1774-y</t>
  </si>
  <si>
    <t>10.1186/s40658-020-00316-9</t>
  </si>
  <si>
    <t>10.1093/humrep/dez064</t>
  </si>
  <si>
    <t>10.1109/embc44109.2020.9175162</t>
  </si>
  <si>
    <t>10.1155/2019/5156416</t>
  </si>
  <si>
    <t>10.1109/embc44109.2020.9175152</t>
  </si>
  <si>
    <t>10.1038/s41598-017-05728-9</t>
  </si>
  <si>
    <t>10.1097/ico.0000000000001776</t>
  </si>
  <si>
    <t>10.1007/s00417-017-3850-3</t>
  </si>
  <si>
    <t>10.1007/s00417-018-4098-2</t>
  </si>
  <si>
    <t>10.1016/j.ijmedinf.2019.05.021</t>
  </si>
  <si>
    <t>10.1007/s10278-017-0021-3</t>
  </si>
  <si>
    <t>10.1007/s10278-018-0105-8</t>
  </si>
  <si>
    <t>10.3892/or.2019.7312</t>
  </si>
  <si>
    <t>10.1109/jbhi.2018.2886276</t>
  </si>
  <si>
    <t>10.3892/ijo.2020.5063</t>
  </si>
  <si>
    <t>10.3892/etm.2020.9210</t>
  </si>
  <si>
    <t>10.1117/1.Jmi.6.1.014001</t>
  </si>
  <si>
    <t>10.1109/embc44109.2020.9176532</t>
  </si>
  <si>
    <t>10.1111/bjd.17189</t>
  </si>
  <si>
    <t>10.1016/j.jns.2019.04.014</t>
  </si>
  <si>
    <t>10.1186/s12886-020-01382-4</t>
  </si>
  <si>
    <t>10.1080/00207454.2020.1835900</t>
  </si>
  <si>
    <t>10.1172/jci133821</t>
  </si>
  <si>
    <t>10.1126/science.aay2568</t>
  </si>
  <si>
    <t>10.1007/s10278-019-00265-5</t>
  </si>
  <si>
    <t>10.3389/frobt.2020.00106</t>
  </si>
  <si>
    <t>10.1007/s10549-019-05281-1</t>
  </si>
  <si>
    <t>10.1016/j.acra.2018.08.003</t>
  </si>
  <si>
    <t>10.1016/j.mehy.2020.109761</t>
  </si>
  <si>
    <t>10.12865/chsj.46.02.06</t>
  </si>
  <si>
    <t>10.1148/radiol.2018180901</t>
  </si>
  <si>
    <t>10.1007/s11548-020-02275-z</t>
  </si>
  <si>
    <t>10.1109/access.2020.2970023</t>
  </si>
  <si>
    <t>10.3174/ajnr.A6538</t>
  </si>
  <si>
    <t>10.6009/jjrt.2020_JSRT_76.5.524</t>
  </si>
  <si>
    <t>10.1007/s10278-017-0033-z</t>
  </si>
  <si>
    <t>10.1007/s11548-019-02011-2</t>
  </si>
  <si>
    <t>10.1007/978-3-030-21949-9_45</t>
  </si>
  <si>
    <t>10.1117/12.2550656</t>
  </si>
  <si>
    <t>10.1109/tcbb.2018.2841396</t>
  </si>
  <si>
    <t>10.1053/j.gastro.2018.06.037</t>
  </si>
  <si>
    <t>10.1007/s10067-019-04487-4</t>
  </si>
  <si>
    <t>10.1109/embc44109.2020.9175208</t>
  </si>
  <si>
    <t>10.2214/ajr.19.22168</t>
  </si>
  <si>
    <t>10.1016/j.ultrasmedbio.2020.06.015</t>
  </si>
  <si>
    <t>10.1093/gigascience/giy130</t>
  </si>
  <si>
    <t>10.1073/pnas.2009165117</t>
  </si>
  <si>
    <t>10.1109/tmi.2019.2933656</t>
  </si>
  <si>
    <t>10.1155/2019/9360941</t>
  </si>
  <si>
    <t>10.3389/fnins.2020.610239</t>
  </si>
  <si>
    <t>10.1038/s41746-019-0194-x</t>
  </si>
  <si>
    <t>10.1167/tvst.9.2.64</t>
  </si>
  <si>
    <t>10.1109/tmi.2019.2939044</t>
  </si>
  <si>
    <t>10.1093/aob/mcz126</t>
  </si>
  <si>
    <t>10.1016/j.ultrasmedbio.2018.09.015</t>
  </si>
  <si>
    <t>10.1002/uog.20181</t>
  </si>
  <si>
    <t>10.1016/j.ejrad.2020.109114</t>
  </si>
  <si>
    <t>10.1016/j.nicl.2016.10.008</t>
  </si>
  <si>
    <t>10.1038/s41598-019-40584-9</t>
  </si>
  <si>
    <t>10.1016/j.media.2018.07.004</t>
  </si>
  <si>
    <t>10.1681/asn.2018090902</t>
  </si>
  <si>
    <t>10.1158/0008-5472.Can-17-0339</t>
  </si>
  <si>
    <t>10.1109/tmi.2016.2526689</t>
  </si>
  <si>
    <t>10.1136/bmjopen-2018-025793</t>
  </si>
  <si>
    <t>10.1007/s00330-018-5822-3</t>
  </si>
  <si>
    <t>10.1109/embc.2018.8512334</t>
  </si>
  <si>
    <t>10.1109/tmi.2018.2868977</t>
  </si>
  <si>
    <t>10.1371/journal.pcbi.1005177</t>
  </si>
  <si>
    <t>10.1148/radiol.2020191621</t>
  </si>
  <si>
    <t>10.1038/s42003-019-0438-y</t>
  </si>
  <si>
    <t>10.1038/s41467-019-13922-8</t>
  </si>
  <si>
    <t>10.1167/iovs.18-23887</t>
  </si>
  <si>
    <t>10.1016/j.cmpb.2019.06.019</t>
  </si>
  <si>
    <t>10.1016/j.acra.2019.09.015</t>
  </si>
  <si>
    <t>10.1002/mp.13699</t>
  </si>
  <si>
    <t>10.1109/jproc.2019.2946993</t>
  </si>
  <si>
    <t>10.1016/j.matpr.2020.10.053</t>
  </si>
  <si>
    <t>10.1038/s41746-019-0199-5</t>
  </si>
  <si>
    <t>10.1038/s41598-019-45487-3</t>
  </si>
  <si>
    <t>10.1002/mrm.27740</t>
  </si>
  <si>
    <t>10.2174/1573405613666170721103949</t>
  </si>
  <si>
    <t>10.1007/s11548-017-1609-2</t>
  </si>
  <si>
    <t>10.1007/s11548-019-02046-5</t>
  </si>
  <si>
    <t>10.1007/s11517-018-1803-6</t>
  </si>
  <si>
    <t>10.1007/s11548-017-1660-z</t>
  </si>
  <si>
    <t>10.1155/2020/3910250</t>
  </si>
  <si>
    <t>10.1371/journal.pone.0217541</t>
  </si>
  <si>
    <t>10.1148/radiol.2020190925</t>
  </si>
  <si>
    <t>10.1007/s00330-019-06020-2</t>
  </si>
  <si>
    <t>10.1109/tmi.2020.2978284</t>
  </si>
  <si>
    <t>10.1177/1535370220914285</t>
  </si>
  <si>
    <t>10.1016/j.neuroimage.2017.02.035</t>
  </si>
  <si>
    <t>10.1109/access.2020.3014175</t>
  </si>
  <si>
    <t>10.1038/s42003-019-0437-z</t>
  </si>
  <si>
    <t>10.1111/epi.16574</t>
  </si>
  <si>
    <t>10.1016/j.compbiomed.2017.04.012</t>
  </si>
  <si>
    <t>10.1016/j.stemcr.2019.02.004</t>
  </si>
  <si>
    <t>10.1038/s41598-020-69814-1</t>
  </si>
  <si>
    <t>10.1016/j.matpr.2020.06.245</t>
  </si>
  <si>
    <t>10.1016/j.ebiom.2019.01.028</t>
  </si>
  <si>
    <t>10.1038/d41586-019-03845-1</t>
  </si>
  <si>
    <t>10.1016/s2213-2600(18)30286-8</t>
  </si>
  <si>
    <t>10.1186/s13058-018-0961-7</t>
  </si>
  <si>
    <t>10.1016/j.neunet.2019.09.017</t>
  </si>
  <si>
    <t>10.1016/j.neunet.2019.08.014</t>
  </si>
  <si>
    <t>10.1002/mp.13416</t>
  </si>
  <si>
    <t>10.1186/s12938-018-0496-2</t>
  </si>
  <si>
    <t>10.1016/j.compmedimag.2016.11.004</t>
  </si>
  <si>
    <t>10.1002/mp.14007</t>
  </si>
  <si>
    <t>10.1002/mp.13765</t>
  </si>
  <si>
    <t>10.1016/j.compmedimag.2019.101642</t>
  </si>
  <si>
    <t>10.1016/j.radonc.2018.10.037</t>
  </si>
  <si>
    <t>10.1007/s00330-019-06214-8</t>
  </si>
  <si>
    <t>10.1007/978-3-030-32245-8_22</t>
  </si>
  <si>
    <t>10.1371/journal.pone.0242535</t>
  </si>
  <si>
    <t>10.3390/cells8050499</t>
  </si>
  <si>
    <t>10.1016/j.jsb.2016.07.006</t>
  </si>
  <si>
    <t>10.1016/j.cmpb.2020.105862</t>
  </si>
  <si>
    <t>10.3389/fncom.2019.00056</t>
  </si>
  <si>
    <t>10.1109/tmi.2018.2791721</t>
  </si>
  <si>
    <t>10.1109/tmi.2020.3000314</t>
  </si>
  <si>
    <t>10.1109/tmi.2018.2833635</t>
  </si>
  <si>
    <t>10.1109/tpami.2018.2840695</t>
  </si>
  <si>
    <t>10.1371/journal.pone.0242013</t>
  </si>
  <si>
    <t>10.1109/jbhi.2019.2928369</t>
  </si>
  <si>
    <t>10.1038/s41592-018-0239-0</t>
  </si>
  <si>
    <t>10.1016/j.cmpb.2020.105398</t>
  </si>
  <si>
    <t>10.1007/s11548-018-1879-3</t>
  </si>
  <si>
    <t>10.1109/tmi.2020.2994908</t>
  </si>
  <si>
    <t>10.1002/mp.14068</t>
  </si>
  <si>
    <t>10.1109/tmi.2017.2655486</t>
  </si>
  <si>
    <t>10.1016/j.compbiomed.2017.03.024</t>
  </si>
  <si>
    <t>10.1073/pnas.1902376116</t>
  </si>
  <si>
    <t>10.7507/1001-5515.201904017</t>
  </si>
  <si>
    <t>10.1371/journal.pone.0226963</t>
  </si>
  <si>
    <t>10.1002/mp.12918</t>
  </si>
  <si>
    <t>10.1109/embc.2019.8857308</t>
  </si>
  <si>
    <t>10.1038/srep27327</t>
  </si>
  <si>
    <t>10.1167/tvst.8.6.37</t>
  </si>
  <si>
    <t>10.1136/gutjnl-2018-316204</t>
  </si>
  <si>
    <t>10.1161/strokeaha.119.027457</t>
  </si>
  <si>
    <t>10.3390/diagnostics10040217</t>
  </si>
  <si>
    <t>10.1109/tmi.2020.3047807</t>
  </si>
  <si>
    <t>10.1038/s41598-020-76550-z</t>
  </si>
  <si>
    <t>10.1016/j.media.2019.101542</t>
  </si>
  <si>
    <t>10.1186/s12957-019-1558-z</t>
  </si>
  <si>
    <t>10.1088/1361-6560/abaeb7</t>
  </si>
  <si>
    <t>10.1007/s12021-019-09423-0</t>
  </si>
  <si>
    <t>10.1016/s2589-7500(20)30199-0</t>
  </si>
  <si>
    <t>10.14309/ajg.0000000000000662</t>
  </si>
  <si>
    <t>10.1523/jneurosci.3454-15.2015</t>
  </si>
  <si>
    <t>10.1007/s11548-020-02184-1</t>
  </si>
  <si>
    <t>10.1038/s41551-018-0301-3</t>
  </si>
  <si>
    <t>10.1371/journal.pone.0218808</t>
  </si>
  <si>
    <t>10.1016/j.mri.2020.02.002</t>
  </si>
  <si>
    <t>10.1016/j.media.2019.03.003</t>
  </si>
  <si>
    <t>10.1109/embc.2018.8512833</t>
  </si>
  <si>
    <t>10.1016/j.radonc.2018.10.019</t>
  </si>
  <si>
    <t>10.1183/13993003.00986-2018</t>
  </si>
  <si>
    <t>10.1183/13993003.00775-2020</t>
  </si>
  <si>
    <t>10.1016/j.media.2017.06.014</t>
  </si>
  <si>
    <t>10.1002/mp.13560</t>
  </si>
  <si>
    <t>10.5435/jaaos-d-19-00688</t>
  </si>
  <si>
    <t>10.1109/embc.2019.8856356</t>
  </si>
  <si>
    <t>10.1155/2020/2785464</t>
  </si>
  <si>
    <t>10.1016/j.crad.2019.10.012</t>
  </si>
  <si>
    <t>10.1007/978-3-030-00931-1_51</t>
  </si>
  <si>
    <t>10.1109/tmi.2020.2995965</t>
  </si>
  <si>
    <t>10.1038/s41598-017-15720-y</t>
  </si>
  <si>
    <t>10.1136/oemed-2019-106386</t>
  </si>
  <si>
    <t>10.1016/j.ejrad.2020.109150</t>
  </si>
  <si>
    <t>10.3934/mbe.2019097</t>
  </si>
  <si>
    <t>10.1109/tmi.2019.2913184</t>
  </si>
  <si>
    <t>10.3390/mi10020120</t>
  </si>
  <si>
    <t>10.1016/j.cmpb.2017.03.017</t>
  </si>
  <si>
    <t>10.2217/bmm-2020-0248</t>
  </si>
  <si>
    <t>10.1109/embc.2018.8512200</t>
  </si>
  <si>
    <t>10.1016/j.neuroimage.2018.05.042</t>
  </si>
  <si>
    <t>10.1016/j.ebiom.2019.05.040</t>
  </si>
  <si>
    <t>10.1109/embc.2018.8512372</t>
  </si>
  <si>
    <t>10.1016/j.neuroimage.2018.03.045</t>
  </si>
  <si>
    <t>10.7507/1001-5515.201912050</t>
  </si>
  <si>
    <t>10.1109/tvcg.2019.2934369</t>
  </si>
  <si>
    <t>10.21037/qims-19-982</t>
  </si>
  <si>
    <t>10.1109/tmi.2018.2884053</t>
  </si>
  <si>
    <t>10.1007/s00330-020-06976-6</t>
  </si>
  <si>
    <t>10.1016/j.mri.2020.06.015</t>
  </si>
  <si>
    <t>10.1016/j.media.2019.101565</t>
  </si>
  <si>
    <t>10.1109/jbhi.2020.3023246</t>
  </si>
  <si>
    <t>10.1371/journal.pone.0195114</t>
  </si>
  <si>
    <t>10.1016/j.mri.2019.08.021</t>
  </si>
  <si>
    <t>10.3389/fphys.2020.612928</t>
  </si>
  <si>
    <t>10.1186/s12880-015-0087-7</t>
  </si>
  <si>
    <t>10.1371/journal.pone.0231468</t>
  </si>
  <si>
    <t>10.1016/j.neuroimage.2018.07.070</t>
  </si>
  <si>
    <t>10.1016/j.media.2019.101559</t>
  </si>
  <si>
    <t>10.1007/s10278-019-00192-5</t>
  </si>
  <si>
    <t>10.1038/d41586-018-02174-z</t>
  </si>
  <si>
    <t>10.1038/s41598-019-44416-8</t>
  </si>
  <si>
    <t>10.1016/j.nicl.2019.101929</t>
  </si>
  <si>
    <t>10.1016/j.nicl.2019.102074</t>
  </si>
  <si>
    <t>10.1016/j.neuroimage.2019.116064</t>
  </si>
  <si>
    <t>10.1001/jamanetworkopen.2020.3398</t>
  </si>
  <si>
    <t>10.1007/s10916-019-1390-6</t>
  </si>
  <si>
    <t>10.1016/j.neuroimage.2020.117308</t>
  </si>
  <si>
    <t>10.12659/msm.926096</t>
  </si>
  <si>
    <t>10.1109/tbme.2019.2891676</t>
  </si>
  <si>
    <t>10.12122/j.issn.1673-4254.2019.11.09</t>
  </si>
  <si>
    <t>10.1038/s41592-018-0216-7</t>
  </si>
  <si>
    <t>10.3348/kjr.2019.0653</t>
  </si>
  <si>
    <t>10.1016/j.ejmp.2020.01.027</t>
  </si>
  <si>
    <t>10.1109/tip.2018.2865684</t>
  </si>
  <si>
    <t>10.1016/j.neuroimage.2018.04.053</t>
  </si>
  <si>
    <t>10.1016/j.saa.2020.118237</t>
  </si>
  <si>
    <t>10.1117/1.Jbo.22.10.106017</t>
  </si>
  <si>
    <t>10.1371/journal.pone.0239475</t>
  </si>
  <si>
    <t>10.1007/s00259-019-04502-5</t>
  </si>
  <si>
    <t>10.1148/radiol.2018181432</t>
  </si>
  <si>
    <t>10.1073/pnas.2020870117</t>
  </si>
  <si>
    <t>10.1117/1.Jmi.7.3.032503</t>
  </si>
  <si>
    <t>10.1097/rli.0000000000000509</t>
  </si>
  <si>
    <t>10.1016/j.ejrad.2020.108918</t>
  </si>
  <si>
    <t>10.1016/j.media.2019.03.010</t>
  </si>
  <si>
    <t>10.1259/bjr.20181019</t>
  </si>
  <si>
    <t>10.1109/embc44109.2020.9176557</t>
  </si>
  <si>
    <t>10.1016/j.media.2019.04.011</t>
  </si>
  <si>
    <t>10.1016/j.media.2018.10.005</t>
  </si>
  <si>
    <t>10.1097/brs.0000000000003377</t>
  </si>
  <si>
    <t>10.1016/j.media.2018.07.010</t>
  </si>
  <si>
    <t>10.1121/1.5103191</t>
  </si>
  <si>
    <t>10.1109/jbhi.2020.3030224</t>
  </si>
  <si>
    <t>10.1002/mp.13627</t>
  </si>
  <si>
    <t>10.1007/s11548-018-1884-6</t>
  </si>
  <si>
    <t>10.18383/j.tom.2018.00036</t>
  </si>
  <si>
    <t>10.1007/978-3-642-40763-5_80</t>
  </si>
  <si>
    <t>10.1109/tbme.2015.2496253</t>
  </si>
  <si>
    <t>10.1002/mp.13739</t>
  </si>
  <si>
    <t>10.1001/jamanetworkopen.2020.22779</t>
  </si>
  <si>
    <t>10.1161/strokeaha.119.025373</t>
  </si>
  <si>
    <t>10.1001/jamanetworkopen.2020.11625</t>
  </si>
  <si>
    <t>10.7507/1001-5515.201809011</t>
  </si>
  <si>
    <t>10.1109/embc44109.2020.9176537</t>
  </si>
  <si>
    <t>10.3233/xst-190500</t>
  </si>
  <si>
    <t>10.1016/j.ejrad.2020.109041</t>
  </si>
  <si>
    <t>10.1016/j.acra.2019.12.007</t>
  </si>
  <si>
    <t>10.1109/isbi.2018.8363628</t>
  </si>
  <si>
    <t>10.1016/j.mri.2019.03.012</t>
  </si>
  <si>
    <t>10.1016/j.mri.2020.06.011</t>
  </si>
  <si>
    <t>10.1038/s41592-019-0622-5</t>
  </si>
  <si>
    <t>10.1364/oe.380679</t>
  </si>
  <si>
    <t>10.2196/15963</t>
  </si>
  <si>
    <t>10.1109/tmi.2018.2833499</t>
  </si>
  <si>
    <t>10.1158/1078-0432.Ccr-19-0374</t>
  </si>
  <si>
    <t>10.1364/boe.400816</t>
  </si>
  <si>
    <t>10.1007/s10916-018-1116-1</t>
  </si>
  <si>
    <t>10.1109/embc.2018.8512353</t>
  </si>
  <si>
    <t>10.1038/s42255-020-00270-x</t>
  </si>
  <si>
    <t>10.3389/fonc.2020.00418</t>
  </si>
  <si>
    <t>10.1016/j.media.2020.101766</t>
  </si>
  <si>
    <t>10.1007/978-3-030-00928-1_25</t>
  </si>
  <si>
    <t>10.1016/j.cmpb.2019.07.009</t>
  </si>
  <si>
    <t>10.1186/s12859-018-2232-0</t>
  </si>
  <si>
    <t>10.1002/gepi.22182</t>
  </si>
  <si>
    <t>10.1016/j.bonr.2020.100295</t>
  </si>
  <si>
    <t>10.1172/jci.insight.97585</t>
  </si>
  <si>
    <t>10.1016/j.jneumeth.2018.08.019</t>
  </si>
  <si>
    <t>10.1016/j.mri.2020.01.005</t>
  </si>
  <si>
    <t>10.1016/s2589-7500(20)30060-1</t>
  </si>
  <si>
    <t>10.1109/tmi.2018.2876510</t>
  </si>
  <si>
    <t>10.1016/j.media.2019.07.004</t>
  </si>
  <si>
    <t>10.1001/jamaophthalmol.2020.0507</t>
  </si>
  <si>
    <t>10.1016/j.ajo.2019.08.004</t>
  </si>
  <si>
    <t>10.1088/1361-6560/ab857d</t>
  </si>
  <si>
    <t>10.1016/j.media.2018.09.001</t>
  </si>
  <si>
    <t>10.1007/s11548-019-01967-5</t>
  </si>
  <si>
    <t>10.1088/1361-6560/ab3103</t>
  </si>
  <si>
    <t>10.3760/cma.j.cn.441530-20191023-00460</t>
  </si>
  <si>
    <t>10.1121/1.4984122</t>
  </si>
  <si>
    <t>10.1016/j.ajo.2020.04.037</t>
  </si>
  <si>
    <t>10.1155/2018/2391925</t>
  </si>
  <si>
    <t>10.4103/jpi.jpi_68_19</t>
  </si>
  <si>
    <t>10.1016/j.neunet.2020.05.001</t>
  </si>
  <si>
    <t>10.1093/bioinformatics/btx230</t>
  </si>
  <si>
    <t>10.1016/j.compbiomed.2018.12.013</t>
  </si>
  <si>
    <t>10.1109/tvcg.2019.2898650</t>
  </si>
  <si>
    <t>10.1109/jbhi.2019.2914690</t>
  </si>
  <si>
    <t>10.1007/s11548-018-1733-7</t>
  </si>
  <si>
    <t>10.3389/fnins.2020.00350</t>
  </si>
  <si>
    <t>10.1158/1078-0432.Ccr-18-2495</t>
  </si>
  <si>
    <t>10.1038/s41598-019-57223-y</t>
  </si>
  <si>
    <t>10.3233/xst-17349</t>
  </si>
  <si>
    <t>10.1155/2018/2527516</t>
  </si>
  <si>
    <t>10.1007/s00330-019-06595-w</t>
  </si>
  <si>
    <t>10.1109/jbhi.2019.2945373</t>
  </si>
  <si>
    <t>10.1016/j.nicl.2019.102118</t>
  </si>
  <si>
    <t>10.1371/journal.pone.0178992</t>
  </si>
  <si>
    <t>10.1109/embc.2018.8513560</t>
  </si>
  <si>
    <t>10.1148/radiol.2019182716</t>
  </si>
  <si>
    <t>10.1148/radiol.2019182908</t>
  </si>
  <si>
    <t>10.1080/17453674.2020.1803664</t>
  </si>
  <si>
    <t>10.1097/md.0000000000020977</t>
  </si>
  <si>
    <t>10.1038/s41467-019-13647-8</t>
  </si>
  <si>
    <t>10.1007/s00261-019-02306-7</t>
  </si>
  <si>
    <t>10.1016/j.compmedimag.2020.101784</t>
  </si>
  <si>
    <t>10.1109/tmi.2020.3047598</t>
  </si>
  <si>
    <t>10.1016/j.cmpb.2018.12.031</t>
  </si>
  <si>
    <t>10.1117/1.Jmi.5.3.036501</t>
  </si>
  <si>
    <t>10.1002/cnm.3245</t>
  </si>
  <si>
    <t>10.1109/embc.2017.8037116</t>
  </si>
  <si>
    <t>10.1109/embc.2019.8857180</t>
  </si>
  <si>
    <t>10.7883/yoken.JJID.2020.264</t>
  </si>
  <si>
    <t>10.1016/j.ebiom.2019.08.023</t>
  </si>
  <si>
    <t>10.1016/j.compbiomed.2019.103356</t>
  </si>
  <si>
    <t>10.1038/s41467-020-18823-9</t>
  </si>
  <si>
    <t>10.1109/jbhi.2020.3040015</t>
  </si>
  <si>
    <t>10.1109/tbme.2018.2828137</t>
  </si>
  <si>
    <t>10.1109/jbhi.2018.2872813</t>
  </si>
  <si>
    <t>10.1109/tmi.2020.2966594</t>
  </si>
  <si>
    <t>10.1007/978-3-319-19992-4_35</t>
  </si>
  <si>
    <t>10.3390/ijms21093166</t>
  </si>
  <si>
    <t>10.1155/2019/9783106</t>
  </si>
  <si>
    <t>10.3233/xst-190570</t>
  </si>
  <si>
    <t>10.1155/2019/5636423</t>
  </si>
  <si>
    <t>10.1016/j.future.2020.02.005</t>
  </si>
  <si>
    <t>10.1109/embc.2018.8512550</t>
  </si>
  <si>
    <t>10.1109/tmi.2017.2785879</t>
  </si>
  <si>
    <t>10.1155/2020/2684851</t>
  </si>
  <si>
    <t>10.1016/j.media.2018.07.009</t>
  </si>
  <si>
    <t>10.1186/s12938-018-0587-0</t>
  </si>
  <si>
    <t>10.1016/j.ajo.2020.03.035</t>
  </si>
  <si>
    <t>10.1016/j.ultras.2019.03.014</t>
  </si>
  <si>
    <t>10.1002/mp.13141</t>
  </si>
  <si>
    <t>10.1007/s00417-019-04493-x</t>
  </si>
  <si>
    <t>10.1371/journal.pcbi.1008193</t>
  </si>
  <si>
    <t>10.1109/embc.2016.7590785</t>
  </si>
  <si>
    <t>10.1109/tmi.2018.2827462</t>
  </si>
  <si>
    <t>10.1038/s41598-019-53254-7</t>
  </si>
  <si>
    <t>10.1186/s12859-018-2087-4</t>
  </si>
  <si>
    <t>10.1177/2472555219857715</t>
  </si>
  <si>
    <t>10.1016/j.media.2016.08.004</t>
  </si>
  <si>
    <t>10.1016/j.neuroimage.2017.07.008</t>
  </si>
  <si>
    <t>10.12122/j.issn.1673-4254.2020.11.07</t>
  </si>
  <si>
    <t>10.1016/j.acra.2019.11.007</t>
  </si>
  <si>
    <t>10.1109/tpami.2018.2883941</t>
  </si>
  <si>
    <t>10.1021/acs.analchem.9b04622</t>
  </si>
  <si>
    <t>10.1038/s41598-019-50010-9</t>
  </si>
  <si>
    <t>10.3389/fbioe.2020.00599</t>
  </si>
  <si>
    <t>10.1016/j.ahj.2019.10.007</t>
  </si>
  <si>
    <t>10.1111/exd.13777</t>
  </si>
  <si>
    <t>10.1109/jbhi.2017.2731873</t>
  </si>
  <si>
    <t>10.1016/j.ultrasmedbio.2017.07.013</t>
  </si>
  <si>
    <t>10.1148/radiol.2017170706</t>
  </si>
  <si>
    <t>10.1007/s00330-018-5499-7</t>
  </si>
  <si>
    <t>10.1148/radiol.2017171928</t>
  </si>
  <si>
    <t>10.1007/s00330-020-06677-0</t>
  </si>
  <si>
    <t>10.1016/j.media.2019.04.006</t>
  </si>
  <si>
    <t>10.1007/s00330-019-06163-2</t>
  </si>
  <si>
    <t>10.1007/s00330-020-06856-z</t>
  </si>
  <si>
    <t>10.1186/s12938-019-0627-4</t>
  </si>
  <si>
    <t>10.1109/embc44109.2020.9175596</t>
  </si>
  <si>
    <t>10.14366/usg.20102</t>
  </si>
  <si>
    <t>10.1016/j.media.2019.05.004</t>
  </si>
  <si>
    <t>10.1016/j.jacr.2017.12.037</t>
  </si>
  <si>
    <t>10.1097/rti.0000000000000532</t>
  </si>
  <si>
    <t>10.1007/s00247-019-04408-2</t>
  </si>
  <si>
    <t>10.1007/s10278-019-00244-w</t>
  </si>
  <si>
    <t>10.1016/j.knee.2019.11.020</t>
  </si>
  <si>
    <t>10.1007/s10278-018-0056-0</t>
  </si>
  <si>
    <t>10.1038/s41591-020-0867-7</t>
  </si>
  <si>
    <t>10.3233/xst-180460</t>
  </si>
  <si>
    <t>10.1109/tmi.2019.2917258</t>
  </si>
  <si>
    <t>10.1007/s11517-020-02216-7</t>
  </si>
  <si>
    <t>10.1001/jamanetworkopen.2020.17135</t>
  </si>
  <si>
    <t>10.1038/s41598-019-55972-4</t>
  </si>
  <si>
    <t>10.1016/j.compbiomed.2020.103980</t>
  </si>
  <si>
    <t>10.1007/s11517-018-1915-z</t>
  </si>
  <si>
    <t>10.1016/j.nicl.2017.10.015</t>
  </si>
  <si>
    <t>10.1371/journal.pone.0242806</t>
  </si>
  <si>
    <t>10.1016/j.cmpb.2019.105028</t>
  </si>
  <si>
    <t>10.1109/tmi.2018.2864821</t>
  </si>
  <si>
    <t>10.1109/tmi.2019.2922960</t>
  </si>
  <si>
    <t>10.1109/access.2018.2858196</t>
  </si>
  <si>
    <t>10.1016/j.mri.2019.05.042</t>
  </si>
  <si>
    <t>10.1016/j.compbiomed.2018.04.004</t>
  </si>
  <si>
    <t>10.1109/embc44109.2020.9175828</t>
  </si>
  <si>
    <t>10.1002/mp.13728</t>
  </si>
  <si>
    <t>10.1371/journal.pone.0205390</t>
  </si>
  <si>
    <t>10.3969/j.issn.1671-7104.2019.06.017</t>
  </si>
  <si>
    <t>10.1021/acs.analchem.8b01128</t>
  </si>
  <si>
    <t>10.1177/0022034520901715</t>
  </si>
  <si>
    <t>10.7150/thno.46465</t>
  </si>
  <si>
    <t>10.1088/1361-6560/ab99e5</t>
  </si>
  <si>
    <t>10.1016/j.ijmedinf.2020.104352</t>
  </si>
  <si>
    <t>10.1109/tpami.2018.2841403</t>
  </si>
  <si>
    <t>10.1038/s41598-018-34300-2</t>
  </si>
  <si>
    <t>10.1001/jamanetworkopen.2020.0772</t>
  </si>
  <si>
    <t>10.3760/cma.j.issn.1671-0274.2020.01.006</t>
  </si>
  <si>
    <t>10.1109/tbme.2018.2866166</t>
  </si>
  <si>
    <t>10.1186/s12938-020-00807-x</t>
  </si>
  <si>
    <t>10.1038/s41598-020-68252-3</t>
  </si>
  <si>
    <t>10.1088/1361-6560/ab6240</t>
  </si>
  <si>
    <t>10.1088/1361-6560/aba939</t>
  </si>
  <si>
    <t>10.1109/jbhi.2017.2787487</t>
  </si>
  <si>
    <t>10.1002/mp.13367</t>
  </si>
  <si>
    <t>10.1109/embc.2017.8037747</t>
  </si>
  <si>
    <t>10.1002/pmic.201900358</t>
  </si>
  <si>
    <t>10.3168/jds.2018-16164</t>
  </si>
  <si>
    <t>10.1088/1361-6560/ab7a71</t>
  </si>
  <si>
    <t>10.1016/j.media.2018.10.006</t>
  </si>
  <si>
    <t>10.1007/s10278-018-0148-x</t>
  </si>
  <si>
    <t>10.14309/ajg.0000000000000429</t>
  </si>
  <si>
    <t>10.1088/1361-6560/ab2f47</t>
  </si>
  <si>
    <t>10.1016/j.compbiomed.2018.10.004</t>
  </si>
  <si>
    <t>10.1016/j.compbiomed.2019.103537</t>
  </si>
  <si>
    <t>10.1016/j.cmpb.2018.02.018</t>
  </si>
  <si>
    <t>10.1038/s41598-018-22181-4</t>
  </si>
  <si>
    <t>10.1002/mrm.27690</t>
  </si>
  <si>
    <t>10.1038/s41598-019-44643-z</t>
  </si>
  <si>
    <t>10.1007/s11548-020-02192-1</t>
  </si>
  <si>
    <t>10.1016/j.ebiom.2018.08.017</t>
  </si>
  <si>
    <t>10.1002/mp.13468</t>
  </si>
  <si>
    <t>10.1007/s00066-020-01607-x</t>
  </si>
  <si>
    <t>10.1148/radiol.2018171093</t>
  </si>
  <si>
    <t>10.1371/journal.pmed.1002683</t>
  </si>
  <si>
    <t>10.1007/s11548-020-02186-z</t>
  </si>
  <si>
    <t>10.7507/1001-5515.201809040</t>
  </si>
  <si>
    <t>10.1002/mrm.27825</t>
  </si>
  <si>
    <t>10.1007/978-981-13-1396-7_6</t>
  </si>
  <si>
    <t>10.1016/j.media.2019.07.003</t>
  </si>
  <si>
    <t>10.1016/j.ebiom.2018.03.017</t>
  </si>
  <si>
    <t>10.1088/1361-6560/ab8cd6</t>
  </si>
  <si>
    <t>10.1093/bioinformatics/btx188</t>
  </si>
  <si>
    <t>10.1016/j.jsb.2017.12.015</t>
  </si>
  <si>
    <t>10.1016/j.cmpb.2020.105700</t>
  </si>
  <si>
    <t>10.1002/jmri.26734</t>
  </si>
  <si>
    <t>10.1002/jmri.25877</t>
  </si>
  <si>
    <t>10.1371/journal.pone.0223315</t>
  </si>
  <si>
    <t>10.1016/j.jneumeth.2019.108318</t>
  </si>
  <si>
    <t>10.1634/theoncologist.2018-0908</t>
  </si>
  <si>
    <t>10.1016/j.foodchem.2020.126536</t>
  </si>
  <si>
    <t>10.1186/s40001-020-00450-1</t>
  </si>
  <si>
    <t>10.1371/journal.pone.0237674</t>
  </si>
  <si>
    <t>10.1109/embc.2019.8856539</t>
  </si>
  <si>
    <t>10.1088/1361-6560/ab7e7d</t>
  </si>
  <si>
    <t>10.1007/s10916-019-1327-0</t>
  </si>
  <si>
    <t>10.1007/s11547-019-01130-9</t>
  </si>
  <si>
    <t>10.1016/j.cmpb.2019.07.006</t>
  </si>
  <si>
    <t>10.1007/s00259-020-04953-1</t>
  </si>
  <si>
    <t>10.1161/circulationaha.118.034338</t>
  </si>
  <si>
    <t>10.1109/tip.2017.2721106</t>
  </si>
  <si>
    <t>10.1016/j.compbiomed.2019.03.011</t>
  </si>
  <si>
    <t>10.1016/j.neuroimage.2020.116579</t>
  </si>
  <si>
    <t>10.1109/tmi.2019.2896085</t>
  </si>
  <si>
    <t>10.1109/jbhi.2017.2775662</t>
  </si>
  <si>
    <t>10.1016/j.media.2019.02.010</t>
  </si>
  <si>
    <t>10.2196/11144</t>
  </si>
  <si>
    <t>10.1016/j.cell.2020.04.045</t>
  </si>
  <si>
    <t>10.1016/j.compmedimag.2018.07.001</t>
  </si>
  <si>
    <t>10.1155/2019/8214975</t>
  </si>
  <si>
    <t>10.1515/med-2020-0006</t>
  </si>
  <si>
    <t>10.1007/s10916-019-1356-8</t>
  </si>
  <si>
    <t>10.1109/tmi.2019.2943841</t>
  </si>
  <si>
    <t>10.1016/j.saa.2019.117973</t>
  </si>
  <si>
    <t>10.1109/tmi.2020.2973595</t>
  </si>
  <si>
    <t>10.7150/thno.32655</t>
  </si>
  <si>
    <t>10.1016/j.cmpb.2019.105159</t>
  </si>
  <si>
    <t>10.1038/s41467-020-19866-8</t>
  </si>
  <si>
    <t>10.1148/radiol.2019182304</t>
  </si>
  <si>
    <t>10.1038/s41592-018-0153-5</t>
  </si>
  <si>
    <t>10.1109/tnsre.2019.2913400</t>
  </si>
  <si>
    <t>10.1371/journal.pone.0236947</t>
  </si>
  <si>
    <t>10.1088/1361-6560/ab9066</t>
  </si>
  <si>
    <t>10.2147/dmso.S288419</t>
  </si>
  <si>
    <t>10.1002/mrm.27894</t>
  </si>
  <si>
    <t>10.1016/j.ultras.2016.08.004</t>
  </si>
  <si>
    <t>10.1515/bmt-2018-0136</t>
  </si>
  <si>
    <t>10.1109/embc44109.2020.9175919</t>
  </si>
  <si>
    <t>10.1007/s12539-020-00393-5</t>
  </si>
  <si>
    <t>10.1016/j.patcog.2018.05.026</t>
  </si>
  <si>
    <t>10.1016/j.compmedimag.2019.101645</t>
  </si>
  <si>
    <t>10.1109/tbme.2018.2872726</t>
  </si>
  <si>
    <t>10.1109/jbhi.2019.2939810</t>
  </si>
  <si>
    <t>10.1302/0301-620x.102b11.Bjj-2020-0712.R2</t>
  </si>
  <si>
    <t>10.1016/j.neuroimage.2014.12.061</t>
  </si>
  <si>
    <t>10.2174/1386207323666201022110616</t>
  </si>
  <si>
    <t>10.1089/brain.2019.0701</t>
  </si>
  <si>
    <t>10.1080/24699322.2017.1389405</t>
  </si>
  <si>
    <t>10.1038/s41598-018-37545-z</t>
  </si>
  <si>
    <t>10.1007/s10916-019-1457-4</t>
  </si>
  <si>
    <t>10.1148/radiol.2020190936</t>
  </si>
  <si>
    <t>10.1007/s10916-019-1448-5</t>
  </si>
  <si>
    <t>10.1155/2017/5859727</t>
  </si>
  <si>
    <t>10.1016/j.acra.2019.01.012</t>
  </si>
  <si>
    <t>10.1016/j.neunet.2020.01.033</t>
  </si>
  <si>
    <t>10.1088/1361-6560/aba410</t>
  </si>
  <si>
    <t>10.1109/jbhi.2020.2996783</t>
  </si>
  <si>
    <t>10.1016/j.mri.2019.05.023</t>
  </si>
  <si>
    <t>10.1109/tmi.2018.2823083</t>
  </si>
  <si>
    <t>10.1038/s41598-018-30182-6</t>
  </si>
  <si>
    <t>10.1109/embc44109.2020.9176172</t>
  </si>
  <si>
    <t>10.1109/tmi.2018.2823338</t>
  </si>
  <si>
    <t>10.1016/j.cmpb.2020.105395</t>
  </si>
  <si>
    <t>10.1016/j.mri.2019.05.038</t>
  </si>
  <si>
    <t>10.1016/j.neuroimage.2018.03.065</t>
  </si>
  <si>
    <t>10.1038/s41598-020-71890-2</t>
  </si>
  <si>
    <t>10.1016/j.media.2018.07.001</t>
  </si>
  <si>
    <t>10.1109/tpami.2018.2858819</t>
  </si>
  <si>
    <t>10.1371/journal.pone.0238455</t>
  </si>
  <si>
    <t>10.3389/fbioe.2020.00670</t>
  </si>
  <si>
    <t>10.1038/s41467-020-19784-9</t>
  </si>
  <si>
    <t>10.7507/1001-5515.201903027</t>
  </si>
  <si>
    <t>10.1111/jdv.15965</t>
  </si>
  <si>
    <t>10.1002/mp.13666</t>
  </si>
  <si>
    <t>10.1016/j.radonc.2019.06.027</t>
  </si>
  <si>
    <t>10.1016/j.ijrobp.2019.05.071</t>
  </si>
  <si>
    <t>10.1002/cam4.2233</t>
  </si>
  <si>
    <t>10.1158/0008-5472.Can-18-0696</t>
  </si>
  <si>
    <t>10.1111/1759-7714.13161</t>
  </si>
  <si>
    <t>10.1088/1361-6560/aaf44b</t>
  </si>
  <si>
    <t>10.1007/s11548-017-1696-0</t>
  </si>
  <si>
    <t>10.3233/xst-180490</t>
  </si>
  <si>
    <t>10.1109/embc.2019.8856747</t>
  </si>
  <si>
    <t>10.1364/ol.43.005669</t>
  </si>
  <si>
    <t>10.1016/j.media.2017.08.005</t>
  </si>
  <si>
    <t>10.1109/tbme.2017.2715281</t>
  </si>
  <si>
    <t>10.1109/embc.2019.8857955</t>
  </si>
  <si>
    <t>10.1016/j.media.2018.04.002</t>
  </si>
  <si>
    <t>10.1109/jbhi.2019.2891526</t>
  </si>
  <si>
    <t>10.1049/htl.2019.0064</t>
  </si>
  <si>
    <t>10.1080/24699322.2017.1378777</t>
  </si>
  <si>
    <t>10.1109/embc.2016.7590780</t>
  </si>
  <si>
    <t>10.1167/tvst.9.2.29</t>
  </si>
  <si>
    <t>10.1016/j.mri.2020.01.008</t>
  </si>
  <si>
    <t>10.1002/mp.14303</t>
  </si>
  <si>
    <t>10.1609/aaai.v34i04.6175</t>
  </si>
  <si>
    <t>10.1117/1.Jmi.5.2.021204</t>
  </si>
  <si>
    <t>10.1016/j.media.2019.06.001</t>
  </si>
  <si>
    <t>10.1109/tmi.2018.2820742</t>
  </si>
  <si>
    <t>10.1016/j.jpurol.2018.10.020</t>
  </si>
  <si>
    <t>10.1007/s00414-020-02459-x</t>
  </si>
  <si>
    <t>10.1148/radiol.2020192003</t>
  </si>
  <si>
    <t>10.1016/j.eclinm.2020.100669</t>
  </si>
  <si>
    <t>10.1038/s41467-020-15027-z</t>
  </si>
  <si>
    <t>10.1109/tmi.2016.2524985</t>
  </si>
  <si>
    <t>10.3233/thc-202638</t>
  </si>
  <si>
    <t>10.1007/s00261-018-1824-5</t>
  </si>
  <si>
    <t>10.1002/mp.13421</t>
  </si>
  <si>
    <t>10.1002/mp.13331</t>
  </si>
  <si>
    <t>10.1109/tuffc.2020.2979481</t>
  </si>
  <si>
    <t>10.1364/ol.387486</t>
  </si>
  <si>
    <t>10.1016/j.ejrad.2020.108992</t>
  </si>
  <si>
    <t>10.1002/jmri.26721</t>
  </si>
  <si>
    <t>10.1155/2017/3792805</t>
  </si>
  <si>
    <t>10.1109/tmi.2020.3001810</t>
  </si>
  <si>
    <t>10.1148/radiol.2019190372</t>
  </si>
  <si>
    <t>10.1109/embc44109.2020.9175377</t>
  </si>
  <si>
    <t>10.3348/kjr.2019.0651</t>
  </si>
  <si>
    <t>10.1002/mp.13581</t>
  </si>
  <si>
    <t>10.1016/j.compbiomed.2017.03.031</t>
  </si>
  <si>
    <t>10.1002/hbm.24428</t>
  </si>
  <si>
    <t>10.1002/mp.12480</t>
  </si>
  <si>
    <t>10.1007/s10278-018-0130-7</t>
  </si>
  <si>
    <t>10.3760/cma.j.issn.0529-5815.2019.02.007</t>
  </si>
  <si>
    <t>10.1109/embc.2018.8513070</t>
  </si>
  <si>
    <t>10.1002/mp.13628</t>
  </si>
  <si>
    <t>10.1148/radiol.2020191479</t>
  </si>
  <si>
    <t>10.1016/j.media.2020.101840</t>
  </si>
  <si>
    <t>10.1007/978-3-030-32251-9_42</t>
  </si>
  <si>
    <t>10.1002/mrm.27229</t>
  </si>
  <si>
    <t>10.1007/s12021-019-09448-5</t>
  </si>
  <si>
    <t>10.1007/s11548-019-02082-1</t>
  </si>
  <si>
    <t>10.1109/jbhi.2019.2947506</t>
  </si>
  <si>
    <t>10.1016/j.media.2020.101746</t>
  </si>
  <si>
    <t>10.1371/journal.pone.0236621</t>
  </si>
  <si>
    <t>10.1109/tmi.2019.2935018</t>
  </si>
  <si>
    <t>10.3390/molecules24183268</t>
  </si>
  <si>
    <t>10.1002/mp.13300</t>
  </si>
  <si>
    <t>10.3390/s18051477</t>
  </si>
  <si>
    <t>10.1016/j.ejrad.2019.04.022</t>
  </si>
  <si>
    <t>10.1186/s12859-017-1757-y</t>
  </si>
  <si>
    <t>10.1002/mp.12116</t>
  </si>
  <si>
    <t>10.1002/jmri.26337</t>
  </si>
  <si>
    <t>10.1016/j.ultras.2020.106300</t>
  </si>
  <si>
    <t>10.1016/j.compbiomed.2019.04.018</t>
  </si>
  <si>
    <t>10.1002/mp.14674</t>
  </si>
  <si>
    <t>10.1109/embc44109.2020.9176475</t>
  </si>
  <si>
    <t>10.1016/j.compbiomed.2019.103498</t>
  </si>
  <si>
    <t>10.1016/j.media.2019.101537</t>
  </si>
  <si>
    <t>10.1002/mp.14510</t>
  </si>
  <si>
    <t>10.1371/journal.pone.0221535</t>
  </si>
  <si>
    <t>10.1104/pp.19.00524</t>
  </si>
  <si>
    <t>10.1021/acsnano.7b07504</t>
  </si>
  <si>
    <t>10.1371/journal.pone.0234806</t>
  </si>
  <si>
    <t>10.1049/htl.2017.0064</t>
  </si>
  <si>
    <t>10.1002/mp.14255</t>
  </si>
  <si>
    <t>10.1371/journal.pone.0236378</t>
  </si>
  <si>
    <t>10.1016/j.media.2017.11.008</t>
  </si>
  <si>
    <t>Inception</t>
  </si>
  <si>
    <t>characterization-segmentation and diagnosis</t>
  </si>
  <si>
    <t>GAN</t>
  </si>
  <si>
    <t>VN(variational network)</t>
  </si>
  <si>
    <t>Bangladesh</t>
  </si>
  <si>
    <t>ROI</t>
  </si>
  <si>
    <t>14 036</t>
  </si>
  <si>
    <t>48 116</t>
  </si>
  <si>
    <t>ResNet</t>
  </si>
  <si>
    <t xml:space="preserve">DNN </t>
  </si>
  <si>
    <t>Kenya</t>
  </si>
  <si>
    <t>列2</t>
  </si>
  <si>
    <t>Country</t>
  </si>
  <si>
    <t>the United States</t>
  </si>
  <si>
    <t>funding sources (government, private, or other), 2</t>
  </si>
  <si>
    <t>Mammography</t>
  </si>
  <si>
    <t>S. A. Abdelaziz Ismael, A. Mohammed , H. Hefny</t>
  </si>
  <si>
    <t>D. Abdelhafiz, J. Bi, R. Ammar, C. Yang , S. Nabavi</t>
  </si>
  <si>
    <t>D. Abdelhafiz, C. Yang, R. Ammar , S. Nabavi</t>
  </si>
  <si>
    <t>M. K. Abd-Ellah, A. I. Awad, A. A. M. Khalaf , H. F. A. Hamed</t>
  </si>
  <si>
    <t>H. Abdeltawab, M. Shehata, A. Shalaby, F. Khalifa, A. Mahmoud, M. A. El-Ghar, A. C. Dwyer, M. Ghazal, H. Hajjdiab, R. Keynton , A. El-Baz</t>
  </si>
  <si>
    <t>A. Abdolmanafi, L. Duong, N. Dahdah , F. Cheriet</t>
  </si>
  <si>
    <t>E. Abels, L. Pantanowitz, F. Aeffner, M. D. Zarella, J. van der Laak, M. M. Bui, V. N. Vemuri, A. V. Parwani, J. Gibbs, E. Agosto-Arroyo, A. H. Beck , C. Kozlowski</t>
  </si>
  <si>
    <t>A. Abrol, Z. Fu, Y. Du , V. D. Calhoun</t>
  </si>
  <si>
    <t>U. R. Acharya, Y. Hagiwara, V. K. Sudarshan, W. Y. Chan , K. H. Ng</t>
  </si>
  <si>
    <t>J. A. Actor, D. T. Fuentes , B. Rivière</t>
  </si>
  <si>
    <t>T. J. Adler, L. Ardizzone, A. Vemuri, L. Ayala, J. Gröhl, T. Kirchner, S. Wirkert, J. Kruse, C. Rother, U. Köthe , L. Maier-Hein</t>
  </si>
  <si>
    <t>F. Aeffner, H. A. Adissu, M. C. Boyle, R. D. Cardiff, E. Hagendorn, M. J. Hoenerhoff, R. Klopfleisch, S. Newbigging, D. Schaudien, O. Turner , K. Wilson</t>
  </si>
  <si>
    <t>P. Afshar, A. Mohammadi, P. N. Tyrrell, P. Cheung, A. Sigiuk, K. N. Plataniotis, E. T. Nguyen , A. Oikonomou</t>
  </si>
  <si>
    <t>R. Agarwal, O. Díaz, M. H. Yap, X. Lladó , R. Martí</t>
  </si>
  <si>
    <t>H. K. Aggarwal, M. P. Mani , M. Jacob</t>
  </si>
  <si>
    <t>S. A. Agnes , J. Anitha</t>
  </si>
  <si>
    <t>V. Agrawal, J. Udupa, Y. Tong , D. Torigian</t>
  </si>
  <si>
    <t>B. U. Ahmad, J. E. Kim , E. Rahimy</t>
  </si>
  <si>
    <t>H. M. Ahmad, M. J. Khan, A. Yousaf, S. Ghuffar , K. Khurshid</t>
  </si>
  <si>
    <t>J. Ahmad, K. Muhammad , S. W. Baik</t>
  </si>
  <si>
    <t>M. R. Ahmed, Y. Zhang, Z. Feng, B. Lo, O. T. Inan , H. Liao</t>
  </si>
  <si>
    <t>D. Ahmedt-Aristizabal, M. A. Armin, S. Denman, C. Fookes , L. Petersson</t>
  </si>
  <si>
    <t>D. Ahmedt-Aristizabal, S. Denman, K. Nguyen, S. Sridharan, S. Dionisio , C. Fookes</t>
  </si>
  <si>
    <t>D. Ahmedt-Aristizabal, C. Fookes, S. Dionisio, K. Nguyen, J. P. S. Cunha , S. Sridharan</t>
  </si>
  <si>
    <t>E. Ahn, A. Kumar, M. Fulham, D. Feng , J. Kim</t>
  </si>
  <si>
    <t>S. H. Ahn, A. U. Yeo, K. H. Kim, C. Kim, Y. Goh, S. Cho, S. B. Lee, Y. K. Lim, H. Kim, D. Shin, T. Kim, T. H. Kim, S. H. Youn, E. S. Oh , J. H. Jeong</t>
  </si>
  <si>
    <t>Y. Ahn, J. S. Yoon, S. S. Lee, H. I. Suk, J. H. Son, Y. S. Sung, Y. Lee, B. K. Kang , H. S. Kim</t>
  </si>
  <si>
    <t>M. Akagi, Y. Nakamura, T. Higaki, K. Narita, Y. Honda, J. Zhou, Z. Yu, N. Akino , K. Awai</t>
  </si>
  <si>
    <t>J. Akatsuka, Y. Yamamoto, T. Sekine, Y. Numata, H. Morikawa, K. Tsutsumi, M. Yanagi, Y. Endo, H. Takeda, T. Hayashi, M. Ueki, G. Tamiya, I. Maeda, M. Fukumoto, A. Shimizu, T. Tsuzuki, G. Kimura , Y. Kondo</t>
  </si>
  <si>
    <t>A. Akay , H. Hess</t>
  </si>
  <si>
    <t>H. Akbari, B. Khalighinejad, J. L. Herrero, A. D. Mehta , N. Mesgarani</t>
  </si>
  <si>
    <t>A. A. Akerberg, C. E. Burns, C. G. Burns , C. Nguyen</t>
  </si>
  <si>
    <t>Y. Akiyama, T. Mikami , N. Mikuni</t>
  </si>
  <si>
    <t>Z. Akkus, J. Cai, A. Boonrod, A. Zeinoddini, A. D. Weston, K. A. Philbrick , B. J. Erickson</t>
  </si>
  <si>
    <t>Z. Akkus, A. Galimzianova, A. Hoogi, D. L. Rubin , B. J. Erickson</t>
  </si>
  <si>
    <t>A. Akselrod-Ballin, M. Chorev, Y. Shoshan, A. Spiro, A. Hazan, R. Melamed, E. Barkan, E. Herzel, S. Naor, E. Karavani, G. Koren, Y. Goldschmidt, V. Shalev, M. Rosen-Zvi , M. Guindy</t>
  </si>
  <si>
    <t>S. S. Alahmari, D. Goldgof, L. Hall, H. A. Phoulady, R. H. Patel , P. R. Mouton</t>
  </si>
  <si>
    <t>I. S. Alam, I. Steinberg, O. Vermesh, N. S. van den Berg, E. L. Rosenthal, G. M. van Dam, V. Ntziachristos, S. S. Gambhir, S. Hernot , S. Rogalla</t>
  </si>
  <si>
    <t>M. A. Al-Antari, M. A. Al-Masni , T. S. Kim</t>
  </si>
  <si>
    <t>M. A. Al-Antari, S. M. Han , T. S. Kim</t>
  </si>
  <si>
    <t>L. A. Al-Aswad, R. Kapoor, C. K. Chu, S. Walters, D. Gong, A. Garg, K. Gopal, V. Patel, T. Sameer, T. W. Rogers, J. Nicolas, G. C. De Moraes , G. Moazami</t>
  </si>
  <si>
    <t>A. Al-Azzawi, A. Ouadou, Y. Duan , J. Cheng</t>
  </si>
  <si>
    <t>A. Al-Azzawi, A. Ouadou, H. Max, Y. Duan, J. J. Tanner , J. Cheng</t>
  </si>
  <si>
    <t>M. A. A. Albadr, S. Tiun, M. Ayob, F. T. Al-Dhief, K. Omar , F. A. Hamzah</t>
  </si>
  <si>
    <t>S. Albahli , W. Albattah</t>
  </si>
  <si>
    <t>W. Al-Dhabyani, M. Gomaa, H. Khaled , A. Fahmy</t>
  </si>
  <si>
    <t>N. Aldoj, S. Lukas, M. Dewey , T. Penzkofer</t>
  </si>
  <si>
    <t>N. Alemi Koohbanani, M. Jahanifar, N. Zamani Tajadin , N. Rajpoot</t>
  </si>
  <si>
    <t>S. Ali, F. Zhou, A. Bailey, B. Braden, J. E. East, X. Lu , J. Rittscher</t>
  </si>
  <si>
    <t>S. Ali, F. Zhou, B. Braden, A. Bailey, S. Yang, G. Cheng, P. Zhang, X. Li, M. Kayser, R. D. Soberanis-Mukul, S. Albarqouni, X. Wang, C. Wang, S. Watanabe, I. Oksuz, Q. Ning, S. Yang, M. A. Khan, X. W. Gao, S. Realdon, M. Loshchenov, J. A. Schnabel, J. E. East, G. Wagnieres, V. B. Loschenov, E. Grisan, C. Daul, W. Blondel , J. Rittscher</t>
  </si>
  <si>
    <t>K. Aljakouch, Z. Hilal, I. Daho, M. Schuler, S. D. Krauß, H. K. Yosef, J. Dierks, A. Mosig, K. Gerwert , S. F. El-Mashtoly</t>
  </si>
  <si>
    <t>R. Alkadi, F. Taher, A. El-Baz , N. Werghi</t>
  </si>
  <si>
    <t>M. Alkhatib, A. Hafiane, P. Vieyres , A. Delbos</t>
  </si>
  <si>
    <t>J. Allyn, N. Allou, C. Vidal, A. Renou , C. Ferdynus</t>
  </si>
  <si>
    <t>M. A. Al-Masni, W. R. Kim, E. Y. Kim, Y. Noh , D. H. Kim</t>
  </si>
  <si>
    <t>G. Almeida , J. Tavares</t>
  </si>
  <si>
    <t>S. Almotairi, G. Kareem, M. Aouf, B. Almutairi , M. A. Salem</t>
  </si>
  <si>
    <t>M. Z. Alom, C. Yakopcic, M. Hasan, T. M. Taha , V. K. Asari</t>
  </si>
  <si>
    <t>M. Al-Shabi, B. L. Lan, W. Y. Chan, K. H. Ng , M. Tan</t>
  </si>
  <si>
    <t>M. H. Alsharif, Y. H. Alsharif, K. Yahya, O. A. Alomari, M. A. Albreem , A. Jahid</t>
  </si>
  <si>
    <t>A. Z. Alsinan, V. M. Patel , I. Hacihaliloglu</t>
  </si>
  <si>
    <t>G. H. Aly, M. Marey, S. A. El-Sayed , M. F. Tolba</t>
  </si>
  <si>
    <t>A. K. Ambastha , T. Y. Leong</t>
  </si>
  <si>
    <t>A. Amer, X. Ye, M. Zolgharni , F. Janan</t>
  </si>
  <si>
    <t>M. Amiri, R. Brooks , H. Rivaz</t>
  </si>
  <si>
    <t>M. Amiri, A. K. Z. Tehrani , H. Rivaz</t>
  </si>
  <si>
    <t>A. Amyar, R. Modzelewski, H. Li , S. Ruan</t>
  </si>
  <si>
    <t>P. Angelov , E. Soares</t>
  </si>
  <si>
    <t>C. H. Antink, S. Lyra, M. Paul, X. Yu , S. Leonhardt</t>
  </si>
  <si>
    <t>B. J. Antony, S. Maetschke , R. Garnavi</t>
  </si>
  <si>
    <t>S. M. Anwar, M. Majid, A. Qayyum, M. Awais, M. Alnowami , M. K. Khan</t>
  </si>
  <si>
    <t>J. Aoe, R. Fukuma, T. Yanagisawa, T. Harada, M. Tanaka, M. Kobayashi, Y. Inoue, S. Yamamoto, Y. Ohnishi , H. Kishima</t>
  </si>
  <si>
    <t>I. D. Apostolopoulos, S. I. Aznaouridis , M. A. Tzani</t>
  </si>
  <si>
    <t>I. D. Apostolopoulos , T. A. Mpesiana</t>
  </si>
  <si>
    <t>I. D. Apostolopoulos, N. D. Papathanasiou, T. Spyridonidis , D. J. Apostolopoulos</t>
  </si>
  <si>
    <t>H. Arabi , H. Zaidi</t>
  </si>
  <si>
    <t>S. Aractingi , G. Pellacani</t>
  </si>
  <si>
    <t>T. Araújo, G. Aresta, L. Mendonça, S. Penas, C. Maia, Â. Carneiro, A. M. Mendonça , A. Campilho</t>
  </si>
  <si>
    <t>M. R. Arbabshirani, S. Plis, J. Sui , V. D. Calhoun</t>
  </si>
  <si>
    <t>A. A. Ardakani, A. R. Kanafi, U. R. Acharya, N. Khadem , A. Mohammadi</t>
  </si>
  <si>
    <t>D. Arefan, A. A. Mohamed, W. A. Berg, M. L. Zuley, J. H. Sumkin , S. Wu</t>
  </si>
  <si>
    <t>Y. Ariji, Y. Sugita, T. Nagao, A. Nakayama, M. Fukuda, Y. Kise, M. Nozawa, M. Nishiyama, A. Katumata , E. Ariji</t>
  </si>
  <si>
    <t>Y. Ariji, Y. Yanashita, S. Kutsuna, C. Muramatsu, M. Fukuda, Y. Kise, M. Nozawa, C. Kuwada, H. Fujita, A. Katsumata , E. Ariji</t>
  </si>
  <si>
    <t>K. Armanious, T. Küstner, M. Reimold, K. Nikolaou, C. La Fougère, B. Yang , S. Gatidis</t>
  </si>
  <si>
    <t>S. G. Armato, 3rd, R. J. Francis, S. I. Katz, G. Ak, I. Opitz, E. Gudmundsson, K. G. Blyth , A. Gupta</t>
  </si>
  <si>
    <t>R. Arora, P. K. Rai , B. Raman</t>
  </si>
  <si>
    <t>G. Arribarat , P. Péran</t>
  </si>
  <si>
    <t>A. Arshaghi, M. Ashourian , L. Ghabeli</t>
  </si>
  <si>
    <t>N. Asiri, M. Hussain, F. Al Adel , N. Alzaidi</t>
  </si>
  <si>
    <t>S. Aslan, L. Hocke, N. Schwarz , B. Frederick</t>
  </si>
  <si>
    <t>A. Asraf, M. Z. Islam, M. R. Haque , M. M. Islam</t>
  </si>
  <si>
    <t>P. Astudillo, M. De Beule, J. Dambre , P. Mortier</t>
  </si>
  <si>
    <t>P. Astudillo, P. Mortier, J. Bosmans, O. De Backer, P. de Jaegere, M. De Beule , J. Dambre</t>
  </si>
  <si>
    <t>P. Astudillo, P. Mortier, J. Bosmans, O. De Backer, P. de Jaegere, F. Iannaccone, M. De Beule , J. Dambre</t>
  </si>
  <si>
    <t>D. Ataloglou, A. Dimou, D. Zarpalas , P. Daras</t>
  </si>
  <si>
    <t>S. Ather, T. Kadir , F. Gleeson</t>
  </si>
  <si>
    <t>M. A. Atici, S. Sagiroglu, P. Celtikci, M. Ucar, A. O. Borcek, H. Emmez , E. Celtikci</t>
  </si>
  <si>
    <t>J. A. Atkinson, M. P. Pound, M. J. Bennett , D. M. Wells</t>
  </si>
  <si>
    <t>H. E. Atlason, A. Love, S. Sigurdsson, V. Gudnason , L. M. Ellingsen</t>
  </si>
  <si>
    <t>R. Attar, M. Pereañez, A. Gooya, X. Albà, L. Zhang, M. H. de Vila, A. M. Lee, N. Aung, E. Lukaschuk, M. M. Sanghvi, K. Fung, J. M. Paiva, S. K. Piechnik, S. Neubauer, S. E. Petersen , A. F. Frangi</t>
  </si>
  <si>
    <t>Z. I. Attia, S. Kapa, X. Yao, F. Lopez-Jimenez, T. L. Mohan, P. A. Pellikka, R. E. Carter, N. D. Shah, P. A. Friedman , P. A. Noseworthy</t>
  </si>
  <si>
    <t>A. Auer, M. T. Strauss, S. Strauss , R. Jungmann</t>
  </si>
  <si>
    <t>M. Avanzo, J. Stancanello, G. Pirrone , G. Sartor</t>
  </si>
  <si>
    <t>C. Avilés-Cruz, A. Ferreyra-Ramírez, A. Zúñiga-López , J. Villegas-Cortéz</t>
  </si>
  <si>
    <t>T. Azevedo, L. Passamonti, P. Lio , N. Toschi</t>
  </si>
  <si>
    <t>A. Babier, R. Mahmood, A. L. McNiven, A. Diamant , T. C. Y. Chan</t>
  </si>
  <si>
    <t>S. Bacchi, T. Zerner, J. Dongas, A. T. Asahina, A. Abou-Hamden, S. Otto, L. Oakden-Rayner , S. Patel</t>
  </si>
  <si>
    <t>H. J. Bae, H. Hyun, Y. Byeon, K. Shin, Y. Cho, Y. J. Song, S. Yi, S. U. Kuh, J. S. Yeom , N. Kim</t>
  </si>
  <si>
    <t>S. Bae, C. An, S. S. Ahn, H. Kim, K. Han, S. W. Kim, J. E. Park, H. S. Kim , S. K. Lee</t>
  </si>
  <si>
    <t>S. Baek, Y. He, B. G. Allen, J. M. Buatti, B. J. Smith, L. Tong, Z. Sun, J. Wu, M. Diehn, B. W. Loo, K. A. Plichta, S. N. Seyedin, M. Gannon, K. R. Cabel, Y. Kim , X. Wu</t>
  </si>
  <si>
    <t>A. Baghdadi, N. A. Aldhaam, A. S. Elsayed, A. A. Hussein, L. A. Cavuoto, E. Kauffman , K. A. Guru</t>
  </si>
  <si>
    <t>M. H. Bagheri, H. Roth, W. Kovacs, J. Yao, F. Farhadi, X. Li , R. M. Summers</t>
  </si>
  <si>
    <t>N. Bahrami, T. Retson, K. Blansit, K. Wang , A. Hsiao</t>
  </si>
  <si>
    <t>R. Baig, M. Bibi, A. Hamid, S. Kausar , S. Khalid</t>
  </si>
  <si>
    <t>P. C. Bala, B. R. Eisenreich, S. B. M. Yoo, B. Y. Hayden, H. S. Park , J. Zimmermann</t>
  </si>
  <si>
    <t>M. Baldeon Calisto , S. K. Lai-Yuen</t>
  </si>
  <si>
    <t>A. Balu, S. Nallagonda, F. Xu, A. Krishnamurthy, M. C. Hsu , S. Sarkar</t>
  </si>
  <si>
    <t>I. Banerjee, S. Bozkurt, E. Alkim, H. Sagreiya, A. W. Kurian , D. L. Rubin</t>
  </si>
  <si>
    <t>I. Banerjee, L. de Sisternes, J. A. Hallak, T. Leng, A. Osborne, P. J. Rosenfeld, G. Gregori, M. Durbin , D. Rubin</t>
  </si>
  <si>
    <t>T. Banzato, F. Causin, A. Della Puppa, G. Cester, L. Mazzai , A. Zotti</t>
  </si>
  <si>
    <t>P. Bao, W. Xia, K. Yang, W. Chen, M. Chen, Y. Xi, S. Niu, J. Zhou, H. Zhang, H. Sun, Z. Wang , Y. Zhang</t>
  </si>
  <si>
    <t>L. Bargsten , A. Schlaefer</t>
  </si>
  <si>
    <t>A. Bartschat, S. Allgeier, S. Bohn, T. Scherr, D. Blessing, K. M. Reichert, M. Reischl, O. Stachs, B. Koehler , R. Mikut</t>
  </si>
  <si>
    <t>G. Baselli, M. Codari , F. Sardanelli</t>
  </si>
  <si>
    <t>V. M. Bashyam, G. Erus, J. Doshi, M. Habes, I. Nasralah, M. Truelove-Hill, D. Srinivasan, L. Mamourian, R. Pomponio, Y. Fan, L. J. Launer, C. L. Masters, P. Maruff, C. Zhuo, H. Völzke, S. C. Johnson, J. Fripp, N. Koutsouleris, T. D. Satterthwaite, D. Wolf, R. E. Gur, R. C. Gur, J. Morris, M. S. Albert, H. J. Grabe, S. Resnick, R. N. Bryan, D. A. Wolk, H. Shou , C. Davatzikos</t>
  </si>
  <si>
    <t>S. Basu, K. T. Johnson , S. A. Berkowitz</t>
  </si>
  <si>
    <t>Y. Y. Baydilli , Ü. Atila</t>
  </si>
  <si>
    <t>P. Bede, G. Querin , P. F. Pradat</t>
  </si>
  <si>
    <t>B. Behboodi, M. Fortin, C. J. Belasso, R. Brooks , H. Rivaz</t>
  </si>
  <si>
    <t>B. Behboodi , H. Rivaz</t>
  </si>
  <si>
    <t>K. N. Bellsmith, J. Brown, S. J. Kim, I. H. Goldstein, A. Coyner, S. Ostmo, K. Gupta, R. V. P. Chan, J. Kalpathy-Cramer, M. F. Chiang , J. P. Campbell</t>
  </si>
  <si>
    <t>C. Belthangady , L. A. Royer</t>
  </si>
  <si>
    <t>C. Ben, H. H. Li, T. Liu, Z. J. Wang, D. S. Cheng , S. H. Zhu</t>
  </si>
  <si>
    <t>M. Bengs, N. Gessert, M. Schlüter , A. Schlaefer</t>
  </si>
  <si>
    <t>B. Bennani-Baiti , P. A. T. Baltzer</t>
  </si>
  <si>
    <t>D. C. Benz, G. Benetos, G. Rampidis, E. von Felten, A. Bakula, A. Sustar, K. Kudura, M. Messerli, T. A. Fuchs, C. Gebhard, A. P. Pazhenkottil, P. A. Kaufmann , R. R. Buechel</t>
  </si>
  <si>
    <t>T. Bepler, K. Kelley, A. J. Noble , B. Berger</t>
  </si>
  <si>
    <t>G. Bernotas, L. C. T. Scorza, M. F. Hansen, I. J. Hales, K. J. Halliday, L. N. Smith, M. L. Smith , A. J. McCormick</t>
  </si>
  <si>
    <t>S. Beyaz, K. Açıcı , E. Sümer</t>
  </si>
  <si>
    <t>S. Bhat, U. R. Acharya, Y. Hagiwara, N. Dadmehr , H. Adeli</t>
  </si>
  <si>
    <t>S. P. Bhatt, G. R. Washko, E. A. Hoffman, J. D. Newell, Jr., S. Bodduluri, A. A. Diaz, C. J. Galban, E. K. Silverman, R. San José Estépar , D. A. Lynch</t>
  </si>
  <si>
    <t>S. Bhattacharya, P. K. Reddy Maddikunta, Q. V. Pham, T. R. Gadekallu, S. S. Krishnan, C. L. Chowdhary, M. Alazab , M. Jalil Piran</t>
  </si>
  <si>
    <t>W. L. Bi, A. Hosny, M. B. Schabath, M. L. Giger, N. J. Birkbak, A. Mehrtash, T. Allison, O. Arnaout, C. Abbosh, I. F. Dunn, R. H. Mak, R. M. Tamimi, C. M. Tempany, C. Swanton, U. Hoffmann, L. H. Schwartz, R. J. Gillies, R. Y. Huang , H. Aerts</t>
  </si>
  <si>
    <t>C. Bian, C. Yuan, J. Wang, M. Li, X. Yang, S. Yu, K. Ma, J. Yuan , Y. Zheng</t>
  </si>
  <si>
    <t>J. E. Bibault, L. Xing, P. Giraud, R. El Ayachy, N. Giraud, P. Decazes, A. Burgun , P. Giraud</t>
  </si>
  <si>
    <t>C. Biffi, J. J. Cerrolaza, G. Tarroni, W. Bai, A. de Marvao, O. Oktay, C. Ledig, L. Le Folgoc, K. Kamnitsas, G. Doumou, J. Duan, S. K. Prasad, S. A. Cook, D. P. O'Regan , D. Rueckert</t>
  </si>
  <si>
    <t>B. Bilgic, I. Chatnuntawech, M. K. Manhard, Q. Tian, C. Liao, S. S. Iyer, S. F. Cauley, S. Y. Huang, J. R. Polimeni, L. L. Wald , K. Setsompop</t>
  </si>
  <si>
    <t>V. Biousse, N. J. Newman, R. P. Najjar, C. Vasseneix, X. Xu, D. S. Ting, L. B. Milea, J. M. Hwang, D. H. Kim, H. K. Yang, S. Hamann, J. J. Chen, Y. Liu, T. Y. Wong , D. Milea</t>
  </si>
  <si>
    <t>M. Biswas, V. Kuppili, L. Saba, D. R. Edla, H. S. Suri, E. Cuadrado-Godia, J. R. Laird, R. T. Marinhoe, J. M. Sanches, A. Nicolaides , J. S. Suri</t>
  </si>
  <si>
    <t>S. Biswas, H. K. Aggarwal , M. Jacob</t>
  </si>
  <si>
    <t>S. Biswas , S. Barma</t>
  </si>
  <si>
    <t>R. S. Biyani , B. M. Patre</t>
  </si>
  <si>
    <t>K. M. Black, H. Law, A. Aldoukhi, J. Deng , K. R. Ghani</t>
  </si>
  <si>
    <t>L. Blaivas , M. Blaivas</t>
  </si>
  <si>
    <t>M. Blendowski, L. Hansen , M. P. Heinrich</t>
  </si>
  <si>
    <t>C. Blüthgen, A. S. Becker, I. Vittoria de Martini, A. Meier, K. Martini , T. Frauenfelder</t>
  </si>
  <si>
    <t>T. G. W. Boers, Y. Hu, E. Gibson, D. C. Barratt, E. Bonmati, J. Krdzalic, F. van der Heijden, J. J. Hermans , H. J. Huisman</t>
  </si>
  <si>
    <t>A. Boi, A. D. Jamthikar, L. Saba, D. Gupta, A. Sharma, B. Loi, J. R. Laird, N. N. Khanna , J. S. Suri</t>
  </si>
  <si>
    <t>E. Boissady, A. de La Comble, X. Zhu , A. M. Hespel</t>
  </si>
  <si>
    <t>A. Borjali, A. F. Chen, O. K. Muratoglu, M. A. Morid , K. M. Varadarajan</t>
  </si>
  <si>
    <t>P. Börnert , D. G. Norris</t>
  </si>
  <si>
    <t>B. Böttcher, E. Beller, A. Busse, D. Cantré, S. Yücel, A. Öner, H. Ince, M. A. Weber , F. G. Meinel</t>
  </si>
  <si>
    <t>N. E. Boutagy, S. Ravera, X. Papademetris, J. A. Onofrey, Z. W. Zhuang, J. Wu, A. Feher, M. R. Stacy, B. A. French, B. H. Annex, N. Carrasco , A. J. Sinusas</t>
  </si>
  <si>
    <t>B. Braaf, S. Donner, N. Uribe-Patarroyo, B. E. Bouma , B. J. Vakoc</t>
  </si>
  <si>
    <t>L. J. Brattain, B. A. Telfer, M. Dhyani, J. R. Grajo , A. E. Samir</t>
  </si>
  <si>
    <t>R. Brehar, D. A. Mitrea, F. Vancea, T. Marita, S. Nedevschi, M. Lupsor-Platon, M. Rotaru , R. I. Badea</t>
  </si>
  <si>
    <t>R. Brent , L. Boucheron</t>
  </si>
  <si>
    <t>K. K. Bressem, L. C. Adams, C. Erxleben, B. Hamm, S. M. Niehues , J. L. Vahldiek</t>
  </si>
  <si>
    <t>A. Bria, C. Marrocco , F. Tortorella</t>
  </si>
  <si>
    <t>J. Bridge, Y. Meng, Y. Zhao, Y. Du, M. Zhao, R. Sun , Y. Zheng</t>
  </si>
  <si>
    <t>G. Briganti , O. Le Moine</t>
  </si>
  <si>
    <t>T. J. Brinker, A. Hekler, A. H. Enk, J. Klode, A. Hauschild, C. Berking, B. Schilling, S. Haferkamp, D. Schadendorf, S. Fröhling, J. S. Utikal , C. von Kalle</t>
  </si>
  <si>
    <t>T. J. Brinker, A. Hekler, A. H. Enk , C. von Kalle</t>
  </si>
  <si>
    <t>L. Brunese, F. Mercaldo, A. Reginelli , A. Santone</t>
  </si>
  <si>
    <t>I. Brusini, O. Lindberg, J. S. Muehlboeck, Ö. Smedby, E. Westman , C. Wang</t>
  </si>
  <si>
    <t>T. O. Buchholz, A. Krull, R. Shahidi, G. Pigino, G. Jékely , F. Jug</t>
  </si>
  <si>
    <t>M. Buda, B. Wildman-Tobriner, J. K. Hoang, D. Thayer, F. N. Tessler, W. D. Middleton , M. A. Mazurowski</t>
  </si>
  <si>
    <t>T. D. Bui, J. J. Lee , J. Shin</t>
  </si>
  <si>
    <t>W. Bulten, H. Pinckaers, H. van Boven, R. Vink, T. de Bel, B. van Ginneken, J. van der Laak, C. Hulsbergen-van de Kaa , G. Litjens</t>
  </si>
  <si>
    <t>J. Burdick, O. Marques, J. Weinthal , B. Furht</t>
  </si>
  <si>
    <t>N. Burgos, S. Bottani, J. Faouzi, E. Thibeau-Sutre , O. Colliot</t>
  </si>
  <si>
    <t>X. P. Burgos-Artizzu, D. Coronado-Gutiérrez, B. Valenzuela-Alcaraz, E. Bonet-Carne, E. Eixarch, F. Crispi , E. Gratacós</t>
  </si>
  <si>
    <t>X. P. Burgos-Artizzu, Á. Perez-Moreno, D. Coronado-Gutierrez, E. Gratacos , M. Palacio</t>
  </si>
  <si>
    <t>P. Burlina, N. Joshi, S. Billings, I. J. Wang , J. Albayda</t>
  </si>
  <si>
    <t>J. E. Burns, J. Yao, D. Chalhoub, J. J. Chen , R. M. Summers</t>
  </si>
  <si>
    <t>J. E. Burns, J. Yao , R. M. Summers</t>
  </si>
  <si>
    <t>J. R. Burt, N. Torosdagli, N. Khosravan, H. RaviPrakash, A. Mortazi, F. Tissavirasingham, S. Hussein , U. Bagci</t>
  </si>
  <si>
    <t>S. Burti, V. Longhin Osti, A. Zotti , T. Banzato</t>
  </si>
  <si>
    <t>A. Butola, D. Popova, D. K. Prasad, A. Ahmad, A. Habib, J. C. Tinguely, P. Basnet, G. Acharya, P. Senthilkumaran, D. S. Mehta , B. S. Ahluwalia</t>
  </si>
  <si>
    <t>D. A. Y. Cahyo, D. W. K. Wong, A. P. Yow, S. M. Saw , L. Schmetterer</t>
  </si>
  <si>
    <t>L. Cai, J. Gao , D. Zhao</t>
  </si>
  <si>
    <t>Q. Cai, S. Y. Du, S. Gao, G. L. Huang, Z. Zhang, S. Li, X. Wang, P. L. Li, P. Lv, G. Hou , L. N. Zhang</t>
  </si>
  <si>
    <t>S. L. Cai, B. Li, W. M. Tan, X. J. Niu, H. H. Yu, L. Q. Yao, P. H. Zhou, B. Yan , Y. S. Zhong</t>
  </si>
  <si>
    <t>J. C. Caicedo, A. Goodman, K. W. Karhohs, B. A. Cimini, J. Ackerman, M. Haghighi, C. Heng, T. Becker, M. Doan, C. McQuin, M. Rohban, S. Singh , A. E. Carpenter</t>
  </si>
  <si>
    <t>J. C. Caicedo, J. Roth, A. Goodman, T. Becker, K. W. Karhohs, M. Broisin, C. Molnar, C. McQuin, S. Singh, F. J. Theis , A. E. Carpenter</t>
  </si>
  <si>
    <t>E. Calabrese, J. E. Villanueva-Meyer , S. Cha</t>
  </si>
  <si>
    <t>M. Caldwell , L. D. Griffin</t>
  </si>
  <si>
    <t>H. Caliskan, A. S. Mahoney, J. L. Coyle , E. Sejdic</t>
  </si>
  <si>
    <t>J. M. Campbell, Z. Huang, J. Zhang, X. Wu, P. Qin, G. Northoff, G. A. Mashour , A. G. Hudetz</t>
  </si>
  <si>
    <t>C. Cano-Espinosa, G. Gonzalez, G. R. Washko, M. Cazorla , R. S. J. Estepar</t>
  </si>
  <si>
    <t>C. Cano-Espinosa, G. González, G. R. Washko, M. Cazorla , R. S. J. Estépar</t>
  </si>
  <si>
    <t>C. Cao, F. Liu, H. Tan, D. Song, W. Shu, W. Li, Y. Zhou, X. Bo , Z. Xie</t>
  </si>
  <si>
    <t>J. Cao, G. Guan, V. W. S. Ho, M. K. Wong, L. Y. Chan, C. Tang, Z. Zhao , H. Yan</t>
  </si>
  <si>
    <t>L. Cao, R. Shi, Y. Ge, L. Xing, P. Zuo, Y. Jia, J. Liu, Y. He, X. Wang, S. Luan, X. Chai , W. Guo</t>
  </si>
  <si>
    <t>P. Cao, D. Cui, V. Vardhanabhuti , E. S. Hui</t>
  </si>
  <si>
    <t>S. Cao, X. Yao, N. Koirala, B. Brott, S. Litovsky, Y. Ling , Y. Gan</t>
  </si>
  <si>
    <t>W. Cao, X. An, L. Cong, C. Lyu, Q. Zhou , R. Guo</t>
  </si>
  <si>
    <t>W. Cao, M. J. Pomeroy, Y. Gao, M. A. Barish, A. F. Abbasi, P. J. Pickhardt , Z. Liang</t>
  </si>
  <si>
    <t>Y. Cao, A. Vassantachart, J. Ye, C. Yu, D. Ruan, K. Sheng, Y. Lao, Z. L. Shen, S. Balik, S. Bian, G. Zada, A. Shiu, E. Chang , W. Yang</t>
  </si>
  <si>
    <t>Z. Cao, L. Duan, G. Yang, T. Yue , Q. Chen</t>
  </si>
  <si>
    <t>Z. Cao, G. Yang, Q. Chen, X. Chen , F. Lv</t>
  </si>
  <si>
    <t>E. Capobianco , J. Deng</t>
  </si>
  <si>
    <t>J. S. Cardoso, W. Silva , M. J. Cardoso</t>
  </si>
  <si>
    <t>M. Carlile, B. Hurt, A. Hsiao, M. Hogarth, C. A. Longhurst , C. Dameff</t>
  </si>
  <si>
    <t>G. Carneiro, L. Zorron Cheng Tao Pu, R. Singh , A. Burt</t>
  </si>
  <si>
    <t>R. E. Carter, Z. I. Attia, J. R. Geske, A. L. Conners, D. H. Whaley, K. N. Hunt, M. K. O'Connor, D. J. Rhodes , C. B. Hruska</t>
  </si>
  <si>
    <t>F. Casalegno, T. Newton, R. Daher, M. Abdelaziz, A. Lodi-Rizzini, F. Schürmann, I. Krejci , H. Markram</t>
  </si>
  <si>
    <t>L. Casas, N. Navab , S. Demirci</t>
  </si>
  <si>
    <t>A. Casella, S. Moccia, E. Frontoni, D. Paladini, E. De Momi , L. S. Mattos</t>
  </si>
  <si>
    <t>R. Castro-Zunti, E. H. Park, Y. Choi, G. Y. Jin , S. B. Ko</t>
  </si>
  <si>
    <t>J. J. Cerrolaza, M. L. Picazo, L. Humbert, Y. Sato, D. Rueckert, G. Ballester MÁ , M. G. Linguraru</t>
  </si>
  <si>
    <t>K. H. Cha, L. M. Hadjiiski, R. H. Cohan, H. P. Chan, E. M. Caoili, M. S. Davenport, R. K. Samala, A. Z. Weizer, A. Alva, G. Kirova-Nedyalkova, K. Shampain, N. Meyer, D. Barkmeier, S. Woolen, P. R. Shankar, I. R. Francis , P. Palmbos</t>
  </si>
  <si>
    <t>K. J. Chae, G. Y. Jin, S. B. Ko, Y. Wang, H. Zhang, E. J. Choi , H. Choi</t>
  </si>
  <si>
    <t>K. Chaitanya, N. Karani, C. F. Baumgartner, E. Erdil, A. Becker, O. Donati , E. Konukoglu</t>
  </si>
  <si>
    <t>R. Chakraborty, J. Bouza, J. Manton , B. C. Vemuri</t>
  </si>
  <si>
    <t>A. Chakravarty , J. Sivaswamy</t>
  </si>
  <si>
    <t>H. P. Chan, R. K. Samala , L. M. Hadjiiski</t>
  </si>
  <si>
    <t>H. P. Chan, R. K. Samala, L. M. Hadjiiski , C. Zhou</t>
  </si>
  <si>
    <t>S. Chan , E. L. Siegel</t>
  </si>
  <si>
    <t>G. H. Chang, D. T. Felson, S. Qiu, A. Guermazi, T. D. Capellini , V. B. Kolachalama</t>
  </si>
  <si>
    <t>J. Chang, A. Ko, S. M. Park, S. Choi, K. Kim, S. M. Kim, J. M. Yun, U. Kang, I. H. Shin, J. Y. Shin, T. Ko, J. Lee, B. L. Oh , K. H. Park</t>
  </si>
  <si>
    <t>K. Chang, A. L. Beers, H. X. Bai, J. M. Brown, K. I. Ly, X. Li, J. T. Senders, V. K. Kavouridis, A. Boaro, C. Su, W. L. Bi, O. Rapalino, W. Liao, Q. Shen, H. Zhou, B. Xiao, Y. Wang, P. J. Zhang, M. C. Pinho, P. Y. Wen, T. T. Batchelor, J. L. Boxerman, O. Arnaout, B. R. Rosen, E. R. Gerstner, L. Yang, R. Y. Huang , J. Kalpathy-Cramer</t>
  </si>
  <si>
    <t>T. C. Chang, C. Seufert, O. Eminaga, E. Shkolyar, J. C. Hu , J. C. Liao</t>
  </si>
  <si>
    <t>J. Charng, D. Xiao, M. Mehdizadeh, M. S. Attia, S. Arunachalam, T. M. Lamey, J. A. Thompson, T. L. McLaren, J. N. De Roach, D. A. Mackey, S. Frost , F. K. Chen</t>
  </si>
  <si>
    <t>G. Chassagnon, M. Vakalopolou, N. Paragios , M. P. Revel</t>
  </si>
  <si>
    <t>G. Chassagnon, M. Vakalopoulou, N. Paragios , M. P. Revel</t>
  </si>
  <si>
    <t>C. I. Chen, T. B. Chen, N. H. Lu, W. C. Du, C. Y. Liang, K. I. Liu, S. Y. Hsu, L. W. Lin , Y. H. Huang</t>
  </si>
  <si>
    <t>D. Chen, Z. Wang, D. Guo, V. Orekhov , X. Qu</t>
  </si>
  <si>
    <t>D. Y. T. Chen, Y. Ishii, A. P. Fan, J. Guo, M. Y. Zhao, G. K. Steinberg , G. Zaharchuk</t>
  </si>
  <si>
    <t>G. Chen, J. Zhang, D. Zhuo, Y. Pan , C. Pang</t>
  </si>
  <si>
    <t>G. Chen, Y. Zhao, Q. Huang , H. Gao</t>
  </si>
  <si>
    <t>G. Y. Chen, C. M. Huang, H. L. Liu, S. H. Lee, T. M. Lee, C. Lin , S. C. Wu</t>
  </si>
  <si>
    <t>H. Chen, Q. Dou, L. Yu, J. Qin , P. A. Heng</t>
  </si>
  <si>
    <t>H. Chen, O. Engkvist, Y. Wang, M. Olivecrona , T. Blaschke</t>
  </si>
  <si>
    <t>H. Chen, K. Zhang, P. Lyu, H. Li, L. Zhang, J. Wu , C. H. Lee</t>
  </si>
  <si>
    <t>J. Chen, Y. Li, Y. Du , E. C. Frey</t>
  </si>
  <si>
    <t>J. Chen, Z. Wan, J. Zhang, W. Li, Y. Chen, Y. Li , Y. Duan</t>
  </si>
  <si>
    <t>J. Chen, L. Wu, J. Zhang, L. Zhang, D. Gong, Y. Zhao, Q. Chen, S. Huang, M. Yang, X. Yang, S. Hu, Y. Wang, X. Hu, B. Zheng, K. Zhang, H. Wu, Z. Dong, Y. Xu, Y. Zhu, X. Chen, M. Zhang, L. Yu, F. Cheng , H. Yu</t>
  </si>
  <si>
    <t>J. Chen, H. You , K. Li</t>
  </si>
  <si>
    <t>K. Y. Chen, W. Z. Zheng, Y. Y. Lin, S. T. Tang, L. W. Chou , Y. H. Lai</t>
  </si>
  <si>
    <t>L. Chen, P. Bentley, K. Mori, K. Misawa, M. Fujiwara , D. Rueckert</t>
  </si>
  <si>
    <t>L. Chen, C. Shen, Z. Zhou, G. Maquilan, K. Albuquerque, M. R. Folkert , J. Wang</t>
  </si>
  <si>
    <t>L. Chen, X. Yang, G. Jeon, M. Anisetti , K. Liu</t>
  </si>
  <si>
    <t>L. Chen, K. Zheng, Y. Shen , C. Su</t>
  </si>
  <si>
    <t>L. Chen, Z. Zhou, D. Sher, Q. Zhang, J. Shah, N. L. Pham, S. Jiang , J. Wang</t>
  </si>
  <si>
    <t>M. Chen, X. Wang, G. Hao, X. Cheng, C. Ma, N. Guo, S. Hu, Q. Tao, F. Yao , C. Hu</t>
  </si>
  <si>
    <t>Q. Chen, Y. Wang, Y. Qiu, X. Wu, Y. Zhou , G. Zhai</t>
  </si>
  <si>
    <t>S. Chen, W. Liu, J. Qin, L. Chen, G. Bin, Y. Zhou, T. Wang , B. Huang</t>
  </si>
  <si>
    <t>S. Chen, X. Zhong, S. Hu, S. Dorn, M. Kachelrieß, M. Lell , A. Maier</t>
  </si>
  <si>
    <t>X. Chen , L. Pan</t>
  </si>
  <si>
    <t>X. Chen, Y. Wang, M. Shen, B. Yang, Q. Zhou, Y. Yi, W. Liu, G. Zhang, G. Yang , H. Zhang</t>
  </si>
  <si>
    <t>X. Chen, C. Xie, Z. Chen , Q. Li</t>
  </si>
  <si>
    <t>X. Chen, M. Zeng, Y. Tong, T. Zhang, Y. Fu, H. Li, Z. Zhang, Z. Cheng, X. Xu, R. Yang, Z. Liu, X. Wei , X. Jiang</t>
  </si>
  <si>
    <t>Y. Chen, Z. Fang, S. C. Hung, W. T. Chang, D. Shen , W. Lin</t>
  </si>
  <si>
    <t>Y. Chen, Y. Gao, K. Li, L. Zhao , J. Zhao</t>
  </si>
  <si>
    <t>Y. Chen, A. Janowczyk , A. Madabhushi</t>
  </si>
  <si>
    <t>Y. Chen, D. Li, X. Zhang, J. Jin , Y. Shen</t>
  </si>
  <si>
    <t>Y. Chen, Y. Tang, C. Wang, X. Liu, L. Zhao , Z. Wang</t>
  </si>
  <si>
    <t>Y. Chen, J. E. Villanueva-Meyer, M. A. Morrison , J. M. Lupo</t>
  </si>
  <si>
    <t>Z. Chen, X. Wang, K. Yan , J. Zheng</t>
  </si>
  <si>
    <t>C. T. Cheng, C. C. Chen, C. Y. Fu, C. H. Chaou, Y. T. Wu, C. P. Hsu, C. C. Chang, I. F. Chung, C. H. Hsieh, M. J. Hsieh , C. H. Liao</t>
  </si>
  <si>
    <t>W. Chi, L. Ma, J. Wu, M. Chen, W. Lu , X. Gu</t>
  </si>
  <si>
    <t>H. Cho , S. M. Yoon</t>
  </si>
  <si>
    <t>J. Cho, K. S. Park, M. Karki, E. Lee, S. Ko, J. K. Kim, D. Lee, J. Choe, J. Son, M. Kim, S. Lee, J. Lee, C. Yoon , S. Park</t>
  </si>
  <si>
    <t>S. J. Cho, L. Sunwoo, S. H. Baik, Y. J. Bae, B. S. Choi , J. H. Kim</t>
  </si>
  <si>
    <t>W. K. Cho , S. H. Choi</t>
  </si>
  <si>
    <t>Y. S. Cho, K. Cho, C. J. Park, M. J. Chung, J. H. Kim, K. Kim, Y. K. Kim, H. J. Kim, J. W. Ko, B. H. Cho , W. H. Chung</t>
  </si>
  <si>
    <t>J. Choe, S. M. Lee, K. H. Do, G. Lee, J. G. Lee, S. M. Lee , J. B. Seo</t>
  </si>
  <si>
    <t>H. J. Choi, J. W. Jang, W. G. Shin, H. Park, S. Incerti , C. H. Min</t>
  </si>
  <si>
    <t>J. S. Choi, B. K. Han, E. S. Ko, J. M. Bae, E. Y. Ko, S. H. Song, M. R. Kwon, J. H. Shin , S. Y. Hahn</t>
  </si>
  <si>
    <t>J. W. Choi, Y. J. Cho, S. Lee, J. Lee, S. Lee, Y. H. Choi, J. E. Cheon , J. Y. Ha</t>
  </si>
  <si>
    <t>K. Choi , S. Kim</t>
  </si>
  <si>
    <t>K. Choi, M. Vania , S. Kim</t>
  </si>
  <si>
    <t>K. S. Choi, S. H. Choi , B. Jeong</t>
  </si>
  <si>
    <t>K. S. Choi, S. H. You, Y. Han, J. C. Ye, B. Jeong , S. H. Choi</t>
  </si>
  <si>
    <t>Y. Choi, Y. Nam, Y. S. Lee, J. Kim, K. J. Ahn, J. Jang, N. Y. Shin, B. S. Kim , S. S. Jeon</t>
  </si>
  <si>
    <t>A. Choudhary, L. Tong, Y. Zhu , M. D. Wang</t>
  </si>
  <si>
    <t>A. Christe, A. A. Peters, D. Drakopoulos, J. T. Heverhagen, T. Geiser, T. Stathopoulou, S. Christodoulidis, M. Anthimopoulos, S. G. Mougiakakou , L. Ebner</t>
  </si>
  <si>
    <t>J. Chun, H. Zhang, H. M. Gach, S. Olberg, T. Mazur, O. Green, T. Kim, H. Kim, J. S. Kim, S. Mutic , J. C. Park</t>
  </si>
  <si>
    <t>S. Chung, J. Lim, K. J. Noh, G. Kim , H. Jeong</t>
  </si>
  <si>
    <t>A. Ciritsis, C. Rossi, I. Vittoria De Martini, M. Eberhard, M. Marcon, A. S. Becker, N. Berger , A. Boss</t>
  </si>
  <si>
    <t>K. Clancy, S. Aboutalib, A. Mohamed, J. Sumkin , S. Wu</t>
  </si>
  <si>
    <t>A. Clèrigues, S. Valverde, J. Bernal, J. Freixenet, A. Oliver , X. Lladó</t>
  </si>
  <si>
    <t>T. Cogan, M. Cogan , L. Tamil</t>
  </si>
  <si>
    <t>T. Cogan , L. Tamil</t>
  </si>
  <si>
    <t>J. H. Cole , K. Franke</t>
  </si>
  <si>
    <t>G. J. R. Cook , V. Goh</t>
  </si>
  <si>
    <t>L. Corbat, J. Henriet, Y. Chaussy , J. C. Lapayre</t>
  </si>
  <si>
    <t>N. J. Cronin, T. Finni , O. Seynnes</t>
  </si>
  <si>
    <t>J. Crosby, T. Rhines, F. Li, H. MacMahon , M. Giger</t>
  </si>
  <si>
    <t>J. Cui, K. Gong, N. Guo, C. Wu, X. Meng, K. Kim, K. Zheng, Z. Wu, L. Fu, B. Xu, Z. Zhu, J. Tian, H. Liu , Q. Li</t>
  </si>
  <si>
    <t>R. Cui , M. Liu</t>
  </si>
  <si>
    <t>S. Cui, L. Mao, J. Jiang, C. Liu , S. Xiong</t>
  </si>
  <si>
    <t>S. Cui, S. Ming, Y. Lin, F. Chen, Q. Shen, H. Li, G. Chen, X. Gong , H. Wang</t>
  </si>
  <si>
    <t>X. Cui, R. Wei, L. Gong, R. Qi, Z. Zhao, H. Chen, K. Song, A. A. A. Abdulrahman, Y. Wang, J. Z. S. Chen, S. Chen, Y. Zhao , X. Gao</t>
  </si>
  <si>
    <t>R. Cuocolo, M. Caruso, T. Perillo, L. Ugga , M. Petretta</t>
  </si>
  <si>
    <t>R. Cuocolo, M. B. Cipullo, A. Stanzione, L. Ugga, V. Romeo, L. Radice, A. Brunetti , M. Imbriaco</t>
  </si>
  <si>
    <t>G. Currie , K. E. Hawk</t>
  </si>
  <si>
    <t>G. Currie, K. E. Hawk, E. Rohren, A. Vial , R. Klein</t>
  </si>
  <si>
    <t>E. Czech, B. A. Aksoy, P. Aksoy , J. Hammerbacher</t>
  </si>
  <si>
    <t>G. L. F. da Silva, P. S. Diniz, J. L. Ferreira, J. V. F. França, A. C. Silva, A. C. de Paiva , E. A. A. de Cavalcanti</t>
  </si>
  <si>
    <t>L. Dai, R. Fang, H. Li, X. Hou, B. Sheng, Q. Wu , W. Jia</t>
  </si>
  <si>
    <t>M. Dai, S. Li, Y. Wang, Q. Zhang , J. Yu</t>
  </si>
  <si>
    <t>X. Dai, L. Huang, Y. Qian, S. Xia, W. Chong, J. Liu, A. Di Ieva, X. Hou , C. Ou</t>
  </si>
  <si>
    <t>X. Dai, Y. Lei, Y. Fu, W. J. Curran, T. Liu, H. Mao , X. Yang</t>
  </si>
  <si>
    <t>X. Dai, Y. Lei, Y. Liu, T. Wang, L. Ren, W. J. Curran, P. Patel, T. Liu , X. Yang</t>
  </si>
  <si>
    <t>X. Dai, X. Wang, L. Du, N. Ma, S. Xu, B. Cai, S. Wang, Z. Wang , B. Qu</t>
  </si>
  <si>
    <t>Y. Dai , P. Zhuang</t>
  </si>
  <si>
    <t>R. Damseh, P. Pouliot, L. Gagnon, S. Sakadzic, D. Boas, F. Cheriet , F. Lesage</t>
  </si>
  <si>
    <t>J. Dana, V. Agnus, F. Ouhmich , B. Gallix</t>
  </si>
  <si>
    <t>S. Dang , S. Chaudhury</t>
  </si>
  <si>
    <t>G. Danilov, K. Kotik, A. Negreeva, T. Tsukanova, M. Shifrin, N. Zakharova, A. Batalov, I. Pronin , A. Potapov</t>
  </si>
  <si>
    <t>B. Daoud, K. Morooka, R. Kurazume, F. Leila, W. Mnejja , J. Daoud</t>
  </si>
  <si>
    <t>D. Das, K. C. Santosh , U. Pal</t>
  </si>
  <si>
    <t>N. Das, M. Topalovic , W. Janssens</t>
  </si>
  <si>
    <t>A. Davis, K. Billick, K. Horton, M. Jankowski, P. Knoll, J. E. Marshall, A. Paloma, R. Palma , D. B. Adams</t>
  </si>
  <si>
    <t>V. de Almeida Thomaz, C. A. Sierra-Franco , A. B. Raposo</t>
  </si>
  <si>
    <t>G. de Jong, E. Bijlsma, J. Meulstee, M. Wennen, E. van Lindert, T. Maal, R. Aquarius , H. Delye</t>
  </si>
  <si>
    <t>Q. De Man, E. Haneda, B. Claus, P. Fitzgerald, B. De Man, G. Qian, H. Shan, J. Min, M. Sabuncu , G. Wang</t>
  </si>
  <si>
    <t>B. D. de Vos, J. M. Wolterink, T. Leiner, P. A. de Jong, N. Lessmann , I. Isgum</t>
  </si>
  <si>
    <t>S. Deepak , P. M. Ameer</t>
  </si>
  <si>
    <t>V. Della Mea , D. Pilutti</t>
  </si>
  <si>
    <t>H. Deng, T. Xu, Y. Zhou , T. Miao</t>
  </si>
  <si>
    <t>S. B. Desai, A. Pareek , M. P. Lungren</t>
  </si>
  <si>
    <t>S. V. Destounis, A. Santacroce , A. Arieno</t>
  </si>
  <si>
    <t>S. K. Devalla, G. Subramanian, T. H. Pham, X. Wang, S. Perera, T. A. Tun, T. Aung, L. Schmetterer, A. H. Thiéry , M. J. A. Girard</t>
  </si>
  <si>
    <t>L. Devnath, S. Luo, P. Summons , D. Wang</t>
  </si>
  <si>
    <t>D. Dey, P. J. Slomka, P. Leeson, D. Comaniciu, S. Shrestha, P. P. Sengupta , T. H. Marwick</t>
  </si>
  <si>
    <t>N. J. Dhinagar, W. Speier, K. V. Sarma, A. Raman, A. Kinnaird, S. S. Raman, L. S. Marks , C. W. Arnold</t>
  </si>
  <si>
    <t>G. P. Diller, S. Babu-Narayan, W. Li, J. Radojevic, A. Kempny, A. Uebing, K. Dimopoulos, H. Baumgartner, M. A. Gatzoulis , S. Orwat</t>
  </si>
  <si>
    <t>G. P. Diller, A. E. Lammers, S. Babu-Narayan, W. Li, R. M. Radke, H. Baumgartner, M. A. Gatzoulis , S. Orwat</t>
  </si>
  <si>
    <t>G. P. Diller, J. Vahle, R. Radke, M. L. B. Vidal, A. J. Fischer, U. M. M. Bauer, S. Sarikouch, F. Berger, P. Beerbaum, H. Baumgartner , S. Orwat</t>
  </si>
  <si>
    <t>G. M. Dimitri, S. Spasov, A. Duggento, L. Passamonti, P. Lio , N. Toschi</t>
  </si>
  <si>
    <t>Q. Ding, G. Chen, X. Zhang, Q. Huang, H. Ji , H. Gao</t>
  </si>
  <si>
    <t>J. O. B. Diniz, J. L. Ferreira, P. H. B. Diniz, A. C. Silva , A. C. de Paiva</t>
  </si>
  <si>
    <t>P. H. B. Diniz, Y. Yin , S. Collins</t>
  </si>
  <si>
    <t>A. M. Dinkla, M. C. Florkow, M. Maspero, M. H. F. Savenije, F. Zijlstra, P. A. H. Doornaert, M. van Stralen, M. E. P. Philippens, C. A. T. van den Berg , P. R. Seevinck</t>
  </si>
  <si>
    <t>Z. Dlamini, F. Z. Francies, R. Hull , R. Marima</t>
  </si>
  <si>
    <t>S. Do, K. D. Song , J. W. Chung</t>
  </si>
  <si>
    <t>W. J. Do, S. Seo, Y. Han, J. C. Ye, S. H. Choi , S. H. Park</t>
  </si>
  <si>
    <t>M. Doan, I. Vorobjev, P. Rees, A. Filby, O. Wolkenhauer, A. E. Goldfeld, J. Lieberman, N. Barteneva, A. E. Carpenter , H. Hennig</t>
  </si>
  <si>
    <t>J. Dolz, C. Desrosiers , I. Ben Ayed</t>
  </si>
  <si>
    <t>K. Doman, T. Konishi , Y. Mekada</t>
  </si>
  <si>
    <t>H. C. Dong, H. K. Dong, M. H. Yu, Y. H. Lin , C. C. Chang</t>
  </si>
  <si>
    <t>J. Dong, J. Fu , Z. He</t>
  </si>
  <si>
    <t>X. Dong, Y. Lei, S. Tian, T. Wang, P. Patel, W. J. Curran, A. B. Jani, T. Liu , X. Yang</t>
  </si>
  <si>
    <t>X. Dong, Y. Lei, T. Wang, K. Higgins, T. Liu, W. J. Curran, H. Mao, J. A. Nye , X. Yang</t>
  </si>
  <si>
    <t>X. Dong, T. Wang, Y. Lei, K. Higgins, T. Liu, W. J. Curran, H. Mao, J. A. Nye , X. Yang</t>
  </si>
  <si>
    <t>X. Dong, S. Xu, Y. Liu, A. Wang, M. I. Saripan, L. Li, X. Zhang , L. Lu</t>
  </si>
  <si>
    <t>P. I. Dorado-Díaz, J. Sampedro-Gómez, V. Vicente-Palacios , P. L. Sánchez</t>
  </si>
  <si>
    <t>G. Dot, F. Rafflenbeul, M. Arbotto, L. Gajny, P. Rouch , T. Schouman</t>
  </si>
  <si>
    <t>D. Dov, S. Z. Kovalsky, S. Assaad, J. Cohen, D. E. Range, A. A. Pendse, R. Henao , L. Carin</t>
  </si>
  <si>
    <t>R. L. Draelos, D. Dov, M. A. Mazurowski, J. Y. Lo, R. Henao, G. D. Rubin , L. Carin</t>
  </si>
  <si>
    <t>T. Dratsch, M. Korenkov, D. Zopfs, S. Brodehl, B. Baessler, D. Giese, S. Brinkmann, D. Maintz , D. Pinto Dos Santos</t>
  </si>
  <si>
    <t>K. J. Dreyer , J. R. Geis</t>
  </si>
  <si>
    <t>L. Drukker, J. A. Noble , A. T. Papageorghiou</t>
  </si>
  <si>
    <t>N. D'Souza R, P. Y. Huang , F. C. Yeh</t>
  </si>
  <si>
    <t>B. Du, J. Wang, H. Zheng, C. Xiao, S. Fang, M. Lu , R. Mao</t>
  </si>
  <si>
    <t>T. Du, Y. Zhang, X. Shi , S. Chen</t>
  </si>
  <si>
    <t>X. Du, R. Tang, S. Yin, Y. Zhang , S. Li</t>
  </si>
  <si>
    <t>X. Du, S. Yin, R. Tang, Y. Liu, Y. Song, Y. Zhang, H. Liu , S. Li</t>
  </si>
  <si>
    <t>C. Duan, H. Deng, S. Xiao, J. Xie, H. Li, X. Sun, L. Ma, X. Lou, C. Ye , X. Zhou</t>
  </si>
  <si>
    <t>J. Duan, G. Bello, J. Schlemper, W. Bai, T. J. W. Dawes, C. Biffi, A. de Marvao, G. Doumoud, D. P. O'Regan , D. Rueckert</t>
  </si>
  <si>
    <t>F. Dubost, H. Adams, P. Yilmaz, G. Bortsova, G. V. Tulder, M. A. Ikram, W. Niessen, M. W. Vernooij , M. Bruijne</t>
  </si>
  <si>
    <t>N. T. Duc, S. Ryu, M. N. I. Qureshi, M. Choi, K. H. Lee , B. Lee</t>
  </si>
  <si>
    <t>A. Duggento, M. Aiello, C. Cavaliere, G. L. Cascella, D. Cascella, G. Conte, M. Guerrisi , N. Toschi</t>
  </si>
  <si>
    <t>A. Duggento, A. Conti, A. Mauriello, M. Guerrisi , N. Toschi</t>
  </si>
  <si>
    <t>O. M. Dumitrascu , M. Koronyo-Hamaoui</t>
  </si>
  <si>
    <t>K. W. Dunn, C. Fu, D. J. Ho, S. Lee, S. Han, P. Salama , E. J. Delp</t>
  </si>
  <si>
    <t>M. T. Duong, J. D. Rudie, J. Wang, L. Xie, S. Mohan, J. C. Gee , A. M. Rauschecker</t>
  </si>
  <si>
    <t>S. T. M. Duong, S. L. Phung, A. Bouzerdoum , M. M. Schira</t>
  </si>
  <si>
    <t>G. Durhan, S. Ardalı Düzgün, F. Başaran Demirkazık, İ. Irmak, İ. İdilman, M. Gülsün Akpınar, E. Akpınar, S. Öcal, G. Telli, A. Topeli , O. M. Arıyürek</t>
  </si>
  <si>
    <t>L. E, B. Zhao, Y. Guo, C. Zheng, M. Zhang, J. Lin, Y. Luo, Y. Cai, X. Song , H. Liang</t>
  </si>
  <si>
    <t>M. Ebner, G. Wang, W. Li, M. Aertsen, P. A. Patel, R. Aughwane, A. Melbourne, T. Doel, S. Dymarkowski, P. De Coppi, A. L. David, J. Deprest, S. Ourselin , T. Vercauteren</t>
  </si>
  <si>
    <t>S. Ebrahimkhani, M. H. Jaward, F. M. Cicuttini, A. Dharmaratne, Y. Wang , A. G. S. de Herrera</t>
  </si>
  <si>
    <t>A. Echtioui, W. Zouch, M. Ghorbel, C. Mhiri , H. Hamam</t>
  </si>
  <si>
    <t>M. Efimenko, A. Ignatev , K. Koshechkin</t>
  </si>
  <si>
    <t>M. El Adoui, S. Drisis , M. Benjelloun</t>
  </si>
  <si>
    <t>K. El Asnaoui , Y. Chawki</t>
  </si>
  <si>
    <t>N. M. H. Elsaid , Y. C. Wu</t>
  </si>
  <si>
    <t>M. J. Emaus, I. Išgum, S. G. M. van Velzen, H. van den Bongard, S. A. M. Gernaat, N. Lessmann, M. G. A. Sattler, A. J. Teske, J. Penninkhof, H. Meijer, J. P. Pignol , H. M. Verkooijen</t>
  </si>
  <si>
    <t>M. M. Engelhard, J. A. Oliver, R. Henao, M. Hallyburton, L. E. Carin, C. Conklin , F. J. McClernon</t>
  </si>
  <si>
    <t>E. Engle, A. Gabrielian, A. Long, D. E. Hurt , A. Rosenthal</t>
  </si>
  <si>
    <t>K. A. J. Eppenhof, M. Maspero, M. H. F. Savenije, J. C. J. de Boer, J. R. N. van der Voort van Zyp, B. W. Raaymakers, A. J. E. Raaijmakers, M. Veta, C. A. T. van den Berg , J. P. W. Pluim</t>
  </si>
  <si>
    <t>B. J. Erickson, P. Korfiatis, Z. Akkus, T. Kline , K. Philbrick</t>
  </si>
  <si>
    <t>B. J. Erickson, P. Korfiatis, Z. Akkus , T. L. Kline</t>
  </si>
  <si>
    <t>B. J. Erickson, P. Korfiatis, T. L. Kline, Z. Akkus, K. Philbrick , A. D. Weston</t>
  </si>
  <si>
    <t>T. Esaki , R. Furukawa</t>
  </si>
  <si>
    <t>T. Esaki , T. Kawashima</t>
  </si>
  <si>
    <t>M. Eslami, C. Neuschaefer-Rube , A. Serrurier</t>
  </si>
  <si>
    <t>M. Eslami, S. Tabarestani, S. Albarqouni, E. Adeli, N. Navab , M. Adjouadi</t>
  </si>
  <si>
    <t>S. Esmaeilzadeh, D. I. Belivanis, K. M. Pohl , E. Adeli</t>
  </si>
  <si>
    <t>A. Esteva, A. Robicquet, B. Ramsundar, V. Kuleshov, M. DePristo, K. Chou, C. Cui, G. Corrado, S. Thrun , J. Dean</t>
  </si>
  <si>
    <t>D. I. Eun, R. Jang, W. S. Ha, H. Lee, S. C. Jung , N. Kim</t>
  </si>
  <si>
    <t>L. Faes, S. K. Wagner, D. J. Fu, X. Liu, E. Korot, J. R. Ledsam, T. Back, R. Chopra, N. Pontikos, C. Kern, G. Moraes, M. K. Schmid, D. Sim, K. Balaskas, L. M. Bachmann, A. K. Denniston , P. A. Keane</t>
  </si>
  <si>
    <t>J. E. Fajardo, F. P. Lotto, F. Vericat, C. M. Carlevaro , R. M. Irastorza</t>
  </si>
  <si>
    <t>G. Fan, H. Liu, Z. Wu, Y. Li, C. Feng, D. Wang, J. Luo, W. M. Wells, 3rd , S. He</t>
  </si>
  <si>
    <t>H. Fan, P. Su, J. Huang, P. Liu , H. Lu</t>
  </si>
  <si>
    <t>H. Fan, F. Zhang, L. Xi, Z. Li, G. Liu , Y. Xu</t>
  </si>
  <si>
    <t>J. Fan, X. Cao, Q. Wang, P. T. Yap , D. Shen</t>
  </si>
  <si>
    <t>J. Fan, X. Cao, P. T. Yap , D. Shen</t>
  </si>
  <si>
    <t>C. H. Fang, P. Zhang, Y. Y. Lau , S. Z. Zhong</t>
  </si>
  <si>
    <t>X. Fang, S. Xu, B. J. Wood , P. Yan</t>
  </si>
  <si>
    <t>Z. Fang, Y. Chen, M. Liu, L. Xiang, Q. Zhang, Q. Wang, W. Lin , D. Shen</t>
  </si>
  <si>
    <t>A. Fantazzini, M. Esposito, A. Finotello, F. Auricchio, B. Pane, C. Basso, G. Spinella , M. Conti</t>
  </si>
  <si>
    <t>A. Fares, S. H. Zhong , J. Jiang</t>
  </si>
  <si>
    <t>H. Farhat, G. E. Sakr , R. Kilany</t>
  </si>
  <si>
    <t>N. Farzaneh, C. A. Williamson, C. Jiang, A. Srinivasan, J. R. Bapuraj, J. Gryak, K. Najarian , S. M. R. Soroushmehr</t>
  </si>
  <si>
    <t>T. Fechter , D. Baltas</t>
  </si>
  <si>
    <t>R. Fedewa, R. Puri, E. Fleischman, J. Lee, D. Prabhu, D. L. Wilson, D. G. Vince , A. Fleischman</t>
  </si>
  <si>
    <t>M. Feigin, M. Zwecker, D. Freedman , B. W. Anthony</t>
  </si>
  <si>
    <t>B. Feng, X. Chen, Y. Chen, K. Liu, K. Li, X. Liu, N. Yao, Z. Li, R. Li, C. Zhang, J. Ji , W. Long</t>
  </si>
  <si>
    <t>D. Feng, X. Chen, Z. Zhou, H. Liu, Y. Wang, L. Bai, S. Zhang , X. Mou</t>
  </si>
  <si>
    <t>H. Feng, J. Cao, H. Wang, Y. Xie, D. Yang, J. Feng , B. Chen</t>
  </si>
  <si>
    <t>R. Feng, M. Badgeley, J. Mocco , E. K. Oermann</t>
  </si>
  <si>
    <t>W. Feng, N. V. Halm-Lutterodt, H. Tang, A. Mecum, M. K. Mesregah, Y. Ma, H. Li, F. Zhang, Z. Wu, E. Yao , X. Guo</t>
  </si>
  <si>
    <t>X. Feng, M. E. Bernard, T. Hunter , Q. Chen</t>
  </si>
  <si>
    <t>X. Feng, Z. C. Lipton, J. Yang, S. A. Small , F. A. Provenzano</t>
  </si>
  <si>
    <t>X. Feng, N. J. Tustison, S. H. Patel , C. H. Meyer</t>
  </si>
  <si>
    <t>Y. Feng, D. Qiu, H. Cao, J. Zhang, Z. Xin , J. Liu</t>
  </si>
  <si>
    <t>Y. Feng, F. Yang, X. Zhou, Y. Guo, F. Tang, F. Ren, J. Guo , S. Ji</t>
  </si>
  <si>
    <t>Y. Feng, L. Zhang , J. Mo</t>
  </si>
  <si>
    <t>R. Feo , F. Giove</t>
  </si>
  <si>
    <t>U. Ferizi, S. Honig , G. Chang</t>
  </si>
  <si>
    <t>L. Fetty, M. Bylund, P. Kuess, G. Heilemann, T. Nyholm, D. Georg , T. Löfstedt</t>
  </si>
  <si>
    <t>R. W. Filice , S. K. Frantz</t>
  </si>
  <si>
    <t>A. C. Filip, T. Azevedo, L. Passamonti, N. Toschi , P. Lio</t>
  </si>
  <si>
    <t>D. Fisch, A. Yakimovich, B. Clough, J. Wright, M. Bunyan, M. Howell, J. Mercer , E. Frickel</t>
  </si>
  <si>
    <t>A. Fourcade , R. H. Khonsari</t>
  </si>
  <si>
    <t>C. Fourcade, L. Ferrer, G. Santini, N. Moreau, C. Rousseau, M. Lacombe, C. Guillerminet, M. Colombie, M. Campone, D. Mateus , M. Rubeaux</t>
  </si>
  <si>
    <t>T. François, L. Calvet, S. Madad Zadeh, D. Saboul, S. Gasparini, P. Samarakoon, N. Bourdel , A. Bartoli</t>
  </si>
  <si>
    <t>B. Fu, G. Wang, M. Wu, W. Li, Y. Zheng, Z. Chu , F. Lv</t>
  </si>
  <si>
    <t>H. Fu, M. Baskaran, Y. Xu, S. Lin, D. W. K. Wong, J. Liu, T. A. Tun, M. Mahesh, S. A. Perera , T. Aung</t>
  </si>
  <si>
    <t>J. Fu, Y. Yang, K. Singhrao, D. Ruan, F. I. Chu, D. A. Low , J. H. Lewis</t>
  </si>
  <si>
    <t>J. Fu, X. Zhong, N. Li, R. Van Dams, J. Lewis, K. Sung, A. C. Raldow, J. Jin , X. S. Qi</t>
  </si>
  <si>
    <t>Y. Fu, Y. Lei, T. Wang, W. J. Curran, T. Liu , X. Yang</t>
  </si>
  <si>
    <t>Y. Fu, Y. Lei, T. Wang, K. Higgins, J. D. Bradley, W. J. Curran, T. Liu , X. Yang</t>
  </si>
  <si>
    <t>Y. Fu, P. Xue, H. Ji, W. Cui , E. Dong</t>
  </si>
  <si>
    <t>Y. Fu , H. Yu</t>
  </si>
  <si>
    <t>J. D. Fuhrman, J. Chen, Z. Dong, F. Y. M. Lure, Z. Luo , M. L. Giger</t>
  </si>
  <si>
    <t>T. Fujioka, M. Mori, K. Kubota, J. Oyama, E. Yamaga, Y. Yashima, L. Katsuta, K. Nomura, M. Nara, G. Oda, T. Nakagawa, Y. Kitazume , U. Tateishi</t>
  </si>
  <si>
    <t>Y. Fujisawa, Y. Otomo, Y. Ogata, Y. Nakamura, R. Fujita, Y. Ishitsuka, R. Watanabe, N. Okiyama, K. Ohara , M. Fujimoto</t>
  </si>
  <si>
    <t>M. Fukuda, Y. Ariji, Y. Kise, M. Nozawa, C. Kuwada, T. Funakoshi, C. Muramatsu, H. Fujita, A. Katsumata , E. Ariji</t>
  </si>
  <si>
    <t>M. Fukuda, K. Inamoto, N. Shibata, Y. Ariji, Y. Yanashita, S. Kutsuna, K. Nakata, A. Katsumata, H. Fujita , E. Ariji</t>
  </si>
  <si>
    <t>R. Fukui, S. Fujii, H. Ninomiya, Y. Fujiwara , T. Ida</t>
  </si>
  <si>
    <t>J. Funke, F. Tschopp, W. Grisaitis, A. Sheridan, C. Singh, S. Saalfeld , S. C. Turaga</t>
  </si>
  <si>
    <t>X. Fuyong, X. Yuanpu, S. Hai, L. Fujun , Y. Lin</t>
  </si>
  <si>
    <t>D. J. Gaddipati, A. Desai, J. Sivaswamy , K. A. Vermeer</t>
  </si>
  <si>
    <t>M. Gadermayr, G. Wimmer, H. Kogler, A. Vécsei, D. Merhof , A. Uhl</t>
  </si>
  <si>
    <t>F. Galbusera, F. Niemeyer, H. J. Wilke, T. Bassani, G. Casaroli, C. Anania, F. Costa, M. Brayda-Bruno , L. M. Sconfienza</t>
  </si>
  <si>
    <t>H. E. Gali, R. Sella , N. A. Afshari</t>
  </si>
  <si>
    <t>S. M. Galib, H. K. Lee, C. L. Guy, M. J. Riblett , G. D. Hugo</t>
  </si>
  <si>
    <t>R. Gallardo-Caballero, C. J. García-Orellana, A. García-Manso, H. M. González-Velasco, R. Tormo-Molina , M. Macías-Macías</t>
  </si>
  <si>
    <t>F. Gao, T. Wu, X. Chu, H. Yoon, Y. Xu , B. Patel</t>
  </si>
  <si>
    <t>F. Gao, H. Yoon, Y. Xu, D. Goradia, J. Luo, T. Wu , Y. Su</t>
  </si>
  <si>
    <t>J. Gao, Q. Jiang, B. Zhou , D. Chen</t>
  </si>
  <si>
    <t>L. Gao , S. Wu</t>
  </si>
  <si>
    <t>L. Gao, L. Zhang, C. Liu , S. Wu</t>
  </si>
  <si>
    <t>X. Gao , X. Wang</t>
  </si>
  <si>
    <t>Y. Gao, Y. Song, X. Yin, W. Wu, L. Zhang, Y. Chen , W. Shi</t>
  </si>
  <si>
    <t>Y. Gao, Z. D. Zhang, S. Li, Y. T. Guo, Q. Y. Wu, S. H. Liu, S. J. Yang, L. Ding, B. C. Zhao, S. Li , Y. Lu</t>
  </si>
  <si>
    <t>B. Gaonkar, J. Beckett, M. Attiah, C. Ahn, M. Edwards, B. Wilson, A. Laiwalla, B. Salehi, B. Yoo, A. A. T. Bui , L. Macyszyn</t>
  </si>
  <si>
    <t>S. J. S. Gardezi, A. Elazab, B. Lei , T. Wang</t>
  </si>
  <si>
    <t>D. S. Gareau, J. Browning, J. Correa Da Rosa, M. Suarez-Farinas, S. Lish, A. M. Zong, B. Firester, C. Vrattos, Y. Renert-Yuval, M. Gamboa, M. G. Vallone, Z. F. Barragán-Estudillo, A. L. Tamez-Peña, J. Montoya, M. A. Jesús-Silva, C. Carrera, J. Malvehy, S. Puig, A. Marghoob, J. A. Carucci , J. G. Krueger</t>
  </si>
  <si>
    <t>R. Gatta, A. Depeursinge, O. Ratib, O. Michielin , A. Leimgruber</t>
  </si>
  <si>
    <t>A. Geetha , N. Gomathi</t>
  </si>
  <si>
    <t>L. Geng, J. Wang, Z. Xiao, J. Tong, F. Zhang , J. Wu</t>
  </si>
  <si>
    <t>S. E. Gerard, T. J. Patton, G. E. Christensen, J. E. Bayouth , J. M. Reinhardt</t>
  </si>
  <si>
    <t>K. J. Geras, R. M. Mann , L. Moy</t>
  </si>
  <si>
    <t>J. Gesperger, A. Lichtenegger, T. Roetzer, M. Salas, P. Eugui, D. J. Harper, C. W. Merkle, M. Augustin, B. Kiesel, P. A. Mercea, G. Widhalm, B. Baumann , A. Woehrer</t>
  </si>
  <si>
    <t>N. Gessert, M. Bengs, L. Wittig, D. Drömann, T. Keck, A. Schlaefer , D. B. Ellebrecht</t>
  </si>
  <si>
    <t>N. Gessert, M. Lutz, M. Heyder, S. Latus, D. M. Leistner, Y. S. Abdelwahed , A. Schlaefer</t>
  </si>
  <si>
    <t>N. Gessert, T. Priegnitz, T. Saathoff, S. T. Antoni, D. Meyer, M. F. Hamann, K. P. Jünemann, C. Otte , A. Schlaefer</t>
  </si>
  <si>
    <t>N. Gessert, T. Sentker, F. Madesta, R. Schmitz, H. Kniep, I. Baltruschat, R. Werner , A. Schlaefer</t>
  </si>
  <si>
    <t>N. Getty, T. Brettin, D. Jin, R. Stevens , F. Xia</t>
  </si>
  <si>
    <t>G. Ghazaei, A. Alameer, P. Degenaar, G. Morgan , K. Nazarpour</t>
  </si>
  <si>
    <t>F. Ghazvinian Zanjani, S. Zinger, B. Piepers, S. Mahmoudpour, P. Schelkens , P. H. N. de With</t>
  </si>
  <si>
    <t>E. K. Gibbons, K. K. Hodgson, A. S. Chaudhari, L. G. Richards, J. J. Majersik, G. Adluru , E. V. R. DiBella</t>
  </si>
  <si>
    <t>P. Gifani, A. Shalbaf , M. Vafaeezadeh</t>
  </si>
  <si>
    <t>A. Girard, H. Vila Reyes, H. Shaish, J. F. Grellier, L. Dercle, P. Y. Salaün, O. Delcroix , M. Rouanne</t>
  </si>
  <si>
    <t>J. W. Goldfarb, J. Craft , J. J. Cao</t>
  </si>
  <si>
    <t>B. E. Goldhagen , H. Al-Khersan</t>
  </si>
  <si>
    <t>P. Gómez, M. Semmler, A. Schützenberger, C. Bohr , M. Döllinger</t>
  </si>
  <si>
    <t>W. G. E. Gonçalves, M. H. P. Dos Santos, F. M. F. Lobato, Â. Ribeiro-Dos-Santos , G. S. de Araújo</t>
  </si>
  <si>
    <t>J. Gong, J. Liu, W. Hao, S. Nie, B. Zheng, S. Wang , W. Peng</t>
  </si>
  <si>
    <t>K. Gong, C. Catana, J. Qi , Q. Li</t>
  </si>
  <si>
    <t>L. Gong, S. Jiang, Z. Yang, G. Zhang , L. Wang</t>
  </si>
  <si>
    <t>M. Gong, S. Chen, Q. Chen, Y. Zeng , Y. Zhang</t>
  </si>
  <si>
    <t>G. González , C. L. Evans</t>
  </si>
  <si>
    <t>G. González, G. R. Washko , R. S. José Estépar</t>
  </si>
  <si>
    <t>C. Gonzalez-Gonzalo, B. Liefers, B. van Ginneken , C. I. Sanchez</t>
  </si>
  <si>
    <t>K. Gopinath, C. Desrosiers , H. Lombaert</t>
  </si>
  <si>
    <t>T. I. Götz, C. Schmidkonz, S. Chen, S. Al-Baddai, T. Kuwert , E. W. Lang</t>
  </si>
  <si>
    <t>O. Gozes , H. Greenspan</t>
  </si>
  <si>
    <t>P. M. Graffy, J. Liu, S. O'Connor, R. M. Summers , P. J. Pickhardt</t>
  </si>
  <si>
    <t>C. V. Graves, R. A. Moreno, M. S. Rebelo, C. H. Nomura , M. A. Gutierrez</t>
  </si>
  <si>
    <t>F. Grimm, F. Edl, S. R. Kerscher, K. Nieselt, I. Gugel , M. U. Schuhmann</t>
  </si>
  <si>
    <t>L. J. Grimm , M. A. Mazurowski</t>
  </si>
  <si>
    <t>K. Grodecki, A. Lin, A. Razipour, S. Cadet, P. A. McElhinney, C. Chan, B. D. Pressman, P. Julien, P. Maurovich-Horvat, N. Gaibazzi, U. Thakur, E. Mancini, C. Agalbato, R. Menè, G. Parati, F. Cernigliaro, N. Nerlekar, C. Torlasco, G. Pontone, P. J. Slomka , D. Dey</t>
  </si>
  <si>
    <t>L. A. Groves, B. VanBerlo, T. M. Peters , E. C. S. Chen</t>
  </si>
  <si>
    <t>R. Gruetzemacher, A. Gupta , D. Paradice</t>
  </si>
  <si>
    <t>H. Gu, X. Zhang, P. di Russo, X. Zhao , T. Xu</t>
  </si>
  <si>
    <t>J. Gu, Z. Zhao, Z. Zeng, Y. Wang, Z. Qiu, B. Veeravalli, B. K. Poh Goh, G. Kunnath Bonney, K. Madhavan, C. W. Ying, L. Kheng Choon, T. C. Hua , P. K. H. Chow</t>
  </si>
  <si>
    <t>Y. Gu, M. Shen, J. Yang , G. Z. Yang</t>
  </si>
  <si>
    <t>Y. Gu, H. Zhang , S. Kamijo</t>
  </si>
  <si>
    <t>S. Guan, A. A. Khan, S. Sikdar , P. V. Chitnis</t>
  </si>
  <si>
    <t>S. Guan , M. Loew</t>
  </si>
  <si>
    <t>A. Gudigar, U. Raghavendra, A. Hegde, M. Kalyani, E. J. Ciaccio , U. Rajendra Acharya</t>
  </si>
  <si>
    <t>S. Gui , R. Gui</t>
  </si>
  <si>
    <t>S. Günel, H. Rhodin, D. Morales, J. Campagnolo, P. Ramdya , P. Fua</t>
  </si>
  <si>
    <t>L. Guo, X. Xiao, C. Wu, X. Zeng, Y. Zhang, J. Du, S. Bai, J. Xie, Z. Zhang, Y. Li, X. Wang, O. Cheung, M. Sharma, J. Liu , B. Hu</t>
  </si>
  <si>
    <t>M. Guo, Y. Li, Y. Su, T. Lambert, D. D. Nogare, M. W. Moyle, L. H. Duncan, R. Ikegami, A. Santella, I. Rey-Suarez, D. Green, A. Beiriger, J. Chen, H. Vishwasrao, S. Ganesan, V. Prince, J. C. Waters, C. M. Annunziata, M. Hafner, W. A. Mohler, A. B. Chitnis, A. Upadhyaya, T. B. Usdin, Z. Bao, D. Colón-Ramos, P. La Riviere, H. Liu, Y. Wu , H. Shroff</t>
  </si>
  <si>
    <t>W. Guo, X. Gu, Q. Fang , Q. Li</t>
  </si>
  <si>
    <t>W. Guo, Z. Ju, W. Yang, S. Gu, J. Zhou, X. Cong, J. Liu , X. Dai</t>
  </si>
  <si>
    <t>Z. Guo, N. Guo, K. Gong, S. Zhong , Q. Li</t>
  </si>
  <si>
    <t>S. Gupta, J. C. Rajapakse , R. E. Welsch</t>
  </si>
  <si>
    <t>S. K. Gupta, K. Kumar, C. S. Seelamantula , C. Singh Thakur</t>
  </si>
  <si>
    <t>S. S. Gurbani, S. Sheriff, A. A. Maudsley, H. Shim , L. A. D. Cooper</t>
  </si>
  <si>
    <t>C. J. Gustafsson, J. Swärd, S. I. Adalbjörnsson, A. Jakobsson , L. E. Olsson</t>
  </si>
  <si>
    <t>A. Ha, S. Sun, Y. K. Kim, J. Lee, J. W. Jeoung, H. C. Kim , K. H. Park</t>
  </si>
  <si>
    <t>I. Y. Ha, M. Wilms , M. Heinrich</t>
  </si>
  <si>
    <t>R. Ha, C. Chin, J. Karcich, M. Z. Liu, P. Chang, S. Mutasa, E. Pascual Van Sant, R. T. Wynn, E. Connolly , S. Jambawalikar</t>
  </si>
  <si>
    <t>M. Habijan, D. Babin, I. Galić, H. Leventić, K. Romić, L. Velicki , A. Pižurica</t>
  </si>
  <si>
    <t>M. Hadj Saïd, M. K. Le Roux, J. H. Catherine , R. Lan</t>
  </si>
  <si>
    <t>H. A. Haenssle, C. Fink, R. Schneiderbauer, F. Toberer, T. Buhl, A. Blum, A. Kalloo, A. B. H. Hassen, L. Thomas, A. Enk, L. Uhlmann, C. Alt, M. Arenbergerova, R. Bakos, A. Baltzer, I. Bertlich, A. Blum, T. Bokor-Billmann, J. Bowling, N. Braghiroli, R. Braun, K. Buder-Bakhaya, T. Buhl, H. Cabo, L. Cabrijan, N. Cevic, A. Classen, D. Deltgen, C. Fink, I. Georgieva, L. E. Hakim-Meibodi, S. Hanner, F. Hartmann, J. Hartmann, G. Haus, E. Hoxha, R. Karls, H. Koga, J. Kreusch, A. Lallas, P. Majenka, A. Marghoob, C. Massone, L. Mekokishvili, D. Mestel, V. Meyer, A. Neuberger, K. Nielsen, M. Oliviero, R. Pampena, J. Paoli, E. Pawlik, B. Rao, A. Rendon, T. Russo, A. Sadek, K. Samhaber, R. Schneiderbauer, A. Schweizer, F. Toberer, L. Trennheuser, L. Vlahova, A. Wald, J. Winkler, P. Wölbing , I. Zalaudek</t>
  </si>
  <si>
    <t>M. Hägele, P. Seegerer, S. Lapuschkin, M. Bockmayr, W. Samek, F. Klauschen, K. R. Müller , A. Binder</t>
  </si>
  <si>
    <t>J. R. Hagerty, R. J. Stanley, H. A. Almubarak, N. Lama, R. Kasmi, P. Guo, R. J. Drugge, H. S. Rabinovitz, M. Oliviero , W. V. Stoecker</t>
  </si>
  <si>
    <t>I. Häggström, C. R. Schmidtlein, G. Campanella , T. J. Fuchs</t>
  </si>
  <si>
    <t>M. Halicek, J. V. Little, X. Wang, A. Y. Chen , B. Fei</t>
  </si>
  <si>
    <t>A. Hamidinekoo, E. Denton, A. Rampun, K. Honnor , R. Zwiggelaar</t>
  </si>
  <si>
    <t>S. J. Hamilton, A. Hänninen, A. Hauptmann , V. Kolehmainen</t>
  </si>
  <si>
    <t>C. A. Hamm, N. L. Beetz, L. J. Savic , T. Penzkofer</t>
  </si>
  <si>
    <t>K. Hammouda, F. Khalifa, H. Abdeltawab, A. Elnakib, G. A. Giridharan, M. Zhu, C. K. Ng, S. Dassanayaka, M. Kong, H. E. Darwish, T. M. A. Mohamed, S. P. Jones , A. El-Baz</t>
  </si>
  <si>
    <t>L. Han , M. R. Kamdar</t>
  </si>
  <si>
    <t>S. Han, S. I. Hwang , H. J. Lee</t>
  </si>
  <si>
    <t>S. S. Han, I. J. Moon, W. Lim, I. S. Suh, S. Y. Lee, J. I. Na, S. H. Kim , S. E. Chang</t>
  </si>
  <si>
    <t>W. Han, L. Qin, C. Bay, X. Chen, K. H. Yu, N. Miskin, A. Li, X. Xu , G. Young</t>
  </si>
  <si>
    <t>Y. Han, L. Sunwoo , J. C. Ye</t>
  </si>
  <si>
    <t>Y. Han , J. C. Ye</t>
  </si>
  <si>
    <t>Z. Han, B. Wei, Y. Hong, T. Li, J. Cong, X. Zhu, H. Wei , W. Zhang</t>
  </si>
  <si>
    <t>L. Hansen, M. Siebert, J. Diesel , M. P. Heinrich</t>
  </si>
  <si>
    <t>D. Hao, S. Ding, L. Qiu, Y. Lv, B. Fei, Y. Zhu , B. Qin</t>
  </si>
  <si>
    <t>N. F. Haq, M. Moradi , Z. J. Wang</t>
  </si>
  <si>
    <t>J. Harms, Y. Lei, T. Wang, R. Zhang, J. Zhou, X. Tang, W. J. Curran, T. Liu , X. Yang</t>
  </si>
  <si>
    <t>M. Harris, A. Qi, L. Jeagal, N. Torabi, D. Menzies, A. Korobitsyn, M. Pai, R. R. Nathavitharana , F. Ahmad Khan</t>
  </si>
  <si>
    <t>A. Hartenstein, F. Lübbe, A. D. J. Baur, M. M. Rudolph, C. Furth, W. Brenner, H. Amthauer, B. Hamm, M. Makowski , T. Penzkofer</t>
  </si>
  <si>
    <t>A. M. Hasan, H. A. Jalab, R. W. Ibrahim, F. Meziane, A. R. Al-Shamasneh , S. J. Obaiys</t>
  </si>
  <si>
    <t>M. W. Haskell, S. F. Cauley, B. Bilgic, J. Hossbach, D. N. Splitthoff, J. Pfeuffer, K. Setsompop , L. L. Wald</t>
  </si>
  <si>
    <t>M. Hassan, S. Ali, H. Alquhayz , K. Safdar</t>
  </si>
  <si>
    <t>H. Hassanzadeh, A. Nguyen, S. Karimi , K. Chu</t>
  </si>
  <si>
    <t>T. Hassanzadeh, D. Essam , R. Sarker</t>
  </si>
  <si>
    <t>E. Hata, C. Seo, M. Nakayama, K. Iwasaki, T. Ohkawauchi , J. Ohya</t>
  </si>
  <si>
    <t>M. Hatt, C. C. Le Rest, F. Tixier, B. Badic, U. Schick , D. Visvikis</t>
  </si>
  <si>
    <t>J. Hatvani, A. Basarab, J. Y. Tourneret, M. Gyongy , D. Kouame</t>
  </si>
  <si>
    <t>R. Haweel, A. Shalaby, A. Mahmoud, N. Seada, S. Ghoniemy, M. Ghazal, M. F. Casanova, G. N. Barnes , A. El-Baz</t>
  </si>
  <si>
    <t>D. Hayashi, F. W. Roemer , A. Guermazi</t>
  </si>
  <si>
    <t>T. Hayashi, H. Tabuchi, H. Masumoto, S. Morita, I. Oyakawa, S. Inoda, N. Kato , H. Takahashi</t>
  </si>
  <si>
    <t>B. He, Q. Lu, J. Lang, H. Yu, C. Peng, P. Bing, S. Li, Q. Zhou, Y. Liang , G. Tian</t>
  </si>
  <si>
    <t>C. He, J. Wang, Y. Yin , Z. Li</t>
  </si>
  <si>
    <t>J. He, Y. Yang, Y. Wang, D. Zeng, Z. Bian, H. Zhang, J. Sun, Z. Xu , J. Ma</t>
  </si>
  <si>
    <t>K. He, X. Liu, M. Li, X. Li, H. Yang , H. Zhang</t>
  </si>
  <si>
    <t>T. He, R. Kong, A. J. Holmes, M. Nguyen, M. R. Sabuncu, S. B. Eickhoff, D. Bzdok, J. Feng , B. T. T. Yeo</t>
  </si>
  <si>
    <t>T. He, M. Puppala, C. F. Ezeana, Y. S. Huang, P. H. Chou, X. Yu, S. Chen, L. Wang, Z. Yin, R. L. Danforth, J. Ensor, J. Chang, T. Patel , S. T. C. Wong</t>
  </si>
  <si>
    <t>X. He, B. J. Guo, Y. Lei, T. Wang, Y. Fu, W. J. Curran, L. J. Zhang, T. Liu , X. Yang</t>
  </si>
  <si>
    <t>Y. He, W. Qin, Y. Wu, M. Zhang, Y. Yang, X. Liu, H. Zheng, D. Liang , Z. Hu</t>
  </si>
  <si>
    <t>S. Heeke, H. Delingette, Y. Fanjat, E. Long-Mira, S. Lassalle, V. Hofman, J. Benzaquen, C. H. Marquette, P. Hofman , M. Ilié</t>
  </si>
  <si>
    <t>F. Heinemann, G. Birk , B. Stierstorfer</t>
  </si>
  <si>
    <t>A. Hekler, J. S. Utikal, A. H. Enk, W. Solass, M. Schmitt, J. Klode, D. Schadendorf, W. Sondermann, C. Franklin, F. Bestvater, M. J. Flaig, D. Krahl, C. von Kalle, S. Fröhling , T. J. Brinker</t>
  </si>
  <si>
    <t>N. Heller, F. Isensee, K. H. Maier-Hein, X. Hou, C. Xie, F. Li, Y. Nan, G. Mu, Z. Lin, M. Han, G. Yao, Y. Gao, Y. Zhang, Y. Wang, F. Hou, J. Yang, G. Xiong, J. Tian, C. Zhong, J. Ma, J. Rickman, J. Dean, B. Stai, R. Tejpaul, M. Oestreich, P. Blake, H. Kaluzniak, S. Raza, J. Rosenberg, K. Moore, E. Walczak, Z. Rengel, Z. Edgerton, R. Vasdev, M. Peterson, S. McSweeney, S. Peterson, A. Kalapara, N. Sathianathen, N. Papanikolopoulos , C. Weight</t>
  </si>
  <si>
    <t>R. Hemelings, B. Elen, I. Stalmans, K. Van Keer, P. De Boever , M. B. Blaschko</t>
  </si>
  <si>
    <t>R. Hemke, C. G. Buckless, A. Tsao, B. Wang , M. Torriani</t>
  </si>
  <si>
    <t>M. Henglin, G. Stein, P. V. Hushcha, J. Snoek, A. B. Wiltschko , S. Cheng</t>
  </si>
  <si>
    <t>S. A. Heredia Perez, M. Marques Marinho, K. Harada , M. Mitsuishi</t>
  </si>
  <si>
    <t>A. Hering, S. Kuckertz, S. Heldmann , M. P. Heinrich</t>
  </si>
  <si>
    <t>D. Herrmann, M. Oggiano , E. Hecker</t>
  </si>
  <si>
    <t>S. Hervella Á, J. Rouco, J. Novo, M. G. Penedo , M. Ortega</t>
  </si>
  <si>
    <t>T. Higaki, Y. Nakamura, J. Zhou, Z. Yu, T. Nemoto, F. Tatsugami , K. Awai</t>
  </si>
  <si>
    <t>A. Hilbert, L. A. Ramos, H. J. A. van Os, S. D. Olabarriaga, M. L. Tolhuisen, M. J. H. Wermer, R. S. Barros, I. van der Schaaf, D. Dippel, Y. Roos, W. H. van Zwam, A. J. Yoo, B. J. Emmer, G. J. Lycklama À Nijeholt, A. H. Zwinderman, G. J. Strijkers, C. Majoie , H. A. Marquering</t>
  </si>
  <si>
    <t>A. Hirschmann, J. Cyriac, B. Stieltjes, T. Kober, J. Richiardi , P. Omoumi</t>
  </si>
  <si>
    <t>K. C. Ho, W. Speier, S. El-Saden , C. W. Arnold</t>
  </si>
  <si>
    <t>K. C. Ho, W. Speier, H. Zhang, F. Scalzo, S. El-Saden , C. W. Arnold</t>
  </si>
  <si>
    <t>J. Hoffman, N. Emaminejad, M. Wahi-Anwar, G. H. Kim, M. Brown, S. Young , M. McNitt-Gray</t>
  </si>
  <si>
    <t>O. Holmström, N. Linder, B. Ngasala, A. Mårtensson, E. Linder, M. Lundin, H. Moilanen, A. Suutala, V. Diwan , J. Lundin</t>
  </si>
  <si>
    <t>O. Holmström, S. Stenman, A. Suutala, H. Moilanen, H. Kücükel, B. Ngasala, A. Mårtensson, L. Mhamilawa, B. Aydin-Schmidt, M. Lundin, V. Diwan, N. Linder , J. Lundin</t>
  </si>
  <si>
    <t>A. Holzinger, B. Haibe-Kains , I. Jurisica</t>
  </si>
  <si>
    <t>N. Homma, X. Zhang, A. Qureshi, T. Konno, Y. Kawasumi, A. Usui, M. Funayama, I. Bukovsky, K. Ichiji, N. Sugita , M. Yoshizawa</t>
  </si>
  <si>
    <t>J. Hong, B. Y. Park, M. J. Lee, C. S. Chung, J. Cha , H. Park</t>
  </si>
  <si>
    <t>D. C. Hood, Z. Z. Zemborain, E. Tsamis , C. G. De Moraes</t>
  </si>
  <si>
    <t>E. Hoppe, G. Körzdörfer, T. Würfl, J. Wetzl, F. Lugauer, J. Pfeuffer , A. Maier</t>
  </si>
  <si>
    <t>F. Hoseini, A. Shahbahrami , P. Bayat</t>
  </si>
  <si>
    <t>A. Hosny, C. Parmar, J. Quackenbush, L. H. Schwartz , H. Aerts</t>
  </si>
  <si>
    <t>S. A. Hossein Hosseini, B. Yaman, S. Moeller , M. Akcakaya</t>
  </si>
  <si>
    <t>K. Y. Hsieh, H. C. Tsai , G. Y. Chen</t>
  </si>
  <si>
    <t>Y. H. Hsieh , F. W. Leung</t>
  </si>
  <si>
    <t>J. Hu, Y. Kuang, B. Liao, L. Cao, S. Dong , P. Li</t>
  </si>
  <si>
    <t>Q. Hu, H. M. Whitney , M. L. Giger</t>
  </si>
  <si>
    <t>R. Hu, H. Wang, T. Ristaniemi, W. Zhu , X. Sun</t>
  </si>
  <si>
    <t>S. Y. Hu, H. Xu, Q. Li, B. A. Telfer, L. J. Brattain , A. E. Samir</t>
  </si>
  <si>
    <t>W. Hu, B. Cai, A. Zhang, V. D. Calhoun , Y. P. Wang</t>
  </si>
  <si>
    <t>X. Hu, R. Guo, J. Chen, H. Li, D. Waldmannstetter, Y. Zhao, B. Li, K. Shi , B. Menze</t>
  </si>
  <si>
    <t>Y. Hu, L. Guo, B. Lei, M. Mao, Z. Jin, A. Elazab, B. Xia , T. Wang</t>
  </si>
  <si>
    <t>Z. Hu, Y. Li, S. Zou, H. Xue, Z. Sang, X. Liu, Y. Yang, X. Zhu, D. Liang , H. Zheng</t>
  </si>
  <si>
    <t>C. H. Hua, T. Huynh-The , S. Lee</t>
  </si>
  <si>
    <t>A. Huang, W. H. Cheng, C. W. Lee, C. Y. Yang , H. M. Liu</t>
  </si>
  <si>
    <t>B. Huang, J. Tian, H. Zhang, Z. Luo, J. Qin, C. Huang, X. He, Y. Luo, Y. Zhou, G. Dan, H. Chen, S. Feng , C. Yuan</t>
  </si>
  <si>
    <t>B. Huang, F. Yang, M. Yin, X. Mo , C. Zhong</t>
  </si>
  <si>
    <t>D. Huang , M. Feng</t>
  </si>
  <si>
    <t>J. Huang, A. R. Habib, D. Mendis, J. Chong, M. Smith, M. Duvnjak, C. Chiu, N. Singh , E. Wong</t>
  </si>
  <si>
    <t>L. Huang, S. Y. Guo, Y. Wang, S. Wang, Q. B. Chu, L. Li , T. Bai</t>
  </si>
  <si>
    <t>P. Huang, C. T. Lin, Y. Li, M. C. Tammemagi, M. V. Brock, S. Atkar-Khattra, Y. Xu, P. Hu, J. R. Mayo, H. Schmidt, M. Gingras, S. Pasian, L. Stewart, S. Tsai, J. M. Seely, D. Manos, P. Burrowes, R. Bhatia, M. S. Tsao , S. Lam</t>
  </si>
  <si>
    <t>Q. Huang, F. Zhang , X. Li</t>
  </si>
  <si>
    <t>S. C. Huang, A. Pareek, S. Seyyedi, I. Banerjee , M. P. Lungren</t>
  </si>
  <si>
    <t>S. C. Huang, A. Pareek, R. Zamanian, I. Banerjee , M. P. Lungren</t>
  </si>
  <si>
    <t>X. Huang, W. Sun, T. B. Tseng, C. Li , W. Qian</t>
  </si>
  <si>
    <t>Y. Huang, S. Wang, Y. Guan , A. Maier</t>
  </si>
  <si>
    <t>Z. Huang, Q. Li, J. Lu, J. Feng, J. Hu , P. Chen</t>
  </si>
  <si>
    <t>Z. Huang, D. Liu, X. Chen, P. Yu, J. Wu, B. Song, J. Hu , B. Wu</t>
  </si>
  <si>
    <t>Z. Huang, J. Xiao, Y. Xie, Y. Hu, S. Zhang, X. Li, Z. Wang, Z. Li , X. Wang</t>
  </si>
  <si>
    <t>D. T. Huff, A. J. Weisman , R. Jeraj</t>
  </si>
  <si>
    <t>M. Hügle, P. Omoumi, J. M. van Laar, J. Boedecker , T. Hügle</t>
  </si>
  <si>
    <t>I. A. M. Huijben, B. S. Veeling, K. Janse, M. Mischi , R. J. G. van Sloun</t>
  </si>
  <si>
    <t>P. Hundi , R. Shahsavari</t>
  </si>
  <si>
    <t>L. Hussain, T. Nguyen, H. Li, A. A. Abbasi, K. J. Lone, Z. Zhao, M. Zaib, A. Chen , T. Q. Duong</t>
  </si>
  <si>
    <t>Z. Hussain, F. Gimenez, D. Yi , D. Rubin</t>
  </si>
  <si>
    <t>D. Hwang, S. K. Kang, K. Y. Kim, S. Seo, J. C. Paeng, D. S. Lee , J. S. Lee</t>
  </si>
  <si>
    <t>E. J. Hwang, J. H. Hong, K. H. Lee, J. I. Kim, J. G. Nam, D. S. Kim, H. Choi, S. J. Yoo, J. M. Goo , C. M. Park</t>
  </si>
  <si>
    <t>E. J. Hwang, H. Kim, S. H. Yoon, J. M. Goo , C. M. Park</t>
  </si>
  <si>
    <t>E. J. Hwang, J. G. Nam, W. H. Lim, S. J. Park, Y. S. Jeong, J. H. Kang, E. K. Hong, T. M. Kim, J. M. Goo, S. Park, K. H. Kim , C. M. Park</t>
  </si>
  <si>
    <t>E. J. Hwang , C. M. Park</t>
  </si>
  <si>
    <t>E. J. Hwang, S. Park, K. N. Jin, J. I. Kim, S. Y. Choi, J. H. Lee, J. M. Goo, J. Aum, J. J. Yim , C. M. Park</t>
  </si>
  <si>
    <t>H. W. Hwang, J. H. Park, J. H. Moon, Y. Yu, H. Kim, S. B. Her, G. Srinivasan, M. N. A. Aljanabi, R. E. Donatelli , S. J. Lee</t>
  </si>
  <si>
    <t>M. Hwang, D. Wang, X. X. Kong, Z. Wang, J. Li, W. C. Jiang, K. S. Hwang , K. Ding</t>
  </si>
  <si>
    <t>A. Ibrahim, P. Gamble, R. Jaroensri, M. M. Abdelsamea, C. H. Mermel, P. C. Chen , E. A. Rakha</t>
  </si>
  <si>
    <t>A. Ibrahim, S. Primakov, M. Beuque, H. C. Woodruff, I. Halilaj, G. Wu, T. Refaee, R. Granzier, Y. Widaatalla, R. Hustinx, F. M. Mottaghy , P. Lambin</t>
  </si>
  <si>
    <t>O. Iizuka, F. Kanavati, K. Kato, M. Rambeau, K. Arihiro , M. Tsuneki</t>
  </si>
  <si>
    <t>T. Iizuka, M. Fukasawa , M. Kameyama</t>
  </si>
  <si>
    <t>Ö. İnik, A. Ceyhan, E. Balcıoğlu , E. Ülker</t>
  </si>
  <si>
    <t>A. Iqbal, A. Sheikh , T. Karayannis</t>
  </si>
  <si>
    <t>A. Irfan, A. L. Adivishnu, A. Sze-To, T. Dehkharghanian, S. Rahnamayan , H. R. Tizhoosh</t>
  </si>
  <si>
    <t>N. Ironside, C. J. Chen, S. Mutasa, J. L. Sim, S. Marfatia, D. Roh, D. Ding, S. A. Mayer, A. Lignelli , E. S. Connolly</t>
  </si>
  <si>
    <t>S. Ishii, S. Lee, H. Urakubo, H. Kume , H. Kasai</t>
  </si>
  <si>
    <t>J. Islam , Y. Zhang</t>
  </si>
  <si>
    <t>T. Ivanovska, T. G. Jentschke, A. Daboul, K. Hegenscheid, H. Völzke , F. Wörgötter</t>
  </si>
  <si>
    <t>M. Izquierdo, M. Lastra-Mejías, E. González-Flores, J. C. Cancilla, M. Pérez , J. S. Torrecilla</t>
  </si>
  <si>
    <t>N. Jaccard, T. W. Rogers, E. J. Morton , L. D. Griffin</t>
  </si>
  <si>
    <t>M. H. Jafari, H. Girgis, N. Van Woudenberg, N. Moulson, C. Luong, A. Fung, S. Balthazaar, J. Jue, M. Tsang, P. Nair, K. Gin, R. Rohling, P. Abolmaesumi , T. Tsang</t>
  </si>
  <si>
    <t>P. K. Jain, S. Gupta, A. Bhavsar, A. Nigam , N. Sharma</t>
  </si>
  <si>
    <t>S. Jain, T. V. Vyvere, V. Terzopoulos, D. M. Sima, E. Roura, A. Maas, G. Wilms , J. Verheyden</t>
  </si>
  <si>
    <t>R. Jakubicek, J. Chmelik, P. Ourednicek , J. Jan</t>
  </si>
  <si>
    <t>S. Jalal, W. Parker, D. Ferguson , S. Nicolaou</t>
  </si>
  <si>
    <t>A. Jalalifar, H. Soliman, A. Sahgal , A. Sadeghi-Naini</t>
  </si>
  <si>
    <t>K. Jamart, Z. Xiong, G. D. Maso Talou, M. K. Stiles , J. Zhao</t>
  </si>
  <si>
    <t>A. A. Jammal, A. C. Thompson, E. B. Mariottoni, S. I. Berchuck, C. N. Urata, T. Estrela, S. M. Wakil, V. P. Costa , F. A. Medeiros</t>
  </si>
  <si>
    <t>A. A. Jammal, A. C. Thompson, N. G. Ogata, E. B. Mariottoni, C. N. Urata, V. P. Costa , F. A. Medeiros</t>
  </si>
  <si>
    <t>A. Jamthikar, D. Gupta, N. N. Khanna, T. Araki, L. Saba, A. Nicolaides, A. Sharma, T. Omerzu, H. S. Suri, A. Gupta, S. Mavrogeni, M. Turk, J. R. Laird, A. Protogerou, P. P. Sfikakis, G. D. Kitas, V. Viswanathan, G. Pareek, M. Miner , J. S. Suri</t>
  </si>
  <si>
    <t>H. J. Jang , K. O. Cho</t>
  </si>
  <si>
    <t>S. Jang, H. Song, Y. J. Shin, J. Kim, J. Kim, K. W. Lee, S. S. Lee, W. Lee, S. Lee , K. H. Lee</t>
  </si>
  <si>
    <t>S. B. Jang, S. H. Lee, D. E. Lee, S. Y. Park, J. K. Kim, J. W. Cho, J. Cho, K. B. Kim, B. Park, J. Park , J. K. Lim</t>
  </si>
  <si>
    <t>P. Janjic, K. Petrovski, B. Dolgoski, J. Smiley, P. Zdravkovski, G. Pavlovski, Z. Jakjovski, N. Davceva, V. Poposka, A. Stankov, G. Rosoklija, G. Petrushevska, L. Kocarev , A. J. Dwork</t>
  </si>
  <si>
    <t>J. Jaskari, J. Sahlsten, J. Järnstedt, H. Mehtonen, K. Karhu, O. Sundqvist, A. Hietanen, V. Varjonen, V. Mattila , K. Kaski</t>
  </si>
  <si>
    <t>M. Javidi, A. Harati , H. Pourreza</t>
  </si>
  <si>
    <t>D. Javor, H. Kaplan, A. Kaplan, S. B. Puchner, C. Krestan , P. Baltzer</t>
  </si>
  <si>
    <t>S. Jeevakala, C. Sreelakshmi, K. Ram, R. Rangasami , M. Sivaprakasam</t>
  </si>
  <si>
    <t>S. H. Jeong, J. P. Yun, H. G. Yeom, H. J. Lim, J. Lee , B. C. Kim</t>
  </si>
  <si>
    <t>Y. Jeong, J. H. Kim, H. D. Chae, S. J. Park, J. S. Bae, I. Joo , J. K. Han</t>
  </si>
  <si>
    <t>Y. U. Jeong, S. Yoo, Y. H. Kim , W. H. Shim</t>
  </si>
  <si>
    <t>K. K. Jha , H. S. Dutta</t>
  </si>
  <si>
    <t>R. R. Jha, A. Nigam, A. Bhavsar, S. K. Pathak, W. Schneider , K. Rathish</t>
  </si>
  <si>
    <t>L. Ji, X. Jiang, Y. Gao, Z. Fang, Q. Cai , Z. Wei</t>
  </si>
  <si>
    <t>H. Jia, Y. Xia, Y. Song, D. Zhang, H. Huang, Y. Zhang , W. Cai</t>
  </si>
  <si>
    <t>W. Jia, Y. Li, R. Qu, T. Baranowski, L. E. Burke, H. Zhang, Y. Bai, J. M. Mancino, G. Xu, Z. H. Mao , M. Sun</t>
  </si>
  <si>
    <t>X. Jia, Y. Liu, Z. Yang , D. Yang</t>
  </si>
  <si>
    <t>R. Z. Jian Choong, S. Austin Harding, B. Y. Tang , S. W. Liao</t>
  </si>
  <si>
    <t>W. Jian, H. Ju, X. Cen, M. Cui, H. Zhang, L. Zhang, G. Wang, L. Gu , W. Zhou</t>
  </si>
  <si>
    <t>Z. Jian, X. Wang, J. Zhang, X. Wang , Y. Deng</t>
  </si>
  <si>
    <t>B. Jiang, N. Guo, Y. Ge, L. Zhang, M. Oudkerk , X. Xie</t>
  </si>
  <si>
    <t>H. T. Jiang, J. J. Guo, H. W. Du, J. Z. Xu , B. S. Qiu</t>
  </si>
  <si>
    <t>J. Jiang, Y. C. Hu, C. J. Liu, D. Halpenny, M. D. Hellmann, J. O. Deasy, G. Mageras , H. Veeraraghavan</t>
  </si>
  <si>
    <t>J. Jiang, Y. C. Hu, N. Tyagi, C. Wang, N. Lee, J. O. Deasy, B. Sean , H. Veeraraghavan</t>
  </si>
  <si>
    <t>J. Jiang, Y. C. Hu, N. Tyagi, P. Zhang, A. Rimner, J. O. Deasy , H. Veeraraghavan</t>
  </si>
  <si>
    <t>J. Jiang, L. Zhou, Y. He, X. Jiang , Y. Fu</t>
  </si>
  <si>
    <t>Y. Jiang, H. Chen, M. H. Loew , H. Ko</t>
  </si>
  <si>
    <t>Z. Jiang, Y. Chen, Y. Zhang, Y. Ge, F. F. Yin , L. Ren</t>
  </si>
  <si>
    <t>Z. Jiang, F. F. Yin, Y. Ge , L. Ren</t>
  </si>
  <si>
    <t>H. Jiao, X. Jiang, Z. Pang, X. Lin, Y. Huang , L. Li</t>
  </si>
  <si>
    <t>J. Jiao, Y. Cai, M. Alsharid, L. Drukker, A. T. Papageorghiou , J. A. Noble</t>
  </si>
  <si>
    <t>J. Jiao, R. Droste, L. Drukker, A. T. Papageorghiou , J. A. Noble</t>
  </si>
  <si>
    <t>A. Jiménez-Sánchez, A. Kazi, S. Albarqouni, C. Kirchhoff, P. Biberthaler, N. Navab, S. Kirchhoff , D. Mateus</t>
  </si>
  <si>
    <t>B. Jin, P. Liu, P. Wang, L. Shi , J. Zhao</t>
  </si>
  <si>
    <t>C. Jin, W. Chen, Y. Cao, Z. Xu, Z. Tan, X. Zhang, L. Deng, C. Zheng, J. Zhou, H. Shi , J. Feng</t>
  </si>
  <si>
    <t>H. Jin, J. Geng, Y. Yin, M. Hu, G. Yang, S. Xiang, X. Zhai, Z. Ji, X. Fan, P. Hu, C. He, L. Qin , H. Zhang</t>
  </si>
  <si>
    <t>H. Jin, C. Heo , J. H. Kim</t>
  </si>
  <si>
    <t>K. Jin, X. Pan, K. You, J. Wu, Z. Liu, J. Cao, L. Lou, Y. Xu, Z. Su, K. Yao , J. Ye</t>
  </si>
  <si>
    <t>L. Jin, B. Liu, F. Zhao, S. Hahn, B. Dong, R. Song, T. C. Elston, Y. Xu , K. M. Hahn</t>
  </si>
  <si>
    <t>L. Jin, W. Lv, G. Han, L. Ni, D. Sun, X. Hu , H. Cai</t>
  </si>
  <si>
    <t>R. Jin, K. D. Luk, J. P. Y. Cheung , Y. Hu</t>
  </si>
  <si>
    <t>Y. Jin, H. Li, Q. Dou, H. Chen, J. Qin, C. W. Fu , P. A. Heng</t>
  </si>
  <si>
    <t>Z. Jin, J. K. Udupa , D. A. Torigian</t>
  </si>
  <si>
    <t>M. Jo , S. H. Oh</t>
  </si>
  <si>
    <t>T. Jo, K. Nho, S. L. Risacher , A. J. Saykin</t>
  </si>
  <si>
    <t>P. M. Johnson , M. Drangova</t>
  </si>
  <si>
    <t>P. M. Johnson, M. P. Recht , F. Knoll</t>
  </si>
  <si>
    <t>S. Jonas, A. O. Rossetti, M. Oddo, S. Jenni, P. Favaro , F. Zubler</t>
  </si>
  <si>
    <t>B. A. Jonsson, G. Bjornsdottir, T. E. Thorgeirsson, L. M. Ellingsen, G. B. Walters, D. F. Gudbjartsson, H. Stefansson, K. Stefansson , M. O. Ulfarsson</t>
  </si>
  <si>
    <t>M. Ju, X. Li , Z. Li</t>
  </si>
  <si>
    <t>B. Jun Guo, X. He, Y. Lei, J. Harms, T. Wang, W. J. Curran, T. Liu, L. Jiang Zhang , X. Yang</t>
  </si>
  <si>
    <t>Y. Jun, T. Eo, H. Shin, T. Kim, H. J. Lee , D. Hwang</t>
  </si>
  <si>
    <t>H. Jung, Y. Gonzalez, C. Shen, P. Klages, K. Albuquerque , X. Jia</t>
  </si>
  <si>
    <t>H. Jung, C. Shen, Y. Gonzalez, K. Albuquerque , X. Jia</t>
  </si>
  <si>
    <t>A. Jungo, O. Scheidegger, M. Reyes , F. Balsiger</t>
  </si>
  <si>
    <t>S. Kadambi, Z. Wang , E. Xing</t>
  </si>
  <si>
    <t>G. C. Kagadis, P. Drazinos, I. Gatos, S. Tsantis, P. Papadimitroulas, S. Spiliopoulos, D. Karnabatidis, I. Theotokas, P. Zoumpoulis , J. D. Hazle</t>
  </si>
  <si>
    <t>S. Kaji , S. Kida</t>
  </si>
  <si>
    <t>T. Kamali, K. A. Hagerman, J. W. Day, J. Sampson, K. O. Lim, B. A. Mueller , J. Wozniak</t>
  </si>
  <si>
    <t>K. Kamiya, Y. Ayatsuka, Y. Kato, F. Fujimura, M. Takahashi, N. Shoji, Y. Mori , K. Miyata</t>
  </si>
  <si>
    <t>S. Kamrava, P. Tahmasebi , M. Sahimi</t>
  </si>
  <si>
    <t>S. M. Kamrul Hasan , C. A. Linte</t>
  </si>
  <si>
    <t>R. Kang, B. Park , K. Chen</t>
  </si>
  <si>
    <t>S. K. Kang, S. Seo, S. A. Shin, M. S. Byun, D. Y. Lee, Y. K. Kim, D. S. Lee , J. S. Lee</t>
  </si>
  <si>
    <t>B. H. Kann, D. F. Hicks, S. Payabvash, A. Mahajan, J. Du, V. Gupta, H. S. Park, J. B. Yu, W. G. Yarbrough, B. A. Burtness, Z. A. Husain , S. Aneja</t>
  </si>
  <si>
    <t>S. Kaplan , Y. M. Zhu</t>
  </si>
  <si>
    <t>C. Karabağ, M. L. Jones, C. J. Peddie, A. E. Weston, L. M. Collinson , C. C. Reyes-Aldasoro</t>
  </si>
  <si>
    <t>S. Karakanis , G. Leontidis</t>
  </si>
  <si>
    <t>K. Karako, P. Song, Y. Chen , W. Tang</t>
  </si>
  <si>
    <t>D. Karimi, H. Dou, S. K. Warfield , A. Gholipour</t>
  </si>
  <si>
    <t>D. Karimi, J. M. Peters, A. Ouaalam, S. P. Prabhu, M. Sahin, D. A. Krueger, A. Kolevzon, C. Eng, S. K. Warfield , A. Gholipour</t>
  </si>
  <si>
    <t>S. Karimi-Bidhendi, A. Arafati, A. L. Cheng, Y. Wu, A. Kheradvar , H. Jafarkhani</t>
  </si>
  <si>
    <t>R. Karthik, R. Menaka , H. M</t>
  </si>
  <si>
    <t>L. Kats, M. Vered, S. Blumer , E. Kats</t>
  </si>
  <si>
    <t>L. Kats, M. Vered, A. Zlotogorski-Hurvitz , I. Harpaz</t>
  </si>
  <si>
    <t>L. Kausch, S. Thomas, H. Kunze, M. Privalov, S. Vetter, J. Franke, A. H. Mahnken, L. Maier-Hein , K. Maier-Hein</t>
  </si>
  <si>
    <t>M. Kavitha, C. H. Lee, K. Shibudas, T. Kurita , B. C. Ahn</t>
  </si>
  <si>
    <t>A. E. Kavur, N. S. Gezer, M. Barış, Y. Şahin, S. Özkan, B. Baydar, U. Yüksel, Ç. Kılıkçıer, Ş. Olut, G. Bozdağı Akar, G. Ünal, O. Dicle , M. A. Selver</t>
  </si>
  <si>
    <t>D. Kawahara, A. Saito, S. Ozawa , Y. Nagata</t>
  </si>
  <si>
    <t>M. Kawakami, K. Hirata, S. Furuya, K. Kobayashi, H. Sugimori, K. Magota , C. Katoh</t>
  </si>
  <si>
    <t>K. Kawauchi, S. Furuya, K. Hirata, C. Katoh, O. Manabe, K. Kobayashi, S. Watanabe , T. Shiga</t>
  </si>
  <si>
    <t>N. Kawel-Boehm, S. J. Hetzel, B. Ambale-Venkatesh, G. Captur, C. J. Francois, M. Jerosch-Herold, M. Salerno, S. D. Teague, E. Valsangiacomo-Buechel, R. J. van der Geest , D. A. Bluemke</t>
  </si>
  <si>
    <t>S. Kazemifar, S. McGuire, R. Timmerman, Z. Wardak, D. Nguyen, Y. Park, S. Jiang , A. Owrangi</t>
  </si>
  <si>
    <t>J. Ke, Y. Lv, Y. Du, J. Wang, J. Wang, S. Sun , F. Ma</t>
  </si>
  <si>
    <t>Z. Ke, J. Cheng, L. Ying, H. Zheng, Y. Zhu , D. Liang</t>
  </si>
  <si>
    <t>S. Keel, Z. Li, J. Scheetz, L. Robman, J. Phung, G. Makeyeva, K. Aung, C. Liu, X. Yan, W. Meng, R. Guymer, R. Chang , M. He</t>
  </si>
  <si>
    <t>K. E. Keenan, J. R. Biller, J. G. Delfino, M. A. Boss, M. D. Does, J. L. Evelhoch, M. A. Griswold, J. L. Gunter, R. S. Hinks, S. W. Hoffman, G. Kim, R. Lattanzi, X. Li, L. Marinelli, G. J. Metzger, P. Mukherjee, R. J. Nordstrom, A. P. Peskin, E. Perez, S. E. Russek, B. Sahiner, N. Serkova, A. Shukla-Dave, M. Steckner, K. F. Stupic, L. J. Wilmes, H. H. Wu, H. Zhang, E. F. Jackson , D. C. Sullivan</t>
  </si>
  <si>
    <t>T. D. Keenan, S. Dharssi, Y. Peng, Q. Chen, E. Agrón, W. T. Wong, Z. Lu , E. Y. Chew</t>
  </si>
  <si>
    <t>A. J. E. Kell, D. L. K. Yamins, E. N. Shook, S. V. Norman-Haignere , J. H. McDermott</t>
  </si>
  <si>
    <t>S. Kermani, M. Ghelich Oghli, A. Mohammadzadeh , R. Kafieh</t>
  </si>
  <si>
    <t>B. Kesler, G. Li, A. Thiemicke, R. Venkat , G. Neuert</t>
  </si>
  <si>
    <t>A. Khadidos, A. O. Khadidos, S. Kannan, Y. Natarajan, S. N. Mohanty , G. Tsaramirsis</t>
  </si>
  <si>
    <t>N. Khalili, N. Lessmann, E. Turk, N. Claessens, R. Heus, T. Kolk, M. A. Viergever, M. Benders , I. Išgum</t>
  </si>
  <si>
    <t>N. Khalili, E. Turk, M. Benders, P. Moeskops, N. H. P. Claessens, R. de Heus, A. Franx, N. Wagenaar, J. Breur, M. A. Viergever , I. Išgum</t>
  </si>
  <si>
    <t>A. I. Khan, J. L. Shah , M. M. Bhat</t>
  </si>
  <si>
    <t>H. A. Khan, W. Jue, M. Mushtaq , M. U. Mushtaq</t>
  </si>
  <si>
    <t>M. A. Khan, S. Kwon, J. Choo, S. M. Hong, S. H. Kang, I. H. Park, S. K. Kim , S. J. Hong</t>
  </si>
  <si>
    <t>N. N. Khanna, A. D. Jamthikar, D. Gupta, M. Piga, L. Saba, C. Carcassi, A. A. Giannopoulos, A. Nicolaides, J. R. Laird, H. S. Suri, S. Mavrogeni, A. D. Protogerou, P. Sfikakis, G. D. Kitas , J. S. Suri</t>
  </si>
  <si>
    <t>D. Khemasuwan, J. S. Sorensen , H. G. Colt</t>
  </si>
  <si>
    <t>P. Khojasteh, L. A. Passos Júnior, T. Carvalho, E. Rezende, B. Aliahmad, J. P. Papa , D. K. Kumar</t>
  </si>
  <si>
    <t>M. Kholiavchenko, I. Sirazitdinov, K. Kubrak, R. Badrutdinova, R. Kuleev, Y. Yuan, T. Vrtovec , B. Ibragimov</t>
  </si>
  <si>
    <t>V. Khoshdel, A. Ashraf , J. LoVetri</t>
  </si>
  <si>
    <t>S. Kida, S. Kaji, K. Nawa, T. Imae, T. Nakamoto, S. Ozaki, T. Ohta, Y. Nozawa , K. Nakagawa</t>
  </si>
  <si>
    <t>S. Kido, Y. Hirano , S. Mabu</t>
  </si>
  <si>
    <t>M. Kidoh, K. Shinoda, M. Kitajima, K. Isogawa, M. Nambu, H. Uetani, K. Morita, T. Nakaura, M. Tateishi, Y. Yamashita , Y. Yamashita</t>
  </si>
  <si>
    <t>J. P. Kieselmann, C. D. Fuller, O. J. Gurney-Champion , U. Oelfke</t>
  </si>
  <si>
    <t>R. Kijowski, F. Liu, F. Caliva , V. Pedoia</t>
  </si>
  <si>
    <t>B. Kim, M. Han, H. Shim , J. Baek</t>
  </si>
  <si>
    <t>D. W. Kim, H. Y. Jang, K. W. Kim, Y. Shin , S. H. Park</t>
  </si>
  <si>
    <t>D. W. Kim, H. Y. Jang, Y. Ko, J. H. Son, P. H. Kim, S. O. Kim, J. S. Lim , S. H. Park</t>
  </si>
  <si>
    <t>H. Kim, J. M. Goo, K. H. Lee, Y. T. Kim , C. M. Park</t>
  </si>
  <si>
    <t>H. Kim, D. Lee, W. S. Cho, J. C. Lee, J. M. Goo, H. C. Kim , C. M. Park</t>
  </si>
  <si>
    <t>H. Kim, C. M. Park , J. M. Goo</t>
  </si>
  <si>
    <t>H. P. Kim, S. M. Lee, J. Y. Kwon, Y. Park, K. C. Kim , J. K. Seo</t>
  </si>
  <si>
    <t>H. W. Kim, H. E. Lee, K. Oh, S. Lee, M. Yun , S. K. Yoo</t>
  </si>
  <si>
    <t>I. Kim, D. Misra, L. Rodriguez, M. Gill, D. K. Liberton, K. Almpani, J. S. Lee , S. Antani</t>
  </si>
  <si>
    <t>J. Kim, J. Kim, G. J. Jang , M. Lee</t>
  </si>
  <si>
    <t>J. Kim , B. Lee</t>
  </si>
  <si>
    <t>J. Kim, H. S. Lee, I. S. Song , K. H. Jung</t>
  </si>
  <si>
    <t>J. Kim, J. H. Min, S. K. Kim, S. Y. Shin , M. W. Lee</t>
  </si>
  <si>
    <t>J. Y. Kim, K. Ro, S. You, B. R. Nam, S. Yook, H. S. Park, J. C. Yoo, E. Park, K. Cho, B. H. Cho , I. Y. Kim</t>
  </si>
  <si>
    <t>M. Kim, J. Yun, Y. Cho, K. Shin, R. Jang, H. J. Bae , N. Kim</t>
  </si>
  <si>
    <t>S. Kim, H. Yoon, M. J. Lee, M. J. Kim, K. Han, J. K. Yoon, H. C. Kim, J. Shin , H. J. Shin</t>
  </si>
  <si>
    <t>T. Kim, J. C. Park, H. M. Gach, J. Chun , S. Mutic</t>
  </si>
  <si>
    <t>T. J. Kim, C. H. Kim, H. Y. Lee, M. J. Chung, S. H. Shin, K. J. Lee , K. S. Lee</t>
  </si>
  <si>
    <t>Y. Kim, D. Choi, K. J. Lee, Y. Kang, J. M. Ahn, E. Lee, J. W. Lee , H. S. Kang</t>
  </si>
  <si>
    <t>Y. C. Kim, K. R. Kim, K. Choi, M. Kim, Y. Chung , Y. H. Choe</t>
  </si>
  <si>
    <t>Y. C. Kim, J. E. Lee, I. Yu, H. N. Song, I. Y. Baek, J. K. Seong, H. G. Jeong, B. J. Kim, H. S. Nam, J. W. Chung, O. Y. Bang, G. M. Kim , W. K. Seo</t>
  </si>
  <si>
    <t>Y. D. Kim, K. J. Noh, S. J. Byun, S. Lee, T. Kim, L. Sunwoo, K. J. Lee, S. H. Kang, K. H. Park , S. J. Park</t>
  </si>
  <si>
    <t>Y. G. Kim, S. M. Lee, K. H. Lee, R. Jang, J. B. Seo , N. Kim</t>
  </si>
  <si>
    <t>Y. J. Kim, B. Ganbold , K. G. Kim</t>
  </si>
  <si>
    <t>Y. J. Kim, S. S. Han, H. J. Yang , S. E. Chang</t>
  </si>
  <si>
    <t>Y. J. Kim, H. J. Lee, K. G. Kim , S. H. Lee</t>
  </si>
  <si>
    <t>K. Kimura, Y. Tabe, T. Ai, I. Takehara, H. Fukuda, H. Takahashi, T. Naito, N. Komatsu, K. Uchihashi , A. Ohsaka</t>
  </si>
  <si>
    <t>V. Kirsch, F. Nejatbakhshesfahani, S. A. Ahmadi, M. Dieterich , B. Ertl-Wagner</t>
  </si>
  <si>
    <t>S. Kiryu, K. Yasaka, H. Akai, Y. Nakata, Y. Sugomori, S. Hara, M. Seo, O. Abe , K. Ohtomo</t>
  </si>
  <si>
    <t>Y. Kise, M. Shimizu, H. Ikeda, T. Fujii, C. Kuwada, M. Nishiyama, T. Funakoshi, Y. Ariji, H. Fujita, A. Katsumata, K. Yoshiura , E. Ariji</t>
  </si>
  <si>
    <t>T. Kitai, Y. Hyodo , H. Morikawa</t>
  </si>
  <si>
    <t>G. Kitamura, C. Y. Chung , B. E. Moore, 2nd</t>
  </si>
  <si>
    <t>G. Kitamura , C. Deible</t>
  </si>
  <si>
    <t>P. Klages, I. Benslimane, S. Riyahi, J. Jiang, M. Hunt, J. O. Deasy, H. Veeraraghavan , N. Tyagi</t>
  </si>
  <si>
    <t>J. Kleesiek, J. N. Morshuis, F. Isensee, K. Deike-Hofmann, D. Paech, P. Kickingereder, U. Köthe, C. Rother, M. Forsting, W. Wick, M. Bendszus, H. P. Schlemmer , A. Radbruch</t>
  </si>
  <si>
    <t>J. Kleesiek, J. M. Murray, C. Strack, S. Prinz, G. Kaissis , R. Braren</t>
  </si>
  <si>
    <t>S. Klein, A. Quaas, J. Quantius, H. Löser, J. Meinel, M. Peifer, S. Wagner, S. Gattenlöhner, C. Wittekindt, M. V. K. Doeberitz, E. S. Prigge, C. Langer, K. W. Noh, M. Maltseva, H. C. Reinhardt, R. Büttner, J. P. Klussmann , N. Wuerdemann</t>
  </si>
  <si>
    <t>M. Klimont, A. Oronowicz-Jaśkowiak, M. Flieger, J. Rzeszutek, R. Juszkat , K. Jończyk-Potoczna</t>
  </si>
  <si>
    <t>M. Kloenne, S. Niehaus, L. Lampe, A. Merola, J. Reinelt, I. Roeder , N. Scherf</t>
  </si>
  <si>
    <t>F. Knoll, K. Hammernik, E. Kobler, T. Pock, M. P. Recht , D. K. Sodickson</t>
  </si>
  <si>
    <t>H. Ko, H. Chung, W. S. Kang, K. W. Kim, Y. Shin, S. J. Kang, J. H. Lee, Y. J. Kim, N. Y. Kim, H. Jung , J. Lee</t>
  </si>
  <si>
    <t>H. Ko, H. Chung, H. Lee , J. Lee</t>
  </si>
  <si>
    <t>M. Ko, D. Kim , K. Kim</t>
  </si>
  <si>
    <t>S. Y. Ko, J. H. Lee, J. H. Yoon, H. Na, E. Hong, K. Han, I. Jung, E. K. Kim, H. J. Moon, V. Y. Park, E. Lee , J. Y. Kwak</t>
  </si>
  <si>
    <t>Y. C. Ko, S. Y. Wey, W. T. Chen, Y. F. Chang, M. J. Chen, S. H. Chiou, C. J. Liu , C. Y. Lee</t>
  </si>
  <si>
    <t>B. Kocak, E. A. Kus, A. H. Yardimci, C. T. Bektas , O. Kilickesmez</t>
  </si>
  <si>
    <t>M. Kocher, M. I. Ruge, N. Galldiks , P. Lohmann</t>
  </si>
  <si>
    <t>A. Kofler, M. Haltmeier, T. Schaeffter, M. Kachelrieß, M. Dewey, C. Wald , C. Kolbitsch</t>
  </si>
  <si>
    <t>J. Koh, E. Lee, K. Han, E. K. Kim, E. J. Son, Y. M. Sohn, M. Seo, M. R. Kwon, J. H. Yoon, J. H. Lee, Y. M. Park, S. Kim, J. H. Shin , J. Y. Kwak</t>
  </si>
  <si>
    <t>Y. Koike, Y. Akino, I. Sumida, H. Shiomi, H. Mizuno, M. Yagi, F. Isohashi, Y. Seo, O. Suzuki , K. Ogawa</t>
  </si>
  <si>
    <t>Y. Koike, S. Ohira, Y. Akino, T. Sagawa, M. Yagi, Y. Ueda, M. Miyazaki, I. Sumida, T. Teshima , K. Ogawa</t>
  </si>
  <si>
    <t>M. Kolossváry, C. N. De Cecco, G. Feuchtner , P. Maurovich-Horvat</t>
  </si>
  <si>
    <t>Y. Komuku, A. Ide, H. Fukuyama, H. Masumoto, H. Tabuchi, T. Okadome , F. Gomi</t>
  </si>
  <si>
    <t>F. Kong , S. C. Shadden</t>
  </si>
  <si>
    <t>Z. Kong, T. Li, J. Luo , S. Xu</t>
  </si>
  <si>
    <t>H. J. Koo, J. G. Lee, J. Y. Ko, G. Lee, J. W. Kang, Y. H. Kim , D. H. Yang</t>
  </si>
  <si>
    <t>P. Korfiatis , B. Erickson</t>
  </si>
  <si>
    <t>C. Kou, W. Li, W. Liang, Z. Yu , J. Hao</t>
  </si>
  <si>
    <t>J. Kraeima, H. H. Glas, B. B. J. Merema, A. Vissink, F. K. L. Spijkervet , M. J. H. Witjes</t>
  </si>
  <si>
    <t>M. F. Kragh, J. Rimestad, J. Berntsen , H. Karstoft</t>
  </si>
  <si>
    <t>O. Z. Kraus , B. J. Frey</t>
  </si>
  <si>
    <t>L. M. K. Krause, J. Koc, B. Rosenhahn , A. Rosenhahn</t>
  </si>
  <si>
    <t>J. Krebs, H. Delingette, B. Mailhe, N. Ayache , T. Mansi</t>
  </si>
  <si>
    <t>A. Krishnaraj, S. Barrett, O. Bregman-Amitai, M. Cohen-Sfady, A. Bar, D. Chettrit, M. Orlovsky , E. Elnekave</t>
  </si>
  <si>
    <t>C. Krittanawong, K. W. Johnson, R. S. Rosenson, Z. Wang, M. Aydar, U. Baber, J. K. Min, W. H. W. Tang, J. L. Halperin , S. M. Narayan</t>
  </si>
  <si>
    <t>J. Krois, T. Ekert, L. Meinhold, T. Golla, B. Kharbot, A. Wittemeier, C. Dörfer , F. Schwendicke</t>
  </si>
  <si>
    <t>R. Krupička, S. Mareček, C. Malá, M. Lang, O. Klempíř, T. Duspivová, R. Široká, T. Jarošíková, J. Keller, K. Šonka, E. Růžička , P. Dušek</t>
  </si>
  <si>
    <t>X. Kuang, J. P. Cheung, H. Wu, S. Dokos , T. Zhang</t>
  </si>
  <si>
    <t>D. Kucharski, P. Kleczek, J. Jaworek-Korjakowska, G. Dyduch , M. Gorgon</t>
  </si>
  <si>
    <t>J. Kugelman, D. Alonso-Caneiro, S. A. Read, J. Hamwood, S. J. Vincent, F. K. Chen , M. J. Collins</t>
  </si>
  <si>
    <t>D. Kügler, J. Sehring, A. Stefanov, I. Stenin, J. Kristin, T. Klenzner, J. Schipper , A. Mukhopadhyay</t>
  </si>
  <si>
    <t>S. Kulkarni , S. Jha</t>
  </si>
  <si>
    <t>S. Kulkarni, N. Seneviratne, M. S. Baig , A. H. A. Khan</t>
  </si>
  <si>
    <t>W. Kuo, C. Hӓne, P. Mukherjee, J. Malik , E. L. Yuh</t>
  </si>
  <si>
    <t>C. P. Kuok, T. H. Yang, B. S. Tsai, I. M. Jou, M. H. Horng, F. C. Su , Y. N. Sun</t>
  </si>
  <si>
    <t>T. Kurc, S. Bakas, X. Ren, A. Bagari, A. Momeni, Y. Huang, L. Zhang, A. Kumar, M. Thibault, Q. Qi, Q. Wang, A. Kori, O. Gevaert, Y. Zhang, D. Shen, M. Khened, X. Ding, G. Krishnamurthi, J. Kalpathy-Cramer, J. Davis, T. Zhao, R. Gupta, J. Saltz , K. Farahani</t>
  </si>
  <si>
    <t>T. Küstner, K. Armanious, J. Yang, B. Yang, F. Schick , S. Gatidis</t>
  </si>
  <si>
    <t>T. Küstner, N. Fuin, K. Hammernik, A. Bustin, H. Qi, R. Hajhosseiny, P. G. Masci, R. Neji, D. Rueckert, R. M. Botnar , C. Prieto</t>
  </si>
  <si>
    <t>K. Kusunose, T. Abe, A. Haga, D. Fukuda, H. Yamada, M. Harada , M. Sata</t>
  </si>
  <si>
    <t>C. Kuwada, Y. Ariji, M. Fukuda, Y. Kise, H. Fujita, A. Katsumata , E. Ariji</t>
  </si>
  <si>
    <t>T. Kuwahara, K. Hara, N. Mizuno, S. Haba, N. Okuno, H. Koda, A. Miyano , D. Fumihara</t>
  </si>
  <si>
    <t>T. Kuwahara, K. Hara, N. Mizuno, N. Okuno, S. Matsumoto, M. Obata, Y. Kurita, H. Koda, K. Toriyama, S. Onishi, M. Ishihara, T. Tanaka, M. Tajika , Y. Niwa</t>
  </si>
  <si>
    <t>R. Kuwana, Y. Ariji, M. Fukuda, Y. Kise, M. Nozawa, C. Kuwada, C. Muramatsu, A. Katsumata, H. Fujita , E. Ariji</t>
  </si>
  <si>
    <t>G. H. Kwak, E. J. Kwak, J. M. Song, H. R. Park, Y. H. Jung, B. H. Cho, P. Hui , J. J. Hwang</t>
  </si>
  <si>
    <t>C. C. Kwan , A. A. Fawzi</t>
  </si>
  <si>
    <t>A. Kwasniewska, M. Szankin, J. Ruminski , M. Kaczmarek</t>
  </si>
  <si>
    <t>G. Kwon, J. Ryu, J. Oh, J. Lim, B. K. Kang, C. Ahn, J. Bae , D. K. Lee</t>
  </si>
  <si>
    <t>O. Kwon, T. H. Yong, S. R. Kang, J. E. Kim, K. H. Huh, M. S. Heo, S. S. Lee, S. C. Choi , W. J. Yi</t>
  </si>
  <si>
    <t>K. W. Lai, M. Aggarwal, P. van Zijl, X. Li , J. Sulam</t>
  </si>
  <si>
    <t>P. Lakhani, D. L. Gray, C. R. Pett, P. Nagy , G. Shih</t>
  </si>
  <si>
    <t>H. Lan, D. Jiang, C. Yang, F. Gao , F. Gao</t>
  </si>
  <si>
    <t>H. Lan, C. Yang, D. Jiang , F. Gao</t>
  </si>
  <si>
    <t>H. Lan, K. Zhou, C. Yang, J. Liu, S. Gao , F. Gao</t>
  </si>
  <si>
    <t>N. Lang, Y. Zhang, E. Zhang, J. Zhang, D. Chow, P. Chang, H. J. Yu, H. Yuan , M. Y. Su</t>
  </si>
  <si>
    <t>T. Lange, E. Taghizadeh, B. R. Knowles, N. P. Südkamp, M. Zaitsev, H. Meine , K. Izadpanah</t>
  </si>
  <si>
    <t>D. Langenkämper, E. Simon-Lledó, B. Hosking, D. O. B. Jones , T. W. Nattkemper</t>
  </si>
  <si>
    <t>S. Langner, E. Beller , F. Streckenbach</t>
  </si>
  <si>
    <t>T. Langner, A. Hedström, K. Mörwald, D. Weghuber, A. Forslund, P. Bergsten, H. Ahlström , J. Kullberg</t>
  </si>
  <si>
    <t>A. Largent, A. Barateau, J. C. Nunes, E. Mylona, J. Castelli, C. Lafond, P. B. Greer, J. A. Dowling, J. Baxter, H. Saint-Jalmes, O. Acosta , R. de Crevoisier</t>
  </si>
  <si>
    <t>A. Largent, L. Marage, I. Gicquiau, J. C. Nunes, N. Reynaert, J. Castelli, E. Chajon, O. Acosta, G. Gambarota, R. de Crevoisier , H. Saint-Jalmes</t>
  </si>
  <si>
    <t>A. J. Larrazabal, N. Nieto, V. Peterson, D. H. Milone , E. Ferrante</t>
  </si>
  <si>
    <t>N. Lassau, T. Estienne, P. de Vomecourt, M. Azoulay, J. Cagnol, G. Garcia, M. Majer, E. Jehanno, R. Renard-Penna, C. Balleyguier, F. Bidault, C. Caramella, T. Jacques, F. Dubrulle, J. Behr, N. Poussange, J. Bocquet, S. Montagne, F. Cornelis, M. Faruch, B. Bresson, S. Brunelle, A. Jalaguier-Coudray, N. Amoretti, A. Blum, A. Paisant, V. Herreros, O. Rouviere, S. Si-Mohamed, L. Di Marco, O. Hauger, M. Garetier, F. Pigneur, A. Bergère, C. Cyteval, L. Fournier, C. Malhaire, J. L. Drape, E. Poncelet, C. Bordonne, H. Cauliez, J. F. Budzik, M. Boisserie, T. Willaume, S. Molière, N. Peyron Faure, S. Caius Giurca, V. Juhan, T. Caramella, A. Perrey, F. Desmots, M. Faivre-Pierre, M. Abitbol, R. Lotte, D. Istrati, D. Guenoun, A. Luciani, M. Zins, J. F. Meder , A. Cotten</t>
  </si>
  <si>
    <t>R. Laudicella, A. Comelli, A. Stefano, M. Szostek, L. Crocè, A. Vento, A. Spataro, A. D. Comis, F. La Torre, M. Gaeta, S. Baldari , P. Alongi</t>
  </si>
  <si>
    <t>E. P. V. Le, Y. Wang, Y. Huang, S. Hickman , F. J. Gilbert</t>
  </si>
  <si>
    <t>W. T. Le, F. Maleki, F. P. Romero, R. Forghani , S. Kadoury</t>
  </si>
  <si>
    <t>B. Lee, N. Yamanakkanavar , J. Y. Choi</t>
  </si>
  <si>
    <t>C. Lee, J. Jang, S. Lee, Y. S. Kim, H. J. Jo , Y. Kim</t>
  </si>
  <si>
    <t>E. Lee, J. S. Choi, M. Kim , H. I. Suk</t>
  </si>
  <si>
    <t>E. J. Lee, W. Plishker, X. Liu, S. S. Bhattacharyya , R. Shekhar</t>
  </si>
  <si>
    <t>G. Lee, K. Nho, B. Kang, K. A. Sohn , D. Kim</t>
  </si>
  <si>
    <t>H. Lee, C. Huang, S. Yune, S. H. Tajmir, M. Kim , S. Do</t>
  </si>
  <si>
    <t>H. Lee, S. Martin, J. R. Burt, P. S. Bagherzadeh, S. Rapaka, H. N. Gray, T. J. Leonard, C. Schwemmer , U. J. Schoepf</t>
  </si>
  <si>
    <t>H. H. Lee , H. Kim</t>
  </si>
  <si>
    <t>H. R. Lee, L. Liao, W. Xiao, A. Vailionis, A. J. Ricco, R. White, Y. Nishi, W. Chiu, S. Chu , Y. Cui</t>
  </si>
  <si>
    <t>J. Lee, Y. Han, J. K. Ryu, J. Y. Park , J. C. Ye</t>
  </si>
  <si>
    <t>J. Lee, Y. Kim, J. H. Kim , K. H. Park</t>
  </si>
  <si>
    <t>J. Lee, Y. K. Kim, A. Ha, S. Sun, Y. W. Kim, J. S. Kim, J. W. Jeoung , K. H. Park</t>
  </si>
  <si>
    <t>J. Lee, Y. K. Kim, K. H. Park , J. W. Jeoung</t>
  </si>
  <si>
    <t>J. Lee, D. Prabhu, C. Kolluru, Y. Gharaibeh, V. N. Zimin, L. A. P. Dallan, H. G. Bezerra , D. L. Wilson</t>
  </si>
  <si>
    <t>J. G. Lee, S. Jun, Y. W. Cho, H. Lee, G. B. Kim, J. B. Seo , N. Kim</t>
  </si>
  <si>
    <t>J. H. Lee, E. J. Ha, D. Kim, Y. J. Jung, S. Heo, Y. H. Jang, S. H. An , K. Lee</t>
  </si>
  <si>
    <t>J. H. Lee, I. H. Han, D. H. Kim, S. Yu, I. S. Lee, Y. S. Song, S. Joo, C. B. Jin , H. Kim</t>
  </si>
  <si>
    <t>J. H. Lee, S. S. Han, Y. H. Kim, C. Lee , I. Kim</t>
  </si>
  <si>
    <t>J. H. Lee , S. N. Jeong</t>
  </si>
  <si>
    <t>J. H. Lee, I. Joo, T. W. Kang, Y. H. Paik, D. H. Sinn, S. Y. Ha, K. Kim, C. Choi, G. Lee, J. Yi , W. C. Bang</t>
  </si>
  <si>
    <t>J. H. Lee, D. H. Kim , S. N. Jeong</t>
  </si>
  <si>
    <t>J. H. Lee, Y. J. Kim , K. G. Kim</t>
  </si>
  <si>
    <t>J. H. Lee, H. Y. Sun, S. Park, H. Kim, E. J. Hwang, J. M. Goo , C. M. Park</t>
  </si>
  <si>
    <t>J. Y. Lee, M. Islam, J. R. Woh, T. S. M. Washeem, L. Y. C. Ngoh, W. K. Wong , H. Ren</t>
  </si>
  <si>
    <t>K. S. Lee, J. Y. Kim, E. T. Jeon, W. S. Choi, N. H. Kim , K. Y. Lee</t>
  </si>
  <si>
    <t>S. Lee, E. K. Choe, H. Y. Kang, J. W. Yoon , H. S. Kim</t>
  </si>
  <si>
    <t>S. Lee, E. K. Choe, S. Y. Kim, H. S. Kim, K. J. Park , D. Kim</t>
  </si>
  <si>
    <t>S. Lee, M. Negishi, H. Urakubo, H. Kasai , S. Ishii</t>
  </si>
  <si>
    <t>S. M. Lee, J. B. Seo, J. Yun, Y. H. Cho, J. Vogel-Claussen, M. L. Schiebler, W. B. Gefter, E. J. R. van Beek, J. M. Goo, K. S. Lee, H. Hatabu, J. Gee , N. Kim</t>
  </si>
  <si>
    <t>Y. W. Lee, C. S. Huang, C. C. Shih , R. F. Chang</t>
  </si>
  <si>
    <t>Y. Lei, X. Dong, Z. Tian, Y. Liu, S. Tian, T. Wang, X. Jiang, P. Patel, A. B. Jani, H. Mao, W. J. Curran, T. Liu , X. Yang</t>
  </si>
  <si>
    <t>Y. Lei, X. Dong, T. Wang, K. Higgins, T. Liu, W. J. Curran, H. Mao, J. A. Nye , X. Yang</t>
  </si>
  <si>
    <t>Y. Lei, Y. Fu, T. Wang, Y. Liu, P. Patel, W. J. Curran, T. Liu , X. Yang</t>
  </si>
  <si>
    <t>Y. Lei, J. Harms, T. Wang, Y. Liu, H. K. Shu, A. B. Jani, W. J. Curran, H. Mao, T. Liu , X. Yang</t>
  </si>
  <si>
    <t>T. Leiner, D. Rueckert, A. Suinesiaputra, B. Baeßler, R. Nezafat, I. Išgum , A. A. Young</t>
  </si>
  <si>
    <t>C. Leitner, R. Jarolim, A. Konrad, A. Kruse, M. Tilp, J. Schrottner , C. Baumgartner</t>
  </si>
  <si>
    <t>M. M. Lell , M. Kachelrieß</t>
  </si>
  <si>
    <t>N. Lessmann, C. I. Sánchez, L. Beenen, L. H. Boulogne, M. Brink, E. Calli, J. P. Charbonnier, T. Dofferhoff, W. M. van Everdingen, P. K. Gerke, B. Geurts, H. A. Gietema, M. Groeneveld, L. van Harten, N. Hendrix, W. Hendrix, H. J. Huisman, I. Išgum, C. Jacobs, R. Kluge, M. Kok, J. Krdzalic, B. Lassen-Schmidt, K. van Leeuwen, J. Meakin, M. Overkamp, T. van Rees Vellinga, E. M. van Rikxoort, R. Samperna, C. Schaefer-Prokop, S. Schalekamp, E. T. Scholten, C. Sital, J. L. Stöger, J. Teuwen, K. V. Venkadesh, C. de Vente, M. Vermaat, W. Xie, B. de Wilde, M. Prokop , B. van Ginneken</t>
  </si>
  <si>
    <t>D. G. Leung, A. E. Bocchieri, S. Ahlawat, M. A. Jacobs, V. S. Parekh, V. Braverman, K. Summerton, J. Mansour, G. Bibat, C. Morris, S. Marraffino , K. R. Wagner</t>
  </si>
  <si>
    <t>K. Leung, B. Zhang, J. Tan, Y. Shen, K. J. Geras, J. S. Babb, K. Cho, G. Chang , C. M. Deniz</t>
  </si>
  <si>
    <t>A. B. Levine, J. Peng, D. Farnell, M. Nursey, Y. Wang, J. R. Naso, H. Ren, H. Farahani, C. Chen, D. Chiu, A. Talhouk, B. Sheffield, M. Riazy, P. P. Ip, C. Parra-Herran, A. Mills, N. Singh, B. Tessier-Cloutier, T. Salisbury, J. Lee, T. Salcudean, S. J. Jones, D. G. Huntsman, C. B. Gilks, S. Yip , A. Bashashati</t>
  </si>
  <si>
    <t>A. B. Levine, C. Schlosser, J. Grewal, R. Coope, S. J. M. Jones , S. Yip</t>
  </si>
  <si>
    <t>S. D. Lhatoo, N. Bernasconi, I. Blumcke, K. Braun, J. Buchhalter, S. Denaxas, A. Galanopoulou, C. Josephson, K. Kobow, D. Lowenstein, P. Ryvlin, A. Schulze-Bonhage, S. S. Sahoo, M. Thom, D. Thurman, G. Worrell, G. Q. Zhang , S. Wiebe</t>
  </si>
  <si>
    <t>B. Li, H. Peng, X. Luo, J. Wang, X. Song, M. J. Pérez-Jiménez , A. Riscos-Núñez</t>
  </si>
  <si>
    <t>C. Li, D. Dong, L. Li, W. Gong, X. Li, Y. Bai, M. Wang, Z. Hu, Y. Zha , J. Tian</t>
  </si>
  <si>
    <t>C. Li, D. Zhang, Z. Tian, S. Du , Y. Qu</t>
  </si>
  <si>
    <t>D. Li, J. R. Bledsoe, Y. Zeng, W. Liu, Y. Hu, K. Bi, A. Liang , S. Li</t>
  </si>
  <si>
    <t>D. Li, C. Chen, J. Li , L. Wang</t>
  </si>
  <si>
    <t>G. Li, D. Han, C. Wang, W. Hu, V. D. Calhoun , Y. P. Wang</t>
  </si>
  <si>
    <t>H. Li , Y. Fan</t>
  </si>
  <si>
    <t>H. Li, M. Habes, D. A. Wolk , Y. Fan</t>
  </si>
  <si>
    <t>H. Li, K. Shi, M. Reichert, K. Lin, N. Tselousov, R. Braren, D. Fu, R. Schmid, J. Li , B. Menze</t>
  </si>
  <si>
    <t>J. Li, H. Chen, F. Zhu, C. Wen, H. Chen , L. Wang</t>
  </si>
  <si>
    <t>J. Li, D. Dong, M. Fang, R. Wang, J. Tian, H. Li , J. Gao</t>
  </si>
  <si>
    <t>J. Li, Z. L. Yu, Z. Gu, H. Liu , Y. Li</t>
  </si>
  <si>
    <t>J. Li, L. Zhang, A. Johnson-Buck , N. G. Walter</t>
  </si>
  <si>
    <t>J. Z. Li , L. Tang</t>
  </si>
  <si>
    <t>L. Li, Z. Liu, H. Huang, M. Lin , D. Luo</t>
  </si>
  <si>
    <t>L. Li, L. Qin, Z. Xu, Y. Yin, X. Wang, B. Kong, J. Bai, Y. Lu, Z. Fang, Q. Song, K. Cao, D. Liu, G. Wang, Q. Xu, X. Fang, S. Zhang, J. Xia , J. Xia</t>
  </si>
  <si>
    <t>L. Li, X. Song, Y. Guo, Y. Liu, R. Sun, H. Zou, H. Zhou , X. Fan</t>
  </si>
  <si>
    <t>M. Li, H. Tang, M. D. Chan, X. Zhou , X. Qian</t>
  </si>
  <si>
    <t>P. Li, J. Zhou, W. Li, H. Wu, J. Hu, Q. Ding, S. Lü, J. Pan, C. Zhang, N. Li , M. Long</t>
  </si>
  <si>
    <t>Q. Li , L. Shen</t>
  </si>
  <si>
    <t>Q. Li, X. Wang, F. Liang, F. Yi, Y. Xie, A. Gazdar , G. Xiao</t>
  </si>
  <si>
    <t>Q. Li, B. Yu, X. Tian, X. Cui, R. Zhang , Q. Guo</t>
  </si>
  <si>
    <t>R. Li, H. Chen, G. Gong , L. Wang</t>
  </si>
  <si>
    <t>R. Li, L. Yu, B. Zhou, X. Zeng, Z. Wang, X. Yang, J. Zhang, X. Gao, R. Jiang , M. Xu</t>
  </si>
  <si>
    <t>S. Li, Z. Wang, L. C. Visser, E. R. Wisner , H. Cheng</t>
  </si>
  <si>
    <t>S. Li, J. Xiao, L. He, X. Peng , X. Yuan</t>
  </si>
  <si>
    <t>S. Li, P. Xu, B. Li, L. Chen, Z. Zhou, H. Hao, Y. Duan, M. Folkert, J. Ma, S. Huang, S. Jiang , J. Wang</t>
  </si>
  <si>
    <t>T. Li, M. Zhang, W. Qi, E. Asma , J. Qi</t>
  </si>
  <si>
    <t>W. Li, F. Abtahi, Z. Zhu , L. Yin</t>
  </si>
  <si>
    <t>W. Li, Q. Chen, Z. Jiang, G. Deng, Y. Zong, G. Shi, C. Jiang , X. Sun</t>
  </si>
  <si>
    <t>W. Li, Y. Li, W. Qin, X. Liang, J. Xu, J. Xiong , Y. Xie</t>
  </si>
  <si>
    <t>W. Li, H. Liu, F. Cheng, Y. Li, S. Li , J. Yan</t>
  </si>
  <si>
    <t>W. Li, Y. Yang, K. Zhang, E. Long, L. He, L. Zhang, Y. Zhu, C. Chen, Z. Liu, X. Wu, D. Yun, J. Lv, Y. Liu, X. Liu , H. Lin</t>
  </si>
  <si>
    <t>X. Li, H. Jiao , Y. Wang</t>
  </si>
  <si>
    <t>X. Li, G. Qin, Q. He, L. Sun, H. Zeng, Z. He, W. Chen, X. Zhen , L. Zhou</t>
  </si>
  <si>
    <t>X. Li, L. Shen, X. Xie, S. Huang, Z. Xie, X. Hong , J. Yu</t>
  </si>
  <si>
    <t>X. Li, J. Wu, E. Z. Chen , H. Jiang</t>
  </si>
  <si>
    <t>X. Li, L. Yu, H. Chen, C. W. Fu, L. Xing , P. A. Heng</t>
  </si>
  <si>
    <t>Y. Li, K. Li, C. Zhang, J. Montoya , G. H. Chen</t>
  </si>
  <si>
    <t>Y. Li, W. Li, J. Xiong, J. Xia , Y. Xie</t>
  </si>
  <si>
    <t>Y. Li, Y. Li , H. Tian</t>
  </si>
  <si>
    <t>Y. Li, A. Mahjoubfar, C. L. Chen, K. R. Niazi, L. Pei , B. Jalali</t>
  </si>
  <si>
    <t>Y. Li, F. Meng , J. Shi</t>
  </si>
  <si>
    <t>Y. Li, D. Wei, J. Chen, S. Cao, H. Zhou, Y. Zhu, J. Wu, L. Lan, W. Sun, T. Qian, K. Ma, H. Xu , Y. Zheng</t>
  </si>
  <si>
    <t>Y. Li, E. L. Zhang, W. J. Li, N. Lang , H. S. Yuan</t>
  </si>
  <si>
    <t>Y. Li, R. Zheng, Y. Wu, K. Chu, Q. Xu, M. Sun , Z. J. Smith</t>
  </si>
  <si>
    <t>Z. Li, A. Cai, L. Wang, W. Zhang, C. Tang, L. Li, N. Liang , B. Yan</t>
  </si>
  <si>
    <t>Z. Li, C. Guo, D. Nie, D. Lin, Y. Zhu, C. Chen, L. Zhao, X. Wu, M. Dongye, F. Xu, C. Jin, P. Zhang, Y. Han, P. Yan , H. Lin</t>
  </si>
  <si>
    <t>Z. Li, J. Jiang, H. Zhou, Q. Zheng, X. Liu, K. Chen, H. Weng , W. Chen</t>
  </si>
  <si>
    <t>Z. Li, R. Togo, T. Ogawa , M. Haseyama</t>
  </si>
  <si>
    <t>Z. Li, Z. Zhong, Y. Li, T. Zhang, L. Gao, D. Jin, Y. Sun, X. Ye, L. Yu, Z. Hu, J. Xiao, L. Huang , Y. Tang</t>
  </si>
  <si>
    <t>C. H. Liang, Y. C. Liu, M. T. Wu, F. Garcia-Castro, A. Alberich-Bayarri , F. Z. Wu</t>
  </si>
  <si>
    <t>G. Liang, X. Wang, Y. Zhang , N. Jacobs</t>
  </si>
  <si>
    <t>Q. Liang, Y. Nan, G. Coppola, K. Zou, W. Sun, D. Zhang, Y. Wang , G. Yu</t>
  </si>
  <si>
    <t>X. Liao, Y. Qian, Y. Chen, X. Xiong, Q. Wang , P. A. Heng</t>
  </si>
  <si>
    <t>C. J. Y. Liew, L. C. H. Leong, L. L. S. Teo, C. C. Ong, F. K. Cheah, W. P. Tham, H. M. M. Salahudeen, C. H. Lee, G. J. L. Kaw, A. K. H. Tee, I. Y. Y. Tsou, K. H. Tay, R. Quah, B. P. Tan, H. Chou, D. Tan, A. C. C. Poh , A. G. S. Tan</t>
  </si>
  <si>
    <t>G. Ligabue, F. Pollastri, F. Fontana, M. Leonelli, L. Furci, S. Giovanella, G. Alfano, G. Cappelli, F. Testa, F. Bolelli, C. Grana , R. Magistroni</t>
  </si>
  <si>
    <t>Z. V. Lim, F. Akram, C. P. Ngo, A. A. Winarto, W. Q. Lee, K. Liang, H. H. Oon, S. T. G. Thng , H. K. Lee</t>
  </si>
  <si>
    <t>A. Lin, M. Kolossváry, I. Išgum, P. Maurovich-Horvat, P. J. Slomka , D. Dey</t>
  </si>
  <si>
    <t>C. J. Lin , S. Y. Jeng</t>
  </si>
  <si>
    <t>D. J. Lin, P. M. Johnson, F. Knoll , Y. W. Lui</t>
  </si>
  <si>
    <t>E. Lin , S. J. Tsai</t>
  </si>
  <si>
    <t>F. Lin, C. Ma, J. Xu, Y. Lei, Q. Li, Y. Lan, M. Sun, W. Long , E. Cui</t>
  </si>
  <si>
    <t>H. Lin, C. Wei, G. Wang, H. Chen, L. Lin, M. Ni, J. Chen , S. Zhuo</t>
  </si>
  <si>
    <t>L. Lin, Q. Dou, Y. M. Jin, G. Q. Zhou, Y. Q. Tang, W. L. Chen, B. A. Su, F. Liu, C. J. Tao, N. Jiang, J. Y. Li, L. L. Tang, C. M. Xie, S. M. Huang, J. Ma, P. A. Heng, J. T. S. Wee, M. L. K. Chua, H. Chen , Y. Sun</t>
  </si>
  <si>
    <t>Q. Lin, M. Luo, R. Gao, T. Li, Z. Man, Y. Cao , H. Wang</t>
  </si>
  <si>
    <t>R. Lin, X. Zeng, K. Kitani , M. Xu</t>
  </si>
  <si>
    <t>X. Lin , X. Li</t>
  </si>
  <si>
    <t>X. J. Lin, D. Zhang, M. Y. Huang, H. Cheng , H. Yu</t>
  </si>
  <si>
    <t>Y. C. Lin , H. M. Huang</t>
  </si>
  <si>
    <t>Y. C. Lin, C. H. Lin, H. Y. Lu, H. J. Chiang, H. K. Wang, Y. T. Huang, S. H. Ng, J. H. Hong, T. C. Yen, C. H. Lai , G. Lin</t>
  </si>
  <si>
    <t>L. Lindner, D. Narnhofer, M. Weber, C. Gsaxner, M. Kolodziej , J. Egger</t>
  </si>
  <si>
    <t>G. Litjens, F. Ciompi, J. M. Wolterink, B. D. de Vos, T. Leiner, J. Teuwen , I. Išgum</t>
  </si>
  <si>
    <t>G. Litjens, T. Kooi, B. E. Bejnordi, A. A. A. Setio, F. Ciompi, M. Ghafoorian, J. van der Laak, B. van Ginneken , C. I. Sánchez</t>
  </si>
  <si>
    <t>B. Liu, W. Chi, X. Li, P. Li, W. Liang, H. Liu, W. Wang , J. He</t>
  </si>
  <si>
    <t>B. Liu, J. Luo , H. Huang</t>
  </si>
  <si>
    <t>C. Liu, X. Han, Z. Li, J. Ha, G. Peng, W. Meng , M. He</t>
  </si>
  <si>
    <t>C. Liu, Z. Lu, L. Ma, L. Wang, X. Jin , W. Si</t>
  </si>
  <si>
    <t>C. Liu, R. Zhao , M. Pang</t>
  </si>
  <si>
    <t>C. C. Liu , H. M. Huang</t>
  </si>
  <si>
    <t>C. C. Liu , J. Qi</t>
  </si>
  <si>
    <t>D. Liu, F. Liu, X. Xie, L. Su, M. Liu, X. Xie, M. Kuang, G. Huang, Y. Wang, H. Zhou, K. Wang, M. Lin , J. Tian</t>
  </si>
  <si>
    <t>F. Liu, L. Feng , R. Kijowski</t>
  </si>
  <si>
    <t>F. Liu, D. Liu, J. Tian, X. Xie, X. Yang , K. Wang</t>
  </si>
  <si>
    <t>F. Liu, A. Samsonov, L. Chen, R. Kijowski , L. Feng</t>
  </si>
  <si>
    <t>H. Liu, H. Cao, E. Song, G. Ma, X. Xu, R. Jin, T. Liu, L. Liu, D. Liu , C. C. Hung</t>
  </si>
  <si>
    <t>H. Liu, L. Wang, Y. Nan, F. Jin, Q. Wang , J. Pu</t>
  </si>
  <si>
    <t>H. Liu, J. Wu, W. Lu, J. A. Onofrey, Y. H. Liu , C. Liu</t>
  </si>
  <si>
    <t>J. Liu, A. I. Aviles-Rivero, H. Ji , C. B. Schönlieb</t>
  </si>
  <si>
    <t>J. Liu, M. Kocak, M. Supanich , J. Deng</t>
  </si>
  <si>
    <t>J. Liu, H. Liu, Z. Tang, W. Gui, T. Ma, S. Gong, Q. Gao, Y. Xie , J. P. Niyoyita</t>
  </si>
  <si>
    <t>J. Liu, J. Wang, W. Ruan, C. Lin , D. Chen</t>
  </si>
  <si>
    <t>K. L. Liu, T. Wu, P. T. Chen, Y. M. Tsai, H. Roth, M. S. Wu, W. C. Liao , W. Wang</t>
  </si>
  <si>
    <t>L. Liu, A. Johansson, Y. Cao, J. Dow, T. S. Lawrence , J. M. Balter</t>
  </si>
  <si>
    <t>M. Liu, J. Zhang, E. Adeli , D. Shen</t>
  </si>
  <si>
    <t>P. Liu, M. D. El Basha, Y. Li, Y. Xiao, P. C. Sanelli , R. Fang</t>
  </si>
  <si>
    <t>P. Liu, M. Wang, Y. Wang, M. Yu, Y. Wang, Z. Liu, Y. Li , Z. Jin</t>
  </si>
  <si>
    <t>Q. Liu, Q. Dou, L. Yu , P. A. Heng</t>
  </si>
  <si>
    <t>S. Liu, Z. Shah, A. Sav, C. Russo, S. Berkovsky, Y. Qian, E. Coiera , A. Di Ieva</t>
  </si>
  <si>
    <t>S. Liu, L. Yin, S. Miao, J. Ma, S. Cong , S. Hu</t>
  </si>
  <si>
    <t>T. Liu, K. de Haan, Y. Rivenson, Z. Wei, X. Zeng, Y. Zhang , A. Ozcan</t>
  </si>
  <si>
    <t>T. Liu, Q. Guo, C. Lian, X. Ren, S. Liang, J. Yu, L. Niu, W. Sun , D. Shen</t>
  </si>
  <si>
    <t>T. Liu, Z. Wei, Y. Rivenson, K. de Haan, Y. Zhang, Y. Wu , A. Ozcan</t>
  </si>
  <si>
    <t>T. Y. A. Liu , N. M. Bressler</t>
  </si>
  <si>
    <t>W. Liu, M. Liu, X. Guo, P. Zhang, L. Zhang, R. Zhang, H. Kang, Z. Zhai, X. Tao, J. Wan , S. Xie</t>
  </si>
  <si>
    <t>W. D. Liu, H. B. Zhou , H. P. Hu</t>
  </si>
  <si>
    <t>X. Liu, T. Du, H. Zhang , C. Sun</t>
  </si>
  <si>
    <t>X. Liu, L. Faes, A. U. Kale, S. K. Wagner, D. J. Fu, A. Bruynseels, T. Mahendiran, G. Moraes, M. Shamdas, C. Kern, J. R. Ledsam, M. K. Schmid, K. Balaskas, E. J. Topol, L. M. Bachmann, P. A. Keane , A. K. Denniston</t>
  </si>
  <si>
    <t>X. Liu, T. Fu, Z. Pan, D. Liu, W. Hu, J. Liu , K. Zhang</t>
  </si>
  <si>
    <t>X. Liu, S. Guo, H. Zhang, K. He, S. Mu, Y. Guo , X. Li</t>
  </si>
  <si>
    <t>X. Liu, Z. Huang, Z. Wang, C. Wen, Z. Jiang, Z. Yu, J. Liu, G. Liu, X. Huang, A. Maier, Q. Ren , Y. Lu</t>
  </si>
  <si>
    <t>Y. Liu, A. Jain, C. Eng, D. H. Way, K. Lee, P. Bui, K. Kanada, G. de Oliveira Marinho, J. Gallegos, S. Gabriele, V. Gupta, N. Singh, V. Natarajan, R. Hofmann-Wellenhof, G. S. Corrado, L. H. Peng, D. R. Webster, D. Ai, S. J. Huang, Y. Liu, R. C. Dunn , D. Coz</t>
  </si>
  <si>
    <t>Y. Liu, T. Kohlberger, M. Norouzi, G. E. Dahl, J. L. Smith, A. Mohtashamian, N. Olson, L. H. Peng, J. D. Hipp , M. C. Stumpe</t>
  </si>
  <si>
    <t>Y. Liu, Y. Lei, Y. Wang, G. Shafai-Erfani, T. Wang, S. Tian, P. Patel, A. B. Jani, M. McDonald, W. J. Curran, T. Liu, J. Zhou , X. Yang</t>
  </si>
  <si>
    <t>Y. Liu, Y. Lei, Y. Wang, T. Wang, L. Ren, L. Lin, M. McDonald, W. J. Curran, T. Liu, J. Zhou , X. Yang</t>
  </si>
  <si>
    <t>Y. Liu, Y. Xu, X. Meng, X. Wang , T. Bai</t>
  </si>
  <si>
    <t>Y. Liu, C. Zhang, J. Cheng, X. Chen , Z. J. Wang</t>
  </si>
  <si>
    <t>Y. Liu, X. Zhang, G. Cai, Y. Chen, Z. Yun, Q. Feng , W. Yang</t>
  </si>
  <si>
    <t>Z. Liu, Y. Cao, Y. Li, X. Xiao, Q. Qiu, M. Yang, Y. Zhao , L. Cui</t>
  </si>
  <si>
    <t>Z. Liu, X. Liu, B. Xiao, S. Wang, Z. Miao, Y. Sun , F. Zhang</t>
  </si>
  <si>
    <t>Z. Liu, J. Miao, P. Huang, W. Wang, X. Wang, Y. Zhai, J. Wang, Z. Zhou, N. Bi, Y. Tian , J. Dai</t>
  </si>
  <si>
    <t>Z. Liu, S. Wang, D. Dong, J. Wei, C. Fang, X. Zhou, K. Sun, L. Li, B. Li, M. Wang , J. Tian</t>
  </si>
  <si>
    <t>B. Ljubic, S. Roychoudhury, X. H. Cao, M. Pavlovski, S. Obradovic, R. Nair, L. Glass , Z. Obradovic</t>
  </si>
  <si>
    <t>F. P. Lo, Y. Sun, J. Qiu , B. Lo</t>
  </si>
  <si>
    <t>R. Lo Gullo, S. Eskreis-Winkler, E. A. Morris , K. Pinker</t>
  </si>
  <si>
    <t>Y. C. Lo, K. H. Lin, H. Bair, W. H. Sheu, C. S. Chang, Y. C. Shen , C. L. Hung</t>
  </si>
  <si>
    <t>P. Lohmann, K. Bousabarah, M. Hoevels , H. Treuer</t>
  </si>
  <si>
    <t>V. Lopez-Vazquez, J. M. Lopez-Guede, S. Marini, E. Fanelli, E. Johnsen , J. Aguzzi</t>
  </si>
  <si>
    <t>I. Lorencin, N. Anđelić, J. Španjol , Z. Car</t>
  </si>
  <si>
    <t>I. Lorente, C. K. Abbey , J. G. Brankov</t>
  </si>
  <si>
    <t>T. Lossau Née Elss, H. Nickisch, T. Wissel, R. Bippus, H. Schmitt, M. Morlock , M. Grass</t>
  </si>
  <si>
    <t>D. Lu, M. Heisler, S. Lee, G. W. Ding, E. Navajas, M. V. Sarunic , M. F. Beg</t>
  </si>
  <si>
    <t>L. Lu, D. Wang, L. Wang, L. E, P. Guo, Z. Li, J. Xiang, H. Yang, H. Li, S. Yin, L. H. Schwartz, C. Xie , B. Zhao</t>
  </si>
  <si>
    <t>M. T. Lu, V. K. Raghu, T. Mayrhofer, H. Aerts , U. Hoffmann</t>
  </si>
  <si>
    <t>T. Lu, T. Chen, F. Gao, B. Sun, V. Ntziachristos , J. Li</t>
  </si>
  <si>
    <t>W. Lu, J. A. Onofrey, Y. Lu, L. Shi, T. Ma, Y. Liu , C. Liu</t>
  </si>
  <si>
    <t>Y. Lu, K. Zheng, W. Li, Y. Wang, A. P. Harrison, C. Lin, S. Wang, J. Xiao, L. Lu, C. F. Kuo , S. Miao</t>
  </si>
  <si>
    <t>Y. Lu, J. H. Zhou , C. Guan</t>
  </si>
  <si>
    <t>M. Lucas, E. Liem, C. D. Savci-Heijink, J. E. Freund, H. A. Marquering, T. G. van Leeuwen , D. M. de Bruin</t>
  </si>
  <si>
    <t>P. Luckett, R. H. Paul, J. Navid, S. A. Cooley, J. K. Wisch, A. H. Boerwinkle, D. Tomov , B. M. Ances</t>
  </si>
  <si>
    <t>J. B. Lugagne, H. Lin , M. J. Dunlop</t>
  </si>
  <si>
    <t>A. S. Lundervold , A. Lundervold</t>
  </si>
  <si>
    <t>C. Luo, C. Shi, X. Li , D. Gao</t>
  </si>
  <si>
    <t>H. Luo, D. Yin, S. Zhang, D. Xiao, B. He, F. Meng, Y. Zhang, W. Cai, S. He, W. Zhang, Q. Hu, H. Guo, S. Liang, S. Zhou, S. Liu, L. Sun, X. Guo, C. Fang, L. Liu , F. Jia</t>
  </si>
  <si>
    <t>J. Luo, B. Hong, Y. Jiang, L. Li, Q. Xie , H. Han</t>
  </si>
  <si>
    <t>L. Luo, L. Yu, H. Chen, Q. Liu, X. Wang, J. Xu , P. A. Heng</t>
  </si>
  <si>
    <t>X. Luo, K. Mori , T. M. Peters</t>
  </si>
  <si>
    <t>Y. H. Luo, I. L. Xi, R. Wang, H. O. Abdallah, J. Wu, A. Z. Vance, K. Chang, M. Kohi, L. Jones, S. Reddy, Z. S. Zhang, H. X. Bai , R. Shlansky-Goldberg</t>
  </si>
  <si>
    <t>G. M, A. V, M. M. S , M. H</t>
  </si>
  <si>
    <t>D. Ma, D. Lu, K. Popuri, L. Wang , M. F. Beg</t>
  </si>
  <si>
    <t>J. Ma, S. Duan, Y. Zhang, J. Wang, Z. Wang, R. Li, Y. Li, L. Zhang , H. Ma</t>
  </si>
  <si>
    <t>J. Ma, Y. Song, X. Tian, Y. Hua, R. Zhang , J. Wu</t>
  </si>
  <si>
    <t>J. Ma, Y. Wang, X. An, C. Ge, Z. Yu, J. Chen, Q. Zhu, G. Dong, J. He, Z. He, T. Cao, Y. Zhu, Z. Nie , X. Yang</t>
  </si>
  <si>
    <t>S. Ma, Y. Huang, X. Che , R. Gu</t>
  </si>
  <si>
    <t>X. Ma, J. Wang, X. Zheng, Z. Liu, W. Long, Y. Zhang, J. Wei , Y. Lu</t>
  </si>
  <si>
    <t>Y. Ma, T. Xu, X. Huang, X. Wang, C. Li, J. Jerwick, Y. Ning, X. Zeng, B. Wang, Y. Wang, Z. Zhang, X. Zhang , C. Zhou</t>
  </si>
  <si>
    <t>Y. Ma, C. Yang, J. Zhang, Y. Wang, F. Gao , F. Gao</t>
  </si>
  <si>
    <t>Z. Ma, X. Wu, X. Wang, Q. Song, Y. Yin, K. Cao, Y. Wang , J. Zhou</t>
  </si>
  <si>
    <t>K. H. Madsen, L. G. Krohne, X. L. Cai, Y. Wang , R. C. K. Chan</t>
  </si>
  <si>
    <t>S. Maetschke, B. Antony, H. Ishikawa, G. Wollstein, J. Schuman , R. Garnavi</t>
  </si>
  <si>
    <t>A. Mahbod, G. Schaefer, C. Wang, G. Dorffner, R. Ecker , I. Ellinger</t>
  </si>
  <si>
    <t>M. Mahmud, M. S. Kaiser, A. Hussain , S. Vassanelli</t>
  </si>
  <si>
    <t>T. Mahmud, M. A. Rahman , S. A. Fattah</t>
  </si>
  <si>
    <t>A. Maier, C. Syben, T. Lasser , C. Riess</t>
  </si>
  <si>
    <t>A. Majkowska, S. Mittal, D. F. Steiner, J. J. Reicher, S. M. McKinney, G. E. Duggan, K. Eswaran, P. H. Cameron Chen, Y. Liu, S. R. Kalidindi, A. Ding, G. S. Corrado, D. Tse , S. Shetty</t>
  </si>
  <si>
    <t>A. Makra, W. Bost, I. Kallo, A. Horvath, M. Fournelle , M. Gyongy</t>
  </si>
  <si>
    <t>V. Malinda , D. Lee</t>
  </si>
  <si>
    <t>S. Mall, P. C. Brennan , C. Mello-Thoms</t>
  </si>
  <si>
    <t>P. M. Maloca, A. Y. Lee, E. R. de Carvalho, M. Okada, K. Fasler, I. Leung, B. Hörmann, P. Kaiser, S. Suter, P. W. Hasler, J. Zarranz-Ventura, C. Egan, T. F. C. Heeren, K. Balaskas, A. Tufail , H. P. N. Scholl</t>
  </si>
  <si>
    <t>Y. Man, Y. Huang, J. Feng, X. Li , F. Wu</t>
  </si>
  <si>
    <t>L. Mansilla, D. H. Milone , E. Ferrante</t>
  </si>
  <si>
    <t>X. Mao, Y. Zhao, B. Chen, Y. Ma, Z. Gu, S. Gu, J. Yang, J. Cheng , J. Liu</t>
  </si>
  <si>
    <t>Y. Mao, L. Han , Z. Yin</t>
  </si>
  <si>
    <t>M. A. Marchetti, K. Liopyris, S. W. Dusza, N. C. F. Codella, D. A. Gutman, B. Helba, A. Kalloo , A. C. Halpern</t>
  </si>
  <si>
    <t>M. Mardani, E. Gong, J. Y. Cheng, S. S. Vasanawala, G. Zaharchuk, L. Xing , J. M. Pauly</t>
  </si>
  <si>
    <t>E. B. Mariottoni, A. A. Jammal, C. N. Urata, S. I. Berchuck, A. C. Thompson, T. Estrela , F. A. Medeiros</t>
  </si>
  <si>
    <t>M. Marsden, T. Fukazawa, Y. C. Deng, B. W. Weyers, J. Bec, D. Gregory Farwell , L. Marcu</t>
  </si>
  <si>
    <t>F. J. Martinez-Murcia, A. Ortiz, J. M. Gorriz, J. Ramirez , D. Castillo-Barnes</t>
  </si>
  <si>
    <t>E. Martín-González, T. Sevilla, A. Revilla-Orodea, P. Casaseca-de-la-Higuera , C. Alberola-López</t>
  </si>
  <si>
    <t>M. L. Martini, E. K. Oermann, N. L. Opie, F. Panov, T. Oxley , K. Yaeger</t>
  </si>
  <si>
    <t>N. Martini, A. Aimo, A. Barison, D. Della Latta, G. Vergaro, G. D. Aquaro, A. Ripoli, M. Emdin , D. Chiappino</t>
  </si>
  <si>
    <t>S. B. Martins, A. C. Telea , A. X. Falcao</t>
  </si>
  <si>
    <t>J. Martorell-Marugán, S. Tabik, Y. Benhammou, C. del Val, I. Zwir, F. Herrera , P. Carmona-Sáez</t>
  </si>
  <si>
    <t>E. N. Marzban, A. M. Eldeib, I. A. Yassine , Y. M. Kadah</t>
  </si>
  <si>
    <t>A. Marzullo, S. Moccia, M. Catellani, F. Calimeri , E. Momi</t>
  </si>
  <si>
    <t>S. Masoudi, S. M. Anwar, S. A. Harmon, P. L. Choyke, B. Turkbey , U. Bagci</t>
  </si>
  <si>
    <t>R. Mastouri, N. Khlifa, H. Neji , S. Hantous-Zannad</t>
  </si>
  <si>
    <t>E. M. Masutani, N. Bahrami , A. Hsiao</t>
  </si>
  <si>
    <t>S. K. Mathai, S. Humphries, J. A. Kropski, T. S. Blackwell, J. Powers, A. D. Walts, C. Markin, J. Woodward, J. H. Chung, K. K. Brown, M. P. Steele, J. E. Loyd, M. I. Schwarz, T. Fingerlin, I. V. Yang, D. A. Lynch , D. A. Schwartz</t>
  </si>
  <si>
    <t>P. Mathur, K. Kakwani, Diplav, S. Kudavelly , R. Ga</t>
  </si>
  <si>
    <t>S. Matsuda, T. Miyamoto, H. Yoshimura , T. Hasegawa</t>
  </si>
  <si>
    <t>T. Matsui, R. Tamoto, A. Iwasa, M. Mimura, S. Taniguchi, T. Hasegawa, T. Sudo, H. Mizuno, J. Kikuta, I. Onoyama, K. Okugawa, M. Shiomi, S. Matsuzaki, E. Morii, T. Kimura, K. Kato, Y. Kiyota , M. Ishii</t>
  </si>
  <si>
    <t>Y. Matsui, T. Maruyama, M. Nitta, T. Saito, S. Tsuzuki, M. Tamura, K. Kusuda, Y. Fukuya, H. Asano, T. Kawamata, K. Masamune , Y. Muragaki</t>
  </si>
  <si>
    <t>D. J. Matuszewski , I. M. Sintorn</t>
  </si>
  <si>
    <t>R. C. Mayo , J. Leung</t>
  </si>
  <si>
    <t>M. A. Mazurowski, M. Buda, A. Saha , M. R. Bashir</t>
  </si>
  <si>
    <t>C. H. McCollough , S. Leng</t>
  </si>
  <si>
    <t>E. M. McKenzie, A. Santhanam, D. Ruan, D. O'Connor, M. Cao , K. Sheng</t>
  </si>
  <si>
    <t>J. M. Meier, H. K. van der Burgh, A. D. Nitert, P. Bede, S. C. de Lange, O. Hardiman, L. H. van den Berg , M. P. van den Heuvel</t>
  </si>
  <si>
    <t>K. Men, H. Geng, H. Zhong, Y. Fan, A. Lin , Y. Xiao</t>
  </si>
  <si>
    <t>A. Mencattini, D. Di Giuseppe, M. C. Comes, P. Casti, F. Corsi, F. R. Bertani, L. Ghibelli, L. Businaro, C. Di Natale, M. C. Parrini , E. Martinelli</t>
  </si>
  <si>
    <t>K. Mendel, H. Li, D. Sheth , M. Giger</t>
  </si>
  <si>
    <t>A. Mendizabal, P. Márquez-Neila , S. Cotin</t>
  </si>
  <si>
    <t>L. K. Meng, A. Khalil, M. H. Ahmad Nizar, M. K. Nisham, B. Pingguan-Murphy, Y. C. Hum, M. I. Mohamad Salim , K. W. Lai</t>
  </si>
  <si>
    <t>N. Meng, E. Y. Lam, K. K. Tsia , H. K. So</t>
  </si>
  <si>
    <t>Q. Meng, J. Matthew, V. A. Zimmer, A. Gomez, D. F. A. Lloyd, D. Rueckert , B. Kainz</t>
  </si>
  <si>
    <t>Q. Meng, M. Sinclair, V. Zimmer, B. Hou, M. Rajchl, N. Toussaint, O. Oktay, J. Schlemper, A. Gomez, J. Housden, J. Matthew, D. Rueckert, J. A. Schnabel , B. Kainz</t>
  </si>
  <si>
    <t>A. Meyer-Base, L. Morra, A. Tahmassebi, M. Lobbes, U. Meyer-Base , K. Pinker</t>
  </si>
  <si>
    <t>H. Mikami, M. Kawaguchi, C. J. Huang, H. Matsumura, T. Sugimura, K. Huang, C. Lei, S. Ueno, T. Miura, T. Ito, K. Nagasawa, T. Maeno, H. Watarai, M. Yamagishi, S. Uemura, S. Ohnuki, Y. Ohya, H. Kurokawa, S. Matsusaka, C. W. Sun, Y. Ozeki , K. Goda</t>
  </si>
  <si>
    <t>C. Militello, L. Rundo, P. Toia, V. Conti, G. Russo, C. Filorizzo, E. Maffei, F. Cademartiri, L. La Grutta, M. Midiri , S. Vitabile</t>
  </si>
  <si>
    <t>D. D. Miller , E. W. Brown</t>
  </si>
  <si>
    <t>H. S. Min, J. H. Yoo, S. J. Kang, J. G. Lee, H. Cho, P. H. Lee, J. M. Ahn, D. W. Park, S. W. Lee, Y. H. Kim, C. W. Lee, S. W. Park , S. J. Park</t>
  </si>
  <si>
    <t>S. Minaee, R. Kafieh, M. Sonka, S. Yazdani , G. Jamalipour Soufi</t>
  </si>
  <si>
    <t>S. Minaee, Y. Wang, A. Aygar, S. Chung, X. Wang, Y. W. Lui, E. Fieremans, S. Flanagan , J. Rath</t>
  </si>
  <si>
    <t>D. Minarik, O. Enqvist , E. Trägårdh</t>
  </si>
  <si>
    <t>R. Miotto, F. Wang, S. Wang, X. Jiang , J. T. Dudley</t>
  </si>
  <si>
    <t>D. Mirzania, A. C. Thompson , K. W. Muir</t>
  </si>
  <si>
    <t>T. Misaka, N. Asato, Y. Ono, Y. Ota, T. Kobayashi, K. Umehara, J. Ota, M. Uemura, R. Ashikaga , T. Ishida</t>
  </si>
  <si>
    <t>Z. Mishra, A. Ganegoda, J. Selicha, Z. Wang, S. R. Sadda , Z. Hu</t>
  </si>
  <si>
    <t>A. D. Missert, L. Yu, S. Leng, J. G. Fletcher , C. H. McCollough</t>
  </si>
  <si>
    <t>K. Misztal, A. Pocha, M. Durak-Kozica, M. Wątor, A. Kubica-Misztal , M. Hartel</t>
  </si>
  <si>
    <t>H. Miura, S. Ozawa, Y. Doi, M. Nakao, K. Ohnishi, M. Kenjo , Y. Nagata</t>
  </si>
  <si>
    <t>H. Miyoshi, K. Sato, Y. Kabeya, S. Yonezawa, H. Nakano, Y. Takeuchi, I. Ozawa, S. Higo, E. Yanagida, K. Yamada, K. Kohno, T. Furuta, H. Muta, M. Takeuchi, Y. Sasaki, T. Yoshimura, K. Matsuda, R. Muto, M. Moritsubo, K. Inoue, T. Suzuki, H. Sekinaga , K. Ohshima</t>
  </si>
  <si>
    <t>T. Miyoshi, A. Higaki, H. Kawakami , O. Yamaguchi</t>
  </si>
  <si>
    <t>L. Möckl, A. R. Roy, P. N. Petrov , W. E. Moerner</t>
  </si>
  <si>
    <t>E. Moen, D. Bannon, T. Kudo, W. Graf, M. Covert , D. Van Valen</t>
  </si>
  <si>
    <t>S. Mohagheghi , A. H. Foruzan</t>
  </si>
  <si>
    <t>D. Moiseev, B. Hu , J. Li</t>
  </si>
  <si>
    <t>D. Mojahed, R. S. Ha, P. Chang, Y. Gan, X. Yao, B. Angelini, H. Hibshoosh, B. Taback , C. P. Hendon</t>
  </si>
  <si>
    <t>M. M. A. Monshi, J. Poon , V. Chung</t>
  </si>
  <si>
    <t>M. Monteiro, V. F. J. Newcombe, F. Mathieu, K. Adatia, K. Kamnitsas, E. Ferrante, T. Das, D. Whitehouse, D. Rueckert, D. K. Menon , B. Glocker</t>
  </si>
  <si>
    <t>C. B. Monti, M. Codari, C. N. De Cecco, F. Secchi, F. Sardanelli , A. E. Stillman</t>
  </si>
  <si>
    <t>M. R. K. Mookiah, S. Hogg, T. J. MacGillivray, V. Prathiba, R. Pradeepa, V. Mohan, R. M. Anjana, A. S. Doney, C. N. A. Palmer , E. Trucco</t>
  </si>
  <si>
    <t>O. Morelle, M. Wintergerst , R. P. Finger</t>
  </si>
  <si>
    <t>S. Mori, R. Hirai , Y. Sakata</t>
  </si>
  <si>
    <t>O. Morin, M. Vallières, A. Jochems, H. C. Woodruff, G. Valdes, S. E. Braunstein, J. E. Wildberger, J. E. Villanueva-Meyer, V. Kearney, S. S. Yom, T. D. Solberg , P. Lambin</t>
  </si>
  <si>
    <t>M. Mostapha , M. Styner</t>
  </si>
  <si>
    <t>L. Mou, Y. Zhao, H. Fu, Y. Liu, J. Cheng, Y. Zheng, P. Su, J. Yang, L. Chen, A. F. Frangi, M. Akiba , J. Liu</t>
  </si>
  <si>
    <t>R. A. Movahed, E. Mohammadi , M. Orooji</t>
  </si>
  <si>
    <t>C. C. Mu , G. Li</t>
  </si>
  <si>
    <t>W. Mu, L. Jiang, J. Zhang, Y. Shi, J. E. Gray, I. Tunali, C. Gao, Y. Sun, J. Tian, X. Zhao, X. Sun, R. J. Gillies , M. B. Schabath</t>
  </si>
  <si>
    <t>Y. Mu, Q. Li , Y. Zhang</t>
  </si>
  <si>
    <t>S. Müller, J. Weickert , N. Graf</t>
  </si>
  <si>
    <t>K. Munir, H. Elahi, A. Ayub, F. Frezza , A. Rizzi</t>
  </si>
  <si>
    <t>Y. Murakami, T. Magome, K. Matsumoto, T. Sato, Y. Yoshioka , M. Oguchi</t>
  </si>
  <si>
    <t>C. Muramatsu, M. Nishio, T. Goto, M. Oiwa, T. Morita, M. Yakami, T. Kubo, K. Togashi , H. Fujita</t>
  </si>
  <si>
    <t>S. Muramatsu , K. Sato</t>
  </si>
  <si>
    <t>M. Murata, Y. Ariji, Y. Ohashi, T. Kawai, M. Fukuda, T. Funakoshi, Y. Kise, M. Nozawa, A. Katsumata, H. Fujita , E. Ariji</t>
  </si>
  <si>
    <t>H. Mzoughi, I. Njeh, A. Wali, M. B. Slima, A. BenHamida, C. Mhiri , K. B. Mahfoudhe</t>
  </si>
  <si>
    <t>M. W. Nadeem, M. A. A. Ghamdi, M. Hussain, M. A. Khan, K. M. Khan, S. H. Almotiri , S. A. Butt</t>
  </si>
  <si>
    <t>M. W. Nadeem, H. G. Goh, A. Ali, M. Hussain, M. A. Khan , V. A. Ponnusamy</t>
  </si>
  <si>
    <t>D. Nagasato, H. Tabuchi, H. Masumoto, H. Enno, N. Ishitobi, M. Kameoka, M. Niki , Y. Mitamura</t>
  </si>
  <si>
    <t>M. Nagendran, Y. Chen, C. A. Lovejoy, A. C. Gordon, M. Komorowski, H. Harvey, E. J. Topol, J. P. A. Ioannidis, G. S. Collins , M. Maruthappu</t>
  </si>
  <si>
    <t>A. A. Nahid, N. Sikder, A. K. Bairagi, M. A. Razzaque, M. Masud, Z. K. A , M. A. P. Mahmud</t>
  </si>
  <si>
    <t>H. Nakai, M. Nishio, R. Yamashita, A. Ono, K. K. Nakao, K. Fujimoto , K. Togashi</t>
  </si>
  <si>
    <t>Y. Nakamura, T. Higaki, F. Tatsugami, Y. Honda, K. Narita, M. Akagi , K. Awai</t>
  </si>
  <si>
    <t>J. Nalepa, M. Marcinkiewicz , M. Kawulok</t>
  </si>
  <si>
    <t>J. Nalepa, P. Ribalta Lorenzo, M. Marcinkiewicz, B. Bobek-Billewicz, P. Wawrzyniak, M. Walczak, M. Kawulok, W. Dudzik, K. Kotowski, I. Burda, B. Machura, G. Mrukwa, P. Ulrych , M. P. Hayball</t>
  </si>
  <si>
    <t>Y. Nam, J. Jang, H. Y. Lee, Y. Choi, N. Y. Shin, K. H. Ryu, D. H. Kim, S. L. Jung, K. J. Ahn , B. S. Kim</t>
  </si>
  <si>
    <t>S. Napel, W. Mu, B. V. Jardim-Perassi, H. Aerts , R. J. Gillies</t>
  </si>
  <si>
    <t>P. A. Narayana, I. Coronado, S. J. Sujit, X. Sun, J. S. Wolinsky , R. E. Gabr</t>
  </si>
  <si>
    <t>P. A. Narayana, I. Coronado, S. J. Sujit, J. S. Wolinsky, F. D. Lublin , R. E. Gabr</t>
  </si>
  <si>
    <t>P. Nardelli , R. S. J. Estépar</t>
  </si>
  <si>
    <t>T. J. Narendra Rao, G. N. Girish, A. R. Kothari , J. Rajan</t>
  </si>
  <si>
    <t>A. Narla, B. Kuprel, K. Sarin, R. Novoa , J. Ko</t>
  </si>
  <si>
    <t>H. Narotamo, J. M. Sanches , M. Silveira</t>
  </si>
  <si>
    <t>S. Nasiri, J. Helsper, M. Jung , M. Fathi</t>
  </si>
  <si>
    <t>N. Nasrullah, J. Sang, M. S. Alam, M. Mateen, B. Cai , H. Hu</t>
  </si>
  <si>
    <t>P. V. Nayantara, S. Kamath, K. N. Manjunath , K. V. Rajagopal</t>
  </si>
  <si>
    <t>T. Nazir, A. Irtaza, Z. Shabbir, A. Javed, U. Akram , M. T. Mahmood</t>
  </si>
  <si>
    <t>M. Negahdar, A. Coy , D. Beymer</t>
  </si>
  <si>
    <t>M. Negassi, R. Suarez-Ibarrola, S. Hein, A. Miernik , A. Reiterer</t>
  </si>
  <si>
    <t>E. Nehme, D. Freedman, R. Gordon, B. Ferdman, L. E. Weiss, O. Alalouf, T. Naor, R. Orange, T. Michaeli , Y. Shechtman</t>
  </si>
  <si>
    <t>T. Nemoto, N. Futakami, M. Yagi, A. Kumabe, A. Takeda, E. Kunieda , N. Shigematsu</t>
  </si>
  <si>
    <t>T. Nemoto, N. Futakami, M. Yagi, E. Kunieda, T. Akiba, A. Takeda , N. Shigematsu</t>
  </si>
  <si>
    <t>F. Nensa, A. Demircioglu , C. Rischpler</t>
  </si>
  <si>
    <t>D. T. Nguyen, J. K. Kang, T. D. Pham, G. Batchuluun , K. R. Park</t>
  </si>
  <si>
    <t>M. T. Nguyen, T. V. Dang, M. K. Tran Thi , P. The Bao</t>
  </si>
  <si>
    <t>N. V. Nguyen, C. Rigaud, A. Revel , J. C. Burie</t>
  </si>
  <si>
    <t>X. V. Nguyen, M. A. Oztek, D. D. Nelakurti, C. L. Brunnquell, M. Mossa-Basha, D. R. Haynor , L. M. Prevedello</t>
  </si>
  <si>
    <t>J. C. Ni, K. Shpanskaya, M. Han, E. H. Lee, B. H. Do, W. T. Kuo, K. W. Yeom , D. S. Wang</t>
  </si>
  <si>
    <t>Q. Ni, Z. Y. Sun, L. Qi, W. Chen, Y. Yang, L. Wang, X. Zhang, L. Yang, Y. Fang, Z. Xing, Z. Zhou, Y. Yu, G. M. Lu , L. J. Zhang</t>
  </si>
  <si>
    <t>D. Nie, J. Lu, H. Zhang, E. Adeli, J. Wang, Z. Yu, L. Liu, Q. Wang, J. Wu , D. Shen</t>
  </si>
  <si>
    <t>M. T. Nieminen, V. Casula, M. T. Nevalainen , S. Saarakkala</t>
  </si>
  <si>
    <t>M. Niethammer, R. Kwitt , F. X. Vialard</t>
  </si>
  <si>
    <t>W. Ning, S. Lei, J. Yang, Y. Cao, P. Jiang, Q. Yang, J. Zhang, X. Wang, F. Chen, Z. Geng, L. Xiong, H. Zhou, Y. Guo, Y. Zeng, H. Shi, L. Wang, Y. Xue , Z. Wang</t>
  </si>
  <si>
    <t>K. Ninomiya , H. Arimura</t>
  </si>
  <si>
    <t>H. Nishi, N. Oishi, A. Ishii, I. Ono, T. Ogura, T. Sunohara, H. Chihara, R. Fukumitsu, M. Okawa, N. Yamana, H. Imamura, N. Sadamasa, T. Hatano, I. Nakahara, N. Sakai , S. Miyamoto</t>
  </si>
  <si>
    <t>N. Nishida, M. Yamakawa, T. Shiina , M. Kudo</t>
  </si>
  <si>
    <t>F. Nishikido, H. Tashima, E. Yoshida , T. Yamaya</t>
  </si>
  <si>
    <t>S. Nishimoto, Y. Tokuoka, T. G. Yamada, N. F. Hiroi , A. Funahashi</t>
  </si>
  <si>
    <t>S. Nitkunanantharajah, K. Haedicke, T. B. Moore, J. B. Manning, G. Dinsdale, M. Berks, C. Taylor, M. R. Dickinson, D. Jüstel, V. Ntziachristos, A. L. Herrick , A. K. Murray</t>
  </si>
  <si>
    <t>J. Nitta, M. Nakao, K. Imanishi , T. Matsuda</t>
  </si>
  <si>
    <t>T. A. Nketia, H. Sailem, G. Rohde, R. Machiraju , J. Rittscher</t>
  </si>
  <si>
    <t>N. Nogovitsyn, R. Souza, M. Muller, A. Srajer, S. Hassel, S. R. Arnott, A. D. Davis, G. B. Hall, J. K. Harris, M. Zamyadi, P. D. Metzak, Z. Ismail, S. L. Bray, C. Lebel, J. M. Addington, R. Milev, K. L. Harkness, B. N. Frey, R. W. Lam, S. C. Strother, B. I. Goldstein, S. Rotzinger, S. H. Kennedy , G. M. MacQueen</t>
  </si>
  <si>
    <t>W. A. Noortman, D. Vriens, W. Grootjans, Q. Tao, L. F. de Geus-Oei , F. H. Van Velden</t>
  </si>
  <si>
    <t>J. M. H. Noothout, B. D. De Vos, J. M. Wolterink, E. M. Postma, P. A. M. Smeets, R. A. P. Takx, T. Leiner, M. A. Viergever , I. Isgum</t>
  </si>
  <si>
    <t>A. A. Novikov, D. Major, M. Wimmer, D. Lenis , K. Buhler</t>
  </si>
  <si>
    <t>E. Nunez , S. H. Joshi</t>
  </si>
  <si>
    <t>Y. N. Nygate, M. Levi, S. K. Mirsky, N. A. Turko, M. Rubin, I. Barnea, G. Dardikman-Yoffe, M. Haifler, A. Shalev , N. T. Shaked</t>
  </si>
  <si>
    <t>A. Oberai, B. Varghese, S. Cen, T. Angelini, D. Hwang, I. Gill, M. Aron, C. Lau , V. Duddalwar</t>
  </si>
  <si>
    <t>M. Oda, H. R. Roth, T. Kitasaka, K. Misawa, M. Fujiwara , K. Mori</t>
  </si>
  <si>
    <t>K. Oh, W. Kim, G. Shen, Y. Piao, N. I. Kang, I. S. Oh , Y. C. Chung</t>
  </si>
  <si>
    <t>Y. Oh, S. Park , J. C. Ye</t>
  </si>
  <si>
    <t>M. Ohmori, R. Ishihara, K. Aoyama, K. Nakagawa, H. Iwagami, N. Matsuura, S. Shichijo, K. Yamamoto, K. Nagaike, M. Nakahara, T. Inoue, K. Aoi, H. Okada , T. Tada</t>
  </si>
  <si>
    <t>Y. Ohno, K. Aoyagi, A. Yaguchi, S. Seki, Y. Ueno, Y. Kishida, D. Takenaka , T. Yoshikawa</t>
  </si>
  <si>
    <t>E. K. Oikonomou, M. Siddique , C. Antoniades</t>
  </si>
  <si>
    <t>I. Oksuz, J. R. Clough, B. Ruijsink, E. P. Anton, A. Bustin, G. Cruz, C. Prieto, A. P. King , J. A. Schnabel</t>
  </si>
  <si>
    <t>O. Oktay, J. Nanavati, A. Schwaighofer, D. Carter, M. Bristow, R. Tanno, R. Jena, G. Barnett, D. Noble, Y. Rimmer, B. Glocker, K. O'Hara, C. Bishop, J. Alvarez-Valle , A. Nori</t>
  </si>
  <si>
    <t>I. Olaciregui-Ruiz, I. Torres-Xirau, J. Teuwen, U. A. van der Heide , A. Mans</t>
  </si>
  <si>
    <t>S. Olberg, H. Zhang, W. R. Kennedy, J. Chun, V. Rodriguez, I. Zoberi, M. A. Thomas, J. S. Kim, S. Mutic, O. L. Green , J. C. Park</t>
  </si>
  <si>
    <t>M. L. Olender, L. S. Athanasiou, L. K. Michalis, D. I. Fotiadis , E. R. Edelman</t>
  </si>
  <si>
    <t>A. O. Omigbodun, F. Noo, M. McNitt-Gray, W. Hsu , S. S. Hsieh</t>
  </si>
  <si>
    <t>J. O. Onieva, B. Marti-Fuster, M. P. de la Puente , R. S. José Estépar</t>
  </si>
  <si>
    <t>Y. Onishi, A. Teramoto, M. Tsujimoto, T. Tsukamoto, K. Saito, H. Toyama, K. Imaizumi , H. Fujita</t>
  </si>
  <si>
    <t>J. A. Onofrey, D. I. Casetti-Dinescu, A. D. Lauritzen, S. Sarkar, R. Venkataraman, R. E. Fan, G. A. Sonn, P. C. Sprenkle, L. H. Staib , X. Papademetris</t>
  </si>
  <si>
    <t>J. A. Onofrey, L. H. Staib, X. Huang, F. Zhang, X. Papademetris, D. Metaxas, D. Rueckert , J. S. Duncan</t>
  </si>
  <si>
    <t>D. D. Onthoni, T. W. Sheng, P. K. Sahoo, L. J. Wang , P. Gupta</t>
  </si>
  <si>
    <t>K. Orhan, I. S. Bayrakdar, M. Ezhov, A. Kravtsov , T. Özyürek</t>
  </si>
  <si>
    <t>A. Orth, D. Schaak , E. Schonbrun</t>
  </si>
  <si>
    <t>R. Ortiz-Ramón, M. D. C. Valdés Hernández, V. González-Castro, S. Makin, P. A. Armitage, B. S. Aribisala, M. E. Bastin, I. J. Deary, J. M. Wardlaw , D. Moratal</t>
  </si>
  <si>
    <t>D. Ouyang, B. He, A. Ghorbani, N. Yuan, J. Ebinger, C. P. Langlotz, P. A. Heidenreich, R. A. Harrington, D. H. Liang, E. A. Ashley , J. Y. Zou</t>
  </si>
  <si>
    <t>J. Ouyang, K. T. Chen, E. Gong, J. Pauly , G. Zaharchuk</t>
  </si>
  <si>
    <t>W. Ouyang, C. F. Winsnes, M. Hjelmare, A. J. Cesnik, L. Åkesson, H. Xu, D. P. Sullivan, S. Dai, J. Lan, P. Jinmo, S. M. Galib, C. Henkel, K. Hwang, D. Poplavskiy, B. Tunguz, R. D. Wolfinger, Y. Gu, C. Li, J. Xie, D. Buslov, S. Fironov, A. Kiselev, D. Panchenko, X. Cao, R. Wei, Y. Wu, X. Zhu, K. L. Tseng, Z. Gao, C. Ju, X. Yi, H. Zheng, C. Kappel , E. Lundberg</t>
  </si>
  <si>
    <t>X. Ouyang, J. Huo, L. Xia, F. Shan, J. Liu, Z. Mo, F. Yan, Z. Ding, Q. Yang, B. Song, F. Shi, H. Yuan, Y. Wei, X. Cao, Y. Gao, D. Wu, Q. Wang , D. Shen</t>
  </si>
  <si>
    <t>X. Ouyang, S. Karanam, Z. Wu, T. Chen, J. Huo, X. S. Zhou, Q. Wang , J. Z. Cheng</t>
  </si>
  <si>
    <t>M. Owais, M. Arsalan, T. Mahmood, J. K. Kang , K. R. Park</t>
  </si>
  <si>
    <t>I. Ozsahin, B. Sekeroglu, M. S. Musa, M. T. Mustapha , D. Uzun Ozsahin</t>
  </si>
  <si>
    <t>T. Ozturk, M. Talo, E. A. Yildirim, U. B. Baloglu, O. Yildirim , U. Rajendra Acharya</t>
  </si>
  <si>
    <t>F. Özyurt, E. Sert , D. Avcı</t>
  </si>
  <si>
    <t>B. S. P, F. Faruqi, S. H. K , R. Kudva</t>
  </si>
  <si>
    <t>I. Pacal, D. Karaboga, A. Basturk, B. Akay , U. Nalbantoglu</t>
  </si>
  <si>
    <t>A. M. Pagnozzi, J. Fripp , S. E. Rose</t>
  </si>
  <si>
    <t>D. Pan, L. Jia, A. Zeng , X. Song</t>
  </si>
  <si>
    <t>I. Pan, S. Agarwal , D. Merck</t>
  </si>
  <si>
    <t>P. Pan, H. Chen, Y. Li, N. Cai, L. Cheng , S. Wang</t>
  </si>
  <si>
    <t>T. Pan, A. Hasegawa, D. Luo, C. C. Wu , R. Vikram</t>
  </si>
  <si>
    <t>Y. Pan, Q. Chen, T. Chen, H. Wang, X. Zhu, Z. Fang , Y. Lu</t>
  </si>
  <si>
    <t>Y. Pan, D. Shi, H. Wang, T. Chen, D. Cui, X. Cheng , Y. Lu</t>
  </si>
  <si>
    <t>A. S. Panayides, A. Amini, N. D. Filipovic, A. Sharma, S. A. Tsaftaris, A. Young, D. Foran, N. Do, S. Golemati, T. Kurc, K. Huang, K. S. Nikita, B. P. Veasey, M. Zervakis, J. H. Saltz , C. S. Pattichis</t>
  </si>
  <si>
    <t>L. Pang, H. Liu, Y. Chen , J. Miao</t>
  </si>
  <si>
    <t>S. Pang, Z. Lu, J. Jiang, L. Zhao, L. Lin, X. Li, T. Lian, M. Huang, W. Yang , Q. Feng</t>
  </si>
  <si>
    <t>S. Pang, Z. Su, S. Leung, I. B. Nachum, B. Chen, Q. Feng , S. Li</t>
  </si>
  <si>
    <t>H. Panwar, P. K. Gupta, M. K. Siddiqui, R. Morales-Menendez, P. Bhardwaj , V. Singh</t>
  </si>
  <si>
    <t>V. S. Parekh, K. J. Macura, S. C. Harvey, I. R. Kamel, R. Ei-Khouli, D. A. Bluemke , M. A. Jacobs</t>
  </si>
  <si>
    <t>H. J. Park, Y. Shin, J. Park, H. Kim, I. S. Lee, D. W. Seo, J. Huh, T. Y. Lee, T. Park, J. Lee , K. W. Kim</t>
  </si>
  <si>
    <t>J. Park, S. Bae, S. Seo, S. Park, J. I. Bang, J. H. Han, W. W. Lee , J. S. Lee</t>
  </si>
  <si>
    <t>K. Park, J. Kim , J. Lee</t>
  </si>
  <si>
    <t>S. Park, L. C. Chu, E. K. Fishman, A. L. Yuille, B. Vogelstein, K. W. Kinzler, K. M. Horton, R. H. Hruban, E. S. Zinreich, D. F. Fouladi, S. Shayesteh, J. Graves , S. Kawamoto</t>
  </si>
  <si>
    <t>S. Park, S. M. Lee, K. H. Do, J. G. Lee, W. Bae, H. Park, K. H. Jung , J. B. Seo</t>
  </si>
  <si>
    <t>S. Park, S. M. Lee, K. H. Lee, K. H. Jung, W. Bae, J. Choe , J. B. Seo</t>
  </si>
  <si>
    <t>V. Y. Park, K. Han, Y. K. Seong, M. H. Park, E. K. Kim, H. J. Moon, J. H. Yoon , J. Y. Kwak</t>
  </si>
  <si>
    <t>C. Parmar, J. D. Barry, A. Hosny, J. Quackenbush , H. Aerts</t>
  </si>
  <si>
    <t>P. Parmar, A. R. Habib, D. Mendis, A. Daniel, M. Duvnjak, J. Ho, M. Smith, D. Roshan, E. Wong , N. Singh</t>
  </si>
  <si>
    <t>F. Pasa, V. Golkov, F. Pfeiffer, D. Cremers , D. Pfeiffer</t>
  </si>
  <si>
    <t>V. Patel, D. Armstrong, M. Ganguli, S. Roopra, N. Kantipudi, S. Albashir , M. V. Kamath</t>
  </si>
  <si>
    <t>P. Pathak, A. S. Jalal , R. Rai</t>
  </si>
  <si>
    <t>A. Patra, Y. Cai, P. Chatelain, H. Sharma, L. Drukker, A. Papageorghiou , J. A. Noble</t>
  </si>
  <si>
    <t>I. Patrini, M. Ruperti, S. Moccia, L. S. Mattos, E. Frontoni , E. De Momi</t>
  </si>
  <si>
    <t>F. Paugam, J. Lefeuvre, C. S. Perone, C. Gros, D. S. Reich, P. Sati , J. Cohen-Adad</t>
  </si>
  <si>
    <t>R. Paul, M. Schabath, Y. Balagurunathan, Y. Liu, Q. Li, R. Gillies, L. O. Hall , D. B. Goldgof</t>
  </si>
  <si>
    <t>E. Pead, R. Megaw, J. Cameron, A. Fleming, B. Dhillon, E. Trucco , T. MacGillivray</t>
  </si>
  <si>
    <t>V. Pedoia, J. Lee, B. Norman, T. M. Link , S. Majumdar</t>
  </si>
  <si>
    <t>V. Pedoia, B. Norman, S. N. Mehany, M. D. Bucknor, T. M. Link , S. Majumdar</t>
  </si>
  <si>
    <t>J. C. Peeken, M. Molina-Romero, C. Diehl, B. H. Menze, C. Straube, B. Meyer, C. Zimmer, B. Wiestler , S. E. Combs</t>
  </si>
  <si>
    <t>M. Pekala, N. Joshi, T. Y. A. Liu, N. M. Bressler, D. C. DeBuc , P. Burlina</t>
  </si>
  <si>
    <t>O. Pelka, C. M. Friedrich, F. Nensa, C. Mönninghoff, L. Bloch, K. H. Jöckel, S. Schramm, S. Sanchez Hoffmann, A. Winkler, C. Weimar , M. Jokisch</t>
  </si>
  <si>
    <t>O. Pelka, F. Nensa , C. M. Friedrich</t>
  </si>
  <si>
    <t>H. Peng, D. Dong, M. J. Fang, L. Li, L. L. Tang, L. Chen, W. F. Li, Y. P. Mao, W. Fan, L. Z. Liu, L. Tian, A. H. Lin, Y. Sun, J. Tian , J. Ma</t>
  </si>
  <si>
    <t>H. K. Peng, H. C. Lee, J. Y. Pan , R. Marculescu</t>
  </si>
  <si>
    <t>J. Peng, S. Kang, Z. Ning, H. Deng, J. Shen, Y. Xu, J. Zhang, W. Zhao, X. Li, W. Gong, J. Huang , L. Liu</t>
  </si>
  <si>
    <t>L. Peng, L. Lin, H. Hu, H. Li, Q. Chen, X. Ling, D. Wang, X. Han, Y. Iwamoto , Y. W. Chen</t>
  </si>
  <si>
    <t>L. Q. Peng, L. Wan, M. W. Wang, Z. Li, P. Wang, T. A. Liu, Y. H. Wang , H. Zhao</t>
  </si>
  <si>
    <t>Y. Peng, L. Bi, Y. Guo, D. Feng, M. Fulham , J. Kim</t>
  </si>
  <si>
    <t>R. M. Pereira, D. Bertolini, L. O. Teixeira, C. N. Silla, Jr. , Y. M. G. Costa</t>
  </si>
  <si>
    <t>S. Pereira, A. Pinto, J. Amorim, A. Ribeiro, V. Alves , C. A. Silva</t>
  </si>
  <si>
    <t>F. Pesapane, P. Tantrige, F. Patella, P. Biondetti, L. Nicosia, A. Ianniello, U. G. Rossi, G. Carrafiello , A. M. Ierardi</t>
  </si>
  <si>
    <t>M. Pesteie, P. Abolmaesumi , R. N. Rohling</t>
  </si>
  <si>
    <t>H. T. H. Phan, A. Kumar, D. Feng, M. Fulham , J. Kim</t>
  </si>
  <si>
    <t>M. Phillips, H. Marsden, W. Jaffe, R. N. Matin, G. N. Wali, J. Greenhalgh, E. McGrath, R. James, E. Ladoyanni, A. Bewley, G. Argenziano , I. Palamaras</t>
  </si>
  <si>
    <t>G. Piantadosi, M. Sansone, R. Fusco , C. Sansone</t>
  </si>
  <si>
    <t>W. H. L. Pinaya, A. Mechelli , J. R. Sato</t>
  </si>
  <si>
    <t>C. C. Y. Poon, Y. Jiang, R. Zhang, W. W. Y. Lo, M. S. H. Cheung, R. Yu, Y. Zheng, J. C. T. Wong, Q. Liu, S. H. Wong, T. W. C. Mak , J. Y. W. Lau</t>
  </si>
  <si>
    <t>P. Porwal, S. Pachade, M. Kokare, G. Deshmukh, J. Son, W. Bae, L. Liu, J. Wang, X. Liu, L. Gao, T. Wu, J. Xiao, F. Wang, B. Yin, Y. Wang, G. Danala, L. He, Y. H. Choi, Y. C. Lee, S. H. Jung, Z. Li, X. Sui, J. Wu, X. Li, T. Zhou, J. Toth, A. Baran, A. Kori, S. S. Chennamsetty, M. Safwan, V. Alex, X. Lyu, L. Cheng, Q. Chu, P. Li, X. Ji, S. Zhang, Y. Shen, L. Dai, O. Saha, R. Sathish, T. Melo, T. Araújo, B. Harangi, B. Sheng, R. Fang, D. Sheet, A. Hajdu, Y. Zheng, A. M. Mendonça, S. Zhang, A. Campilho, B. Zheng, D. Shen, L. Giancardo, G. Quellec , F. Mériaudeau</t>
  </si>
  <si>
    <t>M. Pouly, T. Koller, P. Gottfrois , S. Lionetti</t>
  </si>
  <si>
    <t>P. Prahs, D. Märker, C. Mayer , H. Helbig</t>
  </si>
  <si>
    <t>A. Punjabi, A. Martersteck, Y. Wang, T. B. Parrish , A. K. Katsaggelos</t>
  </si>
  <si>
    <t>P. Puri, N. Comfere, L. A. Drage, H. Shamim, S. A. Bezalel, M. R. Pittelkow, M. D. P. Davis, M. Wang, A. R. Mangold, M. M. Tollefson, J. S. Lehman, A. Meves, J. A. Yiannias, C. C. Otley, R. E. Carter, O. Sokumbi, M. R. Hall, A. G. Bridges , D. H. Murphree</t>
  </si>
  <si>
    <t>T. Qaiser , N. M. Rajpoot</t>
  </si>
  <si>
    <t>L. L. Qi, B. T. Wu, W. Tang, L. N. Zhou, Y. Huang, S. J. Zhao, L. Liu, M. Li, L. Zhang, S. C. Feng, D. H. Hou, Z. Zhou, X. L. Li, Y. Z. Wang, N. Wu , J. W. Wang</t>
  </si>
  <si>
    <t>M. Qi, Y. Li, A. Wu, Q. Jia, B. Li, W. Sun, Z. Dai, X. Lu, L. Zhou, X. Deng , T. Song</t>
  </si>
  <si>
    <t>Q. Qi, Y. Li, J. Wang, H. Zheng, Y. Huang, X. Ding , G. K. Rohde</t>
  </si>
  <si>
    <t>P. Qian, Z. Zhao, H. Liu, Y. Wang, Y. Peng, S. Hu, J. Zhang, Y. Deng , Z. Zeng</t>
  </si>
  <si>
    <t>X. Qian, H. Fu, W. Shi, T. Chen, Y. Fu, F. Shan , X. Xue</t>
  </si>
  <si>
    <t>C. Qin, J. Schlemper, J. Caballero, A. N. Price, J. V. Hajnal , D. Rueckert</t>
  </si>
  <si>
    <t>Z. Qin, Z. Liu, P. Zhu , Y. Xue</t>
  </si>
  <si>
    <t>J. Qiu , Y. Sun</t>
  </si>
  <si>
    <t>S. Qiu, P. S. Joshi, M. I. Miller, C. Xue, X. Zhou, C. Karjadi, G. H. Chang, A. S. Joshi, B. Dwyer, S. Zhu, M. Kaku, Y. Zhou, Y. J. Alderazi, A. Swaminathan, S. Kedar, M. H. Saint-Hilaire, S. H. Auerbach, J. Yuan, E. A. Sartor, R. Au , V. B. Kolachalama</t>
  </si>
  <si>
    <t>W. Qiu, D. Li, X. Jin, F. Liu , B. Sun</t>
  </si>
  <si>
    <t>J. Qu, N. Hiruta, K. Terai, H. Nosato, M. Murakawa , H. Sakanashi</t>
  </si>
  <si>
    <t>J. L. Quon, W. Bala, L. C. Chen, J. Wright, L. H. Kim, M. Han, K. Shpanskaya, E. H. Lee, E. Tong, M. Iv, J. Seekins, M. P. Lungren, K. R. M. Braun, T. Y. Poussaint, S. Laughlin, M. D. Taylor, R. M. Lober, H. Vogel, P. G. Fisher, G. A. Grant, V. Ramaswamy, N. A. Vitanza, C. Y. Ho, M. S. B. Edwards, S. H. Cheshier , K. W. Yeom</t>
  </si>
  <si>
    <t>M. N. I. Qureshi, J. Oh , B. Lee</t>
  </si>
  <si>
    <t>S. A. Qureshi , A. U. Rehman</t>
  </si>
  <si>
    <t>R. M. Rad, P. Saeedi, J. Au , J. Havelock</t>
  </si>
  <si>
    <t>J. Raffort, C. Adam, M. Carrier, A. Ballaith, R. Coscas, E. Jean-Baptiste, R. Hassen-Khodja, N. Chakfé , F. Lareyre</t>
  </si>
  <si>
    <t>M. M. Rahaman, C. Li, Y. Yao, F. Kulwa, M. A. Rahman, Q. Wang, S. Qi, F. Kong, X. Zhu , X. Zhao</t>
  </si>
  <si>
    <t>A. Rahman, H. Zunair, T. R. Reme, M. S. Rahman , M. R. C. Mahdy</t>
  </si>
  <si>
    <t>R. Rahmat, K. Saednia, M. R. Haji Hosseini Khani, M. Rahmati, R. Jena , S. J. Price</t>
  </si>
  <si>
    <t>J. P. Rajan, S. E. Rajan, R. J. Martis , B. K. Panigrahi</t>
  </si>
  <si>
    <t>S. Rajaraman, I. Kim , S. K. Antani</t>
  </si>
  <si>
    <t>S. Rajaraman, S. Sornapudi, P. O. Alderson, L. R. Folio , S. K. Antani</t>
  </si>
  <si>
    <t>S. Rajaraman, S. Sornapudi, M. Kohli , S. Antani</t>
  </si>
  <si>
    <t>U. Rajendra Acharya, K. M. Meiburger, J. E. Wei Koh, J. Vicnesh, E. J. Ciaccio, O. Shu Lih, S. K. Tan, R. Aman, F. Molinari , K. H. Ng</t>
  </si>
  <si>
    <t>P. Rajpurkar, A. Park, J. Irvin, C. Chute, M. Bereket, D. Mastrodicasa, C. P. Langlotz, M. P. Lungren, A. Y. Ng , B. N. Patel</t>
  </si>
  <si>
    <t>A. G. Rakowski, P. Veličković, E. Dall'Ara , P. Liò</t>
  </si>
  <si>
    <t>M. Ramamurthy, I. Krishnamurthi, S. Vimal , Y. H. Robinson</t>
  </si>
  <si>
    <t>A. Rampun, K. López-Linares, P. J. Morrow, B. W. Scotney, H. Wang, I. G. Ocaña, G. Maclair, R. Zwiggelaar, M. A. González Ballester , I. Macía</t>
  </si>
  <si>
    <t>F. Ramzan, M. U. G. Khan, A. Rehmat, S. Iqbal, T. Saba, A. Rehman , Z. Mehmood</t>
  </si>
  <si>
    <t>A. R. Ran, C. Y. Cheung, X. Wang, H. Chen, L. Y. Luo, P. P. Chan, M. O. M. Wong, R. T. Chang, S. S. Mannil, A. L. Young, H. W. Yung, C. P. Pang, P. A. Heng , C. C. Tham</t>
  </si>
  <si>
    <t>A. R. Ran, C. C. Tham, P. P. Chan, C. Y. Cheng, Y. C. Tham, T. H. Rim , C. Y. Cheung</t>
  </si>
  <si>
    <t>E. A. Rashed, Y. Diao , A. Hirata</t>
  </si>
  <si>
    <t>E. A. Rashed, J. Gomez-Tames , A. Hirata</t>
  </si>
  <si>
    <t>H. Rashid, M. A. Tanveer , H. Aqeel Khan</t>
  </si>
  <si>
    <t>P. Rashidi , A. Bihorac</t>
  </si>
  <si>
    <t>P. Rashidi, D. A. Edwards , P. J. Tighe</t>
  </si>
  <si>
    <t>P. Rasouli, A. Dooghaie Moghadam, P. Eslami, M. Aghajanpoor Pasha, H. Asadzadeh Aghdaei, A. Mehrvar, A. Nezami-Asl, S. Iravani, A. Sadeghi , M. R. Zali</t>
  </si>
  <si>
    <t>P. Rasti, C. Wolf, H. Dorez, R. Sablong, D. Moussata, S. Samiei , D. Rousseau</t>
  </si>
  <si>
    <t>A. Rastogi , P. K. Yalavarthy</t>
  </si>
  <si>
    <t>V. Raudonis, A. Paulauskaite-Taraseviciene, K. Sutiene , D. Jonaitis</t>
  </si>
  <si>
    <t>A. P. Raulf, J. Butke, C. Küpper, F. Großerueschkamp, K. Gerwert , A. Mosig</t>
  </si>
  <si>
    <t>A. M. Rauschecker, J. D. Rudie, L. Xie, J. Wang, M. T. Duong, E. J. Botzolakis, A. M. Kovalovich, J. Egan, T. C. Cook, R. N. Bryan, I. M. Nasrallah, S. Mohan , J. C. Gee</t>
  </si>
  <si>
    <t>M. Ravanbakhsh, V. Tschernezki, F. Last, T. Klein, K. Batmanghelich, V. Tresp , M. Nabi</t>
  </si>
  <si>
    <t>S. Ravishankar, J. C. Ye , J. A. Fessler</t>
  </si>
  <si>
    <t>M. I. Razzak, M. Imran , G. Xu</t>
  </si>
  <si>
    <t>A. U. Rehman , S. A. Qureshi</t>
  </si>
  <si>
    <t>B. Reig, L. Heacock, K. J. Geras , L. Moy</t>
  </si>
  <si>
    <t>F. Reith, M. E. Koran, G. Davidzon , G. Zaharchuk</t>
  </si>
  <si>
    <t>J. Ren, X. Jing, J. Wang, X. Ren, Y. Xu, Q. Yang, L. Ma, Y. Sun, W. Xu, N. Yang, J. Zou, Y. Zheng, M. Chen, W. Gan, T. Xiang, J. An, R. Liu, C. Lv, K. Lin, X. Zheng, F. Lou, Y. Rao, H. Yang, K. Liu, G. Liu, T. Lu, X. Zheng , Y. Zhao</t>
  </si>
  <si>
    <t>X. Ren, T. Li, X. Yang, S. Wang, S. Ahmad, L. Xiang, S. R. Stone, L. Li, Y. Zhan, D. Shen , Q. Wang</t>
  </si>
  <si>
    <t>Y. Ren, M. Y. Tsai, L. Chen, J. Wang, S. Li, Y. Liu, X. Jia , C. Shen</t>
  </si>
  <si>
    <t>F. Renard, S. Guedria, N. Palma , N. Vuillerme</t>
  </si>
  <si>
    <t>L. M. Rere, M. I. Fanany , A. M. Arymurthy</t>
  </si>
  <si>
    <t>S. M. S. Reza, D. Bradley, N. Aiosa, M. Castro, J. H. Lee, B. Y. Lee, R. S. Bennett, L. E. Hensley, Y. Cong, R. Johnson, D. Hammoud, I. Feuerstein , J. Solomon</t>
  </si>
  <si>
    <t>M. Rezaei, J. J. Näppi, C. Lippert, C. Meinel , H. Yoshida</t>
  </si>
  <si>
    <t>M. Rezaei , M. Shahidi</t>
  </si>
  <si>
    <t>D. J. Rhee, C. E. Cardenas, H. Elhalawani, R. McCarroll, L. Zhang, J. Yang, A. S. Garden, C. B. Peterson, B. M. Beadle , L. E. Court</t>
  </si>
  <si>
    <t>D. Ribli, R. Zsuppán, P. Pollner, A. Horváth, Z. Bánsághi, I. Csabai, V. Bérczi , Z. Unger</t>
  </si>
  <si>
    <t>M. L. Richardson, E. R. Garwood, Y. Lee, M. D. Li, H. S. Lo, A. Nagaraju, X. V. Nguyen, L. Probyn, P. Rajiah, J. Sin, A. P. Wasnik , K. Xu</t>
  </si>
  <si>
    <t>B. Rim, N. J. Sung, S. Min , M. Hong</t>
  </si>
  <si>
    <t>T. H. Rim, G. Lee, Y. Kim, Y. C. Tham, C. J. Lee, S. J. Baik, Y. A. Kim, M. Yu, M. Deshmukh, B. K. Lee, S. Park, H. C. Kim, C. Sabayanagam, D. S. W. Ting, Y. X. Wang, J. B. Jonas, S. S. Kim, T. Y. Wong , C. Y. Cheng</t>
  </si>
  <si>
    <t>J. Riordon, C. McCallum , D. Sinton</t>
  </si>
  <si>
    <t>E. Rios Velazquez, C. Parmar, Y. Liu, T. P. Coroller, G. Cruz, O. Stringfield, Z. Ye, M. Makrigiorgos, F. Fennessy, R. H. Mak, R. Gillies, J. Quackenbush , H. Aerts</t>
  </si>
  <si>
    <t>D. Robben, A. M. M. Boers, H. A. Marquering, L. Langezaal, Y. Roos, R. J. van Oostenbrugge, W. H. van Zwam, D. W. J. Dippel, C. Majoie, A. van der Lugt, R. Lemmens , P. Suetens</t>
  </si>
  <si>
    <t>J. Rocha, A. Cunha , A. M. Mendonça</t>
  </si>
  <si>
    <t>P. Rodrigues, M. Antunes, C. Raposo, P. Marques, F. Fonseca , J. P. Barreto</t>
  </si>
  <si>
    <t>M. A. Rogers , E. Aikawa</t>
  </si>
  <si>
    <t>M. Romero, Y. Interian, T. Solberg , G. Valdes</t>
  </si>
  <si>
    <t>C. Roncato, L. Perez, A. Brochet-Guégan, C. Allix-Béguec, A. Raimbeau, G. Gautier, C. Agard, G. Ploton, S. Moisselin, F. Lorcerie, G. Denis, B. Gombert, E. Gervais , O. Espitia</t>
  </si>
  <si>
    <t>U. Roostalu, C. B. G. Salinas, D. D. Thorbek, J. L. Skytte, K. Fabricius, P. Barkholt, L. M. John, V. I. Jurtz, L. B. Knudsen, J. Jelsing, N. Vrang, H. H. Hansen , J. Hecksher-Sørensen</t>
  </si>
  <si>
    <t>B. Rosa, V. Bordoux , F. Nageotte</t>
  </si>
  <si>
    <t>R. Rosas-Romero, E. Guevara, K. Peng, D. K. Nguyen, F. Lesage, P. Pouliot , W. E. Lima-Saad</t>
  </si>
  <si>
    <t>A. Rossi, M. Hosseinzadeh, M. Bianchini, F. Scarselli , H. Huisman</t>
  </si>
  <si>
    <t>M. Roy, F. Wang, H. Vo, D. Teng, G. Teodoro, A. B. Farris, E. Castillo-Leon, M. B. Vos , J. Kong</t>
  </si>
  <si>
    <t>R. Roy, S. Mazumdar , A. S. Chowdhury</t>
  </si>
  <si>
    <t>S. Roy, W. Menapace, S. Oei, B. Luijten, E. Fini, C. Saltori, I. Huijben, N. Chennakeshava, F. Mento, A. Sentelli, E. Peschiera, R. Trevisan, G. Maschietto, E. Torri, R. Inchingolo, A. Smargiassi, G. Soldati, P. Rota, A. Passerini, R. J. G. van Sloun, E. Ricci , L. Demi</t>
  </si>
  <si>
    <t>R. Royer-Rivard, F. Girard, N. Dahdah , F. Cheriet</t>
  </si>
  <si>
    <t>X. Ruan , R. F. Murphy</t>
  </si>
  <si>
    <t>J. K. Ruffle, A. D. Farmer , Q. Aziz</t>
  </si>
  <si>
    <t>B. Ruijsink, E. Puyol-Antón, I. Oksuz, M. Sinclair, W. Bai, J. A. Schnabel, R. Razavi , A. P. King</t>
  </si>
  <si>
    <t>H. Ryou, M. Yaqub, A. Cavallaro, A. T. Papageorghiou , J. Alison Noble</t>
  </si>
  <si>
    <t>K. Ryu, Y. Nam, S. M. Gho, J. Jang, H. J. Lee, J. Cha, H. J. Baek, J. Park , D. H. Kim</t>
  </si>
  <si>
    <t>L. Saba, M. Biswas, V. Kuppili, E. Cuadrado Godia, H. S. Suri, D. R. Edla, T. Omerzu, J. R. Laird, N. N. Khanna, S. Mavrogeni, A. Protogerou, P. P. Sfikakis, V. Viswanathan, G. D. Kitas, A. Nicolaides, A. Gupta , J. S. Suri</t>
  </si>
  <si>
    <t>L. Saba, A. Jamthikar, D. Gupta, N. N. Khanna, K. Viskovic, H. S. Suri, A. Gupta, S. Mavrogeni, M. Turk, J. R. Laird, G. Pareek, M. Miner, P. P. Sfikakis, A. Protogerou, G. D. Kitas, V. Viswanathan, A. Nicolaides, D. L. Bhatt , J. S. Suri</t>
  </si>
  <si>
    <t>T. Saba, M. A. Khan, A. Rehman , S. L. Marie-Sainte</t>
  </si>
  <si>
    <t>T. Saba, A. Sameh, F. Khan, S. A. Shad , M. Sharif</t>
  </si>
  <si>
    <t>C. Sabanayagam, D. Xu, D. S. W. Ting, S. Nusinovici, R. Banu, H. Hamzah, C. Lim, Y. C. Tham, C. Y. Cheung, E. S. Tai, Y. X. Wang, J. B. Jonas, C. Y. Cheng, M. L. Lee, W. Hsu , T. Y. Wong</t>
  </si>
  <si>
    <t>S. Sabir, S. Cho, Y. Kim, R. Pua, D. Heo, K. H. Kim, Y. Choi , S. Cho</t>
  </si>
  <si>
    <t>N. Sachdeva, M. Klopukh, R. S. Clair , W. E. Hahn</t>
  </si>
  <si>
    <t>A. Safarpoor, S. Kalra , H. R. Tizhoosh</t>
  </si>
  <si>
    <t>S. Saha, M. Nassisi, M. Wang, S. Lindenberg, Y. Kanagasingam, S. Sadda , Z. J. Hu</t>
  </si>
  <si>
    <t>B. Sahiner, A. Pezeshk, L. M. Hadjiiski, X. Wang, K. Drukker, K. H. Cha, R. M. Summers , M. L. Giger</t>
  </si>
  <si>
    <t>A. T. Sahlol, D. Yousri, A. A. Ewees, M. A. A. Al-Qaness, R. Damasevicius , M. A. Elaziz</t>
  </si>
  <si>
    <t>J. Sahlsten, J. Jaskari, J. Kivinen, L. Turunen, E. Jaanio, K. Hietala , K. Kaski</t>
  </si>
  <si>
    <t>H. Sajedi , N. Pardakhti</t>
  </si>
  <si>
    <t>A. Sakagianni, G. Feretzakis, D. Kalles, C. Koufopoulou , V. Kaldis</t>
  </si>
  <si>
    <t>M. Salem, S. Valverde, M. Cabezas, D. Pareto, A. Oliver, J. Salvi, À. Rovira , X. Lladó</t>
  </si>
  <si>
    <t>M. Salvi, U. R. Acharya, F. Molinari , K. M. Meiburger</t>
  </si>
  <si>
    <t>R. K. Samala, H. P. Chan, L. Hadjiiski , M. A. Helvie</t>
  </si>
  <si>
    <t>R. K. Samala, H. P. Chan, L. M. Hadjiiski, M. A. Helvie , C. D. Richter</t>
  </si>
  <si>
    <t>I. Sánchez Fernández, E. Yang, P. Calvachi, M. Amengual-Gual, J. Y. Wu, D. Krueger, H. Northrup, M. E. Bebin, M. Sahin, K. H. Yu , J. M. Peters</t>
  </si>
  <si>
    <t>L. F. Sánchez-Peralta, A. Picón, F. M. Sánchez-Margallo , J. B. Pagador</t>
  </si>
  <si>
    <t>A. B. Sanghvi, E. Z. Allen, K. M. Callenberg , L. Pantanowitz</t>
  </si>
  <si>
    <t>A. A. D. Santos, J. Marcato Junior, M. S. Araújo, D. R. Di Martini, E. C. Tetila, H. L. Siqueira, C. Aoki, A. Eltner, E. T. Matsubara, H. Pistori, R. Q. Feitosa, V. Liesenberg , W. N. Gonçalves</t>
  </si>
  <si>
    <t>P. Sardar, J. D. Abbott, A. Kundu, H. D. Aronow, J. F. Granada , J. Giri</t>
  </si>
  <si>
    <t>M. H. Sarhan, M. A. Nasseri, D. Zapp, M. Maier, C. P. Lohmann, N. Navab , A. Eslami</t>
  </si>
  <si>
    <t>C. T. Sari , C. Gunduz-Demir</t>
  </si>
  <si>
    <t>K. Sato, Y. Nagashima, T. Mano, A. Iwata , T. Toda</t>
  </si>
  <si>
    <t>P. Savadjiev, J. Chong, A. Dohan, V. Agnus, R. Forghani, C. Reinhold , B. Gallix</t>
  </si>
  <si>
    <t>P. Savadjiev, J. Chong, A. Dohan, M. Vakalopoulou, C. Reinhold, N. Paragios , B. Gallix</t>
  </si>
  <si>
    <t>P. Savadjiev, C. Reinhold, D. Martin , R. Forghani</t>
  </si>
  <si>
    <t>B. Savelli, A. Bria, M. Molinara, C. Marrocco , F. Tortorella</t>
  </si>
  <si>
    <t>Y. Sawai, M. Miyata, A. Uji, S. Ooto, H. Tamura, N. Ueda-Arakawa, Y. Muraoka, M. Miyake, A. Takahashi, Y. Kawashima, S. Kadomoto, Y. Oritani, K. Kawai, K. Yamashiro , A. Tsujikawa</t>
  </si>
  <si>
    <t>R. Sawyer Lee, J. A. Dunnmon, A. He, S. Tang, C. Ré , D. L. Rubin</t>
  </si>
  <si>
    <t>F. Scarpa, A. Colonna , A. Ruggeri</t>
  </si>
  <si>
    <t>N. J. Schaub, N. A. Hotaling, P. Manescu, S. Padi, Q. Wan, R. Sharma, A. George, J. Chalfoun, M. Simon, M. Ouladi, C. G. Simon, Jr., P. Bajcsy , K. Bharti</t>
  </si>
  <si>
    <t>P. Schelb, S. Kohl, J. P. Radtke, M. Wiesenfarth, P. Kickingereder, S. Bickelhaupt, T. A. Kuder, A. Stenzinger, M. Hohenfellner, H. P. Schlemmer, K. H. Maier-Hein , D. Bonekamp</t>
  </si>
  <si>
    <t>F. Schmaranzer, R. Helfenstein, G. Zeng, T. D. Lerch, E. N. Novais, J. D. Wylie, Y. J. Kim, K. A. Siebenrock, M. Tannast , G. Zheng</t>
  </si>
  <si>
    <t>U. Schmidt-Erfurth, H. Bogunovic, C. Grechenig, P. Bui, M. Fabianska, S. Waldstein , G. S. Reiter</t>
  </si>
  <si>
    <t>U. Schmidt-Erfurth, W. D. Vogl, L. M. Jampol , H. Bogunović</t>
  </si>
  <si>
    <t>O. Schoppe, C. Pan, J. Coronel, H. Mai, Z. Rong, M. I. Todorov, A. Müskes, F. Navarro, H. Li, A. Ertürk , B. H. Menze</t>
  </si>
  <si>
    <t>M. A. Schulz, B. T. T. Yeo, J. T. Vogelstein, J. Mourao-Miranada, J. N. Kather, K. Kording, B. Richards , D. Bzdok</t>
  </si>
  <si>
    <t>F. Schwendicke, K. Elhennawy, S. Paris, P. Friebertshäuser , J. Krois</t>
  </si>
  <si>
    <t>M. Schwendy, R. E. Unger , S. H. Parekh</t>
  </si>
  <si>
    <t>I. Sechopoulos , R. M. Mann</t>
  </si>
  <si>
    <t>A. Sedghi, A. Mehrtash, A. Jamzad, A. Amalou, W. M. Wells, 3rd, T. Kapur, J. T. Kwak, B. Turkbey, P. Choyke, P. Pinto, B. Wood, S. Xu, P. Abolmaesumi , P. Mousavi</t>
  </si>
  <si>
    <t>A. Sedik, A. M. Iliyasu, B. Abd El-Rahiem, M. E. Abdel Samea, A. Abdel-Raheem, M. Hammad, J. Peng, F. E. Abd El-Samie , A. A. Abd El-Latif</t>
  </si>
  <si>
    <t>K. Seetharam , J. K. Min</t>
  </si>
  <si>
    <t>B. Sekeroglu , I. Ozsahin</t>
  </si>
  <si>
    <t>D. Sen, R. Chakrabarti, S. Chatterjee, D. S. Grewal , K. Manrai</t>
  </si>
  <si>
    <t>J. T. Senders, A. V. Karhade, D. J. Cote, A. Mehrtash, N. Lamba, A. DiRisio, I. S. Muskens, W. B. Gormley, T. R. Smith, M. L. D. Broekman , O. Arnaout</t>
  </si>
  <si>
    <t>S. Sengupta, A. Singh, H. A. Leopold, T. Gulati , V. Lakshminarayanan</t>
  </si>
  <si>
    <t>H. Seo, M. Badiei Khuzani, V. Vasudevan, C. Huang, H. Ren, R. Xiao, X. Jia , L. Xing</t>
  </si>
  <si>
    <t>E. Sert, F. Özyurt , A. Doğantekin</t>
  </si>
  <si>
    <t>S. Serte , H. Demirel</t>
  </si>
  <si>
    <t>F. C. Setzer, K. J. Shi, Z. Zhang, H. Yan, H. Yoon, M. Mupparapu , J. Li</t>
  </si>
  <si>
    <t>S. Seung Yeon, L. Soochahn, Y. Il Dong, K. Sun Mi , L. Kyoung Mu</t>
  </si>
  <si>
    <t>A. Shah, M. D. Abámoff , X. Wu</t>
  </si>
  <si>
    <t>U. Shah, A. Abd-Alrazeq, T. Alam, M. Househ , Z. Shah</t>
  </si>
  <si>
    <t>H. Shahamat , M. Saniee Abadeh</t>
  </si>
  <si>
    <t>K. Shameer, K. W. Johnson, B. S. Glicksberg, J. T. Dudley , P. P. Sengupta</t>
  </si>
  <si>
    <t>S. M. Shankaranarayana, K. Ram, K. Mitra , M. Sivaprakasam</t>
  </si>
  <si>
    <t>M. Shao, S. Han, A. Carass, X. Li, A. M. Blitz, J. Shin, J. L. Prince , L. M. Ellingsen</t>
  </si>
  <si>
    <t>M. Shehata, F. Khalifa, A. Soliman, M. Ghazal, F. Taher, M. A. El-Ghar, A. C. Dwyer, G. Gimel'farb, R. S. Keynton , A. El-Baz</t>
  </si>
  <si>
    <t>C. Shen, D. Nguyen, Z. Zhou, S. B. Jiang, B. Dong , X. Jia</t>
  </si>
  <si>
    <t>C. Shen, M. Y. Tsai, L. Chen, S. Li, D. Nguyen, J. Wang, S. B. Jiang , X. Jia</t>
  </si>
  <si>
    <t>D. Shen, G. Wu , H. I. Suk</t>
  </si>
  <si>
    <t>J. Shen, C. J. P. Zhang, B. Jiang, J. Chen, J. Song, Z. Liu, Z. He, S. Y. Wong, P. H. Fang , W. K. Ming</t>
  </si>
  <si>
    <t>L. Shen, Q. Wang , J. Shi</t>
  </si>
  <si>
    <t>L. Shen, W. Zhao , L. Xing</t>
  </si>
  <si>
    <t>R. Shen, K. Zhou, K. Yan, K. Tian , J. Zhang</t>
  </si>
  <si>
    <t>W. C. Shen, S. W. Chen, K. C. Wu, T. C. Hsieh, J. A. Liang, Y. C. Hung, L. S. Yeh, W. C. Chang, W. C. Lin, K. Y. Yen , C. H. Kao</t>
  </si>
  <si>
    <t>Y. Shen, X. Li, X. Liang, H. Xu, C. Li, Y. Yu , B. Qiu</t>
  </si>
  <si>
    <t>Y. Shen, N. Wu, J. Phang, J. Park, G. Kim, L. Moy, K. Cho , K. J. Geras</t>
  </si>
  <si>
    <t>Y. Shen, N. Wu, J. Phang, J. Park, K. Liu, S. Tyagi, L. Heacock, S. G. Kim, L. Moy, K. Cho , K. J. Geras</t>
  </si>
  <si>
    <t>Z. Shen, X. Han, Z. Xu , M. Niethammer</t>
  </si>
  <si>
    <t>Y. Shenkman, B. Qutteineh, L. Joskowicz, A. Szeskin, A. Yusef, A. Mayer , I. Eshed</t>
  </si>
  <si>
    <t>S. A. Sheth, V. Lopez-Rivera, A. Barman, J. C. Grotta, A. J. Yoo, S. Lee, M. E. Inam, S. I. Savitz , L. Giancardo</t>
  </si>
  <si>
    <t>C. Shi, Y. Xue, C. Jiang, H. Tian , B. Liu</t>
  </si>
  <si>
    <t>F. Shi, N. Cai, Y. Gu, D. Hu, Y. Ma, Y. Chen , X. Chen</t>
  </si>
  <si>
    <t>G. Shi, J. Wang, Y. Qiang, X. Yang, J. Zhao, R. Hao, W. Yang, Q. Du , N. G. Kazihise</t>
  </si>
  <si>
    <t>Z. Shi, C. Miao, U. J. Schoepf, R. H. Savage, D. M. Dargis, C. Pan, X. Chai, X. L. Li, S. Xia, X. Zhang, Y. Gu, Y. Zhang, B. Hu, W. Xu, C. Zhou, S. Luo, H. Wang, L. Mao, K. Liang, L. Wen, L. Zhou, Y. Yu, G. M. Lu , L. J. Zhang</t>
  </si>
  <si>
    <t>E. Shim, J. Y. Kim, J. P. Yoon, S. Y. Ki, T. Lho, Y. Kim , S. W. Chung</t>
  </si>
  <si>
    <t>A. Shimizu, H. Wakabayashi, T. Kanamori, A. Saito, K. Nishikawa, H. Daisaki, S. Higashiyama , J. Kawabe</t>
  </si>
  <si>
    <t>S. J. Shin, S. C. You, H. Jeon, J. W. Jung, M. H. An, R. W. Park , J. Roh</t>
  </si>
  <si>
    <t>S. Y. Shin, S. Lee, I. D. Yun , K. M. Lee</t>
  </si>
  <si>
    <t>Y. J. Shin, W. Chang, J. C. Ye, E. Kang, D. Y. Oh, Y. J. Lee, J. H. Park , Y. H. Kim</t>
  </si>
  <si>
    <t>S. Shinde, S. Prasad, Y. Saboo, R. Kaushick, J. Saini, P. K. Pal , M. Ingalhalikar</t>
  </si>
  <si>
    <t>Y. Shinohara, N. Takahashi, Y. Lee, T. Ohmura , T. Kinoshita</t>
  </si>
  <si>
    <t>M. M. Shiraz Bhurwani, M. Waqas, A. R. Podgorsak, K. A. Williams, J. M. Davies, K. Snyder, E. Levy, A. Siddiqui , C. N. Ionita</t>
  </si>
  <si>
    <t>I. Shiri, P. Ghafarian, P. Geramifar, K. H. Leung, M. Ghelichoghli, M. Oveisi, A. Rahmim , M. R. Ay</t>
  </si>
  <si>
    <t>L. K. Shiyam Sundar, O. Muzik, I. Buvat, L. Bidaut , T. Beyer</t>
  </si>
  <si>
    <t>R. G. Short, J. Bralich, D. Bogaty , N. T. Befera</t>
  </si>
  <si>
    <t>K. Shozu, M. Komatsu, A. Sakai, R. Komatsu, A. Dozen, H. Machino, S. Yasutomi, T. Arakaki, K. Asada, S. Kaneko, R. Matsuoka, A. Nakashima, A. Sekizawa , R. Hamamoto</t>
  </si>
  <si>
    <t>S. Shukla , A. Arac</t>
  </si>
  <si>
    <t>D. Si, S. A. Moritz, J. Pfab, J. Hou, R. Cao, L. Wang, T. Wu , J. Cheng</t>
  </si>
  <si>
    <t>K. Sies, J. K. Winkler, C. Fink, F. Bardehle, F. Toberer, T. Buhl, A. Enk, A. Blum, A. Rosenberger , H. A. Haenssle</t>
  </si>
  <si>
    <t>F. Sigmund, S. Pettinger, M. Kube, F. Schneider, M. Schifferer, S. Schneider, M. V. Efremova, J. Pujol-Martí, M. Aichler, A. Walch, T. Misgeld, H. Dietz , G. G. Westmeyer</t>
  </si>
  <si>
    <t>R. Silva , A. M. C. Machado</t>
  </si>
  <si>
    <t>Y. Sim, M. J. Chung, E. Kotter, S. Yune, M. Kim, S. Do, K. Han, H. Kim, S. Yang, D. J. Lee , B. W. Choi</t>
  </si>
  <si>
    <t>D. Singh, V. Kumar, Vaishali , M. Kaur</t>
  </si>
  <si>
    <t>R. Singh, S. R. Digumarthy, V. V. Muse, A. R. Kambadakone, M. A. Blake, A. Tabari, Y. Hoi, N. Akino, E. Angel, R. Madan , M. K. Kalra</t>
  </si>
  <si>
    <t>R. Singh, R. Z. Nie, F. Homayounieh, B. Schmidt, T. Flohr , M. K. Kalra</t>
  </si>
  <si>
    <t>S. P. Singh, L. Wang, S. Gupta, H. Goli, P. Padmanabhan , B. Gulyás</t>
  </si>
  <si>
    <t>N. Singhal, S. Kudavelly , G. A. Ramaraju</t>
  </si>
  <si>
    <t>P. Sirpal, A. Kassab, P. Pouliot, D. K. Nguyen , F. Lesage</t>
  </si>
  <si>
    <t>M. S. Sirsat, E. Fermé , J. Câmara</t>
  </si>
  <si>
    <t>P. J. Slomka, D. Dey, A. Sitek, M. Motwani, D. S. Berman , G. Germano</t>
  </si>
  <si>
    <t>L. C. Smail, K. Dhindsa, L. H. Braga, S. Becker , R. R. Sonnadara</t>
  </si>
  <si>
    <t>J. T. Smith, R. Yao, N. Sinsuebphon, A. Rudkouskaya, N. Un, J. Mazurkiewicz, M. Barroso, P. Yan , X. Intes</t>
  </si>
  <si>
    <t>L. G. F. Smith, E. Milliron, M. L. Ho, H. H. Hu, J. Rusin, J. Leonard , E. A. Sribnick</t>
  </si>
  <si>
    <t>J. H. So, N. Madusanka, H. K. Choi, B. K. Choi , H. G. Park</t>
  </si>
  <si>
    <t>Z. Sobhaninia, S. Rafiei, A. Emami, N. Karimi, K. Najarian, S. Samavi , S. M. Reza Soroushmehr</t>
  </si>
  <si>
    <t>T. Sogawa, H. Tabuchi, D. Nagasato, H. Masumoto, Y. Ikuno, H. Ohsugi, N. Ishitobi , Y. Mitamura</t>
  </si>
  <si>
    <t>S. Soltanian-Zadeh, K. Sahingur, S. Blau, Y. Gong , S. Farsiu</t>
  </si>
  <si>
    <t>G. M. Somfai, H. Gerding , D. C. DeBuc</t>
  </si>
  <si>
    <t>J. Son, J. Y. Shin, H. D. Kim, K. H. Jung, K. H. Park , S. J. Park</t>
  </si>
  <si>
    <t>J. H. Son, S. S. Lee, Y. Lee, B. K. Kang, Y. S. Sung, S. Jo , E. Yu</t>
  </si>
  <si>
    <t>W. Sondermann, J. S. Utikal, A. H. Enk, D. Schadendorf, J. Klode, A. Hauschild, M. Weichenthal, L. E. French, C. Berking, B. Schilling, S. Haferkamp, S. Fröhling, C. von Kalle , T. J. Brinker</t>
  </si>
  <si>
    <t>E. M. Song, B. Park, C. A. Ha, S. W. Hwang, S. H. Park, D. H. Yang, B. D. Ye, S. J. Myung, S. K. Yang, N. Kim , J. S. Byeon</t>
  </si>
  <si>
    <t>J. Song, H. Wang, Y. Liu, W. Wu, G. Dai, Z. Wu, P. Zhu, W. Zhang, K. W. Yeom , K. Deng</t>
  </si>
  <si>
    <t>L. Song, J. Lin, Z. J. Wang , H. Wang</t>
  </si>
  <si>
    <t>P. Song, Y. C. Eldar, G. Mazor , M. R. D. Rodrigues</t>
  </si>
  <si>
    <t>T. H. Song, V. Sanchez, E. I. H , N. M. Rajpoot</t>
  </si>
  <si>
    <t>Z. Song, L. Xu, J. Wang, R. Rasti, A. Sastry, J. D. Li, W. Raynor, J. A. Izatt, C. A. Toth, L. Vajzovic, B. Deng , S. Farsiu</t>
  </si>
  <si>
    <t>S. Sonkusare, D. Ahmedt-Aristizabal, M. J. Aburn, V. T. Nguyen, T. Pang, S. Frydman, S. Denman, C. Fookes, M. Breakspear , C. C. Guo</t>
  </si>
  <si>
    <t>V. Sorin, Y. Barash, E. Konen , E. Klang</t>
  </si>
  <si>
    <t>F. S. Sorrentino, G. Jurman, K. De Nadai, C. Campa, C. Furlanello , F. Parmeggiani</t>
  </si>
  <si>
    <t>R. Souza, M. Bento, N. Nogovitsyn, K. J. Chung, W. Loos, R. M. Lebel , R. Frayne</t>
  </si>
  <si>
    <t>S. Spasov, L. Passamonti, A. Duggento, P. Liò , N. Toschi</t>
  </si>
  <si>
    <t>G. Spinks , M. F. Moens</t>
  </si>
  <si>
    <t>K. D. Spuhler, J. Ding, C. Liu, J. Sun, M. Serrano-Sosa, M. Moriarty , C. Huang</t>
  </si>
  <si>
    <t>K. D. Spuhler, J. Gardus, 3rd, Y. Gao, C. DeLorenzo, R. Parsey , C. Huang</t>
  </si>
  <si>
    <t>A. Sreekumari, D. Shanbhag, D. Yeo, T. Foo, J. Pilitsis, J. Polzin, U. Patil, A. Coblentz, A. Kapadia, J. Khinda, A. Boutet, J. Port , I. Hancu</t>
  </si>
  <si>
    <t>R. Srivastava, E. P. Ong , B. H. Lee</t>
  </si>
  <si>
    <t>S. Starke, S. Leger, A. Zwanenburg, K. Leger, F. Lohaus, A. Linge, A. Schreiber, G. Kalinauskaite, I. Tinhofer, N. Guberina, M. Guberina, P. Balermpas, J. von der Grün, U. Ganswindt, C. Belka, J. C. Peeken, S. E. Combs, S. Boeke, D. Zips, C. Richter, E. G. C. Troost, M. Krause, M. Baumann , S. Löck</t>
  </si>
  <si>
    <t>J. A. Steeden, M. Quail, A. Gotschy, K. H. Mortensen, A. Hauptmann, S. Arridge, R. Jones , V. Muthurangu</t>
  </si>
  <si>
    <t>J. N. Stember, H. Celik, E. Krupinski, P. D. Chang, S. Mutasa, B. J. Wood, A. Lignelli, G. Moonis, L. H. Schwartz, S. Jambawalikar , U. Bagci</t>
  </si>
  <si>
    <t>A. Steuwe, M. Weber, O. T. Bethge, C. Rademacher, M. Boschheidgen, L. M. Sawicki, G. Antoch , J. Aissa</t>
  </si>
  <si>
    <t>M. T. Stib, J. Vasquez, M. P. Dong, Y. H. Kim, S. S. Subzwari, H. J. Triedman, A. Wang, H. C. Wang, A. D. Yao, M. Jayaraman, J. L. Boxerman, C. Eickhoff, U. Cetintemel, G. L. Baird , R. A. McTaggart</t>
  </si>
  <si>
    <t>B. Stimpel, C. Syben, F. Schirrmacher, P. Hoelter, A. Dorfler , A. Maier</t>
  </si>
  <si>
    <t>S. Stolte , R. Fang</t>
  </si>
  <si>
    <t>C. Strack, R. Seifert , J. Kleesiek</t>
  </si>
  <si>
    <t>H. Strohm, S. Rothlübbers, K. Eickel , M. Günther</t>
  </si>
  <si>
    <t>Y. J. Suh, J. Jung , B. J. Cho</t>
  </si>
  <si>
    <t>S. J. Sujit, I. Coronado, A. Kamali, P. A. Narayana , R. E. Gabr</t>
  </si>
  <si>
    <t>D. P. Sullivan , E. Lundberg</t>
  </si>
  <si>
    <t>I. Sumida, T. Magome, H. Kitamori, I. J. Das, H. Yamaguchi, H. Kizaki, K. Aboshi, K. Yamashita, Y. Yamada, Y. Seo, F. Isohashi , K. Ogawa</t>
  </si>
  <si>
    <t>C. Sun, J. K. Udupa, Y. Tong, S. Sin, M. Wagshul, D. A. Torigian , R. Arens</t>
  </si>
  <si>
    <t>D. Sun, Y. Zhu, H. Xu, Y. He , H. Cen</t>
  </si>
  <si>
    <t>L. Sun, Z. Fan, X. Fu, Y. Huang, X. Ding , J. Paisley</t>
  </si>
  <si>
    <t>L. Sun, Z. Mo, F. Yan, L. Xia, F. Shan, Z. Ding, B. Song, W. Gao, W. Shao, F. Shi, H. Yuan, H. Jiang, D. Wu, Y. Wei, Y. Gao, H. Sui, D. Zhang , D. Shen</t>
  </si>
  <si>
    <t>L. Sun, D. Zhang, C. Lian, L. Wang, Z. Wu, W. Shao, W. Lin, D. Shen , G. Li</t>
  </si>
  <si>
    <t>L. Sun, L. Zhang , D. Q. Zhang</t>
  </si>
  <si>
    <t>Y. Sun, Y. Liu, G. Wang , H. Zhang</t>
  </si>
  <si>
    <t>J. S. Suri, A. Puvvula, M. Biswas, M. Majhail, L. Saba, G. Faa, I. M. Singh, R. Oberleitner, M. Turk, P. S. Chadha, A. M. Johri, J. M. Sanches, N. N. Khanna, K. Viskovic, S. Mavrogeni, J. R. Laird, G. Pareek, M. Miner, D. W. Sobel, A. Balestrieri, P. P. Sfikakis, G. Tsoulfas, A. Protogerou, D. P. Misra, V. Agarwal, G. D. Kitas, P. Ahluwalia, R. Kolluri, J. Teji, M. A. Maini, A. Agbakoba, S. K. Dhanjil, M. Sockalingam, A. Saxena, A. Nicolaides, A. Sharma, V. Rathore, J. N. A. Ajuluchukwu, M. Fatemi, A. Alizad, V. Viswanathan, P. R. Krishnan , S. Naidu</t>
  </si>
  <si>
    <t>Y. Suzuki, K. Kobayashi, Y. Wakisaka, D. Deng, S. Tanaka, C. J. Huang, C. Lei, C. W. Sun, H. Liu, Y. Fujiwaki, S. Lee, A. Isozaki, Y. Kasai, T. Hayakawa, S. Sakuma, F. Arai, K. Koizumi, H. Tezuka, M. Inaba, K. Hiraki, T. Ito, M. Hase, S. Matsusaka, K. Shiba, K. Suga, M. Nishikawa, M. Jona, Y. Yatomi, Y. Yalikun, Y. Tanaka, T. Sugimura, N. Nitta, K. Goda , Y. Ozeki</t>
  </si>
  <si>
    <t>M. Svanera, M. Savardi, S. Benini, A. Signoroni, G. Raz, T. Hendler, L. Muckli, R. Goebel , G. Valente</t>
  </si>
  <si>
    <t>C. Syben, M. Michen, B. Stimpel, S. Seitz, S. Ploner , A. K. Maier</t>
  </si>
  <si>
    <t>T. Syed, A. Doshi, S. Guleria, S. Syed , T. Shah</t>
  </si>
  <si>
    <t>A. B. Szczotka, D. I. Shakir, D. Ravì, M. J. Clarkson, S. P. Pereira , T. Vercauteren</t>
  </si>
  <si>
    <t>Y. Tachibana, T. Obata, J. Kershaw, H. Sakaki, T. Urushihata, T. Omatsu, R. Kishimoto , T. Higashi</t>
  </si>
  <si>
    <t>A. Tack, A. Mukhopadhyay , S. Zachow</t>
  </si>
  <si>
    <t>A. S. Tagliafico, R. P. González, F. Rossi, B. Bignotti , C. Martinoli</t>
  </si>
  <si>
    <t>F. Taheri Dezaki, Z. Liao, C. Luong, H. Girgis, N. Dhungel, A. H. Abdi, D. Behnami, K. Gin, R. Rohling, P. Abolmaesumi , T. Tsang</t>
  </si>
  <si>
    <t>N. Tajbakhsh, L. Jeyaseelan, Q. Li, J. N. Chiang, Z. Wu , X. Ding</t>
  </si>
  <si>
    <t>W. Takahashi, S. Oshikawa , S. Mori</t>
  </si>
  <si>
    <t>T. Takaki, S. Murakami, R. Watanabe, T. Aoki , T. Fujibuchi</t>
  </si>
  <si>
    <t>C. M. Tam, D. Zhang, B. Chen, T. Peters , S. Li</t>
  </si>
  <si>
    <t>B. A. Tama, D. H. Kim, G. Kim, S. W. Kim , S. Lee</t>
  </si>
  <si>
    <t>D. Tamada, M. L. Kromrey, S. Ichikawa, H. Onishi , U. Motosugi</t>
  </si>
  <si>
    <t>J. Tan, Y. Huo, Z. Liang , L. Li</t>
  </si>
  <si>
    <t>J. Tan, L. Jing, Y. Huo, L. Li, O. Akin , Y. Tian</t>
  </si>
  <si>
    <t>N. Y. Q. Tan, D. S. Friedman, I. Stalmans, I. I. K. Ahmed , C. C. A. Sng</t>
  </si>
  <si>
    <t>X. Tan, Y. Yu, K. Duan, J. Zhang, P. Sun , H. Sun</t>
  </si>
  <si>
    <t>H. Tanaka, S. W. Chiu, T. Watanabe, S. Kaoku , T. Yamaguchi</t>
  </si>
  <si>
    <t>T. Tanaka, Y. Huang, Y. Marukawa, Y. Tsuboi, Y. Masaoka, K. Kojima, T. Iguchi, T. Hiraki, H. Gobara, H. Yanai, Y. Nasu , S. Kanazawa</t>
  </si>
  <si>
    <t>C. Tang, J. Li, L. Wang, Z. Li, L. Jiang, A. Cai, W. Zhang, N. Liang, L. Li , B. Yan</t>
  </si>
  <si>
    <t>F. Tang, C. Bai, X. X. Zhao , W. F. Yuan</t>
  </si>
  <si>
    <t>F. Tang, S. Liang, T. Zhong, X. Huang, X. Deng, Y. Zhang , L. Zhou</t>
  </si>
  <si>
    <t>L. Y. W. Tang, H. O. Coxson, S. Lam, J. Leipsic, R. C. Tam , D. D. Sin</t>
  </si>
  <si>
    <t>P. Tang, Q. Liang, X. Yan, D. Zhang, G. Coppola , W. Sun</t>
  </si>
  <si>
    <t>W. Tang, Y. Liu, C. Zhang, J. Cheng, H. Peng , X. Chen</t>
  </si>
  <si>
    <t>C. Tao, K. Chen, L. Han, Y. Peng, C. Li, Z. Hua , J. Lin</t>
  </si>
  <si>
    <t>Q. Tao, B. P. F. Lelieveldt , R. J. van der Geest</t>
  </si>
  <si>
    <t>X. M. Tao, R. Fang, C. C. Wu, C. Zhang, R. G. Zhang, P. X. Yu , S. H. Zhao</t>
  </si>
  <si>
    <t>E. Tappeiner, S. Pröll, K. Fritscher, M. Welk , R. Schubert</t>
  </si>
  <si>
    <t>A. Tariq, S. Purkayastha, G. P. Padmanaban, E. Krupinski, H. Trivedi, I. Banerjee , J. W. Gichoya</t>
  </si>
  <si>
    <t>E. A. Tasnadi, T. Toth, M. Kovacs, A. Diosdi, F. Pampaloni, J. Molnar, F. Piccinini , P. Horvath</t>
  </si>
  <si>
    <t>A. Tavakkoli, S. A. Kamran, K. F. Hossain , S. L. Zuckerbrod</t>
  </si>
  <si>
    <t>D. Tegunov , P. Cramer</t>
  </si>
  <si>
    <t>L. Teng, H. Li , S. Karim</t>
  </si>
  <si>
    <t>A. Teramoto, T. Tsukamoto, A. Yamada, Y. Kiriyama, K. Imaizumi, K. Saito , H. Fujita</t>
  </si>
  <si>
    <t>A. Teramoto, A. Yamada, T. Tsukamoto, K. Imaizumi, H. Toyama, K. Saito , H. Fujita</t>
  </si>
  <si>
    <t>M. L. Terpstra, M. Maspero, F. d'Agata, B. Stemkens, M. P. W. Intven, J. J. W. Lagendijk, C. A. T. van den Berg , R. H. N. Tijssen</t>
  </si>
  <si>
    <t>A. Tewari, M. Zollhofer, F. Bernard, P. Garrido, H. Kim, P. Perez , C. Theobalt</t>
  </si>
  <si>
    <t>K. C. Tezcan, C. F. Baumgartner, R. Luechinger, K. P. Pruessmann , E. Konukoglu</t>
  </si>
  <si>
    <t>B. Theek, T. Nolte, D. Pantke, F. Schrank, F. Gremse, V. Schulz , F. Kiessling</t>
  </si>
  <si>
    <t>S. Thomas, F. Isensee, S. Kohl, M. Privalov, N. Beisemann, B. Swartman, H. Keil, S. Y. Vetter, J. Franke, P. A. Grützner, L. Maier-Hein, M. Nolden , K. Maier-Hein</t>
  </si>
  <si>
    <t>A. C. Thompson, A. A. Jammal, S. I. Berchuck, E. B. Mariottoni , F. A. Medeiros</t>
  </si>
  <si>
    <t>A. C. Thompson, A. A. Jammal , F. A. Medeiros</t>
  </si>
  <si>
    <t>R. F. Thompson, G. Valdes, C. D. Fuller, C. M. Carpenter, O. Morin, S. Aneja, W. D. Lindsay, H. Aerts, B. Agrimson, C. Deville, Jr., S. A. Rosenthal, J. B. Yu , C. R. Thomas, Jr.</t>
  </si>
  <si>
    <t>S. F. Tian, A. L. Liu, J. H. Liu, Y. J. Liu , J. D. Pan</t>
  </si>
  <si>
    <t>X. Tie, S. K. Lam, Y. Zhang, K. H. Lee, K. H. Au , J. Cai</t>
  </si>
  <si>
    <t>O. Tmenova, R. Martin , L. Duong</t>
  </si>
  <si>
    <t>M. N. N. To, H. J. Kim, H. G. Roh, Y. S. Cho , J. T. Kwak</t>
  </si>
  <si>
    <t>S. Toba, Y. Mitani, N. Yodoya, H. Ohashi, H. Sawada, H. Hayakawa, M. Hirayama, A. Futsuki, N. Yamamoto, H. Ito, T. Konuma, H. Shimpo , M. Takao</t>
  </si>
  <si>
    <t>M. I. Todorov, J. C. Paetzold, O. Schoppe, G. Tetteh, S. Shit, V. Efremov, K. Todorov-Völgyi, M. Düring, M. Dichgans, M. Piraud, B. Menze , A. Ertürk</t>
  </si>
  <si>
    <t>M. Toğaçar, B. Ergen , Z. Cömert</t>
  </si>
  <si>
    <t>R. Togo, K. Hirata, O. Manabe, H. Ohira, I. Tsujino, K. Magota, T. Ogawa, M. Haseyama , T. Shiga</t>
  </si>
  <si>
    <t>R. Togo, H. Watanabe, T. Ogawa , M. Haseyama</t>
  </si>
  <si>
    <t>R. Togo, N. Yamamichi, K. Mabe, Y. Takahashi, C. Takeuchi, M. Kato, N. Sakamoto, K. Ishihara, T. Ogawa , M. Haseyama</t>
  </si>
  <si>
    <t>A. A. Tolpadi, J. J. Lee, V. Pedoia , S. Majumdar</t>
  </si>
  <si>
    <t>N. Tomita, B. Abdollahi, J. Wei, B. Ren, A. Suriawinata , S. Hassanpour</t>
  </si>
  <si>
    <t>F. Tong, M. Nakao, S. Wu, M. Nakamura , T. Matsuda</t>
  </si>
  <si>
    <t>Q. Tong, T. Gong, H. He, Z. Wang, W. Yu, J. Zhang, L. Zhai, H. Cui, X. Meng, C. W. M. Tax , J. Zhong</t>
  </si>
  <si>
    <t>T. Tong, W. Huang, K. Wang, Z. He, L. Yin, X. Yang, S. Zhang , J. Tian</t>
  </si>
  <si>
    <t>Y. Tong, W. Lu, Y. Yu , Y. Shen</t>
  </si>
  <si>
    <t>R. Tonozuka, T. Itoi, N. Nagata, H. Kojima, A. Sofuni, T. Tsuchiya, K. Ishii, R. Tanaka, Y. Nagakawa , S. Mukai</t>
  </si>
  <si>
    <t>R. Tonozuka, S. Mukai , T. Itoi</t>
  </si>
  <si>
    <t>N. Torosdagli, D. K. Liberton, P. Verma, M. Sincan, J. S. Lee , U. Bagci</t>
  </si>
  <si>
    <t>J. Torrents-Barrena, R. López-Velazco, G. Piella, N. Masoller, B. Valenzuela-Alcaraz, E. Gratacós, E. Eixarch, M. Ceresa , M. Ángel González Ballester</t>
  </si>
  <si>
    <t>D. Tran, S. Cooke, P. J. Illingworth , D. K. Gardner</t>
  </si>
  <si>
    <t>D. H. Tran, M. Meunier , F. Cheriet</t>
  </si>
  <si>
    <t>G. S. Tran, T. P. Nghiem, V. T. Nguyen, C. M. Luong , J. C. Burie</t>
  </si>
  <si>
    <t>A. Traore, A. O. Ly , M. A. Akhloufi</t>
  </si>
  <si>
    <t>M. Treder , N. Eter</t>
  </si>
  <si>
    <t>H. M. Trivedi, M. Panahiazar, A. Liang, D. Lituiev, P. Chang, J. H. Sohn, Y. Y. Chen, B. L. Franc, B. Joe , D. Hadley</t>
  </si>
  <si>
    <t>V. D. Tsakanikas, P. K. Siogkas, M. D. Mantzaris, V. T. Potsika, V. I. Kigka, T. P. Exarchos, I. B. Koncar, M. Jovanovic, A. Vujcic, S. Ducic, J. Pelisek , D. I. Fotiadis</t>
  </si>
  <si>
    <t>G. Tsang, X. Xie , S. M. Zhou</t>
  </si>
  <si>
    <t>M. Tsuda, S. Asano, Y. Kato, K. Murai , M. Miyazaki</t>
  </si>
  <si>
    <t>S. Tsuji, T. Sekiryu, Y. Sugano, A. Ojima, A. Kasai, M. Okamoto , S. Eifuku</t>
  </si>
  <si>
    <t>T. Tsuji, Y. Hirose, K. Fujimori, T. Hirose, A. Oyama, Y. Saikawa, T. Mimura, K. Shiraishi, T. Kobayashi, A. Mizota , J. Kotoku</t>
  </si>
  <si>
    <t>T. A. Tuan, T. B. Pham, J. Y. Kim , J. Tavares</t>
  </si>
  <si>
    <t>B. A. Tucker, R. F. Mullins , E. M. Stone</t>
  </si>
  <si>
    <t>A. B. Tufail, Y. K. Ma , Q. N. Zhang</t>
  </si>
  <si>
    <t>A. Turečková, T. Tureček, Z. Komínková Oplatková , A. Rodríguez-Sánchez</t>
  </si>
  <si>
    <t>N. J. Tustison, B. B. Avants , J. C. Gee</t>
  </si>
  <si>
    <t>N. J. Tustison, B. B. Avants, Z. Lin, X. Feng, N. Cullen, J. F. Mata, L. Flors, J. C. Gee, T. A. Altes, J. P. Mugler Iii , K. Qing</t>
  </si>
  <si>
    <t>F. Ucar , D. Korkmaz</t>
  </si>
  <si>
    <t>A. L. UdriȘtoiu, A. E. Stanca, A. E. Ghenea, C. M. Vasile, M. Popescu, C. UdriȘtoiu Ș, A. V. Iacob, S. Castravete, L. G. Gruionu , G. Gruionu</t>
  </si>
  <si>
    <t>T. Uemura, J. J. Näppi, Y. Ryu, C. Watari, T. Kamiya , H. Yoshida</t>
  </si>
  <si>
    <t>Z. Ul Abideen, M. Ghafoor, K. Munir, M. Saqib, A. Ullah, T. Zia, S. A. Tariq, G. Ahmed , A. Zahra</t>
  </si>
  <si>
    <t>L. Umapathy, B. Winegar, L. MacKinnon, M. Hill, M. I. Altbach, J. M. Miller , A. Bilgin</t>
  </si>
  <si>
    <t>R. R. Upendra, S. Dangi , C. A. Linte</t>
  </si>
  <si>
    <t>G. Urban, K. M. Bache, D. Phan, A. Sobrino, A. K. Shmakov, S. J. Hachey, C. Hughes , P. Baldi</t>
  </si>
  <si>
    <t>K. Üreten, H. Erbay , H. H. Maraş</t>
  </si>
  <si>
    <t>K. Urinbayev, Y. Orazbek, Y. Nurambek, A. Mirzakhmetov , H. A. Varol</t>
  </si>
  <si>
    <t>A. Ushinsky, M. Bardis, J. Glavis-Bloom, E. Uchio, C. Chantaduly, M. Nguyentat, D. Chow, P. D. Chang , R. Houshyar</t>
  </si>
  <si>
    <t>T. Vaidya, A. Agrawal, S. Mahajan, M. H. Thakur , A. Mahajan</t>
  </si>
  <si>
    <t>A. Vakanski, M. Xian , P. E. Freer</t>
  </si>
  <si>
    <t>D. Valeriani , K. Simonyan</t>
  </si>
  <si>
    <t>M. Valkonen, J. Isola, O. Ylinen, V. Muhonen, A. Saxlin, T. Tolonen, M. Nykter , P. Ruusuvuori</t>
  </si>
  <si>
    <t>A. A. Valliani, D. Ranti , E. K. Oermann</t>
  </si>
  <si>
    <t>G. Valvano, G. Santini, N. Martini, A. Ripoli, C. Iacconi, D. Chiappino , D. Della Latta</t>
  </si>
  <si>
    <t>J. M. Valverde, A. Shatillo, R. De Feo, O. Gröhn, A. Sierra , J. Tohka</t>
  </si>
  <si>
    <t>N. van Alfen, K. Gijsbertse , C. L. de Korte</t>
  </si>
  <si>
    <t>T. Van Craenendonck, B. Elen, N. Gerrits , P. De Boever</t>
  </si>
  <si>
    <t>J. Van den Bulcke, M. A. Boone, J. Dhaene, D. Van Loo, L. Van Hoorebeke, M. N. Boone, F. Wyffels, H. Beeckman, J. Van Acker , T. De Mil</t>
  </si>
  <si>
    <t>F. van den Noort, C. H. van der Vaart, A. T. M. Grob, M. K. van de Waarsenburg, C. H. Slump , M. van Stralen</t>
  </si>
  <si>
    <t>L. B. van den Oever, L. Cornelissen, M. Vonder, C. Xia, J. N. van Bolhuis, R. Vliegenthart, R. N. J. Veldhuis, G. H. de Bock, M. Oudkerk , P. M. A. van Ooijen</t>
  </si>
  <si>
    <t>B. van der Heyden, P. Wohlfahrt, D. B. P. Eekers, C. Richter, K. Terhaag, E. G. C. Troost , F. Verhaegen</t>
  </si>
  <si>
    <t>M. D. A. van Gastel, M. E. Edwards, V. E. Torres, B. J. Erickson, R. T. Gansevoort , T. L. Kline</t>
  </si>
  <si>
    <t>R. W. van Hamersvelt, I. Išgum, P. A. de Jong, M. J. M. Cramer, G. E. H. Leenders, M. J. Willemink, M. Voskuil , T. Leiner</t>
  </si>
  <si>
    <t>S. G. M. van Velzen, N. Lessmann, B. K. Velthuis, I. E. M. Bank, D. van den Bongard, T. Leiner, P. A. de Jong, W. B. Veldhuis, A. Correa, J. G. Terry, J. J. Carr, M. A. Viergever, H. M. Verkooijen , I. Išgum</t>
  </si>
  <si>
    <t>P. van Zijl , L. Knutsson</t>
  </si>
  <si>
    <t>R. VanRullen , L. Reddy</t>
  </si>
  <si>
    <t>A. V. Varadarajan, P. Bavishi, P. Ruamviboonsuk, P. Chotcomwongse, S. Venugopalan, A. Narayanaswamy, J. Cuadros, K. Kanai, G. Bresnick, M. Tadarati, S. Silpa-Archa, J. Limwattanayingyong, V. Nganthavee, J. R. Ledsam, P. A. Keane, G. S. Corrado, L. Peng , D. R. Webster</t>
  </si>
  <si>
    <t>L. Varga, A. Kovács, T. Grósz, G. Thury, F. Hadarits, R. Dégi , J. Dombi</t>
  </si>
  <si>
    <t>V. K. Venugopal, K. Vaidhya, M. Murugavel, A. Chunduru, V. Mahajan, S. Vaidya, D. Mahra, A. Rangasai , H. Mahajan</t>
  </si>
  <si>
    <t>E. Verburg, J. M. Wolterink, S. N. de Waard, I. Išgum, C. H. van Gils, W. B. Veldhuis , K. G. A. Gilhuijs</t>
  </si>
  <si>
    <t>T. Vercauteren, M. Unberath, N. Padoy , N. Navab</t>
  </si>
  <si>
    <t>B. L. Vey, J. W. Gichoya, A. Prater , C. M. Hawkins</t>
  </si>
  <si>
    <t>S. Vieira, W. H. Pinaya , A. Mechelli</t>
  </si>
  <si>
    <t>J. Vijay Kumar, A. Harshavardhan, H. Bhukya , A. V. Krishna Prasad</t>
  </si>
  <si>
    <t>J. L. Vilas, N. Tabassum, J. Mota, D. Maluenda, A. Jiménez-Moreno, T. Majtner, J. M. Carazo, S. T. Acton , C. O. S. Sorzano</t>
  </si>
  <si>
    <t>S. Vinayahalingam, T. Xi, S. Bergé, T. Maal , G. de Jong</t>
  </si>
  <si>
    <t>M. S. Vinding, B. Skyum, R. Sangill , T. E. Lund</t>
  </si>
  <si>
    <t>D. F. Vinod , V. Vasudevan</t>
  </si>
  <si>
    <t>D. Visvikis, C. Cheze Le Rest, V. Jaouen , M. Hatt</t>
  </si>
  <si>
    <t>A. Vizitiu, C. I. Niƫă, A. Puiu, C. Suciu , L. M. Itu</t>
  </si>
  <si>
    <t>L. von Chamier, R. F. Laine , R. Henriques</t>
  </si>
  <si>
    <t>C. E. von Schacky, J. H. Sohn, F. Liu, E. Ozhinsky, P. M. Jungmann, L. Nardo, M. Posadzy, S. C. Foreman, M. C. Nevitt, T. M. Link , V. Pedoia</t>
  </si>
  <si>
    <t>D. V. Voronin, A. A. Kozlova, R. A. Verkhovskii, A. V. Ermakov, M. A. Makarkin, O. A. Inozemtseva , D. N. Bratashov</t>
  </si>
  <si>
    <t>T. Vrtovec, D. Močnik, P. Strojan, F. Pernuš , B. Ibragimov</t>
  </si>
  <si>
    <t>M. H. Vu, G. Grimbergen, T. Nyholm , T. Löfstedt</t>
  </si>
  <si>
    <t>M. H. Vu, T. Lofstedt, T. Nyholm , R. Sznitman</t>
  </si>
  <si>
    <t>T. Vu, M. Li, H. Humayun, Y. Zhou , J. Yao</t>
  </si>
  <si>
    <t>A. Wagh, S. Jain, A. Mukherjee, E. Agu, P. Pedersen, D. Strong, B. Tulu, C. Lindsay , Z. Liu</t>
  </si>
  <si>
    <t>M. W. Wagner, A. Bilbily, M. Beheshti, A. Shammas , R. Vali</t>
  </si>
  <si>
    <t>T. Wagner, F. Merino, M. Stabrin, T. Moriya, C. Antoni, A. Apelbaum, P. Hagel, O. Sitsel, T. Raisch, D. Prumbaum, D. Quentin, D. Roderer, S. Tacke, B. Siebolds, E. Schubert, T. R. Shaikh, P. Lill, C. Gatsogiannis , S. Raunser</t>
  </si>
  <si>
    <t>K. Wagstyl, S. Adler, B. Pimpel, A. Chari, K. Seunarine, S. Lorio, R. Thornton, T. Baldeweg , M. Tisdall</t>
  </si>
  <si>
    <t>A. Waisman, A. La Greca, A. M. Möbbs, M. A. Scarafía, N. L. Santín Velazque, G. Neiman, L. N. Moro, C. Luzzani, G. E. Sevlever, A. S. Guberman , S. G. Miriuka</t>
  </si>
  <si>
    <t>S. M. Waldstein, P. Seeböck, R. Donner, A. Sadeghipour, H. Bogunović, A. Osborne , U. Schmidt-Erfurth</t>
  </si>
  <si>
    <t>A. Waleed Salehi, P. Baglat , G. Gupta</t>
  </si>
  <si>
    <t>S. L. F. Walsh, S. M. Humphries, A. U. Wells , K. K. Brown</t>
  </si>
  <si>
    <t>B. Wang , M. Torriani</t>
  </si>
  <si>
    <t>C. Wang, M. Hunt, L. Zhang, A. Rimner, E. Yorke, M. Lovelock, X. Li, T. Li, G. Mageras , P. Zhang</t>
  </si>
  <si>
    <t>C. Wang, A. Rimner, Y. C. Hu, N. Tyagi, J. Jiang, E. Yorke, S. Riyahi, G. Mageras, J. O. Deasy , P. Zhang</t>
  </si>
  <si>
    <t>C. Wang, H. R. Roth, T. Kitasaka, M. Oda, Y. Hayashi, Y. Yoshino, T. Yamamoto, N. Sassa, M. Goto , K. Mori</t>
  </si>
  <si>
    <t>D. Wang, M. Li, N. Ben-Shlomo, C. E. Corrales, Y. Cheng, T. Zhang , J. Jayender</t>
  </si>
  <si>
    <t>D. Wang, J. Mo, G. Zhou, L. Xu , Y. Liu</t>
  </si>
  <si>
    <t>G. Wang , Y. Han</t>
  </si>
  <si>
    <t>G. Wang, X. Liu, C. Li, Z. Xu, J. Ruan, H. Zhu, T. Meng, K. Li, N. Huang , S. Zhang</t>
  </si>
  <si>
    <t>G. Wang, J. C. Ye, K. Mueller , J. A. Fessler</t>
  </si>
  <si>
    <t>H. Wang, H. Gu, P. Qin , J. Wang</t>
  </si>
  <si>
    <t>H. Wang, H. Jia, L. Lu , Y. Xia</t>
  </si>
  <si>
    <t>H. Wang, G. Yuan, X. Zhao, L. Peng, Z. Wang, Y. He, C. Qu , Z. Peng</t>
  </si>
  <si>
    <t>J. Wang, Y. Bao, Y. Wen, H. Lu, H. Luo, Y. Xiang, X. Li, C. Liu , D. Qian</t>
  </si>
  <si>
    <t>J. Wang, X. Chen, H. Lu, L. Zhang, J. Pan, Y. Bao, J. Su , D. Qian</t>
  </si>
  <si>
    <t>J. Wang, M. J. Knol, A. Tiulpin, F. Dubost, M. de Bruijne, M. W. Vernooij, H. H. H. Adams, M. A. Ikram, W. J. Niessen , G. V. Roshchupkin</t>
  </si>
  <si>
    <t>J. Wang, Z. Li, L. Pu, K. Zhang, X. Liu , B. Zhou</t>
  </si>
  <si>
    <t>J. Wang, J. Liang, J. Cheng, Y. Guo , L. Zeng</t>
  </si>
  <si>
    <t>J. Wang, L. Lin, S. Zhao, X. Wu , S. Wu</t>
  </si>
  <si>
    <t>J. Wang, Y. Yan, Y. Xu, W. Zhao, H. Min, M. Tan , J. Liu</t>
  </si>
  <si>
    <t>K. Wang, Q. Shou, S. J. Ma, D. Liebeskind, X. J. Qiao, J. Saver, N. Salamon, H. Kim, Y. Yu, Y. Xie, G. Zaharchuk, F. Scalzo , D. J. J. Wang</t>
  </si>
  <si>
    <t>L. Wang, A. Chen, Y. Zhang, X. Wang, Y. Zhang, Q. Shen , Y. Xue</t>
  </si>
  <si>
    <t>L. Wang, D. Guo, G. Wang , S. Zhang</t>
  </si>
  <si>
    <t>L. Wang, Z. Q. Lin , A. Wong</t>
  </si>
  <si>
    <t>L. Wang, Q. Xu, S. Leung, J. Chung, B. Chen , S. Li</t>
  </si>
  <si>
    <t>L. Wang, C. Zheng, W. Chen, Q. He, X. Li, S. Zhang, G. Qin, W. Chen, J. Wei, P. Xie, L. Zhou, X. Wang , X. Zhen</t>
  </si>
  <si>
    <t>M. Wang, X. Hao, J. Huang, K. Wang, L. Shen, X. Xu, D. Zhang , M. Liu</t>
  </si>
  <si>
    <t>M. Wang, C. Xia, L. Huang, S. Xu, C. Qin, J. Liu, Y. Cao, P. Yu, T. Zhu, H. Zhu, C. Wu, R. Zhang, X. Chen, J. Wang, G. Du, C. Zhang, S. Wang, K. Chen, Z. Liu, L. Xia , W. Wang</t>
  </si>
  <si>
    <t>N. C. Wang, P. Zhang, E. B. Tapper, S. Saini, S. C. Wang , G. L. Su</t>
  </si>
  <si>
    <t>P. Wang, M. Vives, V. M. Patel , I. Hacihaliloglu</t>
  </si>
  <si>
    <t>Q. Wang, S. Bi, M. Sun, Y. Wang, D. Wang , S. Yang</t>
  </si>
  <si>
    <t>S. Wang, H. Cheng, L. Ying, T. Xiao, Z. Ke, H. Zheng , D. Liang</t>
  </si>
  <si>
    <t>S. Wang, K. He, D. Nie, S. Zhou, Y. Gao , D. Shen</t>
  </si>
  <si>
    <t>S. Wang, Z. Liu, Y. Rong, B. Zhou, Y. Bai, W. Wei, W. Wei, M. Wang, Y. Guo , J. Tian</t>
  </si>
  <si>
    <t>S. Wang, J. Shi, Z. Ye, D. Dong, D. Yu, M. Zhou, Y. Liu, O. Gevaert, K. Wang, Y. Zhu, H. Zhou, Z. Liu , J. Tian</t>
  </si>
  <si>
    <t>S. Wang, D. M. Yang, R. Rong, X. Zhan, J. Fujimoto, H. Liu, J. Minna, Wistuba, II, Y. Xie , G. Xiao</t>
  </si>
  <si>
    <t>S. Wang, D. M. Yang, R. Rong, X. Zhan , G. Xiao</t>
  </si>
  <si>
    <t>S. Wang, Y. Zha, W. Li, Q. Wu, X. Li, M. Niu, M. Wang, X. Qiu, H. Li, H. Yu, W. Gong, Y. Bai, L. Li, Y. Zhu, L. Wang , J. Tian</t>
  </si>
  <si>
    <t>T. Wang, Y. Lei, Y. Fu, J. F. Wynne, W. J. Curran, T. Liu , X. Yang</t>
  </si>
  <si>
    <t>W. Wang, Q. Chen, Y. Iwamoto, X. Han, Q. Zhang, H. Hu, L. Lin , Y. W. Chen</t>
  </si>
  <si>
    <t>W. Wang, H. Feng, Q. Bu, L. Cui, Y. Xie, A. Zhang, J. Feng, Z. Zhu , Z. Chen</t>
  </si>
  <si>
    <t>W. Wang, H. Wang, Q. Chen, Z. Zhou, R. Wang, H. Wang, N. Zhang, Y. Chen, Z. Sun , L. Xu</t>
  </si>
  <si>
    <t>X. Wang, X. Deng, Q. Fu, Q. Zhou, J. Feng, H. Ma, W. Liu , C. Zheng</t>
  </si>
  <si>
    <t>X. Wang, J. Yu, Q. Zhu, S. Li, Z. Zhao, B. Yang , J. Pu</t>
  </si>
  <si>
    <t>X. Wang, L. Zhang, X. Yang, L. Tang, J. Zhao, G. Chen, X. Li, S. Yan, S. Li, Y. Yang, Y. Kang, Q. Li , N. Wu</t>
  </si>
  <si>
    <t>Y. Wang, H. Dou, X. Hu, L. Zhu, X. Yang, M. Xu, J. Qin, P. A. Heng, T. Wang , D. Ni</t>
  </si>
  <si>
    <t>Y. Wang, Y. Wang, C. Guo, X. Xie, S. Liang, R. Zhang, W. Pang , L. Huang</t>
  </si>
  <si>
    <t>Y. Wang , Z. Zhao</t>
  </si>
  <si>
    <t>Y. Wang, L. Zhou, M. Wang, C. Shao, L. Shi, S. Yang, Z. Zhang, M. Feng, F. Shan , L. Liu</t>
  </si>
  <si>
    <t>Y. Wang, L. Zhou, B. Yu, L. Wang, C. Zu, D. S. Lalush, W. Lin, X. Wu, J. Zhou , D. Shen</t>
  </si>
  <si>
    <t>Y. C. Wang, H. Luo, S. Liu, S. Huang, Z. Zhou, Q. Yu, S. Zhang, Z. Zhao, Y. Yu, Y. Yang, D. Wang , S. Ju</t>
  </si>
  <si>
    <t>Z. Wang, H. Jiang, H. Du, J. Xu , B. Qiu</t>
  </si>
  <si>
    <t>Z. Wang, Q. Liu , Q. Dou</t>
  </si>
  <si>
    <t>Z. Wang, Y. Wu, S. Bu, P. Han , G. Zhang</t>
  </si>
  <si>
    <t>Z. Wang, L. Xie , J. Qi</t>
  </si>
  <si>
    <t>Z. Wang, Z. Yu, Y. Wang, H. Zhang, Y. Luo, L. Shi, Y. Wang , C. Guo</t>
  </si>
  <si>
    <t>T. Warsavage, Jr., F. Xing, A. E. Barón, W. J. Feser, E. Hirsch, Y. E. Miller, S. Malkoski, H. J. Wolf, D. O. Wilson , D. Ghosh</t>
  </si>
  <si>
    <t>J. Wasserthal, P. F. Neher, D. Hirjak , K. H. Maier-Hein</t>
  </si>
  <si>
    <t>A. T. Watanabe, V. Lim, H. X. Vu, R. Chim, E. Weise, J. Liu, W. G. Bradley , C. E. Comstock</t>
  </si>
  <si>
    <t>K. A. Weber, A. C. Smith, M. Wasielewski, K. Eghtesad, P. A. Upadhyayula, M. Wintermark, T. J. Hastie, T. B. Parrish, S. Mackey , J. M. Elliott</t>
  </si>
  <si>
    <t>C. Y. Wee, C. Liu, A. Lee, J. S. Poh, H. Ji , A. Qiu</t>
  </si>
  <si>
    <t>M. M. Weeda, I. Brouwer, M. L. de Vos, M. S. de Vries, F. Barkhof, P. J. W. Pouwels , H. Vrenken</t>
  </si>
  <si>
    <t>H. Wei, S. Cao, Y. Zhang, X. Guan, F. Yan, K. W. Yeom , C. Liu</t>
  </si>
  <si>
    <t>J. W. Wei, A. A. Suriawinata, L. J. Vaickus, B. Ren, X. Liu, M. Lisovsky, N. Tomita, B. Abdollahi, A. S. Kim, D. C. Snover, J. A. Baron, E. L. Barry , S. Hassanpour</t>
  </si>
  <si>
    <t>L. Wei , I. El Naqa</t>
  </si>
  <si>
    <t>L. Wei, S. Osman, M. Hatt , I. El Naqa</t>
  </si>
  <si>
    <t>S. Wei, P. Dai , Z. Wang</t>
  </si>
  <si>
    <t>W. Wei, E. Poirion, B. Bodini, M. Tonietto, S. Durrleman, O. Colliot, B. Stankoff , N. Ayache</t>
  </si>
  <si>
    <t>X. Wei, M. Gao, R. Yu, Z. Liu, Q. Gu, X. Liu, Z. Zheng, X. Zheng, J. Zhu , S. Zhang</t>
  </si>
  <si>
    <t>Z. Wei, D. Liu , X. Chen</t>
  </si>
  <si>
    <t>T. Weikert, L. A. Noordtzij, J. Bremerich, B. Stieltjes, V. Parmar, J. Cyriac, G. Sommer , A. W. Sauter</t>
  </si>
  <si>
    <t>M. L. Welch, C. McIntosh, A. McNiven, S. H. Huang, B. B. Zhang, L. Wee, A. Traverso, B. O'Sullivan, F. Hoebers, A. Dekker , D. A. Jaffray</t>
  </si>
  <si>
    <t>H. Wen, J. Shi, Y. Zhang, K. H. Lu, J. Cao , Z. Liu</t>
  </si>
  <si>
    <t>S. Weng, P. Tang, H. Yuan, B. Guo, S. Yu, L. Huang , C. Xu</t>
  </si>
  <si>
    <t>L. Weninger, C. H. Na, K. Jütten , D. Merhof</t>
  </si>
  <si>
    <t>M. Wenzel, F. Milletari, J. Krüger, C. Lange, M. Schenk, I. Apostolova, S. Klutmann, M. Ehrenburg , R. Buchert</t>
  </si>
  <si>
    <t>W. Whiteley, W. K. Luk , J. Gregor</t>
  </si>
  <si>
    <t>D. J. Winkel, T. J. Weikert, H. C. Breit, G. Chabin, E. Gibson, T. J. Heye, D. Comaniciu , D. T. Boll</t>
  </si>
  <si>
    <t>M. Wodzinski, M. Pajak, A. Skalski, A. Witkowski, G. Pellacani , J. Ludzik</t>
  </si>
  <si>
    <t>T. Wollmann, M. Gunkel, I. Chung, H. Erfle, K. Rippe , K. Rohr</t>
  </si>
  <si>
    <t>D. Won, H. J. Lee, S. J. Lee , S. H. Park</t>
  </si>
  <si>
    <t>J. Woo, F. Xing, J. L. Prince, M. Stone, J. R. Green, T. Goldsmith, T. G. Reese, V. J. Wedeen , G. El Fakhri</t>
  </si>
  <si>
    <t>D. Wu, K. Gong, C. D. Arru, F. Homayounieh, B. Bizzo, V. Buch, H. Ren, K. Kim, N. Neumark, P. Xu, Z. Liu, W. Fang, N. Xie, W. Y. Tak, S. Y. Park, Y. R. Lee, M. K. Kang, J. G. Park, A. Carriero, L. Saba, M. Masjedi, H. Talari, R. Babaei, H. K. Mobin, S. Ebrahimian, I. Dayan, M. K. Kalra , Q. Li</t>
  </si>
  <si>
    <t>D. Wu, K. Kim , Q. Li</t>
  </si>
  <si>
    <t>E. Wu, L. M. Hadjiiski, R. K. Samala, H. P. Chan, K. H. Cha, C. Richter, R. H. Cohan, E. M. Caoili, C. Paramagul, A. Alva , A. Z. Weizer</t>
  </si>
  <si>
    <t>J. Wu, J. Xin, X. Yang, J. Sun, D. Xu, N. Zheng , C. Yuan</t>
  </si>
  <si>
    <t>J. T. Wu, K. C. L. Wong, Y. Gur, N. Ansari, A. Karargyris, A. Sharma, M. Morris, B. Saboury, H. Ahmad, O. Boyko, A. Syed, A. Jadhav, H. Wang, A. Pillai, S. Kashyap, M. Moradi , T. Syeda-Mahmood</t>
  </si>
  <si>
    <t>Q. Wu, S. Wang, S. Zhang, M. Wang, Y. Ding, J. Fang, Q. Wu, W. Qian, Z. Liu, K. Sun, Y. Jin, H. Ma , J. Tian</t>
  </si>
  <si>
    <t>Q. Wu, Y. Wang, H. Quan, J. Wang, S. Gu, W. Yang, R. Ge, J. Liu , Z. Ju</t>
  </si>
  <si>
    <t>W. Wu, Y. Lu, R. Mane , C. Guan</t>
  </si>
  <si>
    <t>X. Wu, P. He, Z. Long, X. Guo, M. Chen, X. Ren, P. Chen, L. Deng, K. An, P. Li, B. Wei , P. Feng</t>
  </si>
  <si>
    <t>X. Wu, H. Hui, M. Niu, L. Li, L. Wang, B. He, X. Yang, L. Li, H. Li, J. Tian , Y. Zha</t>
  </si>
  <si>
    <t>X. Wu, Y. Li, X. Chen, Y. Huang, L. He, K. Zhao, X. Huang, W. Zhang, Y. Huang, Y. Li, M. Dong, J. Huang, T. Xia, C. Liang , Z. Liu</t>
  </si>
  <si>
    <t>X. Wu, Z. Zhong, J. Buatti , J. Bai</t>
  </si>
  <si>
    <t>Y. Wu, Y. Ma, D. P. Capaldi, J. Liu, W. Zhao, J. Du , L. Xing</t>
  </si>
  <si>
    <t>Y. Wu, Y. Ma, J. Du , L. Xing</t>
  </si>
  <si>
    <t>Y. Wu, Y. Rivenson, H. Wang, Y. Luo, E. Ben-David, L. A. Bentolila, C. Pritz , A. Ozcan</t>
  </si>
  <si>
    <t>Y. Wu, Y. Zhou, C. J. Huang, H. Kobayashi, S. Yan, Y. Ozeki, Y. Wu, C. W. Sun, A. Yasumoto, Y. Yatomi, C. Lei , K. Goda</t>
  </si>
  <si>
    <t>Y. Y. Wu, T. C. Huang, R. H. Ye, W. H. Fang, S. W. Lai, P. Y. Chang, W. N. Liu, T. Y. Kuo, C. H. Lee, W. C. Tsai , C. Lin</t>
  </si>
  <si>
    <t>I. L. Xi, Y. Zhao, R. Wang, M. Chang, S. Purkayastha, K. Chang, R. Y. Huang, A. C. Silva, M. Vallières, P. Habibollahi, Y. Fan, B. Zou, T. P. Gade, P. J. Zhang, M. C. Soulen, Z. Zhang, H. X. Bai , S. W. Stavropoulos</t>
  </si>
  <si>
    <t>X. Xi, X. Meng, Z. Qin, X. Nie, Y. Yin , X. Chen</t>
  </si>
  <si>
    <t>X. Xia, X. Chen, G. Wu, F. Li, Y. Wang, Y. Chen, M. Chen, X. Wang, W. Chen, B. Xian, W. Chen, Y. Cao, C. Xu, W. Gong, G. Chen, D. Cai, W. Wei, Y. Yan, K. Liu, N. Qiao, X. Zhao, J. Jia, W. Wang, B. K. Kennedy, K. Zhang, C. V. Cannistraci, Y. Zhou , J. J. Han</t>
  </si>
  <si>
    <t>X. Xia, J. Gong, W. Hao, T. Yang, Y. Lin, S. Wang , W. Peng</t>
  </si>
  <si>
    <t>Y. Xia, D. Yang, Z. Yu, F. Liu, J. Cai, L. Yu, Z. Zhu, D. Xu, A. Yuille , H. Roth</t>
  </si>
  <si>
    <t>S. Xiang, Q. Liang, Y. Hu, P. Tang, G. Coppola, D. Zhang , W. Sun</t>
  </si>
  <si>
    <t>P. Xiao, T. Zhang, X. N. Dong, Y. Han, Y. Huang , X. Wang</t>
  </si>
  <si>
    <t>D. Xie, Y. Li, H. Yang, L. Bai, T. Wang, F. Zhou, L. Zhang , Z. Wang</t>
  </si>
  <si>
    <t>Y. Xie, Q. D. Nguyen, H. Hamzah, G. Lim, V. Bellemo, D. V. Gunasekeran, M. Y. T. Yip, X. Qi Lee, W. Hsu, M. Li Lee, C. S. Tan, H. Tym Wong, E. L. Lamoureux, G. S. W. Tan, T. Y. Wong, E. A. Finkelstein , D. S. W. Ting</t>
  </si>
  <si>
    <t>Y. Xie, Y. Xia, J. Zhang, Y. Song, D. Feng, M. Fulham , W. Cai</t>
  </si>
  <si>
    <t>Y. Xie, L. Zhao, X. Yang, X. Wu, Y. Yang, X. Huang, F. Liu, J. Xu, L. Lin, H. Lin, Q. Feng, H. Lin , Q. Liu</t>
  </si>
  <si>
    <t>B. Xu, D. Kocyigit, R. Grimm, B. P. Griffin , F. Cheng</t>
  </si>
  <si>
    <t>B. Y. Xu, M. Chiang, S. Chaudhary, S. Kulkarni, A. A. Pardeshi , R. Varma</t>
  </si>
  <si>
    <t>C. Xu, S. Qi, J. Feng, S. Xia, Y. Kang, Y. Yao , W. Qian</t>
  </si>
  <si>
    <t>H. Xu, J. S. H. Baxter, O. Akin , D. Cantor-Rivera</t>
  </si>
  <si>
    <t>J. Xu, M. Jing, S. Wang, C. Yang , X. Chen</t>
  </si>
  <si>
    <t>J. Xu , H. Liu</t>
  </si>
  <si>
    <t>J. H. Xu, X. M. Zhou, J. L. Ma, S. S. Liu, M. S. Zhang, X. F. Zheng, X. Y. Zhang, G. W. Liu, X. X. Zhang, Y. Lu , D. S. Wang</t>
  </si>
  <si>
    <t>L. Xu, R. Asaoka, T. Kiwaki, H. Murata, Y. Fujino, M. Matsuura, Y. Hashimoto, S. Asano, A. Miki, K. Mori, Y. Ikeda, T. Kanamoto, J. Yamagami, K. Inoue, M. Tanito , K. Yamanishi</t>
  </si>
  <si>
    <t>L. Xu, B. Walker, P. I. Liang, Y. Tong, C. Xu, Y. C. Su , A. Karsan</t>
  </si>
  <si>
    <t>L. Xu, X. Zeng, H. Zhang, W. Li, J. Lei , Z. Huang</t>
  </si>
  <si>
    <t>R. Xu, S. Niu, Q. Chen, Z. Ji, D. Rubin , Y. Chen</t>
  </si>
  <si>
    <t>W. Xu, A. Chatterjee, M. Zollhofer, H. Rhodin, P. Fua, H. P. Seidel , C. Theobalt</t>
  </si>
  <si>
    <t>X. Xu, L. Zhang, J. Li, Y. Guan , L. Zhang</t>
  </si>
  <si>
    <t>Y. Xu, M. Gong, J. Chen, Z. Chen , K. Batmanghelich</t>
  </si>
  <si>
    <t>Y. Xu, T. Wu, F. Gao, J. R. Charlton , K. M. Bennett</t>
  </si>
  <si>
    <t>L. Y. Xue, Z. Y. Jiang, T. T. Fu, Q. M. Wang, Y. L. Zhu, M. Dai, W. P. Wang, J. H. Yu , H. Ding</t>
  </si>
  <si>
    <t>X. Xue, Y. Wang, J. Li, Z. Jiao, Z. Ren , X. Gao</t>
  </si>
  <si>
    <t>Y. Xue, S. Chen, J. Qin, Y. Liu, B. Huang , H. Chen</t>
  </si>
  <si>
    <t>Y. Xue, F. G. Farhat, O. Boukrina, A. M. Barrett, J. R. Binder, U. W. Roshan , W. W. Graves</t>
  </si>
  <si>
    <t>A. Yala, C. Lehman, T. Schuster, T. Portnoi , R. Barzilay</t>
  </si>
  <si>
    <t>A. Yala, T. Schuster, R. Miles, R. Barzilay , C. Lehman</t>
  </si>
  <si>
    <t>Y. Yamada, S. Maki, S. Kishida, H. Nagai, J. Arima, N. Yamakawa, Y. Iijima, Y. Shiko, Y. Kawasaki, T. Kotani, Y. Shiga, K. Inage, S. Orita, Y. Eguchi, H. Takahashi, T. Yamashita, S. Minami , S. Ohtori</t>
  </si>
  <si>
    <t>T. Yamaguchi, K. Inoue, H. Tsunoda, T. Uematsu, N. Shinohara , H. Mukai</t>
  </si>
  <si>
    <t>R. Yamashita, A. Mittendorf, Z. Zhu, K. J. Fowler, C. S. Santillan, C. B. Sirlin, M. R. Bashir , R. K. G. Do</t>
  </si>
  <si>
    <t>R. Yamashita, M. Nishio, R. K. G. Do , K. Togashi</t>
  </si>
  <si>
    <t>J. Yan, S. Chen, Y. Zhang , X. Li</t>
  </si>
  <si>
    <t>K. Yan, J. Cai, Y. Zheng, A. P. Harrison, D. Jin, Y. B. Tang, Y. X. Tang, L. Huang, J. Xiao , L. Lu</t>
  </si>
  <si>
    <t>L. Yan, S. Liu, J. Qi, Z. Zhang, J. Zhong, Q. Li, X. Liu, Q. Zhu, Z. Yao, Y. Lu , L. Gu</t>
  </si>
  <si>
    <t>P. Yan, H. Guo, G. Wang, R. Man , M. K. Kalra</t>
  </si>
  <si>
    <t>S. Yan, H. Chen, R. M. Xie, C. S. Guan, M. Xue, Z. B. Lv, L. G. Wei, Y. Bai , B. D. Chen</t>
  </si>
  <si>
    <t>W. Yan, V. Calhoun, M. Song, Y. Cui, H. Yan, S. Liu, L. Fan, N. Zuo, Z. Yang, K. Xu, J. Yan, L. Lv, J. Chen, Y. Chen, H. Guo, P. Li, L. Lu, P. Wan, H. Wang, H. Wang, Y. Yang, H. Zhang, D. Zhang, T. Jiang , J. Sui</t>
  </si>
  <si>
    <t>W. Yan, Y. Wang, R. J. van der Geest , Q. Tao</t>
  </si>
  <si>
    <t>X. Yan, H. Fu, S. Zhang , H. Qu</t>
  </si>
  <si>
    <t>Y. Yan, L. Dahmani, J. Ren, L. Shen, X. Peng, R. Wang, C. He, C. Jiang, C. Gong, Y. Tian, J. Zhang, Y. Guo, Y. Lin, S. Li, M. Wang, L. Li, B. Hong , H. Liu</t>
  </si>
  <si>
    <t>Z. Yan, J. Wicaksana, Z. Wang, X. Yang , K. T. Cheng</t>
  </si>
  <si>
    <t>Z. Yan, X. Yang , K. T. Cheng</t>
  </si>
  <si>
    <t>Z. Yan, Y. Zhan, Z. Peng, S. Liao, Y. Shinagawa, D. N. Metaxas , X. S. Zhou</t>
  </si>
  <si>
    <t>K. Yanagisawa, M. Toratani, A. Asai, M. Konno, H. Niioka, T. Mizushima, T. Satoh, J. Miyake, K. Ogawa, A. Vecchione, Y. Doki, H. Eguchi , H. Ishii</t>
  </si>
  <si>
    <t>C. Yang, H. Lan, F. Gao , F. Gao</t>
  </si>
  <si>
    <t>F. Yang, X. Jia, P. Lei, Y. He, Y. Xiang, J. Jiao, S. Zhou, W. Qian , Q. Duan</t>
  </si>
  <si>
    <t>F. Yang, Y. Zhang, P. Lei, L. Wang, Y. Miao, H. Xie , Z. Zeng</t>
  </si>
  <si>
    <t>G. Yang, J. Chen, Z. Gao, S. Li, H. Ni, E. Angelini, T. Wong, R. Mohiaddin, E. Nyktari, R. Wage, L. Xu, Y. Zhang, X. Du, H. Zhang, D. Firmin , J. Keegan</t>
  </si>
  <si>
    <t>H. Yang, P. Qian , C. Fan</t>
  </si>
  <si>
    <t>H. K. Yang, Y. J. Kim, J. Y. Sung, D. H. Kim, K. G. Kim , J. M. Hwang</t>
  </si>
  <si>
    <t>J. Yang, C. Zhang, E. Wang, Y. Chen , W. Yu</t>
  </si>
  <si>
    <t>L. Yang, R. P. Ghosh, J. M. Franklin, S. Chen, C. You, R. R. Narayan, M. L. Melcher , J. T. Liphardt</t>
  </si>
  <si>
    <t>S. Yang, J. Kweon, J. H. Roh, J. H. Lee, H. Kang, L. J. Park, D. J. Kim, H. Yang, J. Hur, D. Y. Kang, P. H. Lee, J. M. Ahn, S. J. Kang, D. W. Park, S. W. Lee, Y. H. Kim, C. W. Lee, S. W. Park , S. J. Park</t>
  </si>
  <si>
    <t>X. Yang, L. Wu, W. Ye, K. Zhao, Y. Wang, W. Liu, J. Li, H. Li, Z. Liu , C. Liang</t>
  </si>
  <si>
    <t>Y. Yang, X. Feng, W. Chi, Z. Li, W. Duan, H. Liu, W. Liang, W. Wang, P. Chen, J. He , B. Liu</t>
  </si>
  <si>
    <t>Y. Yang, C. Zhai, Q. Zeng, A. L. Khan , H. Yu</t>
  </si>
  <si>
    <t>Y. J. Yang , C. S. Bang</t>
  </si>
  <si>
    <t>C. Yao, E. I. Chang , S. Y. Lai</t>
  </si>
  <si>
    <t>K. Yao, N. D. Rochman , S. X. Sun</t>
  </si>
  <si>
    <t>R. Yao, J. Qian , Q. Huang</t>
  </si>
  <si>
    <t>S. Yao, J. Yan, M. Wu, X. Yang, W. Zhang, H. Lu , B. Qian</t>
  </si>
  <si>
    <t>X. Yao, R. G. McCoy, P. A. Friedman, N. D. Shah, B. A. Barry, E. M. Behnken, J. W. Inselman, Z. I. Attia , P. A. Noseworthy</t>
  </si>
  <si>
    <t>K. Yasaka, H. Akai, A. Kunimatsu, S. Kiryu , O. Abe</t>
  </si>
  <si>
    <t>C. Ye, X. Li , J. Chen</t>
  </si>
  <si>
    <t>H. Ye, F. Gao, Y. Yin, D. Guo, P. Zhao, Y. Lu, X. Wang, J. Bai, K. Cao, Q. Song, H. Zhang, W. Chen, X. Guo , J. Xia</t>
  </si>
  <si>
    <t>Q. Ye, Q. Shen, W. Yang, S. Huang, Z. Jiang, L. He , X. Gong</t>
  </si>
  <si>
    <t>H. W. Yeung, S. Luz, S. R. Cox, C. R. Buchanan, H. C. Whalley , K. M. Smith</t>
  </si>
  <si>
    <t>J. Yi, H. K. Kang, J. H. Kwon, K. S. Kim, M. H. Park, Y. K. Seong, D. W. Kim, B. Ahn, K. Ha, J. Lee, Z. Hah , W. C. Bang</t>
  </si>
  <si>
    <t>J. Yi, P. Wu, M. Jiang, Q. Huang, D. J. Hoeppner , D. N. Metaxas</t>
  </si>
  <si>
    <t>P. H. Yi, J. Wei, T. K. Kim, H. I. Sair, F. K. Hui, G. D. Hager, J. Fritz , J. K. Oni</t>
  </si>
  <si>
    <t>X. Yi , P. Babyn</t>
  </si>
  <si>
    <t>X. Yi, E. Walia , P. Babyn</t>
  </si>
  <si>
    <t>J. Yim, R. Chopra, T. Spitz, J. Winkens, A. Obika, C. Kelly, H. Askham, M. Lukic, J. Huemer, K. Fasler, G. Moraes, C. Meyer, M. Wilson, J. Dixon, C. Hughes, G. Rees, P. T. Khaw, A. Karthikesalingam, D. King, D. Hassabis, M. Suleyman, T. Back, J. R. Ledsam, P. A. Keane , J. De Fauw</t>
  </si>
  <si>
    <t>N. Yin, C. Shen, F. Dong, J. Wang, Y. Guo , L. Bai</t>
  </si>
  <si>
    <t>X. Yin, Q. Zhao, J. Liu, W. Yang, J. Yang, G. Quan, Y. Chen, H. Shu, L. Luo , J. L. Coatrieux</t>
  </si>
  <si>
    <t>X. X. Yin, Y. Zhang, J. Cao, J. L. Wu , S. Hadjiloucas</t>
  </si>
  <si>
    <t>X. Ying, Y. Zhang, M. Yu, X. Wei, J. Zhu, J. Gao, Z. Liu, H. Shen, R. Zhang, X. Li , R. Yu</t>
  </si>
  <si>
    <t>H. Yoo, K. H. Kim, R. Singh, S. R. Digumarthy , M. K. Kalra</t>
  </si>
  <si>
    <t>S. Yoo, I. Gujrathi, M. A. Haider , F. Khalvati</t>
  </si>
  <si>
    <t>T. K. Yoo, J. Y. Choi, Y. Jang, E. Oh , I. H. Ryu</t>
  </si>
  <si>
    <t>J. Yoon, E. Lee, J. S. Koo, J. H. Yoon, K. H. Nam, J. Lee, Y. S. Jo, H. J. Moon, V. Y. Park , J. Y. Kwak</t>
  </si>
  <si>
    <t>J. S. Yoon, E. Y. Choi, M. Saad , T. S. Choi</t>
  </si>
  <si>
    <t>Y. H. Yoon, S. Khan, J. Huh , J. C. Ye</t>
  </si>
  <si>
    <t>C. You, G. Li, Y. Zhang, X. Zhang, H. Shan, M. Li, S. Ju, Z. Zhao, Z. Zhang, W. Cong, M. W. Vannier, P. K. Saha, E. A. Hoffman , G. Wang</t>
  </si>
  <si>
    <t>L. You, G. Zhang, W. Zhao, M. G. R, L. David , X. Zhou</t>
  </si>
  <si>
    <t>A. T. Young, N. B. Vora, J. Cortez, A. Tam, Y. Yeniay, L. Afifi, D. Yan, A. Nosrati, A. Wong, A. Johal , M. L. Wei</t>
  </si>
  <si>
    <t>M. Yousufi, M. Amir, U. Javed, M. Tayyib, S. Abdullah, H. Ullah, I. M. Qureshi, K. S. Alimgeer, M. W. Akram , K. B. Khan</t>
  </si>
  <si>
    <t>A. P. Yow, R. Srivastava, J. Cheng, A. Li, J. Liu, L. Schmetterer, H. L. Tey , D. W. K. Wong</t>
  </si>
  <si>
    <t>A. P. Yow, B. Tan, J. Chua, T. Aung, R. Husain, L. Schmetterer , D. Wong</t>
  </si>
  <si>
    <t>B. Yu, Y. Wang, L. Wang, D. Shen , L. Zhou</t>
  </si>
  <si>
    <t>C. Yu, S. Xie, S. Niu, Z. Ji, W. Fan, S. Yuan, Q. Liu , Q. Chen</t>
  </si>
  <si>
    <t>H. Yu, J. Jiang, Y. He, X. Jiang , Y. Fu</t>
  </si>
  <si>
    <t>H. J. Yu, S. R. Cho, M. J. Kim, W. H. Kim, J. W. Kim , J. Choi</t>
  </si>
  <si>
    <t>Q. Yu, L. Shi, Z. Xu, Y. Ren, J. Yang, Y. Zhou, Z. Deng , L. Chu</t>
  </si>
  <si>
    <t>Q. Yu, Y. Wang, S. Huang, S. Liu, Z. Zhou, S. Zhang, Z. Zhao, Y. Yu, Y. Yang , S. Ju</t>
  </si>
  <si>
    <t>S. Yu, M. Chen, E. Zhang, J. Wu, H. Yu, Z. Yang, L. Ma, X. Gu , W. Lu</t>
  </si>
  <si>
    <t>Y. Yu, J. Ma, W. Zhao, Z. Li , S. Ding</t>
  </si>
  <si>
    <t>Y. Yu, Y. Xie, T. Thamm, E. Gong, J. Ouyang, C. Huang, S. Christensen, M. P. Marks, M. G. Lansberg, G. W. Albers , G. Zaharchuk</t>
  </si>
  <si>
    <t>Z. Yu, X. Jiang, F. Zhou, J. Qin, D. Ni, S. Chen, B. Lei , T. Wang</t>
  </si>
  <si>
    <t>Z. Yu, X. Li, H. Sun, J. Wang, T. Zhao, H. Chen, Y. Ma, S. Zhu , Z. Xie</t>
  </si>
  <si>
    <t>C. Yuan, Y. Yao, B. Cheng, Y. Cheng, Y. Li, Y. Li, X. Liu, X. Cheng, X. Xie, J. Wu, X. Wang , W. Lu</t>
  </si>
  <si>
    <t>J. Yuan, H. Zhu , A. Tahmasebi</t>
  </si>
  <si>
    <t>N. Yuan, B. Dyer, S. Rao, Q. Chen, S. Benedict, L. Shang, Y. Kang, J. Qi , Y. Rong</t>
  </si>
  <si>
    <t>N. Yuan, J. Zhou , J. Qi</t>
  </si>
  <si>
    <t>Y. Yuan , Y. C. Lo</t>
  </si>
  <si>
    <t>L. Yue, F. Zhang, R. Sun, Y. Sun, C. Yuan, Y. Zhu , T. Guo</t>
  </si>
  <si>
    <t>H. S. Yun, T. J. Jang, S. M. Lee, S. H. Lee , J. K. Seo</t>
  </si>
  <si>
    <t>S. Yune, H. Lee, M. Kim, S. H. Tajmir, M. S. Gee , S. Do</t>
  </si>
  <si>
    <t>F. Zabihollahy, S. Rajan , E. Ukwatta</t>
  </si>
  <si>
    <t>R. Zachariah, J. Samarasena, D. Luba, E. Duh, T. Dao, J. Requa, A. Ninh , W. Karnes</t>
  </si>
  <si>
    <t>A. Zadeh Shirazi, E. Fornaciari, M. D. McDonnell, M. Yaghoobi, Y. Cevallos, L. Tello-Oquendo, D. Inca , G. A. Gomez</t>
  </si>
  <si>
    <t>P. Zaffino, G. Pernelle, A. Mastmeyer, A. Mehrtash, H. Zhang, R. Kikinis, T. Kapur , M. Francesca Spadea</t>
  </si>
  <si>
    <t>G. Zaharchuk, E. Gong, M. Wintermark, D. Rubin , C. P. Langlotz</t>
  </si>
  <si>
    <t>M. Zaiss, A. Deshmane, M. Schuppert, K. Herz, F. Glang, P. Ehses, T. Lindig, B. Bender, U. Ernemann , K. Scheffler</t>
  </si>
  <si>
    <t>F. Zakrzewski, W. de Back, M. Weigert, T. Wenke, S. Zeugner, R. Mantey, C. Sperling, K. Friedrich, I. Roeder, D. Aust, G. Baretton , P. Hönscheid</t>
  </si>
  <si>
    <t>A. Zaman, S. H. Park, H. Bang, C. W. Park, I. Park , S. Joung</t>
  </si>
  <si>
    <t>O. Zavala-Romero, A. L. Breto, I. R. Xu, Y. C. Chang, N. Gautney, A. Dal Pra, M. C. Abramowitz, A. Pollack , R. Stoyanova</t>
  </si>
  <si>
    <t>R. A. Zeineldin, M. E. Karar, J. Coburger, C. R. Wirtz , O. Burgert</t>
  </si>
  <si>
    <t>D. Y. Zeng, J. Shaikh, S. Holmes, R. L. Brunsing, J. M. Pauly, D. G. Nishimura, S. S. Vasanawala , J. Y. Cheng</t>
  </si>
  <si>
    <t>Q. Zeng, Y. Fu, Z. Tian, Y. Lei, Y. Zhang, T. Wang, H. Mao, T. Liu, W. J. Curran, A. B. Jani, P. Patel , X. Yang</t>
  </si>
  <si>
    <t>X. Zeng, L. Wen, Y. Xu , C. Ji</t>
  </si>
  <si>
    <t>W. Zha, S. B. Fain, M. L. Schiebler, M. D. Evans, S. K. Nagle , F. Liu</t>
  </si>
  <si>
    <t>C. Zhang, S. A. H. Hosseini, S. Weingärtner, K. Uǧurbil, S. Moeller , M. Akçakaya</t>
  </si>
  <si>
    <t>C. Zhang, K. Qiao, L. Wang, L. Tong, G. Hu, R. Y. Zhang , B. Yan</t>
  </si>
  <si>
    <t>C. Zhang, W. Wu, L. Zhou, H. Cheng, X. Ye , Y. He</t>
  </si>
  <si>
    <t>C. Zhang, G. Yang, C. Cai, Z. Xu, H. Wu, Y. Guo, Z. Xie, H. Shi, G. Cheng , J. Wang</t>
  </si>
  <si>
    <t>C. Zhang, J. Zhao, J. Niu , D. Li</t>
  </si>
  <si>
    <t>E. Zhang, S. Seiler, M. Chen, W. Lu , X. Gu</t>
  </si>
  <si>
    <t>G. Zhang, Z. Yang, L. Gong, S. Jiang, L. Wang, X. Cao, L. Wei, H. Zhang , Z. Liu</t>
  </si>
  <si>
    <t>G. Zhang, Z. Yang, L. Gong, S. Jiang, L. Wang , H. Zhang</t>
  </si>
  <si>
    <t>H. Zhang, K. Niu, Y. Xiong, W. Yang, Z. He , H. Song</t>
  </si>
  <si>
    <t>H. T. Zhang, J. S. Zhang, H. H. Zhang, Y. D. Nan, Y. Zhao, E. Q. Fu, Y. H. Xie, W. Liu, W. P. Li, H. J. Zhang, H. Jiang, C. M. Li, Y. Y. Li, R. N. Ma, S. K. Dang, B. B. Gao, X. J. Zhang , T. Zhang</t>
  </si>
  <si>
    <t>J. Zhang, Z. Liu, S. Zhang, H. Zhang, P. Spincemaille, T. D. Nguyen, M. R. Sabuncu , Y. Wang</t>
  </si>
  <si>
    <t>J. Zhang, J. Wu, S. Chen, Z. Zhang, S. Cai, C. Cai , Z. Chen</t>
  </si>
  <si>
    <t>K. Zhang, X. Liu, F. Liu, L. He, L. Zhang, Y. Yang, W. Li, S. Wang, L. Liu, Z. Liu, X. Wu , H. Lin</t>
  </si>
  <si>
    <t>K. Zhang, X. Liu, J. Shen, Z. Li, Y. Sang, X. Wu, Y. Zha, W. Liang, C. Wang, K. Wang, L. Ye, M. Gao, Z. Zhou, L. Li, J. Wang, Z. Yang, H. Cai, J. Xu, L. Yang, W. Cai, W. Xu, S. Wu, W. Zhang, S. Jiang, L. Zheng, X. Zhang, L. Wang, L. Lu, J. Li, H. Yin, W. Wang, O. Li, C. Zhang, L. Liang, T. Wu, R. Deng, K. Wei, Y. Zhou, T. Chen, J. Y. Lau, M. Fok, J. He, T. Lin, W. Li , G. Wang</t>
  </si>
  <si>
    <t>L. Zhang, H. J. Gao, J. Zhang , B. Badami</t>
  </si>
  <si>
    <t>L. Zhang, H. Sun, Z. Rao , H. Ji</t>
  </si>
  <si>
    <t>L. Zhang, X. Wang, D. Yang, T. Sanford, S. Harmon, B. Turkbey, B. J. Wood, H. Roth, A. Myronenko, D. Xu , Z. Xu</t>
  </si>
  <si>
    <t>L. Zhang, Y. Wu, B. Zheng, L. Su, Y. Chen, S. Ma, Q. Hu, X. Zou, L. Yao, Y. Yang, L. Chen, Y. Mao, Y. Chen , M. Ji</t>
  </si>
  <si>
    <t>M. Zhang, C. Zhang, X. Wu, X. Cao, G. S. Young, H. Chen , X. Xu</t>
  </si>
  <si>
    <t>M. Zhang, J. Zhang, Y. Wang, J. Wang, A. M. Achimovich, S. T. Acton , A. Gahlmann</t>
  </si>
  <si>
    <t>N. Zhang, G. Yang, Z. Gao, C. Xu, Y. Zhang, R. Shi, J. Keegan, L. Xu, H. Zhang, Z. Fan , D. Firmin</t>
  </si>
  <si>
    <t>P. Zhang, S. Liu, A. Chaurasia, D. Ma, M. J. Mlodzianoski, E. Culurciello , F. Huang</t>
  </si>
  <si>
    <t>P. Zhang, X. Wang, J. Chen, W. You , W. Zhang</t>
  </si>
  <si>
    <t>Q. Zhang, X. Hu, Z. Su , Z. Song</t>
  </si>
  <si>
    <t>Q. Zhang, Z. Hu, C. Jiang, H. Zheng, Y. Ge , D. Liang</t>
  </si>
  <si>
    <t>Q. Zhang, Z. Liu, J. Li , G. Liu</t>
  </si>
  <si>
    <t>Q. Zhang, G. Ruan, W. Yang, Y. Liu, K. Zhao, Q. Feng, W. Chen, E. X. Wu , Y. Feng</t>
  </si>
  <si>
    <t>Q. Zhang, J. Xiong, Y. Cai, J. Shi, S. Xu , B. Zhang</t>
  </si>
  <si>
    <t>R. Zhang, H. Duan, J. Cheng , Y. Zheng</t>
  </si>
  <si>
    <t>R. Zhang, Z. Guo, Y. Sun, Q. Lu, Z. Xu, Z. Yao, M. Duan, S. Liu, Y. Ren, L. Huang , F. Zhou</t>
  </si>
  <si>
    <t>S. Zhang, Q. Dong, W. Zhang, H. Huang, D. Zhu , T. Liu</t>
  </si>
  <si>
    <t>S. Zhang, H. Liu, H. Huang, Y. Zhao, X. Jiang, B. Bowers, L. Guo, X. Hu, M. Sanchez , T. Liu</t>
  </si>
  <si>
    <t>S. C. Zhang, J. Sun, C. B. Liu, J. H. Fang, H. T. Xie , B. Ning</t>
  </si>
  <si>
    <t>W. Zhang, Q. Wang , M. Li</t>
  </si>
  <si>
    <t>W. Zhang, S. Zhao, X. Hu, Q. Dong, H. Huang, S. Zhang, Y. Zhao, H. Dai, F. Ge, L. Guo , T. Liu</t>
  </si>
  <si>
    <t>X. Zhang, J. Chou, J. Liang, C. Xiao, Y. Zhao, H. Sarva, C. Henchcliffe , F. Wang</t>
  </si>
  <si>
    <t>X. Zhang, L. He, K. Chen, Y. Luo, J. Zhou , F. Wang</t>
  </si>
  <si>
    <t>X. Zhang, L. Jiang, D. Yang, J. Yan , X. Lu</t>
  </si>
  <si>
    <t>X. Y. Zhang, L. Wang, H. T. Zhu, Z. W. Li, M. Ye, X. T. Li, Y. J. Shi, H. C. Zhu , Y. S. Sun</t>
  </si>
  <si>
    <t>Y. Zhang, J. H. Chen, K. T. Chang, V. Y. Park, M. J. Kim, S. Chan, P. Chang, D. Chow, A. Luk, T. Kwong , M. Y. Su</t>
  </si>
  <si>
    <t>Y. Zhang, S. Jia, Y. Zheng, Z. Yu, Y. Tian, S. Ma, T. Huang , J. K. Liu</t>
  </si>
  <si>
    <t>Y. Zhang, Z. Tian, Y. Lei, T. Wang, P. Patel, A. B. Jani, W. J. Curran, T. Liu , X. Yang</t>
  </si>
  <si>
    <t>Y. Zhang, J. Wu, Y. Liu, Y. Chen, E. Wu , X. Tang</t>
  </si>
  <si>
    <t>Y. Zhang, P. T. Yap, L. Qu, J. Z. Cheng , D. Shen</t>
  </si>
  <si>
    <t>Z. Zhang, S. Li, Z. Wang , Y. Lu</t>
  </si>
  <si>
    <t>Z. Zhang , E. Sejdić</t>
  </si>
  <si>
    <t>Z. Zhang, C. Wu, S. Coleman , D. Kerr</t>
  </si>
  <si>
    <t>C. Zhao, M. Shao, A. Carass, H. Li, B. E. Dewey, L. M. Ellingsen, J. Woo, M. A. Guttman, A. M. Blitz, M. Stone, P. A. Calabresi, H. Halperin , J. L. Prince</t>
  </si>
  <si>
    <t>H. Zhao, H. Hayat, X. Ma, D. Fan, P. Wang , A. Moore</t>
  </si>
  <si>
    <t>J. Zhao, L. Xiong, J. Li, J. Xing, S. Yan , J. Feng</t>
  </si>
  <si>
    <t>K. Zhao, L. Zhou, S. Gao, X. Wang, Y. Wang, X. Zhao, H. Wang, K. Liu, Y. Zhu , H. Ye</t>
  </si>
  <si>
    <t>P. Zhao, J. Zhang, W. Fang , S. Deng</t>
  </si>
  <si>
    <t>Q. Zhao, E. Adeli , K. M. Pohl</t>
  </si>
  <si>
    <t>Q. Zhao, P. Kong, J. Min, Y. Zhou, Z. Liang, S. Chen , M. Li</t>
  </si>
  <si>
    <t>S. Zhao, M. I. Todorov, R. Cai, R. A. Maskari, H. Steinke, E. Kemter, H. Mai, Z. Rong, M. Warmer, K. Stanic, O. Schoppe, J. C. Paetzold, B. Gesierich, M. N. Wong, T. B. Huber, M. Duering, O. T. Bruns, B. Menze, J. Lipfert, V. G. Puelles, E. Wolf, I. Bechmann , A. Ertürk</t>
  </si>
  <si>
    <t>S. Zhao, B. Xie, Y. Li, X. Zhao, Y. Kuang, J. Su, X. He, X. Wu, W. Fan, K. Huang, J. Su, Y. Peng, A. A. Navarini, W. Huang , X. Chen</t>
  </si>
  <si>
    <t>T. Zhao, M. McNitt-Gray , D. Ruan</t>
  </si>
  <si>
    <t>W. Zhao, B. Han, Y. Yang, M. Buyyounouski, S. L. Hancock, H. Bagshaw , L. Xing</t>
  </si>
  <si>
    <t>W. Zhao, L. Shen, B. Han, Y. Yang, K. Cheng, D. A. S. Toesca, A. C. Koong, D. T. Chang , L. Xing</t>
  </si>
  <si>
    <t>W. Zhao, J. Yang, B. Ni, D. Bi, Y. Sun, M. Xu, X. Zhu, C. Li, L. Jin, P. Gao, P. Wang, Y. Hua , M. Li</t>
  </si>
  <si>
    <t>W. Zhao, W. Zhang, Y. Sun, Y. Ye, J. Yang, W. Chen, P. Gao, J. Li, C. Li, L. Jin, P. Wang, Y. Hua , M. Li</t>
  </si>
  <si>
    <t>X. Zhao, Y. Zhang, T. Zhang , X. Zou</t>
  </si>
  <si>
    <t>Y. Zhao, P. Cumming, A. Rominger, C. Zuo, K. Shi, P. Wu, J. Wang, H. Li, N. Navab, I. Yakushev, W. Weber, M. Schwaiger , S. C. Huang</t>
  </si>
  <si>
    <t>Y. Zhao, A. Gafita, G. Tetteh, F. Haupt, A. Afshar-Oromieh, B. Menze, M. Eiber, A. Rominger , K. Shi</t>
  </si>
  <si>
    <t>Y. Zhao, H. Li, S. Wan, A. Sekuboyina, X. Hu, G. Tetteh, M. Piraud , B. Menze</t>
  </si>
  <si>
    <t>Z. Zhao, T. Cai, F. Chang , X. Cheng</t>
  </si>
  <si>
    <t>Y. Zhen, N. Dong, C. Siping, L. Shengli, W. Tianfu , L. Baiying</t>
  </si>
  <si>
    <t>C. Zheng, X. Xie, L. Huang, B. Chen, J. Yang, J. Lu, T. Qiao, Z. Fan , M. Zhang</t>
  </si>
  <si>
    <t>C. Zheng, X. Xie, K. Zhou, B. Chen, J. Chen, H. Ye, W. Li, T. Qiao, S. Gao, J. Yang , J. Liu</t>
  </si>
  <si>
    <t>H. Zheng, Y. Chen, X. Yue, C. Ma, X. Liu, P. Yang , J. Lu</t>
  </si>
  <si>
    <t>H. Zheng, L. Qian, Y. Qin, Y. Gu , J. Yang</t>
  </si>
  <si>
    <t>H. Zheng, Y. Zhang, L. Yang, C. Wang , D. Z. Chen</t>
  </si>
  <si>
    <t>Q. Zheng, H. Delingette , N. Ayache</t>
  </si>
  <si>
    <t>Q. Zheng, S. L. Furth, G. E. Tasian , Y. Fan</t>
  </si>
  <si>
    <t>Q. Zheng, Z. Ge, H. Du , G. Li</t>
  </si>
  <si>
    <t>Q. Zheng, S. Shellikeri, H. Huang, M. Hwang , R. W. Sze</t>
  </si>
  <si>
    <t>Q. Zheng, L. Yang, B. Zeng, J. Li, K. Guo, Y. Liang , G. Liao</t>
  </si>
  <si>
    <t>X. Zheng, Z. Yao, Y. Huang, Y. Yu, Y. Wang, Y. Liu, R. Mao, F. Li, Y. Xiao, Y. Wang, Y. Hu, J. Yu , J. Zhou</t>
  </si>
  <si>
    <t>Z. Zhi , M. Qing</t>
  </si>
  <si>
    <t>X. Zhong, R. Cao, S. Shakeri, F. Scalzo, Y. Lee, D. R. Enzmann, H. H. Wu, S. S. Raman , K. Sung</t>
  </si>
  <si>
    <t>G. Q. Zhou, E. Z. Huo, M. Yuan, P. Zhou, R. L. Wang, K. N. Wang, Y. Chen , X. P. He</t>
  </si>
  <si>
    <t>H. Zhou, R. Cai, T. Quan, S. Liu, S. Li, Q. Huang, A. Ertürk , S. Zeng</t>
  </si>
  <si>
    <t>H. Zhou, Y. Jin, L. Dai, M. Zhang, Y. Qiu, K. Wang, J. Tian , J. Zheng</t>
  </si>
  <si>
    <t>J. Zhou, L. Y. Luo, Q. Dou, H. Chen, C. Chen, G. J. Li, Z. F. Jiang , P. A. Heng</t>
  </si>
  <si>
    <t>J. Zhou, Z. Y. Zeng , L. Li</t>
  </si>
  <si>
    <t>L. Zhou, Q. Li, G. Huo , Y. Zhou</t>
  </si>
  <si>
    <t>L. Zhou, Z. Li, J. Zhou, H. Li, Y. Chen, Y. Huang, D. Xie, L. Zhao, M. Fan, S. Hashmi, F. Abdelkareem, R. Eiada, X. Xiao, L. Li, Z. Qiu , X. Gao</t>
  </si>
  <si>
    <t>L. Q. Zhou, J. Y. Wang, S. Y. Yu, G. G. Wu, Q. Wei, Y. B. Deng, X. L. Wu, X. W. Cui , C. F. Dietrich</t>
  </si>
  <si>
    <t>P. Zhou, L. Liang, X. Guo, H. Lv, T. Wang , T. Ma</t>
  </si>
  <si>
    <t>Q. Q. Zhou, J. Wang, W. Tang, Z. C. Hu, Z. Y. Xia, X. S. Li, R. Zhang, X. Yin, B. Zhang , H. Zhang</t>
  </si>
  <si>
    <t>T. Zhou, K. H. Thung, X. Zhu , D. Shen</t>
  </si>
  <si>
    <t>Y. Zhou, Y. Liu, Q. Chen, G. Gu , X. Sui</t>
  </si>
  <si>
    <t>Z. Zhou, F. Han, V. Ghodrati, Y. Gao, W. Yin, Y. Yang , P. Hu</t>
  </si>
  <si>
    <t>Z. Zhou, J. Shin, R. Feng, R. T. Hurst, C. B. Kendall , J. Liang</t>
  </si>
  <si>
    <t>Z. Zhou, V. Sodha, J. Pang, M. B. Gotway , J. Liang</t>
  </si>
  <si>
    <t>Z. Zhou, V. Sodha, M. M. R. Siddiquee, R. Feng, N. Tajbakhsh, M. B. Gotway , J. Liang</t>
  </si>
  <si>
    <t>G. Zhu, B. Jiang, H. Chen, E. Tong, Y. Xie, T. D. Faizy, J. J. Heit, G. Zaharchuk , M. Wintermark</t>
  </si>
  <si>
    <t>G. Zhu, B. Jiang, L. Tong, Y. Xie, G. Zaharchuk , M. Wintermark</t>
  </si>
  <si>
    <t>H. Zhu, E. Adeli, F. Shi , D. Shen</t>
  </si>
  <si>
    <t>H. Zhu, D. Tong, L. Zhang, S. Wang, W. Wu, H. Tang, Y. Chen, L. Luo, J. Zhu , B. Li</t>
  </si>
  <si>
    <t>J. Zhu, Y. Li, Y. Hu, K. Ma, S. K. Zhou , Y. Zheng</t>
  </si>
  <si>
    <t>L. Zhu, L. Zhang, Y. Han, Q. Zeng , W. Chang</t>
  </si>
  <si>
    <t>Q. Zhu, B. Du , P. Yan</t>
  </si>
  <si>
    <t>S. Zhu, L. Zhou, P. Gao, Y. Bao, Y. He , L. Feng</t>
  </si>
  <si>
    <t>X. Zhu, M. Ding, T. Huang, X. Jin , X. Zhang</t>
  </si>
  <si>
    <t>Y. Zhu, R. Wei, G. Gao, L. Ding, X. Zhang, X. Wang , J. Zhang</t>
  </si>
  <si>
    <t>Y. C. Zhu, A. AlZoubi, S. Jassim, Q. Jiang, Y. Zhang, Y. B. Wang, X. D. Ye , H. Du</t>
  </si>
  <si>
    <t>Z. Zhu, E. Albadawy, A. Saha, J. Zhang, M. R. Harowicz , M. A. Mazurowski</t>
  </si>
  <si>
    <t>Z. Zhu, Y. Cao, C. Qin, Y. Rao, D. Lin, Q. Dou, D. Ni , Y. Wang</t>
  </si>
  <si>
    <t>Z. Zhu, Y. Cao, C. Qin, Y. Rao, D. Ni , Y. Wang</t>
  </si>
  <si>
    <t>Z. Zhu, M. Harowicz, J. Zhang, A. Saha, L. J. Grimm, E. S. Hwang , M. A. Mazurowski</t>
  </si>
  <si>
    <t>X. Zhuang, L. Li, C. Payer, D. Štern, M. Urschler, M. P. Heinrich, J. Oster, C. Wang, Ö. Smedby, C. Bian, X. Yang, P. A. Heng, A. Mortazi, U. Bagci, G. Yang, C. Sun, G. Galisot, J. Y. Ramel, T. Brouard, Q. Tong, W. Si, X. Liao, G. Zeng, Z. Shi, G. Zheng, C. Wang, T. MacGillivray, D. Newby, K. Rhode, S. Ourselin, R. Mohiaddin, J. Keegan, D. Firmin , G. Yang</t>
  </si>
  <si>
    <t>Z. Zhuang, Y. Kang, A. N. Joseph Raj, Y. Yuan, W. Ding , S. Qiu</t>
  </si>
  <si>
    <t>Z. Zhuang, N. Li, A. N. Joseph Raj, V. G. V. Mahesh , S. Qiu</t>
  </si>
  <si>
    <t>I. Ziamtsov , S. Navlakha</t>
  </si>
  <si>
    <t>M. Ziatdinov, O. Dyck, A. Maksov, X. Li, X. Sang, K. Xiao, R. R. Unocic, R. Vasudevan, S. Jesse , S. V. Kalinin</t>
  </si>
  <si>
    <t>B. Zieliński, A. Sroka-Oleksiak, D. Rymarczyk, A. Piekarczyk , M. Brzychczy-Włoch</t>
  </si>
  <si>
    <t>A. Zlochower, D. S. Chow, P. Chang, D. Khatri, J. A. Boockvar , C. G. Filippi</t>
  </si>
  <si>
    <t>F. G. Zöllner, A. Šerifović-Trbalić, G. Kabelitz, M. Kociński, A. Materka , P. Rogelj</t>
  </si>
  <si>
    <t>W. Zong, J. K. Lee, C. Liu, E. N. Carver, A. M. Feldman, B. Janic, M. A. Elshaikh, M. V. Pantelic, D. Hearshen, I. J. Chetty, B. Movsas , N. Wen</t>
  </si>
  <si>
    <t>L. Zou, S. Yu, T. Meng, Z. Zhang, X. Liang , Y. Xie</t>
  </si>
  <si>
    <t>M. Zou, H. Yang, G. Pan , Y. Zhong</t>
  </si>
  <si>
    <t>X. L. Zou, Y. Ren, D. Y. Feng, X. Q. He, Y. F. Guo, H. L. Yang, X. Li, J. Fang, Q. Li, J. J. Ye, L. Q. Han , T. T. Zhang</t>
  </si>
  <si>
    <t>S. Agarwala, M. Kale, D. Kumar, R. Swaroop, A. Kumar, A. Kumar Dhara, S. Basu Thakur, A. Sadhu , D. Nandi</t>
  </si>
  <si>
    <t>H. Akbari, S. Rathore, S. Bakas, M. P. Nasrallah, G. Shukla, E. Mamourian, M. Rozycki, S. J. Bagley, J. D. Rudie, A. E. Flanders, A. P. Dicker, A. S. Desai, D. M. O'Rourke, S. Brem, R. Lustig, S. Mohan, R. L. Wolf, M. Bilello, M. Martinez-Lage , C. Davatzikos</t>
  </si>
  <si>
    <t>H. Al Hajj, M. Lamard, P. H. Conze, S. Roychowdhury, X. Hu, G. Maršalkaitė, O. Zisimopoulos, M. A. Dedmari, F. Zhao, J. Prellberg, M. Sahu, A. Galdran, T. Araújo, D. M. Vo, C. Panda, N. Dahiya, S. Kondo, Z. Bian, A. Vahdat, J. Bialopetravičius, E. Flouty, C. Qiu, S. Dill, A. Mukhopadhyay, P. Costa, G. Aresta, S. Ramamurthy, S. W. Lee, A. Campilho, S. Zachow, S. Xia, S. Conjeti, D. Stoyanov, J. Armaitis, P. A. Heng, W. G. Macready, B. Cochener , G. Quellec</t>
  </si>
  <si>
    <t>G. An, M. Akiba, H. Yokota, N. Motozawa, S. Takagi, M. Mandai, S. Kitahata, Y. Hirami, M. Takahashi , Y. Kurimoto</t>
  </si>
  <si>
    <t>J. K. H. Andersen, J. S. Pedersen, M. S. Laursen, K. Holtz, J. Grauslund, T. R. Savarimuthu , S. A. Just</t>
  </si>
  <si>
    <t>J. Andersson, H. Ahlström , J. Kullberg</t>
  </si>
  <si>
    <t>V. Andrearczyk, J. Fageot, V. Oreiller, X. Montet , A. Depeursinge</t>
  </si>
  <si>
    <t>G. Aresta, T. Araújo, S. Kwok, S. S. Chennamsetty, M. Safwan, V. Alex, B. Marami, M. Prastawa, M. Chan, M. Donovan, G. Fernandez, J. Zeineh, M. Kohl, C. Walz, F. Ludwig, S. Braunewell, M. Baust, Q. D. Vu, M. N. N. To, E. Kim, J. T. Kwak, S. Galal, V. Sanchez-Freire, N. Brancati, M. Frucci, D. Riccio, Y. Wang, L. Sun, K. Ma, J. Fang, I. Kone, L. Boulmane, A. Campilho, C. Eloy, A. Polónia , P. Aguiar</t>
  </si>
  <si>
    <t>W. F. Auffermann, E. K. Gozansky , S. Tridandapani</t>
  </si>
  <si>
    <t>R. O. Bahado-Singh, J. Sonek, D. McKenna, D. Cool, B. Aydas, O. Turkoglu, T. Bjorndahl, R. Mandal, D. Wishart, P. Friedman, S. F. Graham , A. Yilmaz</t>
  </si>
  <si>
    <t>N. Balachandar, K. Chang, J. Kalpathy-Cramer , D. L. Rubin</t>
  </si>
  <si>
    <t>C. G. Bangalore Yogananda, B. R. Shah, M. Vejdani-Jahromi, S. S. Nalawade, G. K. Murugesan, F. F. Yu, M. C. Pinho, B. C. Wagner, B. Mickey, T. R. Patel, B. Fei, A. J. Madhuranthakam , J. A. Maldjian</t>
  </si>
  <si>
    <t>L. Baskaran, S. J. Al'Aref, G. Maliakal, B. C. Lee, Z. Xu, J. W. Choi, S. E. Lee, J. M. Sung, F. Y. Lin, S. Dunham, B. Mosadegh, Y. J. Kim, I. Gottlieb, B. K. Lee, E. J. Chun, F. Cademartiri, E. Maffei, H. Marques, S. Shin, J. H. Choi, K. Chinnaiyan, M. Hadamitzky, E. Conte, D. Andreini, G. Pontone, M. J. Budoff, J. A. Leipsic, G. L. Raff, R. Virmani, H. Samady, P. H. Stone, D. S. Berman, J. Narula, J. J. Bax, H. J. Chang, J. K. Min , L. J. Shaw</t>
  </si>
  <si>
    <t>L. Baskaran, G. Maliakal, S. J. Al'Aref, G. Singh, Z. Xu, K. Michalak, K. Dolan, U. Gianni, A. van Rosendael, I. van den Hoogen, D. Han, W. Stuijfzand, M. Pandey, B. C. Lee, F. Lin, G. Pontone, P. Knaapen, H. Marques, J. Bax, D. Berman, H. J. Chang, L. J. Shaw , J. K. Min</t>
  </si>
  <si>
    <t>V. Bellemo, Z. W. Lim, G. Lim, Q. D. Nguyen, Y. Xie, M. Y. T. Yip, H. Hamzah, J. Ho, X. Q. Lee, W. Hsu, M. L. Lee, L. Musonda, M. Chandran, G. Chipalo-Mutati, M. Muma, G. S. W. Tan, S. Sivaprasad, G. Menon, T. Y. Wong , D. S. W. Ting</t>
  </si>
  <si>
    <t>J. Betancur, F. Commandeur, M. Motlagh, T. Sharir, A. J. Einstein, S. Bokhari, M. B. Fish, T. D. Ruddy, P. Kaufmann, A. J. Sinusas, E. J. Miller, T. M. Bateman, S. Dorbala, M. Di Carli, G. Germano, Y. Otaki, B. K. Tamarappoo, D. Dey, D. S. Berman , P. J. Slomka</t>
  </si>
  <si>
    <t>J. Betancur, L. H. Hu, F. Commandeur, T. Sharir, A. J. Einstein, M. B. Fish, T. D. Ruddy, P. A. Kaufmann, A. J. Sinusas, E. J. Miller, T. M. Bateman, S. Dorbala, M. Di Carli, G. Germano, Y. Otaki, J. X. Liang, B. K. Tamarappoo, D. Dey, D. S. Berman , P. J. Slomka</t>
  </si>
  <si>
    <t>N. Bibi, M. Sikandar, I. Ud Din, A. Almogren , S. Ali</t>
  </si>
  <si>
    <t>P. Blanc-Durand, L. Campedel, S. Mule, S. Jegou, A. Luciani, F. Pigneur , E. Itti</t>
  </si>
  <si>
    <t>M. Bogowicz, A. Jochems, T. M. Deist, S. Tanadini-Lang, S. H. Huang, B. Chan, J. N. Waldron, S. Bratman, B. O'Sullivan, O. Riesterer, G. Studer, J. Unkelbach, S. Barakat, R. H. Brakenhoff, I. Nauta, S. E. Gazzani, G. Calareso, K. Scheckenbach, F. Hoebers, F. W. R. Wesseling, S. Keek, S. Sanduleanu, R. T. H. Leijenaar, M. R. Vergeer, C. R. Leemans, C. H. J. Terhaard, M. W. M. van den Brekel, O. Hamming-Vrieze, M. A. van der Heijden, H. M. Elhalawani, C. D. Fuller, M. Guckenberger , P. Lambin</t>
  </si>
  <si>
    <t>K. Bousabarah, M. Ruge, J. S. Brand, M. Hoevels, D. Rueß, J. Borggrefe, N. Große Hokamp, V. Visser-Vandewalle, D. Maintz, H. Treuer , M. Kocher</t>
  </si>
  <si>
    <t>T. J. Brinker, A. Hekler, A. H. Enk, C. Berking, S. Haferkamp, A. Hauschild, M. Weichenthal, J. Klode, D. Schadendorf, T. Holland-Letz, C. von Kalle, S. Fröhling, B. Schilling , J. S. Utikal</t>
  </si>
  <si>
    <t>T. J. Brinker, A. Hekler, A. H. Enk, J. Klode, A. Hauschild, C. Berking, B. Schilling, S. Haferkamp, D. Schadendorf, T. Holland-Letz, J. S. Utikal , C. von Kalle</t>
  </si>
  <si>
    <t>S. Candemir , S. Antani</t>
  </si>
  <si>
    <t>C. E. Cardenas, J. Yang, B. M. Anderson, L. E. Court , K. B. Brock</t>
  </si>
  <si>
    <t>G. Chartrand, P. M. Cheng, E. Vorontsov, M. Drozdzal, S. Turcotte, C. J. Pal, S. Kadoury , A. Tang</t>
  </si>
  <si>
    <t>G. Chassagnon, M. Vakalopoulou, E. Battistella, S. Christodoulidis, T. N. Hoang-Thi, S. Dangeard, E. Deutsch, F. Andre, E. Guillo, N. Halm, S. El Hajj, F. Bompard, S. Neveu, C. Hani, I. Saab, A. Campredon, H. Koulakian, S. Bennani, G. Freche, M. Barat, A. Lombard, L. Fournier, H. Monnier, T. Grand, J. Gregory, Y. Nguyen, A. Khalil, E. Mahdjoub, P. Y. Brillet, S. Tran Ba, V. Bousson, A. Mekki, R. Y. Carlier, M. P. Revel , N. Paragios</t>
  </si>
  <si>
    <t>P. Chea , J. C. Mandell</t>
  </si>
  <si>
    <t>E. M. Christiansen, S. J. Yang, D. M. Ando, A. Javaherian, G. Skibinski, S. Lipnick, E. Mount, A. O'Neil, K. Shah, A. K. Lee, P. Goyal, W. Fedus, R. Poplin, A. Esteva, M. Berndl, L. L. Rubin, P. Nelson , S. Finkbeiner</t>
  </si>
  <si>
    <t>D. Coronado-Gutiérrez, G. Santamaría, S. Ganau, X. Bargalló, S. Orlando, M. E. Oliva-Brañas, A. Perez-Moreno , X. P. Burgos-Artizzu</t>
  </si>
  <si>
    <t>J. E. Corral, S. Hussein, P. Kandel, C. W. Bolan, U. Bagci , M. B. Wallace</t>
  </si>
  <si>
    <t>I. Cruz-Vega, D. Hernandez-Contreras, H. Peregrina-Barreto, J. J. Rangel-Magdaleno , J. M. Ramirez-Cortes</t>
  </si>
  <si>
    <t>A. L. Dallora, J. S. Berglund, M. Brogren, O. Kvist, S. Diaz Ruiz, A. Dübbel , P. Anderberg</t>
  </si>
  <si>
    <t>J. De Tobel, P. Radesh, D. Vandermeulen , P. W. Thevissen</t>
  </si>
  <si>
    <t>K. Dembrower, Y. Liu, H. Azizpour, M. Eklund, K. Smith, P. Lindholm , F. Strand</t>
  </si>
  <si>
    <t>X. Duan, S. Taurand , M. Soleimani</t>
  </si>
  <si>
    <t>T. Dumur, S. Duncan, K. Graumann, S. Desset, R. S. Randall, O. M. Scheid, D. Prodanov, C. Tatout , C. Baroux</t>
  </si>
  <si>
    <t>E. Eisenberg, P. A. McElhinney, F. Commandeur, X. Chen, S. Cadet, M. Goeller, A. Razipour, H. Gransar, S. Cantu, R. J. H. Miller, P. J. Slomka, N. D. Wong, A. Rozanski, S. Achenbach, B. K. Tamarappoo, D. S. Berman , D. Dey</t>
  </si>
  <si>
    <t>F. Eitel, E. Soehler, J. Bellmann-Strobl, A. U. Brandt, K. Ruprecht, R. M. Giess, J. Kuchling, S. Asseyer, M. Weygandt, J. D. Haynes, M. Scheel, F. Paul , K. Ritter</t>
  </si>
  <si>
    <t>J. R. England , P. M. Cheng</t>
  </si>
  <si>
    <t>T. Estienne, M. Lerousseau, M. Vakalopoulou, E. Alvarez Andres, E. Battistella, A. Carré, S. Chandra, S. Christodoulidis, M. Sahasrabudhe, R. Sun, C. Robert, H. Talbot, N. Paragios , E. Deutsch</t>
  </si>
  <si>
    <t>H. Failmezger, S. Muralidhar, A. Rullan, C. E. de Andrea, E. Sahai , Y. Yuan</t>
  </si>
  <si>
    <t>A. F. A. Fernandes, J. R. R. Dórea, B. D. Valente, R. Fitzgerald, W. Herring , G. J. M. Rosa</t>
  </si>
  <si>
    <t>K. Fernandez, M. Korinek, J. Camp, J. Lieske , D. Holmes</t>
  </si>
  <si>
    <t>N. Fujima, V. C. Andreu-Arasa, S. K. Meibom, G. A. Mercier, M. T. Truong , O. Sakai</t>
  </si>
  <si>
    <t>S. Fujita, A. Hagiwara, Y. Otsuka, M. Hori, N. Takei, K. P. Hwang, R. Irie, C. Andica, K. Kamagata, T. Akashi, K. Kunishima Kumamaru, M. Suzuki, A. Wada, O. Abe , S. Aoki</t>
  </si>
  <si>
    <t>S. Gandhi, W. Mosleh, J. Shen , C. M. Chow</t>
  </si>
  <si>
    <t>Z. Gandomkar , C. Mello-Thoms</t>
  </si>
  <si>
    <t>C. Gautam, P. K. Mishra, A. Tiwari, B. Richhariya, H. M. Pandey, S. Wang , M. Tanveer</t>
  </si>
  <si>
    <t>R. S. Geread, A. Sivanandarajah, E. R. Brouwer, G. A. Wood, D. Androutsos, H. Faragalla , A. Khademi</t>
  </si>
  <si>
    <t>P. Ghazi, A. M. Hernandez, C. Abbey, K. Yang , J. M. Boone</t>
  </si>
  <si>
    <t>A. K. Giese, M. D. Schirmer, A. V. Dalca, R. Sridharan, K. L. Donahue, M. Nardin, R. Irie, E. C. McIntosh, S. J. T. Mocking, H. Xu, J. W. Cole, E. Giralt-Steinhauer, J. Jimenez-Conde, C. Jern, D. O. Kleindorfer, R. Lemmens, J. Wasselius, A. Lindgren, T. Rundek, R. L. Sacco, R. Schmidt, P. Sharma, A. Slowik, V. Thijs, B. B. Worrall, D. Woo, S. J. Kittner, P. F. McArdle, B. D. Mitchell, J. Rosand, J. F. Meschia, O. Wu, P. Golland , N. S. Rost</t>
  </si>
  <si>
    <t>K. B. Girum, G. Créhange, R. Hussain , A. Lalande</t>
  </si>
  <si>
    <t>K. B. Girum, A. Lalande, R. Hussain , G. Créhange</t>
  </si>
  <si>
    <t>J. C. González Sánchez, M. Magnusson, M. Sandborg, Å. Carlsson Tedgren , A. Malusek</t>
  </si>
  <si>
    <t>M. Goyal, N. D. Reeves, S. Rajbhandari , M. H. Yap</t>
  </si>
  <si>
    <t>P. M. Graffy, V. Sandfort, R. M. Summers , P. J. Pickhardt</t>
  </si>
  <si>
    <t>J. Greffier, A. Hamard, F. Pereira, C. Barrau, H. Pasquier, J. P. Beregi , J. Frandon</t>
  </si>
  <si>
    <t>A. Gupta, P. J. Harrison, H. Wieslander, N. Pielawski, K. Kartasalo, G. Partel, L. Solorzano, A. Suveer, A. H. Klemm, O. Spjuth, I. M. Sintorn , C. Wählby</t>
  </si>
  <si>
    <t>H. A. Haenssle, C. Fink, F. Toberer, J. Winkler, W. Stolz, T. Deinlein, R. Hofmann-Wellenhof, A. Lallas, S. Emmert, T. Buhl, M. Zutt, A. Blum, M. S. Abassi, L. Thomas, I. Tromme, P. Tschandl, A. Enk , A. Rosenberger</t>
  </si>
  <si>
    <t>A. Hagiwara, Y. Otsuka, M. Hori, Y. Tachibana, K. Yokoyama, S. Fujita, C. Andica, K. Kamagata, R. Irie, S. Koshino, T. Maekawa, L. Chougar, A. Wada, M. Y. Takemura, N. Hattori , S. Aoki</t>
  </si>
  <si>
    <t>Y. Hagiwara, J. E. W. Koh, J. H. Tan, S. V. Bhandary, A. Laude, E. J. Ciaccio, L. Tong , U. R. Acharya</t>
  </si>
  <si>
    <t>N. Hampe, U. Katscher, C. A. T. van den Berg, K. K. Tha , S. Mandija</t>
  </si>
  <si>
    <t>A. Han, M. Byra, E. Heba, M. P. Andre, J. W. Erdman, Jr., R. Loomba, C. B. Sirlin , W. D. O'Brien, Jr.</t>
  </si>
  <si>
    <t>S. A. Harmon, T. H. Sanford, S. Xu, E. B. Turkbey, H. Roth, Z. Xu, D. Yang, A. Myronenko, V. Anderson, A. Amalou, M. Blain, M. Kassin, D. Long, N. Varble, S. M. Walker, U. Bagci, A. M. Ierardi, E. Stellato, G. G. Plensich, G. Franceschelli, C. Girlando, G. Irmici, D. Labella, D. Hammoud, A. Malayeri, E. Jones, R. M. Summers, P. L. Choyke, D. Xu, M. Flores, K. Tamura, H. Obinata, H. Mori, F. Patella, M. Cariati, G. Carrafiello, P. An, B. J. Wood , B. Turkbey</t>
  </si>
  <si>
    <t>M. Heidari, S. Mirniaharikandehei, A. Z. Khuzani, G. Danala, Y. Qiu , B. Zheng</t>
  </si>
  <si>
    <t>A. Hekler, J. S. Utikal, A. H. Enk, C. Berking, J. Klode, D. Schadendorf, P. Jansen, C. Franklin, T. Holland-Letz, D. Krahl, C. von Kalle, S. Fröhling , T. J. Brinker</t>
  </si>
  <si>
    <t>A. Hekler, J. S. Utikal, A. H. Enk, A. Hauschild, M. Weichenthal, R. C. Maron, C. Berking, S. Haferkamp, J. Klode, D. Schadendorf, B. Schilling, T. Holland-Letz, B. Izar, C. von Kalle, S. Fröhling , T. J. Brinker</t>
  </si>
  <si>
    <t>S. A. Hicks, J. M. Andersen, O. Witczak, V. Thambawita, P. Halvorsen, H. L. Hammer, T. B. Haugen , M. A. Riegler</t>
  </si>
  <si>
    <t>S. M. Humphries, A. M. Notary, J. P. Centeno, M. J. Strand, J. D. Crapo, E. K. Silverman , D. A. Lynch</t>
  </si>
  <si>
    <t>Y. Huo, J. G. Terry, J. Wang, S. Nair, T. A. Lasko, B. I. Freedman, J. J. Carr , B. A. Landman</t>
  </si>
  <si>
    <t>R. Huss , S. E. Coupland</t>
  </si>
  <si>
    <t>M. J. Huttunen, A. Hassan, C. W. McCloskey, S. Fasih, J. Upham, B. C. Vanderhyden, R. W. Boyd , S. Murugkar</t>
  </si>
  <si>
    <t>J. D. Ianni, R. E. Soans, S. Sankarapandian, R. V. Chamarthi, D. Ayyagari, T. G. Olsen, M. J. Bonham, C. C. Stavish, K. Motaparthi, C. J. Cockerell, T. A. Feeser , J. B. Lee</t>
  </si>
  <si>
    <t>F. Isensee, M. Schell, I. Pflueger, G. Brugnara, D. Bonekamp, U. Neuberger, A. Wick, H. P. Schlemmer, S. Heiland, W. Wick, M. Bendszus, K. H. Maier-Hein , P. Kickingereder</t>
  </si>
  <si>
    <t>S. Javadi , S. A. Mirroshandel</t>
  </si>
  <si>
    <t>C. T. Jensen, X. Liu, E. P. Tamm, A. G. Chandler, J. Sun, A. C. Morani, S. Javadi , N. A. Wagner-Bartak</t>
  </si>
  <si>
    <t>P. H. S. Kalmet, S. Sanduleanu, S. Primakov, G. Wu, A. Jochems, T. Refaee, A. Ibrahim, L. V. Hulst, P. Lambin , M. Poeze</t>
  </si>
  <si>
    <t>U. Kalwa, C. Legner, E. Wlezien, G. Tylka , S. Pandey</t>
  </si>
  <si>
    <t>M. K. Kanakasabapathy, P. Thirumalaraju, C. L. Bormann, H. Kandula, I. Dimitriadis, I. Souter, V. Yogesh, S. Kota Sai Pavan, D. Yarravarapu, R. Gupta, R. Pooniwala , H. Shafiee</t>
  </si>
  <si>
    <t>N. A. Kande, R. Dakhane, A. Dukkipati , P. K. Yalavarthy</t>
  </si>
  <si>
    <t>C. Kang, X. Yu, S. H. Wang, D. S. Guttery, H. M. Pandey, Y. Tian , Y. D. Zhang</t>
  </si>
  <si>
    <t>Y. E. Kaptein, I. Karagodin, H. Zuo, Y. Lu, J. Zhang, J. S. Kaptein , J. L. Strande</t>
  </si>
  <si>
    <t>S. H. Karandikar, C. Zhang, A. Meiyappan, I. Barman, C. Finck, P. K. Srivastava , R. Pandey</t>
  </si>
  <si>
    <t>R. Karthik, R. Menaka, A. Johnson , S. Anand</t>
  </si>
  <si>
    <t>S. Kimeswenger, P. Tschandl, P. Noack, M. Hofmarcher, E. Rumetshofer, H. Kindermann, R. Silye, S. Hochreiter, M. Kaltenbrunner, E. Guenova, G. Klambauer , W. Hoetzenecker</t>
  </si>
  <si>
    <t>G. Kompella, M. Antico, F. Sasazawa, S. Jeevakala, K. Ram, D. Fontanarosa, A. K. Pandey , M. Sivaprakasam</t>
  </si>
  <si>
    <t>N. Korfhage, M. Mühling, S. Ringshandl, A. Becker, B. Schmeck , B. Freisleben</t>
  </si>
  <si>
    <t>C. Kurz, M. Maspero, M. H. F. Savenije, G. Landry, F. Kamp, M. Pinto, M. Li, K. Parodi, C. Belka , C. A. T. van den Berg</t>
  </si>
  <si>
    <t>A. Lahiri, J. A. Fessler , L. Hernandez-Garcia</t>
  </si>
  <si>
    <t>P. Lakhani, A. B. Prater, R. K. Hutson, K. P. Andriole, K. J. Dreyer, J. Morey, L. M. Prevedello, T. J. Clark, J. R. Geis, J. N. Itri , C. M. Hawkins</t>
  </si>
  <si>
    <t>K. A. Lara Hernandez, T. Rienmüller, D. Baumgartner , C. Baumgartner</t>
  </si>
  <si>
    <t>S. Leclerc, E. Smistad, J. Pedrosa, A. Ostvik, F. Cervenansky, F. Espinosa, T. Espeland, E. A. R. Berg, P. M. Jodoin, T. Grenier, C. Lartizien, J. Dhooge, L. Lovstakken , O. Bernard</t>
  </si>
  <si>
    <t>I. K. Lewandrowsk, N. Muraleedharan, S. A. Eddy, V. Sobti, B. D. Reece, J. F. Ramírez León , S. Shah</t>
  </si>
  <si>
    <t>X. Li, J. H. Thrall, S. R. Digumarthy, M. K. Kalra, P. V. Pandharipande, B. Zhang, C. Nitiwarangkul, R. Singh, R. D. Khera , Q. Li</t>
  </si>
  <si>
    <t>Y. Li, H. Zhang, C. Bermudez, Y. Chen, B. A. Landman , Y. Vorobeychik</t>
  </si>
  <si>
    <t>C. F. Liu, S. Padhy, S. Ramachandran, V. X. Wang, A. Efimov, A. Bernal, L. Shi, M. Vaillant, J. T. Ratnanather, A. V. Faria, B. Caffo, M. Albert , M. I. Miller</t>
  </si>
  <si>
    <t>L. Liu, L. Mou, X. X. Zhu , M. Mandal</t>
  </si>
  <si>
    <t>P. Lohmann, M. Kocher, M. I. Ruge, V. Visser-Vandewalle, N. J. Shah, G. R. Fink, K. J. Langen , N. Galldiks</t>
  </si>
  <si>
    <t>J. Loo, T. E. Clemons, E. Y. Chew, M. Friedlander, G. J. Jaffe , S. Farsiu</t>
  </si>
  <si>
    <t>J. J. Ma, U. Nakarmi, C. Y. S. Kin, C. M. Sandino, J. Y. Cheng, A. B. Syed, P. Wei, J. M. Pauly , S. S. Vasanawala</t>
  </si>
  <si>
    <t>A. Mahbod, P. Tschandl, G. Langs, R. Ecker , I. Ellinger</t>
  </si>
  <si>
    <t>R. C. Maron, M. Weichenthal, J. S. Utikal, A. Hekler, C. Berking, A. Hauschild, A. H. Enk, S. Haferkamp, J. Klode, D. Schadendorf, P. Jansen, T. Holland-Letz, B. Schilling, C. von Kalle, S. Fröhling, M. R. Gaiser, D. Hartmann, A. Gesierich, K. C. Kähler, U. Wehkamp, A. Karoglan, C. Bär , T. J. Brinker</t>
  </si>
  <si>
    <t>G. Mårtensson, D. Ferreira, T. Granberg, L. Cavallin, K. Oppedal, A. Padovani, I. Rektorova, L. Bonanni, M. Pardini, M. G. Kramberger, J. P. Taylor, J. Hort, J. Snædal, J. Kulisevsky, F. Blanc, A. Antonini, P. Mecocci, B. Vellas, M. Tsolaki, I. Kłoszewska, H. Soininen, S. Lovestone, A. Simmons, D. Aarsland , E. Westman</t>
  </si>
  <si>
    <t>P. P. Massion, S. Antic, S. Ather, C. Arteta, J. Brabec, H. Chen, J. Declerck, D. Dufek, W. Hickes, T. Kadir, J. Kunst, B. A. Landman, R. F. Munden, P. Novotny, H. Peschl, L. C. Pickup, C. Santos, G. T. Smith, A. Talwar , F. Gleeson</t>
  </si>
  <si>
    <t>M. Matsumoto, T. Tsutaoka, K. Yabunaka, M. Handa, M. Yoshida, G. Nakagami , H. Sanada</t>
  </si>
  <si>
    <t>T. Matsumoto, S. Kodera, H. Shinohara, H. Ieki, T. Yamaguchi, Y. Higashikuni, A. Kiyosue, K. Ito, J. Ando, E. Takimoto, H. Akazawa, H. Morita , I. Komuro</t>
  </si>
  <si>
    <t>D. B. McCoy, S. M. Dupont, C. Gros, J. Cohen-Adad, R. J. Huie, A. Ferguson, X. Duong-Fernandez, L. H. Thomas, V. Singh, J. Narvid, L. Pascual, N. Kyritsis, M. S. Beattie, J. C. Bresnahan, S. Dhall, W. Whetstone , J. F. Talbott</t>
  </si>
  <si>
    <t>R. McKinley, R. Wepfer, L. Grunder, F. Aschwanden, T. Fischer, C. Friedli, R. Muri, C. Rummel, R. Verma, C. Weisstanner, B. Wiestler, C. Berger, P. Eichinger, M. Muhlau, M. Reyes, A. Salmen, A. Chan, R. Wiest , F. Wagner</t>
  </si>
  <si>
    <t>A. Mezheyeuski, C. H. Bergsland, M. Backman, D. Djureinovic, T. Sjöblom, J. Bruun , P. Micke</t>
  </si>
  <si>
    <t>D. Milea, R. P. Najjar, J. Zhubo, D. Ting, C. Vasseneix, X. Xu, M. Aghsaei Fard, P. Fonseca, K. Vanikieti, W. A. Lagrèze, C. La Morgia, C. Y. Cheung, S. Hamann, C. Chiquet, N. Sanda, H. Yang, L. J. Mejico, M. B. Rougier, R. Kho, T. Thi Ha Chau, S. Singhal, P. Gohier, C. Clermont-Vignal, C. Y. Cheng, J. B. Jonas, P. Yu-Wai-Man, C. L. Fraser, J. J. Chen, S. Ambika, N. R. Miller, Y. Liu, N. J. Newman, T. Y. Wong , V. Biousse</t>
  </si>
  <si>
    <t>A. K. Mishra, S. K. Das, P. Roy , S. Bandyopadhyay</t>
  </si>
  <si>
    <t>D. Moitra , R. K. Mandal</t>
  </si>
  <si>
    <t>E. Montagnon, M. Cerny, A. Cadrin-Chênevert, V. Hamilton, T. Derennes, A. Ilinca, F. Vandenbroucke-Menu, S. Turcotte, S. Kadoury , A. Tang</t>
  </si>
  <si>
    <t>H. Moon, Y. Huo, R. G. Abramson, R. A. Peters, A. Assad, T. K. Moyo, M. R. Savona , B. A. Landman</t>
  </si>
  <si>
    <t>N. Moreau, C. Rousseau, C. Fourcade, G. Santini, L. Ferrer, M. Lacombe, C. Guillerminet, M. Campone, M. Colombie, M. Rubeaux , A. N. Normand</t>
  </si>
  <si>
    <t>G. Muscogiuri, M. Chiesa, M. Trotta, M. Gatti, V. Palmisano, S. Dell'Aversana, F. Baessato, A. Cavaliere, G. Cicala, A. Loffreno, G. Rizzon, M. Guglielmo, A. Baggiano, L. Fusini, L. Saba, D. Andreini, M. Pepi, M. G. Rabbat, A. I. Guaricci, C. N. De Cecco, G. Colombo , G. Pontone</t>
  </si>
  <si>
    <t>M. Nash, R. Kadavigere, J. Andrade, C. A. Sukumar, K. Chawla, V. P. Shenoy, T. Pande, S. Huddart, M. Pai , K. Saravu</t>
  </si>
  <si>
    <t>V. Nath, D. Yang, B. A. Landman, D. Xu , H. R. Roth</t>
  </si>
  <si>
    <t>S. Neppl, G. Landry, C. Kurz, D. C. Hansen, B. Hoyle, S. Stöcklein, M. Seidensticker, J. Weller, C. Belka, K. Parodi , F. Kamp</t>
  </si>
  <si>
    <t>C. Ntakolia, D. E. Diamantis, N. Papandrianos, S. Moustakidis , E. I. Papageorgiou</t>
  </si>
  <si>
    <t>M. Olive-Gadea, C. Crespo, C. Granes, M. Hernandez-Perez, N. Pérez de la Ossa, C. Laredo, X. Urra, J. Carlos Soler, A. Soler, P. Puyalto, P. Cuadras, C. Marti , M. Ribo</t>
  </si>
  <si>
    <t>J. I. Orlando, B. S. Gerendas, S. Riedl, C. Grechenig, A. Breger, M. Ehler, S. M. Waldstein, H. Bogunović , U. Schmidt-Erfurth</t>
  </si>
  <si>
    <t>A. S. Panayides, M. S. Pattichis, S. Leandrou, C. Pitris, A. Constantinidou , C. S. Pattichis</t>
  </si>
  <si>
    <t>G. Z. Papadakis, A. H. Karantanas, M. Tsiknakis, A. Tsatsakis, D. A. Spandidos , K. Marias</t>
  </si>
  <si>
    <t>N. Papandrianos, E. Papageorgiou, A. Anagnostis , K. Papageorgiou</t>
  </si>
  <si>
    <t>N. Papandrianos, E. I. Papageorgiou , A. Anagnostis</t>
  </si>
  <si>
    <t>P. Parvathaneni, V. Nath, M. McHugo, Y. Huo, S. M. Resnick, N. D. Woodward, B. A. Landman , I. Lyu</t>
  </si>
  <si>
    <t>N. Patil , A. Anand</t>
  </si>
  <si>
    <t>S. P. Pereira, L. Oldfield, A. Ney, P. A. Hart, M. G. Keane, S. J. Pandol, D. Li, W. Greenhalf, C. Y. Jeon, E. J. Koay, C. V. Almario, C. Halloran, A. M. Lennon , E. Costello</t>
  </si>
  <si>
    <t>P. J. Pickhardt, P. M. Graffy, R. Zea, S. J. Lee, J. Liu, V. Sandfort , R. M. Summers</t>
  </si>
  <si>
    <t>A. R. Podgorsak, R. A. Rava, M. M. Shiraz Bhurwani, A. R. Chandra, J. M. Davies, A. H. Siddiqui , C. N. Ionita</t>
  </si>
  <si>
    <t>E. Polymeri, M. Sadik, R. Kaboteh, P. Borrelli, O. Enqvist, J. Ulén, M. Ohlsson, E. Trägårdh, M. H. Poulsen, J. A. Simonsen, P. F. Hoilund-Carlsen, A. Johnsson Å , L. Edenbrandt</t>
  </si>
  <si>
    <t>J. Pu, J. K. Leader, A. Bandos, S. Ke, J. Wang, J. Shi, P. Du, Y. Guo, S. E. Wenzel, C. R. Fuhrman, D. O. Wilson, F. C. Sciurba , C. Jin</t>
  </si>
  <si>
    <t>A. Qayyum, A. Lalande , F. Meriaudeau</t>
  </si>
  <si>
    <t>Z. Z. Qin, M. S. Sander, B. Rai, C. N. Titahong, S. Sudrungrot, S. N. Laah, L. M. Adhikari, E. J. Carter, L. Puri, A. J. Codlin , J. Creswell</t>
  </si>
  <si>
    <t>D. Ravi, C. Wong, F. Deligianni, M. Berthelot, J. Andreu-Perez, B. Lo , G. Z. Yang</t>
  </si>
  <si>
    <t>B. Rigaud, B. M. Anderson, Z. H. Yu, M. Gobeli, G. Cazoulat, J. Söderberg, E. Samuelsson, D. Lidberg, C. Ward, N. Taku, C. Cardenas, D. J. Rhee, A. M. Venkatesan, C. B. Peterson, L. Court, S. Svensson, F. Löfman, A. H. Klopp , K. K. Brock</t>
  </si>
  <si>
    <t>W. Rogers, S. Thulasi Seetha, T. A. G. Refaee, R. I. Y. Lieverse, R. W. Y. Granzier, A. Ibrahim, S. A. Keek, S. Sanduleanu, S. P. Primakov, M. P. L. Beuque, D. Marcus, A. M. A. van der Wiel, F. Zerka, C. J. G. Oberije, J. E. van Timmeren, H. C. Woodruff , P. Lambin</t>
  </si>
  <si>
    <t>L. Sander, S. Pezold, S. Andermatt, M. Amann, D. Meier, M. J. Wendebourg, T. Sinnecker, E. W. Radue, Y. Naegelin, C. Granziera, L. Kappos, J. Wuerfel, P. Cattin , R. Schlaeger</t>
  </si>
  <si>
    <t>V. Sandfort, M. Jacobs, A. E. Arai , L. Y. Hsu</t>
  </si>
  <si>
    <t>T. Schaffter, D. S. M. Buist, C. I. Lee, Y. Nikulin, D. Ribli, Y. Guan, W. Lotter, Z. Jie, H. Du, S. Wang, J. Feng, M. Feng, H. E. Kim, F. Albiol, A. Albiol, S. Morrell, Z. Wojna, M. E. Ahsen, U. Asif, A. Jimeno Yepes, S. Yohanandan, S. Rabinovici-Cohen, D. Yi, B. Hoff, T. Yu, E. Chaibub Neto, D. L. Rubin, P. Lindholm, L. R. Margolies, R. B. McBride, J. H. Rothstein, W. Sieh, R. Ben-Ari, S. Harrer, A. Trister, S. Friend, T. Norman, B. Sahiner, F. Strand, J. Guinney, G. Stolovitzky, L. Mackey, J. Cahoon, L. Shen, J. H. Sohn, H. Trivedi, Y. Shen, L. Buturovic, J. C. Pereira, J. S. Cardoso, E. Castro, K. T. Kalleberg, O. Pelka, I. Nedjar, K. J. Geras, F. Nensa, E. Goan, S. Koitka, L. Caballero, D. D. Cox, P. Krishnaswamy, G. Pandey, C. M. Friedrich, D. Perrin, C. Fookes, B. Shi, G. Cardoso Negrie, M. Kawczynski, K. Cho, C. S. Khoo, J. Y. Lo, A. G. Sorensen , H. Jung</t>
  </si>
  <si>
    <t>T. Scherr, K. Löffler, M. Böhland , R. Mikut</t>
  </si>
  <si>
    <t>K. G. Schilling, J. Blaber, C. Hansen, L. Cai, B. Rogers, A. W. Anderson, S. Smith, P. Kanakaraj, T. Rex, S. M. Resnick, A. T. Shafer, L. E. Cutting, N. Woodward, D. Zald , B. A. Landman</t>
  </si>
  <si>
    <t>K. G. Schilling, J. Blaber, Y. Huo, A. Newton, C. Hansen, V. Nath, A. T. Shafer, O. Williams, S. M. Resnick, B. Rogers, A. W. Anderson , B. A. Landman</t>
  </si>
  <si>
    <t>M. D. Schirmer, A. V. Dalca, R. Sridharan, A. K. Giese, K. L. Donahue, M. J. Nardin, S. J. T. Mocking, E. C. McIntosh, P. Frid, J. Wasselius, J. W. Cole, L. Holmegaard, C. Jern, J. Jimenez-Conde, R. Lemmens, A. G. Lindgren, J. F. Meschia, J. Roquer, T. Rundek, R. L. Sacco, R. Schmidt, P. Sharma, A. Slowik, V. Thijs, D. Woo, A. Vagal, H. Xu, S. J. Kittner, P. F. McArdle, B. D. Mitchell, J. Rosand, B. B. Worrall, O. Wu, P. Golland , N. S. Rost</t>
  </si>
  <si>
    <t>M. Shaban, Z. Ogur, A. Mahmoud, A. Switala, A. Shalaby, H. Abu Khalifeh, M. Ghazal, L. Fraiwan, G. Giridharan, H. Sandhu , A. S. El-Baz</t>
  </si>
  <si>
    <t>M. M. Shaver, P. A. Kohanteb, C. Chiou, M. D. Bardis, C. Chantaduly, D. Bota, C. G. Filippi, B. Weinberg, J. Grinband, D. S. Chow , P. D. Chang</t>
  </si>
  <si>
    <t>V. Singh, V. Danda, R. Gorniak, A. Flanders , P. Lakhani</t>
  </si>
  <si>
    <t>J. Sourati, A. Gholipour, J. G. Dy, X. Tomas-Fernandez, S. Kurugol , S. K. Warfield</t>
  </si>
  <si>
    <t>A. Spandorfer, C. Branch, P. Sharma, P. Sahbaee, U. J. Schoepf, J. G. Ravenel , J. W. Nance</t>
  </si>
  <si>
    <t>J. N. Stember, P. Chang, D. M. Stember, M. Liu, J. Grinband, C. G. Filippi, P. Meyers , S. Jambawalikar</t>
  </si>
  <si>
    <t>G. Suman, A. Panda, P. Korfiatis, M. E. Edwards, S. Garg, D. J. Blezek, S. T. Chari , A. H. Goenka</t>
  </si>
  <si>
    <t>Y. Tang, R. Gao, Y. Chen, D. Gao, M. R. Savona, R. G. Abramson, S. Bao, Y. Huo , B. A. Landman</t>
  </si>
  <si>
    <t>R. Tanno, D. E. Worrall, E. Kaden, A. Ghosh, F. Grussu, A. Bizzi, S. N. Sotiropoulos, A. Criminisi , D. C. Alexander</t>
  </si>
  <si>
    <t>E. Tartaglione, C. A. Barbano, C. Berzovini, M. Calandri , M. Grangetto</t>
  </si>
  <si>
    <t>I. Tobore, J. Li, L. Yuhang, Y. Al-Handarish, A. Kandwal, Z. Nie , L. Wang</t>
  </si>
  <si>
    <t>E. Trägårdh, P. Borrelli, R. Kaboteh, T. Gillberg, J. Ulén, O. Enqvist , L. Edenbrandt</t>
  </si>
  <si>
    <t>E. Trivizakis, G. S. Ioannidis, V. D. Melissianos, G. Z. Papadakis, A. Tsatsakis, D. A. Spandidos , K. Marias</t>
  </si>
  <si>
    <t>E. Trivizakis, G. Z. Papadakis, I. Souglakos, N. Papanikolaou, L. Koumakis, D. A. Spandidos, A. Tsatsakis, A. H. Karantanas , K. Marias</t>
  </si>
  <si>
    <t>E. Trivizakis, N. Tsiknakis, E. E. Vassalou, G. Z. Papadakis, D. A. Spandidos, D. Sarigiannis, A. Tsatsakis, N. Papanikolaou, A. H. Karantanas , K. Marias</t>
  </si>
  <si>
    <t>P. Tschandl, G. Argenziano, M. Razmara , J. Yap</t>
  </si>
  <si>
    <t>V. Vigneshwaran, G. B. Sands, I. J. LeGrice, B. H. Smaill , N. P. Smith</t>
  </si>
  <si>
    <t>S. Vitale, J. I. Orlando, E. Iarussi , I. Larrabide</t>
  </si>
  <si>
    <t>J. M. Wandeto , B. Dresp-Langley</t>
  </si>
  <si>
    <t>O. Wu, S. Winzeck, A. K. Giese, B. L. Hancock, M. R. Etherton, M. Bouts, K. Donahue, M. D. Schirmer, R. E. Irie, S. J. T. Mocking, E. C. McIntosh, R. Bezerra, K. Kamnitsas, P. Frid, J. Wasselius, J. W. Cole, H. Xu, L. Holmegaard, J. Jiménez-Conde, R. Lemmens, E. Lorentzen, P. F. McArdle, J. F. Meschia, J. Roquer, T. Rundek, R. L. Sacco, R. Schmidt, P. Sharma, A. Slowik, T. M. Stanne, V. Thijs, A. Vagal, D. Woo, S. Bevan, S. J. Kittner, B. D. Mitchell, J. Rosand, B. B. Worrall, C. Jern, A. G. Lindgren, J. Maguire , N. S. Rost</t>
  </si>
  <si>
    <t>Q. Xie, K. Faust, R. Van Ommeren, A. Sheikh, U. Djuric , P. Diamandis</t>
  </si>
  <si>
    <t>S. J. Yang, S. L. Lipnick, N. R. Makhortova, S. Venugopalan, M. Fan, Z. Armstrong, T. M. Schlaeger, L. Deng, W. K. Chung, L. O'Callaghan, A. Geraschenko, D. Whye, M. Berndl, J. Hazard, B. Williams, A. Narayanaswamy, D. M. Ando, P. Nelson , L. L. Rubin</t>
  </si>
  <si>
    <t>G. T. Zago, R. V. Andreão, B. Dorizzi , E. O. Teatini Salles</t>
  </si>
  <si>
    <t>Z. Zhou, J. W. Sanders, J. M. Johnson, M. K. Gule-Monroe, M. M. Chen, T. M. Briere, Y. Wang, J. B. Son, M. D. Pagel, J. Li , J. Ma</t>
  </si>
  <si>
    <t>J. Zhu, B. Shen, A. Abbasi, M. Hoshmand-Kochi, H. Li , T. Q. Duong</t>
  </si>
  <si>
    <t>improve algorithm</t>
  </si>
  <si>
    <t>CNN, Inception V3</t>
  </si>
  <si>
    <t>characterization-segmention, classification</t>
  </si>
  <si>
    <t>multiple sites</t>
  </si>
  <si>
    <t>CNN+RNN</t>
  </si>
  <si>
    <t>eye</t>
  </si>
  <si>
    <t>CNN,VGG,Inception,SqueezeNet,ResNet,DenseNet,</t>
  </si>
  <si>
    <t>characterization-detection, classification</t>
  </si>
  <si>
    <t>CNN,ResNet,Inception, YOLO</t>
  </si>
  <si>
    <t>SandiArabia</t>
  </si>
  <si>
    <t>Inception, ResNet</t>
  </si>
  <si>
    <t>characterization-segmention,detection</t>
  </si>
  <si>
    <t>Mask R-CNN, RetinaNet,Cascade R-CNN, Faster R-CNN, YOLO, Unet</t>
  </si>
  <si>
    <t xml:space="preserve"> United Arab Emirates</t>
  </si>
  <si>
    <t>DenseNet</t>
  </si>
  <si>
    <t>YOLO</t>
  </si>
  <si>
    <t>OCT optical coherence tomography</t>
  </si>
  <si>
    <t>Jordan</t>
  </si>
  <si>
    <t>DenseNet,ResNet</t>
  </si>
  <si>
    <t>characterization-classification, detection</t>
  </si>
  <si>
    <t>YOLO, ResNet, Inception</t>
  </si>
  <si>
    <t>image acquisition,segmentation,classification</t>
  </si>
  <si>
    <t>VGG,Inception</t>
  </si>
  <si>
    <t>Mnet</t>
  </si>
  <si>
    <t>CNN, MobileNet</t>
  </si>
  <si>
    <t>VGG,MobileNet,Inception,ResNet,Xception</t>
  </si>
  <si>
    <t>GoogLeNet</t>
  </si>
  <si>
    <t>AlexNet</t>
  </si>
  <si>
    <t>ResNet, DenseNet, VGG, Inception</t>
  </si>
  <si>
    <t>AlexNet, VGG, ResNet,
GoogLeNet,Inception</t>
  </si>
  <si>
    <t>characterization-segmention, detection</t>
  </si>
  <si>
    <t>DenseVNet</t>
  </si>
  <si>
    <t>Iceland</t>
  </si>
  <si>
    <t>convolutional AE</t>
  </si>
  <si>
    <t>Mexico</t>
  </si>
  <si>
    <t>VGG, LSTM</t>
  </si>
  <si>
    <t>Inception, AlexNet</t>
  </si>
  <si>
    <t>GAN, Inception</t>
  </si>
  <si>
    <t>Unet, Deeplab, PSPNet</t>
  </si>
  <si>
    <t>Unet, DenseNet</t>
  </si>
  <si>
    <t>FCN, Vnet</t>
  </si>
  <si>
    <t>Romania</t>
  </si>
  <si>
    <t>Inception, DenseNet, ResNet, VGG</t>
  </si>
  <si>
    <t>ResNet，DenseNet，VGG，SqueezeNet，AlexNet</t>
  </si>
  <si>
    <t>Faster R-CNN, Inception</t>
  </si>
  <si>
    <t>ResNet, DenseNet,Inception</t>
  </si>
  <si>
    <t>DL</t>
  </si>
  <si>
    <t>LSTM,Unet</t>
  </si>
  <si>
    <t>Unet,Mask R-CNN</t>
  </si>
  <si>
    <t>characterization-detection,classification</t>
  </si>
  <si>
    <t>ResNet, DenseNet</t>
  </si>
  <si>
    <t>ManifoldNet</t>
  </si>
  <si>
    <t>CNN,RNN,Unet</t>
  </si>
  <si>
    <t>Xception</t>
  </si>
  <si>
    <t>Unet, ResNet</t>
  </si>
  <si>
    <t>AlexNet,ResNet,Inception</t>
  </si>
  <si>
    <t>VGG,Unet</t>
  </si>
  <si>
    <t>RNN,DenseNet</t>
  </si>
  <si>
    <t>characterization-segmention,classification</t>
  </si>
  <si>
    <t>Unet,ResNet</t>
  </si>
  <si>
    <t>VGG，Inception, Xception</t>
  </si>
  <si>
    <t>LSTM</t>
  </si>
  <si>
    <t>Vnet</t>
  </si>
  <si>
    <t>auto encoder,CNN,GAN</t>
  </si>
  <si>
    <t>characterization-classification,identification</t>
  </si>
  <si>
    <t>FCN,AlexNet,VGG,GoogLeNet,Unet</t>
  </si>
  <si>
    <t>MLP,AlexNet,GoogLeNet</t>
  </si>
  <si>
    <t>Unet,GAN</t>
  </si>
  <si>
    <t>10.1016/j.jacr.2020.02.005</t>
    <phoneticPr fontId="1" type="noConversion"/>
  </si>
  <si>
    <t>10.1007/s11517-020-02199-5</t>
    <phoneticPr fontId="1" type="noConversion"/>
  </si>
  <si>
    <t>CNN</t>
    <phoneticPr fontId="1" type="noConversion"/>
  </si>
  <si>
    <t>10.1109/tmi.2018.2794988</t>
    <phoneticPr fontId="1" type="noConversion"/>
  </si>
  <si>
    <t>10.1186/s12938-019-0714-6</t>
    <phoneticPr fontId="1" type="noConversion"/>
  </si>
  <si>
    <t>10.1007/s11548-020-02121-2</t>
    <phoneticPr fontId="1" type="noConversion"/>
  </si>
  <si>
    <t>Faster R-CNN</t>
    <phoneticPr fontId="1" type="noConversion"/>
  </si>
  <si>
    <t>10.1002/mp.14539</t>
    <phoneticPr fontId="1" type="noConversion"/>
  </si>
  <si>
    <t>GAN</t>
    <phoneticPr fontId="1" type="noConversion"/>
  </si>
  <si>
    <t>10.1088/1361-6560/abb31f</t>
    <phoneticPr fontId="1" type="noConversion"/>
  </si>
  <si>
    <t>10.7507/1001-5515.201903052</t>
    <phoneticPr fontId="1" type="noConversion"/>
  </si>
  <si>
    <t>10.1016/j.mri.2019.07.014</t>
    <phoneticPr fontId="1" type="noConversion"/>
  </si>
  <si>
    <t>10.2196/16291</t>
    <phoneticPr fontId="1" type="noConversion"/>
  </si>
  <si>
    <t>10.1109/jbhi.2018.2884678</t>
    <phoneticPr fontId="1" type="noConversion"/>
  </si>
  <si>
    <t>10.1016/j.jneumeth.2019.108371</t>
    <phoneticPr fontId="1" type="noConversion"/>
  </si>
  <si>
    <t>MLP，RNN</t>
    <phoneticPr fontId="1" type="noConversion"/>
  </si>
  <si>
    <t>10.3233/shti200572</t>
    <phoneticPr fontId="1" type="noConversion"/>
  </si>
  <si>
    <t>Russia</t>
    <phoneticPr fontId="1" type="noConversion"/>
  </si>
  <si>
    <t>10.1038/s41598-020-72143-y</t>
    <phoneticPr fontId="1" type="noConversion"/>
  </si>
  <si>
    <t>10.1002/mp.13640</t>
    <phoneticPr fontId="1" type="noConversion"/>
  </si>
  <si>
    <t>An automated technique to stage lower third molar development on panoramic radiographs for age estimation: a pilot study</t>
    <phoneticPr fontId="1" type="noConversion"/>
  </si>
  <si>
    <t>10.1109/tmi.2019.2899534</t>
    <phoneticPr fontId="1" type="noConversion"/>
  </si>
  <si>
    <t>10.3233/shti200373</t>
    <phoneticPr fontId="1" type="noConversion"/>
  </si>
  <si>
    <t>HE</t>
  </si>
  <si>
    <t>10.3390/ijerph17165993</t>
    <phoneticPr fontId="1" type="noConversion"/>
  </si>
  <si>
    <t>MobileNet</t>
    <phoneticPr fontId="1" type="noConversion"/>
  </si>
  <si>
    <t>musculoskeletal</t>
    <phoneticPr fontId="1" type="noConversion"/>
  </si>
  <si>
    <t>CNN,LSTM</t>
    <phoneticPr fontId="1" type="noConversion"/>
  </si>
  <si>
    <t>FCN</t>
    <phoneticPr fontId="1" type="noConversion"/>
  </si>
  <si>
    <t>imagine</t>
    <phoneticPr fontId="1" type="noConversion"/>
  </si>
  <si>
    <t>Tunisia</t>
  </si>
  <si>
    <t>Morocco</t>
    <phoneticPr fontId="1" type="noConversion"/>
  </si>
  <si>
    <t>Vnet</t>
    <phoneticPr fontId="1" type="noConversion"/>
  </si>
  <si>
    <t>Argentina</t>
    <phoneticPr fontId="1" type="noConversion"/>
  </si>
  <si>
    <t>MLP</t>
    <phoneticPr fontId="1" type="noConversion"/>
  </si>
  <si>
    <t>head and neck</t>
    <phoneticPr fontId="1" type="noConversion"/>
  </si>
  <si>
    <t>LSTM</t>
    <phoneticPr fontId="1" type="noConversion"/>
  </si>
  <si>
    <t>GAT</t>
    <phoneticPr fontId="1" type="noConversion"/>
  </si>
  <si>
    <t>Biomedical Image Processing with Containers and Deep Learning: An Automated Analysis Pipeline: Data architecture, artificial intelligence, automated processing, containerization, and clusters orchestration ease the transition from data acquisition to insights in medium-to-large datasets</t>
    <phoneticPr fontId="1" type="noConversion"/>
  </si>
  <si>
    <t>Artificial intelligence for the detection of COVID-19 pneumonia on chest CT using multinational datasets</t>
    <phoneticPr fontId="1" type="noConversion"/>
  </si>
  <si>
    <t>CNN，SAE</t>
    <phoneticPr fontId="1" type="noConversion"/>
  </si>
  <si>
    <t>government</t>
    <phoneticPr fontId="1" type="noConversion"/>
  </si>
  <si>
    <t>Sharpening of Hierarchical Visual Feature Representations of Blurred Images</t>
    <phoneticPr fontId="1" type="noConversion"/>
  </si>
  <si>
    <t>Histopathology-validated machine learning radiographic biomarker for noninvasive discrimination between true progression and pseudo-progression in glioblastoma</t>
    <phoneticPr fontId="1" type="noConversion"/>
  </si>
  <si>
    <t>Advancements in technology and digitization have ushered in novel ways of enhancing tissue-based research via digital microscopy and image analysis. Whole slide imaging scanners enable digitization of histology slides to be stored in virtual slide repositories and to be viewed via computers instead of microscopes. Easier and faster sharing of histologic images for teaching and consultation, improved storage and preservation of quality of stained slides, and annotation of features of interest in the digital slides are just a few of the advantages of this technology. Combined with the development of software for digital image analysis, digital slides further pave the way for the development of tools that extract quantitative data from tissue-based studies. This review introduces digital microscopy and pathology, and addresses technical and scientific considerations in slide scanning, quantitative image analysis, and slide repositories. It also highlights the current state of the technology and factors that need to be taken into account to insure optimal utility, including preanalytical considerations and the importance of involving a pathologist in all major steps along the digital microscopy and pathology workflow.</t>
    <phoneticPr fontId="1" type="noConversion"/>
  </si>
  <si>
    <t>Egypt</t>
    <phoneticPr fontId="1" type="noConversion"/>
  </si>
  <si>
    <t>characterization-classification</t>
    <phoneticPr fontId="1" type="noConversion"/>
  </si>
  <si>
    <t>image acquisition，characterization-classification</t>
    <phoneticPr fontId="1" type="noConversion"/>
  </si>
  <si>
    <t>DBN</t>
    <phoneticPr fontId="1" type="noConversion"/>
  </si>
  <si>
    <t>Deeplab</t>
    <phoneticPr fontId="1" type="noConversion"/>
  </si>
  <si>
    <t>10.1007/s11548-020-02223-x</t>
    <phoneticPr fontId="1" type="noConversion"/>
  </si>
  <si>
    <t>single center</t>
    <phoneticPr fontId="1" type="noConversion"/>
  </si>
  <si>
    <t>Mask R-CNN</t>
    <phoneticPr fontId="1" type="noConversion"/>
  </si>
  <si>
    <t>DNN</t>
    <phoneticPr fontId="1" type="noConversion"/>
  </si>
  <si>
    <t>characterization-diagnose</t>
    <phoneticPr fontId="1" type="noConversion"/>
  </si>
  <si>
    <t>image acquisition</t>
    <phoneticPr fontId="1" type="noConversion"/>
  </si>
  <si>
    <t>CNN,RNN</t>
    <phoneticPr fontId="1" type="noConversion"/>
  </si>
  <si>
    <t>Hungary</t>
    <phoneticPr fontId="1" type="noConversion"/>
  </si>
  <si>
    <t xml:space="preserve"> Iraq</t>
    <phoneticPr fontId="1" type="noConversion"/>
  </si>
  <si>
    <t>RED-CNN</t>
    <phoneticPr fontId="1" type="noConversion"/>
  </si>
  <si>
    <t>MLP,Aotoencoder</t>
    <phoneticPr fontId="1" type="noConversion"/>
  </si>
  <si>
    <t>DL</t>
    <phoneticPr fontId="1" type="noConversion"/>
  </si>
  <si>
    <t>characterization-detection,segmentation</t>
    <phoneticPr fontId="1" type="noConversion"/>
  </si>
  <si>
    <t>LSTM,CNN</t>
    <phoneticPr fontId="1" type="noConversion"/>
  </si>
  <si>
    <t>YOLO</t>
    <phoneticPr fontId="1" type="noConversion"/>
  </si>
  <si>
    <t>Czech Republic</t>
  </si>
  <si>
    <t>other</t>
    <phoneticPr fontId="1" type="noConversion"/>
  </si>
  <si>
    <t>characterization-segmention,detection</t>
    <phoneticPr fontId="1" type="noConversion"/>
  </si>
  <si>
    <t>10.1038/s41598-020-64205-y</t>
    <phoneticPr fontId="1" type="noConversion"/>
  </si>
  <si>
    <t>10.1186/s12859-020-03848-0</t>
    <phoneticPr fontId="1" type="noConversion"/>
  </si>
  <si>
    <t>Iceland</t>
    <phoneticPr fontId="1" type="noConversion"/>
  </si>
  <si>
    <t>US</t>
    <phoneticPr fontId="1" type="noConversion"/>
  </si>
  <si>
    <t>characterization-segmention</t>
    <phoneticPr fontId="1" type="noConversion"/>
  </si>
  <si>
    <t>Xception</t>
    <phoneticPr fontId="1" type="noConversion"/>
  </si>
  <si>
    <t>10.1016/j.saa.2019.117386</t>
    <phoneticPr fontId="1" type="noConversion"/>
  </si>
  <si>
    <t>SAE</t>
    <phoneticPr fontId="1" type="noConversion"/>
  </si>
  <si>
    <t>multi-center</t>
    <phoneticPr fontId="1" type="noConversion"/>
  </si>
  <si>
    <t>Faster R-CNN,LSTM</t>
    <phoneticPr fontId="1" type="noConversion"/>
  </si>
  <si>
    <t>10.1097/rli.0000000000000583</t>
    <phoneticPr fontId="1" type="noConversion"/>
  </si>
  <si>
    <t>characterization-detection,classification</t>
    <phoneticPr fontId="1" type="noConversion"/>
  </si>
  <si>
    <t>10.1117/1.Jmi.6.2.025008</t>
    <phoneticPr fontId="1" type="noConversion"/>
  </si>
  <si>
    <t>Denmark</t>
    <phoneticPr fontId="1" type="noConversion"/>
  </si>
  <si>
    <t>Xception,LSTM</t>
    <phoneticPr fontId="1" type="noConversion"/>
  </si>
  <si>
    <t>Czech Republic</t>
    <phoneticPr fontId="1" type="noConversion"/>
  </si>
  <si>
    <t>convolutional-AE</t>
    <phoneticPr fontId="1" type="noConversion"/>
  </si>
  <si>
    <t>CNN+LSTM</t>
    <phoneticPr fontId="1" type="noConversion"/>
  </si>
  <si>
    <t>RNN</t>
    <phoneticPr fontId="1" type="noConversion"/>
  </si>
  <si>
    <t>10.1002/mrm.27727</t>
    <phoneticPr fontId="1" type="noConversion"/>
  </si>
  <si>
    <t>NASNet</t>
    <phoneticPr fontId="1" type="noConversion"/>
  </si>
  <si>
    <t>10.3340/jkns.2019.0084</t>
    <phoneticPr fontId="1" type="noConversion"/>
  </si>
  <si>
    <t>characterization-identification,classification</t>
    <phoneticPr fontId="1" type="noConversion"/>
  </si>
  <si>
    <t>GAN,U-Net</t>
    <phoneticPr fontId="1" type="noConversion"/>
  </si>
  <si>
    <t>U-Net</t>
    <phoneticPr fontId="1" type="noConversion"/>
  </si>
  <si>
    <t>LSTM+CNN</t>
    <phoneticPr fontId="1" type="noConversion"/>
  </si>
  <si>
    <t>miscellaneous (not conforming to one of the aforementioned categories)</t>
    <phoneticPr fontId="1" type="noConversion"/>
  </si>
  <si>
    <t>RBM</t>
    <phoneticPr fontId="1" type="noConversion"/>
  </si>
  <si>
    <t>LeNet</t>
    <phoneticPr fontId="1" type="noConversion"/>
  </si>
  <si>
    <t>both</t>
    <phoneticPr fontId="1" type="noConversion"/>
  </si>
  <si>
    <t>10.1088/1361-6560/ab8cd2</t>
    <phoneticPr fontId="1" type="noConversion"/>
  </si>
  <si>
    <t>10.1109/tmi.2020.2974574</t>
    <phoneticPr fontId="1" type="noConversion"/>
  </si>
  <si>
    <t>A comparison of deep learning performance against health-care professionals in detecting diseases from medical imaging: a systematic review and meta-analysis</t>
    <phoneticPr fontId="1" type="noConversion"/>
  </si>
  <si>
    <t>characterization-classification,detection</t>
    <phoneticPr fontId="1" type="noConversion"/>
  </si>
  <si>
    <t>Mask
R-CNN</t>
    <phoneticPr fontId="1" type="noConversion"/>
  </si>
  <si>
    <t>10.1002/jbio.202000325</t>
    <phoneticPr fontId="1" type="noConversion"/>
  </si>
  <si>
    <t>DensNet</t>
  </si>
  <si>
    <t>Bangladesh</t>
    <phoneticPr fontId="1" type="noConversion"/>
  </si>
  <si>
    <t>10.1148/radiol.2019191293</t>
    <phoneticPr fontId="1" type="noConversion"/>
  </si>
  <si>
    <t>private</t>
    <phoneticPr fontId="1" type="noConversion"/>
  </si>
  <si>
    <t>Argentina</t>
    <phoneticPr fontId="1" type="noConversion"/>
  </si>
  <si>
    <t>LSTM+CNN</t>
    <phoneticPr fontId="1" type="noConversion"/>
  </si>
  <si>
    <t>DNN</t>
    <phoneticPr fontId="1" type="noConversion"/>
  </si>
  <si>
    <t>GAN</t>
    <phoneticPr fontId="1" type="noConversion"/>
  </si>
  <si>
    <t>LSTM</t>
    <phoneticPr fontId="1" type="noConversion"/>
  </si>
  <si>
    <t>CAE</t>
    <phoneticPr fontId="1" type="noConversion"/>
  </si>
  <si>
    <t>CNN</t>
    <phoneticPr fontId="1" type="noConversion"/>
  </si>
  <si>
    <t>Towards realistic laparoscopic image generation using image-domain translation</t>
    <phoneticPr fontId="1" type="noConversion"/>
  </si>
  <si>
    <t>DL</t>
    <phoneticPr fontId="1" type="noConversion"/>
  </si>
  <si>
    <t>single center</t>
    <phoneticPr fontId="1" type="noConversion"/>
  </si>
  <si>
    <t>Tunisia</t>
    <phoneticPr fontId="1" type="noConversion"/>
  </si>
  <si>
    <t>DL</t>
    <phoneticPr fontId="1" type="noConversion"/>
  </si>
  <si>
    <t>monitoring</t>
    <phoneticPr fontId="1" type="noConversion"/>
  </si>
  <si>
    <t>CNN</t>
    <phoneticPr fontId="1" type="noConversion"/>
  </si>
  <si>
    <t>FCN</t>
    <phoneticPr fontId="1" type="noConversion"/>
  </si>
  <si>
    <t>microscopy image</t>
    <phoneticPr fontId="1" type="noConversion"/>
  </si>
  <si>
    <t>government</t>
    <phoneticPr fontId="1" type="noConversion"/>
  </si>
  <si>
    <t>CNN</t>
    <phoneticPr fontId="1" type="noConversion"/>
  </si>
  <si>
    <t>GAN</t>
    <phoneticPr fontId="1" type="noConversion"/>
  </si>
  <si>
    <t>single center</t>
    <phoneticPr fontId="1" type="noConversion"/>
  </si>
  <si>
    <t>LSTM+CNN</t>
    <phoneticPr fontId="1" type="noConversion"/>
  </si>
  <si>
    <t>multi-center</t>
    <phoneticPr fontId="1" type="noConversion"/>
  </si>
  <si>
    <t>MLP</t>
    <phoneticPr fontId="1" type="noConversion"/>
  </si>
  <si>
    <t>Tunisia</t>
    <phoneticPr fontId="1" type="noConversion"/>
  </si>
  <si>
    <t>Bangladesh</t>
    <phoneticPr fontId="1" type="noConversion"/>
  </si>
  <si>
    <t>CNN</t>
    <phoneticPr fontId="1" type="noConversion"/>
  </si>
  <si>
    <t>Portugal</t>
    <phoneticPr fontId="1" type="noConversion"/>
  </si>
  <si>
    <t>DL</t>
    <phoneticPr fontId="1" type="noConversion"/>
  </si>
  <si>
    <t>characterization-detection,classification</t>
    <phoneticPr fontId="1" type="noConversion"/>
  </si>
  <si>
    <t>ELM</t>
    <phoneticPr fontId="1" type="noConversion"/>
  </si>
  <si>
    <t>patch</t>
  </si>
  <si>
    <t>characterization-segmention</t>
    <phoneticPr fontId="1" type="noConversion"/>
  </si>
  <si>
    <t>FCN,ResNet,VGG,Inception,Xception,MobileNet</t>
  </si>
  <si>
    <t>CNN</t>
    <phoneticPr fontId="1" type="noConversion"/>
  </si>
  <si>
    <t>patient</t>
    <phoneticPr fontId="1" type="noConversion"/>
  </si>
  <si>
    <t>characterization-segmention,preprocessing</t>
    <phoneticPr fontId="1" type="noConversion"/>
  </si>
  <si>
    <t>CAE</t>
    <phoneticPr fontId="1" type="noConversion"/>
  </si>
  <si>
    <t>RegNet</t>
  </si>
  <si>
    <t>U-Net</t>
    <phoneticPr fontId="1" type="noConversion"/>
  </si>
  <si>
    <t>Deeplab</t>
    <phoneticPr fontId="1" type="noConversion"/>
  </si>
  <si>
    <t>YOLO</t>
    <phoneticPr fontId="1" type="noConversion"/>
  </si>
  <si>
    <t>SqueezeNet</t>
    <phoneticPr fontId="1" type="noConversion"/>
  </si>
  <si>
    <t>characterization-detection,classification</t>
    <phoneticPr fontId="1" type="noConversion"/>
  </si>
  <si>
    <t>CNN</t>
    <phoneticPr fontId="1" type="noConversion"/>
  </si>
  <si>
    <t>characterization-detection,segmentation</t>
    <phoneticPr fontId="1" type="noConversion"/>
  </si>
  <si>
    <t>ECT</t>
  </si>
  <si>
    <t>Bone metastasis classification using whole body images from prostate cancer patients based on convolutional neural networks application</t>
    <phoneticPr fontId="1" type="noConversion"/>
  </si>
  <si>
    <t>characterization-segmention,classification</t>
    <phoneticPr fontId="1" type="noConversion"/>
  </si>
  <si>
    <t>MLP,SAE</t>
    <phoneticPr fontId="1" type="noConversion"/>
  </si>
  <si>
    <t>FCN</t>
    <phoneticPr fontId="1" type="noConversion"/>
  </si>
  <si>
    <t>OCT optical coherence tomography</t>
    <phoneticPr fontId="1" type="noConversion"/>
  </si>
  <si>
    <t>DNN</t>
    <phoneticPr fontId="1" type="noConversion"/>
  </si>
  <si>
    <t>radiology</t>
    <phoneticPr fontId="1" type="noConversion"/>
  </si>
  <si>
    <t>CNN</t>
    <phoneticPr fontId="1" type="noConversion"/>
  </si>
  <si>
    <t>characterization-,segmentation</t>
    <phoneticPr fontId="1" type="noConversion"/>
  </si>
  <si>
    <t>U-Net</t>
    <phoneticPr fontId="1" type="noConversion"/>
  </si>
  <si>
    <t>characterization-detection,classification</t>
    <phoneticPr fontId="1" type="noConversion"/>
  </si>
  <si>
    <t>DL</t>
    <phoneticPr fontId="1" type="noConversion"/>
  </si>
  <si>
    <t>FCN</t>
    <phoneticPr fontId="1" type="noConversion"/>
  </si>
  <si>
    <t>LSTM</t>
    <phoneticPr fontId="1" type="noConversion"/>
  </si>
  <si>
    <t>CNN</t>
    <phoneticPr fontId="1" type="noConversion"/>
  </si>
  <si>
    <t>10.12116/j.issn.1004-5619.2020.05.004</t>
    <phoneticPr fontId="1" type="noConversion"/>
  </si>
  <si>
    <t>characterization-classification,identification</t>
    <phoneticPr fontId="1" type="noConversion"/>
  </si>
  <si>
    <t>Portugal</t>
    <phoneticPr fontId="1" type="noConversion"/>
  </si>
  <si>
    <t>U-net</t>
    <phoneticPr fontId="1" type="noConversion"/>
  </si>
  <si>
    <t>characterization-classification,detection</t>
    <phoneticPr fontId="1" type="noConversion"/>
  </si>
  <si>
    <t>LSTM+CNN</t>
    <phoneticPr fontId="1" type="noConversion"/>
  </si>
  <si>
    <t>characterization-identification,classification</t>
    <phoneticPr fontId="1" type="noConversion"/>
  </si>
  <si>
    <t>RNN+CNN</t>
    <phoneticPr fontId="1" type="noConversion"/>
  </si>
  <si>
    <t>Vnet</t>
    <phoneticPr fontId="1" type="noConversion"/>
  </si>
  <si>
    <t>RNN</t>
    <phoneticPr fontId="1" type="noConversion"/>
  </si>
  <si>
    <t>GAN</t>
    <phoneticPr fontId="1" type="noConversion"/>
  </si>
  <si>
    <t>characterization-classification,detection</t>
    <phoneticPr fontId="1" type="noConversion"/>
  </si>
  <si>
    <t>CNN+LSTM</t>
    <phoneticPr fontId="1" type="noConversion"/>
  </si>
  <si>
    <t>DL</t>
    <phoneticPr fontId="1" type="noConversion"/>
  </si>
  <si>
    <t>FCN+MLP</t>
    <phoneticPr fontId="1" type="noConversion"/>
  </si>
  <si>
    <t>A comparative analysis of deep learning architectures on high variation malaria parasite classification dataset</t>
    <phoneticPr fontId="1" type="noConversion"/>
  </si>
  <si>
    <t>CNN</t>
    <phoneticPr fontId="1" type="noConversion"/>
  </si>
  <si>
    <t>government</t>
    <phoneticPr fontId="1" type="noConversion"/>
  </si>
  <si>
    <t>characterization-identification,segmentation</t>
    <phoneticPr fontId="1" type="noConversion"/>
  </si>
  <si>
    <t>GAN</t>
    <phoneticPr fontId="1" type="noConversion"/>
  </si>
  <si>
    <t>characterization-classification,image acquisition</t>
    <phoneticPr fontId="1" type="noConversion"/>
  </si>
  <si>
    <t>Lithuania</t>
    <phoneticPr fontId="1" type="noConversion"/>
  </si>
  <si>
    <t>characterization-segmention</t>
    <phoneticPr fontId="1" type="noConversion"/>
  </si>
  <si>
    <t>characterization-detection,segmentation</t>
    <phoneticPr fontId="1" type="noConversion"/>
  </si>
  <si>
    <t>FCN</t>
    <phoneticPr fontId="1" type="noConversion"/>
  </si>
  <si>
    <t>CNN</t>
    <phoneticPr fontId="1" type="noConversion"/>
  </si>
  <si>
    <t>Portugal</t>
    <phoneticPr fontId="1" type="noConversion"/>
  </si>
  <si>
    <t>musculoskeletal</t>
    <phoneticPr fontId="1" type="noConversion"/>
  </si>
  <si>
    <t>Denmark</t>
    <phoneticPr fontId="1" type="noConversion"/>
  </si>
  <si>
    <t>DL</t>
    <phoneticPr fontId="1" type="noConversion"/>
  </si>
  <si>
    <t>Mexico</t>
    <phoneticPr fontId="1" type="noConversion"/>
  </si>
  <si>
    <t>Multi-modal siamese network for diagnostically similar lesion retrieval in prostate MRI</t>
    <phoneticPr fontId="1" type="noConversion"/>
  </si>
  <si>
    <t>10.1109/tmi.2020.3043641</t>
    <phoneticPr fontId="1" type="noConversion"/>
  </si>
  <si>
    <t>CNN</t>
    <phoneticPr fontId="1" type="noConversion"/>
  </si>
  <si>
    <t>10.1364/ao.377810</t>
    <phoneticPr fontId="1" type="noConversion"/>
  </si>
  <si>
    <t>GAN</t>
    <phoneticPr fontId="1" type="noConversion"/>
  </si>
  <si>
    <t>characterization-detection,classification</t>
    <phoneticPr fontId="1" type="noConversion"/>
  </si>
  <si>
    <t>DL</t>
    <phoneticPr fontId="1" type="noConversion"/>
  </si>
  <si>
    <t>Egypt</t>
    <phoneticPr fontId="1" type="noConversion"/>
  </si>
  <si>
    <t>RBM</t>
    <phoneticPr fontId="1" type="noConversion"/>
  </si>
  <si>
    <t>10.1016/j.artmed.2019.101749</t>
    <phoneticPr fontId="1" type="noConversion"/>
  </si>
  <si>
    <t>MLP,DNN</t>
    <phoneticPr fontId="1" type="noConversion"/>
  </si>
  <si>
    <t>multi-center</t>
    <phoneticPr fontId="1" type="noConversion"/>
  </si>
  <si>
    <t>musculoskeletal</t>
    <phoneticPr fontId="1" type="noConversion"/>
  </si>
  <si>
    <t>CNN</t>
    <phoneticPr fontId="1" type="noConversion"/>
  </si>
  <si>
    <t>Mask-R CNN</t>
    <phoneticPr fontId="1" type="noConversion"/>
  </si>
  <si>
    <t>CNN,LSTM</t>
    <phoneticPr fontId="1" type="noConversion"/>
  </si>
  <si>
    <t>Egypt</t>
    <phoneticPr fontId="1" type="noConversion"/>
  </si>
  <si>
    <t>LSTM+GAN</t>
    <phoneticPr fontId="1" type="noConversion"/>
  </si>
  <si>
    <t>Machine learning techniques for biomedical image segmentation: An overview of technical aspects and introduction to state-of-art applications</t>
    <phoneticPr fontId="1" type="noConversion"/>
  </si>
  <si>
    <t>CNN</t>
    <phoneticPr fontId="1" type="noConversion"/>
  </si>
  <si>
    <t>characterization-classification,detection</t>
    <phoneticPr fontId="1" type="noConversion"/>
  </si>
  <si>
    <t>single center</t>
    <phoneticPr fontId="1" type="noConversion"/>
  </si>
  <si>
    <t>Qatar</t>
    <phoneticPr fontId="1" type="noConversion"/>
  </si>
  <si>
    <t>Fast R-CNN</t>
    <phoneticPr fontId="1" type="noConversion"/>
  </si>
  <si>
    <t>Fully Convolutional Networks for Monocular Retinal Depth Estimation and Optic Disc-Cup Segmentation</t>
    <phoneticPr fontId="1" type="noConversion"/>
  </si>
  <si>
    <t>Brain ventricle parcellation using a deep neural network: Application to patients with ventriculomegaly</t>
    <phoneticPr fontId="1" type="noConversion"/>
  </si>
  <si>
    <t>CNN</t>
    <phoneticPr fontId="1" type="noConversion"/>
  </si>
  <si>
    <t>DL</t>
    <phoneticPr fontId="1" type="noConversion"/>
  </si>
  <si>
    <t>CNN</t>
    <phoneticPr fontId="1" type="noConversion"/>
  </si>
  <si>
    <t>characterization-detection,image acquisition</t>
    <phoneticPr fontId="1" type="noConversion"/>
  </si>
  <si>
    <t>Faster R-CNN</t>
    <phoneticPr fontId="1" type="noConversion"/>
  </si>
  <si>
    <t>GAN+LSTM</t>
    <phoneticPr fontId="1" type="noConversion"/>
  </si>
  <si>
    <t>other</t>
    <phoneticPr fontId="1" type="noConversion"/>
  </si>
  <si>
    <t>characterization-detection,classification,diagnosis</t>
    <phoneticPr fontId="1" type="noConversion"/>
  </si>
  <si>
    <t>Xception</t>
    <phoneticPr fontId="1" type="noConversion"/>
  </si>
  <si>
    <t>CNN</t>
    <phoneticPr fontId="1" type="noConversion"/>
  </si>
  <si>
    <t>DNN</t>
    <phoneticPr fontId="1" type="noConversion"/>
  </si>
  <si>
    <t>YOLO</t>
    <phoneticPr fontId="1" type="noConversion"/>
  </si>
  <si>
    <t>miscellaneous (not conforming to one of the aforementioned categories)</t>
    <phoneticPr fontId="1" type="noConversion"/>
  </si>
  <si>
    <t>CNN</t>
    <phoneticPr fontId="1" type="noConversion"/>
  </si>
  <si>
    <t>U-net,DeepLab</t>
    <phoneticPr fontId="1" type="noConversion"/>
  </si>
  <si>
    <t>DL</t>
    <phoneticPr fontId="1" type="noConversion"/>
  </si>
  <si>
    <t>MLP</t>
    <phoneticPr fontId="1" type="noConversion"/>
  </si>
  <si>
    <t>GAN</t>
    <phoneticPr fontId="1" type="noConversion"/>
  </si>
  <si>
    <t>characterization-segmention,classification,detection</t>
    <phoneticPr fontId="1" type="noConversion"/>
  </si>
  <si>
    <t>characterization-detection,classification</t>
    <phoneticPr fontId="1" type="noConversion"/>
  </si>
  <si>
    <t>CNN</t>
    <phoneticPr fontId="1" type="noConversion"/>
  </si>
  <si>
    <t>reporting</t>
  </si>
  <si>
    <t>image acquisition</t>
    <phoneticPr fontId="1" type="noConversion"/>
  </si>
  <si>
    <t>DL</t>
    <phoneticPr fontId="1" type="noConversion"/>
  </si>
  <si>
    <t>single center</t>
    <phoneticPr fontId="1" type="noConversion"/>
  </si>
  <si>
    <t>FCN</t>
    <phoneticPr fontId="1" type="noConversion"/>
  </si>
  <si>
    <t>CNN</t>
    <phoneticPr fontId="1" type="noConversion"/>
  </si>
  <si>
    <t>patient</t>
    <phoneticPr fontId="1" type="noConversion"/>
  </si>
  <si>
    <t>GAN</t>
    <phoneticPr fontId="1" type="noConversion"/>
  </si>
  <si>
    <t>DNN</t>
    <phoneticPr fontId="1" type="noConversion"/>
  </si>
  <si>
    <t>SAE</t>
    <phoneticPr fontId="1" type="noConversion"/>
  </si>
  <si>
    <t>DNN</t>
    <phoneticPr fontId="1" type="noConversion"/>
  </si>
  <si>
    <t>GAN</t>
    <phoneticPr fontId="1" type="noConversion"/>
  </si>
  <si>
    <t>MobileNet,SqueezeNet</t>
    <phoneticPr fontId="1" type="noConversion"/>
  </si>
  <si>
    <t>CNN</t>
    <phoneticPr fontId="1" type="noConversion"/>
  </si>
  <si>
    <t>Vnet+LSTM+GAN</t>
    <phoneticPr fontId="1" type="noConversion"/>
  </si>
  <si>
    <t>DL</t>
    <phoneticPr fontId="1" type="noConversion"/>
  </si>
  <si>
    <t>MobileNet</t>
  </si>
  <si>
    <t>Vietnam</t>
    <phoneticPr fontId="1" type="noConversion"/>
  </si>
  <si>
    <t>CNN</t>
    <phoneticPr fontId="1" type="noConversion"/>
  </si>
  <si>
    <t>characterization-detection</t>
    <phoneticPr fontId="1" type="noConversion"/>
  </si>
  <si>
    <t>Faster-RCNN, YOLO, SSD, RetinaNet,EfficientDet</t>
    <phoneticPr fontId="1" type="noConversion"/>
  </si>
  <si>
    <t>characterization-diagnose,classification</t>
    <phoneticPr fontId="1" type="noConversion"/>
  </si>
  <si>
    <t>10.1038/s41598-020-57788-z</t>
    <phoneticPr fontId="1" type="noConversion"/>
  </si>
  <si>
    <t>imagine</t>
    <phoneticPr fontId="1" type="noConversion"/>
  </si>
  <si>
    <t>characterization-segmention</t>
    <phoneticPr fontId="1" type="noConversion"/>
  </si>
  <si>
    <t>Czechia</t>
    <phoneticPr fontId="1" type="noConversion"/>
  </si>
  <si>
    <t>SqueezeNet</t>
  </si>
  <si>
    <t>Skin Diseases Classification Using Deep Leaning Methods</t>
    <phoneticPr fontId="1" type="noConversion"/>
  </si>
  <si>
    <t>single center</t>
    <phoneticPr fontId="1" type="noConversion"/>
  </si>
  <si>
    <t>Dermoscopic image</t>
    <phoneticPr fontId="1" type="noConversion"/>
  </si>
  <si>
    <t>Kazakhstan</t>
  </si>
  <si>
    <t>image recovery</t>
  </si>
  <si>
    <t>tooth</t>
  </si>
  <si>
    <t>CBCT</t>
  </si>
  <si>
    <t>U-Net</t>
  </si>
  <si>
    <t>Detection and Classification</t>
  </si>
  <si>
    <t>classification and segmentation</t>
  </si>
  <si>
    <t>characterization-extraction</t>
  </si>
  <si>
    <t>image registration</t>
  </si>
  <si>
    <t>CNN</t>
    <phoneticPr fontId="1" type="noConversion"/>
  </si>
  <si>
    <t>imagine</t>
    <phoneticPr fontId="1" type="noConversion"/>
  </si>
  <si>
    <t>GAN</t>
    <phoneticPr fontId="1" type="noConversion"/>
  </si>
  <si>
    <t>DL</t>
    <phoneticPr fontId="1" type="noConversion"/>
  </si>
  <si>
    <t>10.1016/s2589-7500(20)30222-3</t>
    <phoneticPr fontId="1" type="noConversion"/>
  </si>
  <si>
    <t>Hungary</t>
    <phoneticPr fontId="1" type="noConversion"/>
  </si>
  <si>
    <t>Ethiopia</t>
    <phoneticPr fontId="1" type="noConversion"/>
  </si>
  <si>
    <t>characterization-detection,segmentation</t>
    <phoneticPr fontId="1" type="noConversion"/>
  </si>
  <si>
    <t>Denmark</t>
    <phoneticPr fontId="1" type="noConversion"/>
  </si>
  <si>
    <t>LNTP-MDBN: Big Data Integrated Learning Framework for Heterogeneous Image Set Classification</t>
    <phoneticPr fontId="1" type="noConversion"/>
  </si>
  <si>
    <t>DBN</t>
    <phoneticPr fontId="1" type="noConversion"/>
  </si>
  <si>
    <t>Romania</t>
    <phoneticPr fontId="1" type="noConversion"/>
  </si>
  <si>
    <t>Argentina</t>
    <phoneticPr fontId="1" type="noConversion"/>
  </si>
  <si>
    <t>10.1002/mp.14391</t>
    <phoneticPr fontId="1" type="noConversion"/>
  </si>
  <si>
    <t>Argentina</t>
    <phoneticPr fontId="1" type="noConversion"/>
  </si>
  <si>
    <t>DL</t>
    <phoneticPr fontId="1" type="noConversion"/>
  </si>
  <si>
    <t>SOM</t>
    <phoneticPr fontId="1" type="noConversion"/>
  </si>
  <si>
    <t>CNN+RNN</t>
    <phoneticPr fontId="1" type="noConversion"/>
  </si>
  <si>
    <t>Pnet+CNN+RNN</t>
    <phoneticPr fontId="1" type="noConversion"/>
  </si>
  <si>
    <t>imagine</t>
    <phoneticPr fontId="1" type="noConversion"/>
  </si>
  <si>
    <t>Lenet</t>
    <phoneticPr fontId="1" type="noConversion"/>
  </si>
  <si>
    <t>other</t>
    <phoneticPr fontId="1" type="noConversion"/>
  </si>
  <si>
    <t>MLP</t>
    <phoneticPr fontId="1" type="noConversion"/>
  </si>
  <si>
    <t>CNN</t>
    <phoneticPr fontId="1" type="noConversion"/>
  </si>
  <si>
    <t>Conditional Adversarial Transfer for Glaucoma Diagnosis</t>
    <phoneticPr fontId="1" type="noConversion"/>
  </si>
  <si>
    <t>neuroradiology</t>
    <phoneticPr fontId="1" type="noConversion"/>
  </si>
  <si>
    <t>CNN,DNN</t>
    <phoneticPr fontId="1" type="noConversion"/>
  </si>
  <si>
    <t>CNN</t>
    <phoneticPr fontId="1" type="noConversion"/>
  </si>
  <si>
    <t>US</t>
    <phoneticPr fontId="1" type="noConversion"/>
  </si>
  <si>
    <t>YOLO</t>
    <phoneticPr fontId="1" type="noConversion"/>
  </si>
  <si>
    <t>CAE</t>
    <phoneticPr fontId="1" type="noConversion"/>
  </si>
  <si>
    <t>both</t>
    <phoneticPr fontId="1" type="noConversion"/>
  </si>
  <si>
    <t>DL</t>
    <phoneticPr fontId="1" type="noConversion"/>
  </si>
  <si>
    <t>characterization-identification,classification</t>
    <phoneticPr fontId="1" type="noConversion"/>
  </si>
  <si>
    <t>image acquisition,classification</t>
    <phoneticPr fontId="1" type="noConversion"/>
  </si>
  <si>
    <t>CNN,GAN</t>
    <phoneticPr fontId="1" type="noConversion"/>
  </si>
  <si>
    <t>characterization-segmention,classification</t>
    <phoneticPr fontId="1" type="noConversion"/>
  </si>
  <si>
    <t>characterization-detection,identification,classification</t>
    <phoneticPr fontId="1" type="noConversion"/>
  </si>
  <si>
    <t>Vnet</t>
    <phoneticPr fontId="1" type="noConversion"/>
  </si>
  <si>
    <t>image acquisition</t>
    <phoneticPr fontId="1" type="noConversion"/>
  </si>
  <si>
    <t>Differentiating post-cancer from healthy tongue muscle coordination patterns during speech using deep learning</t>
    <phoneticPr fontId="1" type="noConversion"/>
  </si>
  <si>
    <t>MLP</t>
    <phoneticPr fontId="1" type="noConversion"/>
  </si>
  <si>
    <t>characterization-detection,diagnosis</t>
    <phoneticPr fontId="1" type="noConversion"/>
  </si>
  <si>
    <t>DNN</t>
    <phoneticPr fontId="1" type="noConversion"/>
  </si>
  <si>
    <t>CNN</t>
    <phoneticPr fontId="1" type="noConversion"/>
  </si>
  <si>
    <t>DL</t>
    <phoneticPr fontId="1" type="noConversion"/>
  </si>
  <si>
    <t>characterization-classification,detection</t>
    <phoneticPr fontId="1" type="noConversion"/>
  </si>
  <si>
    <t>characterization-classification,segmentation</t>
    <phoneticPr fontId="1" type="noConversion"/>
  </si>
  <si>
    <t>CNN</t>
    <phoneticPr fontId="1" type="noConversion"/>
  </si>
  <si>
    <t>GAN</t>
    <phoneticPr fontId="1" type="noConversion"/>
  </si>
  <si>
    <t>DL</t>
    <phoneticPr fontId="1" type="noConversion"/>
  </si>
  <si>
    <t>YOLO</t>
    <phoneticPr fontId="1" type="noConversion"/>
  </si>
  <si>
    <t>characterization-detection,classification</t>
    <phoneticPr fontId="1" type="noConversion"/>
  </si>
  <si>
    <t>characterization-classification,identification</t>
    <phoneticPr fontId="1" type="noConversion"/>
  </si>
  <si>
    <t>other</t>
    <phoneticPr fontId="1" type="noConversion"/>
  </si>
  <si>
    <t>characterization-identification</t>
    <phoneticPr fontId="1" type="noConversion"/>
  </si>
  <si>
    <t>Prostate cancer detection using residual networks</t>
    <phoneticPr fontId="1" type="noConversion"/>
  </si>
  <si>
    <t>characterization-detection,segmentation</t>
    <phoneticPr fontId="1" type="noConversion"/>
  </si>
  <si>
    <t>Three-dimensional convolutional neural networks for simultaneous dual-tracer PET imaging</t>
    <phoneticPr fontId="1" type="noConversion"/>
  </si>
  <si>
    <t>DBN</t>
    <phoneticPr fontId="1" type="noConversion"/>
  </si>
  <si>
    <t>multiple sites</t>
    <phoneticPr fontId="1" type="noConversion"/>
  </si>
  <si>
    <t>CNN</t>
    <phoneticPr fontId="1" type="noConversion"/>
  </si>
  <si>
    <t>other</t>
    <phoneticPr fontId="1" type="noConversion"/>
  </si>
  <si>
    <t>RNN</t>
    <phoneticPr fontId="1" type="noConversion"/>
  </si>
  <si>
    <t>characterization-segmention</t>
    <phoneticPr fontId="1" type="noConversion"/>
  </si>
  <si>
    <t>10.1002/jssc.201900874</t>
    <phoneticPr fontId="1" type="noConversion"/>
  </si>
  <si>
    <t>GAN</t>
    <phoneticPr fontId="1" type="noConversion"/>
  </si>
  <si>
    <t>characterization-classification,image acquisition</t>
    <phoneticPr fontId="1" type="noConversion"/>
  </si>
  <si>
    <t>DL</t>
    <phoneticPr fontId="1" type="noConversion"/>
  </si>
  <si>
    <t>DBN</t>
    <phoneticPr fontId="1" type="noConversion"/>
  </si>
  <si>
    <t>10.1007/s10278-018-0143-2</t>
    <phoneticPr fontId="1" type="noConversion"/>
  </si>
  <si>
    <t>Automatic Segmentation of Multiple Organs on 3D CT Images by Using Deep Learning Approaches</t>
    <phoneticPr fontId="1" type="noConversion"/>
  </si>
  <si>
    <t>SAE</t>
    <phoneticPr fontId="1" type="noConversion"/>
  </si>
  <si>
    <t>10.1007/s00417-019-04543-4</t>
    <phoneticPr fontId="1" type="noConversion"/>
  </si>
  <si>
    <t>Surgical instrument detection in robot-assisted surgery videos is an import vision component for these systems. Most of the current deep learning methods focus on single-tool detection and suffer from low detection speed. To address this, the authors propose a novel frame-by-frame detection method using a cascading convolutional neural network (CNN) which consists of two different CNNs for real-time multi-tool detection. An hourglass network and a modified visual geometry group (VGG) network are applied to jointly predict the localisation. The former CNN outputs detection heatmaps representing the location of tool tip areas, and the latter performs bounding-box regression for tool tip areas on these heatmaps stacked with input RGB image frames. The authors' method is tested on the publicly available EndoVis Challenge dataset and the ATLAS Dione dataset. The experimental results show that their method achieves better performance than mainstream detection methods in terms of detection accuracy and speed.</t>
    <phoneticPr fontId="1" type="noConversion"/>
  </si>
  <si>
    <t>Cellular and Molecular Probing of Intact Human Organs</t>
    <phoneticPr fontId="1" type="noConversion"/>
  </si>
  <si>
    <t>Optical tissue transparency permits scalable cellular and molecular investigation of complex tissues in 3D. Adult human organs are particularly challenging to render transparent because of the accumulation of dense and sturdy molecules in decades-aged tissues. To overcome these challenges, we developed SHANEL, a method based on a new tissue permeabilization approach to clear and label stiff human organs. We used SHANEL to render the intact adult human brain and kidney transparent and perform 3D histology with antibodies and dyes in centimeters-depth. Thereby, we revealed structural details of the intact human eye, human thyroid, human kidney, and transgenic pig pancreas at the cellular resolution. Furthermore, we developed a deep learning pipeline to analyze millions of cells in cleared human brain tissues within hours with standard lab computers. Overall, SHANEL is a robust and unbiased technology to chart the cellular and molecular architecture of large intact mammalian organs.</t>
    <phoneticPr fontId="1" type="noConversion"/>
  </si>
  <si>
    <t>10.1016/j.cell.2020.01.030</t>
    <phoneticPr fontId="1" type="noConversion"/>
  </si>
  <si>
    <t>3D-Aided Dual-Agent GANs for Unconstrained Face Recognition</t>
    <phoneticPr fontId="1" type="noConversion"/>
  </si>
  <si>
    <t>FCN</t>
    <phoneticPr fontId="1" type="noConversion"/>
  </si>
  <si>
    <t>10.1109/tip.2019.2921882</t>
    <phoneticPr fontId="1" type="noConversion"/>
  </si>
  <si>
    <t>Vnet</t>
    <phoneticPr fontId="1" type="noConversion"/>
  </si>
  <si>
    <t>CNN</t>
    <phoneticPr fontId="1" type="noConversion"/>
  </si>
  <si>
    <t>SAE</t>
    <phoneticPr fontId="1" type="noConversion"/>
  </si>
  <si>
    <t>GAN</t>
    <phoneticPr fontId="1" type="noConversion"/>
  </si>
  <si>
    <t>CNN</t>
    <phoneticPr fontId="1" type="noConversion"/>
  </si>
  <si>
    <t>An enhanced deep learning approach for brain cancer MRI images classification using residual networks</t>
    <phoneticPr fontId="1" type="noConversion"/>
  </si>
  <si>
    <t>characterization-identification,classification</t>
    <phoneticPr fontId="1" type="noConversion"/>
  </si>
  <si>
    <t>USED</t>
    <phoneticPr fontId="1" type="noConversion"/>
  </si>
  <si>
    <t>Egypt</t>
    <phoneticPr fontId="1" type="noConversion"/>
  </si>
  <si>
    <t>characterization-segmention,image acquisition</t>
    <phoneticPr fontId="1" type="noConversion"/>
  </si>
  <si>
    <t>2D to 3D Evolutionary Deep Convolutional Neural Networks for Medical Image Segmentation</t>
    <phoneticPr fontId="1" type="noConversion"/>
  </si>
  <si>
    <t>10.1109/tbme.2019.2904301</t>
    <phoneticPr fontId="1" type="noConversion"/>
  </si>
  <si>
    <t>Iterative Augmentation of Visual Evidence for Weakly-Supervised Lesion Localization in Deep Interpretability Frameworks: Application to Color Fundus Images</t>
    <phoneticPr fontId="1" type="noConversion"/>
  </si>
  <si>
    <t>other</t>
    <phoneticPr fontId="1" type="noConversion"/>
  </si>
  <si>
    <t>DNN</t>
    <phoneticPr fontId="1" type="noConversion"/>
  </si>
  <si>
    <t>Deep convolutional neural networks for mammography: advances, challenges and applications</t>
    <phoneticPr fontId="1" type="noConversion"/>
  </si>
  <si>
    <t>characterization-detection,classification</t>
    <phoneticPr fontId="1" type="noConversion"/>
  </si>
  <si>
    <t>image acquisition &amp; preprocessing</t>
  </si>
  <si>
    <t>Korea</t>
  </si>
  <si>
    <t>ICGA</t>
  </si>
  <si>
    <t>2459 </t>
  </si>
  <si>
    <t>knee</t>
  </si>
  <si>
    <t>radiographs</t>
  </si>
  <si>
    <t>detection &amp; classification</t>
  </si>
  <si>
    <t>X-ray computed tomography</t>
  </si>
  <si>
    <t>self-taken smartphone image</t>
  </si>
  <si>
    <t>SD-OCT</t>
  </si>
  <si>
    <t>colposcopy images</t>
  </si>
  <si>
    <t>radiology reports</t>
  </si>
  <si>
    <t>Hand</t>
  </si>
  <si>
    <t>Fluorescence in situ hybridization (FISH) images</t>
  </si>
  <si>
    <t>characterization-detection &amp; classification</t>
  </si>
  <si>
    <t>Body</t>
  </si>
  <si>
    <t xml:space="preserve">Magnetic Resonance Angiography </t>
  </si>
  <si>
    <t>characterization-detection &amp; diagnose</t>
  </si>
  <si>
    <t>CNN+LSTM</t>
    <phoneticPr fontId="1" type="noConversion"/>
  </si>
  <si>
    <t>CAE+GAN</t>
    <phoneticPr fontId="1" type="noConversion"/>
  </si>
  <si>
    <t>DL</t>
    <phoneticPr fontId="1" type="noConversion"/>
  </si>
  <si>
    <t>10.1093/bioinformatics/btz728</t>
    <phoneticPr fontId="1" type="noConversion"/>
  </si>
  <si>
    <t>FCN</t>
    <phoneticPr fontId="1" type="noConversion"/>
  </si>
  <si>
    <t>Faster-RCNN +GAN</t>
    <phoneticPr fontId="1" type="noConversion"/>
  </si>
  <si>
    <t>10.1371/journal.pmed.1002707</t>
    <phoneticPr fontId="1" type="noConversion"/>
  </si>
  <si>
    <t>LSTM</t>
    <phoneticPr fontId="1" type="noConversion"/>
  </si>
  <si>
    <t>Precise diagnosis of intracranial hemorrhage and subtypes using a three-dimensional joint convolutional and recurrent neural network</t>
    <phoneticPr fontId="1" type="noConversion"/>
  </si>
  <si>
    <t>LSTM+CNN</t>
    <phoneticPr fontId="1" type="noConversion"/>
  </si>
  <si>
    <t>CNN+RNN</t>
    <phoneticPr fontId="1" type="noConversion"/>
  </si>
  <si>
    <t>characterization-segmentation,detection</t>
    <phoneticPr fontId="1" type="noConversion"/>
  </si>
  <si>
    <t>ResNet,VGG,AlexNet</t>
  </si>
  <si>
    <t>characterization-classification , segmention, detection</t>
    <phoneticPr fontId="1" type="noConversion"/>
  </si>
  <si>
    <t>Unet</t>
    <phoneticPr fontId="1" type="noConversion"/>
  </si>
  <si>
    <t>Half2Half: deep neural network based CT image denoising without independent reference data</t>
    <phoneticPr fontId="1" type="noConversion"/>
  </si>
  <si>
    <t>CNN</t>
    <phoneticPr fontId="1" type="noConversion"/>
  </si>
  <si>
    <t>Inception+ResNet</t>
  </si>
  <si>
    <t>ResNet,YOLO</t>
  </si>
  <si>
    <t>Unet+GAN</t>
  </si>
  <si>
    <t>ResNet,DenseNet</t>
  </si>
  <si>
    <t>Unet+ResNet+DenseNet+NASNet</t>
  </si>
  <si>
    <t>CAE</t>
  </si>
  <si>
    <t>CAE</t>
    <phoneticPr fontId="1" type="noConversion"/>
  </si>
  <si>
    <t>DL</t>
    <phoneticPr fontId="1" type="noConversion"/>
  </si>
  <si>
    <t>FCN</t>
    <phoneticPr fontId="1" type="noConversion"/>
  </si>
  <si>
    <t>auto encoder</t>
  </si>
  <si>
    <t>CNN,auto encoder</t>
  </si>
  <si>
    <t>auto encoder,CNN,VGG,GAN</t>
  </si>
  <si>
    <t>DBN,RBM,auto encoder</t>
  </si>
  <si>
    <t>GAN,auto encoder</t>
  </si>
  <si>
    <t>auto encoder,MLP</t>
  </si>
  <si>
    <t>U-Net,auto encoder</t>
  </si>
  <si>
    <t>Unet,auto encoder</t>
  </si>
  <si>
    <t>MLP,auto encoder</t>
  </si>
  <si>
    <t>auto encoder+CNN</t>
  </si>
  <si>
    <t>auto encoder,RBM</t>
  </si>
  <si>
    <t>DNN,auto encoder</t>
  </si>
  <si>
    <t>CNN+auto encoder</t>
  </si>
  <si>
    <t>DNN+auto encoder</t>
  </si>
  <si>
    <t>VGG+auto encoder</t>
  </si>
  <si>
    <t>auto encoder,Unet,VGG</t>
  </si>
  <si>
    <t>CAE,SAE,AlexNet, VGG, GoogLeNet, ResNet</t>
  </si>
  <si>
    <t>CNN,GoogLeNet,Inception</t>
  </si>
  <si>
    <t>AlexNet，VGG，SqueezeNet，GoogLeNet，MobileNet, Xception</t>
  </si>
  <si>
    <t>GoogLeNet, Inception</t>
  </si>
  <si>
    <t>AlexNet，GoogLeNet,VGG</t>
  </si>
  <si>
    <t>LSTM, AlexNet,GoogLeNet, SqueezeNet</t>
  </si>
  <si>
    <t>AlexNet,VGG,GoogLeNet</t>
  </si>
  <si>
    <t>GoogLeNet，AlexNet，VGG，ResNet,DenseNet</t>
  </si>
  <si>
    <t>ResNet,VGG,GoogLeNet,DenseNet</t>
  </si>
  <si>
    <t>GoogLeNet,Inception</t>
  </si>
  <si>
    <t>CNN,AlexNet, VGG, GoogLeNet,ResNet</t>
  </si>
  <si>
    <t>GoogLeNet, ResNet</t>
  </si>
  <si>
    <t>VGG, ResNet, GoogLeNet,Inception,Xception,MobileNet</t>
  </si>
  <si>
    <t>AlexNet,GoogLeNet,FCN</t>
  </si>
  <si>
    <t>VGG,AlexNet,GoogLeNet</t>
  </si>
  <si>
    <t>Inception,VGG,GoogLeNet</t>
  </si>
  <si>
    <t>AlexNet,GoogLeNet,VGG</t>
  </si>
  <si>
    <t>Unet,GoogLeNet</t>
  </si>
  <si>
    <t>AlexNet,GoogLeNet</t>
  </si>
  <si>
    <t>MLP,AlexNet, GoogLeNet, VGG</t>
  </si>
  <si>
    <t>Inception,GoogLeNet</t>
  </si>
  <si>
    <t>Lenet,AlexNet, GoogLeNet, ResNet</t>
  </si>
  <si>
    <t>AlexNet,GoogLeNet,ResNet</t>
  </si>
  <si>
    <t>GoogLeNet,ResNet</t>
  </si>
  <si>
    <t>GoogLeNet+VGG</t>
  </si>
  <si>
    <t>CNN,AlexNet,LENET</t>
  </si>
  <si>
    <t>CNN,AlexNet,VGG</t>
  </si>
  <si>
    <t>AlexNet,ResNet</t>
  </si>
  <si>
    <t>Inception,AlexNet,ResNet,VGG</t>
  </si>
  <si>
    <t>ResNet，AlexNet</t>
  </si>
  <si>
    <t>ResNet,AlexNet,VGG,,Inception</t>
  </si>
  <si>
    <t>AlexNet,VGG</t>
  </si>
  <si>
    <t>VGG,AlexNet,ResNet,Inception</t>
  </si>
  <si>
    <t>GAN,AlexNet</t>
  </si>
  <si>
    <t>VGG,AlexNet</t>
  </si>
  <si>
    <t>GAN,VGG,ResNet,Inception,AlexNet,DenseNet,LSTM</t>
  </si>
  <si>
    <t>AlexNet+Vnet+Unet</t>
  </si>
  <si>
    <t>AlexNet,VGG,Inception,ResNet,Unet</t>
  </si>
  <si>
    <t>Unet+AlexNet+ResNet</t>
  </si>
  <si>
    <t>SAE,AlexNet,VGG</t>
  </si>
  <si>
    <t>Faster R-CNN,CNN,ResNet</t>
  </si>
  <si>
    <t>ResNet+Faster R-CNN+LSTM</t>
  </si>
  <si>
    <t xml:space="preserve"> Faster R-CNN</t>
  </si>
  <si>
    <t>Xception,Inception,VGG</t>
  </si>
  <si>
    <t>Inception,ResNet</t>
  </si>
  <si>
    <t>VGG，DenseNet，Inception, ResNet,,MobileNet</t>
  </si>
  <si>
    <t>VGG，Inception，ResNet，DenseNet</t>
  </si>
  <si>
    <t>Inception,DenseNet</t>
  </si>
  <si>
    <t>Inception,Faster R-CNN</t>
  </si>
  <si>
    <t>VGG, ResNet,Inception,Xception,DenseNet</t>
  </si>
  <si>
    <t>Inception,RNN</t>
  </si>
  <si>
    <t>ResNet,Inception,DensetNet</t>
  </si>
  <si>
    <t>VGG,ResNet,Inception,ResNet,U-Net</t>
  </si>
  <si>
    <t>VGG,ResNet,Inception</t>
  </si>
  <si>
    <t>Inception,ResNet，Xception</t>
  </si>
  <si>
    <t>VGG,ResNet,Inception,Xception</t>
  </si>
  <si>
    <t>DenseNet,ResNet,Inception</t>
  </si>
  <si>
    <t>ResNet,Inception</t>
  </si>
  <si>
    <t>Inception,ResNet,DenseNet</t>
  </si>
  <si>
    <t>Inception,VGG,RNN</t>
  </si>
  <si>
    <t>Xception,Inception,ResNet</t>
  </si>
  <si>
    <t>ResNet,Inception,VGG</t>
  </si>
  <si>
    <t>VGG,ResNet,Inception,Xception,MobileNet</t>
  </si>
  <si>
    <t>VGG,
Inception,ResNet,DenseNet</t>
  </si>
  <si>
    <t>XCEPTION,Inception,CNN,ResNet,Unet,VGG,DenseNet</t>
  </si>
  <si>
    <t>VGG, ResNet, Inception,Xception</t>
  </si>
  <si>
    <t>VGG,Inception,ResNet</t>
  </si>
  <si>
    <t>Inception+LSTM</t>
  </si>
  <si>
    <t>ResNet,ResNeXt,DenseNet,Inception</t>
  </si>
  <si>
    <t>VGG,Inception,Xception,DenseNet,MobileNet,NASNet</t>
  </si>
  <si>
    <t>ResNet,VGG,Xception,Inception
[41], (vii) DenseNet-121 [42], (viii) MobileNet-V2 [43], (ix) NasNet</t>
  </si>
  <si>
    <t>Inception,ResNet,V-Net</t>
  </si>
  <si>
    <t>VGG,ResNet,Inception,Xception,DenseNet</t>
  </si>
  <si>
    <t>VGG,ResNet,DenseNet,Inception</t>
  </si>
  <si>
    <t>Inception+CAE</t>
  </si>
  <si>
    <t>Inception,Xception</t>
  </si>
  <si>
    <t>ResNet,VGG,Inception</t>
  </si>
  <si>
    <t>YOLO,ResNet,Inception</t>
  </si>
  <si>
    <t>Xception,VGG, Inception, ResNet, DenseNet</t>
  </si>
  <si>
    <t>DenseNet,ResNet,Inception,Xception</t>
  </si>
  <si>
    <t>ResNet, DensNet, Inception, Xception</t>
  </si>
  <si>
    <t>Unet,ResNet,DenseNet, Inception</t>
  </si>
  <si>
    <t>Inception+ResNet+DenseNet</t>
  </si>
  <si>
    <t>DenseNet,Inception,ResNet,Xception</t>
  </si>
  <si>
    <t>CNN, Segnet</t>
  </si>
  <si>
    <t>CNN,Segnet</t>
  </si>
  <si>
    <t>YOLO,FCN, Segnet,Unet</t>
  </si>
  <si>
    <t>Segnet,CNN,Unet,FCN</t>
  </si>
  <si>
    <t>Segnet</t>
  </si>
  <si>
    <t>Unet,Segnet,ResNet</t>
  </si>
  <si>
    <t>Segnet,Unet</t>
  </si>
  <si>
    <t>VGG,Segnet</t>
  </si>
  <si>
    <t>Unet,ResNet,Segnet</t>
  </si>
  <si>
    <t>Unet,Segnet</t>
  </si>
  <si>
    <t>CNN,FCN,Segnet, Unet,ResNet</t>
  </si>
  <si>
    <t xml:space="preserve"> U-Net,Segnet,NoPoolASPP</t>
  </si>
  <si>
    <t>Segnet,ResNet,Unet,GAN</t>
  </si>
  <si>
    <t>Unet+Segnet</t>
  </si>
  <si>
    <t>Vnet,Unet,Segnet</t>
  </si>
  <si>
    <t>Segnet+DenseNet</t>
  </si>
  <si>
    <t>CNN,VGG,DenseNet</t>
  </si>
  <si>
    <t>Unet,VGG,DenseNet</t>
  </si>
  <si>
    <t>DenseNet,VGG,ResNet</t>
  </si>
  <si>
    <t>DenseNet,Unet</t>
  </si>
  <si>
    <t>GAN,DenseNet</t>
  </si>
  <si>
    <t>Unet，DenseNet</t>
  </si>
  <si>
    <t>DenseNet,ResNet,VGG,Unet</t>
  </si>
  <si>
    <t>ResNet,Unet,DenseNet</t>
  </si>
  <si>
    <t>Unet,DenseNet</t>
  </si>
  <si>
    <t>DenseNet,,U-Net</t>
  </si>
  <si>
    <t>Unet,ResNet,,VGG,DenseNet</t>
  </si>
  <si>
    <t>ResNet,SqueezeNet,DenseNet</t>
  </si>
  <si>
    <t>Vnet,AlexNet, GoogLeNet, ResNet,DenseNet</t>
  </si>
  <si>
    <t>VGG, DenseNet, ResNet</t>
  </si>
  <si>
    <t>DenseNet+LSTM</t>
  </si>
  <si>
    <t>DenseNet,MobileNet</t>
  </si>
  <si>
    <t>VGG,ResNet, Inception, Xception,  DenseNet</t>
  </si>
  <si>
    <t>DenseNet,ShuffleNet, ResNet,MobileNet</t>
  </si>
  <si>
    <t>VGG,ResNet, Inception, Xception,  DenseNet,MobileNet</t>
  </si>
  <si>
    <t>GAN,ResNet,DenseNet</t>
  </si>
  <si>
    <t>ResNet+DenseNet</t>
  </si>
  <si>
    <t>DenseNet+GRU,ResNet,LSTM</t>
  </si>
  <si>
    <t>Unet,ResNet,COVID-Net, DenseNet</t>
  </si>
  <si>
    <t>DenseNet+Unet</t>
  </si>
  <si>
    <t>Unet+DenseNet</t>
  </si>
  <si>
    <t>LSTM+Unet+DenseNet</t>
  </si>
  <si>
    <t>VGG,DenseNet,NASNet</t>
  </si>
  <si>
    <t>ResNet,DenseNet,VGG</t>
  </si>
  <si>
    <t>VGG+ ResNet+ DenseNet</t>
  </si>
  <si>
    <t>ResNet,Unet</t>
  </si>
  <si>
    <t>CNN,AlexNet,VGG,GoogLeNet,ResNet,ResNet</t>
  </si>
  <si>
    <t>CNN,ResNet,XCEPTION,DenseNet</t>
  </si>
  <si>
    <t>ResNet,Faster R-CNN</t>
  </si>
  <si>
    <t>Unet,ResNet,VGG</t>
  </si>
  <si>
    <t>VGG, ResNet</t>
  </si>
  <si>
    <t>MASK R-CNN,ResNet,Unet</t>
  </si>
  <si>
    <t>VGG,Inception,ResNet,DenseNet</t>
  </si>
  <si>
    <t>ResNet,LSTM</t>
  </si>
  <si>
    <t>Faster R-CNN,ResNet</t>
  </si>
  <si>
    <t>ResNet, convolutional AE</t>
  </si>
  <si>
    <t>CNN,Xception,AlexNet,VGG,ResNet</t>
  </si>
  <si>
    <t>ResNet,SqueezeNet,Xception,MobileNet,Unet</t>
  </si>
  <si>
    <t>ResNet,Mask R-CNN,Unet</t>
  </si>
  <si>
    <t>CNN,FCN,FASTER R-CNN,FPN,ResNet</t>
  </si>
  <si>
    <t>GAN,ResNet,Deeplab</t>
  </si>
  <si>
    <t>GAN,ResNet</t>
  </si>
  <si>
    <t>ResNet,Mask R-CNN</t>
  </si>
  <si>
    <t>ResNet,DenseNet,Xception</t>
  </si>
  <si>
    <t>CNN,VGG,ResNet,DenseNet,Xception</t>
  </si>
  <si>
    <t xml:space="preserve"> ResNet,VGG</t>
  </si>
  <si>
    <t>ResNet,VGG</t>
  </si>
  <si>
    <t>ResNet,MLP</t>
  </si>
  <si>
    <t>Faster R-CNN,ResNet,VGG</t>
  </si>
  <si>
    <t>CAE,ResNet</t>
  </si>
  <si>
    <t>Faster R-CNN,Unet,ResNet</t>
  </si>
  <si>
    <t>CNN,Unet,Segnet,FCN,ResNet</t>
  </si>
  <si>
    <t>Unet,ResNet,GAN</t>
  </si>
  <si>
    <t>GAN+ResNet</t>
  </si>
  <si>
    <t>GAN+ResNet+Unet</t>
  </si>
  <si>
    <t>Mask R-CNN+ResNet</t>
  </si>
  <si>
    <t>CNN,VGG, ResNet,MobileNetS</t>
  </si>
  <si>
    <t>ResNet+YOLO</t>
  </si>
  <si>
    <t>VGG,ResNet,Xception</t>
  </si>
  <si>
    <t>ResNet,ResNeXt</t>
  </si>
  <si>
    <t>Vnet,Unet,ResNet</t>
  </si>
  <si>
    <t>Unet,ResNet,Deeplab</t>
  </si>
  <si>
    <t>ResNet, MobileNet, EfficientNet</t>
  </si>
  <si>
    <t>ResNet+VGG</t>
  </si>
  <si>
    <t>VGG,ResNet,MobileNet</t>
  </si>
  <si>
    <t>CNN,CNN,VGG,ResNet</t>
  </si>
  <si>
    <t>ResNet+FPN</t>
  </si>
  <si>
    <t>VGG+ResNet</t>
  </si>
  <si>
    <t>GAN+Unet+ResNet</t>
  </si>
  <si>
    <t xml:space="preserve"> ResNet</t>
  </si>
  <si>
    <t>ResNet,Unet,Deeplab</t>
  </si>
  <si>
    <t xml:space="preserve">MASK R-CNN,ResNet
</t>
  </si>
  <si>
    <t>ResNet+Unet</t>
  </si>
  <si>
    <t>ResNet,GAN</t>
  </si>
  <si>
    <t>CNN,squeezeNet,ResNet</t>
  </si>
  <si>
    <t>YOLO,ResNet</t>
  </si>
  <si>
    <t>ResNet,Unet,RNN</t>
  </si>
  <si>
    <t>GAN,VGG,ResNet,MobileNet</t>
  </si>
  <si>
    <t>CNN+LSTM+Deeplab+ResNet</t>
  </si>
  <si>
    <t>CNN-ResNet</t>
  </si>
  <si>
    <t>ResNet,Vnet</t>
  </si>
  <si>
    <t>ResNet+LSTM+Unet</t>
  </si>
  <si>
    <t>Unet+ResNet</t>
  </si>
  <si>
    <t>ResNet+Unet+Mask RCNN</t>
  </si>
  <si>
    <t>CNN,VGG, ZFNet,ResNet,Faster R-CNN,YOLO</t>
  </si>
  <si>
    <t>ResNet,VGG,Unet</t>
  </si>
  <si>
    <t>ResNet, Xception,Inception</t>
  </si>
  <si>
    <t>DL,Word2Vec</t>
    <phoneticPr fontId="1" type="noConversion"/>
  </si>
  <si>
    <t>ResNet,CAE</t>
  </si>
  <si>
    <t>CNN,CAE</t>
  </si>
  <si>
    <t>CAE,GAN</t>
  </si>
  <si>
    <t>CAE,VGG</t>
  </si>
  <si>
    <t xml:space="preserve">CAE </t>
  </si>
  <si>
    <t>DenseNet,AlexNet,ZFNet,VGG,ResNet,GoogLeNet</t>
  </si>
  <si>
    <t>VGG，GoogLeNet</t>
  </si>
  <si>
    <t>AlexNet，VGG，GoogLeNet, ResNet</t>
  </si>
  <si>
    <t>auto encoder</t>
    <phoneticPr fontId="1" type="noConversion"/>
  </si>
  <si>
    <t>CNN,AlexNet,VGG, ResNet,GoogLeNet</t>
  </si>
  <si>
    <t>Unet,VGG</t>
  </si>
  <si>
    <t>GAN,VGG</t>
  </si>
  <si>
    <t>Faster R-CNN,VGG</t>
  </si>
  <si>
    <t>Unet,VGG,GAN</t>
  </si>
  <si>
    <t>AlexNet，GoogLeNet,ResNet,VGG,Inception,SqueezeNet,DenseNet,MobileNet，ShuffleNet，Xception，NasNet</t>
  </si>
  <si>
    <t>Unet,VGG,Faster-RCNN</t>
  </si>
  <si>
    <t>VGG,SqueezeNet,MobileNet</t>
  </si>
  <si>
    <t>Unet+VGG</t>
  </si>
  <si>
    <t>CNN,AlexNet, VGG, ResNet</t>
  </si>
  <si>
    <t>FCN+VGG,Unet</t>
  </si>
  <si>
    <t>VGG+Faster R-CNN</t>
  </si>
  <si>
    <t>CNN, AirNet</t>
    <phoneticPr fontId="1" type="noConversion"/>
  </si>
  <si>
    <t>GAN，Unet</t>
  </si>
  <si>
    <t>FCN,Unet</t>
  </si>
  <si>
    <t>Unet，GAN</t>
  </si>
  <si>
    <t>Unet,VNET</t>
  </si>
  <si>
    <t>Unet,Vnet</t>
  </si>
  <si>
    <t>Mnet,Unet,LSTM</t>
  </si>
  <si>
    <t>RED-CNN,Unet</t>
  </si>
  <si>
    <t>Unet,Faster R-CNN</t>
  </si>
  <si>
    <t>Unet,LSTM</t>
  </si>
  <si>
    <t>Mask R-CNN,Unet</t>
  </si>
  <si>
    <t>CNN,VNET,Unet</t>
  </si>
  <si>
    <t>GAN,CNN,Unet</t>
  </si>
  <si>
    <t>GAN,Unet,CAE</t>
  </si>
  <si>
    <t>Unet,Mask
R-CNN</t>
  </si>
  <si>
    <t>GAN+Unet</t>
  </si>
  <si>
    <t>Unet,Fast-R-CNN,Vnet</t>
  </si>
  <si>
    <t>Unet,CAE</t>
  </si>
  <si>
    <t>YOLO,Unet</t>
  </si>
  <si>
    <t>DeepLab,Unet</t>
  </si>
  <si>
    <t>Unet+Faster R-CNN</t>
  </si>
  <si>
    <t>Unet, Vnet</t>
  </si>
  <si>
    <t>CNN,VGG,Unet</t>
  </si>
  <si>
    <t>CNN,PNET,FCN,Unet</t>
  </si>
  <si>
    <t>Unet+Vnet</t>
  </si>
  <si>
    <t>RED-CNN</t>
  </si>
  <si>
    <t>RED-CNN, GAN</t>
    <phoneticPr fontId="1" type="noConversion"/>
  </si>
  <si>
    <t>CNN,SAE</t>
  </si>
  <si>
    <t>SAE</t>
  </si>
  <si>
    <t>SAE,stacked denoising auto encoder</t>
  </si>
  <si>
    <t>SAE,SDA</t>
  </si>
  <si>
    <t>DNN,SAE</t>
  </si>
  <si>
    <t>SAE, CAE</t>
  </si>
  <si>
    <t>SAE,DBN</t>
  </si>
  <si>
    <t>SAE, DNN</t>
  </si>
  <si>
    <t>PCANet,SAE,DBN</t>
  </si>
  <si>
    <t>DPN,SAE</t>
  </si>
  <si>
    <t>SAE,CNN</t>
  </si>
  <si>
    <t>CNN,DNN, SAE</t>
  </si>
  <si>
    <t>CNN,DBN,SAE</t>
  </si>
  <si>
    <t>FCN,SAE</t>
  </si>
  <si>
    <t>detect and classify</t>
  </si>
  <si>
    <t>near-infrared hyperspectral imaging</t>
  </si>
  <si>
    <t>anteroposterior pelvic radiographs</t>
  </si>
  <si>
    <t>SPECT</t>
  </si>
  <si>
    <t>Classification and Diagnosis</t>
  </si>
  <si>
    <t>CNN,AlexNet, VGG, ResNet,Inception</t>
    <phoneticPr fontId="1" type="noConversion"/>
  </si>
  <si>
    <t>DNN+AlexNet</t>
    <phoneticPr fontId="1" type="noConversion"/>
  </si>
  <si>
    <t>CNN+auto encoder</t>
    <phoneticPr fontId="1" type="noConversion"/>
  </si>
  <si>
    <t>ResNeXt</t>
  </si>
  <si>
    <t>Vnet</t>
    <phoneticPr fontId="1" type="noConversion"/>
  </si>
  <si>
    <t>ResNet+FCN</t>
    <phoneticPr fontId="1" type="noConversion"/>
  </si>
  <si>
    <t>ResNet+Faster-RCNN</t>
    <phoneticPr fontId="1" type="noConversion"/>
  </si>
  <si>
    <t>Unet+FCN+SegNet+Deeplab</t>
    <phoneticPr fontId="1" type="noConversion"/>
  </si>
  <si>
    <t>CNN, AlexNet, VGG, ResNet,Inception</t>
    <phoneticPr fontId="1" type="noConversion"/>
  </si>
  <si>
    <t>CNN,GoogLeNet</t>
    <phoneticPr fontId="1" type="noConversion"/>
  </si>
  <si>
    <t>GAN</t>
    <phoneticPr fontId="1" type="noConversion"/>
  </si>
  <si>
    <t>other</t>
    <phoneticPr fontId="1" type="noConversion"/>
  </si>
  <si>
    <t>CNN</t>
    <phoneticPr fontId="1" type="noConversion"/>
  </si>
  <si>
    <t>VGG+Inception</t>
    <phoneticPr fontId="1" type="noConversion"/>
  </si>
  <si>
    <t>DBN,RBM</t>
    <phoneticPr fontId="1" type="noConversion"/>
  </si>
  <si>
    <t>RBM</t>
    <phoneticPr fontId="1" type="noConversion"/>
  </si>
  <si>
    <t>ResNet+DNN</t>
    <phoneticPr fontId="1" type="noConversion"/>
  </si>
  <si>
    <t xml:space="preserve">AlexNet,GoogLeNet,DenseNet,ResNet </t>
    <phoneticPr fontId="1" type="noConversion"/>
  </si>
  <si>
    <t>10.1016/j.media.2019.03.011</t>
    <phoneticPr fontId="1" type="noConversion"/>
  </si>
  <si>
    <t>YOLO</t>
    <phoneticPr fontId="1" type="noConversion"/>
  </si>
  <si>
    <t>DBN</t>
    <phoneticPr fontId="1" type="noConversion"/>
  </si>
  <si>
    <t>CNN,AlexNet,VGG</t>
    <phoneticPr fontId="1" type="noConversion"/>
  </si>
  <si>
    <t>Privacy-preserving Collaborative Training for Medical Image Analysis Based on Multi-Blockchain</t>
    <phoneticPr fontId="1" type="noConversion"/>
  </si>
  <si>
    <t>DBN+RBM</t>
    <phoneticPr fontId="1" type="noConversion"/>
  </si>
  <si>
    <t>LSTM</t>
    <phoneticPr fontId="1" type="noConversion"/>
  </si>
  <si>
    <t>FCN</t>
    <phoneticPr fontId="1" type="noConversion"/>
  </si>
  <si>
    <t>Lenet+AlexNet</t>
    <phoneticPr fontId="1" type="noConversion"/>
  </si>
  <si>
    <t>Unet</t>
    <phoneticPr fontId="1" type="noConversion"/>
  </si>
  <si>
    <t>MLP</t>
    <phoneticPr fontId="1" type="noConversion"/>
  </si>
  <si>
    <t>Automatic multi-needle localization in ultrasound images using large margin mask RCNN for ultrasound-guided prostate brachytherapy</t>
    <phoneticPr fontId="1" type="noConversion"/>
  </si>
  <si>
    <t>Mask RCNN</t>
    <phoneticPr fontId="1" type="noConversion"/>
  </si>
  <si>
    <t>10.1001/jamanetworkopen.2019.7939</t>
    <phoneticPr fontId="1" type="noConversion"/>
  </si>
  <si>
    <t>Robust Single-Shot T(2) Mapping via Multiple Overlapping-Echo Acquisition and Deep Neural Network</t>
    <phoneticPr fontId="1" type="noConversion"/>
  </si>
  <si>
    <t>single center</t>
    <phoneticPr fontId="1" type="noConversion"/>
  </si>
  <si>
    <t>CNN,VGG, Xception,ResNet</t>
  </si>
  <si>
    <t>AlexNet,SqueezeNet,VGG,GoogLeNet,ResNet,Inception,DenseNet</t>
  </si>
  <si>
    <t>CNN,AlexNet
, GoogLeNet, VGG</t>
  </si>
  <si>
    <t>Unet+VGG,Inception, NASNet, DenseNet,MobileNet</t>
  </si>
  <si>
    <t xml:space="preserve"> CNN,AlexNet,VGG</t>
  </si>
  <si>
    <t>Unet,Segnet,Faster R-CNN</t>
    <phoneticPr fontId="1" type="noConversion"/>
  </si>
  <si>
    <t>DL</t>
    <phoneticPr fontId="1" type="noConversion"/>
  </si>
  <si>
    <t>CNN</t>
    <phoneticPr fontId="1" type="noConversion"/>
  </si>
  <si>
    <t>10.1158/1078-0432.Ccr-18-1115</t>
    <phoneticPr fontId="1" type="noConversion"/>
  </si>
  <si>
    <t>authors</t>
    <phoneticPr fontId="18" type="noConversion"/>
  </si>
  <si>
    <t>CNN</t>
    <phoneticPr fontId="18" type="noConversion"/>
  </si>
  <si>
    <t>VGG,ResNet,Inception,ResNet,Unet</t>
  </si>
  <si>
    <t>DenseNet,,Unet</t>
  </si>
  <si>
    <t xml:space="preserve"> Unet,Segnet,NoPoolASPP</t>
  </si>
  <si>
    <t>Unet,DeepLab</t>
  </si>
  <si>
    <t>CNN,Inception V3</t>
  </si>
  <si>
    <t>CAE,SAE,AlexNet,VGG,GoogLeNet,ResNet</t>
  </si>
  <si>
    <t>YOLO,FCN,Segnet,Unet</t>
  </si>
  <si>
    <t>CNN,ResNet,Inception,YOLO</t>
  </si>
  <si>
    <t>Mask R-CNN,RetinaNet,Cascade R-CNN,Faster R-CNN,YOLO,Unet</t>
  </si>
  <si>
    <t>CNN,MobileNet</t>
  </si>
  <si>
    <t>AlexNet，VGG，SqueezeNet，GoogLeNet，MobileNet,Xception</t>
  </si>
  <si>
    <t>ResNet,DenseNet,VGG,Inception</t>
  </si>
  <si>
    <t>AlexNet,VGG,ResNet,
GoogLeNet,Inception</t>
  </si>
  <si>
    <t>VGG,LSTM</t>
  </si>
  <si>
    <t>Inception,AlexNet</t>
  </si>
  <si>
    <t>GAN,Inception</t>
  </si>
  <si>
    <t>Unet,Deeplab,PSPNet</t>
  </si>
  <si>
    <t>FCN,Vnet</t>
  </si>
  <si>
    <t>Inception,DenseNet,ResNet,VGG</t>
  </si>
  <si>
    <t>Faster R-CNN,Inception</t>
  </si>
  <si>
    <t>ResNet,DenseNet,Inception</t>
  </si>
  <si>
    <t>CNN,AlexNet,VGG,ResNet,GoogLeNet</t>
  </si>
  <si>
    <t>CNN,AirNet</t>
  </si>
  <si>
    <t>VGG，Inception,Xception</t>
  </si>
  <si>
    <t xml:space="preserve"> CNN,VGG,AlexNet,MatConvNet</t>
  </si>
  <si>
    <t>RED-CNN,GAN</t>
  </si>
  <si>
    <t>CNN,FCN,DenseNet</t>
  </si>
  <si>
    <t>VGG,ResNet</t>
  </si>
  <si>
    <t>VGG，DenseNet，Inception,ResNet,,MobileNet</t>
  </si>
  <si>
    <t>AlexNet，VGG，GoogLeNet,ResNet</t>
  </si>
  <si>
    <t>CNN,VGG,Xception,ResNet</t>
  </si>
  <si>
    <t>ResNet,convolutional AE</t>
  </si>
  <si>
    <t>LSTM,AlexNet,GoogLeNet,SqueezeNet</t>
  </si>
  <si>
    <t xml:space="preserve"> CNN,AlexNet,GoogLeNet</t>
  </si>
  <si>
    <t>CNN,AlexNet,VGG,GoogLeNet,ResNet</t>
  </si>
  <si>
    <t>CNN,AlexNet
,GoogLeNet,VGG</t>
  </si>
  <si>
    <t xml:space="preserve">CNN,DenseNet,Inception,VGG,Xception </t>
  </si>
  <si>
    <t>CNN,FCN,Segnet,Unet,ResNet</t>
  </si>
  <si>
    <t>SAE,CAE</t>
  </si>
  <si>
    <t>Vnet,AlexNet,GoogLeNet,ResNet,DenseNet</t>
  </si>
  <si>
    <t>VGG,DenseNet,ResNet</t>
  </si>
  <si>
    <t>CNN,AlexNet,Inception</t>
  </si>
  <si>
    <t>CNN,VGG,ResNet,MobileNetS</t>
  </si>
  <si>
    <t>VGG,ResNet,GoogLeNet,Inception,Xception,MobileNet</t>
  </si>
  <si>
    <t>VGG,ResNet,Inception,Xception, DenseNet</t>
  </si>
  <si>
    <t>DenseNet,ShuffleNet,ResNet,MobileNet</t>
  </si>
  <si>
    <t>CNN,VGG,ResNet,Inception,DenseNet</t>
  </si>
  <si>
    <t>CNN,AlexNet,ZFNet,VGG,ResNet,GoogLeNet,DenseNet</t>
  </si>
  <si>
    <t>VGG,ResNet,Inception,Xception, DenseNet,MobileNet</t>
  </si>
  <si>
    <t>ResNet,VGG,Xception,Inception,DenseNet,MobileNet,NasNet</t>
  </si>
  <si>
    <t>ResNet,MobileNet,EfficientNet</t>
  </si>
  <si>
    <t>SAE,DNN</t>
  </si>
  <si>
    <t>CNN,VGG,ResNet,GoogLeNet</t>
  </si>
  <si>
    <t>CNN,ZNET</t>
  </si>
  <si>
    <t>CNN,DNN,SAE</t>
  </si>
  <si>
    <t>Unet,ResNet,COVID-Net,DenseNet</t>
  </si>
  <si>
    <t>MLP,AlexNet,GoogLeNet,VGG</t>
  </si>
  <si>
    <t>Faster-RCNN,YOLO,SSD,RetinaNet,EfficientDet</t>
  </si>
  <si>
    <t>Unet+VGG,Inception,NASNet,DenseNet,MobileNet</t>
  </si>
  <si>
    <t>Xception,VGG,Inception,ResNet,DenseNet</t>
  </si>
  <si>
    <t>Lenet,AlexNet,GoogLeNet,ResNet</t>
  </si>
  <si>
    <t>ResNet,DensNet,Inception,Xception</t>
  </si>
  <si>
    <t>Unet,ResNet,DenseNet,Inception</t>
  </si>
  <si>
    <t xml:space="preserve">LeNet, Unet,FCN,AlexNet </t>
  </si>
  <si>
    <t>CNN,AlexNet,VGG,ResNet,Inception</t>
  </si>
  <si>
    <t>RNN,LSTM,GAN</t>
  </si>
  <si>
    <t>CNN,VGG,ZFNet,ResNet,Faster R-CNN,YOLO</t>
  </si>
  <si>
    <t>CNN,ResNet,LeNet,AlexNet,CifarNet,GoogLeNet</t>
  </si>
  <si>
    <t>ResNet,Xception,Inception</t>
  </si>
  <si>
    <t>CNN,RNN,LSTM</t>
    <phoneticPr fontId="18" type="noConversion"/>
  </si>
  <si>
    <t>DL</t>
    <phoneticPr fontId="18" type="noConversion"/>
  </si>
  <si>
    <t>CNN,LSTM</t>
    <phoneticPr fontId="18" type="noConversion"/>
  </si>
  <si>
    <t>characterization-detection</t>
    <phoneticPr fontId="18" type="noConversion"/>
  </si>
  <si>
    <t>characterization-classification</t>
    <phoneticPr fontId="18" type="noConversion"/>
  </si>
  <si>
    <t>CNN,FCN,Unet</t>
    <phoneticPr fontId="18" type="noConversion"/>
  </si>
  <si>
    <t>characterization-segmentation</t>
  </si>
  <si>
    <t>characterization-segmentation, classification</t>
  </si>
  <si>
    <t>characterization-segmentation,detection</t>
  </si>
  <si>
    <t>characterization-segmentation, detection</t>
  </si>
  <si>
    <t>characterization-segmentation,classification</t>
  </si>
  <si>
    <t>characterization-segmentation,image acquisition</t>
  </si>
  <si>
    <t>characterization-segmentation,preprocessing</t>
  </si>
  <si>
    <t>characterization-segmentation,classification,detection</t>
  </si>
  <si>
    <t>characterization-classification , segmentation, detection</t>
  </si>
  <si>
    <t>characterization-segmentation</t>
    <phoneticPr fontId="1" type="noConversion"/>
  </si>
  <si>
    <t>image acquisition , preprocessing</t>
  </si>
  <si>
    <t>detection , classification</t>
  </si>
  <si>
    <t>characterization-detection , classification</t>
  </si>
  <si>
    <t>characterization-detection , diagnose</t>
  </si>
  <si>
    <t xml:space="preserve">study purpose [image acquisition, pre-processing,  characterization, monitoring (prediction of therapy response, risk assessment, , prognosis), or reporting; according to consensus in the radiology field (25)], </t>
  </si>
  <si>
    <t>characterization-segmentation , diagnosis</t>
  </si>
  <si>
    <t>characterization-segmentation , characterization-detection</t>
  </si>
  <si>
    <t>Detection , Classification</t>
  </si>
  <si>
    <t>classification , segmentation</t>
  </si>
  <si>
    <t>characterization-detection,classification</t>
    <phoneticPr fontId="18" type="noConversion"/>
  </si>
  <si>
    <t>classification , diagnosis</t>
    <phoneticPr fontId="18" type="noConversion"/>
  </si>
  <si>
    <t>Unsupervised 3D End-to-end Deformable Network for Brain MRI Registration</t>
    <phoneticPr fontId="18" type="noConversion"/>
  </si>
  <si>
    <t>PCANet-Based Structural Representation for Nonrigid Multimodal Medical Image Registration</t>
    <phoneticPr fontId="18" type="noConversion"/>
  </si>
  <si>
    <t>Integrating Active Learning and Transfer Learning for Carotid Intima-Media Thickness Video Interpretation</t>
    <phoneticPr fontId="18" type="noConversion"/>
  </si>
  <si>
    <t>Study of low-dose PET image recovery using supervised learning with CycleGAN</t>
    <phoneticPr fontId="18" type="noConversion"/>
  </si>
  <si>
    <t>DeepCEST: 9 4 T Chemical exchange saturation transfer MRI contrast predicted from 3 T data - a proof of concept study</t>
    <phoneticPr fontId="18" type="noConversion"/>
  </si>
  <si>
    <t>DNN,FNN</t>
    <phoneticPr fontId="1" type="noConversion"/>
  </si>
  <si>
    <t>characterization-segmentation,image acquisition</t>
    <phoneticPr fontId="18" type="noConversion"/>
  </si>
  <si>
    <t>GAN,CNN</t>
    <phoneticPr fontId="1" type="noConversion"/>
  </si>
  <si>
    <t>CNN,KNN</t>
    <phoneticPr fontId="18" type="noConversion"/>
  </si>
  <si>
    <t>DNN,Unet</t>
    <phoneticPr fontId="18" type="noConversion"/>
  </si>
  <si>
    <t>DNN</t>
    <phoneticPr fontId="18" type="noConversion"/>
  </si>
  <si>
    <t>CNN,ANN</t>
    <phoneticPr fontId="1" type="noConversion"/>
  </si>
  <si>
    <t>RNN,LSTM</t>
    <phoneticPr fontId="1" type="noConversion"/>
  </si>
  <si>
    <t>BACKGROUND AND OBJECTIVES: Deep learning models and specifically Convolutional Neural Networks (CNNs) are becoming the leading approach in many computer vision tasks, including medical image analysis. Nevertheless, the CNN training usually requires large sets of supervised data, which are often difficult and expensive to obtain in the medical field. To address the lack of annotated images, image generation is a promising method, which is becoming increasingly popular in the computer vision community. In this paper, we present a new approach to the semantic segmentation of bacterial colonies in agar plate images, based on deep learning and synthetic image generation, to increase the training set size. Indeed, semantic segmentation of bacterial colony is the basis for infection recognition and bacterial counting in Petri plate analysis. METHODS: A convolutional neural network (CNN) is used to separate the bacterial colonies from the background. To face the lack of annotated images, a novel engine is designed - which exploits a generative adversarial network to capture the typical distribution of the bacterial colonies on agar plates - to generate synthetic data. Then, bacterial colony patches are superimposed on existing background images, taking into account both the local appearance of the background and the intrinsic opacity of the bacterial colonies, and a style transfer algorithm is used for further improve visual realism. RESULTS: The proposed deep learning approach has been tested on the only public dataset available with pixel-level annotations for bacterial colony semantic segmentation in agar plates. The role of including synthetic data in the training of a segmentation CNN has been evaluated, showing how comparable performances can be obtained with respect to the use of real images. Qualitative results are also reported for a second public dataset in which the segmentation annotations are not provided. CONCLUSIONS: The use of a small set of real data, together with synthetic images, allows obtaining comparable results with respect to using a complete set of real images. Therefore, the proposed synthetic data generator is able to address the scarcity of biomedical data and provides a scalable and cheap alternative to human ground-truth supervision.</t>
    <phoneticPr fontId="18" type="noConversion"/>
  </si>
  <si>
    <t>ResNeXt,Inception,DenseNet</t>
    <phoneticPr fontId="18" type="noConversion"/>
  </si>
  <si>
    <t xml:space="preserve">CNN,FCN,Unet,SegNet,PSPNet </t>
    <phoneticPr fontId="18" type="noConversion"/>
  </si>
  <si>
    <t>RBM</t>
    <phoneticPr fontId="18" type="noConversion"/>
  </si>
  <si>
    <t>BACKGROUND: Automatic segmentation and localization of lesions in mammogram (MG) images are challenging even with employing advanced methods such as deep learning (DL) methods. We developed a new model based on the architecture of the semantic segmentation U-Net model to precisely segment mass lesions in MG images. The proposed end-to-end convolutional neural network (CNN) based model extracts contextual information by combining low-level and high-level features. We trained the proposed model using huge publicly available databases, (CBIS-DDSM, BCDR-01, and INbreast), and a private database from the University of Connecticut Health Center (UCHC). RESULTS: We compared the performance of the proposed model with those of the state-of-the-art DL models including the fully convolutional network (FCN), SegNet, Dilated-Net, original U-Net, and Faster R-CNN models and the conventional region growing (RG) method. The proposed Vanilla U-Net model outperforms the Faster R-CNN model significantly in terms of the runtime and the Intersection over Union metric (IOU). Training with digitized film-based and fully digitized MG images, the proposed Vanilla U-Net model achieves a mean test accuracy of 92.6%. The proposed model achieves a mean Dice coefficient index (DI) of 0.951 and a mean IOU of 0.909 that show how close the output segments are to the corresponding lesions in the ground truth maps. Data augmentation has been very effective in our experiments resulting in an increase in the mean DI and the mean IOU from 0.922 to 0.951 and 0.856 to 0.909, respectively. CONCLUSIONS: The proposed Vanilla U-Net based model can be used for precise segmentation of masses in MG images. This is because the segmentation process incorporates more multi-scale spatial context, and captures more local and global context to predict a precise pixel-wise segmentation map of an input full MG image. These detected maps can help radiologists in differentiating benign and malignant lesions depend on the lesion shapes. We show that using transfer learning, introducing augmentation, and modifying the architecture of the original model results in better performance in terms of the mean accuracy, the mean DI, and the mean IOU in detecting mass lesion compared to the other DL and the conventional models.</t>
    <phoneticPr fontId="18" type="noConversion"/>
  </si>
  <si>
    <t>Mask-R CNN</t>
  </si>
  <si>
    <t>AlexNet,CNN</t>
  </si>
  <si>
    <t>CNN,VGG,CNN</t>
  </si>
  <si>
    <t>ResNet,Unet,CNN</t>
  </si>
  <si>
    <t>CNN,Segnet,CNN</t>
  </si>
  <si>
    <t>CAE,SAE,AlexNet,VGG,GoogLeNet,ResNet,CNN</t>
  </si>
  <si>
    <t>Unet,CNN</t>
  </si>
  <si>
    <t>CNN,AlexNet,GoogLeNet,CNN</t>
  </si>
  <si>
    <t>YOLO,CNN</t>
  </si>
  <si>
    <t>Inception,ResNet,CNN</t>
  </si>
  <si>
    <t>YOLO,ResNet,Inception,CNN</t>
  </si>
  <si>
    <t>VGG,CNN</t>
  </si>
  <si>
    <t>DenseVNet,CNN</t>
  </si>
  <si>
    <t>convolutional AE,CNN</t>
  </si>
  <si>
    <t>DNN,CNN,Unet,CNN</t>
  </si>
  <si>
    <t>VGG,LSTM,CNN</t>
  </si>
  <si>
    <t>CNN,GoogLeNet,CNN</t>
  </si>
  <si>
    <t>Inception,AlexNet,CNN</t>
  </si>
  <si>
    <t>CNN,FCN,CNN</t>
  </si>
  <si>
    <t>ResNet,CNN</t>
  </si>
  <si>
    <t>DenseNet,CNN</t>
  </si>
  <si>
    <t>Inception,DenseNet,ResNet,VGG,CNN</t>
  </si>
  <si>
    <t>ResNet，DenseNet，VGG，SqueezeNet，AlexNet,CNN</t>
  </si>
  <si>
    <t>CNN ,CNN</t>
  </si>
  <si>
    <t>CNN,ResNet,CNN</t>
  </si>
  <si>
    <t>DenseNet,AlexNet,ZFNet,VGG,ResNet,GoogLeNet,CNN</t>
  </si>
  <si>
    <t>auto encoder,Unet,VGG,CNN</t>
  </si>
  <si>
    <t>CNN,Unet,CNN</t>
  </si>
  <si>
    <t>VGG，GoogLeNet,CNN</t>
  </si>
  <si>
    <t>VGG，Inception,Xception,CNN</t>
  </si>
  <si>
    <t>RED-CNN,GAN,CNN</t>
  </si>
  <si>
    <t>AlexNet,ResNet,CNN</t>
  </si>
  <si>
    <t>GoogLeNet,CNN</t>
  </si>
  <si>
    <t>FCN,Unet,CNN</t>
  </si>
  <si>
    <t>Inception,CNN</t>
  </si>
  <si>
    <t>Segnet,Unet,CNN</t>
  </si>
  <si>
    <t>AlexNet，VGG，GoogLeNet,ResNet,CNN</t>
  </si>
  <si>
    <t>VGG,ResNet,CNN</t>
  </si>
  <si>
    <t>ResNet,LSTM,CNN</t>
  </si>
  <si>
    <t>ResNet,DenseNet,CNN</t>
  </si>
  <si>
    <t>Unet,ResNet,CNN</t>
  </si>
  <si>
    <t>Inception,AlexNet,ResNet,VGG,CNN</t>
  </si>
  <si>
    <t>VGG,Segnet,CNN</t>
  </si>
  <si>
    <t>Inception,RNN,CNN</t>
  </si>
  <si>
    <t>ResNet,Mask R-CNN,Unet,CNN</t>
  </si>
  <si>
    <t>Unet,ResNet,Segnet,CNN</t>
  </si>
  <si>
    <t>RED-CNN,Unet,CNN</t>
  </si>
  <si>
    <t>DenseNet,ResNet,VGG,Unet,CNN</t>
  </si>
  <si>
    <t>VGG,ResNet,Inception,CNN</t>
  </si>
  <si>
    <t>ResNet,VGG,GoogLeNet,DenseNet,CNN</t>
  </si>
  <si>
    <t>ResNet,Unet,DenseNet,CNN</t>
  </si>
  <si>
    <t>Unet,VGG,GAN,CNN</t>
  </si>
  <si>
    <t>Xception,LSTM,CNN</t>
  </si>
  <si>
    <t>AlexNet,SqueezeNet,VGG,GoogLeNet,ResNet,Inception,DenseNet,CNN</t>
  </si>
  <si>
    <t>Mask R-CNN,Unet,CNN</t>
  </si>
  <si>
    <t>DenseNet,,Unet,CNN</t>
  </si>
  <si>
    <t>ResNet,DenseNet,Xception,CNN</t>
  </si>
  <si>
    <t>GoogLeNet,Inception,CNN</t>
  </si>
  <si>
    <t>Unet,GAN,CNN</t>
  </si>
  <si>
    <t>Vnet,CNN</t>
  </si>
  <si>
    <t>AlexNet,VGG,CNN</t>
  </si>
  <si>
    <t>LeNet,CNN</t>
  </si>
  <si>
    <t>Inception,VGG,RNN,CNN</t>
  </si>
  <si>
    <t>GAN,Unet,CNN</t>
  </si>
  <si>
    <t>Unet,Fast-R-CNN,Vnet,CNN</t>
  </si>
  <si>
    <t>VGG,ResNet,Inception,Xception,MobileNet,CNN</t>
  </si>
  <si>
    <t>VGG,
Inception,ResNet,DenseNet,CNN</t>
  </si>
  <si>
    <t>Unet,CAE,CNN</t>
  </si>
  <si>
    <t>MLP,CNN</t>
  </si>
  <si>
    <t>GAN,ResNet,CNN</t>
  </si>
  <si>
    <t>YOLO,Unet,CNN</t>
  </si>
  <si>
    <t>Vnet,AlexNet,GoogLeNet,ResNet,DenseNet,CNN</t>
  </si>
  <si>
    <t>FCN,ResNet,VGG,Inception,Xception,MobileNet,CNN</t>
  </si>
  <si>
    <t>CAE,CNN</t>
  </si>
  <si>
    <t>VGG,DenseNet,ResNet,CNN</t>
  </si>
  <si>
    <t>SqueezeNet,CNN</t>
  </si>
  <si>
    <t>DenseNet,MobileNet,CNN</t>
  </si>
  <si>
    <t>VGG,ResNet,GoogLeNet,Inception,Xception,MobileNet,CNN</t>
  </si>
  <si>
    <t>VGG,ResNet,Inception,Xception,CNN</t>
  </si>
  <si>
    <t>VGG,Inception,ResNet,CNN</t>
  </si>
  <si>
    <t>DenseNet,ShuffleNet,ResNet,MobileNet,CNN</t>
  </si>
  <si>
    <t>VGG,AlexNet,GoogLeNet,CNN</t>
  </si>
  <si>
    <t>DBM,CNN</t>
  </si>
  <si>
    <t>VGG,ResNet,Inception,Xception, DenseNet,MobileNet,CNN</t>
  </si>
  <si>
    <t>VGG,Inception,Xception,DenseNet,MobileNet,NASNet,CNN</t>
  </si>
  <si>
    <t>ResNet,VGG,Xception,Inception,DenseNet,MobileNet,NasNet,CNN</t>
  </si>
  <si>
    <t>Unet,VGG,CNN</t>
  </si>
  <si>
    <t>Vnet,Unet,ResNet,CNN</t>
  </si>
  <si>
    <t>Inception,ResNet,V-Net,CNN</t>
  </si>
  <si>
    <t>DenseNet,ResNet,CNN</t>
  </si>
  <si>
    <t>Inception,VGG,GoogLeNet,CNN</t>
  </si>
  <si>
    <t>AlexNet,GoogLeNet,VGG,CNN</t>
  </si>
  <si>
    <t>Xception,CNN</t>
  </si>
  <si>
    <t>Inception,ResNet,DenseNet,CNN</t>
  </si>
  <si>
    <t>VGG,ResNet,DenseNet,Inception,CNN</t>
  </si>
  <si>
    <t>AlexNet,GoogLeNet,CNN</t>
  </si>
  <si>
    <t>Inception,GoogLeNet,CNN</t>
  </si>
  <si>
    <t>FCN,SAE,CNN</t>
  </si>
  <si>
    <t>Faster-RCNN,YOLO,SSD,RetinaNet,EfficientDet,CNN</t>
  </si>
  <si>
    <t>VGG,DenseNet,NASNet,CNN</t>
  </si>
  <si>
    <t>Inception,Xception,CNN</t>
  </si>
  <si>
    <t>Unet,Vnet,CNN</t>
  </si>
  <si>
    <t>ResNet,Unet,Deeplab,CNN</t>
  </si>
  <si>
    <t>ResNet,DenseNet,VGG,CNN</t>
  </si>
  <si>
    <t>AlexNet,VGG,Inception,ResNet,Unet,CNN</t>
  </si>
  <si>
    <t>Lenet,CNN</t>
  </si>
  <si>
    <t>Lenet,AlexNet,GoogLeNet,ResNet,CNN</t>
  </si>
  <si>
    <t>ResNet,Unet,RNN,CNN</t>
  </si>
  <si>
    <t>GAN,VGG,ResNet,MobileNet,CNN</t>
  </si>
  <si>
    <t>VNet,WNet,CNN</t>
  </si>
  <si>
    <t>DenseNet,Inception,ResNet,Xception,CNN</t>
  </si>
  <si>
    <t>CNN,DEEPEM,CNN</t>
  </si>
  <si>
    <t>Unet,Segnet,Faster R-CNN,CNN</t>
  </si>
  <si>
    <t>Faster R-CNN,CNN</t>
  </si>
  <si>
    <t>ResNet,Faster R-CNN,CNN</t>
  </si>
  <si>
    <t>Inception,Faster R-CNN,CNN</t>
  </si>
  <si>
    <t>Unet,Faster R-CNN,CNN</t>
  </si>
  <si>
    <t xml:space="preserve"> Faster R-CNN,CNN</t>
  </si>
  <si>
    <t>CNN,AlexNet,VGG,GoogLeNet,ResNet,ResNet</t>
    <phoneticPr fontId="18" type="noConversion"/>
  </si>
  <si>
    <t>CNN,AlexNet,GoogLeNet</t>
    <phoneticPr fontId="18" type="noConversion"/>
  </si>
  <si>
    <t>CNN,ResNet,Inception,YOLO</t>
    <phoneticPr fontId="18" type="noConversion"/>
  </si>
  <si>
    <t>CNN,GAN,FCN</t>
    <phoneticPr fontId="18" type="noConversion"/>
  </si>
  <si>
    <t>CNN,MobileNet</t>
    <phoneticPr fontId="18" type="noConversion"/>
  </si>
  <si>
    <t>CNN,VGG</t>
    <phoneticPr fontId="18" type="noConversion"/>
  </si>
  <si>
    <t>CNN,VGG,DenseNet</t>
    <phoneticPr fontId="18" type="noConversion"/>
  </si>
  <si>
    <t>CNN,FCN</t>
    <phoneticPr fontId="18" type="noConversion"/>
  </si>
  <si>
    <t>CNN,DenseNet</t>
    <phoneticPr fontId="18" type="noConversion"/>
  </si>
  <si>
    <t>CNN,ResNet</t>
    <phoneticPr fontId="18" type="noConversion"/>
  </si>
  <si>
    <t>CNN,RNN,Unet</t>
    <phoneticPr fontId="18" type="noConversion"/>
  </si>
  <si>
    <t>CNN,Unet</t>
    <phoneticPr fontId="18" type="noConversion"/>
  </si>
  <si>
    <t>CNN,auto encoder</t>
    <phoneticPr fontId="18" type="noConversion"/>
  </si>
  <si>
    <t>CNN,DenseNet,ResNet</t>
    <phoneticPr fontId="18" type="noConversion"/>
  </si>
  <si>
    <t>CNN,AlexNet</t>
    <phoneticPr fontId="18" type="noConversion"/>
  </si>
  <si>
    <t>CNN,GoogLeNet</t>
    <phoneticPr fontId="18" type="noConversion"/>
  </si>
  <si>
    <t>AlexNet,GoogLeNet,VGG,CNN</t>
    <phoneticPr fontId="18" type="noConversion"/>
  </si>
  <si>
    <t>CNN,Segnet</t>
    <phoneticPr fontId="18" type="noConversion"/>
  </si>
  <si>
    <t>CNN,Unet,Vnet</t>
    <phoneticPr fontId="18" type="noConversion"/>
  </si>
  <si>
    <t>CNN,VGG,Inception,ResNet,DenseNet</t>
    <phoneticPr fontId="18" type="noConversion"/>
  </si>
  <si>
    <t>CNN,CAE</t>
    <phoneticPr fontId="18" type="noConversion"/>
  </si>
  <si>
    <t>FCNN,CNN,LSTM</t>
    <phoneticPr fontId="18" type="noConversion"/>
  </si>
  <si>
    <t>CNN,Inception,ResNet,VGG</t>
    <phoneticPr fontId="18" type="noConversion"/>
  </si>
  <si>
    <t>CNN,GoogLeNet,Inception</t>
    <phoneticPr fontId="18" type="noConversion"/>
  </si>
  <si>
    <t>CNN,ResNet,SqueezeNet</t>
    <phoneticPr fontId="18" type="noConversion"/>
  </si>
  <si>
    <t>CNN,Inception</t>
    <phoneticPr fontId="18" type="noConversion"/>
  </si>
  <si>
    <t>CNN,RNN</t>
    <phoneticPr fontId="18" type="noConversion"/>
  </si>
  <si>
    <t>CNN,GAN</t>
    <phoneticPr fontId="18" type="noConversion"/>
  </si>
  <si>
    <t>Inception,ResNet,Xception,CNN</t>
    <phoneticPr fontId="18" type="noConversion"/>
  </si>
  <si>
    <t>CNN,AlexNet,VGG</t>
    <phoneticPr fontId="18" type="noConversion"/>
  </si>
  <si>
    <t xml:space="preserve"> CNN,AlexNet,GoogLeNet</t>
    <phoneticPr fontId="18" type="noConversion"/>
  </si>
  <si>
    <t>CNN,AlexNet,VGG,GoogLeNet,ResNet</t>
    <phoneticPr fontId="18" type="noConversion"/>
  </si>
  <si>
    <t>CNN,AlexNet
,GoogLeNet,VGG</t>
    <phoneticPr fontId="18" type="noConversion"/>
  </si>
  <si>
    <t>CNN,VGG,ResNet,DenseNet,Xception</t>
    <phoneticPr fontId="18" type="noConversion"/>
  </si>
  <si>
    <t>CNN,AlexNet,VGG,Inception</t>
    <phoneticPr fontId="18" type="noConversion"/>
  </si>
  <si>
    <t>CNN,Unet,FCN</t>
    <phoneticPr fontId="18" type="noConversion"/>
  </si>
  <si>
    <t xml:space="preserve"> CNN,ResNet</t>
    <phoneticPr fontId="18" type="noConversion"/>
  </si>
  <si>
    <t>Unet,ResNet,VGG,DenseNet</t>
    <phoneticPr fontId="18" type="noConversion"/>
  </si>
  <si>
    <t>CNN,AlexNet,VGG,ResNet</t>
    <phoneticPr fontId="18" type="noConversion"/>
  </si>
  <si>
    <t>CNN,Unet,VGG</t>
    <phoneticPr fontId="18" type="noConversion"/>
  </si>
  <si>
    <t>CNN,AlexNet,Inception</t>
    <phoneticPr fontId="18" type="noConversion"/>
  </si>
  <si>
    <t>CNN,ResNet,VGG</t>
    <phoneticPr fontId="18" type="noConversion"/>
  </si>
  <si>
    <t>CNN,VGG,ResNet,GoogLeNet</t>
    <phoneticPr fontId="18" type="noConversion"/>
  </si>
  <si>
    <t>CNN,ANN</t>
    <phoneticPr fontId="18" type="noConversion"/>
  </si>
  <si>
    <t>CNN,DNN,SAE</t>
    <phoneticPr fontId="18" type="noConversion"/>
  </si>
  <si>
    <t>CNN,FCN,Unet,DenseNet</t>
    <phoneticPr fontId="18" type="noConversion"/>
  </si>
  <si>
    <t>CNN,DBN,SAE</t>
    <phoneticPr fontId="18" type="noConversion"/>
  </si>
  <si>
    <t>CNN,ResNet,DenseNet</t>
    <phoneticPr fontId="18" type="noConversion"/>
  </si>
  <si>
    <t>CNN,PNET,FCN,Unet</t>
    <phoneticPr fontId="18" type="noConversion"/>
  </si>
  <si>
    <t>CNN,VGG,ResNet</t>
    <phoneticPr fontId="18" type="noConversion"/>
  </si>
  <si>
    <t>CNN,RNN,VNET</t>
    <phoneticPr fontId="18" type="noConversion"/>
  </si>
  <si>
    <t>CNN,AlexNet,ANN</t>
    <phoneticPr fontId="18" type="noConversion"/>
  </si>
  <si>
    <t>CNN,AlexNet,VGG,ResNet,Inception</t>
    <phoneticPr fontId="18" type="noConversion"/>
  </si>
  <si>
    <t xml:space="preserve"> CNN,AlexNet,VGG</t>
    <phoneticPr fontId="18" type="noConversion"/>
  </si>
  <si>
    <t>CNN,ResNet,LeNet,AlexNet,CifarNet,GoogLeNet</t>
    <phoneticPr fontId="18" type="noConversion"/>
  </si>
  <si>
    <t>10.1007/s11548-019-02115-9</t>
    <phoneticPr fontId="18" type="noConversion"/>
  </si>
  <si>
    <t>DNN,Unet</t>
    <phoneticPr fontId="1" type="noConversion"/>
  </si>
  <si>
    <t>Unet,CNN</t>
    <phoneticPr fontId="1" type="noConversion"/>
  </si>
  <si>
    <t>DL networks</t>
    <phoneticPr fontId="18" type="noConversion"/>
  </si>
  <si>
    <t>PCANet</t>
  </si>
  <si>
    <t>SAE</t>
    <phoneticPr fontId="18" type="noConversion"/>
  </si>
  <si>
    <t xml:space="preserve">Pnet </t>
  </si>
  <si>
    <t>CNN</t>
    <phoneticPr fontId="18" type="noConversion"/>
  </si>
  <si>
    <t>RBM</t>
    <phoneticPr fontId="18" type="noConversion"/>
  </si>
  <si>
    <t>DL</t>
    <phoneticPr fontId="18" type="noConversion"/>
  </si>
  <si>
    <r>
      <t>RED-</t>
    </r>
    <r>
      <rPr>
        <sz val="11"/>
        <color rgb="FFFF0000"/>
        <rFont val="等线"/>
        <family val="3"/>
        <charset val="134"/>
        <scheme val="minor"/>
      </rPr>
      <t>CNN</t>
    </r>
    <phoneticPr fontId="18" type="noConversion"/>
  </si>
  <si>
    <t>Deeplab</t>
    <phoneticPr fontId="18" type="noConversion"/>
  </si>
  <si>
    <t>NASNet</t>
    <phoneticPr fontId="18" type="noConversion"/>
  </si>
  <si>
    <t>COVID-Net</t>
  </si>
  <si>
    <t>RetinaNet</t>
  </si>
  <si>
    <t>ZFNet</t>
  </si>
  <si>
    <t>FNN</t>
    <phoneticPr fontId="18" type="noConversion"/>
  </si>
  <si>
    <t>variational network</t>
    <phoneticPr fontId="18" type="noConversion"/>
  </si>
  <si>
    <t>ResNet</t>
    <phoneticPr fontId="18" type="noConversion"/>
  </si>
  <si>
    <t>Unet</t>
    <phoneticPr fontId="18" type="noConversion"/>
  </si>
  <si>
    <t>VGG</t>
    <phoneticPr fontId="18" type="noConversion"/>
  </si>
  <si>
    <t>FCN</t>
    <phoneticPr fontId="18" type="noConversion"/>
  </si>
  <si>
    <t>DNN</t>
    <phoneticPr fontId="18" type="noConversion"/>
  </si>
  <si>
    <r>
      <t>Goog</t>
    </r>
    <r>
      <rPr>
        <sz val="11"/>
        <color rgb="FFC00000"/>
        <rFont val="等线"/>
        <family val="3"/>
        <charset val="134"/>
        <scheme val="minor"/>
      </rPr>
      <t>LeNet</t>
    </r>
    <phoneticPr fontId="18" type="noConversion"/>
  </si>
  <si>
    <r>
      <t>MatCon</t>
    </r>
    <r>
      <rPr>
        <sz val="11"/>
        <color rgb="FF0070C0"/>
        <rFont val="等线"/>
        <family val="3"/>
        <charset val="134"/>
        <scheme val="minor"/>
      </rPr>
      <t>vNet</t>
    </r>
    <phoneticPr fontId="18" type="noConversion"/>
  </si>
  <si>
    <r>
      <t>Mobi</t>
    </r>
    <r>
      <rPr>
        <sz val="11"/>
        <color rgb="FFC00000"/>
        <rFont val="等线"/>
        <family val="3"/>
        <charset val="134"/>
        <scheme val="minor"/>
      </rPr>
      <t>leNet</t>
    </r>
    <phoneticPr fontId="18" type="noConversion"/>
  </si>
  <si>
    <r>
      <t>Shuff</t>
    </r>
    <r>
      <rPr>
        <sz val="11"/>
        <color rgb="FFC00000"/>
        <rFont val="等线"/>
        <family val="3"/>
        <charset val="134"/>
        <scheme val="minor"/>
      </rPr>
      <t>leNet</t>
    </r>
    <phoneticPr fontId="18" type="noConversion"/>
  </si>
  <si>
    <r>
      <t>PS</t>
    </r>
    <r>
      <rPr>
        <sz val="11"/>
        <color rgb="FFFFC000"/>
        <rFont val="等线"/>
        <family val="3"/>
        <charset val="134"/>
        <scheme val="minor"/>
      </rPr>
      <t>PNet</t>
    </r>
    <phoneticPr fontId="18" type="noConversion"/>
  </si>
  <si>
    <r>
      <t>Mask R-</t>
    </r>
    <r>
      <rPr>
        <sz val="11"/>
        <color rgb="FFFF0000"/>
        <rFont val="等线"/>
        <family val="3"/>
        <charset val="134"/>
        <scheme val="minor"/>
      </rPr>
      <t>CNN</t>
    </r>
  </si>
  <si>
    <t>DEEPEM</t>
    <phoneticPr fontId="18" type="noConversion"/>
  </si>
  <si>
    <r>
      <t>Faster R-</t>
    </r>
    <r>
      <rPr>
        <sz val="11"/>
        <color rgb="FFFF0000"/>
        <rFont val="等线"/>
        <family val="3"/>
        <charset val="134"/>
        <scheme val="minor"/>
      </rPr>
      <t>CNN</t>
    </r>
    <phoneticPr fontId="18" type="noConversion"/>
  </si>
  <si>
    <t>auto encoder</t>
    <phoneticPr fontId="18" type="noConversion"/>
  </si>
  <si>
    <t>DL,Word2Vec</t>
  </si>
  <si>
    <t>MLP，RNN</t>
  </si>
  <si>
    <t>CNN，SAE</t>
  </si>
  <si>
    <t>Deeplab</t>
  </si>
  <si>
    <t>ResNeXt,Inception,DenseNet</t>
  </si>
  <si>
    <t>DNN,FNN</t>
  </si>
  <si>
    <t>MLP,Aotoencoder</t>
  </si>
  <si>
    <t>LSTM,CNN</t>
  </si>
  <si>
    <t>Xception,LSTM</t>
  </si>
  <si>
    <t>convolutional-AE</t>
  </si>
  <si>
    <t>NASNet</t>
  </si>
  <si>
    <t xml:space="preserve">CNN,FCN,Unet,SegNet,PSPNet </t>
  </si>
  <si>
    <t>Mask
R-CNN</t>
  </si>
  <si>
    <t>Unet,ResNet,VGG,DenseNet</t>
  </si>
  <si>
    <t>MLP,SAE</t>
  </si>
  <si>
    <t>MLP,DNN</t>
  </si>
  <si>
    <t>MobileNet,SqueezeNet</t>
  </si>
  <si>
    <t>SOM</t>
  </si>
  <si>
    <t xml:space="preserve">AlexNet,GoogLeNet,DenseNet,ResNet </t>
  </si>
  <si>
    <t>CNN,RNN,CNN</t>
  </si>
  <si>
    <t>GAN,ResNet,Unet</t>
  </si>
  <si>
    <t>DenseNet,LSTM</t>
  </si>
  <si>
    <t>Mask R-CNN,ResNet,CNN</t>
  </si>
  <si>
    <t>Inception,LSTM</t>
  </si>
  <si>
    <t>FCN,MLP</t>
  </si>
  <si>
    <t>auto encoder,CNN</t>
  </si>
  <si>
    <t>LSTM,GAN,CNN</t>
  </si>
  <si>
    <t>GAN,LSTM</t>
  </si>
  <si>
    <t>DenseNet,GRU,ResNet,LSTM,CNN</t>
  </si>
  <si>
    <t>ResNet,FPN</t>
  </si>
  <si>
    <t>Segnet,DenseNet</t>
  </si>
  <si>
    <t>Inception,CAE</t>
  </si>
  <si>
    <t>LSTM,Unet,DenseNet</t>
  </si>
  <si>
    <t>Vnet,LSTM,GAN</t>
  </si>
  <si>
    <t>Unet,VGG,Inception,NASNet,DenseNet,MobileNet</t>
  </si>
  <si>
    <t>AlexNet,Vnet,Unet</t>
  </si>
  <si>
    <t>GAN,Unet,ResNet</t>
  </si>
  <si>
    <t>Unet,Segnet,CNN</t>
  </si>
  <si>
    <t>Pnet,CNN,RNN</t>
  </si>
  <si>
    <t>Unet,AlexNet,ResNet</t>
  </si>
  <si>
    <t>FCN,VGG,Unet</t>
  </si>
  <si>
    <t>VGG,Faster R-CNN,CNN</t>
  </si>
  <si>
    <t>VGG, ResNet, DenseNet</t>
  </si>
  <si>
    <t>ResNet,LSTM,Unet</t>
  </si>
  <si>
    <t>Faster-RCNN ,GAN</t>
  </si>
  <si>
    <t>Unet,ResNet,DenseNet,NASNet,CNN</t>
  </si>
  <si>
    <t>ResNet,Faster R-CNN,LSTM</t>
  </si>
  <si>
    <t>DNN,AlexNet</t>
  </si>
  <si>
    <t>ResNet,FCN,CNN</t>
  </si>
  <si>
    <t>ResNet,Faster-RCNN</t>
  </si>
  <si>
    <t>Unet,FCN,SegNet,Deeplab</t>
  </si>
  <si>
    <t>ResNet,DNN</t>
  </si>
  <si>
    <t>Lenet,AlexNet</t>
  </si>
  <si>
    <t>VGG,auto encoder</t>
  </si>
  <si>
    <t>GoogLeNet,VGG</t>
  </si>
  <si>
    <t>SAE</t>
    <phoneticPr fontId="18" type="noConversion"/>
  </si>
  <si>
    <t>Faster R-CNN,CNN,Inception</t>
  </si>
  <si>
    <t>Faster R-CNN,CNN,ResNet,VGG</t>
  </si>
  <si>
    <t>Faster R-CNN,CNN,VGG</t>
  </si>
  <si>
    <t>CNN,FCN,Faster R-CNN,FPN,ResNet</t>
  </si>
  <si>
    <t>Faster R-CNN,CNN,LSTM</t>
  </si>
  <si>
    <t>Faster R-CNN,ResNet,CNN</t>
  </si>
  <si>
    <t>Faster R-CNN,CNN,Unet,ResNet</t>
  </si>
  <si>
    <t>ResNet,Unet,Mask R-CNN</t>
  </si>
  <si>
    <t>Mask R-CNN,ResNet,Unet</t>
  </si>
  <si>
    <t xml:space="preserve">FCN,Unet,Mask R-CNN </t>
  </si>
  <si>
    <t>Mask R-CNN,ResNet
,CNN</t>
    <phoneticPr fontId="18" type="noConversion"/>
  </si>
  <si>
    <t>Mask R-CNN</t>
    <phoneticPr fontId="18" type="noConversion"/>
  </si>
  <si>
    <t>We propose a framework for localization and classification of masses in breast ultrasound images. We have experimentally found that training convolutional neural network-based mass detectors with large, weakly annotated datasets presents a non-trivial problem, while overfitting may occur with those trained with small, strongly annotated datasets. To overcome these problems, we use a weakly annotated dataset together with a smaller strongly annotated dataset in a hybrid manner. We propose a systematic weakly and semi-supervised training scenario with appropriate training loss selection. Experimental results show that the proposed method can successfully localize and classify masses with less annotation effort. The results trained with only 10 strongly annotated images along with weakly annotated images were comparable to results trained from 800 strongly annotated images, with the 95% confidence interval (CI) of difference -3%-5%, in terms of the correct localization (CorLoc) measure, which is the ratio of images with intersection over union with ground truth higher than 0.5. With the same number of strongly annotated images, additional weakly annotated images can be incorporated to give a 4.5% point increase in CorLoc, from 80% to 84.50% (with 95% CIs 76%-83.75% and 81%-88%). The effects of different algorithmic details and varied amount of data are presented through ablative analysis.</t>
    <phoneticPr fontId="18" type="noConversion"/>
  </si>
  <si>
    <t>Video understanding of robot-assisted surgery (RAS) videos is an active research area. Modeling the gestures and skill level of surgeons presents an interesting problem. The insights drawn may be applied in effective skill acquisition, objective skill assessment, real-time feedback, and human-robot collaborative surgeries. We propose a solution to the tool detection and localization open problem in RAS video understanding, using a strictly computer vision approach and the recent advances of deep learning. We propose an architecture using multimodal convolutional neural networks for fast detection and localization of tools in RAS videos. To the best of our knowledge, this approach will be the first to incorporate deep neural networks for tool detection and localization in RAS videos. Our architecture applies a region proposal network (RPN) and a multimodal two stream convolutional network for object detection to jointly predict objectness and localization on a fusion of image and temporal motion cues. Our results with an average precision of 91% and a mean computation time of 0.1 s per test frame detection indicate that our study is superior to conventionally used methods for medical imaging while also emphasizing the benefits of using RPN for precision and efficiency. We also introduce a new data set, ATLAS Dione, for RAS video understanding. Our data set provides video data of ten surgeons from Roswell Park Cancer Institute, Buffalo, NY, USA, performing six different surgical tasks on the daVinci Surgical System (dVSS) with annotations of robotic tools per frame.</t>
    <phoneticPr fontId="18" type="noConversion"/>
  </si>
  <si>
    <t>Faster R-CNN</t>
    <phoneticPr fontId="18" type="noConversion"/>
  </si>
  <si>
    <t>Fast R-CNN</t>
    <phoneticPr fontId="18" type="noConversion"/>
  </si>
  <si>
    <t>原始DL数据</t>
    <phoneticPr fontId="0" type="noConversion"/>
  </si>
  <si>
    <t>DL（最终用于统计）</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</si>
</sst>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38" x14ac:knownFonts="1">
    <font>
      <sz val="11"/>
      <color theme="1"/>
      <name val="等线"/>
      <family val="2"/>
      <charset val="134"/>
      <scheme val="minor"/>
    </font>
    <font>
      <sz val="8"/>
      <name val="等线"/>
      <family val="2"/>
      <charset val="134"/>
      <scheme val="minor"/>
    </font>
    <font>
      <b/>
      <sz val="10"/>
      <name val="Arial"/>
      <family val="2"/>
    </font>
    <font>
      <b/>
      <sz val="8"/>
      <name val="Arial"/>
      <family val="2"/>
    </font>
    <font>
      <b/>
      <sz val="10"/>
      <color theme="1"/>
      <name val="Arial"/>
      <family val="2"/>
    </font>
    <font>
      <sz val="10"/>
      <name val="Arial"/>
      <family val="2"/>
    </font>
    <font>
      <sz val="10"/>
      <color rgb="FFFF0000"/>
      <name val="Arial"/>
      <family val="2"/>
    </font>
    <font>
      <sz val="10"/>
      <color theme="1"/>
      <name val="Arial"/>
      <family val="2"/>
    </font>
    <font>
      <sz val="10"/>
      <color theme="4"/>
      <name val="Arial"/>
      <family val="2"/>
    </font>
    <font>
      <sz val="10"/>
      <color indexed="10"/>
      <name val="Arial"/>
      <family val="2"/>
    </font>
    <font>
      <sz val="11"/>
      <color theme="1"/>
      <name val="Arial"/>
      <family val="2"/>
    </font>
    <font>
      <sz val="10"/>
      <color rgb="FF333333"/>
      <name val="Arial"/>
      <family val="2"/>
    </font>
    <font>
      <sz val="10"/>
      <name val="宋体"/>
      <family val="3"/>
      <charset val="134"/>
    </font>
    <font>
      <sz val="10"/>
      <color indexed="62"/>
      <name val="Arial"/>
      <family val="2"/>
    </font>
    <font>
      <b/>
      <sz val="9"/>
      <color indexed="81"/>
      <name val="宋体"/>
      <family val="3"/>
      <charset val="134"/>
    </font>
    <font>
      <sz val="9"/>
      <color indexed="81"/>
      <name val="宋体"/>
      <family val="3"/>
      <charset val="134"/>
    </font>
    <font>
      <sz val="11"/>
      <name val="等线"/>
      <family val="2"/>
      <charset val="134"/>
      <scheme val="minor"/>
    </font>
    <font>
      <sz val="10"/>
      <color rgb="FF000000"/>
      <name val="Times New Roman"/>
      <family val="1"/>
    </font>
    <font>
      <sz val="9"/>
      <name val="等线"/>
      <family val="2"/>
      <charset val="134"/>
      <scheme val="minor"/>
    </font>
    <font>
      <sz val="11"/>
      <color rgb="FF333333"/>
      <name val="Arial"/>
      <family val="2"/>
    </font>
    <font>
      <sz val="11"/>
      <color theme="1"/>
      <name val="等线"/>
      <family val="3"/>
      <charset val="134"/>
      <scheme val="minor"/>
    </font>
    <font>
      <sz val="11"/>
      <name val="等线"/>
      <family val="3"/>
      <charset val="134"/>
      <scheme val="minor"/>
    </font>
    <font>
      <b/>
      <sz val="9"/>
      <name val="宋体"/>
      <family val="3"/>
      <charset val="134"/>
    </font>
    <font>
      <sz val="9"/>
      <name val="宋体"/>
      <family val="3"/>
      <charset val="134"/>
    </font>
    <font>
      <b/>
      <sz val="11"/>
      <color theme="1"/>
      <name val="等线"/>
      <family val="2"/>
      <charset val="134"/>
      <scheme val="minor"/>
    </font>
    <font>
      <b/>
      <sz val="11"/>
      <name val="等线"/>
      <family val="2"/>
      <charset val="134"/>
      <scheme val="minor"/>
    </font>
    <font>
      <b/>
      <sz val="11"/>
      <name val="等线"/>
      <family val="3"/>
      <charset val="134"/>
      <scheme val="minor"/>
    </font>
    <font>
      <sz val="11"/>
      <color rgb="FFFF0000"/>
      <name val="等线"/>
      <family val="2"/>
      <charset val="134"/>
      <scheme val="minor"/>
    </font>
    <font>
      <b/>
      <sz val="11"/>
      <color theme="1"/>
      <name val="等线"/>
      <family val="3"/>
      <charset val="134"/>
      <scheme val="minor"/>
    </font>
    <font>
      <sz val="11"/>
      <color rgb="FFFF0000"/>
      <name val="等线"/>
      <family val="3"/>
      <charset val="134"/>
      <scheme val="minor"/>
    </font>
    <font>
      <sz val="11"/>
      <color rgb="FFC00000"/>
      <name val="等线"/>
      <family val="2"/>
      <charset val="134"/>
      <scheme val="minor"/>
    </font>
    <font>
      <sz val="11"/>
      <color rgb="FFC00000"/>
      <name val="等线"/>
      <family val="3"/>
      <charset val="134"/>
      <scheme val="minor"/>
    </font>
    <font>
      <sz val="11"/>
      <color rgb="FF0070C0"/>
      <name val="等线"/>
      <family val="2"/>
      <charset val="134"/>
      <scheme val="minor"/>
    </font>
    <font>
      <sz val="11"/>
      <color rgb="FF0070C0"/>
      <name val="等线"/>
      <family val="3"/>
      <charset val="134"/>
      <scheme val="minor"/>
    </font>
    <font>
      <sz val="11"/>
      <color rgb="FFFFC000"/>
      <name val="等线"/>
      <family val="2"/>
      <charset val="134"/>
      <scheme val="minor"/>
    </font>
    <font>
      <sz val="11"/>
      <color rgb="FFFFC000"/>
      <name val="等线"/>
      <family val="3"/>
      <charset val="134"/>
      <scheme val="minor"/>
    </font>
    <font>
      <b/>
      <sz val="10"/>
      <name val="宋体"/>
      <family val="3"/>
      <charset val="134"/>
    </font>
    <font>
      <b/>
      <sz val="10"/>
      <color rgb="FFFF0000"/>
      <name val="宋体"/>
      <family val="3"/>
      <charset val="134"/>
    </font>
  </fonts>
  <fills count="17">
    <fill>
      <patternFill patternType="none"/>
    </fill>
    <fill>
      <patternFill patternType="gray125"/>
    </fill>
    <fill>
      <patternFill patternType="solid">
        <fgColor theme="0" tint="-0.499984740745262"/>
        <bgColor indexed="64"/>
      </patternFill>
    </fill>
    <fill>
      <patternFill patternType="solid">
        <fgColor rgb="FF00B0F0"/>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theme="0"/>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rgb="FF0070C0"/>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4" tint="-0.499984740745262"/>
        <bgColor indexed="64"/>
      </patternFill>
    </fill>
    <fill>
      <patternFill patternType="solid">
        <fgColor theme="9" tint="0.79998168889431442"/>
        <bgColor theme="9" tint="0.79998168889431442"/>
      </patternFill>
    </fill>
    <fill>
      <patternFill patternType="solid">
        <fgColor theme="0" tint="-0.34998626667073579"/>
        <bgColor indexed="64"/>
      </patternFill>
    </fill>
  </fills>
  <borders count="6">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auto="1"/>
      </top>
      <bottom/>
      <diagonal/>
    </border>
    <border>
      <left/>
      <right/>
      <top style="thin">
        <color theme="9" tint="0.39997558519241921"/>
      </top>
      <bottom style="thin">
        <color theme="9" tint="0.39997558519241921"/>
      </bottom>
      <diagonal/>
    </border>
  </borders>
  <cellStyleXfs count="1">
    <xf numFmtId="0" fontId="0" fillId="0" borderId="0"/>
  </cellStyleXfs>
  <cellXfs count="141">
    <xf numFmtId="0" fontId="0" fillId="0" borderId="0" xfId="0"/>
    <xf numFmtId="0" fontId="0" fillId="0" borderId="0" xfId="0" applyNumberFormat="1"/>
    <xf numFmtId="0" fontId="0" fillId="2" borderId="0" xfId="0" applyNumberFormat="1" applyFill="1"/>
    <xf numFmtId="0" fontId="0" fillId="2" borderId="0" xfId="0" applyFill="1"/>
    <xf numFmtId="0" fontId="0" fillId="4" borderId="0" xfId="0" applyFill="1"/>
    <xf numFmtId="0" fontId="0" fillId="4" borderId="0" xfId="0" applyNumberFormat="1" applyFill="1"/>
    <xf numFmtId="0" fontId="2" fillId="0" borderId="0" xfId="0" applyFont="1" applyAlignment="1">
      <alignment vertical="top"/>
    </xf>
    <xf numFmtId="0" fontId="2" fillId="0" borderId="0" xfId="0" applyFont="1" applyAlignment="1">
      <alignment vertical="top" wrapText="1"/>
    </xf>
    <xf numFmtId="0" fontId="0" fillId="0" borderId="0" xfId="0" applyAlignment="1">
      <alignment vertical="center"/>
    </xf>
    <xf numFmtId="0" fontId="2" fillId="5" borderId="1" xfId="0" applyFont="1" applyFill="1" applyBorder="1" applyAlignment="1">
      <alignment vertical="top" wrapText="1"/>
    </xf>
    <xf numFmtId="0" fontId="2" fillId="4" borderId="1" xfId="0" applyFont="1" applyFill="1" applyBorder="1" applyAlignment="1">
      <alignment vertical="top" wrapText="1"/>
    </xf>
    <xf numFmtId="0" fontId="3" fillId="4" borderId="1" xfId="0" applyFont="1" applyFill="1" applyBorder="1" applyAlignment="1">
      <alignment vertical="top" wrapText="1"/>
    </xf>
    <xf numFmtId="0" fontId="4" fillId="4" borderId="1" xfId="0" applyFont="1" applyFill="1" applyBorder="1" applyAlignment="1">
      <alignment vertical="top" wrapText="1"/>
    </xf>
    <xf numFmtId="0" fontId="2" fillId="6" borderId="1" xfId="0" applyFont="1" applyFill="1" applyBorder="1" applyAlignment="1">
      <alignment vertical="top" wrapText="1"/>
    </xf>
    <xf numFmtId="49" fontId="2" fillId="5" borderId="1" xfId="0" applyNumberFormat="1" applyFont="1" applyFill="1" applyBorder="1" applyAlignment="1">
      <alignment vertical="top" wrapText="1"/>
    </xf>
    <xf numFmtId="0" fontId="2" fillId="5" borderId="1" xfId="0" applyFont="1" applyFill="1" applyBorder="1" applyAlignment="1">
      <alignment horizontal="left" vertical="top" wrapText="1"/>
    </xf>
    <xf numFmtId="0" fontId="2" fillId="7" borderId="0" xfId="0" applyFont="1" applyFill="1" applyAlignment="1">
      <alignment vertical="top"/>
    </xf>
    <xf numFmtId="0" fontId="2" fillId="6" borderId="0" xfId="0" applyFont="1" applyFill="1" applyAlignment="1">
      <alignment vertical="top"/>
    </xf>
    <xf numFmtId="0" fontId="5" fillId="0" borderId="0" xfId="0" applyFont="1" applyAlignment="1">
      <alignment vertical="top"/>
    </xf>
    <xf numFmtId="0" fontId="5" fillId="0" borderId="0" xfId="0" applyFont="1" applyAlignment="1">
      <alignment vertical="top" wrapText="1"/>
    </xf>
    <xf numFmtId="0" fontId="5" fillId="0" borderId="2" xfId="0" applyFont="1" applyBorder="1" applyAlignment="1">
      <alignment vertical="top"/>
    </xf>
    <xf numFmtId="0" fontId="5" fillId="0" borderId="2" xfId="0" applyFont="1" applyBorder="1" applyAlignment="1">
      <alignment vertical="top" wrapText="1"/>
    </xf>
    <xf numFmtId="49" fontId="5" fillId="0" borderId="2" xfId="0" applyNumberFormat="1" applyFont="1" applyBorder="1" applyAlignment="1">
      <alignment vertical="top"/>
    </xf>
    <xf numFmtId="0" fontId="5" fillId="0" borderId="2" xfId="0" applyFont="1" applyBorder="1" applyAlignment="1">
      <alignment horizontal="left" vertical="top"/>
    </xf>
    <xf numFmtId="0" fontId="5" fillId="7" borderId="0" xfId="0" applyFont="1" applyFill="1" applyAlignment="1">
      <alignment vertical="top"/>
    </xf>
    <xf numFmtId="0" fontId="5" fillId="7" borderId="0" xfId="0" applyFont="1" applyFill="1" applyAlignment="1">
      <alignment vertical="top" wrapText="1"/>
    </xf>
    <xf numFmtId="0" fontId="5" fillId="6" borderId="0" xfId="0" applyFont="1" applyFill="1" applyAlignment="1">
      <alignment vertical="top"/>
    </xf>
    <xf numFmtId="0" fontId="6" fillId="0" borderId="2" xfId="0" applyFont="1" applyBorder="1" applyAlignment="1">
      <alignment vertical="top"/>
    </xf>
    <xf numFmtId="0" fontId="5" fillId="6" borderId="0" xfId="0" applyFont="1" applyFill="1" applyAlignment="1">
      <alignment vertical="top" wrapText="1"/>
    </xf>
    <xf numFmtId="0" fontId="5" fillId="0" borderId="0" xfId="0" quotePrefix="1" applyFont="1" applyAlignment="1">
      <alignment vertical="top" wrapText="1"/>
    </xf>
    <xf numFmtId="0" fontId="7" fillId="0" borderId="0" xfId="0" applyFont="1" applyAlignment="1">
      <alignment vertical="top"/>
    </xf>
    <xf numFmtId="0" fontId="7" fillId="0" borderId="2" xfId="0" applyFont="1" applyBorder="1" applyAlignment="1">
      <alignment vertical="top"/>
    </xf>
    <xf numFmtId="0" fontId="7" fillId="0" borderId="2" xfId="0" applyFont="1" applyBorder="1" applyAlignment="1">
      <alignment vertical="top" wrapText="1"/>
    </xf>
    <xf numFmtId="0" fontId="8" fillId="0" borderId="2" xfId="0" applyFont="1" applyBorder="1" applyAlignment="1">
      <alignment vertical="top"/>
    </xf>
    <xf numFmtId="0" fontId="5" fillId="0" borderId="0" xfId="0" applyFont="1" applyAlignment="1">
      <alignment horizontal="fill" vertical="top" wrapText="1"/>
    </xf>
    <xf numFmtId="0" fontId="5" fillId="6" borderId="2" xfId="0" applyFont="1" applyFill="1" applyBorder="1" applyAlignment="1">
      <alignment vertical="top"/>
    </xf>
    <xf numFmtId="0" fontId="7" fillId="6" borderId="0" xfId="0" applyFont="1" applyFill="1" applyAlignment="1">
      <alignment vertical="top"/>
    </xf>
    <xf numFmtId="0" fontId="5" fillId="6" borderId="2" xfId="0" applyFont="1" applyFill="1" applyBorder="1" applyAlignment="1">
      <alignment vertical="top" wrapText="1"/>
    </xf>
    <xf numFmtId="49" fontId="5" fillId="6" borderId="2" xfId="0" applyNumberFormat="1" applyFont="1" applyFill="1" applyBorder="1" applyAlignment="1">
      <alignment vertical="top"/>
    </xf>
    <xf numFmtId="0" fontId="5" fillId="6" borderId="2" xfId="0" applyFont="1" applyFill="1" applyBorder="1" applyAlignment="1">
      <alignment horizontal="left" vertical="top"/>
    </xf>
    <xf numFmtId="0" fontId="6" fillId="6" borderId="2" xfId="0" applyFont="1" applyFill="1" applyBorder="1" applyAlignment="1">
      <alignment vertical="top"/>
    </xf>
    <xf numFmtId="0" fontId="5" fillId="0" borderId="2" xfId="0" applyFont="1" applyBorder="1" applyAlignment="1">
      <alignment horizontal="fill" vertical="top"/>
    </xf>
    <xf numFmtId="0" fontId="5" fillId="8" borderId="2" xfId="0" applyFont="1" applyFill="1" applyBorder="1" applyAlignment="1">
      <alignment vertical="top"/>
    </xf>
    <xf numFmtId="0" fontId="6" fillId="0" borderId="2" xfId="0" applyFont="1" applyBorder="1" applyAlignment="1">
      <alignment vertical="top" wrapText="1"/>
    </xf>
    <xf numFmtId="0" fontId="6" fillId="0" borderId="0" xfId="0" applyFont="1" applyAlignment="1">
      <alignment vertical="top" wrapText="1"/>
    </xf>
    <xf numFmtId="0" fontId="5" fillId="9" borderId="2" xfId="0" applyFont="1" applyFill="1" applyBorder="1" applyAlignment="1">
      <alignment vertical="top"/>
    </xf>
    <xf numFmtId="0" fontId="7" fillId="0" borderId="0" xfId="0" applyFont="1" applyAlignment="1">
      <alignment vertical="top" wrapText="1"/>
    </xf>
    <xf numFmtId="49" fontId="7" fillId="0" borderId="2" xfId="0" applyNumberFormat="1" applyFont="1" applyBorder="1" applyAlignment="1">
      <alignment vertical="top"/>
    </xf>
    <xf numFmtId="0" fontId="8" fillId="0" borderId="2" xfId="0" applyFont="1" applyBorder="1" applyAlignment="1">
      <alignment vertical="top" wrapText="1"/>
    </xf>
    <xf numFmtId="13" fontId="5" fillId="0" borderId="0" xfId="0" applyNumberFormat="1" applyFont="1" applyAlignment="1">
      <alignment vertical="top"/>
    </xf>
    <xf numFmtId="0" fontId="7" fillId="6" borderId="2" xfId="0" applyFont="1" applyFill="1" applyBorder="1" applyAlignment="1">
      <alignment vertical="top"/>
    </xf>
    <xf numFmtId="0" fontId="10" fillId="0" borderId="0" xfId="0" applyFont="1" applyAlignment="1">
      <alignment vertical="center"/>
    </xf>
    <xf numFmtId="3" fontId="7" fillId="0" borderId="2" xfId="0" applyNumberFormat="1" applyFont="1" applyBorder="1" applyAlignment="1">
      <alignment vertical="top"/>
    </xf>
    <xf numFmtId="0" fontId="5" fillId="0" borderId="2" xfId="0" applyFont="1" applyBorder="1" applyAlignment="1">
      <alignment horizontal="right" vertical="top"/>
    </xf>
    <xf numFmtId="0" fontId="11" fillId="0" borderId="0" xfId="0" applyFont="1" applyAlignment="1">
      <alignment vertical="center"/>
    </xf>
    <xf numFmtId="0" fontId="8" fillId="0" borderId="2" xfId="0" applyFont="1" applyBorder="1" applyAlignment="1">
      <alignment horizontal="right" vertical="top"/>
    </xf>
    <xf numFmtId="0" fontId="12" fillId="0" borderId="2" xfId="0" applyFont="1" applyBorder="1" applyAlignment="1">
      <alignment horizontal="left" vertical="top"/>
    </xf>
    <xf numFmtId="3" fontId="5" fillId="0" borderId="2" xfId="0" applyNumberFormat="1" applyFont="1" applyBorder="1" applyAlignment="1">
      <alignment horizontal="right" vertical="top"/>
    </xf>
    <xf numFmtId="0" fontId="13" fillId="0" borderId="2" xfId="0" applyFont="1" applyBorder="1" applyAlignment="1">
      <alignment vertical="top" wrapText="1"/>
    </xf>
    <xf numFmtId="0" fontId="5" fillId="10" borderId="2" xfId="0" applyFont="1" applyFill="1" applyBorder="1" applyAlignment="1">
      <alignment vertical="top"/>
    </xf>
    <xf numFmtId="3" fontId="5" fillId="0" borderId="2" xfId="0" applyNumberFormat="1" applyFont="1" applyBorder="1" applyAlignment="1">
      <alignment vertical="top"/>
    </xf>
    <xf numFmtId="0" fontId="5" fillId="10" borderId="2" xfId="0" applyFont="1" applyFill="1" applyBorder="1" applyAlignment="1">
      <alignment vertical="top" wrapText="1"/>
    </xf>
    <xf numFmtId="0" fontId="5" fillId="0" borderId="0" xfId="0" applyFont="1"/>
    <xf numFmtId="0" fontId="5" fillId="0" borderId="0" xfId="0" applyFont="1" applyAlignment="1">
      <alignment wrapText="1"/>
    </xf>
    <xf numFmtId="13" fontId="5" fillId="0" borderId="0" xfId="0" applyNumberFormat="1" applyFont="1"/>
    <xf numFmtId="0" fontId="5" fillId="6" borderId="0" xfId="0" applyFont="1" applyFill="1"/>
    <xf numFmtId="0" fontId="5" fillId="6" borderId="0" xfId="0" applyFont="1" applyFill="1" applyAlignment="1">
      <alignment wrapText="1"/>
    </xf>
    <xf numFmtId="0" fontId="5" fillId="10" borderId="0" xfId="0" applyFont="1" applyFill="1" applyAlignment="1">
      <alignment vertical="top"/>
    </xf>
    <xf numFmtId="0" fontId="0" fillId="0" borderId="3" xfId="0" applyBorder="1" applyAlignment="1">
      <alignment vertical="top"/>
    </xf>
    <xf numFmtId="0" fontId="2" fillId="12" borderId="1" xfId="0" applyFont="1" applyFill="1" applyBorder="1" applyAlignment="1">
      <alignment vertical="top" wrapText="1"/>
    </xf>
    <xf numFmtId="49" fontId="2" fillId="13" borderId="1" xfId="0" applyNumberFormat="1" applyFont="1" applyFill="1" applyBorder="1" applyAlignment="1">
      <alignment vertical="top" wrapText="1"/>
    </xf>
    <xf numFmtId="0" fontId="2" fillId="13" borderId="1" xfId="0" applyFont="1" applyFill="1" applyBorder="1" applyAlignment="1">
      <alignment horizontal="left" vertical="top" wrapText="1"/>
    </xf>
    <xf numFmtId="0" fontId="3" fillId="5" borderId="1" xfId="0" applyFont="1" applyFill="1" applyBorder="1" applyAlignment="1">
      <alignment vertical="top" wrapText="1"/>
    </xf>
    <xf numFmtId="0" fontId="4" fillId="5" borderId="1" xfId="0" applyFont="1" applyFill="1" applyBorder="1" applyAlignment="1">
      <alignment vertical="top" wrapText="1"/>
    </xf>
    <xf numFmtId="0" fontId="16" fillId="12" borderId="0" xfId="0" applyFont="1" applyFill="1" applyAlignment="1">
      <alignment vertical="top" wrapText="1"/>
    </xf>
    <xf numFmtId="0" fontId="16" fillId="5" borderId="0" xfId="0" applyFont="1" applyFill="1" applyAlignment="1">
      <alignment vertical="top" wrapText="1"/>
    </xf>
    <xf numFmtId="0" fontId="17" fillId="0" borderId="0" xfId="0" applyFont="1"/>
    <xf numFmtId="0" fontId="0" fillId="0" borderId="0" xfId="0" applyNumberFormat="1" applyAlignment="1"/>
    <xf numFmtId="0" fontId="0" fillId="14" borderId="0" xfId="0" applyNumberFormat="1" applyFill="1"/>
    <xf numFmtId="0" fontId="0" fillId="14" borderId="0" xfId="0" applyFill="1"/>
    <xf numFmtId="0" fontId="0" fillId="6" borderId="0" xfId="0" applyNumberFormat="1" applyFill="1"/>
    <xf numFmtId="0" fontId="0" fillId="6" borderId="0" xfId="0" applyFill="1"/>
    <xf numFmtId="0" fontId="0" fillId="0" borderId="0" xfId="0" applyNumberFormat="1" applyFont="1"/>
    <xf numFmtId="0" fontId="0" fillId="0" borderId="0" xfId="0" applyNumberFormat="1" applyAlignment="1">
      <alignment wrapText="1"/>
    </xf>
    <xf numFmtId="3" fontId="0" fillId="0" borderId="0" xfId="0" applyNumberFormat="1"/>
    <xf numFmtId="0" fontId="0" fillId="3" borderId="0" xfId="0" applyNumberFormat="1" applyFill="1"/>
    <xf numFmtId="0" fontId="19" fillId="0" borderId="0" xfId="0" applyFont="1"/>
    <xf numFmtId="0" fontId="20" fillId="0" borderId="0" xfId="0" applyNumberFormat="1" applyFont="1"/>
    <xf numFmtId="0" fontId="21" fillId="0" borderId="0" xfId="0" applyFont="1"/>
    <xf numFmtId="0" fontId="21" fillId="3" borderId="0" xfId="0" applyFont="1" applyFill="1"/>
    <xf numFmtId="3" fontId="0" fillId="0" borderId="0" xfId="0" applyNumberFormat="1" applyAlignment="1">
      <alignment vertical="center"/>
    </xf>
    <xf numFmtId="0" fontId="0" fillId="0" borderId="4" xfId="0" applyBorder="1" applyAlignment="1">
      <alignment vertical="center"/>
    </xf>
    <xf numFmtId="0" fontId="21" fillId="11" borderId="0" xfId="0" applyFont="1" applyFill="1"/>
    <xf numFmtId="0" fontId="0" fillId="0" borderId="0" xfId="0" applyFill="1" applyAlignment="1">
      <alignment vertical="center"/>
    </xf>
    <xf numFmtId="0" fontId="21" fillId="14" borderId="0" xfId="0" applyFont="1" applyFill="1"/>
    <xf numFmtId="0" fontId="21" fillId="0" borderId="0" xfId="0" applyFont="1" applyFill="1"/>
    <xf numFmtId="0" fontId="0" fillId="15" borderId="5" xfId="0" applyNumberFormat="1" applyFont="1" applyFill="1" applyBorder="1"/>
    <xf numFmtId="0" fontId="0" fillId="0" borderId="0" xfId="0" applyNumberFormat="1" applyFill="1"/>
    <xf numFmtId="0" fontId="21" fillId="0" borderId="4" xfId="0" applyFont="1" applyBorder="1"/>
    <xf numFmtId="0" fontId="0" fillId="0" borderId="4" xfId="0" applyNumberFormat="1" applyBorder="1"/>
    <xf numFmtId="0" fontId="0" fillId="0" borderId="4" xfId="0" applyBorder="1"/>
    <xf numFmtId="0" fontId="0" fillId="0" borderId="0" xfId="0" applyNumberFormat="1" applyFill="1" applyAlignment="1">
      <alignment wrapText="1"/>
    </xf>
    <xf numFmtId="0" fontId="0" fillId="0" borderId="0" xfId="0" applyFill="1"/>
    <xf numFmtId="0" fontId="26" fillId="0" borderId="0" xfId="0" applyFont="1" applyFill="1" applyAlignment="1">
      <alignment vertical="center"/>
    </xf>
    <xf numFmtId="0" fontId="24" fillId="0" borderId="0" xfId="0" applyFont="1" applyFill="1" applyAlignment="1">
      <alignment vertical="center"/>
    </xf>
    <xf numFmtId="0" fontId="2" fillId="0" borderId="1" xfId="0" applyFont="1" applyFill="1" applyBorder="1" applyAlignment="1">
      <alignment vertical="center" wrapText="1"/>
    </xf>
    <xf numFmtId="0" fontId="25" fillId="0" borderId="0" xfId="0" applyFont="1" applyFill="1" applyAlignment="1">
      <alignment vertical="center" wrapText="1"/>
    </xf>
    <xf numFmtId="0" fontId="3" fillId="0" borderId="1" xfId="0" applyFont="1" applyFill="1" applyBorder="1" applyAlignment="1">
      <alignment vertical="center" wrapText="1"/>
    </xf>
    <xf numFmtId="0" fontId="4" fillId="0" borderId="1" xfId="0" applyFont="1" applyFill="1" applyBorder="1" applyAlignment="1">
      <alignment vertical="center" wrapText="1"/>
    </xf>
    <xf numFmtId="0" fontId="2" fillId="16" borderId="1" xfId="0" applyFont="1" applyFill="1" applyBorder="1" applyAlignment="1">
      <alignment vertical="center" wrapText="1"/>
    </xf>
    <xf numFmtId="49" fontId="2" fillId="0" borderId="1" xfId="0" applyNumberFormat="1" applyFont="1" applyFill="1" applyBorder="1" applyAlignment="1">
      <alignment vertical="center" wrapText="1"/>
    </xf>
    <xf numFmtId="0" fontId="2" fillId="0" borderId="1" xfId="0" applyFont="1" applyFill="1" applyBorder="1" applyAlignment="1">
      <alignment horizontal="left" vertical="center" wrapText="1"/>
    </xf>
    <xf numFmtId="0" fontId="0" fillId="0" borderId="0" xfId="0" applyNumberFormat="1" applyFill="1" applyBorder="1"/>
    <xf numFmtId="0" fontId="21" fillId="0" borderId="0" xfId="0" applyFont="1" applyBorder="1"/>
    <xf numFmtId="0" fontId="0" fillId="0" borderId="0" xfId="0" applyNumberFormat="1" applyBorder="1"/>
    <xf numFmtId="0" fontId="0" fillId="0" borderId="0" xfId="0" applyBorder="1"/>
    <xf numFmtId="176" fontId="0" fillId="0" borderId="0" xfId="0" applyNumberFormat="1"/>
    <xf numFmtId="0" fontId="0" fillId="0" borderId="5" xfId="0" applyFont="1" applyBorder="1"/>
    <xf numFmtId="0" fontId="0" fillId="0" borderId="5" xfId="0" applyNumberFormat="1" applyFont="1" applyBorder="1"/>
    <xf numFmtId="0" fontId="27" fillId="0" borderId="0" xfId="0" applyFont="1"/>
    <xf numFmtId="0" fontId="16" fillId="0" borderId="0" xfId="0" applyFont="1"/>
    <xf numFmtId="0" fontId="16" fillId="0" borderId="0" xfId="0" applyFont="1" applyAlignment="1">
      <alignment vertical="center"/>
    </xf>
    <xf numFmtId="0" fontId="0" fillId="0" borderId="0" xfId="0" applyFont="1" applyAlignment="1">
      <alignment vertical="center"/>
    </xf>
    <xf numFmtId="0" fontId="30" fillId="0" borderId="0" xfId="0" applyFont="1"/>
    <xf numFmtId="0" fontId="32" fillId="0" borderId="0" xfId="0" applyFont="1"/>
    <xf numFmtId="0" fontId="34" fillId="0" borderId="0" xfId="0" applyNumberFormat="1" applyFont="1"/>
    <xf numFmtId="0" fontId="28" fillId="0" borderId="0" xfId="0" applyFont="1"/>
    <xf numFmtId="0" fontId="28" fillId="0" borderId="0" xfId="0" applyFont="1" applyAlignment="1">
      <alignment horizontal="center"/>
    </xf>
    <xf numFmtId="0" fontId="37" fillId="0" borderId="1" xfId="0" applyFont="1" applyFill="1" applyBorder="1" applyAlignment="1">
      <alignment vertical="center" wrapText="1"/>
    </xf>
    <xf numFmtId="0" fontId="36" fillId="2" borderId="1" xfId="0" applyFont="1" applyFill="1" applyBorder="1" applyAlignment="1">
      <alignment vertical="center" wrapText="1"/>
    </xf>
    <xf numFmtId="0" fontId="17" fillId="2" borderId="0" xfId="0" applyFont="1" applyFill="1"/>
    <xf numFmtId="0" fontId="0" fillId="2" borderId="0" xfId="0" applyNumberFormat="1" applyFill="1" applyAlignment="1"/>
    <xf numFmtId="0" fontId="0" fillId="2" borderId="0" xfId="0" applyNumberFormat="1" applyFill="1" applyAlignment="1">
      <alignment wrapText="1"/>
    </xf>
    <xf numFmtId="0" fontId="0" fillId="2" borderId="0" xfId="0" applyNumberFormat="1" applyFont="1" applyFill="1"/>
    <xf numFmtId="0" fontId="19" fillId="2" borderId="0" xfId="0" applyFont="1" applyFill="1"/>
    <xf numFmtId="0" fontId="20" fillId="2" borderId="0" xfId="0" applyNumberFormat="1" applyFont="1" applyFill="1"/>
    <xf numFmtId="0" fontId="0" fillId="2" borderId="0" xfId="0" applyNumberFormat="1" applyFill="1" applyBorder="1"/>
    <xf numFmtId="0" fontId="0" fillId="2" borderId="0" xfId="0" applyFill="1" applyBorder="1"/>
    <xf numFmtId="0" fontId="0" fillId="2" borderId="0" xfId="0" applyFill="1" applyAlignment="1">
      <alignment vertical="center"/>
    </xf>
    <xf numFmtId="0" fontId="0" fillId="2" borderId="5" xfId="0" applyNumberFormat="1" applyFont="1" applyFill="1" applyBorder="1"/>
    <xf numFmtId="0" fontId="0" fillId="2" borderId="5" xfId="0" applyFont="1" applyFill="1" applyBorder="1"/>
  </cellXfs>
  <cellStyles count="1">
    <cellStyle name="常规" xfId="0" builtinId="0"/>
  </cellStyles>
  <dxfs count="2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rgb="FF00B0F0"/>
          <bgColor rgb="FF000000"/>
        </patternFill>
      </fill>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Hym/Desktop/&#20316;&#19994;/&#19968;&#36718;&#20462;&#25913;/20200516&#20462;&#25913;&#27169;&#2241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bMed2XL"/>
      <sheetName val="Sheet1"/>
      <sheetName val="Sheet2"/>
      <sheetName val="Sheet3"/>
      <sheetName val="review"/>
      <sheetName val="total article"/>
      <sheetName val="兼容性报表"/>
    </sheetNames>
    <sheetDataSet>
      <sheetData sheetId="0"/>
      <sheetData sheetId="1"/>
      <sheetData sheetId="2"/>
      <sheetData sheetId="3">
        <row r="2">
          <cell r="A2" t="str">
            <v>the United States of America</v>
          </cell>
        </row>
        <row r="3">
          <cell r="A3" t="str">
            <v>China</v>
          </cell>
        </row>
        <row r="4">
          <cell r="A4" t="str">
            <v>South Korea</v>
          </cell>
        </row>
        <row r="5">
          <cell r="A5" t="str">
            <v>Germany</v>
          </cell>
        </row>
        <row r="6">
          <cell r="A6" t="str">
            <v>Canada</v>
          </cell>
        </row>
        <row r="7">
          <cell r="A7" t="str">
            <v>UK</v>
          </cell>
        </row>
        <row r="8">
          <cell r="A8" t="str">
            <v>Japan</v>
          </cell>
        </row>
        <row r="9">
          <cell r="A9" t="str">
            <v>Netherlands</v>
          </cell>
        </row>
        <row r="10">
          <cell r="A10" t="str">
            <v>Australia</v>
          </cell>
        </row>
        <row r="11">
          <cell r="A11" t="str">
            <v>India</v>
          </cell>
        </row>
        <row r="12">
          <cell r="A12" t="str">
            <v>France</v>
          </cell>
        </row>
        <row r="13">
          <cell r="A13" t="str">
            <v>Switzerland</v>
          </cell>
        </row>
        <row r="14">
          <cell r="A14" t="str">
            <v>Italy</v>
          </cell>
        </row>
        <row r="15">
          <cell r="A15" t="str">
            <v>Spain</v>
          </cell>
        </row>
        <row r="16">
          <cell r="A16" t="str">
            <v>Iran</v>
          </cell>
        </row>
        <row r="17">
          <cell r="A17" t="str">
            <v>Austria</v>
          </cell>
        </row>
        <row r="18">
          <cell r="A18" t="str">
            <v>Pakistan</v>
          </cell>
        </row>
        <row r="19">
          <cell r="A19" t="str">
            <v>Israel</v>
          </cell>
        </row>
        <row r="20">
          <cell r="A20" t="str">
            <v>Taiwan</v>
          </cell>
        </row>
        <row r="21">
          <cell r="A21" t="str">
            <v>Singapore</v>
          </cell>
        </row>
        <row r="22">
          <cell r="A22" t="str">
            <v>Turkey</v>
          </cell>
        </row>
        <row r="23">
          <cell r="A23" t="str">
            <v>Colombia</v>
          </cell>
        </row>
        <row r="24">
          <cell r="A24" t="str">
            <v>Sweden</v>
          </cell>
        </row>
        <row r="25">
          <cell r="A25" t="str">
            <v>Brazil</v>
          </cell>
        </row>
        <row r="26">
          <cell r="A26" t="str">
            <v>Belgium</v>
          </cell>
        </row>
        <row r="27">
          <cell r="A27" t="str">
            <v>SaudiArabia</v>
          </cell>
        </row>
        <row r="28">
          <cell r="A28" t="str">
            <v>Poland</v>
          </cell>
        </row>
        <row r="29">
          <cell r="A29" t="str">
            <v>Finland</v>
          </cell>
        </row>
        <row r="30">
          <cell r="A30" t="str">
            <v>Norway</v>
          </cell>
        </row>
        <row r="31">
          <cell r="A31" t="str">
            <v>Greece</v>
          </cell>
        </row>
        <row r="32">
          <cell r="A32" t="str">
            <v>Malaysia</v>
          </cell>
        </row>
        <row r="33">
          <cell r="A33" t="str">
            <v>Hungary</v>
          </cell>
        </row>
        <row r="34">
          <cell r="A34" t="str">
            <v>Denmark</v>
          </cell>
        </row>
        <row r="35">
          <cell r="A35" t="str">
            <v>Estonia</v>
          </cell>
        </row>
        <row r="36">
          <cell r="A36" t="str">
            <v>Argentina</v>
          </cell>
        </row>
        <row r="37">
          <cell r="A37" t="str">
            <v>Egypt</v>
          </cell>
        </row>
        <row r="38">
          <cell r="A38" t="str">
            <v>Kenya</v>
          </cell>
        </row>
        <row r="39">
          <cell r="A39" t="str">
            <v>Bangladesh</v>
          </cell>
        </row>
        <row r="40">
          <cell r="A40" t="str">
            <v>Cyprus</v>
          </cell>
        </row>
        <row r="41">
          <cell r="A41" t="str">
            <v>The Czech republic</v>
          </cell>
        </row>
        <row r="42">
          <cell r="A42" t="str">
            <v>Africa</v>
          </cell>
        </row>
        <row r="43">
          <cell r="A43" t="str">
            <v>NewZealand</v>
          </cell>
        </row>
        <row r="44">
          <cell r="A44" t="str">
            <v>Morocco</v>
          </cell>
        </row>
        <row r="45">
          <cell r="A45" t="str">
            <v>Portugal</v>
          </cell>
        </row>
        <row r="46">
          <cell r="A46" t="str">
            <v>Vietnam</v>
          </cell>
        </row>
        <row r="47">
          <cell r="A47" t="str">
            <v>Croatia</v>
          </cell>
        </row>
      </sheetData>
      <sheetData sheetId="4"/>
      <sheetData sheetId="5"/>
      <sheetData sheetId="6"/>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9847046-58E6-4DC9-B315-245B66A8D53F}" autoFormatId="16" applyNumberFormats="0" applyBorderFormats="0" applyFontFormats="0" applyPatternFormats="0" applyAlignmentFormats="0" applyWidthHeightFormats="0">
  <queryTableRefresh nextId="29" unboundColumnsLeft="2">
    <queryTableFields count="22">
      <queryTableField id="8" dataBound="0" tableColumnId="8"/>
      <queryTableField id="9" dataBound="0" tableColumnId="9"/>
      <queryTableField id="2" name="Column1.2" tableColumnId="2"/>
      <queryTableField id="3" name="Column1.3" tableColumnId="3"/>
      <queryTableField id="26" dataBound="0" tableColumnId="10"/>
      <queryTableField id="27" dataBound="0" tableColumnId="24"/>
      <queryTableField id="28" dataBound="0" tableColumnId="26"/>
      <queryTableField id="11" dataBound="0" tableColumnId="11"/>
      <queryTableField id="18" dataBound="0" tableColumnId="18"/>
      <queryTableField id="17" dataBound="0" tableColumnId="17"/>
      <queryTableField id="16" dataBound="0" tableColumnId="16"/>
      <queryTableField id="15" dataBound="0" tableColumnId="15"/>
      <queryTableField id="13" dataBound="0" tableColumnId="13"/>
      <queryTableField id="22" dataBound="0" tableColumnId="22"/>
      <queryTableField id="21" dataBound="0" tableColumnId="21"/>
      <queryTableField id="23" dataBound="0" tableColumnId="23"/>
      <queryTableField id="20" dataBound="0" tableColumnId="20"/>
      <queryTableField id="19" dataBound="0" tableColumnId="19"/>
      <queryTableField id="4" name="Column1.4" tableColumnId="4"/>
      <queryTableField id="5" name="Column1.5" tableColumnId="5"/>
      <queryTableField id="6" name="Column1.6" tableColumnId="6"/>
      <queryTableField id="7" name="Column1.7" tableColumnId="7"/>
    </queryTableFields>
    <queryTableDeletedFields count="1">
      <deletedField name="Column1.1"/>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44F1E-CE46-4F9A-964F-BB70B24DE30D}" name="My_EndNote_Library" displayName="My_EndNote_Library" ref="B1:W3412" tableType="queryTable" totalsRowShown="0">
  <autoFilter ref="B1:W3412" xr:uid="{C2AAACC7-93E5-4CDA-81AB-9388B5688E4C}"/>
  <tableColumns count="22">
    <tableColumn id="8" xr3:uid="{0EDAFC2E-8FC7-413E-98E2-79811A70E643}" uniqueName="8" name="review" queryTableFieldId="8" dataDxfId="21"/>
    <tableColumn id="9" xr3:uid="{F7137FFD-6588-41AE-8395-C217B5DC4981}" uniqueName="9" name="2019" queryTableFieldId="9" dataDxfId="20"/>
    <tableColumn id="2" xr3:uid="{AF1422F7-1F78-45FC-84C9-6FE81FF77CA9}" uniqueName="2" name="Title" queryTableFieldId="2" dataDxfId="19"/>
    <tableColumn id="3" xr3:uid="{90E42DA7-E127-468D-BF70-72115AC92EBF}" uniqueName="3" name="Abstract" queryTableFieldId="3" dataDxfId="18"/>
    <tableColumn id="10" xr3:uid="{2087E757-17EC-4D23-9C5E-AB7F63662DBD}" uniqueName="10" name="Country" queryTableFieldId="26" dataDxfId="17"/>
    <tableColumn id="24" xr3:uid="{1B961540-0A5A-4EC5-A609-52B0DE0AF0A1}" uniqueName="24" name="funding sources (government, private, or other), 2" queryTableFieldId="27" dataDxfId="16"/>
    <tableColumn id="26" xr3:uid="{ACE92692-E135-4316-AB35-5C3183DFED76}" uniqueName="26" name="first author’s affiliation [radiology (including radiology, nuclear medicine, and other imaging-related specialties) medicine or related specialties (including internal medicine, paediatrics, psychiatry, neurology, dermatology, etc ), surgery or related s" queryTableFieldId="28" dataDxfId="15"/>
    <tableColumn id="11" xr3:uid="{3DF15D2F-C218-4A04-957A-C764EB48B887}" uniqueName="11" name="radiological subspecialty [neuroradiology, head and neck, thyroid, breast, thoracic, cardiac, abdominal, musculoskeletal, genitourinary, or miscellaneous (not conforming to one of the aforementioned categories)]" queryTableFieldId="11" dataDxfId="14"/>
    <tableColumn id="18" xr3:uid="{9A53667F-A791-43E8-A4DB-ECF24F100CC4}" uniqueName="18" name="imaging technique(s) [US, CT, MRI, PET,mammography， pathological image(H&amp;E，WSI，ICH), mixed (more than one radiological technique), or OTHER]" queryTableFieldId="18" dataDxfId="13"/>
    <tableColumn id="17" xr3:uid="{E2EBB37B-DADD-4C69-9DF2-2C1A89662213}" uniqueName="17" name="deep learning architectures(CNN,DNN,RNN)specific machine learning techniques used for feature selection" queryTableFieldId="17" dataDxfId="12"/>
    <tableColumn id="16" xr3:uid="{7F082027-8D3C-476E-BF2F-2E6E5B2ED8CD}" uniqueName="16" name="study purpose [image acquisition, pre-processing,  characterization, monitoring (prediction of therapy response, risk assessment, and prognosis), or reporting; according to consensus in the radiology field (25)], " queryTableFieldId="16" dataDxfId="11"/>
    <tableColumn id="15" xr3:uid="{707A7180-F47B-4378-934A-FE286CFDA489}" uniqueName="15" name="图像/患者数量" queryTableFieldId="15" dataDxfId="10"/>
    <tableColumn id="13" xr3:uid="{A24A48BB-9D7B-49CC-8794-C0F85F93CEDC}" uniqueName="13" name="sample related" queryTableFieldId="13" dataDxfId="9"/>
    <tableColumn id="22" xr3:uid="{52ECABE2-096E-405D-AA00-4A7BFDE7DE16}" uniqueName="22" name="study setting (single center or validated on multiple centers), " queryTableFieldId="22" dataDxfId="8"/>
    <tableColumn id="21" xr3:uid="{1E656545-1279-496A-A9E4-4785E194FDBB}" uniqueName="21" name="study design (prospective or retrospective)," queryTableFieldId="21" dataDxfId="7"/>
    <tableColumn id="23" xr3:uid="{4563BBF4-0C19-434E-836A-1A00FC5CD7B5}" uniqueName="23" name="statistical analysis (used or not used)," queryTableFieldId="23" dataDxfId="6"/>
    <tableColumn id="20" xr3:uid="{E83953DF-8F83-4DCA-B744-5CC68397C172}" uniqueName="20" name="列2" queryTableFieldId="20" dataDxfId="5"/>
    <tableColumn id="19" xr3:uid="{838E0220-48F7-49AC-B107-ACB9792F8CEB}" uniqueName="19" name="author number (&lt;4, 4–7, &gt;7)" queryTableFieldId="19" dataDxfId="4"/>
    <tableColumn id="4" xr3:uid="{C4F0DDA0-EC5B-4DD4-814C-546F1C011410}" uniqueName="4" name="列1" queryTableFieldId="4" dataDxfId="3"/>
    <tableColumn id="5" xr3:uid="{617BD5AB-DE27-485F-812F-3EC5287F78A7}" uniqueName="5" name="Year" queryTableFieldId="5" dataDxfId="2"/>
    <tableColumn id="6" xr3:uid="{7D683643-167D-42BC-AB65-DFB612304EC9}" uniqueName="6" name="Journal" queryTableFieldId="6" dataDxfId="1"/>
    <tableColumn id="7" xr3:uid="{0F07CE66-8EE4-4468-8F61-544D5A4E824E}" uniqueName="7" name="Column1.7" queryTableFieldId="7" dataDxfId="0"/>
  </tableColumns>
  <tableStyleInfo name="TableStyleMedium7"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17" Type="http://schemas.openxmlformats.org/officeDocument/2006/relationships/hyperlink" Target="http://www.ncbi.nlm.nih.gov/nlmcatalog/9426398" TargetMode="External"/><Relationship Id="rId299" Type="http://schemas.openxmlformats.org/officeDocument/2006/relationships/hyperlink" Target="http://www.ncbi.nlm.nih.gov/nlmcatalog/8506513" TargetMode="External"/><Relationship Id="rId671" Type="http://schemas.openxmlformats.org/officeDocument/2006/relationships/hyperlink" Target="http://www.ncbi.nlm.nih.gov/nlmcatalog/101563288" TargetMode="External"/><Relationship Id="rId21" Type="http://schemas.openxmlformats.org/officeDocument/2006/relationships/hyperlink" Target="http://www.ncbi.nlm.nih.gov/nlmcatalog/8506513" TargetMode="External"/><Relationship Id="rId63" Type="http://schemas.openxmlformats.org/officeDocument/2006/relationships/hyperlink" Target="http://www.ncbi.nlm.nih.gov/nlmcatalog/101499225" TargetMode="External"/><Relationship Id="rId159" Type="http://schemas.openxmlformats.org/officeDocument/2006/relationships/hyperlink" Target="http://www.ncbi.nlm.nih.gov/nlmcatalog/0425746" TargetMode="External"/><Relationship Id="rId324" Type="http://schemas.openxmlformats.org/officeDocument/2006/relationships/hyperlink" Target="http://www.ncbi.nlm.nih.gov/nlmcatalog/0425746" TargetMode="External"/><Relationship Id="rId366" Type="http://schemas.openxmlformats.org/officeDocument/2006/relationships/hyperlink" Target="http://www.ncbi.nlm.nih.gov/nlmcatalog/101238922" TargetMode="External"/><Relationship Id="rId531" Type="http://schemas.openxmlformats.org/officeDocument/2006/relationships/hyperlink" Target="http://www.ncbi.nlm.nih.gov/nlmcatalog/101674571" TargetMode="External"/><Relationship Id="rId573" Type="http://schemas.openxmlformats.org/officeDocument/2006/relationships/hyperlink" Target="http://www.ncbi.nlm.nih.gov/nlmcatalog/101563288" TargetMode="External"/><Relationship Id="rId629" Type="http://schemas.openxmlformats.org/officeDocument/2006/relationships/hyperlink" Target="http://www.ncbi.nlm.nih.gov/nlmcatalog/8505245" TargetMode="External"/><Relationship Id="rId170" Type="http://schemas.openxmlformats.org/officeDocument/2006/relationships/hyperlink" Target="http://www.ncbi.nlm.nih.gov/nlmcatalog/9713490" TargetMode="External"/><Relationship Id="rId226" Type="http://schemas.openxmlformats.org/officeDocument/2006/relationships/hyperlink" Target="http://www.ncbi.nlm.nih.gov/nlmcatalog/7512719" TargetMode="External"/><Relationship Id="rId433" Type="http://schemas.openxmlformats.org/officeDocument/2006/relationships/hyperlink" Target="http://www.ncbi.nlm.nih.gov/nlmcatalog/0425746" TargetMode="External"/><Relationship Id="rId268" Type="http://schemas.openxmlformats.org/officeDocument/2006/relationships/hyperlink" Target="http://www.ncbi.nlm.nih.gov/nlmcatalog/101499225" TargetMode="External"/><Relationship Id="rId475" Type="http://schemas.openxmlformats.org/officeDocument/2006/relationships/hyperlink" Target="http://www.ncbi.nlm.nih.gov/nlmcatalog/9886191" TargetMode="External"/><Relationship Id="rId640" Type="http://schemas.openxmlformats.org/officeDocument/2006/relationships/hyperlink" Target="http://www.ncbi.nlm.nih.gov/nlmcatalog/9502500" TargetMode="External"/><Relationship Id="rId682" Type="http://schemas.openxmlformats.org/officeDocument/2006/relationships/hyperlink" Target="http://www.ncbi.nlm.nih.gov/nlmcatalog/101243413" TargetMode="External"/><Relationship Id="rId32" Type="http://schemas.openxmlformats.org/officeDocument/2006/relationships/hyperlink" Target="http://www.ncbi.nlm.nih.gov/nlmcatalog/101243413" TargetMode="External"/><Relationship Id="rId74" Type="http://schemas.openxmlformats.org/officeDocument/2006/relationships/hyperlink" Target="http://www.ncbi.nlm.nih.gov/nlmcatalog/9100529" TargetMode="External"/><Relationship Id="rId128" Type="http://schemas.openxmlformats.org/officeDocument/2006/relationships/hyperlink" Target="http://www.ncbi.nlm.nih.gov/nlmcatalog/9713490" TargetMode="External"/><Relationship Id="rId335" Type="http://schemas.openxmlformats.org/officeDocument/2006/relationships/hyperlink" Target="http://www.ncbi.nlm.nih.gov/nlmcatalog/1250250" TargetMode="External"/><Relationship Id="rId377" Type="http://schemas.openxmlformats.org/officeDocument/2006/relationships/hyperlink" Target="http://www.ncbi.nlm.nih.gov/nlmcatalog/101633495" TargetMode="External"/><Relationship Id="rId500" Type="http://schemas.openxmlformats.org/officeDocument/2006/relationships/hyperlink" Target="http://www.ncbi.nlm.nih.gov/nlmcatalog/101597070" TargetMode="External"/><Relationship Id="rId542" Type="http://schemas.openxmlformats.org/officeDocument/2006/relationships/hyperlink" Target="http://www.ncbi.nlm.nih.gov/nlmcatalog/101499225" TargetMode="External"/><Relationship Id="rId584" Type="http://schemas.openxmlformats.org/officeDocument/2006/relationships/hyperlink" Target="http://www.ncbi.nlm.nih.gov/nlmcatalog/9100529" TargetMode="External"/><Relationship Id="rId5" Type="http://schemas.openxmlformats.org/officeDocument/2006/relationships/hyperlink" Target="http://www.ncbi.nlm.nih.gov/nlmcatalog/8506513" TargetMode="External"/><Relationship Id="rId181" Type="http://schemas.openxmlformats.org/officeDocument/2006/relationships/hyperlink" Target="http://www.ncbi.nlm.nih.gov/nlmcatalog/8915031" TargetMode="External"/><Relationship Id="rId237" Type="http://schemas.openxmlformats.org/officeDocument/2006/relationships/hyperlink" Target="http://www.ncbi.nlm.nih.gov/nlmcatalog/8506513" TargetMode="External"/><Relationship Id="rId402" Type="http://schemas.openxmlformats.org/officeDocument/2006/relationships/hyperlink" Target="http://www.ncbi.nlm.nih.gov/nlmcatalog/101277751" TargetMode="External"/><Relationship Id="rId279" Type="http://schemas.openxmlformats.org/officeDocument/2006/relationships/hyperlink" Target="http://www.ncbi.nlm.nih.gov/nlmcatalog/101478481" TargetMode="External"/><Relationship Id="rId444" Type="http://schemas.openxmlformats.org/officeDocument/2006/relationships/hyperlink" Target="http://www.ncbi.nlm.nih.gov/nlmcatalog/8310780" TargetMode="External"/><Relationship Id="rId486" Type="http://schemas.openxmlformats.org/officeDocument/2006/relationships/hyperlink" Target="http://www.ncbi.nlm.nih.gov/nlmcatalog/8310780" TargetMode="External"/><Relationship Id="rId651" Type="http://schemas.openxmlformats.org/officeDocument/2006/relationships/hyperlink" Target="http://www.ncbi.nlm.nih.gov/nlmcatalog/8205248" TargetMode="External"/><Relationship Id="rId693" Type="http://schemas.openxmlformats.org/officeDocument/2006/relationships/hyperlink" Target="http://www.ncbi.nlm.nih.gov/nlmcatalog/100886721" TargetMode="External"/><Relationship Id="rId43" Type="http://schemas.openxmlformats.org/officeDocument/2006/relationships/hyperlink" Target="http://www.ncbi.nlm.nih.gov/nlmcatalog/101231978" TargetMode="External"/><Relationship Id="rId139" Type="http://schemas.openxmlformats.org/officeDocument/2006/relationships/hyperlink" Target="http://www.ncbi.nlm.nih.gov/nlmcatalog/101597070" TargetMode="External"/><Relationship Id="rId290" Type="http://schemas.openxmlformats.org/officeDocument/2006/relationships/hyperlink" Target="http://www.ncbi.nlm.nih.gov/nlmcatalog/101249582" TargetMode="External"/><Relationship Id="rId304" Type="http://schemas.openxmlformats.org/officeDocument/2006/relationships/hyperlink" Target="http://www.ncbi.nlm.nih.gov/nlmcatalog/101731738" TargetMode="External"/><Relationship Id="rId346" Type="http://schemas.openxmlformats.org/officeDocument/2006/relationships/hyperlink" Target="http://www.ncbi.nlm.nih.gov/nlmcatalog/9100529" TargetMode="External"/><Relationship Id="rId388" Type="http://schemas.openxmlformats.org/officeDocument/2006/relationships/hyperlink" Target="http://www.ncbi.nlm.nih.gov/nlmcatalog/101137683" TargetMode="External"/><Relationship Id="rId511" Type="http://schemas.openxmlformats.org/officeDocument/2006/relationships/hyperlink" Target="http://www.ncbi.nlm.nih.gov/nlmcatalog/9886191" TargetMode="External"/><Relationship Id="rId553" Type="http://schemas.openxmlformats.org/officeDocument/2006/relationships/hyperlink" Target="http://www.ncbi.nlm.nih.gov/nlmcatalog/101301827" TargetMode="External"/><Relationship Id="rId609" Type="http://schemas.openxmlformats.org/officeDocument/2006/relationships/hyperlink" Target="http://www.ncbi.nlm.nih.gov/nlmcatalog/101646459" TargetMode="External"/><Relationship Id="rId85" Type="http://schemas.openxmlformats.org/officeDocument/2006/relationships/hyperlink" Target="http://www.ncbi.nlm.nih.gov/nlmcatalog/101249582" TargetMode="External"/><Relationship Id="rId150" Type="http://schemas.openxmlformats.org/officeDocument/2006/relationships/hyperlink" Target="http://www.ncbi.nlm.nih.gov/nlmcatalog/9605853" TargetMode="External"/><Relationship Id="rId192" Type="http://schemas.openxmlformats.org/officeDocument/2006/relationships/hyperlink" Target="http://www.ncbi.nlm.nih.gov/nlmcatalog/0425746" TargetMode="External"/><Relationship Id="rId206" Type="http://schemas.openxmlformats.org/officeDocument/2006/relationships/hyperlink" Target="http://www.ncbi.nlm.nih.gov/nlmcatalog/9711057" TargetMode="External"/><Relationship Id="rId413" Type="http://schemas.openxmlformats.org/officeDocument/2006/relationships/hyperlink" Target="http://www.ncbi.nlm.nih.gov/nlmcatalog/0425746" TargetMode="External"/><Relationship Id="rId595" Type="http://schemas.openxmlformats.org/officeDocument/2006/relationships/hyperlink" Target="http://www.ncbi.nlm.nih.gov/nlmcatalog/8407192" TargetMode="External"/><Relationship Id="rId248" Type="http://schemas.openxmlformats.org/officeDocument/2006/relationships/hyperlink" Target="http://www.ncbi.nlm.nih.gov/nlmcatalog/9713490" TargetMode="External"/><Relationship Id="rId455" Type="http://schemas.openxmlformats.org/officeDocument/2006/relationships/hyperlink" Target="http://www.ncbi.nlm.nih.gov/nlmcatalog/100957246" TargetMode="External"/><Relationship Id="rId497" Type="http://schemas.openxmlformats.org/officeDocument/2006/relationships/hyperlink" Target="http://www.ncbi.nlm.nih.gov/nlmcatalog/9201390" TargetMode="External"/><Relationship Id="rId620" Type="http://schemas.openxmlformats.org/officeDocument/2006/relationships/hyperlink" Target="http://www.ncbi.nlm.nih.gov/nlmcatalog/9105850" TargetMode="External"/><Relationship Id="rId662" Type="http://schemas.openxmlformats.org/officeDocument/2006/relationships/hyperlink" Target="http://www.ncbi.nlm.nih.gov/nlmcatalog/7505564" TargetMode="External"/><Relationship Id="rId12" Type="http://schemas.openxmlformats.org/officeDocument/2006/relationships/hyperlink" Target="http://www.ncbi.nlm.nih.gov/nlmcatalog/101643461" TargetMode="External"/><Relationship Id="rId108" Type="http://schemas.openxmlformats.org/officeDocument/2006/relationships/hyperlink" Target="http://www.ncbi.nlm.nih.gov/nlmcatalog/101563288" TargetMode="External"/><Relationship Id="rId315" Type="http://schemas.openxmlformats.org/officeDocument/2006/relationships/hyperlink" Target="http://www.ncbi.nlm.nih.gov/nlmcatalog/0425746" TargetMode="External"/><Relationship Id="rId357" Type="http://schemas.openxmlformats.org/officeDocument/2006/relationships/hyperlink" Target="http://www.ncbi.nlm.nih.gov/nlmcatalog/7902060" TargetMode="External"/><Relationship Id="rId522" Type="http://schemas.openxmlformats.org/officeDocument/2006/relationships/hyperlink" Target="http://www.ncbi.nlm.nih.gov/nlmcatalog/101190326" TargetMode="External"/><Relationship Id="rId54" Type="http://schemas.openxmlformats.org/officeDocument/2006/relationships/hyperlink" Target="http://www.ncbi.nlm.nih.gov/nlmcatalog/8506513" TargetMode="External"/><Relationship Id="rId96" Type="http://schemas.openxmlformats.org/officeDocument/2006/relationships/hyperlink" Target="http://www.ncbi.nlm.nih.gov/nlmcatalog/101249582" TargetMode="External"/><Relationship Id="rId161" Type="http://schemas.openxmlformats.org/officeDocument/2006/relationships/hyperlink" Target="http://www.ncbi.nlm.nih.gov/nlmcatalog/101563288" TargetMode="External"/><Relationship Id="rId217" Type="http://schemas.openxmlformats.org/officeDocument/2006/relationships/hyperlink" Target="http://www.ncbi.nlm.nih.gov/nlmcatalog/8806104" TargetMode="External"/><Relationship Id="rId399" Type="http://schemas.openxmlformats.org/officeDocument/2006/relationships/hyperlink" Target="http://www.ncbi.nlm.nih.gov/nlmcatalog/8511187" TargetMode="External"/><Relationship Id="rId564" Type="http://schemas.openxmlformats.org/officeDocument/2006/relationships/hyperlink" Target="http://www.ncbi.nlm.nih.gov/nlmcatalog/8505245" TargetMode="External"/><Relationship Id="rId259" Type="http://schemas.openxmlformats.org/officeDocument/2006/relationships/hyperlink" Target="http://www.ncbi.nlm.nih.gov/nlmcatalog/101243413" TargetMode="External"/><Relationship Id="rId424" Type="http://schemas.openxmlformats.org/officeDocument/2006/relationships/hyperlink" Target="http://www.ncbi.nlm.nih.gov/nlmcatalog/101231360" TargetMode="External"/><Relationship Id="rId466" Type="http://schemas.openxmlformats.org/officeDocument/2006/relationships/hyperlink" Target="http://www.ncbi.nlm.nih.gov/nlmcatalog/0426720" TargetMode="External"/><Relationship Id="rId631" Type="http://schemas.openxmlformats.org/officeDocument/2006/relationships/hyperlink" Target="http://www.ncbi.nlm.nih.gov/nlmcatalog/7802443" TargetMode="External"/><Relationship Id="rId673" Type="http://schemas.openxmlformats.org/officeDocument/2006/relationships/hyperlink" Target="http://www.ncbi.nlm.nih.gov/nlmcatalog/101563288" TargetMode="External"/><Relationship Id="rId23" Type="http://schemas.openxmlformats.org/officeDocument/2006/relationships/hyperlink" Target="http://www.ncbi.nlm.nih.gov/nlmcatalog/1250250" TargetMode="External"/><Relationship Id="rId119" Type="http://schemas.openxmlformats.org/officeDocument/2006/relationships/hyperlink" Target="http://www.ncbi.nlm.nih.gov/nlmcatalog/9215515" TargetMode="External"/><Relationship Id="rId270" Type="http://schemas.openxmlformats.org/officeDocument/2006/relationships/hyperlink" Target="http://www.ncbi.nlm.nih.gov/nlmcatalog/101524122" TargetMode="External"/><Relationship Id="rId326" Type="http://schemas.openxmlformats.org/officeDocument/2006/relationships/hyperlink" Target="http://www.ncbi.nlm.nih.gov/nlmcatalog/0425746" TargetMode="External"/><Relationship Id="rId533" Type="http://schemas.openxmlformats.org/officeDocument/2006/relationships/hyperlink" Target="http://www.ncbi.nlm.nih.gov/nlmcatalog/9100527" TargetMode="External"/><Relationship Id="rId65" Type="http://schemas.openxmlformats.org/officeDocument/2006/relationships/hyperlink" Target="http://www.ncbi.nlm.nih.gov/nlmcatalog/7704869" TargetMode="External"/><Relationship Id="rId130" Type="http://schemas.openxmlformats.org/officeDocument/2006/relationships/hyperlink" Target="http://www.ncbi.nlm.nih.gov/nlmcatalog/101285081" TargetMode="External"/><Relationship Id="rId368" Type="http://schemas.openxmlformats.org/officeDocument/2006/relationships/hyperlink" Target="http://www.ncbi.nlm.nih.gov/nlmcatalog/8806104" TargetMode="External"/><Relationship Id="rId575" Type="http://schemas.openxmlformats.org/officeDocument/2006/relationships/hyperlink" Target="http://www.ncbi.nlm.nih.gov/nlmcatalog/0425746" TargetMode="External"/><Relationship Id="rId172" Type="http://schemas.openxmlformats.org/officeDocument/2006/relationships/hyperlink" Target="http://www.ncbi.nlm.nih.gov/nlmcatalog/8310780" TargetMode="External"/><Relationship Id="rId228" Type="http://schemas.openxmlformats.org/officeDocument/2006/relationships/hyperlink" Target="http://www.ncbi.nlm.nih.gov/nlmcatalog/8205248" TargetMode="External"/><Relationship Id="rId435" Type="http://schemas.openxmlformats.org/officeDocument/2006/relationships/hyperlink" Target="http://www.ncbi.nlm.nih.gov/nlmcatalog/0401220" TargetMode="External"/><Relationship Id="rId477" Type="http://schemas.openxmlformats.org/officeDocument/2006/relationships/hyperlink" Target="http://www.ncbi.nlm.nih.gov/nlmcatalog/101499225" TargetMode="External"/><Relationship Id="rId600" Type="http://schemas.openxmlformats.org/officeDocument/2006/relationships/hyperlink" Target="http://www.ncbi.nlm.nih.gov/nlmcatalog/101563288" TargetMode="External"/><Relationship Id="rId642" Type="http://schemas.openxmlformats.org/officeDocument/2006/relationships/hyperlink" Target="http://www.ncbi.nlm.nih.gov/nlmcatalog/8706123" TargetMode="External"/><Relationship Id="rId684" Type="http://schemas.openxmlformats.org/officeDocument/2006/relationships/hyperlink" Target="http://www.ncbi.nlm.nih.gov/nlmcatalog/9426151" TargetMode="External"/><Relationship Id="rId281" Type="http://schemas.openxmlformats.org/officeDocument/2006/relationships/hyperlink" Target="http://www.ncbi.nlm.nih.gov/nlmcatalog/9431308" TargetMode="External"/><Relationship Id="rId337" Type="http://schemas.openxmlformats.org/officeDocument/2006/relationships/hyperlink" Target="http://www.ncbi.nlm.nih.gov/nlmcatalog/9426153" TargetMode="External"/><Relationship Id="rId502" Type="http://schemas.openxmlformats.org/officeDocument/2006/relationships/hyperlink" Target="http://www.ncbi.nlm.nih.gov/nlmcatalog/0374630" TargetMode="External"/><Relationship Id="rId34" Type="http://schemas.openxmlformats.org/officeDocument/2006/relationships/hyperlink" Target="http://www.ncbi.nlm.nih.gov/nlmcatalog/8310780" TargetMode="External"/><Relationship Id="rId76" Type="http://schemas.openxmlformats.org/officeDocument/2006/relationships/hyperlink" Target="http://www.ncbi.nlm.nih.gov/nlmcatalog/8310780" TargetMode="External"/><Relationship Id="rId141" Type="http://schemas.openxmlformats.org/officeDocument/2006/relationships/hyperlink" Target="http://www.ncbi.nlm.nih.gov/nlmcatalog/101604520" TargetMode="External"/><Relationship Id="rId379" Type="http://schemas.openxmlformats.org/officeDocument/2006/relationships/hyperlink" Target="http://www.ncbi.nlm.nih.gov/nlmcatalog/101490689" TargetMode="External"/><Relationship Id="rId544" Type="http://schemas.openxmlformats.org/officeDocument/2006/relationships/hyperlink" Target="http://www.ncbi.nlm.nih.gov/nlmcatalog/0401260" TargetMode="External"/><Relationship Id="rId586" Type="http://schemas.openxmlformats.org/officeDocument/2006/relationships/hyperlink" Target="http://www.ncbi.nlm.nih.gov/nlmcatalog/101653440" TargetMode="External"/><Relationship Id="rId7" Type="http://schemas.openxmlformats.org/officeDocument/2006/relationships/hyperlink" Target="http://www.ncbi.nlm.nih.gov/nlmcatalog/9215515" TargetMode="External"/><Relationship Id="rId183" Type="http://schemas.openxmlformats.org/officeDocument/2006/relationships/hyperlink" Target="http://www.ncbi.nlm.nih.gov/nlmcatalog/0425746" TargetMode="External"/><Relationship Id="rId239" Type="http://schemas.openxmlformats.org/officeDocument/2006/relationships/hyperlink" Target="http://www.ncbi.nlm.nih.gov/nlmcatalog/101540630" TargetMode="External"/><Relationship Id="rId390" Type="http://schemas.openxmlformats.org/officeDocument/2006/relationships/hyperlink" Target="http://www.ncbi.nlm.nih.gov/nlmcatalog/101088682" TargetMode="External"/><Relationship Id="rId404" Type="http://schemas.openxmlformats.org/officeDocument/2006/relationships/hyperlink" Target="http://www.ncbi.nlm.nih.gov/nlmcatalog/9713490" TargetMode="External"/><Relationship Id="rId446" Type="http://schemas.openxmlformats.org/officeDocument/2006/relationships/hyperlink" Target="http://www.ncbi.nlm.nih.gov/nlmcatalog/8214883" TargetMode="External"/><Relationship Id="rId611" Type="http://schemas.openxmlformats.org/officeDocument/2006/relationships/hyperlink" Target="http://www.ncbi.nlm.nih.gov/nlmcatalog/101197791" TargetMode="External"/><Relationship Id="rId653" Type="http://schemas.openxmlformats.org/officeDocument/2006/relationships/hyperlink" Target="http://www.ncbi.nlm.nih.gov/nlmcatalog/0217410" TargetMode="External"/><Relationship Id="rId250" Type="http://schemas.openxmlformats.org/officeDocument/2006/relationships/hyperlink" Target="http://www.ncbi.nlm.nih.gov/nlmcatalog/7511141" TargetMode="External"/><Relationship Id="rId292" Type="http://schemas.openxmlformats.org/officeDocument/2006/relationships/hyperlink" Target="http://www.ncbi.nlm.nih.gov/nlmcatalog/101316452" TargetMode="External"/><Relationship Id="rId306" Type="http://schemas.openxmlformats.org/officeDocument/2006/relationships/hyperlink" Target="http://www.ncbi.nlm.nih.gov/nlmcatalog/0425746" TargetMode="External"/><Relationship Id="rId488" Type="http://schemas.openxmlformats.org/officeDocument/2006/relationships/hyperlink" Target="http://www.ncbi.nlm.nih.gov/nlmcatalog/0217410" TargetMode="External"/><Relationship Id="rId695" Type="http://schemas.openxmlformats.org/officeDocument/2006/relationships/hyperlink" Target="http://www.ncbi.nlm.nih.gov/nlmcatalog/9419065" TargetMode="External"/><Relationship Id="rId45" Type="http://schemas.openxmlformats.org/officeDocument/2006/relationships/hyperlink" Target="http://www.ncbi.nlm.nih.gov/nlmcatalog/101597070" TargetMode="External"/><Relationship Id="rId87" Type="http://schemas.openxmlformats.org/officeDocument/2006/relationships/hyperlink" Target="http://www.ncbi.nlm.nih.gov/nlmcatalog/101285081" TargetMode="External"/><Relationship Id="rId110" Type="http://schemas.openxmlformats.org/officeDocument/2006/relationships/hyperlink" Target="http://www.ncbi.nlm.nih.gov/nlmcatalog/9605853" TargetMode="External"/><Relationship Id="rId348" Type="http://schemas.openxmlformats.org/officeDocument/2006/relationships/hyperlink" Target="http://www.ncbi.nlm.nih.gov/nlmcatalog/8214883" TargetMode="External"/><Relationship Id="rId513" Type="http://schemas.openxmlformats.org/officeDocument/2006/relationships/hyperlink" Target="http://www.ncbi.nlm.nih.gov/nlmcatalog/101243413" TargetMode="External"/><Relationship Id="rId555" Type="http://schemas.openxmlformats.org/officeDocument/2006/relationships/hyperlink" Target="http://www.ncbi.nlm.nih.gov/nlmcatalog/7708173" TargetMode="External"/><Relationship Id="rId597" Type="http://schemas.openxmlformats.org/officeDocument/2006/relationships/hyperlink" Target="http://www.ncbi.nlm.nih.gov/nlmcatalog/9100529" TargetMode="External"/><Relationship Id="rId152" Type="http://schemas.openxmlformats.org/officeDocument/2006/relationships/hyperlink" Target="http://www.ncbi.nlm.nih.gov/nlmcatalog/101604520" TargetMode="External"/><Relationship Id="rId194" Type="http://schemas.openxmlformats.org/officeDocument/2006/relationships/hyperlink" Target="http://www.ncbi.nlm.nih.gov/nlmcatalog/8806104" TargetMode="External"/><Relationship Id="rId208" Type="http://schemas.openxmlformats.org/officeDocument/2006/relationships/hyperlink" Target="http://www.ncbi.nlm.nih.gov/nlmcatalog/101563288" TargetMode="External"/><Relationship Id="rId415" Type="http://schemas.openxmlformats.org/officeDocument/2006/relationships/hyperlink" Target="http://www.ncbi.nlm.nih.gov/nlmcatalog/101249582" TargetMode="External"/><Relationship Id="rId457" Type="http://schemas.openxmlformats.org/officeDocument/2006/relationships/hyperlink" Target="http://www.ncbi.nlm.nih.gov/nlmcatalog/0401260" TargetMode="External"/><Relationship Id="rId622" Type="http://schemas.openxmlformats.org/officeDocument/2006/relationships/hyperlink" Target="http://www.ncbi.nlm.nih.gov/nlmcatalog/101236111" TargetMode="External"/><Relationship Id="rId261" Type="http://schemas.openxmlformats.org/officeDocument/2006/relationships/hyperlink" Target="http://www.ncbi.nlm.nih.gov/nlmcatalog/0425746" TargetMode="External"/><Relationship Id="rId499" Type="http://schemas.openxmlformats.org/officeDocument/2006/relationships/hyperlink" Target="http://www.ncbi.nlm.nih.gov/nlmcatalog/9105850" TargetMode="External"/><Relationship Id="rId664" Type="http://schemas.openxmlformats.org/officeDocument/2006/relationships/hyperlink" Target="http://www.ncbi.nlm.nih.gov/nlmcatalog/8505245" TargetMode="External"/><Relationship Id="rId14" Type="http://schemas.openxmlformats.org/officeDocument/2006/relationships/hyperlink" Target="http://www.ncbi.nlm.nih.gov/nlmcatalog/0050452" TargetMode="External"/><Relationship Id="rId56" Type="http://schemas.openxmlformats.org/officeDocument/2006/relationships/hyperlink" Target="http://www.ncbi.nlm.nih.gov/nlmcatalog/101616214" TargetMode="External"/><Relationship Id="rId317" Type="http://schemas.openxmlformats.org/officeDocument/2006/relationships/hyperlink" Target="http://www.ncbi.nlm.nih.gov/nlmcatalog/101243413" TargetMode="External"/><Relationship Id="rId359" Type="http://schemas.openxmlformats.org/officeDocument/2006/relationships/hyperlink" Target="http://www.ncbi.nlm.nih.gov/nlmcatalog/9713490" TargetMode="External"/><Relationship Id="rId524" Type="http://schemas.openxmlformats.org/officeDocument/2006/relationships/hyperlink" Target="http://www.ncbi.nlm.nih.gov/nlmcatalog/9100529" TargetMode="External"/><Relationship Id="rId566" Type="http://schemas.openxmlformats.org/officeDocument/2006/relationships/hyperlink" Target="http://www.ncbi.nlm.nih.gov/nlmcatalog/101563288" TargetMode="External"/><Relationship Id="rId98" Type="http://schemas.openxmlformats.org/officeDocument/2006/relationships/hyperlink" Target="http://www.ncbi.nlm.nih.gov/nlmcatalog/101524122" TargetMode="External"/><Relationship Id="rId121" Type="http://schemas.openxmlformats.org/officeDocument/2006/relationships/hyperlink" Target="http://www.ncbi.nlm.nih.gov/nlmcatalog/8506513" TargetMode="External"/><Relationship Id="rId163" Type="http://schemas.openxmlformats.org/officeDocument/2006/relationships/hyperlink" Target="http://www.ncbi.nlm.nih.gov/nlmcatalog/9100529" TargetMode="External"/><Relationship Id="rId219" Type="http://schemas.openxmlformats.org/officeDocument/2006/relationships/hyperlink" Target="http://www.ncbi.nlm.nih.gov/nlmcatalog/101243413" TargetMode="External"/><Relationship Id="rId370" Type="http://schemas.openxmlformats.org/officeDocument/2006/relationships/hyperlink" Target="http://www.ncbi.nlm.nih.gov/nlmcatalog/101606588" TargetMode="External"/><Relationship Id="rId426" Type="http://schemas.openxmlformats.org/officeDocument/2006/relationships/hyperlink" Target="http://www.ncbi.nlm.nih.gov/nlmcatalog/9885960" TargetMode="External"/><Relationship Id="rId633" Type="http://schemas.openxmlformats.org/officeDocument/2006/relationships/hyperlink" Target="http://www.ncbi.nlm.nih.gov/nlmcatalog/9886191" TargetMode="External"/><Relationship Id="rId230" Type="http://schemas.openxmlformats.org/officeDocument/2006/relationships/hyperlink" Target="http://www.ncbi.nlm.nih.gov/nlmcatalog/101243413" TargetMode="External"/><Relationship Id="rId468" Type="http://schemas.openxmlformats.org/officeDocument/2006/relationships/hyperlink" Target="http://www.ncbi.nlm.nih.gov/nlmcatalog/0401220" TargetMode="External"/><Relationship Id="rId675" Type="http://schemas.openxmlformats.org/officeDocument/2006/relationships/hyperlink" Target="http://www.ncbi.nlm.nih.gov/nlmcatalog/8506513" TargetMode="External"/><Relationship Id="rId25" Type="http://schemas.openxmlformats.org/officeDocument/2006/relationships/hyperlink" Target="http://www.ncbi.nlm.nih.gov/nlmcatalog/8806104" TargetMode="External"/><Relationship Id="rId67" Type="http://schemas.openxmlformats.org/officeDocument/2006/relationships/hyperlink" Target="http://www.ncbi.nlm.nih.gov/nlmcatalog/8505245" TargetMode="External"/><Relationship Id="rId272" Type="http://schemas.openxmlformats.org/officeDocument/2006/relationships/hyperlink" Target="http://www.ncbi.nlm.nih.gov/nlmcatalog/101243413" TargetMode="External"/><Relationship Id="rId328" Type="http://schemas.openxmlformats.org/officeDocument/2006/relationships/hyperlink" Target="http://www.ncbi.nlm.nih.gov/nlmcatalog/100886455" TargetMode="External"/><Relationship Id="rId535" Type="http://schemas.openxmlformats.org/officeDocument/2006/relationships/hyperlink" Target="http://www.ncbi.nlm.nih.gov/nlmcatalog/101681550" TargetMode="External"/><Relationship Id="rId577" Type="http://schemas.openxmlformats.org/officeDocument/2006/relationships/hyperlink" Target="http://www.ncbi.nlm.nih.gov/nlmcatalog/100886238" TargetMode="External"/><Relationship Id="rId132" Type="http://schemas.openxmlformats.org/officeDocument/2006/relationships/hyperlink" Target="http://www.ncbi.nlm.nih.gov/nlmcatalog/9105850" TargetMode="External"/><Relationship Id="rId174" Type="http://schemas.openxmlformats.org/officeDocument/2006/relationships/hyperlink" Target="http://www.ncbi.nlm.nih.gov/nlmcatalog/9100527" TargetMode="External"/><Relationship Id="rId381" Type="http://schemas.openxmlformats.org/officeDocument/2006/relationships/hyperlink" Target="http://www.ncbi.nlm.nih.gov/nlmcatalog/9713490" TargetMode="External"/><Relationship Id="rId602" Type="http://schemas.openxmlformats.org/officeDocument/2006/relationships/hyperlink" Target="http://www.ncbi.nlm.nih.gov/nlmcatalog/9100529" TargetMode="External"/><Relationship Id="rId241" Type="http://schemas.openxmlformats.org/officeDocument/2006/relationships/hyperlink" Target="http://www.ncbi.nlm.nih.gov/nlmcatalog/101285081" TargetMode="External"/><Relationship Id="rId437" Type="http://schemas.openxmlformats.org/officeDocument/2006/relationships/hyperlink" Target="http://www.ncbi.nlm.nih.gov/nlmcatalog/101729235" TargetMode="External"/><Relationship Id="rId479" Type="http://schemas.openxmlformats.org/officeDocument/2006/relationships/hyperlink" Target="http://www.ncbi.nlm.nih.gov/nlmcatalog/8205248" TargetMode="External"/><Relationship Id="rId644" Type="http://schemas.openxmlformats.org/officeDocument/2006/relationships/hyperlink" Target="http://www.ncbi.nlm.nih.gov/nlmcatalog/9000080" TargetMode="External"/><Relationship Id="rId686" Type="http://schemas.openxmlformats.org/officeDocument/2006/relationships/hyperlink" Target="http://www.ncbi.nlm.nih.gov/nlmcatalog/101563288" TargetMode="External"/><Relationship Id="rId36" Type="http://schemas.openxmlformats.org/officeDocument/2006/relationships/hyperlink" Target="http://www.ncbi.nlm.nih.gov/nlmcatalog/101243413" TargetMode="External"/><Relationship Id="rId283" Type="http://schemas.openxmlformats.org/officeDocument/2006/relationships/hyperlink" Target="http://www.ncbi.nlm.nih.gov/nlmcatalog/101300022" TargetMode="External"/><Relationship Id="rId339" Type="http://schemas.openxmlformats.org/officeDocument/2006/relationships/hyperlink" Target="http://www.ncbi.nlm.nih.gov/nlmcatalog/8908934" TargetMode="External"/><Relationship Id="rId490" Type="http://schemas.openxmlformats.org/officeDocument/2006/relationships/hyperlink" Target="http://www.ncbi.nlm.nih.gov/nlmcatalog/1250250" TargetMode="External"/><Relationship Id="rId504" Type="http://schemas.openxmlformats.org/officeDocument/2006/relationships/hyperlink" Target="http://www.ncbi.nlm.nih.gov/nlmcatalog/0217410" TargetMode="External"/><Relationship Id="rId546" Type="http://schemas.openxmlformats.org/officeDocument/2006/relationships/hyperlink" Target="http://www.ncbi.nlm.nih.gov/nlmcatalog/0425746" TargetMode="External"/><Relationship Id="rId78" Type="http://schemas.openxmlformats.org/officeDocument/2006/relationships/hyperlink" Target="http://www.ncbi.nlm.nih.gov/nlmcatalog/9000080" TargetMode="External"/><Relationship Id="rId101" Type="http://schemas.openxmlformats.org/officeDocument/2006/relationships/hyperlink" Target="http://www.ncbi.nlm.nih.gov/nlmcatalog/9885960" TargetMode="External"/><Relationship Id="rId143" Type="http://schemas.openxmlformats.org/officeDocument/2006/relationships/hyperlink" Target="http://www.ncbi.nlm.nih.gov/nlmcatalog/101600173" TargetMode="External"/><Relationship Id="rId185" Type="http://schemas.openxmlformats.org/officeDocument/2006/relationships/hyperlink" Target="http://www.ncbi.nlm.nih.gov/nlmcatalog/8310780" TargetMode="External"/><Relationship Id="rId350" Type="http://schemas.openxmlformats.org/officeDocument/2006/relationships/hyperlink" Target="http://www.ncbi.nlm.nih.gov/nlmcatalog/101731738" TargetMode="External"/><Relationship Id="rId406" Type="http://schemas.openxmlformats.org/officeDocument/2006/relationships/hyperlink" Target="http://www.ncbi.nlm.nih.gov/nlmcatalog/101279357" TargetMode="External"/><Relationship Id="rId588" Type="http://schemas.openxmlformats.org/officeDocument/2006/relationships/hyperlink" Target="http://www.ncbi.nlm.nih.gov/nlmcatalog/101563288" TargetMode="External"/><Relationship Id="rId9" Type="http://schemas.openxmlformats.org/officeDocument/2006/relationships/hyperlink" Target="http://www.ncbi.nlm.nih.gov/nlmcatalog/101499225" TargetMode="External"/><Relationship Id="rId210" Type="http://schemas.openxmlformats.org/officeDocument/2006/relationships/hyperlink" Target="http://www.ncbi.nlm.nih.gov/nlmcatalog/101604520" TargetMode="External"/><Relationship Id="rId392" Type="http://schemas.openxmlformats.org/officeDocument/2006/relationships/hyperlink" Target="http://www.ncbi.nlm.nih.gov/nlmcatalog/8506513" TargetMode="External"/><Relationship Id="rId448" Type="http://schemas.openxmlformats.org/officeDocument/2006/relationships/hyperlink" Target="http://www.ncbi.nlm.nih.gov/nlmcatalog/101604520" TargetMode="External"/><Relationship Id="rId613" Type="http://schemas.openxmlformats.org/officeDocument/2006/relationships/hyperlink" Target="http://www.ncbi.nlm.nih.gov/nlmcatalog/100965194" TargetMode="External"/><Relationship Id="rId655" Type="http://schemas.openxmlformats.org/officeDocument/2006/relationships/hyperlink" Target="http://www.ncbi.nlm.nih.gov/nlmcatalog/100965194" TargetMode="External"/><Relationship Id="rId697" Type="http://schemas.openxmlformats.org/officeDocument/2006/relationships/vmlDrawing" Target="../drawings/vmlDrawing3.vml"/><Relationship Id="rId252" Type="http://schemas.openxmlformats.org/officeDocument/2006/relationships/hyperlink" Target="http://www.ncbi.nlm.nih.gov/nlmcatalog/101583622" TargetMode="External"/><Relationship Id="rId294" Type="http://schemas.openxmlformats.org/officeDocument/2006/relationships/hyperlink" Target="http://www.ncbi.nlm.nih.gov/nlmcatalog/0425746" TargetMode="External"/><Relationship Id="rId308" Type="http://schemas.openxmlformats.org/officeDocument/2006/relationships/hyperlink" Target="http://www.ncbi.nlm.nih.gov/nlmcatalog/101190326" TargetMode="External"/><Relationship Id="rId515" Type="http://schemas.openxmlformats.org/officeDocument/2006/relationships/hyperlink" Target="http://www.ncbi.nlm.nih.gov/nlmcatalog/9100529" TargetMode="External"/><Relationship Id="rId47" Type="http://schemas.openxmlformats.org/officeDocument/2006/relationships/hyperlink" Target="http://www.ncbi.nlm.nih.gov/nlmcatalog/0401260" TargetMode="External"/><Relationship Id="rId89" Type="http://schemas.openxmlformats.org/officeDocument/2006/relationships/hyperlink" Target="http://www.ncbi.nlm.nih.gov/nlmcatalog/9215515" TargetMode="External"/><Relationship Id="rId112" Type="http://schemas.openxmlformats.org/officeDocument/2006/relationships/hyperlink" Target="http://www.ncbi.nlm.nih.gov/nlmcatalog/101243413" TargetMode="External"/><Relationship Id="rId154" Type="http://schemas.openxmlformats.org/officeDocument/2006/relationships/hyperlink" Target="http://www.ncbi.nlm.nih.gov/nlmcatalog/9808944" TargetMode="External"/><Relationship Id="rId361" Type="http://schemas.openxmlformats.org/officeDocument/2006/relationships/hyperlink" Target="http://www.ncbi.nlm.nih.gov/nlmcatalog/101563288" TargetMode="External"/><Relationship Id="rId557" Type="http://schemas.openxmlformats.org/officeDocument/2006/relationships/hyperlink" Target="http://www.ncbi.nlm.nih.gov/nlmcatalog/8506513" TargetMode="External"/><Relationship Id="rId599" Type="http://schemas.openxmlformats.org/officeDocument/2006/relationships/hyperlink" Target="http://www.ncbi.nlm.nih.gov/nlmcatalog/9808944" TargetMode="External"/><Relationship Id="rId196" Type="http://schemas.openxmlformats.org/officeDocument/2006/relationships/hyperlink" Target="http://www.ncbi.nlm.nih.gov/nlmcatalog/101249582" TargetMode="External"/><Relationship Id="rId417" Type="http://schemas.openxmlformats.org/officeDocument/2006/relationships/hyperlink" Target="http://www.ncbi.nlm.nih.gov/nlmcatalog/8003708" TargetMode="External"/><Relationship Id="rId459" Type="http://schemas.openxmlformats.org/officeDocument/2006/relationships/hyperlink" Target="http://www.ncbi.nlm.nih.gov/nlmcatalog/101499225" TargetMode="External"/><Relationship Id="rId624" Type="http://schemas.openxmlformats.org/officeDocument/2006/relationships/hyperlink" Target="http://www.ncbi.nlm.nih.gov/nlmcatalog/9711271" TargetMode="External"/><Relationship Id="rId666" Type="http://schemas.openxmlformats.org/officeDocument/2006/relationships/hyperlink" Target="http://www.ncbi.nlm.nih.gov/nlmcatalog/7806056" TargetMode="External"/><Relationship Id="rId16" Type="http://schemas.openxmlformats.org/officeDocument/2006/relationships/hyperlink" Target="http://www.ncbi.nlm.nih.gov/nlmcatalog/9713490" TargetMode="External"/><Relationship Id="rId221" Type="http://schemas.openxmlformats.org/officeDocument/2006/relationships/hyperlink" Target="http://www.ncbi.nlm.nih.gov/nlmcatalog/0425746" TargetMode="External"/><Relationship Id="rId263" Type="http://schemas.openxmlformats.org/officeDocument/2006/relationships/hyperlink" Target="http://www.ncbi.nlm.nih.gov/nlmcatalog/101525824" TargetMode="External"/><Relationship Id="rId319" Type="http://schemas.openxmlformats.org/officeDocument/2006/relationships/hyperlink" Target="http://www.ncbi.nlm.nih.gov/nlmcatalog/101499225" TargetMode="External"/><Relationship Id="rId470" Type="http://schemas.openxmlformats.org/officeDocument/2006/relationships/hyperlink" Target="http://www.ncbi.nlm.nih.gov/nlmcatalog/101528166" TargetMode="External"/><Relationship Id="rId526" Type="http://schemas.openxmlformats.org/officeDocument/2006/relationships/hyperlink" Target="http://www.ncbi.nlm.nih.gov/nlmcatalog/9100529" TargetMode="External"/><Relationship Id="rId58" Type="http://schemas.openxmlformats.org/officeDocument/2006/relationships/hyperlink" Target="http://www.ncbi.nlm.nih.gov/nlmcatalog/0012737" TargetMode="External"/><Relationship Id="rId123" Type="http://schemas.openxmlformats.org/officeDocument/2006/relationships/hyperlink" Target="http://www.ncbi.nlm.nih.gov/nlmcatalog/101524122" TargetMode="External"/><Relationship Id="rId330" Type="http://schemas.openxmlformats.org/officeDocument/2006/relationships/hyperlink" Target="http://www.ncbi.nlm.nih.gov/nlmcatalog/8506513" TargetMode="External"/><Relationship Id="rId568" Type="http://schemas.openxmlformats.org/officeDocument/2006/relationships/hyperlink" Target="http://www.ncbi.nlm.nih.gov/nlmcatalog/7905558" TargetMode="External"/><Relationship Id="rId165" Type="http://schemas.openxmlformats.org/officeDocument/2006/relationships/hyperlink" Target="http://www.ncbi.nlm.nih.gov/nlmcatalog/9713490" TargetMode="External"/><Relationship Id="rId372" Type="http://schemas.openxmlformats.org/officeDocument/2006/relationships/hyperlink" Target="http://www.ncbi.nlm.nih.gov/nlmcatalog/101153368" TargetMode="External"/><Relationship Id="rId428" Type="http://schemas.openxmlformats.org/officeDocument/2006/relationships/hyperlink" Target="http://www.ncbi.nlm.nih.gov/nlmcatalog/0425746" TargetMode="External"/><Relationship Id="rId635" Type="http://schemas.openxmlformats.org/officeDocument/2006/relationships/hyperlink" Target="http://www.ncbi.nlm.nih.gov/nlmcatalog/9713490" TargetMode="External"/><Relationship Id="rId677" Type="http://schemas.openxmlformats.org/officeDocument/2006/relationships/hyperlink" Target="http://www.ncbi.nlm.nih.gov/nlmcatalog/101286760" TargetMode="External"/><Relationship Id="rId232" Type="http://schemas.openxmlformats.org/officeDocument/2006/relationships/hyperlink" Target="http://www.ncbi.nlm.nih.gov/nlmcatalog/8806104" TargetMode="External"/><Relationship Id="rId274" Type="http://schemas.openxmlformats.org/officeDocument/2006/relationships/hyperlink" Target="http://www.ncbi.nlm.nih.gov/nlmcatalog/1250250" TargetMode="External"/><Relationship Id="rId481" Type="http://schemas.openxmlformats.org/officeDocument/2006/relationships/hyperlink" Target="http://www.ncbi.nlm.nih.gov/nlmcatalog/8505245" TargetMode="External"/><Relationship Id="rId27" Type="http://schemas.openxmlformats.org/officeDocument/2006/relationships/hyperlink" Target="http://www.ncbi.nlm.nih.gov/nlmcatalog/8310780" TargetMode="External"/><Relationship Id="rId69" Type="http://schemas.openxmlformats.org/officeDocument/2006/relationships/hyperlink" Target="http://www.ncbi.nlm.nih.gov/nlmcatalog/101604520" TargetMode="External"/><Relationship Id="rId134" Type="http://schemas.openxmlformats.org/officeDocument/2006/relationships/hyperlink" Target="http://www.ncbi.nlm.nih.gov/nlmcatalog/9885960" TargetMode="External"/><Relationship Id="rId537" Type="http://schemas.openxmlformats.org/officeDocument/2006/relationships/hyperlink" Target="http://www.ncbi.nlm.nih.gov/nlmcatalog/101681550" TargetMode="External"/><Relationship Id="rId579" Type="http://schemas.openxmlformats.org/officeDocument/2006/relationships/hyperlink" Target="http://www.ncbi.nlm.nih.gov/nlmcatalog/101563288" TargetMode="External"/><Relationship Id="rId80" Type="http://schemas.openxmlformats.org/officeDocument/2006/relationships/hyperlink" Target="http://www.ncbi.nlm.nih.gov/nlmcatalog/9100529" TargetMode="External"/><Relationship Id="rId176" Type="http://schemas.openxmlformats.org/officeDocument/2006/relationships/hyperlink" Target="http://www.ncbi.nlm.nih.gov/nlmcatalog/101604520" TargetMode="External"/><Relationship Id="rId341" Type="http://schemas.openxmlformats.org/officeDocument/2006/relationships/hyperlink" Target="http://www.ncbi.nlm.nih.gov/nlmcatalog/101539486" TargetMode="External"/><Relationship Id="rId383" Type="http://schemas.openxmlformats.org/officeDocument/2006/relationships/hyperlink" Target="http://www.ncbi.nlm.nih.gov/nlmcatalog/101170544" TargetMode="External"/><Relationship Id="rId439" Type="http://schemas.openxmlformats.org/officeDocument/2006/relationships/hyperlink" Target="http://www.ncbi.nlm.nih.gov/nlmcatalog/9000080" TargetMode="External"/><Relationship Id="rId590" Type="http://schemas.openxmlformats.org/officeDocument/2006/relationships/hyperlink" Target="http://www.ncbi.nlm.nih.gov/nlmcatalog/9100529" TargetMode="External"/><Relationship Id="rId604" Type="http://schemas.openxmlformats.org/officeDocument/2006/relationships/hyperlink" Target="http://www.ncbi.nlm.nih.gov/nlmcatalog/1306016" TargetMode="External"/><Relationship Id="rId646" Type="http://schemas.openxmlformats.org/officeDocument/2006/relationships/hyperlink" Target="http://www.ncbi.nlm.nih.gov/nlmcatalog/101285081" TargetMode="External"/><Relationship Id="rId201" Type="http://schemas.openxmlformats.org/officeDocument/2006/relationships/hyperlink" Target="http://www.ncbi.nlm.nih.gov/nlmcatalog/101528166" TargetMode="External"/><Relationship Id="rId243" Type="http://schemas.openxmlformats.org/officeDocument/2006/relationships/hyperlink" Target="http://www.ncbi.nlm.nih.gov/nlmcatalog/101604520" TargetMode="External"/><Relationship Id="rId285" Type="http://schemas.openxmlformats.org/officeDocument/2006/relationships/hyperlink" Target="http://www.ncbi.nlm.nih.gov/nlmcatalog/1250250" TargetMode="External"/><Relationship Id="rId450" Type="http://schemas.openxmlformats.org/officeDocument/2006/relationships/hyperlink" Target="http://www.ncbi.nlm.nih.gov/nlmcatalog/8310780" TargetMode="External"/><Relationship Id="rId506" Type="http://schemas.openxmlformats.org/officeDocument/2006/relationships/hyperlink" Target="http://www.ncbi.nlm.nih.gov/nlmcatalog/101643461" TargetMode="External"/><Relationship Id="rId688" Type="http://schemas.openxmlformats.org/officeDocument/2006/relationships/hyperlink" Target="http://www.ncbi.nlm.nih.gov/nlmcatalog/7802443" TargetMode="External"/><Relationship Id="rId38" Type="http://schemas.openxmlformats.org/officeDocument/2006/relationships/hyperlink" Target="http://www.ncbi.nlm.nih.gov/nlmcatalog/101499225" TargetMode="External"/><Relationship Id="rId103" Type="http://schemas.openxmlformats.org/officeDocument/2006/relationships/hyperlink" Target="http://www.ncbi.nlm.nih.gov/nlmcatalog/1250250" TargetMode="External"/><Relationship Id="rId310" Type="http://schemas.openxmlformats.org/officeDocument/2006/relationships/hyperlink" Target="http://www.ncbi.nlm.nih.gov/nlmcatalog/0401220" TargetMode="External"/><Relationship Id="rId492" Type="http://schemas.openxmlformats.org/officeDocument/2006/relationships/hyperlink" Target="http://www.ncbi.nlm.nih.gov/nlmcatalog/0425746" TargetMode="External"/><Relationship Id="rId548" Type="http://schemas.openxmlformats.org/officeDocument/2006/relationships/hyperlink" Target="http://www.ncbi.nlm.nih.gov/nlmcatalog/101499225" TargetMode="External"/><Relationship Id="rId91" Type="http://schemas.openxmlformats.org/officeDocument/2006/relationships/hyperlink" Target="http://www.ncbi.nlm.nih.gov/nlmcatalog/100968553" TargetMode="External"/><Relationship Id="rId145" Type="http://schemas.openxmlformats.org/officeDocument/2006/relationships/hyperlink" Target="http://www.ncbi.nlm.nih.gov/nlmcatalog/9100529" TargetMode="External"/><Relationship Id="rId187" Type="http://schemas.openxmlformats.org/officeDocument/2006/relationships/hyperlink" Target="http://www.ncbi.nlm.nih.gov/nlmcatalog/101238455" TargetMode="External"/><Relationship Id="rId352" Type="http://schemas.openxmlformats.org/officeDocument/2006/relationships/hyperlink" Target="http://www.ncbi.nlm.nih.gov/nlmcatalog/0401220" TargetMode="External"/><Relationship Id="rId394" Type="http://schemas.openxmlformats.org/officeDocument/2006/relationships/hyperlink" Target="http://www.ncbi.nlm.nih.gov/nlmcatalog/9100529" TargetMode="External"/><Relationship Id="rId408" Type="http://schemas.openxmlformats.org/officeDocument/2006/relationships/hyperlink" Target="http://www.ncbi.nlm.nih.gov/nlmcatalog/7806056" TargetMode="External"/><Relationship Id="rId615" Type="http://schemas.openxmlformats.org/officeDocument/2006/relationships/hyperlink" Target="http://www.ncbi.nlm.nih.gov/nlmcatalog/101697564" TargetMode="External"/><Relationship Id="rId212" Type="http://schemas.openxmlformats.org/officeDocument/2006/relationships/hyperlink" Target="http://www.ncbi.nlm.nih.gov/nlmcatalog/101639462" TargetMode="External"/><Relationship Id="rId254" Type="http://schemas.openxmlformats.org/officeDocument/2006/relationships/hyperlink" Target="http://www.ncbi.nlm.nih.gov/nlmcatalog/101285081" TargetMode="External"/><Relationship Id="rId657" Type="http://schemas.openxmlformats.org/officeDocument/2006/relationships/hyperlink" Target="http://www.ncbi.nlm.nih.gov/nlmcatalog/8506513" TargetMode="External"/><Relationship Id="rId49" Type="http://schemas.openxmlformats.org/officeDocument/2006/relationships/hyperlink" Target="http://www.ncbi.nlm.nih.gov/nlmcatalog/0012737" TargetMode="External"/><Relationship Id="rId114" Type="http://schemas.openxmlformats.org/officeDocument/2006/relationships/hyperlink" Target="http://www.ncbi.nlm.nih.gov/nlmcatalog/7501160" TargetMode="External"/><Relationship Id="rId296" Type="http://schemas.openxmlformats.org/officeDocument/2006/relationships/hyperlink" Target="http://www.ncbi.nlm.nih.gov/nlmcatalog/9711057" TargetMode="External"/><Relationship Id="rId461" Type="http://schemas.openxmlformats.org/officeDocument/2006/relationships/hyperlink" Target="http://www.ncbi.nlm.nih.gov/nlmcatalog/8310780" TargetMode="External"/><Relationship Id="rId517" Type="http://schemas.openxmlformats.org/officeDocument/2006/relationships/hyperlink" Target="http://www.ncbi.nlm.nih.gov/nlmcatalog/0045377" TargetMode="External"/><Relationship Id="rId559" Type="http://schemas.openxmlformats.org/officeDocument/2006/relationships/hyperlink" Target="http://www.ncbi.nlm.nih.gov/nlmcatalog/8505245" TargetMode="External"/><Relationship Id="rId60" Type="http://schemas.openxmlformats.org/officeDocument/2006/relationships/hyperlink" Target="http://www.ncbi.nlm.nih.gov/nlmcatalog/8310780" TargetMode="External"/><Relationship Id="rId156" Type="http://schemas.openxmlformats.org/officeDocument/2006/relationships/hyperlink" Target="http://www.ncbi.nlm.nih.gov/nlmcatalog/9100529" TargetMode="External"/><Relationship Id="rId198" Type="http://schemas.openxmlformats.org/officeDocument/2006/relationships/hyperlink" Target="http://www.ncbi.nlm.nih.gov/nlmcatalog/101740243" TargetMode="External"/><Relationship Id="rId321" Type="http://schemas.openxmlformats.org/officeDocument/2006/relationships/hyperlink" Target="http://www.ncbi.nlm.nih.gov/nlmcatalog/101528166" TargetMode="External"/><Relationship Id="rId363" Type="http://schemas.openxmlformats.org/officeDocument/2006/relationships/hyperlink" Target="http://www.ncbi.nlm.nih.gov/nlmcatalog/0401220" TargetMode="External"/><Relationship Id="rId419" Type="http://schemas.openxmlformats.org/officeDocument/2006/relationships/hyperlink" Target="http://www.ncbi.nlm.nih.gov/nlmcatalog/101499225" TargetMode="External"/><Relationship Id="rId570" Type="http://schemas.openxmlformats.org/officeDocument/2006/relationships/hyperlink" Target="http://www.ncbi.nlm.nih.gov/nlmcatalog/9713490" TargetMode="External"/><Relationship Id="rId626" Type="http://schemas.openxmlformats.org/officeDocument/2006/relationships/hyperlink" Target="http://www.ncbi.nlm.nih.gov/nlmcatalog/9713490" TargetMode="External"/><Relationship Id="rId223" Type="http://schemas.openxmlformats.org/officeDocument/2006/relationships/hyperlink" Target="http://www.ncbi.nlm.nih.gov/nlmcatalog/101674571" TargetMode="External"/><Relationship Id="rId430" Type="http://schemas.openxmlformats.org/officeDocument/2006/relationships/hyperlink" Target="http://www.ncbi.nlm.nih.gov/nlmcatalog/100965194" TargetMode="External"/><Relationship Id="rId668" Type="http://schemas.openxmlformats.org/officeDocument/2006/relationships/hyperlink" Target="http://www.ncbi.nlm.nih.gov/nlmcatalog/101285081" TargetMode="External"/><Relationship Id="rId18" Type="http://schemas.openxmlformats.org/officeDocument/2006/relationships/hyperlink" Target="http://www.ncbi.nlm.nih.gov/nlmcatalog/9713490" TargetMode="External"/><Relationship Id="rId265" Type="http://schemas.openxmlformats.org/officeDocument/2006/relationships/hyperlink" Target="http://www.ncbi.nlm.nih.gov/nlmcatalog/101696896" TargetMode="External"/><Relationship Id="rId472" Type="http://schemas.openxmlformats.org/officeDocument/2006/relationships/hyperlink" Target="http://www.ncbi.nlm.nih.gov/nlmcatalog/101204366" TargetMode="External"/><Relationship Id="rId528" Type="http://schemas.openxmlformats.org/officeDocument/2006/relationships/hyperlink" Target="http://www.ncbi.nlm.nih.gov/nlmcatalog/101597070" TargetMode="External"/><Relationship Id="rId125" Type="http://schemas.openxmlformats.org/officeDocument/2006/relationships/hyperlink" Target="http://www.ncbi.nlm.nih.gov/nlmcatalog/9713490" TargetMode="External"/><Relationship Id="rId167" Type="http://schemas.openxmlformats.org/officeDocument/2006/relationships/hyperlink" Target="http://www.ncbi.nlm.nih.gov/nlmcatalog/9713490" TargetMode="External"/><Relationship Id="rId332" Type="http://schemas.openxmlformats.org/officeDocument/2006/relationships/hyperlink" Target="http://www.ncbi.nlm.nih.gov/nlmcatalog/101140988" TargetMode="External"/><Relationship Id="rId374" Type="http://schemas.openxmlformats.org/officeDocument/2006/relationships/hyperlink" Target="http://www.ncbi.nlm.nih.gov/nlmcatalog/9713490" TargetMode="External"/><Relationship Id="rId581" Type="http://schemas.openxmlformats.org/officeDocument/2006/relationships/hyperlink" Target="http://www.ncbi.nlm.nih.gov/nlmcatalog/7802443" TargetMode="External"/><Relationship Id="rId71" Type="http://schemas.openxmlformats.org/officeDocument/2006/relationships/hyperlink" Target="http://www.ncbi.nlm.nih.gov/nlmcatalog/101249582" TargetMode="External"/><Relationship Id="rId234" Type="http://schemas.openxmlformats.org/officeDocument/2006/relationships/hyperlink" Target="http://www.ncbi.nlm.nih.gov/nlmcatalog/0365332" TargetMode="External"/><Relationship Id="rId637" Type="http://schemas.openxmlformats.org/officeDocument/2006/relationships/hyperlink" Target="http://www.ncbi.nlm.nih.gov/nlmcatalog/8407192" TargetMode="External"/><Relationship Id="rId679" Type="http://schemas.openxmlformats.org/officeDocument/2006/relationships/hyperlink" Target="http://www.ncbi.nlm.nih.gov/nlmcatalog/1250250" TargetMode="External"/><Relationship Id="rId2" Type="http://schemas.openxmlformats.org/officeDocument/2006/relationships/hyperlink" Target="http://www.ncbi.nlm.nih.gov/nlmcatalog/9713490" TargetMode="External"/><Relationship Id="rId29" Type="http://schemas.openxmlformats.org/officeDocument/2006/relationships/hyperlink" Target="http://www.ncbi.nlm.nih.gov/nlmcatalog/1250250" TargetMode="External"/><Relationship Id="rId276" Type="http://schemas.openxmlformats.org/officeDocument/2006/relationships/hyperlink" Target="http://www.ncbi.nlm.nih.gov/nlmcatalog/101499225" TargetMode="External"/><Relationship Id="rId441" Type="http://schemas.openxmlformats.org/officeDocument/2006/relationships/hyperlink" Target="http://www.ncbi.nlm.nih.gov/nlmcatalog/100968553" TargetMode="External"/><Relationship Id="rId483" Type="http://schemas.openxmlformats.org/officeDocument/2006/relationships/hyperlink" Target="http://www.ncbi.nlm.nih.gov/nlmcatalog/0410553" TargetMode="External"/><Relationship Id="rId539" Type="http://schemas.openxmlformats.org/officeDocument/2006/relationships/hyperlink" Target="http://www.ncbi.nlm.nih.gov/nlmcatalog/100956096" TargetMode="External"/><Relationship Id="rId690" Type="http://schemas.openxmlformats.org/officeDocument/2006/relationships/hyperlink" Target="http://www.ncbi.nlm.nih.gov/nlmcatalog/9713490" TargetMode="External"/><Relationship Id="rId40" Type="http://schemas.openxmlformats.org/officeDocument/2006/relationships/hyperlink" Target="http://www.ncbi.nlm.nih.gov/nlmcatalog/101563288" TargetMode="External"/><Relationship Id="rId136" Type="http://schemas.openxmlformats.org/officeDocument/2006/relationships/hyperlink" Target="http://www.ncbi.nlm.nih.gov/nlmcatalog/9100529" TargetMode="External"/><Relationship Id="rId178" Type="http://schemas.openxmlformats.org/officeDocument/2006/relationships/hyperlink" Target="http://www.ncbi.nlm.nih.gov/nlmcatalog/0401220" TargetMode="External"/><Relationship Id="rId301" Type="http://schemas.openxmlformats.org/officeDocument/2006/relationships/hyperlink" Target="http://www.ncbi.nlm.nih.gov/nlmcatalog/101204366" TargetMode="External"/><Relationship Id="rId343" Type="http://schemas.openxmlformats.org/officeDocument/2006/relationships/hyperlink" Target="http://www.ncbi.nlm.nih.gov/nlmcatalog/101729235" TargetMode="External"/><Relationship Id="rId550" Type="http://schemas.openxmlformats.org/officeDocument/2006/relationships/hyperlink" Target="http://www.ncbi.nlm.nih.gov/nlmcatalog/9713490" TargetMode="External"/><Relationship Id="rId61" Type="http://schemas.openxmlformats.org/officeDocument/2006/relationships/hyperlink" Target="http://www.ncbi.nlm.nih.gov/nlmcatalog/101215604" TargetMode="External"/><Relationship Id="rId82" Type="http://schemas.openxmlformats.org/officeDocument/2006/relationships/hyperlink" Target="http://www.ncbi.nlm.nih.gov/nlmcatalog/101243413" TargetMode="External"/><Relationship Id="rId199" Type="http://schemas.openxmlformats.org/officeDocument/2006/relationships/hyperlink" Target="http://www.ncbi.nlm.nih.gov/nlmcatalog/101231360" TargetMode="External"/><Relationship Id="rId203" Type="http://schemas.openxmlformats.org/officeDocument/2006/relationships/hyperlink" Target="http://www.ncbi.nlm.nih.gov/nlmcatalog/9423843" TargetMode="External"/><Relationship Id="rId385" Type="http://schemas.openxmlformats.org/officeDocument/2006/relationships/hyperlink" Target="http://www.ncbi.nlm.nih.gov/nlmcatalog/101249582" TargetMode="External"/><Relationship Id="rId571" Type="http://schemas.openxmlformats.org/officeDocument/2006/relationships/hyperlink" Target="http://www.ncbi.nlm.nih.gov/nlmcatalog/0401220" TargetMode="External"/><Relationship Id="rId592" Type="http://schemas.openxmlformats.org/officeDocument/2006/relationships/hyperlink" Target="http://www.ncbi.nlm.nih.gov/nlmcatalog/101563288" TargetMode="External"/><Relationship Id="rId606" Type="http://schemas.openxmlformats.org/officeDocument/2006/relationships/hyperlink" Target="http://www.ncbi.nlm.nih.gov/nlmcatalog/101499225" TargetMode="External"/><Relationship Id="rId627" Type="http://schemas.openxmlformats.org/officeDocument/2006/relationships/hyperlink" Target="http://www.ncbi.nlm.nih.gov/nlmcatalog/9214582" TargetMode="External"/><Relationship Id="rId648" Type="http://schemas.openxmlformats.org/officeDocument/2006/relationships/hyperlink" Target="http://www.ncbi.nlm.nih.gov/nlmcatalog/0401260" TargetMode="External"/><Relationship Id="rId669" Type="http://schemas.openxmlformats.org/officeDocument/2006/relationships/hyperlink" Target="http://www.ncbi.nlm.nih.gov/nlmcatalog/101499225" TargetMode="External"/><Relationship Id="rId19" Type="http://schemas.openxmlformats.org/officeDocument/2006/relationships/hyperlink" Target="http://www.ncbi.nlm.nih.gov/nlmcatalog/8806104" TargetMode="External"/><Relationship Id="rId224" Type="http://schemas.openxmlformats.org/officeDocument/2006/relationships/hyperlink" Target="http://www.ncbi.nlm.nih.gov/nlmcatalog/101243413" TargetMode="External"/><Relationship Id="rId245" Type="http://schemas.openxmlformats.org/officeDocument/2006/relationships/hyperlink" Target="http://www.ncbi.nlm.nih.gov/nlmcatalog/0425746" TargetMode="External"/><Relationship Id="rId266" Type="http://schemas.openxmlformats.org/officeDocument/2006/relationships/hyperlink" Target="http://www.ncbi.nlm.nih.gov/nlmcatalog/8310780" TargetMode="External"/><Relationship Id="rId287" Type="http://schemas.openxmlformats.org/officeDocument/2006/relationships/hyperlink" Target="http://www.ncbi.nlm.nih.gov/nlmcatalog/7806056" TargetMode="External"/><Relationship Id="rId410" Type="http://schemas.openxmlformats.org/officeDocument/2006/relationships/hyperlink" Target="http://www.ncbi.nlm.nih.gov/nlmcatalog/101499225" TargetMode="External"/><Relationship Id="rId431" Type="http://schemas.openxmlformats.org/officeDocument/2006/relationships/hyperlink" Target="http://www.ncbi.nlm.nih.gov/nlmcatalog/101499225" TargetMode="External"/><Relationship Id="rId452" Type="http://schemas.openxmlformats.org/officeDocument/2006/relationships/hyperlink" Target="http://www.ncbi.nlm.nih.gov/nlmcatalog/101147518" TargetMode="External"/><Relationship Id="rId473" Type="http://schemas.openxmlformats.org/officeDocument/2006/relationships/hyperlink" Target="http://www.ncbi.nlm.nih.gov/nlmcatalog/101563288" TargetMode="External"/><Relationship Id="rId494" Type="http://schemas.openxmlformats.org/officeDocument/2006/relationships/hyperlink" Target="http://www.ncbi.nlm.nih.gov/nlmcatalog/8501421" TargetMode="External"/><Relationship Id="rId508" Type="http://schemas.openxmlformats.org/officeDocument/2006/relationships/hyperlink" Target="http://www.ncbi.nlm.nih.gov/nlmcatalog/9513583" TargetMode="External"/><Relationship Id="rId529" Type="http://schemas.openxmlformats.org/officeDocument/2006/relationships/hyperlink" Target="http://www.ncbi.nlm.nih.gov/nlmcatalog/0235266" TargetMode="External"/><Relationship Id="rId680" Type="http://schemas.openxmlformats.org/officeDocument/2006/relationships/hyperlink" Target="http://www.ncbi.nlm.nih.gov/nlmcatalog/9706389" TargetMode="External"/><Relationship Id="rId30" Type="http://schemas.openxmlformats.org/officeDocument/2006/relationships/hyperlink" Target="http://www.ncbi.nlm.nih.gov/nlmcatalog/101563288" TargetMode="External"/><Relationship Id="rId105" Type="http://schemas.openxmlformats.org/officeDocument/2006/relationships/hyperlink" Target="http://www.ncbi.nlm.nih.gov/nlmcatalog/101597070" TargetMode="External"/><Relationship Id="rId126" Type="http://schemas.openxmlformats.org/officeDocument/2006/relationships/hyperlink" Target="http://www.ncbi.nlm.nih.gov/nlmcatalog/101249582" TargetMode="External"/><Relationship Id="rId147" Type="http://schemas.openxmlformats.org/officeDocument/2006/relationships/hyperlink" Target="http://www.ncbi.nlm.nih.gov/nlmcatalog/101563288" TargetMode="External"/><Relationship Id="rId168" Type="http://schemas.openxmlformats.org/officeDocument/2006/relationships/hyperlink" Target="http://www.ncbi.nlm.nih.gov/nlmcatalog/101097023" TargetMode="External"/><Relationship Id="rId312" Type="http://schemas.openxmlformats.org/officeDocument/2006/relationships/hyperlink" Target="http://www.ncbi.nlm.nih.gov/nlmcatalog/101696896" TargetMode="External"/><Relationship Id="rId333" Type="http://schemas.openxmlformats.org/officeDocument/2006/relationships/hyperlink" Target="http://www.ncbi.nlm.nih.gov/nlmcatalog/101238922" TargetMode="External"/><Relationship Id="rId354" Type="http://schemas.openxmlformats.org/officeDocument/2006/relationships/hyperlink" Target="http://www.ncbi.nlm.nih.gov/nlmcatalog/101647039" TargetMode="External"/><Relationship Id="rId540" Type="http://schemas.openxmlformats.org/officeDocument/2006/relationships/hyperlink" Target="http://www.ncbi.nlm.nih.gov/nlmcatalog/0401260" TargetMode="External"/><Relationship Id="rId51" Type="http://schemas.openxmlformats.org/officeDocument/2006/relationships/hyperlink" Target="http://www.ncbi.nlm.nih.gov/nlmcatalog/101249582" TargetMode="External"/><Relationship Id="rId72" Type="http://schemas.openxmlformats.org/officeDocument/2006/relationships/hyperlink" Target="http://www.ncbi.nlm.nih.gov/nlmcatalog/0401260" TargetMode="External"/><Relationship Id="rId93" Type="http://schemas.openxmlformats.org/officeDocument/2006/relationships/hyperlink" Target="http://www.ncbi.nlm.nih.gov/nlmcatalog/7503051" TargetMode="External"/><Relationship Id="rId189" Type="http://schemas.openxmlformats.org/officeDocument/2006/relationships/hyperlink" Target="http://www.ncbi.nlm.nih.gov/nlmcatalog/9215515" TargetMode="External"/><Relationship Id="rId375" Type="http://schemas.openxmlformats.org/officeDocument/2006/relationships/hyperlink" Target="http://www.ncbi.nlm.nih.gov/nlmcatalog/9314590" TargetMode="External"/><Relationship Id="rId396" Type="http://schemas.openxmlformats.org/officeDocument/2006/relationships/hyperlink" Target="http://www.ncbi.nlm.nih.gov/nlmcatalog/101477957" TargetMode="External"/><Relationship Id="rId561" Type="http://schemas.openxmlformats.org/officeDocument/2006/relationships/hyperlink" Target="http://www.ncbi.nlm.nih.gov/nlmcatalog/9440159" TargetMode="External"/><Relationship Id="rId582" Type="http://schemas.openxmlformats.org/officeDocument/2006/relationships/hyperlink" Target="http://www.ncbi.nlm.nih.gov/nlmcatalog/9105850" TargetMode="External"/><Relationship Id="rId617" Type="http://schemas.openxmlformats.org/officeDocument/2006/relationships/hyperlink" Target="http://www.ncbi.nlm.nih.gov/nlmcatalog/8806104" TargetMode="External"/><Relationship Id="rId638" Type="http://schemas.openxmlformats.org/officeDocument/2006/relationships/hyperlink" Target="http://www.ncbi.nlm.nih.gov/nlmcatalog/0401260" TargetMode="External"/><Relationship Id="rId659" Type="http://schemas.openxmlformats.org/officeDocument/2006/relationships/hyperlink" Target="http://www.ncbi.nlm.nih.gov/nlmcatalog/7704869" TargetMode="External"/><Relationship Id="rId3" Type="http://schemas.openxmlformats.org/officeDocument/2006/relationships/hyperlink" Target="http://www.ncbi.nlm.nih.gov/nlmcatalog/7505668" TargetMode="External"/><Relationship Id="rId214" Type="http://schemas.openxmlformats.org/officeDocument/2006/relationships/hyperlink" Target="http://www.ncbi.nlm.nih.gov/nlmcatalog/101243413" TargetMode="External"/><Relationship Id="rId235" Type="http://schemas.openxmlformats.org/officeDocument/2006/relationships/hyperlink" Target="http://www.ncbi.nlm.nih.gov/nlmcatalog/101639462" TargetMode="External"/><Relationship Id="rId256" Type="http://schemas.openxmlformats.org/officeDocument/2006/relationships/hyperlink" Target="http://www.ncbi.nlm.nih.gov/nlmcatalog/2985248R" TargetMode="External"/><Relationship Id="rId277" Type="http://schemas.openxmlformats.org/officeDocument/2006/relationships/hyperlink" Target="http://www.ncbi.nlm.nih.gov/nlmcatalog/101643461" TargetMode="External"/><Relationship Id="rId298" Type="http://schemas.openxmlformats.org/officeDocument/2006/relationships/hyperlink" Target="http://www.ncbi.nlm.nih.gov/nlmcatalog/0425746" TargetMode="External"/><Relationship Id="rId400" Type="http://schemas.openxmlformats.org/officeDocument/2006/relationships/hyperlink" Target="http://www.ncbi.nlm.nih.gov/nlmcatalog/8310780" TargetMode="External"/><Relationship Id="rId421" Type="http://schemas.openxmlformats.org/officeDocument/2006/relationships/hyperlink" Target="http://www.ncbi.nlm.nih.gov/nlmcatalog/8800805" TargetMode="External"/><Relationship Id="rId442" Type="http://schemas.openxmlformats.org/officeDocument/2006/relationships/hyperlink" Target="http://www.ncbi.nlm.nih.gov/nlmcatalog/9215515" TargetMode="External"/><Relationship Id="rId463" Type="http://schemas.openxmlformats.org/officeDocument/2006/relationships/hyperlink" Target="http://www.ncbi.nlm.nih.gov/nlmcatalog/9100529" TargetMode="External"/><Relationship Id="rId484" Type="http://schemas.openxmlformats.org/officeDocument/2006/relationships/hyperlink" Target="http://www.ncbi.nlm.nih.gov/nlmcatalog/0401260" TargetMode="External"/><Relationship Id="rId519" Type="http://schemas.openxmlformats.org/officeDocument/2006/relationships/hyperlink" Target="http://www.ncbi.nlm.nih.gov/nlmcatalog/101243413" TargetMode="External"/><Relationship Id="rId670" Type="http://schemas.openxmlformats.org/officeDocument/2006/relationships/hyperlink" Target="http://www.ncbi.nlm.nih.gov/nlmcatalog/7505876" TargetMode="External"/><Relationship Id="rId116" Type="http://schemas.openxmlformats.org/officeDocument/2006/relationships/hyperlink" Target="http://www.ncbi.nlm.nih.gov/nlmcatalog/101499225" TargetMode="External"/><Relationship Id="rId137" Type="http://schemas.openxmlformats.org/officeDocument/2006/relationships/hyperlink" Target="http://www.ncbi.nlm.nih.gov/nlmcatalog/9713490" TargetMode="External"/><Relationship Id="rId158" Type="http://schemas.openxmlformats.org/officeDocument/2006/relationships/hyperlink" Target="http://www.ncbi.nlm.nih.gov/nlmcatalog/9713490" TargetMode="External"/><Relationship Id="rId302" Type="http://schemas.openxmlformats.org/officeDocument/2006/relationships/hyperlink" Target="http://www.ncbi.nlm.nih.gov/nlmcatalog/9114774" TargetMode="External"/><Relationship Id="rId323" Type="http://schemas.openxmlformats.org/officeDocument/2006/relationships/hyperlink" Target="http://www.ncbi.nlm.nih.gov/nlmcatalog/101279357" TargetMode="External"/><Relationship Id="rId344" Type="http://schemas.openxmlformats.org/officeDocument/2006/relationships/hyperlink" Target="http://www.ncbi.nlm.nih.gov/nlmcatalog/101563288" TargetMode="External"/><Relationship Id="rId530" Type="http://schemas.openxmlformats.org/officeDocument/2006/relationships/hyperlink" Target="http://www.ncbi.nlm.nih.gov/nlmcatalog/101190720" TargetMode="External"/><Relationship Id="rId691" Type="http://schemas.openxmlformats.org/officeDocument/2006/relationships/hyperlink" Target="http://www.ncbi.nlm.nih.gov/nlmcatalog/8505245" TargetMode="External"/><Relationship Id="rId20" Type="http://schemas.openxmlformats.org/officeDocument/2006/relationships/hyperlink" Target="http://www.ncbi.nlm.nih.gov/nlmcatalog/9302888" TargetMode="External"/><Relationship Id="rId41" Type="http://schemas.openxmlformats.org/officeDocument/2006/relationships/hyperlink" Target="http://www.ncbi.nlm.nih.gov/nlmcatalog/8310780" TargetMode="External"/><Relationship Id="rId62" Type="http://schemas.openxmlformats.org/officeDocument/2006/relationships/hyperlink" Target="http://www.ncbi.nlm.nih.gov/nlmcatalog/101249582" TargetMode="External"/><Relationship Id="rId83" Type="http://schemas.openxmlformats.org/officeDocument/2006/relationships/hyperlink" Target="http://www.ncbi.nlm.nih.gov/nlmcatalog/9426182" TargetMode="External"/><Relationship Id="rId179" Type="http://schemas.openxmlformats.org/officeDocument/2006/relationships/hyperlink" Target="http://www.ncbi.nlm.nih.gov/nlmcatalog/8106411" TargetMode="External"/><Relationship Id="rId365" Type="http://schemas.openxmlformats.org/officeDocument/2006/relationships/hyperlink" Target="http://www.ncbi.nlm.nih.gov/nlmcatalog/1250250" TargetMode="External"/><Relationship Id="rId386" Type="http://schemas.openxmlformats.org/officeDocument/2006/relationships/hyperlink" Target="http://www.ncbi.nlm.nih.gov/nlmcatalog/7806056" TargetMode="External"/><Relationship Id="rId551" Type="http://schemas.openxmlformats.org/officeDocument/2006/relationships/hyperlink" Target="http://www.ncbi.nlm.nih.gov/nlmcatalog/101568867" TargetMode="External"/><Relationship Id="rId572" Type="http://schemas.openxmlformats.org/officeDocument/2006/relationships/hyperlink" Target="http://www.ncbi.nlm.nih.gov/nlmcatalog/9430800" TargetMode="External"/><Relationship Id="rId593" Type="http://schemas.openxmlformats.org/officeDocument/2006/relationships/hyperlink" Target="http://www.ncbi.nlm.nih.gov/nlmcatalog/7905558" TargetMode="External"/><Relationship Id="rId607" Type="http://schemas.openxmlformats.org/officeDocument/2006/relationships/hyperlink" Target="http://www.ncbi.nlm.nih.gov/nlmcatalog/0425746" TargetMode="External"/><Relationship Id="rId628" Type="http://schemas.openxmlformats.org/officeDocument/2006/relationships/hyperlink" Target="http://www.ncbi.nlm.nih.gov/nlmcatalog/101604520" TargetMode="External"/><Relationship Id="rId649" Type="http://schemas.openxmlformats.org/officeDocument/2006/relationships/hyperlink" Target="http://www.ncbi.nlm.nih.gov/nlmcatalog/9215515" TargetMode="External"/><Relationship Id="rId190" Type="http://schemas.openxmlformats.org/officeDocument/2006/relationships/hyperlink" Target="http://www.ncbi.nlm.nih.gov/nlmcatalog/9713490" TargetMode="External"/><Relationship Id="rId204" Type="http://schemas.openxmlformats.org/officeDocument/2006/relationships/hyperlink" Target="http://www.ncbi.nlm.nih.gov/nlmcatalog/7703701" TargetMode="External"/><Relationship Id="rId225" Type="http://schemas.openxmlformats.org/officeDocument/2006/relationships/hyperlink" Target="http://www.ncbi.nlm.nih.gov/nlmcatalog/9713490" TargetMode="External"/><Relationship Id="rId246" Type="http://schemas.openxmlformats.org/officeDocument/2006/relationships/hyperlink" Target="http://www.ncbi.nlm.nih.gov/nlmcatalog/8915031" TargetMode="External"/><Relationship Id="rId267" Type="http://schemas.openxmlformats.org/officeDocument/2006/relationships/hyperlink" Target="http://www.ncbi.nlm.nih.gov/nlmcatalog/8310780" TargetMode="External"/><Relationship Id="rId288" Type="http://schemas.openxmlformats.org/officeDocument/2006/relationships/hyperlink" Target="http://www.ncbi.nlm.nih.gov/nlmcatalog/9713490" TargetMode="External"/><Relationship Id="rId411" Type="http://schemas.openxmlformats.org/officeDocument/2006/relationships/hyperlink" Target="http://www.ncbi.nlm.nih.gov/nlmcatalog/101490689" TargetMode="External"/><Relationship Id="rId432" Type="http://schemas.openxmlformats.org/officeDocument/2006/relationships/hyperlink" Target="http://www.ncbi.nlm.nih.gov/nlmcatalog/0401220" TargetMode="External"/><Relationship Id="rId453" Type="http://schemas.openxmlformats.org/officeDocument/2006/relationships/hyperlink" Target="http://www.ncbi.nlm.nih.gov/nlmcatalog/101215604" TargetMode="External"/><Relationship Id="rId474" Type="http://schemas.openxmlformats.org/officeDocument/2006/relationships/hyperlink" Target="http://www.ncbi.nlm.nih.gov/nlmcatalog/7907132" TargetMode="External"/><Relationship Id="rId509" Type="http://schemas.openxmlformats.org/officeDocument/2006/relationships/hyperlink" Target="http://www.ncbi.nlm.nih.gov/nlmcatalog/8506513" TargetMode="External"/><Relationship Id="rId660" Type="http://schemas.openxmlformats.org/officeDocument/2006/relationships/hyperlink" Target="http://www.ncbi.nlm.nih.gov/nlmcatalog/101231512" TargetMode="External"/><Relationship Id="rId106" Type="http://schemas.openxmlformats.org/officeDocument/2006/relationships/hyperlink" Target="http://www.ncbi.nlm.nih.gov/nlmcatalog/9886191" TargetMode="External"/><Relationship Id="rId127" Type="http://schemas.openxmlformats.org/officeDocument/2006/relationships/hyperlink" Target="http://www.ncbi.nlm.nih.gov/nlmcatalog/101238922" TargetMode="External"/><Relationship Id="rId313" Type="http://schemas.openxmlformats.org/officeDocument/2006/relationships/hyperlink" Target="http://www.ncbi.nlm.nih.gov/nlmcatalog/101647039" TargetMode="External"/><Relationship Id="rId495" Type="http://schemas.openxmlformats.org/officeDocument/2006/relationships/hyperlink" Target="http://www.ncbi.nlm.nih.gov/nlmcatalog/101647362" TargetMode="External"/><Relationship Id="rId681" Type="http://schemas.openxmlformats.org/officeDocument/2006/relationships/hyperlink" Target="http://www.ncbi.nlm.nih.gov/nlmcatalog/0425746" TargetMode="External"/><Relationship Id="rId10" Type="http://schemas.openxmlformats.org/officeDocument/2006/relationships/hyperlink" Target="http://www.ncbi.nlm.nih.gov/nlmcatalog/101563288" TargetMode="External"/><Relationship Id="rId31" Type="http://schemas.openxmlformats.org/officeDocument/2006/relationships/hyperlink" Target="http://www.ncbi.nlm.nih.gov/nlmcatalog/101563288" TargetMode="External"/><Relationship Id="rId52" Type="http://schemas.openxmlformats.org/officeDocument/2006/relationships/hyperlink" Target="http://www.ncbi.nlm.nih.gov/nlmcatalog/101235389" TargetMode="External"/><Relationship Id="rId73" Type="http://schemas.openxmlformats.org/officeDocument/2006/relationships/hyperlink" Target="http://www.ncbi.nlm.nih.gov/nlmcatalog/0425746" TargetMode="External"/><Relationship Id="rId94" Type="http://schemas.openxmlformats.org/officeDocument/2006/relationships/hyperlink" Target="http://www.ncbi.nlm.nih.gov/nlmcatalog/101604520" TargetMode="External"/><Relationship Id="rId148" Type="http://schemas.openxmlformats.org/officeDocument/2006/relationships/hyperlink" Target="http://www.ncbi.nlm.nih.gov/nlmcatalog/8310780" TargetMode="External"/><Relationship Id="rId169" Type="http://schemas.openxmlformats.org/officeDocument/2006/relationships/hyperlink" Target="http://www.ncbi.nlm.nih.gov/nlmcatalog/9713490" TargetMode="External"/><Relationship Id="rId334" Type="http://schemas.openxmlformats.org/officeDocument/2006/relationships/hyperlink" Target="http://www.ncbi.nlm.nih.gov/nlmcatalog/9713490" TargetMode="External"/><Relationship Id="rId355" Type="http://schemas.openxmlformats.org/officeDocument/2006/relationships/hyperlink" Target="http://www.ncbi.nlm.nih.gov/nlmcatalog/101634502" TargetMode="External"/><Relationship Id="rId376" Type="http://schemas.openxmlformats.org/officeDocument/2006/relationships/hyperlink" Target="http://www.ncbi.nlm.nih.gov/nlmcatalog/101285081" TargetMode="External"/><Relationship Id="rId397" Type="http://schemas.openxmlformats.org/officeDocument/2006/relationships/hyperlink" Target="http://www.ncbi.nlm.nih.gov/nlmcatalog/101749001" TargetMode="External"/><Relationship Id="rId520" Type="http://schemas.openxmlformats.org/officeDocument/2006/relationships/hyperlink" Target="http://www.ncbi.nlm.nih.gov/nlmcatalog/101285081" TargetMode="External"/><Relationship Id="rId541" Type="http://schemas.openxmlformats.org/officeDocument/2006/relationships/hyperlink" Target="http://www.ncbi.nlm.nih.gov/nlmcatalog/8310780" TargetMode="External"/><Relationship Id="rId562" Type="http://schemas.openxmlformats.org/officeDocument/2006/relationships/hyperlink" Target="http://www.ncbi.nlm.nih.gov/nlmcatalog/100970413" TargetMode="External"/><Relationship Id="rId583" Type="http://schemas.openxmlformats.org/officeDocument/2006/relationships/hyperlink" Target="http://www.ncbi.nlm.nih.gov/nlmcatalog/8912329" TargetMode="External"/><Relationship Id="rId618" Type="http://schemas.openxmlformats.org/officeDocument/2006/relationships/hyperlink" Target="http://www.ncbi.nlm.nih.gov/nlmcatalog/101563288" TargetMode="External"/><Relationship Id="rId639" Type="http://schemas.openxmlformats.org/officeDocument/2006/relationships/hyperlink" Target="http://www.ncbi.nlm.nih.gov/nlmcatalog/0425746" TargetMode="External"/><Relationship Id="rId4" Type="http://schemas.openxmlformats.org/officeDocument/2006/relationships/hyperlink" Target="http://www.ncbi.nlm.nih.gov/nlmcatalog/101643461" TargetMode="External"/><Relationship Id="rId180" Type="http://schemas.openxmlformats.org/officeDocument/2006/relationships/hyperlink" Target="http://www.ncbi.nlm.nih.gov/nlmcatalog/0425746" TargetMode="External"/><Relationship Id="rId215" Type="http://schemas.openxmlformats.org/officeDocument/2006/relationships/hyperlink" Target="http://www.ncbi.nlm.nih.gov/nlmcatalog/8805018" TargetMode="External"/><Relationship Id="rId236" Type="http://schemas.openxmlformats.org/officeDocument/2006/relationships/hyperlink" Target="http://www.ncbi.nlm.nih.gov/nlmcatalog/0250655" TargetMode="External"/><Relationship Id="rId257" Type="http://schemas.openxmlformats.org/officeDocument/2006/relationships/hyperlink" Target="http://www.ncbi.nlm.nih.gov/nlmcatalog/101640903" TargetMode="External"/><Relationship Id="rId278" Type="http://schemas.openxmlformats.org/officeDocument/2006/relationships/hyperlink" Target="http://www.ncbi.nlm.nih.gov/nlmcatalog/9713490" TargetMode="External"/><Relationship Id="rId401" Type="http://schemas.openxmlformats.org/officeDocument/2006/relationships/hyperlink" Target="http://www.ncbi.nlm.nih.gov/nlmcatalog/0401220" TargetMode="External"/><Relationship Id="rId422" Type="http://schemas.openxmlformats.org/officeDocument/2006/relationships/hyperlink" Target="http://www.ncbi.nlm.nih.gov/nlmcatalog/101215604" TargetMode="External"/><Relationship Id="rId443" Type="http://schemas.openxmlformats.org/officeDocument/2006/relationships/hyperlink" Target="http://www.ncbi.nlm.nih.gov/nlmcatalog/0425746" TargetMode="External"/><Relationship Id="rId464" Type="http://schemas.openxmlformats.org/officeDocument/2006/relationships/hyperlink" Target="http://www.ncbi.nlm.nih.gov/nlmcatalog/9105850" TargetMode="External"/><Relationship Id="rId650" Type="http://schemas.openxmlformats.org/officeDocument/2006/relationships/hyperlink" Target="http://www.ncbi.nlm.nih.gov/nlmcatalog/9713490" TargetMode="External"/><Relationship Id="rId303" Type="http://schemas.openxmlformats.org/officeDocument/2006/relationships/hyperlink" Target="http://www.ncbi.nlm.nih.gov/nlmcatalog/101286760" TargetMode="External"/><Relationship Id="rId485" Type="http://schemas.openxmlformats.org/officeDocument/2006/relationships/hyperlink" Target="http://www.ncbi.nlm.nih.gov/nlmcatalog/101243413" TargetMode="External"/><Relationship Id="rId692" Type="http://schemas.openxmlformats.org/officeDocument/2006/relationships/hyperlink" Target="http://www.ncbi.nlm.nih.gov/nlmcatalog/9215515" TargetMode="External"/><Relationship Id="rId42" Type="http://schemas.openxmlformats.org/officeDocument/2006/relationships/hyperlink" Target="http://www.ncbi.nlm.nih.gov/nlmcatalog/0012737" TargetMode="External"/><Relationship Id="rId84" Type="http://schemas.openxmlformats.org/officeDocument/2006/relationships/hyperlink" Target="http://www.ncbi.nlm.nih.gov/nlmcatalog/7806056" TargetMode="External"/><Relationship Id="rId138" Type="http://schemas.openxmlformats.org/officeDocument/2006/relationships/hyperlink" Target="http://www.ncbi.nlm.nih.gov/nlmcatalog/9100529" TargetMode="External"/><Relationship Id="rId345" Type="http://schemas.openxmlformats.org/officeDocument/2006/relationships/hyperlink" Target="http://www.ncbi.nlm.nih.gov/nlmcatalog/101215604" TargetMode="External"/><Relationship Id="rId387" Type="http://schemas.openxmlformats.org/officeDocument/2006/relationships/hyperlink" Target="http://www.ncbi.nlm.nih.gov/nlmcatalog/0425746" TargetMode="External"/><Relationship Id="rId510" Type="http://schemas.openxmlformats.org/officeDocument/2006/relationships/hyperlink" Target="http://www.ncbi.nlm.nih.gov/nlmcatalog/8310780" TargetMode="External"/><Relationship Id="rId552" Type="http://schemas.openxmlformats.org/officeDocument/2006/relationships/hyperlink" Target="http://www.ncbi.nlm.nih.gov/nlmcatalog/9214582" TargetMode="External"/><Relationship Id="rId594" Type="http://schemas.openxmlformats.org/officeDocument/2006/relationships/hyperlink" Target="http://www.ncbi.nlm.nih.gov/nlmcatalog/101231512" TargetMode="External"/><Relationship Id="rId608" Type="http://schemas.openxmlformats.org/officeDocument/2006/relationships/hyperlink" Target="http://www.ncbi.nlm.nih.gov/nlmcatalog/101499225" TargetMode="External"/><Relationship Id="rId191" Type="http://schemas.openxmlformats.org/officeDocument/2006/relationships/hyperlink" Target="http://www.ncbi.nlm.nih.gov/nlmcatalog/101477957" TargetMode="External"/><Relationship Id="rId205" Type="http://schemas.openxmlformats.org/officeDocument/2006/relationships/hyperlink" Target="http://www.ncbi.nlm.nih.gov/nlmcatalog/8805018" TargetMode="External"/><Relationship Id="rId247" Type="http://schemas.openxmlformats.org/officeDocument/2006/relationships/hyperlink" Target="http://www.ncbi.nlm.nih.gov/nlmcatalog/9114774" TargetMode="External"/><Relationship Id="rId412" Type="http://schemas.openxmlformats.org/officeDocument/2006/relationships/hyperlink" Target="http://www.ncbi.nlm.nih.gov/nlmcatalog/8806104" TargetMode="External"/><Relationship Id="rId107" Type="http://schemas.openxmlformats.org/officeDocument/2006/relationships/hyperlink" Target="http://www.ncbi.nlm.nih.gov/nlmcatalog/101249582" TargetMode="External"/><Relationship Id="rId289" Type="http://schemas.openxmlformats.org/officeDocument/2006/relationships/hyperlink" Target="http://www.ncbi.nlm.nih.gov/nlmcatalog/9100529" TargetMode="External"/><Relationship Id="rId454" Type="http://schemas.openxmlformats.org/officeDocument/2006/relationships/hyperlink" Target="http://www.ncbi.nlm.nih.gov/nlmcatalog/0425746" TargetMode="External"/><Relationship Id="rId496" Type="http://schemas.openxmlformats.org/officeDocument/2006/relationships/hyperlink" Target="http://www.ncbi.nlm.nih.gov/nlmcatalog/101563288" TargetMode="External"/><Relationship Id="rId661" Type="http://schemas.openxmlformats.org/officeDocument/2006/relationships/hyperlink" Target="http://www.ncbi.nlm.nih.gov/nlmcatalog/0401260" TargetMode="External"/><Relationship Id="rId11" Type="http://schemas.openxmlformats.org/officeDocument/2006/relationships/hyperlink" Target="http://www.ncbi.nlm.nih.gov/nlmcatalog/7905558" TargetMode="External"/><Relationship Id="rId53" Type="http://schemas.openxmlformats.org/officeDocument/2006/relationships/hyperlink" Target="http://www.ncbi.nlm.nih.gov/nlmcatalog/101243413" TargetMode="External"/><Relationship Id="rId149" Type="http://schemas.openxmlformats.org/officeDocument/2006/relationships/hyperlink" Target="http://www.ncbi.nlm.nih.gov/nlmcatalog/9885960" TargetMode="External"/><Relationship Id="rId314" Type="http://schemas.openxmlformats.org/officeDocument/2006/relationships/hyperlink" Target="http://www.ncbi.nlm.nih.gov/nlmcatalog/101540630" TargetMode="External"/><Relationship Id="rId356" Type="http://schemas.openxmlformats.org/officeDocument/2006/relationships/hyperlink" Target="http://www.ncbi.nlm.nih.gov/nlmcatalog/9502500" TargetMode="External"/><Relationship Id="rId398" Type="http://schemas.openxmlformats.org/officeDocument/2006/relationships/hyperlink" Target="http://www.ncbi.nlm.nih.gov/nlmcatalog/101499225" TargetMode="External"/><Relationship Id="rId521" Type="http://schemas.openxmlformats.org/officeDocument/2006/relationships/hyperlink" Target="http://www.ncbi.nlm.nih.gov/nlmcatalog/9215515" TargetMode="External"/><Relationship Id="rId563" Type="http://schemas.openxmlformats.org/officeDocument/2006/relationships/hyperlink" Target="http://www.ncbi.nlm.nih.gov/nlmcatalog/0425746" TargetMode="External"/><Relationship Id="rId619" Type="http://schemas.openxmlformats.org/officeDocument/2006/relationships/hyperlink" Target="http://www.ncbi.nlm.nih.gov/nlmcatalog/101204366" TargetMode="External"/><Relationship Id="rId95" Type="http://schemas.openxmlformats.org/officeDocument/2006/relationships/hyperlink" Target="http://www.ncbi.nlm.nih.gov/nlmcatalog/0045377" TargetMode="External"/><Relationship Id="rId160" Type="http://schemas.openxmlformats.org/officeDocument/2006/relationships/hyperlink" Target="http://www.ncbi.nlm.nih.gov/nlmcatalog/8310780" TargetMode="External"/><Relationship Id="rId216" Type="http://schemas.openxmlformats.org/officeDocument/2006/relationships/hyperlink" Target="http://www.ncbi.nlm.nih.gov/nlmcatalog/101235694" TargetMode="External"/><Relationship Id="rId423" Type="http://schemas.openxmlformats.org/officeDocument/2006/relationships/hyperlink" Target="http://www.ncbi.nlm.nih.gov/nlmcatalog/101478481" TargetMode="External"/><Relationship Id="rId258" Type="http://schemas.openxmlformats.org/officeDocument/2006/relationships/hyperlink" Target="http://www.ncbi.nlm.nih.gov/nlmcatalog/101286760" TargetMode="External"/><Relationship Id="rId465" Type="http://schemas.openxmlformats.org/officeDocument/2006/relationships/hyperlink" Target="http://www.ncbi.nlm.nih.gov/nlmcatalog/8506513" TargetMode="External"/><Relationship Id="rId630" Type="http://schemas.openxmlformats.org/officeDocument/2006/relationships/hyperlink" Target="http://www.ncbi.nlm.nih.gov/nlmcatalog/0373125" TargetMode="External"/><Relationship Id="rId672" Type="http://schemas.openxmlformats.org/officeDocument/2006/relationships/hyperlink" Target="http://www.ncbi.nlm.nih.gov/nlmcatalog/9605853" TargetMode="External"/><Relationship Id="rId22" Type="http://schemas.openxmlformats.org/officeDocument/2006/relationships/hyperlink" Target="http://www.ncbi.nlm.nih.gov/nlmcatalog/8310780" TargetMode="External"/><Relationship Id="rId64" Type="http://schemas.openxmlformats.org/officeDocument/2006/relationships/hyperlink" Target="http://www.ncbi.nlm.nih.gov/nlmcatalog/101249582" TargetMode="External"/><Relationship Id="rId118" Type="http://schemas.openxmlformats.org/officeDocument/2006/relationships/hyperlink" Target="http://www.ncbi.nlm.nih.gov/nlmcatalog/0012737" TargetMode="External"/><Relationship Id="rId325" Type="http://schemas.openxmlformats.org/officeDocument/2006/relationships/hyperlink" Target="http://www.ncbi.nlm.nih.gov/nlmcatalog/8106411" TargetMode="External"/><Relationship Id="rId367" Type="http://schemas.openxmlformats.org/officeDocument/2006/relationships/hyperlink" Target="http://www.ncbi.nlm.nih.gov/nlmcatalog/101140941" TargetMode="External"/><Relationship Id="rId532" Type="http://schemas.openxmlformats.org/officeDocument/2006/relationships/hyperlink" Target="http://www.ncbi.nlm.nih.gov/nlmcatalog/9100529" TargetMode="External"/><Relationship Id="rId574" Type="http://schemas.openxmlformats.org/officeDocument/2006/relationships/hyperlink" Target="http://www.ncbi.nlm.nih.gov/nlmcatalog/7806056" TargetMode="External"/><Relationship Id="rId171" Type="http://schemas.openxmlformats.org/officeDocument/2006/relationships/hyperlink" Target="http://www.ncbi.nlm.nih.gov/nlmcatalog/0425746" TargetMode="External"/><Relationship Id="rId227" Type="http://schemas.openxmlformats.org/officeDocument/2006/relationships/hyperlink" Target="http://www.ncbi.nlm.nih.gov/nlmcatalog/101604520" TargetMode="External"/><Relationship Id="rId269" Type="http://schemas.openxmlformats.org/officeDocument/2006/relationships/hyperlink" Target="http://www.ncbi.nlm.nih.gov/nlmcatalog/9100529" TargetMode="External"/><Relationship Id="rId434" Type="http://schemas.openxmlformats.org/officeDocument/2006/relationships/hyperlink" Target="http://www.ncbi.nlm.nih.gov/nlmcatalog/101600173" TargetMode="External"/><Relationship Id="rId476" Type="http://schemas.openxmlformats.org/officeDocument/2006/relationships/hyperlink" Target="http://www.ncbi.nlm.nih.gov/nlmcatalog/9100529" TargetMode="External"/><Relationship Id="rId641" Type="http://schemas.openxmlformats.org/officeDocument/2006/relationships/hyperlink" Target="http://www.ncbi.nlm.nih.gov/nlmcatalog/101647039" TargetMode="External"/><Relationship Id="rId683" Type="http://schemas.openxmlformats.org/officeDocument/2006/relationships/hyperlink" Target="http://www.ncbi.nlm.nih.gov/nlmcatalog/8806104" TargetMode="External"/><Relationship Id="rId33" Type="http://schemas.openxmlformats.org/officeDocument/2006/relationships/hyperlink" Target="http://www.ncbi.nlm.nih.gov/nlmcatalog/101249582" TargetMode="External"/><Relationship Id="rId129" Type="http://schemas.openxmlformats.org/officeDocument/2006/relationships/hyperlink" Target="http://www.ncbi.nlm.nih.gov/nlmcatalog/8710358" TargetMode="External"/><Relationship Id="rId280" Type="http://schemas.openxmlformats.org/officeDocument/2006/relationships/hyperlink" Target="http://www.ncbi.nlm.nih.gov/nlmcatalog/101658402" TargetMode="External"/><Relationship Id="rId336" Type="http://schemas.openxmlformats.org/officeDocument/2006/relationships/hyperlink" Target="http://www.ncbi.nlm.nih.gov/nlmcatalog/100964009" TargetMode="External"/><Relationship Id="rId501" Type="http://schemas.openxmlformats.org/officeDocument/2006/relationships/hyperlink" Target="http://www.ncbi.nlm.nih.gov/nlmcatalog/8506513" TargetMode="External"/><Relationship Id="rId543" Type="http://schemas.openxmlformats.org/officeDocument/2006/relationships/hyperlink" Target="http://www.ncbi.nlm.nih.gov/nlmcatalog/8505245" TargetMode="External"/><Relationship Id="rId75" Type="http://schemas.openxmlformats.org/officeDocument/2006/relationships/hyperlink" Target="http://www.ncbi.nlm.nih.gov/nlmcatalog/0012737" TargetMode="External"/><Relationship Id="rId140" Type="http://schemas.openxmlformats.org/officeDocument/2006/relationships/hyperlink" Target="http://www.ncbi.nlm.nih.gov/nlmcatalog/8310780" TargetMode="External"/><Relationship Id="rId182" Type="http://schemas.openxmlformats.org/officeDocument/2006/relationships/hyperlink" Target="http://www.ncbi.nlm.nih.gov/nlmcatalog/0373125" TargetMode="External"/><Relationship Id="rId378" Type="http://schemas.openxmlformats.org/officeDocument/2006/relationships/hyperlink" Target="http://www.ncbi.nlm.nih.gov/nlmcatalog/101748394" TargetMode="External"/><Relationship Id="rId403" Type="http://schemas.openxmlformats.org/officeDocument/2006/relationships/hyperlink" Target="http://www.ncbi.nlm.nih.gov/nlmcatalog/0425746" TargetMode="External"/><Relationship Id="rId585" Type="http://schemas.openxmlformats.org/officeDocument/2006/relationships/hyperlink" Target="http://www.ncbi.nlm.nih.gov/nlmcatalog/1250250" TargetMode="External"/><Relationship Id="rId6" Type="http://schemas.openxmlformats.org/officeDocument/2006/relationships/hyperlink" Target="http://www.ncbi.nlm.nih.gov/nlmcatalog/101563288" TargetMode="External"/><Relationship Id="rId238" Type="http://schemas.openxmlformats.org/officeDocument/2006/relationships/hyperlink" Target="http://www.ncbi.nlm.nih.gov/nlmcatalog/101249582" TargetMode="External"/><Relationship Id="rId445" Type="http://schemas.openxmlformats.org/officeDocument/2006/relationships/hyperlink" Target="http://www.ncbi.nlm.nih.gov/nlmcatalog/101576782" TargetMode="External"/><Relationship Id="rId487" Type="http://schemas.openxmlformats.org/officeDocument/2006/relationships/hyperlink" Target="http://www.ncbi.nlm.nih.gov/nlmcatalog/101285081" TargetMode="External"/><Relationship Id="rId610" Type="http://schemas.openxmlformats.org/officeDocument/2006/relationships/hyperlink" Target="http://www.ncbi.nlm.nih.gov/nlmcatalog/8505245" TargetMode="External"/><Relationship Id="rId652" Type="http://schemas.openxmlformats.org/officeDocument/2006/relationships/hyperlink" Target="http://www.ncbi.nlm.nih.gov/nlmcatalog/101499225" TargetMode="External"/><Relationship Id="rId694" Type="http://schemas.openxmlformats.org/officeDocument/2006/relationships/hyperlink" Target="http://www.ncbi.nlm.nih.gov/nlmcatalog/8004872" TargetMode="External"/><Relationship Id="rId291" Type="http://schemas.openxmlformats.org/officeDocument/2006/relationships/hyperlink" Target="http://www.ncbi.nlm.nih.gov/nlmcatalog/9891704" TargetMode="External"/><Relationship Id="rId305" Type="http://schemas.openxmlformats.org/officeDocument/2006/relationships/hyperlink" Target="http://www.ncbi.nlm.nih.gov/nlmcatalog/101243413" TargetMode="External"/><Relationship Id="rId347" Type="http://schemas.openxmlformats.org/officeDocument/2006/relationships/hyperlink" Target="http://www.ncbi.nlm.nih.gov/nlmcatalog/101231360" TargetMode="External"/><Relationship Id="rId512" Type="http://schemas.openxmlformats.org/officeDocument/2006/relationships/hyperlink" Target="http://www.ncbi.nlm.nih.gov/nlmcatalog/0413066" TargetMode="External"/><Relationship Id="rId44" Type="http://schemas.openxmlformats.org/officeDocument/2006/relationships/hyperlink" Target="http://www.ncbi.nlm.nih.gov/nlmcatalog/1250250" TargetMode="External"/><Relationship Id="rId86" Type="http://schemas.openxmlformats.org/officeDocument/2006/relationships/hyperlink" Target="http://www.ncbi.nlm.nih.gov/nlmcatalog/101566598" TargetMode="External"/><Relationship Id="rId151" Type="http://schemas.openxmlformats.org/officeDocument/2006/relationships/hyperlink" Target="http://www.ncbi.nlm.nih.gov/nlmcatalog/9011206" TargetMode="External"/><Relationship Id="rId389" Type="http://schemas.openxmlformats.org/officeDocument/2006/relationships/hyperlink" Target="http://www.ncbi.nlm.nih.gov/nlmcatalog/101499225" TargetMode="External"/><Relationship Id="rId554" Type="http://schemas.openxmlformats.org/officeDocument/2006/relationships/hyperlink" Target="http://www.ncbi.nlm.nih.gov/nlmcatalog/9713490" TargetMode="External"/><Relationship Id="rId596" Type="http://schemas.openxmlformats.org/officeDocument/2006/relationships/hyperlink" Target="http://www.ncbi.nlm.nih.gov/nlmcatalog/9011206" TargetMode="External"/><Relationship Id="rId193" Type="http://schemas.openxmlformats.org/officeDocument/2006/relationships/hyperlink" Target="http://www.ncbi.nlm.nih.gov/nlmcatalog/0425746" TargetMode="External"/><Relationship Id="rId207" Type="http://schemas.openxmlformats.org/officeDocument/2006/relationships/hyperlink" Target="http://www.ncbi.nlm.nih.gov/nlmcatalog/9713490" TargetMode="External"/><Relationship Id="rId249" Type="http://schemas.openxmlformats.org/officeDocument/2006/relationships/hyperlink" Target="http://www.ncbi.nlm.nih.gov/nlmcatalog/101524122" TargetMode="External"/><Relationship Id="rId414" Type="http://schemas.openxmlformats.org/officeDocument/2006/relationships/hyperlink" Target="http://www.ncbi.nlm.nih.gov/nlmcatalog/101231360" TargetMode="External"/><Relationship Id="rId456" Type="http://schemas.openxmlformats.org/officeDocument/2006/relationships/hyperlink" Target="http://www.ncbi.nlm.nih.gov/nlmcatalog/9713490" TargetMode="External"/><Relationship Id="rId498" Type="http://schemas.openxmlformats.org/officeDocument/2006/relationships/hyperlink" Target="http://www.ncbi.nlm.nih.gov/nlmcatalog/9114774" TargetMode="External"/><Relationship Id="rId621" Type="http://schemas.openxmlformats.org/officeDocument/2006/relationships/hyperlink" Target="http://www.ncbi.nlm.nih.gov/nlmcatalog/101604520" TargetMode="External"/><Relationship Id="rId663" Type="http://schemas.openxmlformats.org/officeDocument/2006/relationships/hyperlink" Target="http://www.ncbi.nlm.nih.gov/nlmcatalog/8506513" TargetMode="External"/><Relationship Id="rId13" Type="http://schemas.openxmlformats.org/officeDocument/2006/relationships/hyperlink" Target="http://www.ncbi.nlm.nih.gov/nlmcatalog/8506513" TargetMode="External"/><Relationship Id="rId109" Type="http://schemas.openxmlformats.org/officeDocument/2006/relationships/hyperlink" Target="http://www.ncbi.nlm.nih.gov/nlmcatalog/9713490" TargetMode="External"/><Relationship Id="rId260" Type="http://schemas.openxmlformats.org/officeDocument/2006/relationships/hyperlink" Target="http://www.ncbi.nlm.nih.gov/nlmcatalog/9100529" TargetMode="External"/><Relationship Id="rId316" Type="http://schemas.openxmlformats.org/officeDocument/2006/relationships/hyperlink" Target="http://www.ncbi.nlm.nih.gov/nlmcatalog/8214883" TargetMode="External"/><Relationship Id="rId523" Type="http://schemas.openxmlformats.org/officeDocument/2006/relationships/hyperlink" Target="http://www.ncbi.nlm.nih.gov/nlmcatalog/101285081" TargetMode="External"/><Relationship Id="rId55" Type="http://schemas.openxmlformats.org/officeDocument/2006/relationships/hyperlink" Target="http://www.ncbi.nlm.nih.gov/nlmcatalog/101243413" TargetMode="External"/><Relationship Id="rId97" Type="http://schemas.openxmlformats.org/officeDocument/2006/relationships/hyperlink" Target="http://www.ncbi.nlm.nih.gov/nlmcatalog/8102140" TargetMode="External"/><Relationship Id="rId120" Type="http://schemas.openxmlformats.org/officeDocument/2006/relationships/hyperlink" Target="http://www.ncbi.nlm.nih.gov/nlmcatalog/101249582" TargetMode="External"/><Relationship Id="rId358" Type="http://schemas.openxmlformats.org/officeDocument/2006/relationships/hyperlink" Target="http://www.ncbi.nlm.nih.gov/nlmcatalog/101147518" TargetMode="External"/><Relationship Id="rId565" Type="http://schemas.openxmlformats.org/officeDocument/2006/relationships/hyperlink" Target="http://www.ncbi.nlm.nih.gov/nlmcatalog/101563288" TargetMode="External"/><Relationship Id="rId162" Type="http://schemas.openxmlformats.org/officeDocument/2006/relationships/hyperlink" Target="http://www.ncbi.nlm.nih.gov/nlmcatalog/101604520" TargetMode="External"/><Relationship Id="rId218" Type="http://schemas.openxmlformats.org/officeDocument/2006/relationships/hyperlink" Target="http://www.ncbi.nlm.nih.gov/nlmcatalog/7703701" TargetMode="External"/><Relationship Id="rId425" Type="http://schemas.openxmlformats.org/officeDocument/2006/relationships/hyperlink" Target="http://www.ncbi.nlm.nih.gov/nlmcatalog/0374630" TargetMode="External"/><Relationship Id="rId467" Type="http://schemas.openxmlformats.org/officeDocument/2006/relationships/hyperlink" Target="http://www.ncbi.nlm.nih.gov/nlmcatalog/101142069" TargetMode="External"/><Relationship Id="rId632" Type="http://schemas.openxmlformats.org/officeDocument/2006/relationships/hyperlink" Target="http://www.ncbi.nlm.nih.gov/nlmcatalog/101467995" TargetMode="External"/><Relationship Id="rId271" Type="http://schemas.openxmlformats.org/officeDocument/2006/relationships/hyperlink" Target="http://www.ncbi.nlm.nih.gov/nlmcatalog/101647039" TargetMode="External"/><Relationship Id="rId674" Type="http://schemas.openxmlformats.org/officeDocument/2006/relationships/hyperlink" Target="http://www.ncbi.nlm.nih.gov/nlmcatalog/101597070" TargetMode="External"/><Relationship Id="rId24" Type="http://schemas.openxmlformats.org/officeDocument/2006/relationships/hyperlink" Target="http://www.ncbi.nlm.nih.gov/nlmcatalog/9215515" TargetMode="External"/><Relationship Id="rId66" Type="http://schemas.openxmlformats.org/officeDocument/2006/relationships/hyperlink" Target="http://www.ncbi.nlm.nih.gov/nlmcatalog/9216871" TargetMode="External"/><Relationship Id="rId131" Type="http://schemas.openxmlformats.org/officeDocument/2006/relationships/hyperlink" Target="http://www.ncbi.nlm.nih.gov/nlmcatalog/0425746" TargetMode="External"/><Relationship Id="rId327" Type="http://schemas.openxmlformats.org/officeDocument/2006/relationships/hyperlink" Target="http://www.ncbi.nlm.nih.gov/nlmcatalog/8805018" TargetMode="External"/><Relationship Id="rId369" Type="http://schemas.openxmlformats.org/officeDocument/2006/relationships/hyperlink" Target="http://www.ncbi.nlm.nih.gov/nlmcatalog/8505245" TargetMode="External"/><Relationship Id="rId534" Type="http://schemas.openxmlformats.org/officeDocument/2006/relationships/hyperlink" Target="http://www.ncbi.nlm.nih.gov/nlmcatalog/101217933" TargetMode="External"/><Relationship Id="rId576" Type="http://schemas.openxmlformats.org/officeDocument/2006/relationships/hyperlink" Target="http://www.ncbi.nlm.nih.gov/nlmcatalog/100927353" TargetMode="External"/><Relationship Id="rId173" Type="http://schemas.openxmlformats.org/officeDocument/2006/relationships/hyperlink" Target="http://www.ncbi.nlm.nih.gov/nlmcatalog/8310780" TargetMode="External"/><Relationship Id="rId229" Type="http://schemas.openxmlformats.org/officeDocument/2006/relationships/hyperlink" Target="http://www.ncbi.nlm.nih.gov/nlmcatalog/101130625" TargetMode="External"/><Relationship Id="rId380" Type="http://schemas.openxmlformats.org/officeDocument/2006/relationships/hyperlink" Target="http://www.ncbi.nlm.nih.gov/nlmcatalog/8506513" TargetMode="External"/><Relationship Id="rId436" Type="http://schemas.openxmlformats.org/officeDocument/2006/relationships/hyperlink" Target="http://www.ncbi.nlm.nih.gov/nlmcatalog/0373125" TargetMode="External"/><Relationship Id="rId601" Type="http://schemas.openxmlformats.org/officeDocument/2006/relationships/hyperlink" Target="http://www.ncbi.nlm.nih.gov/nlmcatalog/101563288" TargetMode="External"/><Relationship Id="rId643" Type="http://schemas.openxmlformats.org/officeDocument/2006/relationships/hyperlink" Target="http://www.ncbi.nlm.nih.gov/nlmcatalog/9713490" TargetMode="External"/><Relationship Id="rId240" Type="http://schemas.openxmlformats.org/officeDocument/2006/relationships/hyperlink" Target="http://www.ncbi.nlm.nih.gov/nlmcatalog/101231360" TargetMode="External"/><Relationship Id="rId478" Type="http://schemas.openxmlformats.org/officeDocument/2006/relationships/hyperlink" Target="http://www.ncbi.nlm.nih.gov/nlmcatalog/101243413" TargetMode="External"/><Relationship Id="rId685" Type="http://schemas.openxmlformats.org/officeDocument/2006/relationships/hyperlink" Target="http://www.ncbi.nlm.nih.gov/nlmcatalog/101563288" TargetMode="External"/><Relationship Id="rId35" Type="http://schemas.openxmlformats.org/officeDocument/2006/relationships/hyperlink" Target="http://www.ncbi.nlm.nih.gov/nlmcatalog/101499225" TargetMode="External"/><Relationship Id="rId77" Type="http://schemas.openxmlformats.org/officeDocument/2006/relationships/hyperlink" Target="http://www.ncbi.nlm.nih.gov/nlmcatalog/9215515" TargetMode="External"/><Relationship Id="rId100" Type="http://schemas.openxmlformats.org/officeDocument/2006/relationships/hyperlink" Target="http://www.ncbi.nlm.nih.gov/nlmcatalog/0425746" TargetMode="External"/><Relationship Id="rId282" Type="http://schemas.openxmlformats.org/officeDocument/2006/relationships/hyperlink" Target="http://www.ncbi.nlm.nih.gov/nlmcatalog/9713490" TargetMode="External"/><Relationship Id="rId338" Type="http://schemas.openxmlformats.org/officeDocument/2006/relationships/hyperlink" Target="http://www.ncbi.nlm.nih.gov/nlmcatalog/8310780" TargetMode="External"/><Relationship Id="rId503" Type="http://schemas.openxmlformats.org/officeDocument/2006/relationships/hyperlink" Target="http://www.ncbi.nlm.nih.gov/nlmcatalog/8915031" TargetMode="External"/><Relationship Id="rId545" Type="http://schemas.openxmlformats.org/officeDocument/2006/relationships/hyperlink" Target="http://www.ncbi.nlm.nih.gov/nlmcatalog/9419065" TargetMode="External"/><Relationship Id="rId587" Type="http://schemas.openxmlformats.org/officeDocument/2006/relationships/hyperlink" Target="http://www.ncbi.nlm.nih.gov/nlmcatalog/8506513" TargetMode="External"/><Relationship Id="rId8" Type="http://schemas.openxmlformats.org/officeDocument/2006/relationships/hyperlink" Target="http://www.ncbi.nlm.nih.gov/nlmcatalog/0425746" TargetMode="External"/><Relationship Id="rId142" Type="http://schemas.openxmlformats.org/officeDocument/2006/relationships/hyperlink" Target="http://www.ncbi.nlm.nih.gov/nlmcatalog/101499225" TargetMode="External"/><Relationship Id="rId184" Type="http://schemas.openxmlformats.org/officeDocument/2006/relationships/hyperlink" Target="http://www.ncbi.nlm.nih.gov/nlmcatalog/9215515" TargetMode="External"/><Relationship Id="rId391" Type="http://schemas.openxmlformats.org/officeDocument/2006/relationships/hyperlink" Target="http://www.ncbi.nlm.nih.gov/nlmcatalog/0214745" TargetMode="External"/><Relationship Id="rId405" Type="http://schemas.openxmlformats.org/officeDocument/2006/relationships/hyperlink" Target="http://www.ncbi.nlm.nih.gov/nlmcatalog/101172931" TargetMode="External"/><Relationship Id="rId447" Type="http://schemas.openxmlformats.org/officeDocument/2006/relationships/hyperlink" Target="http://www.ncbi.nlm.nih.gov/nlmcatalog/101499225" TargetMode="External"/><Relationship Id="rId612" Type="http://schemas.openxmlformats.org/officeDocument/2006/relationships/hyperlink" Target="http://www.ncbi.nlm.nih.gov/nlmcatalog/101676073" TargetMode="External"/><Relationship Id="rId251" Type="http://schemas.openxmlformats.org/officeDocument/2006/relationships/hyperlink" Target="http://www.ncbi.nlm.nih.gov/nlmcatalog/0425746" TargetMode="External"/><Relationship Id="rId489" Type="http://schemas.openxmlformats.org/officeDocument/2006/relationships/hyperlink" Target="http://www.ncbi.nlm.nih.gov/nlmcatalog/101233144" TargetMode="External"/><Relationship Id="rId654" Type="http://schemas.openxmlformats.org/officeDocument/2006/relationships/hyperlink" Target="http://www.ncbi.nlm.nih.gov/nlmcatalog/9713490" TargetMode="External"/><Relationship Id="rId696" Type="http://schemas.openxmlformats.org/officeDocument/2006/relationships/printerSettings" Target="../printerSettings/printerSettings3.bin"/><Relationship Id="rId46" Type="http://schemas.openxmlformats.org/officeDocument/2006/relationships/hyperlink" Target="http://www.ncbi.nlm.nih.gov/nlmcatalog/101243413" TargetMode="External"/><Relationship Id="rId293" Type="http://schemas.openxmlformats.org/officeDocument/2006/relationships/hyperlink" Target="http://www.ncbi.nlm.nih.gov/nlmcatalog/101285081" TargetMode="External"/><Relationship Id="rId307" Type="http://schemas.openxmlformats.org/officeDocument/2006/relationships/hyperlink" Target="http://www.ncbi.nlm.nih.gov/nlmcatalog/0050452" TargetMode="External"/><Relationship Id="rId349" Type="http://schemas.openxmlformats.org/officeDocument/2006/relationships/hyperlink" Target="http://www.ncbi.nlm.nih.gov/nlmcatalog/101249582" TargetMode="External"/><Relationship Id="rId514" Type="http://schemas.openxmlformats.org/officeDocument/2006/relationships/hyperlink" Target="http://www.ncbi.nlm.nih.gov/nlmcatalog/101563288" TargetMode="External"/><Relationship Id="rId556" Type="http://schemas.openxmlformats.org/officeDocument/2006/relationships/hyperlink" Target="http://www.ncbi.nlm.nih.gov/nlmcatalog/101285081" TargetMode="External"/><Relationship Id="rId88" Type="http://schemas.openxmlformats.org/officeDocument/2006/relationships/hyperlink" Target="http://www.ncbi.nlm.nih.gov/nlmcatalog/8310780" TargetMode="External"/><Relationship Id="rId111" Type="http://schemas.openxmlformats.org/officeDocument/2006/relationships/hyperlink" Target="http://www.ncbi.nlm.nih.gov/nlmcatalog/9301980" TargetMode="External"/><Relationship Id="rId153" Type="http://schemas.openxmlformats.org/officeDocument/2006/relationships/hyperlink" Target="http://www.ncbi.nlm.nih.gov/nlmcatalog/0401220" TargetMode="External"/><Relationship Id="rId195" Type="http://schemas.openxmlformats.org/officeDocument/2006/relationships/hyperlink" Target="http://www.ncbi.nlm.nih.gov/nlmcatalog/101238922" TargetMode="External"/><Relationship Id="rId209" Type="http://schemas.openxmlformats.org/officeDocument/2006/relationships/hyperlink" Target="http://www.ncbi.nlm.nih.gov/nlmcatalog/101285081" TargetMode="External"/><Relationship Id="rId360" Type="http://schemas.openxmlformats.org/officeDocument/2006/relationships/hyperlink" Target="http://www.ncbi.nlm.nih.gov/nlmcatalog/8506513" TargetMode="External"/><Relationship Id="rId416" Type="http://schemas.openxmlformats.org/officeDocument/2006/relationships/hyperlink" Target="http://www.ncbi.nlm.nih.gov/nlmcatalog/101568499" TargetMode="External"/><Relationship Id="rId598" Type="http://schemas.openxmlformats.org/officeDocument/2006/relationships/hyperlink" Target="http://www.ncbi.nlm.nih.gov/nlmcatalog/7703701" TargetMode="External"/><Relationship Id="rId220" Type="http://schemas.openxmlformats.org/officeDocument/2006/relationships/hyperlink" Target="http://www.ncbi.nlm.nih.gov/nlmcatalog/101540630" TargetMode="External"/><Relationship Id="rId458" Type="http://schemas.openxmlformats.org/officeDocument/2006/relationships/hyperlink" Target="http://www.ncbi.nlm.nih.gov/nlmcatalog/101563288" TargetMode="External"/><Relationship Id="rId623" Type="http://schemas.openxmlformats.org/officeDocument/2006/relationships/hyperlink" Target="http://www.ncbi.nlm.nih.gov/nlmcatalog/9215515" TargetMode="External"/><Relationship Id="rId665" Type="http://schemas.openxmlformats.org/officeDocument/2006/relationships/hyperlink" Target="http://www.ncbi.nlm.nih.gov/nlmcatalog/8806104" TargetMode="External"/><Relationship Id="rId15" Type="http://schemas.openxmlformats.org/officeDocument/2006/relationships/hyperlink" Target="http://www.ncbi.nlm.nih.gov/nlmcatalog/9713490" TargetMode="External"/><Relationship Id="rId57" Type="http://schemas.openxmlformats.org/officeDocument/2006/relationships/hyperlink" Target="http://www.ncbi.nlm.nih.gov/nlmcatalog/9808944" TargetMode="External"/><Relationship Id="rId262" Type="http://schemas.openxmlformats.org/officeDocument/2006/relationships/hyperlink" Target="http://www.ncbi.nlm.nih.gov/nlmcatalog/101243413" TargetMode="External"/><Relationship Id="rId318" Type="http://schemas.openxmlformats.org/officeDocument/2006/relationships/hyperlink" Target="http://www.ncbi.nlm.nih.gov/nlmcatalog/101499225" TargetMode="External"/><Relationship Id="rId525" Type="http://schemas.openxmlformats.org/officeDocument/2006/relationships/hyperlink" Target="http://www.ncbi.nlm.nih.gov/nlmcatalog/9430468" TargetMode="External"/><Relationship Id="rId567" Type="http://schemas.openxmlformats.org/officeDocument/2006/relationships/hyperlink" Target="http://www.ncbi.nlm.nih.gov/nlmcatalog/8505245" TargetMode="External"/><Relationship Id="rId99" Type="http://schemas.openxmlformats.org/officeDocument/2006/relationships/hyperlink" Target="http://www.ncbi.nlm.nih.gov/nlmcatalog/0410462" TargetMode="External"/><Relationship Id="rId122" Type="http://schemas.openxmlformats.org/officeDocument/2006/relationships/hyperlink" Target="http://www.ncbi.nlm.nih.gov/nlmcatalog/8310780" TargetMode="External"/><Relationship Id="rId164" Type="http://schemas.openxmlformats.org/officeDocument/2006/relationships/hyperlink" Target="http://www.ncbi.nlm.nih.gov/nlmcatalog/9800943" TargetMode="External"/><Relationship Id="rId371" Type="http://schemas.openxmlformats.org/officeDocument/2006/relationships/hyperlink" Target="http://www.ncbi.nlm.nih.gov/nlmcatalog/8214883" TargetMode="External"/><Relationship Id="rId427" Type="http://schemas.openxmlformats.org/officeDocument/2006/relationships/hyperlink" Target="http://www.ncbi.nlm.nih.gov/nlmcatalog/9215515" TargetMode="External"/><Relationship Id="rId469" Type="http://schemas.openxmlformats.org/officeDocument/2006/relationships/hyperlink" Target="http://www.ncbi.nlm.nih.gov/nlmcatalog/8506513" TargetMode="External"/><Relationship Id="rId634" Type="http://schemas.openxmlformats.org/officeDocument/2006/relationships/hyperlink" Target="http://www.ncbi.nlm.nih.gov/nlmcatalog/9419065" TargetMode="External"/><Relationship Id="rId676" Type="http://schemas.openxmlformats.org/officeDocument/2006/relationships/hyperlink" Target="http://www.ncbi.nlm.nih.gov/nlmcatalog/101528166" TargetMode="External"/><Relationship Id="rId26" Type="http://schemas.openxmlformats.org/officeDocument/2006/relationships/hyperlink" Target="http://www.ncbi.nlm.nih.gov/nlmcatalog/8806104" TargetMode="External"/><Relationship Id="rId231" Type="http://schemas.openxmlformats.org/officeDocument/2006/relationships/hyperlink" Target="http://www.ncbi.nlm.nih.gov/nlmcatalog/101563288" TargetMode="External"/><Relationship Id="rId273" Type="http://schemas.openxmlformats.org/officeDocument/2006/relationships/hyperlink" Target="http://www.ncbi.nlm.nih.gov/nlmcatalog/7806056" TargetMode="External"/><Relationship Id="rId329" Type="http://schemas.openxmlformats.org/officeDocument/2006/relationships/hyperlink" Target="http://www.ncbi.nlm.nih.gov/nlmcatalog/101204366" TargetMode="External"/><Relationship Id="rId480" Type="http://schemas.openxmlformats.org/officeDocument/2006/relationships/hyperlink" Target="http://www.ncbi.nlm.nih.gov/nlmcatalog/2985108R" TargetMode="External"/><Relationship Id="rId536" Type="http://schemas.openxmlformats.org/officeDocument/2006/relationships/hyperlink" Target="http://www.ncbi.nlm.nih.gov/nlmcatalog/0425746" TargetMode="External"/><Relationship Id="rId68" Type="http://schemas.openxmlformats.org/officeDocument/2006/relationships/hyperlink" Target="http://www.ncbi.nlm.nih.gov/nlmcatalog/101258149" TargetMode="External"/><Relationship Id="rId133" Type="http://schemas.openxmlformats.org/officeDocument/2006/relationships/hyperlink" Target="http://www.ncbi.nlm.nih.gov/nlmcatalog/101235694" TargetMode="External"/><Relationship Id="rId175" Type="http://schemas.openxmlformats.org/officeDocument/2006/relationships/hyperlink" Target="http://www.ncbi.nlm.nih.gov/nlmcatalog/9713490" TargetMode="External"/><Relationship Id="rId340" Type="http://schemas.openxmlformats.org/officeDocument/2006/relationships/hyperlink" Target="http://www.ncbi.nlm.nih.gov/nlmcatalog/101563288" TargetMode="External"/><Relationship Id="rId578" Type="http://schemas.openxmlformats.org/officeDocument/2006/relationships/hyperlink" Target="http://www.ncbi.nlm.nih.gov/nlmcatalog/101563288" TargetMode="External"/><Relationship Id="rId200" Type="http://schemas.openxmlformats.org/officeDocument/2006/relationships/hyperlink" Target="http://www.ncbi.nlm.nih.gov/nlmcatalog/101729235" TargetMode="External"/><Relationship Id="rId382" Type="http://schemas.openxmlformats.org/officeDocument/2006/relationships/hyperlink" Target="http://www.ncbi.nlm.nih.gov/nlmcatalog/101604520" TargetMode="External"/><Relationship Id="rId438" Type="http://schemas.openxmlformats.org/officeDocument/2006/relationships/hyperlink" Target="http://www.ncbi.nlm.nih.gov/nlmcatalog/9310752" TargetMode="External"/><Relationship Id="rId603" Type="http://schemas.openxmlformats.org/officeDocument/2006/relationships/hyperlink" Target="http://www.ncbi.nlm.nih.gov/nlmcatalog/101285081" TargetMode="External"/><Relationship Id="rId645" Type="http://schemas.openxmlformats.org/officeDocument/2006/relationships/hyperlink" Target="http://www.ncbi.nlm.nih.gov/nlmcatalog/8003708" TargetMode="External"/><Relationship Id="rId687" Type="http://schemas.openxmlformats.org/officeDocument/2006/relationships/hyperlink" Target="http://www.ncbi.nlm.nih.gov/nlmcatalog/101243413" TargetMode="External"/><Relationship Id="rId242" Type="http://schemas.openxmlformats.org/officeDocument/2006/relationships/hyperlink" Target="http://www.ncbi.nlm.nih.gov/nlmcatalog/101751302" TargetMode="External"/><Relationship Id="rId284" Type="http://schemas.openxmlformats.org/officeDocument/2006/relationships/hyperlink" Target="http://www.ncbi.nlm.nih.gov/nlmcatalog/100965194" TargetMode="External"/><Relationship Id="rId491" Type="http://schemas.openxmlformats.org/officeDocument/2006/relationships/hyperlink" Target="http://www.ncbi.nlm.nih.gov/nlmcatalog/9300903" TargetMode="External"/><Relationship Id="rId505" Type="http://schemas.openxmlformats.org/officeDocument/2006/relationships/hyperlink" Target="http://www.ncbi.nlm.nih.gov/nlmcatalog/9215515" TargetMode="External"/><Relationship Id="rId37" Type="http://schemas.openxmlformats.org/officeDocument/2006/relationships/hyperlink" Target="http://www.ncbi.nlm.nih.gov/nlmcatalog/8310780" TargetMode="External"/><Relationship Id="rId79" Type="http://schemas.openxmlformats.org/officeDocument/2006/relationships/hyperlink" Target="http://www.ncbi.nlm.nih.gov/nlmcatalog/1250250" TargetMode="External"/><Relationship Id="rId102" Type="http://schemas.openxmlformats.org/officeDocument/2006/relationships/hyperlink" Target="http://www.ncbi.nlm.nih.gov/nlmcatalog/101597070" TargetMode="External"/><Relationship Id="rId144" Type="http://schemas.openxmlformats.org/officeDocument/2006/relationships/hyperlink" Target="http://www.ncbi.nlm.nih.gov/nlmcatalog/8806104" TargetMode="External"/><Relationship Id="rId547" Type="http://schemas.openxmlformats.org/officeDocument/2006/relationships/hyperlink" Target="http://www.ncbi.nlm.nih.gov/nlmcatalog/101639462" TargetMode="External"/><Relationship Id="rId589" Type="http://schemas.openxmlformats.org/officeDocument/2006/relationships/hyperlink" Target="http://www.ncbi.nlm.nih.gov/nlmcatalog/9215515" TargetMode="External"/><Relationship Id="rId90" Type="http://schemas.openxmlformats.org/officeDocument/2006/relationships/hyperlink" Target="http://www.ncbi.nlm.nih.gov/nlmcatalog/1250250" TargetMode="External"/><Relationship Id="rId186" Type="http://schemas.openxmlformats.org/officeDocument/2006/relationships/hyperlink" Target="http://www.ncbi.nlm.nih.gov/nlmcatalog/100891504" TargetMode="External"/><Relationship Id="rId351" Type="http://schemas.openxmlformats.org/officeDocument/2006/relationships/hyperlink" Target="http://www.ncbi.nlm.nih.gov/nlmcatalog/101204366" TargetMode="External"/><Relationship Id="rId393" Type="http://schemas.openxmlformats.org/officeDocument/2006/relationships/hyperlink" Target="http://www.ncbi.nlm.nih.gov/nlmcatalog/8411723" TargetMode="External"/><Relationship Id="rId407" Type="http://schemas.openxmlformats.org/officeDocument/2006/relationships/hyperlink" Target="http://www.ncbi.nlm.nih.gov/nlmcatalog/9713490" TargetMode="External"/><Relationship Id="rId449" Type="http://schemas.openxmlformats.org/officeDocument/2006/relationships/hyperlink" Target="http://www.ncbi.nlm.nih.gov/nlmcatalog/101137103" TargetMode="External"/><Relationship Id="rId614" Type="http://schemas.openxmlformats.org/officeDocument/2006/relationships/hyperlink" Target="http://www.ncbi.nlm.nih.gov/nlmcatalog/101499225" TargetMode="External"/><Relationship Id="rId656" Type="http://schemas.openxmlformats.org/officeDocument/2006/relationships/hyperlink" Target="http://www.ncbi.nlm.nih.gov/nlmcatalog/8506513" TargetMode="External"/><Relationship Id="rId211" Type="http://schemas.openxmlformats.org/officeDocument/2006/relationships/hyperlink" Target="http://www.ncbi.nlm.nih.gov/nlmcatalog/7609576" TargetMode="External"/><Relationship Id="rId253" Type="http://schemas.openxmlformats.org/officeDocument/2006/relationships/hyperlink" Target="http://www.ncbi.nlm.nih.gov/nlmcatalog/9713490" TargetMode="External"/><Relationship Id="rId295" Type="http://schemas.openxmlformats.org/officeDocument/2006/relationships/hyperlink" Target="http://www.ncbi.nlm.nih.gov/nlmcatalog/9100529" TargetMode="External"/><Relationship Id="rId309" Type="http://schemas.openxmlformats.org/officeDocument/2006/relationships/hyperlink" Target="http://www.ncbi.nlm.nih.gov/nlmcatalog/8506513" TargetMode="External"/><Relationship Id="rId460" Type="http://schemas.openxmlformats.org/officeDocument/2006/relationships/hyperlink" Target="http://www.ncbi.nlm.nih.gov/nlmcatalog/101204366" TargetMode="External"/><Relationship Id="rId516" Type="http://schemas.openxmlformats.org/officeDocument/2006/relationships/hyperlink" Target="http://www.ncbi.nlm.nih.gov/nlmcatalog/101563288" TargetMode="External"/><Relationship Id="rId698" Type="http://schemas.openxmlformats.org/officeDocument/2006/relationships/comments" Target="../comments3.xml"/><Relationship Id="rId48" Type="http://schemas.openxmlformats.org/officeDocument/2006/relationships/hyperlink" Target="http://www.ncbi.nlm.nih.gov/nlmcatalog/9215515" TargetMode="External"/><Relationship Id="rId113" Type="http://schemas.openxmlformats.org/officeDocument/2006/relationships/hyperlink" Target="http://www.ncbi.nlm.nih.gov/nlmcatalog/101249582" TargetMode="External"/><Relationship Id="rId320" Type="http://schemas.openxmlformats.org/officeDocument/2006/relationships/hyperlink" Target="http://www.ncbi.nlm.nih.gov/nlmcatalog/101238455" TargetMode="External"/><Relationship Id="rId558" Type="http://schemas.openxmlformats.org/officeDocument/2006/relationships/hyperlink" Target="http://www.ncbi.nlm.nih.gov/nlmcatalog/9215515" TargetMode="External"/><Relationship Id="rId155" Type="http://schemas.openxmlformats.org/officeDocument/2006/relationships/hyperlink" Target="http://www.ncbi.nlm.nih.gov/nlmcatalog/8310780" TargetMode="External"/><Relationship Id="rId197" Type="http://schemas.openxmlformats.org/officeDocument/2006/relationships/hyperlink" Target="http://www.ncbi.nlm.nih.gov/nlmcatalog/9502015" TargetMode="External"/><Relationship Id="rId362" Type="http://schemas.openxmlformats.org/officeDocument/2006/relationships/hyperlink" Target="http://www.ncbi.nlm.nih.gov/nlmcatalog/0425746" TargetMode="External"/><Relationship Id="rId418" Type="http://schemas.openxmlformats.org/officeDocument/2006/relationships/hyperlink" Target="http://www.ncbi.nlm.nih.gov/nlmcatalog/101285081" TargetMode="External"/><Relationship Id="rId625" Type="http://schemas.openxmlformats.org/officeDocument/2006/relationships/hyperlink" Target="http://www.ncbi.nlm.nih.gov/nlmcatalog/9604648" TargetMode="External"/><Relationship Id="rId222" Type="http://schemas.openxmlformats.org/officeDocument/2006/relationships/hyperlink" Target="http://www.ncbi.nlm.nih.gov/nlmcatalog/8806104" TargetMode="External"/><Relationship Id="rId264" Type="http://schemas.openxmlformats.org/officeDocument/2006/relationships/hyperlink" Target="http://www.ncbi.nlm.nih.gov/nlmcatalog/9100529" TargetMode="External"/><Relationship Id="rId471" Type="http://schemas.openxmlformats.org/officeDocument/2006/relationships/hyperlink" Target="http://www.ncbi.nlm.nih.gov/nlmcatalog/2985108R" TargetMode="External"/><Relationship Id="rId667" Type="http://schemas.openxmlformats.org/officeDocument/2006/relationships/hyperlink" Target="http://www.ncbi.nlm.nih.gov/nlmcatalog/7703701" TargetMode="External"/><Relationship Id="rId17" Type="http://schemas.openxmlformats.org/officeDocument/2006/relationships/hyperlink" Target="http://www.ncbi.nlm.nih.gov/nlmcatalog/8310780" TargetMode="External"/><Relationship Id="rId59" Type="http://schemas.openxmlformats.org/officeDocument/2006/relationships/hyperlink" Target="http://www.ncbi.nlm.nih.gov/nlmcatalog/101499225" TargetMode="External"/><Relationship Id="rId124" Type="http://schemas.openxmlformats.org/officeDocument/2006/relationships/hyperlink" Target="http://www.ncbi.nlm.nih.gov/nlmcatalog/8310780" TargetMode="External"/><Relationship Id="rId527" Type="http://schemas.openxmlformats.org/officeDocument/2006/relationships/hyperlink" Target="http://www.ncbi.nlm.nih.gov/nlmcatalog/0370536" TargetMode="External"/><Relationship Id="rId569" Type="http://schemas.openxmlformats.org/officeDocument/2006/relationships/hyperlink" Target="http://www.ncbi.nlm.nih.gov/nlmcatalog/0425746" TargetMode="External"/><Relationship Id="rId70" Type="http://schemas.openxmlformats.org/officeDocument/2006/relationships/hyperlink" Target="http://www.ncbi.nlm.nih.gov/nlmcatalog/9215515" TargetMode="External"/><Relationship Id="rId166" Type="http://schemas.openxmlformats.org/officeDocument/2006/relationships/hyperlink" Target="http://www.ncbi.nlm.nih.gov/nlmcatalog/0425746" TargetMode="External"/><Relationship Id="rId331" Type="http://schemas.openxmlformats.org/officeDocument/2006/relationships/hyperlink" Target="http://www.ncbi.nlm.nih.gov/nlmcatalog/0153611" TargetMode="External"/><Relationship Id="rId373" Type="http://schemas.openxmlformats.org/officeDocument/2006/relationships/hyperlink" Target="http://www.ncbi.nlm.nih.gov/nlmcatalog/2985248R" TargetMode="External"/><Relationship Id="rId429" Type="http://schemas.openxmlformats.org/officeDocument/2006/relationships/hyperlink" Target="http://www.ncbi.nlm.nih.gov/nlmcatalog/0410553" TargetMode="External"/><Relationship Id="rId580" Type="http://schemas.openxmlformats.org/officeDocument/2006/relationships/hyperlink" Target="http://www.ncbi.nlm.nih.gov/nlmcatalog/9713490" TargetMode="External"/><Relationship Id="rId636" Type="http://schemas.openxmlformats.org/officeDocument/2006/relationships/hyperlink" Target="http://www.ncbi.nlm.nih.gov/nlmcatalog/9100527" TargetMode="External"/><Relationship Id="rId1" Type="http://schemas.openxmlformats.org/officeDocument/2006/relationships/hyperlink" Target="http://www.ncbi.nlm.nih.gov/nlmcatalog/7802443" TargetMode="External"/><Relationship Id="rId233" Type="http://schemas.openxmlformats.org/officeDocument/2006/relationships/hyperlink" Target="http://www.ncbi.nlm.nih.gov/nlmcatalog/101477956" TargetMode="External"/><Relationship Id="rId440" Type="http://schemas.openxmlformats.org/officeDocument/2006/relationships/hyperlink" Target="http://www.ncbi.nlm.nih.gov/nlmcatalog/101089176" TargetMode="External"/><Relationship Id="rId678" Type="http://schemas.openxmlformats.org/officeDocument/2006/relationships/hyperlink" Target="http://www.ncbi.nlm.nih.gov/nlmcatalog/101597070" TargetMode="External"/><Relationship Id="rId28" Type="http://schemas.openxmlformats.org/officeDocument/2006/relationships/hyperlink" Target="http://www.ncbi.nlm.nih.gov/nlmcatalog/101243413" TargetMode="External"/><Relationship Id="rId275" Type="http://schemas.openxmlformats.org/officeDocument/2006/relationships/hyperlink" Target="http://www.ncbi.nlm.nih.gov/nlmcatalog/101563288" TargetMode="External"/><Relationship Id="rId300" Type="http://schemas.openxmlformats.org/officeDocument/2006/relationships/hyperlink" Target="http://www.ncbi.nlm.nih.gov/nlmcatalog/101238455" TargetMode="External"/><Relationship Id="rId482" Type="http://schemas.openxmlformats.org/officeDocument/2006/relationships/hyperlink" Target="http://www.ncbi.nlm.nih.gov/nlmcatalog/9713490" TargetMode="External"/><Relationship Id="rId538" Type="http://schemas.openxmlformats.org/officeDocument/2006/relationships/hyperlink" Target="http://www.ncbi.nlm.nih.gov/nlmcatalog/1250250" TargetMode="External"/><Relationship Id="rId81" Type="http://schemas.openxmlformats.org/officeDocument/2006/relationships/hyperlink" Target="http://www.ncbi.nlm.nih.gov/nlmcatalog/9713490" TargetMode="External"/><Relationship Id="rId135" Type="http://schemas.openxmlformats.org/officeDocument/2006/relationships/hyperlink" Target="http://www.ncbi.nlm.nih.gov/nlmcatalog/1250250" TargetMode="External"/><Relationship Id="rId177" Type="http://schemas.openxmlformats.org/officeDocument/2006/relationships/hyperlink" Target="http://www.ncbi.nlm.nih.gov/nlmcatalog/7806056" TargetMode="External"/><Relationship Id="rId342" Type="http://schemas.openxmlformats.org/officeDocument/2006/relationships/hyperlink" Target="http://www.ncbi.nlm.nih.gov/nlmcatalog/0425746" TargetMode="External"/><Relationship Id="rId384" Type="http://schemas.openxmlformats.org/officeDocument/2006/relationships/hyperlink" Target="http://www.ncbi.nlm.nih.gov/nlmcatalog/8506513" TargetMode="External"/><Relationship Id="rId591" Type="http://schemas.openxmlformats.org/officeDocument/2006/relationships/hyperlink" Target="http://www.ncbi.nlm.nih.gov/nlmcatalog/0401260" TargetMode="External"/><Relationship Id="rId605" Type="http://schemas.openxmlformats.org/officeDocument/2006/relationships/hyperlink" Target="http://www.ncbi.nlm.nih.gov/nlmcatalog/0401220" TargetMode="External"/><Relationship Id="rId202" Type="http://schemas.openxmlformats.org/officeDocument/2006/relationships/hyperlink" Target="http://www.ncbi.nlm.nih.gov/nlmcatalog/101606588" TargetMode="External"/><Relationship Id="rId244" Type="http://schemas.openxmlformats.org/officeDocument/2006/relationships/hyperlink" Target="http://www.ncbi.nlm.nih.gov/nlmcatalog/9203012" TargetMode="External"/><Relationship Id="rId647" Type="http://schemas.openxmlformats.org/officeDocument/2006/relationships/hyperlink" Target="http://www.ncbi.nlm.nih.gov/nlmcatalog/0425746" TargetMode="External"/><Relationship Id="rId689" Type="http://schemas.openxmlformats.org/officeDocument/2006/relationships/hyperlink" Target="http://www.ncbi.nlm.nih.gov/nlmcatalog/101243413" TargetMode="External"/><Relationship Id="rId39" Type="http://schemas.openxmlformats.org/officeDocument/2006/relationships/hyperlink" Target="http://www.ncbi.nlm.nih.gov/nlmcatalog/7802443" TargetMode="External"/><Relationship Id="rId286" Type="http://schemas.openxmlformats.org/officeDocument/2006/relationships/hyperlink" Target="http://www.ncbi.nlm.nih.gov/nlmcatalog/8310780" TargetMode="External"/><Relationship Id="rId451" Type="http://schemas.openxmlformats.org/officeDocument/2006/relationships/hyperlink" Target="http://www.ncbi.nlm.nih.gov/nlmcatalog/8310780" TargetMode="External"/><Relationship Id="rId493" Type="http://schemas.openxmlformats.org/officeDocument/2006/relationships/hyperlink" Target="http://www.ncbi.nlm.nih.gov/nlmcatalog/2984705R" TargetMode="External"/><Relationship Id="rId507" Type="http://schemas.openxmlformats.org/officeDocument/2006/relationships/hyperlink" Target="http://www.ncbi.nlm.nih.gov/nlmcatalog/9421642" TargetMode="External"/><Relationship Id="rId549" Type="http://schemas.openxmlformats.org/officeDocument/2006/relationships/hyperlink" Target="http://www.ncbi.nlm.nih.gov/nlmcatalog/101137103" TargetMode="External"/><Relationship Id="rId50" Type="http://schemas.openxmlformats.org/officeDocument/2006/relationships/hyperlink" Target="http://www.ncbi.nlm.nih.gov/nlmcatalog/1250250" TargetMode="External"/><Relationship Id="rId104" Type="http://schemas.openxmlformats.org/officeDocument/2006/relationships/hyperlink" Target="http://www.ncbi.nlm.nih.gov/nlmcatalog/101600173" TargetMode="External"/><Relationship Id="rId146" Type="http://schemas.openxmlformats.org/officeDocument/2006/relationships/hyperlink" Target="http://www.ncbi.nlm.nih.gov/nlmcatalog/9100529" TargetMode="External"/><Relationship Id="rId188" Type="http://schemas.openxmlformats.org/officeDocument/2006/relationships/hyperlink" Target="http://www.ncbi.nlm.nih.gov/nlmcatalog/9713490" TargetMode="External"/><Relationship Id="rId311" Type="http://schemas.openxmlformats.org/officeDocument/2006/relationships/hyperlink" Target="http://www.ncbi.nlm.nih.gov/nlmcatalog/8205248" TargetMode="External"/><Relationship Id="rId353" Type="http://schemas.openxmlformats.org/officeDocument/2006/relationships/hyperlink" Target="http://www.ncbi.nlm.nih.gov/nlmcatalog/101528555" TargetMode="External"/><Relationship Id="rId395" Type="http://schemas.openxmlformats.org/officeDocument/2006/relationships/hyperlink" Target="http://www.ncbi.nlm.nih.gov/nlmcatalog/0425746" TargetMode="External"/><Relationship Id="rId409" Type="http://schemas.openxmlformats.org/officeDocument/2006/relationships/hyperlink" Target="http://www.ncbi.nlm.nih.gov/nlmcatalog/0425746" TargetMode="External"/><Relationship Id="rId560" Type="http://schemas.openxmlformats.org/officeDocument/2006/relationships/hyperlink" Target="http://www.ncbi.nlm.nih.gov/nlmcatalog/9203012" TargetMode="External"/><Relationship Id="rId92" Type="http://schemas.openxmlformats.org/officeDocument/2006/relationships/hyperlink" Target="http://www.ncbi.nlm.nih.gov/nlmcatalog/101604520" TargetMode="External"/><Relationship Id="rId213" Type="http://schemas.openxmlformats.org/officeDocument/2006/relationships/hyperlink" Target="http://www.ncbi.nlm.nih.gov/nlmcatalog/9713490" TargetMode="External"/><Relationship Id="rId420" Type="http://schemas.openxmlformats.org/officeDocument/2006/relationships/hyperlink" Target="http://www.ncbi.nlm.nih.gov/nlmcatalog/0425746" TargetMode="External"/><Relationship Id="rId616" Type="http://schemas.openxmlformats.org/officeDocument/2006/relationships/hyperlink" Target="http://www.ncbi.nlm.nih.gov/nlmcatalog/101573691" TargetMode="External"/><Relationship Id="rId658" Type="http://schemas.openxmlformats.org/officeDocument/2006/relationships/hyperlink" Target="http://www.ncbi.nlm.nih.gov/nlmcatalog/0401220" TargetMode="External"/><Relationship Id="rId255" Type="http://schemas.openxmlformats.org/officeDocument/2006/relationships/hyperlink" Target="http://www.ncbi.nlm.nih.gov/nlmcatalog/101266132" TargetMode="External"/><Relationship Id="rId297" Type="http://schemas.openxmlformats.org/officeDocument/2006/relationships/hyperlink" Target="http://www.ncbi.nlm.nih.gov/nlmcatalog/9713490" TargetMode="External"/><Relationship Id="rId462" Type="http://schemas.openxmlformats.org/officeDocument/2006/relationships/hyperlink" Target="http://www.ncbi.nlm.nih.gov/nlmcatalog/9100529" TargetMode="External"/><Relationship Id="rId518" Type="http://schemas.openxmlformats.org/officeDocument/2006/relationships/hyperlink" Target="http://www.ncbi.nlm.nih.gov/nlmcatalog/101597070" TargetMode="External"/><Relationship Id="rId115" Type="http://schemas.openxmlformats.org/officeDocument/2006/relationships/hyperlink" Target="http://www.ncbi.nlm.nih.gov/nlmcatalog/8806104" TargetMode="External"/><Relationship Id="rId157" Type="http://schemas.openxmlformats.org/officeDocument/2006/relationships/hyperlink" Target="http://www.ncbi.nlm.nih.gov/nlmcatalog/7905558" TargetMode="External"/><Relationship Id="rId322" Type="http://schemas.openxmlformats.org/officeDocument/2006/relationships/hyperlink" Target="http://www.ncbi.nlm.nih.gov/nlmcatalog/101552395" TargetMode="External"/><Relationship Id="rId364" Type="http://schemas.openxmlformats.org/officeDocument/2006/relationships/hyperlink" Target="http://www.ncbi.nlm.nih.gov/nlmcatalog/042574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1E2DE-AF57-411C-BF7C-D6C88D342FD6}">
  <dimension ref="A1:B48"/>
  <sheetViews>
    <sheetView tabSelected="1" workbookViewId="0">
      <selection activeCell="A18" sqref="A18"/>
    </sheetView>
  </sheetViews>
  <sheetFormatPr defaultRowHeight="14.25" x14ac:dyDescent="0.2"/>
  <cols>
    <col min="1" max="1" width="24.875" customWidth="1"/>
    <col min="2" max="2" width="19.25" customWidth="1"/>
  </cols>
  <sheetData>
    <row r="1" spans="1:2" x14ac:dyDescent="0.2">
      <c r="A1" s="127" t="s">
        <v>21815</v>
      </c>
      <c r="B1" s="127"/>
    </row>
    <row r="2" spans="1:2" x14ac:dyDescent="0.2">
      <c r="A2" t="s">
        <v>20736</v>
      </c>
      <c r="B2" s="126"/>
    </row>
    <row r="3" spans="1:2" x14ac:dyDescent="0.2">
      <c r="A3" s="123" t="s">
        <v>10309</v>
      </c>
    </row>
    <row r="4" spans="1:2" x14ac:dyDescent="0.2">
      <c r="A4" t="s">
        <v>18491</v>
      </c>
    </row>
    <row r="5" spans="1:2" x14ac:dyDescent="0.2">
      <c r="A5" t="s">
        <v>21835</v>
      </c>
    </row>
    <row r="6" spans="1:2" x14ac:dyDescent="0.2">
      <c r="A6" t="s">
        <v>12408</v>
      </c>
    </row>
    <row r="7" spans="1:2" x14ac:dyDescent="0.2">
      <c r="A7" t="s">
        <v>21817</v>
      </c>
    </row>
    <row r="8" spans="1:2" x14ac:dyDescent="0.2">
      <c r="A8" t="s">
        <v>18489</v>
      </c>
    </row>
    <row r="9" spans="1:2" x14ac:dyDescent="0.2">
      <c r="A9" t="s">
        <v>20723</v>
      </c>
    </row>
    <row r="10" spans="1:2" x14ac:dyDescent="0.2">
      <c r="A10" t="s">
        <v>12500</v>
      </c>
    </row>
    <row r="11" spans="1:2" x14ac:dyDescent="0.2">
      <c r="A11" t="s">
        <v>20770</v>
      </c>
    </row>
    <row r="12" spans="1:2" x14ac:dyDescent="0.2">
      <c r="A12" t="s">
        <v>9102</v>
      </c>
    </row>
    <row r="13" spans="1:2" x14ac:dyDescent="0.2">
      <c r="A13" t="s">
        <v>21309</v>
      </c>
    </row>
    <row r="14" spans="1:2" x14ac:dyDescent="0.2">
      <c r="A14" s="8" t="s">
        <v>21843</v>
      </c>
    </row>
    <row r="15" spans="1:2" x14ac:dyDescent="0.2">
      <c r="A15" s="124" t="s">
        <v>20771</v>
      </c>
    </row>
    <row r="16" spans="1:2" x14ac:dyDescent="0.2">
      <c r="A16" t="s">
        <v>21201</v>
      </c>
    </row>
    <row r="17" spans="1:1" x14ac:dyDescent="0.2">
      <c r="A17" t="s">
        <v>20762</v>
      </c>
    </row>
    <row r="18" spans="1:1" x14ac:dyDescent="0.2">
      <c r="A18" s="122" t="s">
        <v>21842</v>
      </c>
    </row>
    <row r="19" spans="1:1" x14ac:dyDescent="0.2">
      <c r="A19" t="s">
        <v>21050</v>
      </c>
    </row>
    <row r="20" spans="1:1" x14ac:dyDescent="0.2">
      <c r="A20" s="121" t="s">
        <v>21840</v>
      </c>
    </row>
    <row r="21" spans="1:1" x14ac:dyDescent="0.2">
      <c r="A21" t="s">
        <v>12818</v>
      </c>
    </row>
    <row r="22" spans="1:1" x14ac:dyDescent="0.2">
      <c r="A22" t="s">
        <v>20724</v>
      </c>
    </row>
    <row r="23" spans="1:1" x14ac:dyDescent="0.2">
      <c r="A23" t="s">
        <v>13923</v>
      </c>
    </row>
    <row r="24" spans="1:1" x14ac:dyDescent="0.2">
      <c r="A24" t="s">
        <v>20732</v>
      </c>
    </row>
    <row r="25" spans="1:1" x14ac:dyDescent="0.2">
      <c r="A25" t="s">
        <v>21816</v>
      </c>
    </row>
    <row r="26" spans="1:1" x14ac:dyDescent="0.2">
      <c r="A26" t="s">
        <v>21829</v>
      </c>
    </row>
    <row r="27" spans="1:1" x14ac:dyDescent="0.2">
      <c r="A27" t="s">
        <v>21827</v>
      </c>
    </row>
    <row r="28" spans="1:1" x14ac:dyDescent="0.2">
      <c r="A28" s="120" t="s">
        <v>21836</v>
      </c>
    </row>
    <row r="29" spans="1:1" x14ac:dyDescent="0.2">
      <c r="A29" s="119" t="s">
        <v>21819</v>
      </c>
    </row>
    <row r="30" spans="1:1" x14ac:dyDescent="0.2">
      <c r="A30" s="8" t="s">
        <v>21831</v>
      </c>
    </row>
    <row r="31" spans="1:1" x14ac:dyDescent="0.2">
      <c r="A31" s="8" t="s">
        <v>21830</v>
      </c>
    </row>
    <row r="32" spans="1:1" x14ac:dyDescent="0.2">
      <c r="A32" s="8" t="s">
        <v>21832</v>
      </c>
    </row>
    <row r="33" spans="1:1" x14ac:dyDescent="0.2">
      <c r="A33" s="8" t="s">
        <v>21833</v>
      </c>
    </row>
    <row r="34" spans="1:1" x14ac:dyDescent="0.2">
      <c r="A34" s="8" t="s">
        <v>21834</v>
      </c>
    </row>
    <row r="35" spans="1:1" x14ac:dyDescent="0.2">
      <c r="A35" s="8" t="s">
        <v>21820</v>
      </c>
    </row>
    <row r="36" spans="1:1" x14ac:dyDescent="0.2">
      <c r="A36" s="8" t="s">
        <v>21837</v>
      </c>
    </row>
    <row r="37" spans="1:1" x14ac:dyDescent="0.2">
      <c r="A37" s="8" t="s">
        <v>21821</v>
      </c>
    </row>
    <row r="38" spans="1:1" x14ac:dyDescent="0.2">
      <c r="A38" s="1" t="s">
        <v>21822</v>
      </c>
    </row>
    <row r="39" spans="1:1" x14ac:dyDescent="0.2">
      <c r="A39" s="1" t="s">
        <v>21823</v>
      </c>
    </row>
    <row r="40" spans="1:1" x14ac:dyDescent="0.2">
      <c r="A40" s="8" t="s">
        <v>21824</v>
      </c>
    </row>
    <row r="41" spans="1:1" x14ac:dyDescent="0.2">
      <c r="A41" t="s">
        <v>21825</v>
      </c>
    </row>
    <row r="42" spans="1:1" x14ac:dyDescent="0.2">
      <c r="A42" t="s">
        <v>21826</v>
      </c>
    </row>
    <row r="43" spans="1:1" x14ac:dyDescent="0.2">
      <c r="A43" t="s">
        <v>21841</v>
      </c>
    </row>
    <row r="44" spans="1:1" x14ac:dyDescent="0.2">
      <c r="A44" s="125" t="s">
        <v>21818</v>
      </c>
    </row>
    <row r="45" spans="1:1" x14ac:dyDescent="0.2">
      <c r="A45" t="s">
        <v>21838</v>
      </c>
    </row>
    <row r="46" spans="1:1" x14ac:dyDescent="0.2">
      <c r="A46" t="s">
        <v>21839</v>
      </c>
    </row>
    <row r="47" spans="1:1" x14ac:dyDescent="0.2">
      <c r="A47" t="s">
        <v>20922</v>
      </c>
    </row>
    <row r="48" spans="1:1" x14ac:dyDescent="0.2">
      <c r="A48" t="s">
        <v>21828</v>
      </c>
    </row>
  </sheetData>
  <mergeCells count="1">
    <mergeCell ref="A1:B1"/>
  </mergeCells>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F753C-582D-49EC-9590-DA3B22FE8A2B}">
  <dimension ref="A1:XFB2738"/>
  <sheetViews>
    <sheetView workbookViewId="0">
      <selection activeCell="K4" sqref="K4"/>
    </sheetView>
  </sheetViews>
  <sheetFormatPr defaultRowHeight="14.25" x14ac:dyDescent="0.2"/>
  <cols>
    <col min="10" max="10" width="9" style="3"/>
    <col min="11" max="11" width="16.125" customWidth="1"/>
    <col min="12" max="12" width="14.125" customWidth="1"/>
    <col min="13" max="13" width="7" customWidth="1"/>
  </cols>
  <sheetData>
    <row r="1" spans="1:21" s="104" customFormat="1" ht="75" customHeight="1" x14ac:dyDescent="0.2">
      <c r="A1" s="103" t="s">
        <v>8912</v>
      </c>
      <c r="B1" s="103"/>
      <c r="C1" s="104" t="s">
        <v>8913</v>
      </c>
      <c r="D1" s="104" t="s">
        <v>8914</v>
      </c>
      <c r="E1" s="105" t="s">
        <v>18501</v>
      </c>
      <c r="F1" s="105" t="s">
        <v>18503</v>
      </c>
      <c r="G1" s="106" t="s">
        <v>15523</v>
      </c>
      <c r="H1" s="106" t="s">
        <v>8924</v>
      </c>
      <c r="I1" s="105" t="s">
        <v>8925</v>
      </c>
      <c r="J1" s="129" t="s">
        <v>21916</v>
      </c>
      <c r="K1" s="128" t="s">
        <v>21917</v>
      </c>
      <c r="L1" s="105" t="s">
        <v>21614</v>
      </c>
      <c r="M1" s="105" t="s">
        <v>8928</v>
      </c>
      <c r="N1" s="107" t="s">
        <v>8930</v>
      </c>
      <c r="O1" s="108" t="s">
        <v>8931</v>
      </c>
      <c r="P1" s="109" t="s">
        <v>8932</v>
      </c>
      <c r="Q1" s="109" t="s">
        <v>8933</v>
      </c>
      <c r="R1" s="110" t="s">
        <v>8936</v>
      </c>
      <c r="S1" s="111" t="s">
        <v>21523</v>
      </c>
      <c r="T1" s="104" t="s">
        <v>8915</v>
      </c>
      <c r="U1" s="104" t="s">
        <v>8916</v>
      </c>
    </row>
    <row r="2" spans="1:21" x14ac:dyDescent="0.2">
      <c r="A2" s="88" t="s">
        <v>15524</v>
      </c>
      <c r="B2" s="88" t="e">
        <f>VLOOKUP(C2,#REF!,1,0)</f>
        <v>#REF!</v>
      </c>
      <c r="C2" s="1" t="s">
        <v>1</v>
      </c>
      <c r="D2" s="1" t="s">
        <v>2</v>
      </c>
      <c r="E2" s="1" t="s">
        <v>10166</v>
      </c>
      <c r="F2" s="1" t="s">
        <v>8957</v>
      </c>
      <c r="G2" t="s">
        <v>8959</v>
      </c>
      <c r="H2" s="1" t="s">
        <v>9049</v>
      </c>
      <c r="I2" s="1" t="s">
        <v>9050</v>
      </c>
      <c r="J2" s="2" t="s">
        <v>21637</v>
      </c>
      <c r="K2" s="1" t="s">
        <v>13541</v>
      </c>
      <c r="L2" s="1" t="s">
        <v>9133</v>
      </c>
      <c r="M2" s="1">
        <v>750</v>
      </c>
      <c r="N2" s="1" t="s">
        <v>8953</v>
      </c>
      <c r="O2" s="1" t="s">
        <v>8954</v>
      </c>
      <c r="P2" s="1" t="s">
        <v>8955</v>
      </c>
      <c r="Q2" s="1" t="s">
        <v>8956</v>
      </c>
      <c r="R2" s="1" t="s">
        <v>8958</v>
      </c>
      <c r="S2" s="1" t="s">
        <v>3</v>
      </c>
      <c r="T2" s="1" t="s">
        <v>4</v>
      </c>
      <c r="U2" s="1" t="s">
        <v>5</v>
      </c>
    </row>
    <row r="3" spans="1:21" x14ac:dyDescent="0.2">
      <c r="A3" s="88" t="s">
        <v>15525</v>
      </c>
      <c r="B3" s="88" t="e">
        <f>VLOOKUP(C3,#REF!,1,0)</f>
        <v>#REF!</v>
      </c>
      <c r="C3" s="1" t="s">
        <v>21149</v>
      </c>
      <c r="D3" s="1" t="s">
        <v>6</v>
      </c>
      <c r="E3" s="1" t="s">
        <v>20822</v>
      </c>
      <c r="F3" s="1" t="s">
        <v>8959</v>
      </c>
      <c r="G3" t="s">
        <v>8959</v>
      </c>
      <c r="H3" s="1" t="s">
        <v>9100</v>
      </c>
      <c r="I3" s="1" t="s">
        <v>8949</v>
      </c>
      <c r="J3" s="2" t="s">
        <v>18497</v>
      </c>
      <c r="K3" s="1" t="s">
        <v>18497</v>
      </c>
      <c r="L3" s="1" t="s">
        <v>8987</v>
      </c>
      <c r="M3" s="1">
        <v>3064</v>
      </c>
      <c r="N3" s="1" t="s">
        <v>8953</v>
      </c>
      <c r="O3" s="1" t="s">
        <v>8954</v>
      </c>
      <c r="P3" s="1" t="s">
        <v>8955</v>
      </c>
      <c r="Q3" s="1" t="s">
        <v>8956</v>
      </c>
      <c r="R3" s="1" t="s">
        <v>9103</v>
      </c>
      <c r="S3" s="1" t="s">
        <v>18505</v>
      </c>
      <c r="T3" s="1" t="s">
        <v>7</v>
      </c>
      <c r="U3" s="1" t="s">
        <v>8</v>
      </c>
    </row>
    <row r="4" spans="1:21" x14ac:dyDescent="0.2">
      <c r="A4" s="88" t="s">
        <v>15526</v>
      </c>
      <c r="B4" s="88" t="e">
        <f>VLOOKUP(C4,#REF!,1,0)</f>
        <v>#REF!</v>
      </c>
      <c r="C4" s="1" t="s">
        <v>20819</v>
      </c>
      <c r="D4" s="1" t="s">
        <v>9</v>
      </c>
      <c r="E4" s="1" t="s">
        <v>9333</v>
      </c>
      <c r="F4" s="1" t="s">
        <v>8959</v>
      </c>
      <c r="G4" t="s">
        <v>8959</v>
      </c>
      <c r="H4" s="1" t="s">
        <v>8948</v>
      </c>
      <c r="I4" s="1" t="s">
        <v>8949</v>
      </c>
      <c r="J4" s="2" t="s">
        <v>9041</v>
      </c>
      <c r="K4" s="1" t="s">
        <v>9041</v>
      </c>
      <c r="L4" s="1" t="s">
        <v>8951</v>
      </c>
      <c r="M4" s="1">
        <v>1000</v>
      </c>
      <c r="N4" s="1" t="s">
        <v>8953</v>
      </c>
      <c r="O4" s="1" t="s">
        <v>8954</v>
      </c>
      <c r="P4" s="1" t="s">
        <v>8955</v>
      </c>
      <c r="Q4" s="1" t="s">
        <v>8956</v>
      </c>
      <c r="R4" s="1" t="s">
        <v>9103</v>
      </c>
      <c r="S4" s="1" t="s">
        <v>10</v>
      </c>
      <c r="T4" s="1" t="s">
        <v>11</v>
      </c>
      <c r="U4" s="1" t="s">
        <v>12</v>
      </c>
    </row>
    <row r="5" spans="1:21" x14ac:dyDescent="0.2">
      <c r="A5" s="88" t="s">
        <v>15527</v>
      </c>
      <c r="B5" s="88" t="e">
        <f>VLOOKUP(C5,#REF!,1,0)</f>
        <v>#REF!</v>
      </c>
      <c r="C5" s="1" t="s">
        <v>13</v>
      </c>
      <c r="D5" s="1" t="s">
        <v>21638</v>
      </c>
      <c r="E5" s="1" t="s">
        <v>18502</v>
      </c>
      <c r="F5" s="1" t="s">
        <v>8957</v>
      </c>
      <c r="G5" t="s">
        <v>8959</v>
      </c>
      <c r="H5" s="1" t="s">
        <v>9252</v>
      </c>
      <c r="I5" s="1" t="s">
        <v>18504</v>
      </c>
      <c r="J5" s="2" t="s">
        <v>21519</v>
      </c>
      <c r="K5" s="1" t="s">
        <v>21751</v>
      </c>
      <c r="L5" s="1" t="s">
        <v>21600</v>
      </c>
      <c r="M5" s="1">
        <v>2066</v>
      </c>
      <c r="N5" s="1" t="s">
        <v>8953</v>
      </c>
      <c r="O5" s="1" t="s">
        <v>8954</v>
      </c>
      <c r="P5" s="1" t="s">
        <v>8955</v>
      </c>
      <c r="Q5" s="1" t="s">
        <v>8956</v>
      </c>
      <c r="R5" s="1" t="s">
        <v>8958</v>
      </c>
      <c r="S5" s="1" t="s">
        <v>18506</v>
      </c>
      <c r="T5" s="1" t="s">
        <v>7</v>
      </c>
      <c r="U5" s="1" t="s">
        <v>15</v>
      </c>
    </row>
    <row r="6" spans="1:21" x14ac:dyDescent="0.2">
      <c r="A6" s="88" t="s">
        <v>15529</v>
      </c>
      <c r="B6" s="88" t="e">
        <f>VLOOKUP(C6,#REF!,1,0)</f>
        <v>#REF!</v>
      </c>
      <c r="C6" s="1" t="s">
        <v>22</v>
      </c>
      <c r="D6" s="1" t="s">
        <v>23</v>
      </c>
      <c r="E6" s="1" t="s">
        <v>18502</v>
      </c>
      <c r="F6" s="1" t="s">
        <v>8957</v>
      </c>
      <c r="G6" t="s">
        <v>8959</v>
      </c>
      <c r="H6" s="1" t="s">
        <v>9075</v>
      </c>
      <c r="I6" s="1" t="s">
        <v>8949</v>
      </c>
      <c r="J6" s="2" t="s">
        <v>20779</v>
      </c>
      <c r="K6" s="1" t="s">
        <v>9036</v>
      </c>
      <c r="L6" s="1" t="s">
        <v>9133</v>
      </c>
      <c r="M6" s="1">
        <v>56</v>
      </c>
      <c r="N6" s="1" t="s">
        <v>9059</v>
      </c>
      <c r="O6" s="1" t="s">
        <v>8954</v>
      </c>
      <c r="P6" s="1" t="s">
        <v>8955</v>
      </c>
      <c r="Q6" s="1" t="s">
        <v>8956</v>
      </c>
      <c r="R6" s="1" t="s">
        <v>8975</v>
      </c>
      <c r="S6" s="1" t="s">
        <v>18509</v>
      </c>
      <c r="T6" s="1" t="s">
        <v>17</v>
      </c>
      <c r="U6" s="1" t="s">
        <v>24</v>
      </c>
    </row>
    <row r="7" spans="1:21" x14ac:dyDescent="0.2">
      <c r="A7" s="88" t="s">
        <v>15530</v>
      </c>
      <c r="B7" s="88" t="e">
        <f>VLOOKUP(C7,#REF!,1,0)</f>
        <v>#REF!</v>
      </c>
      <c r="C7" s="1" t="s">
        <v>25</v>
      </c>
      <c r="D7" s="1" t="s">
        <v>26</v>
      </c>
      <c r="E7" s="1" t="s">
        <v>18502</v>
      </c>
      <c r="F7" s="1" t="s">
        <v>8957</v>
      </c>
      <c r="G7" t="s">
        <v>8959</v>
      </c>
      <c r="H7" s="1" t="s">
        <v>9154</v>
      </c>
      <c r="I7" s="1" t="s">
        <v>20725</v>
      </c>
      <c r="J7" s="2" t="s">
        <v>20736</v>
      </c>
      <c r="K7" s="1" t="s">
        <v>21640</v>
      </c>
      <c r="L7" s="1" t="s">
        <v>9464</v>
      </c>
      <c r="M7" s="1">
        <v>26</v>
      </c>
      <c r="N7" s="1" t="s">
        <v>9059</v>
      </c>
      <c r="O7" s="1" t="s">
        <v>8989</v>
      </c>
      <c r="P7" s="1" t="s">
        <v>8955</v>
      </c>
      <c r="Q7" s="1" t="s">
        <v>8956</v>
      </c>
      <c r="R7" s="1" t="s">
        <v>9103</v>
      </c>
      <c r="S7" s="1" t="s">
        <v>18510</v>
      </c>
      <c r="T7" s="1" t="s">
        <v>17</v>
      </c>
      <c r="U7" s="1" t="s">
        <v>27</v>
      </c>
    </row>
    <row r="8" spans="1:21" x14ac:dyDescent="0.2">
      <c r="A8" s="88" t="s">
        <v>15531</v>
      </c>
      <c r="B8" s="88" t="e">
        <f>VLOOKUP(C8,#REF!,1,0)</f>
        <v>#REF!</v>
      </c>
      <c r="C8" s="1" t="s">
        <v>32</v>
      </c>
      <c r="D8" s="1" t="s">
        <v>33</v>
      </c>
      <c r="E8" s="1" t="s">
        <v>14748</v>
      </c>
      <c r="F8" s="1" t="s">
        <v>8959</v>
      </c>
      <c r="G8" t="s">
        <v>8959</v>
      </c>
      <c r="H8" s="1" t="s">
        <v>9035</v>
      </c>
      <c r="I8" s="1" t="s">
        <v>9308</v>
      </c>
      <c r="J8" s="2" t="s">
        <v>9018</v>
      </c>
      <c r="K8" s="1" t="s">
        <v>21641</v>
      </c>
      <c r="L8" s="1" t="s">
        <v>8951</v>
      </c>
      <c r="M8" s="1">
        <v>1084</v>
      </c>
      <c r="N8" s="1" t="s">
        <v>8953</v>
      </c>
      <c r="O8" s="1" t="s">
        <v>8989</v>
      </c>
      <c r="P8" s="1" t="s">
        <v>8955</v>
      </c>
      <c r="Q8" s="1" t="s">
        <v>8956</v>
      </c>
      <c r="R8" s="1" t="s">
        <v>9103</v>
      </c>
      <c r="S8" s="1" t="s">
        <v>34</v>
      </c>
      <c r="T8" s="1" t="s">
        <v>11</v>
      </c>
      <c r="U8" s="1" t="s">
        <v>35</v>
      </c>
    </row>
    <row r="9" spans="1:21" x14ac:dyDescent="0.2">
      <c r="A9" s="88" t="s">
        <v>21522</v>
      </c>
      <c r="B9" s="88" t="e">
        <f>VLOOKUP(C9,#REF!,1,0)</f>
        <v>#REF!</v>
      </c>
      <c r="C9" s="1" t="s">
        <v>36</v>
      </c>
      <c r="D9" s="1" t="s">
        <v>37</v>
      </c>
      <c r="E9" s="1" t="s">
        <v>9010</v>
      </c>
      <c r="F9" s="1" t="s">
        <v>8957</v>
      </c>
      <c r="G9" t="s">
        <v>9009</v>
      </c>
      <c r="H9" s="1" t="s">
        <v>9252</v>
      </c>
      <c r="I9" s="1" t="s">
        <v>9253</v>
      </c>
      <c r="J9" s="2" t="s">
        <v>21524</v>
      </c>
      <c r="K9" s="1" t="s">
        <v>9036</v>
      </c>
      <c r="L9" s="1" t="s">
        <v>8987</v>
      </c>
      <c r="M9" s="1">
        <v>14860</v>
      </c>
      <c r="N9" s="1" t="s">
        <v>8953</v>
      </c>
      <c r="O9" s="1" t="s">
        <v>8954</v>
      </c>
      <c r="P9" s="1" t="s">
        <v>8955</v>
      </c>
      <c r="Q9" s="1" t="s">
        <v>8956</v>
      </c>
      <c r="R9" s="1" t="s">
        <v>8958</v>
      </c>
      <c r="S9" s="1" t="s">
        <v>38</v>
      </c>
      <c r="T9" s="1" t="s">
        <v>11</v>
      </c>
      <c r="U9" s="1" t="s">
        <v>39</v>
      </c>
    </row>
    <row r="10" spans="1:21" x14ac:dyDescent="0.2">
      <c r="A10" s="88" t="s">
        <v>15532</v>
      </c>
      <c r="B10" s="88" t="e">
        <f>VLOOKUP(C10,#REF!,1,0)</f>
        <v>#REF!</v>
      </c>
      <c r="C10" s="1" t="s">
        <v>40</v>
      </c>
      <c r="D10" s="1" t="s">
        <v>41</v>
      </c>
      <c r="E10" s="1" t="s">
        <v>9815</v>
      </c>
      <c r="F10" s="1" t="s">
        <v>8957</v>
      </c>
      <c r="G10" t="s">
        <v>9061</v>
      </c>
      <c r="H10" s="1" t="s">
        <v>9075</v>
      </c>
      <c r="I10" s="1" t="s">
        <v>8949</v>
      </c>
      <c r="J10" s="2" t="s">
        <v>9018</v>
      </c>
      <c r="K10" s="1" t="s">
        <v>9018</v>
      </c>
      <c r="L10" s="1" t="s">
        <v>8987</v>
      </c>
      <c r="M10" s="1">
        <v>182</v>
      </c>
      <c r="N10" s="1" t="s">
        <v>8953</v>
      </c>
      <c r="O10" s="1" t="s">
        <v>8989</v>
      </c>
      <c r="P10" s="1" t="s">
        <v>8955</v>
      </c>
      <c r="Q10" s="1" t="s">
        <v>8956</v>
      </c>
      <c r="R10" s="1" t="s">
        <v>9103</v>
      </c>
      <c r="S10" s="1" t="s">
        <v>42</v>
      </c>
      <c r="T10" s="1" t="s">
        <v>11</v>
      </c>
      <c r="U10" s="1" t="s">
        <v>43</v>
      </c>
    </row>
    <row r="11" spans="1:21" x14ac:dyDescent="0.2">
      <c r="A11" s="88" t="s">
        <v>15533</v>
      </c>
      <c r="B11" s="88" t="e">
        <f>VLOOKUP(C11,#REF!,1,0)</f>
        <v>#REF!</v>
      </c>
      <c r="C11" s="1" t="s">
        <v>44</v>
      </c>
      <c r="D11" s="1" t="s">
        <v>45</v>
      </c>
      <c r="E11" s="1" t="s">
        <v>18502</v>
      </c>
      <c r="F11" s="1" t="s">
        <v>8957</v>
      </c>
      <c r="G11" t="s">
        <v>9009</v>
      </c>
      <c r="H11" s="1" t="s">
        <v>9100</v>
      </c>
      <c r="I11" s="1" t="s">
        <v>8949</v>
      </c>
      <c r="J11" s="2" t="s">
        <v>18497</v>
      </c>
      <c r="K11" s="1" t="s">
        <v>18497</v>
      </c>
      <c r="L11" s="1" t="s">
        <v>8951</v>
      </c>
      <c r="M11" s="1">
        <v>134</v>
      </c>
      <c r="N11" s="1" t="s">
        <v>9059</v>
      </c>
      <c r="O11" s="1" t="s">
        <v>8989</v>
      </c>
      <c r="P11" s="1" t="s">
        <v>8955</v>
      </c>
      <c r="Q11" s="1" t="s">
        <v>8956</v>
      </c>
      <c r="R11" s="1" t="s">
        <v>9103</v>
      </c>
      <c r="S11" s="1" t="s">
        <v>18512</v>
      </c>
      <c r="T11" s="1" t="s">
        <v>17</v>
      </c>
      <c r="U11" s="1" t="s">
        <v>46</v>
      </c>
    </row>
    <row r="12" spans="1:21" x14ac:dyDescent="0.2">
      <c r="A12" s="88" t="s">
        <v>15534</v>
      </c>
      <c r="B12" s="88" t="e">
        <f>VLOOKUP(C12,#REF!,1,0)</f>
        <v>#REF!</v>
      </c>
      <c r="C12" s="1" t="s">
        <v>51</v>
      </c>
      <c r="D12" s="1" t="s">
        <v>52</v>
      </c>
      <c r="E12" s="1" t="s">
        <v>18502</v>
      </c>
      <c r="F12" s="1" t="s">
        <v>9060</v>
      </c>
      <c r="G12" t="s">
        <v>8959</v>
      </c>
      <c r="H12" s="1" t="s">
        <v>8984</v>
      </c>
      <c r="I12" s="1" t="s">
        <v>8998</v>
      </c>
      <c r="J12" s="2" t="s">
        <v>21350</v>
      </c>
      <c r="K12" s="1" t="s">
        <v>21642</v>
      </c>
      <c r="L12" s="1" t="s">
        <v>21600</v>
      </c>
      <c r="M12" s="1">
        <v>131</v>
      </c>
      <c r="N12" s="1" t="s">
        <v>8953</v>
      </c>
      <c r="O12" s="1" t="s">
        <v>8989</v>
      </c>
      <c r="P12" s="1" t="s">
        <v>8955</v>
      </c>
      <c r="Q12" s="1" t="s">
        <v>8956</v>
      </c>
      <c r="R12" s="1" t="s">
        <v>9103</v>
      </c>
      <c r="S12" s="1" t="s">
        <v>18514</v>
      </c>
      <c r="T12" s="1" t="s">
        <v>7</v>
      </c>
      <c r="U12" s="1" t="s">
        <v>53</v>
      </c>
    </row>
    <row r="13" spans="1:21" x14ac:dyDescent="0.2">
      <c r="A13" s="88" t="s">
        <v>15535</v>
      </c>
      <c r="B13" s="88" t="e">
        <f>VLOOKUP(C13,#REF!,1,0)</f>
        <v>#REF!</v>
      </c>
      <c r="C13" s="1" t="s">
        <v>54</v>
      </c>
      <c r="D13" s="1" t="s">
        <v>55</v>
      </c>
      <c r="E13" s="1" t="s">
        <v>9246</v>
      </c>
      <c r="F13" s="1" t="s">
        <v>8957</v>
      </c>
      <c r="G13" t="s">
        <v>8959</v>
      </c>
      <c r="H13" s="1" t="s">
        <v>9100</v>
      </c>
      <c r="I13" s="1" t="s">
        <v>8949</v>
      </c>
      <c r="J13" s="2" t="s">
        <v>9036</v>
      </c>
      <c r="K13" s="1" t="s">
        <v>9036</v>
      </c>
      <c r="L13" s="1" t="s">
        <v>8987</v>
      </c>
      <c r="M13" s="1">
        <v>1327</v>
      </c>
      <c r="N13" s="1" t="s">
        <v>9059</v>
      </c>
      <c r="O13" s="1" t="s">
        <v>8954</v>
      </c>
      <c r="P13" s="1" t="s">
        <v>8955</v>
      </c>
      <c r="Q13" s="1" t="s">
        <v>8956</v>
      </c>
      <c r="R13" s="1" t="s">
        <v>8958</v>
      </c>
      <c r="S13" s="1" t="s">
        <v>56</v>
      </c>
      <c r="T13" s="1" t="s">
        <v>4</v>
      </c>
      <c r="U13" s="1" t="s">
        <v>57</v>
      </c>
    </row>
    <row r="14" spans="1:21" x14ac:dyDescent="0.2">
      <c r="A14" s="88" t="s">
        <v>15536</v>
      </c>
      <c r="B14" s="88" t="e">
        <f>VLOOKUP(C14,#REF!,1,0)</f>
        <v>#REF!</v>
      </c>
      <c r="C14" s="1" t="s">
        <v>58</v>
      </c>
      <c r="D14" s="1" t="s">
        <v>59</v>
      </c>
      <c r="E14" s="1" t="s">
        <v>9310</v>
      </c>
      <c r="F14" s="1" t="s">
        <v>8957</v>
      </c>
      <c r="G14" t="s">
        <v>9183</v>
      </c>
      <c r="H14" s="1" t="s">
        <v>9100</v>
      </c>
      <c r="I14" s="1" t="s">
        <v>9155</v>
      </c>
      <c r="J14" s="2" t="s">
        <v>8972</v>
      </c>
      <c r="K14" s="1" t="s">
        <v>8972</v>
      </c>
      <c r="L14" s="1" t="s">
        <v>9076</v>
      </c>
      <c r="M14" s="1">
        <v>2168</v>
      </c>
      <c r="N14" s="1" t="s">
        <v>8953</v>
      </c>
      <c r="O14" s="1" t="s">
        <v>8989</v>
      </c>
      <c r="P14" s="1" t="s">
        <v>8955</v>
      </c>
      <c r="Q14" s="1" t="s">
        <v>8956</v>
      </c>
      <c r="R14" s="1" t="s">
        <v>9103</v>
      </c>
      <c r="S14" s="1" t="s">
        <v>60</v>
      </c>
      <c r="T14" s="1" t="s">
        <v>11</v>
      </c>
      <c r="U14" s="1" t="s">
        <v>61</v>
      </c>
    </row>
    <row r="15" spans="1:21" x14ac:dyDescent="0.2">
      <c r="A15" s="88" t="s">
        <v>15540</v>
      </c>
      <c r="B15" s="88" t="e">
        <f>VLOOKUP(C15,#REF!,1,0)</f>
        <v>#REF!</v>
      </c>
      <c r="C15" s="1" t="s">
        <v>69</v>
      </c>
      <c r="D15" s="1" t="s">
        <v>70</v>
      </c>
      <c r="E15" s="1" t="s">
        <v>9380</v>
      </c>
      <c r="F15" s="1" t="s">
        <v>8959</v>
      </c>
      <c r="G15" t="s">
        <v>9183</v>
      </c>
      <c r="H15" s="1" t="s">
        <v>11258</v>
      </c>
      <c r="I15" s="1" t="s">
        <v>9725</v>
      </c>
      <c r="J15" s="2" t="s">
        <v>9036</v>
      </c>
      <c r="K15" s="1" t="s">
        <v>9036</v>
      </c>
      <c r="L15" s="1" t="s">
        <v>8951</v>
      </c>
      <c r="M15" s="1">
        <v>156</v>
      </c>
      <c r="N15" s="1" t="s">
        <v>9059</v>
      </c>
      <c r="O15" s="1" t="s">
        <v>8989</v>
      </c>
      <c r="P15" s="1" t="s">
        <v>8955</v>
      </c>
      <c r="Q15" s="1" t="s">
        <v>8956</v>
      </c>
      <c r="R15" s="1" t="s">
        <v>9103</v>
      </c>
      <c r="S15" s="1" t="s">
        <v>71</v>
      </c>
      <c r="T15" s="1" t="s">
        <v>11</v>
      </c>
      <c r="U15" s="1" t="s">
        <v>43</v>
      </c>
    </row>
    <row r="16" spans="1:21" x14ac:dyDescent="0.2">
      <c r="A16" s="88" t="s">
        <v>15541</v>
      </c>
      <c r="B16" s="88" t="e">
        <f>VLOOKUP(C16,#REF!,1,0)</f>
        <v>#REF!</v>
      </c>
      <c r="C16" s="1" t="s">
        <v>72</v>
      </c>
      <c r="D16" s="1" t="s">
        <v>73</v>
      </c>
      <c r="E16" s="1" t="s">
        <v>9650</v>
      </c>
      <c r="F16" s="1" t="s">
        <v>8957</v>
      </c>
      <c r="G16" t="s">
        <v>8959</v>
      </c>
      <c r="H16" s="1" t="s">
        <v>9252</v>
      </c>
      <c r="I16" s="1" t="s">
        <v>18504</v>
      </c>
      <c r="J16" s="2" t="s">
        <v>10381</v>
      </c>
      <c r="K16" s="1" t="s">
        <v>21752</v>
      </c>
      <c r="L16" s="1" t="s">
        <v>8951</v>
      </c>
      <c r="M16" s="1">
        <v>80000</v>
      </c>
      <c r="N16" s="1" t="s">
        <v>8953</v>
      </c>
      <c r="O16" s="1" t="s">
        <v>8954</v>
      </c>
      <c r="P16" s="1" t="s">
        <v>8955</v>
      </c>
      <c r="Q16" s="1" t="s">
        <v>8956</v>
      </c>
      <c r="R16" s="1" t="s">
        <v>8958</v>
      </c>
      <c r="S16" s="1" t="s">
        <v>18518</v>
      </c>
      <c r="T16" s="1" t="s">
        <v>7</v>
      </c>
      <c r="U16" s="1" t="s">
        <v>74</v>
      </c>
    </row>
    <row r="17" spans="1:21" x14ac:dyDescent="0.2">
      <c r="A17" s="88" t="s">
        <v>15542</v>
      </c>
      <c r="B17" s="88" t="e">
        <f>VLOOKUP(C17,#REF!,1,0)</f>
        <v>#REF!</v>
      </c>
      <c r="C17" s="1" t="s">
        <v>75</v>
      </c>
      <c r="D17" s="1" t="s">
        <v>76</v>
      </c>
      <c r="E17" s="1" t="s">
        <v>9815</v>
      </c>
      <c r="F17" s="1" t="e">
        <v>#N/A</v>
      </c>
      <c r="G17" t="s">
        <v>8959</v>
      </c>
      <c r="H17" s="1" t="s">
        <v>9035</v>
      </c>
      <c r="I17" s="1" t="s">
        <v>8998</v>
      </c>
      <c r="J17" s="2" t="s">
        <v>9212</v>
      </c>
      <c r="K17" s="1" t="s">
        <v>9212</v>
      </c>
      <c r="L17" s="1" t="s">
        <v>8951</v>
      </c>
      <c r="M17" s="1">
        <v>13028</v>
      </c>
      <c r="N17" s="1" t="s">
        <v>8953</v>
      </c>
      <c r="O17" s="1" t="s">
        <v>8954</v>
      </c>
      <c r="P17" s="1" t="s">
        <v>8955</v>
      </c>
      <c r="Q17" s="1" t="s">
        <v>8956</v>
      </c>
      <c r="R17" s="1" t="s">
        <v>8975</v>
      </c>
      <c r="S17" s="1" t="s">
        <v>20538</v>
      </c>
      <c r="T17" s="1" t="s">
        <v>7</v>
      </c>
      <c r="U17" s="1" t="s">
        <v>77</v>
      </c>
    </row>
    <row r="18" spans="1:21" x14ac:dyDescent="0.2">
      <c r="A18" s="88" t="s">
        <v>15543</v>
      </c>
      <c r="B18" s="88" t="e">
        <f>VLOOKUP(C18,#REF!,1,0)</f>
        <v>#REF!</v>
      </c>
      <c r="C18" s="1" t="s">
        <v>78</v>
      </c>
      <c r="D18" s="1" t="s">
        <v>79</v>
      </c>
      <c r="E18" s="1" t="s">
        <v>18502</v>
      </c>
      <c r="F18" s="1" t="s">
        <v>8957</v>
      </c>
      <c r="G18" t="s">
        <v>8959</v>
      </c>
      <c r="H18" s="1" t="s">
        <v>9605</v>
      </c>
      <c r="I18" s="1" t="s">
        <v>8959</v>
      </c>
      <c r="J18" s="2" t="s">
        <v>9036</v>
      </c>
      <c r="K18" s="1" t="s">
        <v>9036</v>
      </c>
      <c r="L18" s="1" t="s">
        <v>9076</v>
      </c>
      <c r="M18" s="1">
        <v>2100</v>
      </c>
      <c r="N18" s="1" t="s">
        <v>8953</v>
      </c>
      <c r="O18" s="1" t="s">
        <v>8954</v>
      </c>
      <c r="P18" s="1" t="s">
        <v>8955</v>
      </c>
      <c r="Q18" s="1" t="s">
        <v>8956</v>
      </c>
      <c r="R18" s="1" t="s">
        <v>9103</v>
      </c>
      <c r="S18" s="1" t="s">
        <v>18519</v>
      </c>
      <c r="T18" s="1" t="s">
        <v>17</v>
      </c>
      <c r="U18" s="1" t="s">
        <v>61</v>
      </c>
    </row>
    <row r="19" spans="1:21" x14ac:dyDescent="0.2">
      <c r="A19" s="88" t="s">
        <v>15544</v>
      </c>
      <c r="B19" s="88" t="e">
        <f>VLOOKUP(C19,#REF!,1,0)</f>
        <v>#REF!</v>
      </c>
      <c r="C19" s="1" t="s">
        <v>80</v>
      </c>
      <c r="D19" s="1" t="s">
        <v>81</v>
      </c>
      <c r="E19" s="1" t="s">
        <v>18502</v>
      </c>
      <c r="F19" s="1" t="s">
        <v>8959</v>
      </c>
      <c r="G19" t="s">
        <v>8959</v>
      </c>
      <c r="H19" s="1" t="s">
        <v>9173</v>
      </c>
      <c r="I19" s="1" t="s">
        <v>9174</v>
      </c>
      <c r="J19" s="2" t="s">
        <v>21529</v>
      </c>
      <c r="K19" s="1" t="s">
        <v>21529</v>
      </c>
      <c r="L19" s="1" t="s">
        <v>9292</v>
      </c>
      <c r="M19" s="1">
        <v>938</v>
      </c>
      <c r="N19" s="1" t="s">
        <v>8953</v>
      </c>
      <c r="O19" s="1" t="s">
        <v>8954</v>
      </c>
      <c r="P19" s="1" t="s">
        <v>8955</v>
      </c>
      <c r="Q19" s="1" t="s">
        <v>8956</v>
      </c>
      <c r="R19" s="1" t="s">
        <v>9103</v>
      </c>
      <c r="S19" s="1" t="s">
        <v>82</v>
      </c>
      <c r="T19" s="1" t="s">
        <v>17</v>
      </c>
      <c r="U19" s="1" t="s">
        <v>83</v>
      </c>
    </row>
    <row r="20" spans="1:21" x14ac:dyDescent="0.2">
      <c r="A20" s="88" t="s">
        <v>15545</v>
      </c>
      <c r="B20" s="88" t="e">
        <f>VLOOKUP(C20,#REF!,1,0)</f>
        <v>#REF!</v>
      </c>
      <c r="C20" s="1" t="s">
        <v>84</v>
      </c>
      <c r="D20" s="1" t="s">
        <v>85</v>
      </c>
      <c r="E20" s="1" t="s">
        <v>9968</v>
      </c>
      <c r="F20" s="1" t="s">
        <v>8959</v>
      </c>
      <c r="G20" t="s">
        <v>8959</v>
      </c>
      <c r="H20" s="1" t="s">
        <v>9100</v>
      </c>
      <c r="I20" s="1" t="s">
        <v>8949</v>
      </c>
      <c r="J20" s="2" t="s">
        <v>9036</v>
      </c>
      <c r="K20" s="1" t="s">
        <v>9036</v>
      </c>
      <c r="L20" s="1" t="s">
        <v>9133</v>
      </c>
      <c r="M20" s="1">
        <v>2256</v>
      </c>
      <c r="N20" s="1" t="s">
        <v>8953</v>
      </c>
      <c r="O20" s="1" t="s">
        <v>8954</v>
      </c>
      <c r="P20" s="1" t="s">
        <v>8955</v>
      </c>
      <c r="Q20" s="1" t="s">
        <v>8956</v>
      </c>
      <c r="R20" s="1" t="s">
        <v>9103</v>
      </c>
      <c r="S20" s="1" t="s">
        <v>86</v>
      </c>
      <c r="T20" s="1" t="s">
        <v>17</v>
      </c>
      <c r="U20" s="1" t="s">
        <v>87</v>
      </c>
    </row>
    <row r="21" spans="1:21" x14ac:dyDescent="0.2">
      <c r="A21" s="88" t="s">
        <v>15546</v>
      </c>
      <c r="B21" s="88" t="e">
        <f>VLOOKUP(C21,#REF!,1,0)</f>
        <v>#REF!</v>
      </c>
      <c r="C21" s="1" t="s">
        <v>88</v>
      </c>
      <c r="D21" s="1" t="s">
        <v>89</v>
      </c>
      <c r="E21" s="1" t="s">
        <v>9815</v>
      </c>
      <c r="F21" s="1" t="s">
        <v>8959</v>
      </c>
      <c r="G21" t="s">
        <v>8959</v>
      </c>
      <c r="H21" s="1" t="s">
        <v>9035</v>
      </c>
      <c r="I21" s="1" t="s">
        <v>8998</v>
      </c>
      <c r="J21" s="2" t="s">
        <v>21306</v>
      </c>
      <c r="K21" s="1" t="s">
        <v>21643</v>
      </c>
      <c r="L21" s="1" t="s">
        <v>21601</v>
      </c>
      <c r="M21" s="1">
        <v>244557</v>
      </c>
      <c r="N21" s="1" t="s">
        <v>8953</v>
      </c>
      <c r="O21" s="1" t="s">
        <v>8954</v>
      </c>
      <c r="P21" s="1" t="s">
        <v>8955</v>
      </c>
      <c r="Q21" s="1" t="s">
        <v>8956</v>
      </c>
      <c r="R21" s="1" t="s">
        <v>9103</v>
      </c>
      <c r="S21" s="1" t="s">
        <v>18520</v>
      </c>
      <c r="T21" s="1" t="s">
        <v>7</v>
      </c>
      <c r="U21" s="1" t="s">
        <v>90</v>
      </c>
    </row>
    <row r="22" spans="1:21" x14ac:dyDescent="0.2">
      <c r="A22" s="88" t="s">
        <v>15547</v>
      </c>
      <c r="B22" s="88" t="e">
        <f>VLOOKUP(C22,#REF!,1,0)</f>
        <v>#REF!</v>
      </c>
      <c r="C22" s="1" t="s">
        <v>91</v>
      </c>
      <c r="D22" s="1" t="s">
        <v>92</v>
      </c>
      <c r="E22" s="1" t="s">
        <v>18502</v>
      </c>
      <c r="F22" s="1" t="s">
        <v>8959</v>
      </c>
      <c r="G22" t="s">
        <v>9061</v>
      </c>
      <c r="H22" s="1" t="s">
        <v>20712</v>
      </c>
      <c r="I22" s="1" t="s">
        <v>8998</v>
      </c>
      <c r="J22" s="2" t="s">
        <v>20713</v>
      </c>
      <c r="K22" s="1" t="s">
        <v>21863</v>
      </c>
      <c r="L22" s="1" t="s">
        <v>9292</v>
      </c>
      <c r="M22" s="1">
        <v>442</v>
      </c>
      <c r="N22" s="1" t="s">
        <v>8953</v>
      </c>
      <c r="O22" s="1" t="s">
        <v>8989</v>
      </c>
      <c r="P22" s="1" t="s">
        <v>8955</v>
      </c>
      <c r="Q22" s="1" t="s">
        <v>8956</v>
      </c>
      <c r="R22" s="1" t="s">
        <v>9103</v>
      </c>
      <c r="S22" s="1" t="s">
        <v>18521</v>
      </c>
      <c r="T22" s="1" t="s">
        <v>7</v>
      </c>
      <c r="U22" s="1" t="s">
        <v>93</v>
      </c>
    </row>
    <row r="23" spans="1:21" x14ac:dyDescent="0.2">
      <c r="A23" s="88" t="s">
        <v>15548</v>
      </c>
      <c r="B23" s="88" t="e">
        <f>VLOOKUP(C23,#REF!,1,0)</f>
        <v>#REF!</v>
      </c>
      <c r="C23" s="1" t="s">
        <v>94</v>
      </c>
      <c r="D23" s="1" t="s">
        <v>95</v>
      </c>
      <c r="E23" s="1" t="s">
        <v>9815</v>
      </c>
      <c r="F23" s="1" t="s">
        <v>8959</v>
      </c>
      <c r="G23" t="s">
        <v>8959</v>
      </c>
      <c r="H23" s="1" t="s">
        <v>9100</v>
      </c>
      <c r="I23" s="1" t="s">
        <v>8949</v>
      </c>
      <c r="J23" s="2" t="s">
        <v>9018</v>
      </c>
      <c r="K23" s="1" t="s">
        <v>9018</v>
      </c>
      <c r="L23" s="1" t="s">
        <v>9292</v>
      </c>
      <c r="M23" s="1">
        <v>20</v>
      </c>
      <c r="N23" s="1" t="s">
        <v>9059</v>
      </c>
      <c r="O23" s="1" t="s">
        <v>8989</v>
      </c>
      <c r="P23" s="1" t="s">
        <v>8955</v>
      </c>
      <c r="Q23" s="1" t="s">
        <v>8956</v>
      </c>
      <c r="R23" s="1" t="s">
        <v>9103</v>
      </c>
      <c r="S23" s="1" t="s">
        <v>96</v>
      </c>
      <c r="T23" s="1" t="s">
        <v>17</v>
      </c>
      <c r="U23" s="1" t="s">
        <v>97</v>
      </c>
    </row>
    <row r="24" spans="1:21" x14ac:dyDescent="0.2">
      <c r="A24" s="88" t="s">
        <v>15549</v>
      </c>
      <c r="B24" s="88" t="e">
        <f>VLOOKUP(C24,#REF!,1,0)</f>
        <v>#REF!</v>
      </c>
      <c r="C24" s="1" t="s">
        <v>98</v>
      </c>
      <c r="D24" s="1" t="s">
        <v>99</v>
      </c>
      <c r="E24" s="1" t="s">
        <v>9852</v>
      </c>
      <c r="F24" s="1" t="s">
        <v>8957</v>
      </c>
      <c r="G24" t="s">
        <v>9009</v>
      </c>
      <c r="H24" s="1" t="s">
        <v>8984</v>
      </c>
      <c r="I24" s="1" t="s">
        <v>9422</v>
      </c>
      <c r="J24" s="2" t="s">
        <v>9036</v>
      </c>
      <c r="K24" s="1" t="s">
        <v>9036</v>
      </c>
      <c r="L24" s="1" t="s">
        <v>8951</v>
      </c>
      <c r="M24" s="1">
        <v>100</v>
      </c>
      <c r="N24" s="1" t="s">
        <v>8953</v>
      </c>
      <c r="O24" s="1" t="s">
        <v>8989</v>
      </c>
      <c r="P24" s="1" t="s">
        <v>8955</v>
      </c>
      <c r="Q24" s="1" t="s">
        <v>8956</v>
      </c>
      <c r="R24" s="1" t="s">
        <v>8958</v>
      </c>
      <c r="S24" s="1" t="s">
        <v>100</v>
      </c>
      <c r="T24" s="1" t="s">
        <v>4</v>
      </c>
      <c r="U24" s="1" t="s">
        <v>97</v>
      </c>
    </row>
    <row r="25" spans="1:21" x14ac:dyDescent="0.2">
      <c r="A25" s="88" t="s">
        <v>15553</v>
      </c>
      <c r="B25" s="88" t="e">
        <f>VLOOKUP(C25,#REF!,1,0)</f>
        <v>#REF!</v>
      </c>
      <c r="C25" s="1" t="s">
        <v>117</v>
      </c>
      <c r="D25" s="1" t="s">
        <v>118</v>
      </c>
      <c r="E25" s="1" t="s">
        <v>9176</v>
      </c>
      <c r="F25" s="1" t="s">
        <v>8959</v>
      </c>
      <c r="G25" t="s">
        <v>9061</v>
      </c>
      <c r="H25" s="1" t="s">
        <v>9100</v>
      </c>
      <c r="I25" s="1" t="s">
        <v>8959</v>
      </c>
      <c r="J25" s="2" t="s">
        <v>12408</v>
      </c>
      <c r="K25" s="1" t="s">
        <v>12408</v>
      </c>
      <c r="L25" s="1" t="s">
        <v>9292</v>
      </c>
      <c r="M25" s="1">
        <v>35</v>
      </c>
      <c r="N25" s="1" t="s">
        <v>9059</v>
      </c>
      <c r="O25" s="1" t="s">
        <v>8989</v>
      </c>
      <c r="P25" s="1" t="s">
        <v>8955</v>
      </c>
      <c r="Q25" s="1" t="s">
        <v>8956</v>
      </c>
      <c r="R25" s="1" t="s">
        <v>8958</v>
      </c>
      <c r="S25" s="1" t="s">
        <v>18527</v>
      </c>
      <c r="T25" s="1" t="s">
        <v>17</v>
      </c>
      <c r="U25" s="1" t="s">
        <v>27</v>
      </c>
    </row>
    <row r="26" spans="1:21" x14ac:dyDescent="0.2">
      <c r="A26" s="88" t="s">
        <v>15554</v>
      </c>
      <c r="B26" s="88" t="e">
        <f>VLOOKUP(C26,#REF!,1,0)</f>
        <v>#REF!</v>
      </c>
      <c r="C26" s="1" t="s">
        <v>123</v>
      </c>
      <c r="D26" s="1" t="s">
        <v>124</v>
      </c>
      <c r="E26" s="1" t="s">
        <v>9176</v>
      </c>
      <c r="F26" s="1" t="s">
        <v>8959</v>
      </c>
      <c r="G26" t="s">
        <v>8959</v>
      </c>
      <c r="H26" s="1" t="s">
        <v>9173</v>
      </c>
      <c r="I26" s="1" t="s">
        <v>9308</v>
      </c>
      <c r="J26" s="2" t="s">
        <v>21351</v>
      </c>
      <c r="K26" s="1" t="s">
        <v>21757</v>
      </c>
      <c r="L26" s="1" t="s">
        <v>9464</v>
      </c>
      <c r="M26" s="1">
        <v>6766</v>
      </c>
      <c r="N26" s="1" t="s">
        <v>8953</v>
      </c>
      <c r="O26" s="1" t="s">
        <v>8954</v>
      </c>
      <c r="P26" s="1" t="s">
        <v>8955</v>
      </c>
      <c r="Q26" s="1" t="s">
        <v>8956</v>
      </c>
      <c r="R26" s="1" t="s">
        <v>8958</v>
      </c>
      <c r="S26" s="1" t="s">
        <v>125</v>
      </c>
      <c r="T26" s="1" t="s">
        <v>17</v>
      </c>
      <c r="U26" s="1" t="s">
        <v>126</v>
      </c>
    </row>
    <row r="27" spans="1:21" x14ac:dyDescent="0.2">
      <c r="A27" s="95" t="s">
        <v>15555</v>
      </c>
      <c r="B27" s="88" t="e">
        <f>VLOOKUP(C27,#REF!,1,0)</f>
        <v>#REF!</v>
      </c>
      <c r="C27" s="97" t="s">
        <v>127</v>
      </c>
      <c r="D27" s="1" t="s">
        <v>128</v>
      </c>
      <c r="E27" s="1" t="s">
        <v>9176</v>
      </c>
      <c r="F27" s="1" t="s">
        <v>8959</v>
      </c>
      <c r="G27" t="s">
        <v>8959</v>
      </c>
      <c r="H27" s="1" t="s">
        <v>20712</v>
      </c>
      <c r="I27" s="1" t="s">
        <v>9155</v>
      </c>
      <c r="J27" s="2" t="s">
        <v>21530</v>
      </c>
      <c r="K27" s="1" t="s">
        <v>21644</v>
      </c>
      <c r="L27" s="1" t="s">
        <v>8987</v>
      </c>
      <c r="M27" s="1">
        <v>9820</v>
      </c>
      <c r="N27" s="1" t="s">
        <v>8953</v>
      </c>
      <c r="O27" s="1" t="s">
        <v>8954</v>
      </c>
      <c r="P27" s="1" t="s">
        <v>8955</v>
      </c>
      <c r="Q27" s="1" t="s">
        <v>8956</v>
      </c>
      <c r="R27" s="1" t="s">
        <v>8958</v>
      </c>
      <c r="S27" s="1" t="s">
        <v>18529</v>
      </c>
      <c r="T27" s="1" t="s">
        <v>7</v>
      </c>
      <c r="U27" s="1" t="s">
        <v>61</v>
      </c>
    </row>
    <row r="28" spans="1:21" x14ac:dyDescent="0.2">
      <c r="A28" s="88" t="s">
        <v>15556</v>
      </c>
      <c r="B28" s="88" t="e">
        <f>VLOOKUP(C28,#REF!,1,0)</f>
        <v>#REF!</v>
      </c>
      <c r="C28" s="1" t="s">
        <v>129</v>
      </c>
      <c r="D28" s="1" t="s">
        <v>130</v>
      </c>
      <c r="E28" s="1" t="s">
        <v>9213</v>
      </c>
      <c r="F28" s="1" t="s">
        <v>8974</v>
      </c>
      <c r="G28" t="s">
        <v>8959</v>
      </c>
      <c r="H28" s="1" t="s">
        <v>9049</v>
      </c>
      <c r="I28" s="1" t="s">
        <v>9050</v>
      </c>
      <c r="J28" s="2" t="s">
        <v>21222</v>
      </c>
      <c r="K28" s="1" t="s">
        <v>21222</v>
      </c>
      <c r="L28" s="1" t="s">
        <v>8951</v>
      </c>
      <c r="M28" s="1">
        <v>1542</v>
      </c>
      <c r="N28" s="1" t="s">
        <v>8953</v>
      </c>
      <c r="O28" s="1" t="s">
        <v>8989</v>
      </c>
      <c r="P28" s="1" t="s">
        <v>8955</v>
      </c>
      <c r="Q28" s="1" t="s">
        <v>8956</v>
      </c>
      <c r="R28" s="1" t="s">
        <v>8958</v>
      </c>
      <c r="S28" s="1" t="s">
        <v>131</v>
      </c>
      <c r="T28" s="1" t="s">
        <v>11</v>
      </c>
      <c r="U28" s="1" t="s">
        <v>110</v>
      </c>
    </row>
    <row r="29" spans="1:21" x14ac:dyDescent="0.2">
      <c r="A29" s="88" t="s">
        <v>15557</v>
      </c>
      <c r="B29" s="88" t="e">
        <f>VLOOKUP(C29,#REF!,1,0)</f>
        <v>#REF!</v>
      </c>
      <c r="C29" s="1" t="s">
        <v>132</v>
      </c>
      <c r="D29" s="1" t="s">
        <v>133</v>
      </c>
      <c r="E29" s="1" t="s">
        <v>9213</v>
      </c>
      <c r="F29" s="1" t="s">
        <v>8957</v>
      </c>
      <c r="G29" t="s">
        <v>9061</v>
      </c>
      <c r="H29" s="1" t="s">
        <v>8984</v>
      </c>
      <c r="I29" s="1" t="s">
        <v>8998</v>
      </c>
      <c r="J29" s="2" t="s">
        <v>10492</v>
      </c>
      <c r="K29" s="1" t="s">
        <v>21645</v>
      </c>
      <c r="L29" s="1" t="s">
        <v>21600</v>
      </c>
      <c r="M29" s="1">
        <v>70</v>
      </c>
      <c r="N29" s="1" t="s">
        <v>9059</v>
      </c>
      <c r="O29" s="1" t="s">
        <v>8989</v>
      </c>
      <c r="P29" s="1" t="s">
        <v>8955</v>
      </c>
      <c r="Q29" s="1" t="s">
        <v>8956</v>
      </c>
      <c r="R29" s="1" t="s">
        <v>8975</v>
      </c>
      <c r="S29" s="1" t="s">
        <v>18530</v>
      </c>
      <c r="T29" s="1" t="s">
        <v>17</v>
      </c>
      <c r="U29" s="1" t="s">
        <v>134</v>
      </c>
    </row>
    <row r="30" spans="1:21" x14ac:dyDescent="0.2">
      <c r="A30" s="88" t="s">
        <v>15558</v>
      </c>
      <c r="B30" s="88" t="e">
        <f>VLOOKUP(C30,#REF!,1,0)</f>
        <v>#REF!</v>
      </c>
      <c r="C30" s="1" t="s">
        <v>135</v>
      </c>
      <c r="D30" s="1" t="s">
        <v>136</v>
      </c>
      <c r="E30" s="1" t="s">
        <v>9213</v>
      </c>
      <c r="F30" s="1" t="s">
        <v>8974</v>
      </c>
      <c r="G30" t="s">
        <v>9061</v>
      </c>
      <c r="H30" s="1" t="s">
        <v>9035</v>
      </c>
      <c r="I30" s="1" t="s">
        <v>9308</v>
      </c>
      <c r="J30" s="2" t="s">
        <v>9036</v>
      </c>
      <c r="K30" s="1" t="s">
        <v>9036</v>
      </c>
      <c r="L30" s="1" t="s">
        <v>21600</v>
      </c>
      <c r="M30" s="1">
        <v>38</v>
      </c>
      <c r="N30" s="1" t="s">
        <v>9059</v>
      </c>
      <c r="O30" s="1" t="s">
        <v>8989</v>
      </c>
      <c r="P30" s="1" t="s">
        <v>8955</v>
      </c>
      <c r="Q30" s="1" t="s">
        <v>8956</v>
      </c>
      <c r="R30" s="1" t="s">
        <v>9103</v>
      </c>
      <c r="S30" s="1" t="s">
        <v>137</v>
      </c>
      <c r="T30" s="1" t="s">
        <v>11</v>
      </c>
      <c r="U30" s="1" t="s">
        <v>138</v>
      </c>
    </row>
    <row r="31" spans="1:21" x14ac:dyDescent="0.2">
      <c r="A31" s="88" t="s">
        <v>15559</v>
      </c>
      <c r="B31" s="88" t="e">
        <f>VLOOKUP(C31,#REF!,1,0)</f>
        <v>#REF!</v>
      </c>
      <c r="C31" s="1" t="s">
        <v>139</v>
      </c>
      <c r="D31" s="1" t="s">
        <v>140</v>
      </c>
      <c r="E31" s="1" t="s">
        <v>9213</v>
      </c>
      <c r="F31" s="1" t="s">
        <v>8957</v>
      </c>
      <c r="G31" t="s">
        <v>9061</v>
      </c>
      <c r="H31" s="1" t="s">
        <v>8984</v>
      </c>
      <c r="I31" s="1" t="s">
        <v>8998</v>
      </c>
      <c r="J31" s="2" t="s">
        <v>10492</v>
      </c>
      <c r="K31" s="1" t="s">
        <v>10492</v>
      </c>
      <c r="L31" s="1" t="s">
        <v>21600</v>
      </c>
      <c r="M31" s="1">
        <v>813</v>
      </c>
      <c r="N31" s="1" t="s">
        <v>9059</v>
      </c>
      <c r="O31" s="1" t="s">
        <v>8954</v>
      </c>
      <c r="P31" s="1" t="s">
        <v>8955</v>
      </c>
      <c r="Q31" s="1" t="s">
        <v>8956</v>
      </c>
      <c r="R31" s="1" t="s">
        <v>8975</v>
      </c>
      <c r="S31" s="1" t="s">
        <v>18531</v>
      </c>
      <c r="T31" s="1" t="s">
        <v>7</v>
      </c>
      <c r="U31" s="1" t="s">
        <v>138</v>
      </c>
    </row>
    <row r="32" spans="1:21" x14ac:dyDescent="0.2">
      <c r="A32" s="88" t="s">
        <v>15561</v>
      </c>
      <c r="B32" s="88" t="e">
        <f>VLOOKUP(C32,#REF!,1,0)</f>
        <v>#REF!</v>
      </c>
      <c r="C32" s="1" t="s">
        <v>145</v>
      </c>
      <c r="D32" s="1" t="s">
        <v>146</v>
      </c>
      <c r="E32" s="1" t="s">
        <v>9333</v>
      </c>
      <c r="F32" s="1" t="s">
        <v>8974</v>
      </c>
      <c r="G32" t="s">
        <v>9061</v>
      </c>
      <c r="H32" s="1" t="s">
        <v>8984</v>
      </c>
      <c r="I32" s="1" t="s">
        <v>8998</v>
      </c>
      <c r="J32" s="2" t="s">
        <v>9036</v>
      </c>
      <c r="K32" s="1" t="s">
        <v>9036</v>
      </c>
      <c r="L32" s="1" t="s">
        <v>9076</v>
      </c>
      <c r="M32" s="1">
        <v>46</v>
      </c>
      <c r="N32" s="1" t="s">
        <v>9059</v>
      </c>
      <c r="O32" s="1" t="s">
        <v>8989</v>
      </c>
      <c r="P32" s="1" t="s">
        <v>8955</v>
      </c>
      <c r="Q32" s="1" t="s">
        <v>8956</v>
      </c>
      <c r="R32" s="1" t="s">
        <v>8975</v>
      </c>
      <c r="S32" s="1" t="s">
        <v>18532</v>
      </c>
      <c r="T32" s="1" t="s">
        <v>17</v>
      </c>
      <c r="U32" s="1" t="s">
        <v>147</v>
      </c>
    </row>
    <row r="33" spans="1:21" x14ac:dyDescent="0.2">
      <c r="A33" s="88" t="s">
        <v>15562</v>
      </c>
      <c r="B33" s="88" t="e">
        <f>VLOOKUP(C33,#REF!,1,0)</f>
        <v>#REF!</v>
      </c>
      <c r="C33" s="1" t="s">
        <v>148</v>
      </c>
      <c r="D33" s="1" t="s">
        <v>149</v>
      </c>
      <c r="E33" s="1" t="s">
        <v>9333</v>
      </c>
      <c r="F33" s="1" t="s">
        <v>8957</v>
      </c>
      <c r="G33" t="s">
        <v>9009</v>
      </c>
      <c r="H33" s="1" t="s">
        <v>9075</v>
      </c>
      <c r="I33" s="1" t="s">
        <v>8949</v>
      </c>
      <c r="J33" s="130" t="s">
        <v>21264</v>
      </c>
      <c r="K33" s="1" t="s">
        <v>21264</v>
      </c>
      <c r="L33" s="1" t="s">
        <v>8987</v>
      </c>
      <c r="M33" s="1">
        <v>307</v>
      </c>
      <c r="N33" s="1" t="s">
        <v>8953</v>
      </c>
      <c r="O33" s="1" t="s">
        <v>8989</v>
      </c>
      <c r="P33" s="1" t="s">
        <v>8955</v>
      </c>
      <c r="Q33" s="1" t="s">
        <v>8956</v>
      </c>
      <c r="R33" s="1" t="s">
        <v>8975</v>
      </c>
      <c r="S33" s="1" t="s">
        <v>18533</v>
      </c>
      <c r="T33" s="1" t="s">
        <v>17</v>
      </c>
      <c r="U33" s="1" t="s">
        <v>150</v>
      </c>
    </row>
    <row r="34" spans="1:21" x14ac:dyDescent="0.2">
      <c r="A34" s="88" t="s">
        <v>15564</v>
      </c>
      <c r="B34" s="88" t="e">
        <f>VLOOKUP(C34,#REF!,1,0)</f>
        <v>#REF!</v>
      </c>
      <c r="C34" s="1" t="s">
        <v>20820</v>
      </c>
      <c r="D34" s="1" t="s">
        <v>156</v>
      </c>
      <c r="E34" s="1" t="s">
        <v>18502</v>
      </c>
      <c r="F34" s="1" t="s">
        <v>9060</v>
      </c>
      <c r="G34" t="s">
        <v>8959</v>
      </c>
      <c r="H34" s="1" t="s">
        <v>9100</v>
      </c>
      <c r="I34" s="1" t="s">
        <v>9155</v>
      </c>
      <c r="J34" s="2" t="s">
        <v>9018</v>
      </c>
      <c r="K34" s="1" t="s">
        <v>9018</v>
      </c>
      <c r="L34" s="1" t="s">
        <v>8987</v>
      </c>
      <c r="M34" s="1">
        <f>63+20</f>
        <v>83</v>
      </c>
      <c r="N34" s="1" t="s">
        <v>9059</v>
      </c>
      <c r="O34" s="1" t="s">
        <v>8954</v>
      </c>
      <c r="P34" s="1" t="s">
        <v>8955</v>
      </c>
      <c r="Q34" s="1" t="s">
        <v>8956</v>
      </c>
      <c r="R34" s="1" t="s">
        <v>8975</v>
      </c>
      <c r="S34" s="1" t="s">
        <v>20539</v>
      </c>
      <c r="T34" s="1" t="s">
        <v>7</v>
      </c>
      <c r="U34" s="1" t="s">
        <v>157</v>
      </c>
    </row>
    <row r="35" spans="1:21" x14ac:dyDescent="0.2">
      <c r="A35" s="88" t="s">
        <v>15565</v>
      </c>
      <c r="B35" s="88" t="e">
        <f>VLOOKUP(C35,#REF!,1,0)</f>
        <v>#REF!</v>
      </c>
      <c r="C35" s="1" t="s">
        <v>158</v>
      </c>
      <c r="D35" s="1" t="s">
        <v>159</v>
      </c>
      <c r="E35" s="1" t="s">
        <v>9010</v>
      </c>
      <c r="F35" s="1" t="s">
        <v>8957</v>
      </c>
      <c r="G35" t="s">
        <v>8959</v>
      </c>
      <c r="H35" s="1" t="s">
        <v>15330</v>
      </c>
      <c r="I35" s="1" t="s">
        <v>8949</v>
      </c>
      <c r="J35" s="2" t="s">
        <v>9036</v>
      </c>
      <c r="K35" s="1" t="s">
        <v>9036</v>
      </c>
      <c r="L35" s="1" t="s">
        <v>9076</v>
      </c>
      <c r="M35" s="1">
        <v>2</v>
      </c>
      <c r="N35" s="1" t="s">
        <v>9059</v>
      </c>
      <c r="O35" s="1" t="s">
        <v>8954</v>
      </c>
      <c r="P35" s="1" t="s">
        <v>8955</v>
      </c>
      <c r="Q35" s="1" t="s">
        <v>8956</v>
      </c>
      <c r="R35" s="1" t="s">
        <v>8958</v>
      </c>
      <c r="S35" s="1" t="s">
        <v>160</v>
      </c>
      <c r="T35" s="1" t="s">
        <v>17</v>
      </c>
      <c r="U35" s="1" t="s">
        <v>161</v>
      </c>
    </row>
    <row r="36" spans="1:21" x14ac:dyDescent="0.2">
      <c r="A36" s="88" t="s">
        <v>15566</v>
      </c>
      <c r="B36" s="88" t="e">
        <f>VLOOKUP(C36,#REF!,1,0)</f>
        <v>#REF!</v>
      </c>
      <c r="C36" s="1" t="s">
        <v>162</v>
      </c>
      <c r="D36" s="1" t="s">
        <v>163</v>
      </c>
      <c r="E36" s="1" t="s">
        <v>18502</v>
      </c>
      <c r="F36" s="1" t="s">
        <v>8957</v>
      </c>
      <c r="G36" t="s">
        <v>9183</v>
      </c>
      <c r="H36" s="1" t="s">
        <v>9154</v>
      </c>
      <c r="I36" s="1" t="s">
        <v>9101</v>
      </c>
      <c r="J36" s="2" t="s">
        <v>21306</v>
      </c>
      <c r="K36" s="1" t="s">
        <v>21306</v>
      </c>
      <c r="L36" s="1" t="s">
        <v>21600</v>
      </c>
      <c r="M36" s="1">
        <v>2630</v>
      </c>
      <c r="N36" s="1" t="s">
        <v>8953</v>
      </c>
      <c r="O36" s="1" t="s">
        <v>8989</v>
      </c>
      <c r="P36" s="1" t="s">
        <v>8955</v>
      </c>
      <c r="Q36" s="1" t="s">
        <v>8956</v>
      </c>
      <c r="R36" s="1" t="s">
        <v>9103</v>
      </c>
      <c r="S36" s="1" t="s">
        <v>18536</v>
      </c>
      <c r="T36" s="1" t="s">
        <v>17</v>
      </c>
      <c r="U36" s="1" t="s">
        <v>164</v>
      </c>
    </row>
    <row r="37" spans="1:21" x14ac:dyDescent="0.2">
      <c r="A37" s="88" t="s">
        <v>15567</v>
      </c>
      <c r="B37" s="88" t="e">
        <f>VLOOKUP(C37,#REF!,1,0)</f>
        <v>#REF!</v>
      </c>
      <c r="C37" s="1" t="s">
        <v>165</v>
      </c>
      <c r="D37" s="1" t="s">
        <v>166</v>
      </c>
      <c r="E37" s="1" t="s">
        <v>9968</v>
      </c>
      <c r="F37" s="1" t="s">
        <v>8974</v>
      </c>
      <c r="G37" t="s">
        <v>8959</v>
      </c>
      <c r="H37" s="1" t="s">
        <v>8948</v>
      </c>
      <c r="I37" s="1" t="s">
        <v>8949</v>
      </c>
      <c r="J37" s="2" t="s">
        <v>12500</v>
      </c>
      <c r="K37" s="1" t="s">
        <v>12500</v>
      </c>
      <c r="L37" s="1" t="s">
        <v>9133</v>
      </c>
      <c r="M37" s="1">
        <v>185</v>
      </c>
      <c r="N37" s="1" t="s">
        <v>9059</v>
      </c>
      <c r="O37" s="1" t="s">
        <v>8954</v>
      </c>
      <c r="P37" s="1" t="s">
        <v>8955</v>
      </c>
      <c r="Q37" s="1" t="s">
        <v>8956</v>
      </c>
      <c r="R37" s="1" t="s">
        <v>9103</v>
      </c>
      <c r="S37" s="1" t="s">
        <v>167</v>
      </c>
      <c r="T37" s="1" t="s">
        <v>11</v>
      </c>
      <c r="U37" s="1" t="s">
        <v>87</v>
      </c>
    </row>
    <row r="38" spans="1:21" x14ac:dyDescent="0.2">
      <c r="A38" s="88" t="s">
        <v>15568</v>
      </c>
      <c r="B38" s="88" t="e">
        <f>VLOOKUP(C38,#REF!,1,0)</f>
        <v>#REF!</v>
      </c>
      <c r="C38" s="1" t="s">
        <v>168</v>
      </c>
      <c r="D38" s="1" t="s">
        <v>169</v>
      </c>
      <c r="E38" s="1" t="s">
        <v>9333</v>
      </c>
      <c r="F38" s="1" t="s">
        <v>8959</v>
      </c>
      <c r="G38" t="s">
        <v>9183</v>
      </c>
      <c r="H38" s="1" t="s">
        <v>8948</v>
      </c>
      <c r="I38" s="1" t="s">
        <v>8949</v>
      </c>
      <c r="J38" s="2" t="s">
        <v>9018</v>
      </c>
      <c r="K38" s="1" t="s">
        <v>9018</v>
      </c>
      <c r="L38" s="1" t="s">
        <v>9133</v>
      </c>
      <c r="M38" s="1">
        <v>25600</v>
      </c>
      <c r="N38" s="1" t="s">
        <v>8953</v>
      </c>
      <c r="O38" s="1" t="s">
        <v>8989</v>
      </c>
      <c r="P38" s="1" t="s">
        <v>8955</v>
      </c>
      <c r="Q38" s="1" t="s">
        <v>8956</v>
      </c>
      <c r="R38" s="1" t="s">
        <v>9103</v>
      </c>
      <c r="S38" s="1" t="s">
        <v>18537</v>
      </c>
      <c r="T38" s="1" t="s">
        <v>7</v>
      </c>
      <c r="U38" s="1" t="s">
        <v>170</v>
      </c>
    </row>
    <row r="39" spans="1:21" x14ac:dyDescent="0.2">
      <c r="A39" s="88" t="s">
        <v>15569</v>
      </c>
      <c r="B39" s="88" t="e">
        <f>VLOOKUP(C39,#REF!,1,0)</f>
        <v>#REF!</v>
      </c>
      <c r="C39" s="1" t="s">
        <v>178</v>
      </c>
      <c r="D39" s="1" t="s">
        <v>179</v>
      </c>
      <c r="E39" s="1" t="s">
        <v>9387</v>
      </c>
      <c r="F39" s="1" t="s">
        <v>8959</v>
      </c>
      <c r="G39" t="s">
        <v>8959</v>
      </c>
      <c r="H39" s="1" t="s">
        <v>9252</v>
      </c>
      <c r="I39" s="1" t="s">
        <v>18504</v>
      </c>
      <c r="J39" s="2" t="s">
        <v>18489</v>
      </c>
      <c r="K39" s="1" t="s">
        <v>18489</v>
      </c>
      <c r="L39" s="1" t="s">
        <v>8987</v>
      </c>
      <c r="M39" s="1">
        <v>52936</v>
      </c>
      <c r="N39" s="1" t="s">
        <v>8953</v>
      </c>
      <c r="O39" s="1" t="s">
        <v>8954</v>
      </c>
      <c r="P39" s="1" t="s">
        <v>8955</v>
      </c>
      <c r="Q39" s="1" t="s">
        <v>8956</v>
      </c>
      <c r="R39" s="1" t="s">
        <v>8975</v>
      </c>
      <c r="S39" s="1" t="s">
        <v>18540</v>
      </c>
      <c r="T39" s="1" t="s">
        <v>17</v>
      </c>
      <c r="U39" s="1" t="s">
        <v>180</v>
      </c>
    </row>
    <row r="40" spans="1:21" x14ac:dyDescent="0.2">
      <c r="A40" s="88" t="s">
        <v>15570</v>
      </c>
      <c r="B40" s="88" t="e">
        <f>VLOOKUP(C40,#REF!,1,0)</f>
        <v>#REF!</v>
      </c>
      <c r="C40" s="1" t="s">
        <v>181</v>
      </c>
      <c r="D40" s="1" t="s">
        <v>182</v>
      </c>
      <c r="E40" s="1" t="s">
        <v>10873</v>
      </c>
      <c r="F40" s="1" t="s">
        <v>8957</v>
      </c>
      <c r="G40" t="s">
        <v>8959</v>
      </c>
      <c r="H40" s="1" t="s">
        <v>8948</v>
      </c>
      <c r="I40" s="1" t="s">
        <v>9308</v>
      </c>
      <c r="J40" s="2" t="s">
        <v>9036</v>
      </c>
      <c r="K40" s="1" t="s">
        <v>9036</v>
      </c>
      <c r="L40" s="1" t="s">
        <v>21600</v>
      </c>
      <c r="M40" s="1">
        <v>296</v>
      </c>
      <c r="N40" s="1" t="s">
        <v>8953</v>
      </c>
      <c r="O40" s="1" t="s">
        <v>8989</v>
      </c>
      <c r="P40" s="1" t="s">
        <v>8955</v>
      </c>
      <c r="Q40" s="1" t="s">
        <v>8956</v>
      </c>
      <c r="R40" s="1" t="s">
        <v>9103</v>
      </c>
      <c r="S40" s="1" t="s">
        <v>183</v>
      </c>
      <c r="T40" s="1" t="s">
        <v>11</v>
      </c>
      <c r="U40" s="1" t="s">
        <v>184</v>
      </c>
    </row>
    <row r="41" spans="1:21" x14ac:dyDescent="0.2">
      <c r="A41" s="88" t="s">
        <v>15571</v>
      </c>
      <c r="B41" s="88" t="e">
        <f>VLOOKUP(C41,#REF!,1,0)</f>
        <v>#REF!</v>
      </c>
      <c r="C41" s="1" t="s">
        <v>185</v>
      </c>
      <c r="D41" s="1" t="s">
        <v>186</v>
      </c>
      <c r="E41" s="1" t="s">
        <v>10032</v>
      </c>
      <c r="F41" s="1" t="s">
        <v>8957</v>
      </c>
      <c r="G41" t="s">
        <v>8959</v>
      </c>
      <c r="H41" s="1" t="s">
        <v>20714</v>
      </c>
      <c r="I41" s="1" t="s">
        <v>8959</v>
      </c>
      <c r="J41" s="2" t="s">
        <v>20715</v>
      </c>
      <c r="K41" s="1" t="s">
        <v>20715</v>
      </c>
      <c r="L41" s="1" t="s">
        <v>9464</v>
      </c>
      <c r="M41" s="1">
        <v>50</v>
      </c>
      <c r="N41" s="1" t="s">
        <v>11658</v>
      </c>
      <c r="O41" s="1" t="s">
        <v>8989</v>
      </c>
      <c r="P41" s="1" t="s">
        <v>8955</v>
      </c>
      <c r="Q41" s="1" t="s">
        <v>8956</v>
      </c>
      <c r="R41" s="1" t="s">
        <v>8975</v>
      </c>
      <c r="S41" s="1" t="s">
        <v>20540</v>
      </c>
      <c r="T41" s="1" t="s">
        <v>17</v>
      </c>
      <c r="U41" s="1" t="s">
        <v>126</v>
      </c>
    </row>
    <row r="42" spans="1:21" x14ac:dyDescent="0.2">
      <c r="A42" s="88" t="s">
        <v>15572</v>
      </c>
      <c r="B42" s="88" t="e">
        <f>VLOOKUP(C42,#REF!,1,0)</f>
        <v>#REF!</v>
      </c>
      <c r="C42" s="1" t="s">
        <v>187</v>
      </c>
      <c r="D42" s="1" t="s">
        <v>188</v>
      </c>
      <c r="E42" s="1" t="s">
        <v>18502</v>
      </c>
      <c r="F42" s="1" t="s">
        <v>8957</v>
      </c>
      <c r="G42" t="s">
        <v>8959</v>
      </c>
      <c r="H42" s="1" t="s">
        <v>9100</v>
      </c>
      <c r="I42" s="1" t="s">
        <v>9422</v>
      </c>
      <c r="J42" s="2" t="s">
        <v>9036</v>
      </c>
      <c r="K42" s="1" t="s">
        <v>9036</v>
      </c>
      <c r="L42" s="1" t="s">
        <v>21600</v>
      </c>
      <c r="M42" s="1">
        <v>966</v>
      </c>
      <c r="N42" s="1" t="s">
        <v>8953</v>
      </c>
      <c r="O42" s="1" t="s">
        <v>8989</v>
      </c>
      <c r="P42" s="1" t="s">
        <v>8955</v>
      </c>
      <c r="Q42" s="1" t="s">
        <v>8956</v>
      </c>
      <c r="R42" s="1" t="s">
        <v>8958</v>
      </c>
      <c r="S42" s="1" t="s">
        <v>18541</v>
      </c>
      <c r="T42" s="1" t="s">
        <v>17</v>
      </c>
      <c r="U42" s="1" t="s">
        <v>189</v>
      </c>
    </row>
    <row r="43" spans="1:21" x14ac:dyDescent="0.2">
      <c r="A43" s="88" t="s">
        <v>15573</v>
      </c>
      <c r="B43" s="88" t="e">
        <f>VLOOKUP(C43,#REF!,1,0)</f>
        <v>#REF!</v>
      </c>
      <c r="C43" s="1" t="s">
        <v>194</v>
      </c>
      <c r="D43" s="1" t="s">
        <v>195</v>
      </c>
      <c r="E43" s="1" t="s">
        <v>10873</v>
      </c>
      <c r="F43" s="1" t="s">
        <v>8974</v>
      </c>
      <c r="G43" t="s">
        <v>8959</v>
      </c>
      <c r="H43" s="1" t="s">
        <v>10322</v>
      </c>
      <c r="I43" s="1" t="s">
        <v>9155</v>
      </c>
      <c r="J43" s="2" t="s">
        <v>9036</v>
      </c>
      <c r="K43" s="1" t="s">
        <v>9036</v>
      </c>
      <c r="L43" s="1" t="s">
        <v>8951</v>
      </c>
      <c r="M43" s="1">
        <v>1359</v>
      </c>
      <c r="N43" s="1" t="s">
        <v>8953</v>
      </c>
      <c r="O43" s="1" t="s">
        <v>8954</v>
      </c>
      <c r="P43" s="1" t="s">
        <v>8955</v>
      </c>
      <c r="Q43" s="1" t="s">
        <v>8956</v>
      </c>
      <c r="R43" s="1" t="s">
        <v>8975</v>
      </c>
      <c r="S43" s="1" t="s">
        <v>196</v>
      </c>
      <c r="T43" s="1" t="s">
        <v>17</v>
      </c>
      <c r="U43" s="1" t="s">
        <v>126</v>
      </c>
    </row>
    <row r="44" spans="1:21" x14ac:dyDescent="0.2">
      <c r="A44" s="88" t="s">
        <v>15574</v>
      </c>
      <c r="B44" s="88" t="e">
        <f>VLOOKUP(C44,#REF!,1,0)</f>
        <v>#REF!</v>
      </c>
      <c r="C44" s="1" t="s">
        <v>197</v>
      </c>
      <c r="D44" s="1" t="s">
        <v>198</v>
      </c>
      <c r="E44" s="1" t="s">
        <v>9213</v>
      </c>
      <c r="F44" s="1" t="s">
        <v>8957</v>
      </c>
      <c r="G44" t="s">
        <v>9183</v>
      </c>
      <c r="H44" s="1" t="s">
        <v>9252</v>
      </c>
      <c r="I44" s="1" t="s">
        <v>9253</v>
      </c>
      <c r="J44" s="2" t="s">
        <v>21531</v>
      </c>
      <c r="K44" s="1" t="s">
        <v>21531</v>
      </c>
      <c r="L44" s="1" t="s">
        <v>9133</v>
      </c>
      <c r="M44" s="1">
        <v>896</v>
      </c>
      <c r="N44" s="1" t="s">
        <v>8953</v>
      </c>
      <c r="O44" s="1" t="s">
        <v>8989</v>
      </c>
      <c r="P44" s="1" t="s">
        <v>8955</v>
      </c>
      <c r="Q44" s="1" t="s">
        <v>8956</v>
      </c>
      <c r="R44" s="1" t="s">
        <v>8958</v>
      </c>
      <c r="S44" s="1" t="s">
        <v>199</v>
      </c>
      <c r="T44" s="1" t="s">
        <v>11</v>
      </c>
      <c r="U44" s="1" t="s">
        <v>200</v>
      </c>
    </row>
    <row r="45" spans="1:21" x14ac:dyDescent="0.2">
      <c r="A45" s="88" t="s">
        <v>15575</v>
      </c>
      <c r="B45" s="88" t="e">
        <f>VLOOKUP(C45,#REF!,1,0)</f>
        <v>#REF!</v>
      </c>
      <c r="C45" s="1" t="s">
        <v>205</v>
      </c>
      <c r="D45" s="1" t="s">
        <v>206</v>
      </c>
      <c r="E45" s="1" t="s">
        <v>9213</v>
      </c>
      <c r="F45" s="1" t="s">
        <v>8957</v>
      </c>
      <c r="G45" t="s">
        <v>8959</v>
      </c>
      <c r="H45" s="1" t="s">
        <v>9252</v>
      </c>
      <c r="I45" s="1" t="s">
        <v>18504</v>
      </c>
      <c r="J45" s="2" t="s">
        <v>21532</v>
      </c>
      <c r="K45" s="1" t="s">
        <v>21759</v>
      </c>
      <c r="L45" s="1" t="s">
        <v>20716</v>
      </c>
      <c r="M45" s="1">
        <v>11506</v>
      </c>
      <c r="N45" s="1" t="s">
        <v>8953</v>
      </c>
      <c r="O45" s="1" t="s">
        <v>8954</v>
      </c>
      <c r="P45" s="1" t="s">
        <v>8955</v>
      </c>
      <c r="Q45" s="1" t="s">
        <v>8956</v>
      </c>
      <c r="R45" s="1" t="s">
        <v>9103</v>
      </c>
      <c r="S45" s="1" t="s">
        <v>18544</v>
      </c>
      <c r="T45" s="1" t="s">
        <v>7</v>
      </c>
      <c r="U45" s="1" t="s">
        <v>184</v>
      </c>
    </row>
    <row r="46" spans="1:21" x14ac:dyDescent="0.2">
      <c r="A46" s="88" t="s">
        <v>15576</v>
      </c>
      <c r="B46" s="88" t="e">
        <f>VLOOKUP(C46,#REF!,1,0)</f>
        <v>#REF!</v>
      </c>
      <c r="C46" s="1" t="s">
        <v>207</v>
      </c>
      <c r="D46" s="1" t="s">
        <v>208</v>
      </c>
      <c r="E46" s="1" t="s">
        <v>10166</v>
      </c>
      <c r="F46" s="1" t="s">
        <v>8957</v>
      </c>
      <c r="G46" t="s">
        <v>8959</v>
      </c>
      <c r="H46" s="1" t="s">
        <v>8984</v>
      </c>
      <c r="I46" s="1" t="s">
        <v>9131</v>
      </c>
      <c r="J46" s="2" t="s">
        <v>9355</v>
      </c>
      <c r="K46" s="1" t="s">
        <v>21758</v>
      </c>
      <c r="L46" s="1" t="s">
        <v>8951</v>
      </c>
      <c r="M46" s="1">
        <v>1875</v>
      </c>
      <c r="N46" s="1" t="s">
        <v>8953</v>
      </c>
      <c r="O46" s="1" t="s">
        <v>8989</v>
      </c>
      <c r="P46" s="1" t="s">
        <v>8955</v>
      </c>
      <c r="Q46" s="1" t="s">
        <v>8956</v>
      </c>
      <c r="R46" s="1" t="s">
        <v>8958</v>
      </c>
      <c r="S46" s="1" t="s">
        <v>209</v>
      </c>
      <c r="T46" s="1" t="s">
        <v>17</v>
      </c>
      <c r="U46" s="1" t="s">
        <v>210</v>
      </c>
    </row>
    <row r="47" spans="1:21" x14ac:dyDescent="0.2">
      <c r="A47" s="88" t="s">
        <v>15577</v>
      </c>
      <c r="B47" s="88" t="e">
        <f>VLOOKUP(C47,#REF!,1,0)</f>
        <v>#REF!</v>
      </c>
      <c r="C47" s="1" t="s">
        <v>211</v>
      </c>
      <c r="D47" s="1" t="s">
        <v>212</v>
      </c>
      <c r="E47" s="1" t="s">
        <v>18502</v>
      </c>
      <c r="F47" s="1" t="s">
        <v>8959</v>
      </c>
      <c r="G47" t="s">
        <v>9183</v>
      </c>
      <c r="H47" s="1" t="s">
        <v>20714</v>
      </c>
      <c r="I47" s="1" t="s">
        <v>9050</v>
      </c>
      <c r="J47" s="2" t="s">
        <v>18497</v>
      </c>
      <c r="K47" s="1" t="s">
        <v>18497</v>
      </c>
      <c r="L47" s="1" t="s">
        <v>8987</v>
      </c>
      <c r="M47" s="1">
        <v>110</v>
      </c>
      <c r="N47" s="1" t="s">
        <v>8953</v>
      </c>
      <c r="O47" s="1" t="s">
        <v>8989</v>
      </c>
      <c r="P47" s="1" t="s">
        <v>8955</v>
      </c>
      <c r="Q47" s="1" t="s">
        <v>8956</v>
      </c>
      <c r="R47" s="1" t="s">
        <v>8975</v>
      </c>
      <c r="S47" s="1" t="s">
        <v>18545</v>
      </c>
      <c r="T47" s="1" t="s">
        <v>17</v>
      </c>
      <c r="U47" s="1" t="s">
        <v>213</v>
      </c>
    </row>
    <row r="48" spans="1:21" x14ac:dyDescent="0.2">
      <c r="A48" s="88" t="s">
        <v>15580</v>
      </c>
      <c r="B48" s="88" t="e">
        <f>VLOOKUP(C48,#REF!,1,0)</f>
        <v>#REF!</v>
      </c>
      <c r="C48" s="1" t="s">
        <v>218</v>
      </c>
      <c r="D48" s="1" t="s">
        <v>219</v>
      </c>
      <c r="E48" s="1" t="s">
        <v>9010</v>
      </c>
      <c r="F48" s="1" t="s">
        <v>8957</v>
      </c>
      <c r="G48" t="s">
        <v>8959</v>
      </c>
      <c r="H48" s="1" t="s">
        <v>9605</v>
      </c>
      <c r="I48" s="1" t="s">
        <v>9101</v>
      </c>
      <c r="J48" s="2" t="s">
        <v>9036</v>
      </c>
      <c r="K48" s="1" t="s">
        <v>9036</v>
      </c>
      <c r="L48" s="1" t="s">
        <v>9292</v>
      </c>
      <c r="M48" s="1">
        <v>102</v>
      </c>
      <c r="N48" s="1" t="s">
        <v>8953</v>
      </c>
      <c r="O48" s="1" t="s">
        <v>8954</v>
      </c>
      <c r="P48" s="1" t="s">
        <v>8955</v>
      </c>
      <c r="Q48" s="1" t="s">
        <v>8956</v>
      </c>
      <c r="R48" s="1" t="s">
        <v>8958</v>
      </c>
      <c r="S48" s="1" t="s">
        <v>220</v>
      </c>
      <c r="T48" s="1" t="s">
        <v>17</v>
      </c>
      <c r="U48" s="1" t="s">
        <v>15</v>
      </c>
    </row>
    <row r="49" spans="1:21" x14ac:dyDescent="0.2">
      <c r="A49" s="88" t="s">
        <v>15581</v>
      </c>
      <c r="B49" s="88" t="e">
        <f>VLOOKUP(C49,#REF!,1,0)</f>
        <v>#REF!</v>
      </c>
      <c r="C49" s="1" t="s">
        <v>221</v>
      </c>
      <c r="D49" s="1" t="s">
        <v>222</v>
      </c>
      <c r="E49" s="1" t="s">
        <v>9010</v>
      </c>
      <c r="F49" s="1" t="s">
        <v>8959</v>
      </c>
      <c r="G49" t="s">
        <v>9061</v>
      </c>
      <c r="H49" s="1" t="s">
        <v>8948</v>
      </c>
      <c r="I49" s="1" t="s">
        <v>8949</v>
      </c>
      <c r="J49" s="2" t="s">
        <v>9036</v>
      </c>
      <c r="K49" s="1" t="s">
        <v>9036</v>
      </c>
      <c r="L49" s="1" t="s">
        <v>21600</v>
      </c>
      <c r="M49" s="1">
        <v>68</v>
      </c>
      <c r="N49" s="1" t="s">
        <v>9059</v>
      </c>
      <c r="O49" s="1" t="s">
        <v>8989</v>
      </c>
      <c r="P49" s="1" t="s">
        <v>8955</v>
      </c>
      <c r="Q49" s="1" t="s">
        <v>8956</v>
      </c>
      <c r="R49" s="1" t="s">
        <v>9103</v>
      </c>
      <c r="S49" s="1" t="s">
        <v>223</v>
      </c>
      <c r="T49" s="1" t="s">
        <v>11</v>
      </c>
      <c r="U49" s="1" t="s">
        <v>93</v>
      </c>
    </row>
    <row r="50" spans="1:21" x14ac:dyDescent="0.2">
      <c r="A50" s="88" t="s">
        <v>15583</v>
      </c>
      <c r="B50" s="88" t="e">
        <f>VLOOKUP(C50,#REF!,1,0)</f>
        <v>#REF!</v>
      </c>
      <c r="C50" s="1" t="s">
        <v>226</v>
      </c>
      <c r="D50" s="1" t="s">
        <v>227</v>
      </c>
      <c r="E50" s="1" t="s">
        <v>20718</v>
      </c>
      <c r="F50" s="1" t="s">
        <v>8974</v>
      </c>
      <c r="G50" t="s">
        <v>8959</v>
      </c>
      <c r="H50" s="1" t="s">
        <v>9035</v>
      </c>
      <c r="I50" s="1" t="s">
        <v>9308</v>
      </c>
      <c r="J50" s="2" t="s">
        <v>18491</v>
      </c>
      <c r="K50" s="1" t="s">
        <v>18491</v>
      </c>
      <c r="L50" s="1" t="s">
        <v>8951</v>
      </c>
      <c r="M50" s="1">
        <v>108948</v>
      </c>
      <c r="N50" s="1" t="s">
        <v>8953</v>
      </c>
      <c r="O50" s="1" t="s">
        <v>8954</v>
      </c>
      <c r="P50" s="1" t="s">
        <v>8955</v>
      </c>
      <c r="Q50" s="1" t="s">
        <v>8956</v>
      </c>
      <c r="R50" s="1" t="s">
        <v>9103</v>
      </c>
      <c r="S50" s="1" t="s">
        <v>228</v>
      </c>
      <c r="T50" s="1" t="s">
        <v>7</v>
      </c>
      <c r="U50" s="1" t="s">
        <v>229</v>
      </c>
    </row>
    <row r="51" spans="1:21" x14ac:dyDescent="0.2">
      <c r="A51" s="88" t="s">
        <v>15585</v>
      </c>
      <c r="B51" s="88" t="e">
        <f>VLOOKUP(C51,#REF!,1,0)</f>
        <v>#REF!</v>
      </c>
      <c r="C51" s="1" t="s">
        <v>232</v>
      </c>
      <c r="D51" s="1" t="s">
        <v>233</v>
      </c>
      <c r="E51" s="1" t="s">
        <v>20718</v>
      </c>
      <c r="F51" s="1" t="s">
        <v>8959</v>
      </c>
      <c r="G51" t="s">
        <v>8959</v>
      </c>
      <c r="H51" s="1" t="s">
        <v>9035</v>
      </c>
      <c r="I51" s="1" t="s">
        <v>9308</v>
      </c>
      <c r="J51" s="2" t="s">
        <v>21265</v>
      </c>
      <c r="K51" s="1" t="s">
        <v>21265</v>
      </c>
      <c r="L51" s="1" t="s">
        <v>8951</v>
      </c>
      <c r="M51" s="1">
        <v>1765</v>
      </c>
      <c r="N51" s="1" t="s">
        <v>8953</v>
      </c>
      <c r="O51" s="1" t="s">
        <v>8954</v>
      </c>
      <c r="P51" s="1" t="s">
        <v>8955</v>
      </c>
      <c r="Q51" s="1" t="s">
        <v>8956</v>
      </c>
      <c r="R51" s="1" t="s">
        <v>9103</v>
      </c>
      <c r="S51" s="1" t="s">
        <v>18549</v>
      </c>
      <c r="T51" s="1" t="s">
        <v>7</v>
      </c>
      <c r="U51" s="1" t="s">
        <v>234</v>
      </c>
    </row>
    <row r="52" spans="1:21" x14ac:dyDescent="0.2">
      <c r="A52" s="88" t="s">
        <v>15587</v>
      </c>
      <c r="B52" s="88" t="e">
        <f>VLOOKUP(C52,#REF!,1,0)</f>
        <v>#REF!</v>
      </c>
      <c r="C52" s="1" t="s">
        <v>239</v>
      </c>
      <c r="D52" s="1" t="s">
        <v>240</v>
      </c>
      <c r="E52" s="1" t="s">
        <v>9317</v>
      </c>
      <c r="F52" s="1" t="s">
        <v>8959</v>
      </c>
      <c r="G52" t="s">
        <v>9009</v>
      </c>
      <c r="H52" s="1" t="s">
        <v>9252</v>
      </c>
      <c r="I52" s="1" t="s">
        <v>9121</v>
      </c>
      <c r="J52" s="2" t="s">
        <v>9036</v>
      </c>
      <c r="K52" s="1" t="s">
        <v>9036</v>
      </c>
      <c r="L52" s="1" t="s">
        <v>8951</v>
      </c>
      <c r="M52" s="1">
        <v>666</v>
      </c>
      <c r="N52" s="1" t="s">
        <v>8953</v>
      </c>
      <c r="O52" s="1" t="s">
        <v>8989</v>
      </c>
      <c r="P52" s="1" t="s">
        <v>8955</v>
      </c>
      <c r="Q52" s="1" t="s">
        <v>8956</v>
      </c>
      <c r="R52" s="1" t="s">
        <v>8958</v>
      </c>
      <c r="S52" s="1" t="s">
        <v>241</v>
      </c>
      <c r="T52" s="1" t="s">
        <v>242</v>
      </c>
      <c r="U52" s="1" t="s">
        <v>61</v>
      </c>
    </row>
    <row r="53" spans="1:21" x14ac:dyDescent="0.2">
      <c r="A53" s="88" t="s">
        <v>15589</v>
      </c>
      <c r="B53" s="88" t="e">
        <f>VLOOKUP(C53,#REF!,1,0)</f>
        <v>#REF!</v>
      </c>
      <c r="C53" s="1" t="s">
        <v>246</v>
      </c>
      <c r="D53" s="1" t="s">
        <v>247</v>
      </c>
      <c r="E53" s="1" t="s">
        <v>9317</v>
      </c>
      <c r="F53" s="1" t="s">
        <v>9060</v>
      </c>
      <c r="G53" t="s">
        <v>9061</v>
      </c>
      <c r="H53" s="1" t="s">
        <v>9075</v>
      </c>
      <c r="I53" s="1" t="s">
        <v>8949</v>
      </c>
      <c r="J53" s="2" t="s">
        <v>9036</v>
      </c>
      <c r="K53" s="1" t="s">
        <v>9036</v>
      </c>
      <c r="L53" s="1" t="s">
        <v>8987</v>
      </c>
      <c r="M53" s="1">
        <v>318</v>
      </c>
      <c r="N53" s="1" t="s">
        <v>8953</v>
      </c>
      <c r="O53" s="1" t="s">
        <v>8989</v>
      </c>
      <c r="P53" s="1" t="s">
        <v>8955</v>
      </c>
      <c r="Q53" s="1" t="s">
        <v>8956</v>
      </c>
      <c r="R53" s="1" t="s">
        <v>9103</v>
      </c>
      <c r="S53" s="1" t="s">
        <v>18551</v>
      </c>
      <c r="T53" s="1" t="s">
        <v>7</v>
      </c>
      <c r="U53" s="1" t="s">
        <v>147</v>
      </c>
    </row>
    <row r="54" spans="1:21" x14ac:dyDescent="0.2">
      <c r="A54" s="88" t="s">
        <v>15590</v>
      </c>
      <c r="B54" s="88" t="e">
        <f>VLOOKUP(C54,#REF!,1,0)</f>
        <v>#REF!</v>
      </c>
      <c r="C54" s="1" t="s">
        <v>248</v>
      </c>
      <c r="D54" s="1" t="s">
        <v>249</v>
      </c>
      <c r="E54" s="1" t="s">
        <v>10873</v>
      </c>
      <c r="F54" s="1" t="s">
        <v>8957</v>
      </c>
      <c r="G54" t="s">
        <v>8959</v>
      </c>
      <c r="H54" s="1" t="s">
        <v>9605</v>
      </c>
      <c r="I54" s="1" t="s">
        <v>9422</v>
      </c>
      <c r="J54" s="2" t="s">
        <v>9036</v>
      </c>
      <c r="K54" s="1" t="s">
        <v>9036</v>
      </c>
      <c r="L54" s="1" t="s">
        <v>21600</v>
      </c>
      <c r="M54" s="1">
        <v>2964</v>
      </c>
      <c r="N54" s="1" t="s">
        <v>8953</v>
      </c>
      <c r="O54" s="1" t="s">
        <v>8954</v>
      </c>
      <c r="P54" s="1" t="s">
        <v>8955</v>
      </c>
      <c r="Q54" s="1" t="s">
        <v>8956</v>
      </c>
      <c r="R54" s="1" t="s">
        <v>9103</v>
      </c>
      <c r="S54" s="1" t="s">
        <v>18552</v>
      </c>
      <c r="T54" s="1" t="s">
        <v>7</v>
      </c>
      <c r="U54" s="1" t="s">
        <v>126</v>
      </c>
    </row>
    <row r="55" spans="1:21" x14ac:dyDescent="0.2">
      <c r="A55" s="88" t="s">
        <v>15592</v>
      </c>
      <c r="B55" s="88" t="e">
        <f>VLOOKUP(C55,#REF!,1,0)</f>
        <v>#REF!</v>
      </c>
      <c r="C55" s="1" t="s">
        <v>253</v>
      </c>
      <c r="D55" s="1" t="s">
        <v>254</v>
      </c>
      <c r="E55" s="1" t="s">
        <v>10873</v>
      </c>
      <c r="F55" s="1" t="s">
        <v>8957</v>
      </c>
      <c r="G55" t="s">
        <v>8959</v>
      </c>
      <c r="H55" s="1" t="s">
        <v>20712</v>
      </c>
      <c r="I55" s="1" t="s">
        <v>9131</v>
      </c>
      <c r="J55" s="2" t="s">
        <v>21533</v>
      </c>
      <c r="K55" s="1" t="s">
        <v>21533</v>
      </c>
      <c r="L55" s="1" t="s">
        <v>21602</v>
      </c>
      <c r="M55" s="1">
        <v>2192</v>
      </c>
      <c r="N55" s="1" t="s">
        <v>11658</v>
      </c>
      <c r="O55" s="1" t="s">
        <v>8954</v>
      </c>
      <c r="P55" s="1" t="s">
        <v>8955</v>
      </c>
      <c r="Q55" s="1" t="s">
        <v>8956</v>
      </c>
      <c r="R55" s="1" t="s">
        <v>8975</v>
      </c>
      <c r="S55" s="1" t="s">
        <v>18554</v>
      </c>
      <c r="T55" s="1" t="s">
        <v>7</v>
      </c>
      <c r="U55" s="1" t="s">
        <v>24</v>
      </c>
    </row>
    <row r="56" spans="1:21" x14ac:dyDescent="0.2">
      <c r="A56" s="88" t="s">
        <v>15593</v>
      </c>
      <c r="B56" s="88" t="e">
        <f>VLOOKUP(C56,#REF!,1,0)</f>
        <v>#REF!</v>
      </c>
      <c r="C56" s="1" t="s">
        <v>255</v>
      </c>
      <c r="D56" s="1" t="s">
        <v>256</v>
      </c>
      <c r="E56" s="1" t="s">
        <v>9317</v>
      </c>
      <c r="F56" s="1" t="s">
        <v>8957</v>
      </c>
      <c r="G56" t="s">
        <v>8959</v>
      </c>
      <c r="H56" s="1" t="s">
        <v>9075</v>
      </c>
      <c r="I56" s="1" t="s">
        <v>9422</v>
      </c>
      <c r="J56" s="2" t="s">
        <v>9036</v>
      </c>
      <c r="K56" s="1" t="s">
        <v>9036</v>
      </c>
      <c r="L56" s="1" t="s">
        <v>8987</v>
      </c>
      <c r="M56" s="1">
        <v>30</v>
      </c>
      <c r="N56" s="1" t="s">
        <v>9059</v>
      </c>
      <c r="O56" s="1" t="s">
        <v>8989</v>
      </c>
      <c r="P56" s="1" t="s">
        <v>8955</v>
      </c>
      <c r="Q56" s="1" t="s">
        <v>8956</v>
      </c>
      <c r="R56" s="1" t="s">
        <v>8975</v>
      </c>
      <c r="S56" s="1" t="s">
        <v>18555</v>
      </c>
      <c r="T56" s="1" t="s">
        <v>17</v>
      </c>
      <c r="U56" s="1" t="s">
        <v>257</v>
      </c>
    </row>
    <row r="57" spans="1:21" x14ac:dyDescent="0.2">
      <c r="A57" s="88" t="s">
        <v>15594</v>
      </c>
      <c r="B57" s="88" t="e">
        <f>VLOOKUP(C57,#REF!,1,0)</f>
        <v>#REF!</v>
      </c>
      <c r="C57" s="1" t="s">
        <v>258</v>
      </c>
      <c r="D57" s="1" t="s">
        <v>259</v>
      </c>
      <c r="E57" s="1" t="s">
        <v>20722</v>
      </c>
      <c r="F57" s="1" t="s">
        <v>8959</v>
      </c>
      <c r="G57" t="s">
        <v>8959</v>
      </c>
      <c r="H57" s="1" t="s">
        <v>9075</v>
      </c>
      <c r="I57" s="1" t="s">
        <v>8949</v>
      </c>
      <c r="J57" s="2" t="s">
        <v>10525</v>
      </c>
      <c r="K57" s="1" t="s">
        <v>10525</v>
      </c>
      <c r="L57" s="1" t="s">
        <v>21600</v>
      </c>
      <c r="M57" s="1">
        <v>2356</v>
      </c>
      <c r="N57" s="1" t="s">
        <v>8953</v>
      </c>
      <c r="O57" s="1" t="s">
        <v>8989</v>
      </c>
      <c r="P57" s="1" t="s">
        <v>8955</v>
      </c>
      <c r="Q57" s="1" t="s">
        <v>8956</v>
      </c>
      <c r="R57" s="1" t="s">
        <v>9103</v>
      </c>
      <c r="S57" s="1" t="s">
        <v>18556</v>
      </c>
      <c r="T57" s="1" t="s">
        <v>17</v>
      </c>
      <c r="U57" s="1" t="s">
        <v>87</v>
      </c>
    </row>
    <row r="58" spans="1:21" x14ac:dyDescent="0.2">
      <c r="A58" s="88" t="s">
        <v>15595</v>
      </c>
      <c r="B58" s="88" t="e">
        <f>VLOOKUP(C58,#REF!,1,0)</f>
        <v>#REF!</v>
      </c>
      <c r="C58" s="1" t="s">
        <v>260</v>
      </c>
      <c r="D58" s="1" t="s">
        <v>261</v>
      </c>
      <c r="E58" s="1" t="s">
        <v>10032</v>
      </c>
      <c r="F58" s="1" t="s">
        <v>8957</v>
      </c>
      <c r="G58" t="s">
        <v>8959</v>
      </c>
      <c r="H58" s="1" t="s">
        <v>9100</v>
      </c>
      <c r="I58" s="1" t="s">
        <v>8971</v>
      </c>
      <c r="J58" s="2" t="s">
        <v>9036</v>
      </c>
      <c r="K58" s="1" t="s">
        <v>9036</v>
      </c>
      <c r="L58" s="1" t="s">
        <v>9292</v>
      </c>
      <c r="M58" s="1">
        <v>10337</v>
      </c>
      <c r="N58" s="1" t="s">
        <v>8953</v>
      </c>
      <c r="O58" s="1" t="s">
        <v>8989</v>
      </c>
      <c r="P58" s="1" t="s">
        <v>8955</v>
      </c>
      <c r="Q58" s="1" t="s">
        <v>8956</v>
      </c>
      <c r="R58" s="1" t="s">
        <v>9103</v>
      </c>
      <c r="S58" s="1" t="s">
        <v>18557</v>
      </c>
      <c r="T58" s="1" t="s">
        <v>17</v>
      </c>
      <c r="U58" s="1" t="s">
        <v>43</v>
      </c>
    </row>
    <row r="59" spans="1:21" x14ac:dyDescent="0.2">
      <c r="A59" s="88" t="s">
        <v>15596</v>
      </c>
      <c r="B59" s="88" t="e">
        <f>VLOOKUP(C59,#REF!,1,0)</f>
        <v>#REF!</v>
      </c>
      <c r="C59" s="1" t="s">
        <v>262</v>
      </c>
      <c r="D59" s="1" t="s">
        <v>263</v>
      </c>
      <c r="E59" s="1" t="s">
        <v>9010</v>
      </c>
      <c r="F59" s="1" t="s">
        <v>8959</v>
      </c>
      <c r="G59" t="s">
        <v>9183</v>
      </c>
      <c r="H59" s="1" t="s">
        <v>9605</v>
      </c>
      <c r="I59" s="1" t="s">
        <v>9101</v>
      </c>
      <c r="J59" s="2" t="s">
        <v>8972</v>
      </c>
      <c r="K59" s="1" t="s">
        <v>8972</v>
      </c>
      <c r="L59" s="1" t="s">
        <v>21600</v>
      </c>
      <c r="M59" s="1">
        <v>108</v>
      </c>
      <c r="N59" s="1" t="s">
        <v>8953</v>
      </c>
      <c r="O59" s="1" t="s">
        <v>8989</v>
      </c>
      <c r="P59" s="1" t="s">
        <v>8955</v>
      </c>
      <c r="Q59" s="1" t="s">
        <v>8956</v>
      </c>
      <c r="R59" s="1" t="s">
        <v>8958</v>
      </c>
      <c r="S59" s="1" t="s">
        <v>264</v>
      </c>
      <c r="T59" s="1" t="s">
        <v>11</v>
      </c>
      <c r="U59" s="1" t="s">
        <v>15</v>
      </c>
    </row>
    <row r="60" spans="1:21" x14ac:dyDescent="0.2">
      <c r="A60" s="88" t="s">
        <v>15597</v>
      </c>
      <c r="B60" s="88" t="e">
        <f>VLOOKUP(C60,#REF!,1,0)</f>
        <v>#REF!</v>
      </c>
      <c r="C60" s="1" t="s">
        <v>265</v>
      </c>
      <c r="D60" s="1" t="s">
        <v>266</v>
      </c>
      <c r="E60" s="1" t="s">
        <v>18502</v>
      </c>
      <c r="F60" s="1" t="s">
        <v>8959</v>
      </c>
      <c r="G60" t="s">
        <v>9009</v>
      </c>
      <c r="H60" s="1" t="s">
        <v>9173</v>
      </c>
      <c r="I60" s="1" t="s">
        <v>9174</v>
      </c>
      <c r="J60" s="2" t="s">
        <v>20723</v>
      </c>
      <c r="K60" s="1" t="s">
        <v>20723</v>
      </c>
      <c r="L60" s="1" t="s">
        <v>9292</v>
      </c>
      <c r="M60" s="1">
        <v>10015</v>
      </c>
      <c r="N60" s="1" t="s">
        <v>8953</v>
      </c>
      <c r="O60" s="1" t="s">
        <v>8954</v>
      </c>
      <c r="P60" s="1" t="s">
        <v>8955</v>
      </c>
      <c r="Q60" s="1" t="s">
        <v>8956</v>
      </c>
      <c r="R60" s="1" t="s">
        <v>8958</v>
      </c>
      <c r="S60" s="1" t="s">
        <v>18558</v>
      </c>
      <c r="T60" s="1" t="s">
        <v>7</v>
      </c>
      <c r="U60" s="1" t="s">
        <v>267</v>
      </c>
    </row>
    <row r="61" spans="1:21" x14ac:dyDescent="0.2">
      <c r="A61" s="88" t="s">
        <v>15598</v>
      </c>
      <c r="B61" s="88" t="e">
        <f>VLOOKUP(C61,#REF!,1,0)</f>
        <v>#REF!</v>
      </c>
      <c r="C61" s="1" t="s">
        <v>268</v>
      </c>
      <c r="D61" s="1" t="s">
        <v>269</v>
      </c>
      <c r="E61" s="1" t="s">
        <v>9213</v>
      </c>
      <c r="F61" s="1" t="s">
        <v>8957</v>
      </c>
      <c r="G61" t="s">
        <v>9183</v>
      </c>
      <c r="H61" s="1" t="s">
        <v>9173</v>
      </c>
      <c r="I61" s="1" t="s">
        <v>9174</v>
      </c>
      <c r="J61" s="2" t="s">
        <v>21308</v>
      </c>
      <c r="K61" s="1" t="s">
        <v>21308</v>
      </c>
      <c r="L61" s="1" t="s">
        <v>21600</v>
      </c>
      <c r="M61" s="1">
        <v>2750</v>
      </c>
      <c r="N61" s="1" t="s">
        <v>9059</v>
      </c>
      <c r="O61" s="1" t="s">
        <v>8954</v>
      </c>
      <c r="P61" s="1" t="s">
        <v>8955</v>
      </c>
      <c r="Q61" s="1" t="s">
        <v>8956</v>
      </c>
      <c r="R61" s="1" t="s">
        <v>8958</v>
      </c>
      <c r="S61" s="1" t="s">
        <v>270</v>
      </c>
      <c r="T61" s="1" t="s">
        <v>11</v>
      </c>
      <c r="U61" s="1" t="s">
        <v>184</v>
      </c>
    </row>
    <row r="62" spans="1:21" x14ac:dyDescent="0.2">
      <c r="A62" s="88" t="s">
        <v>15599</v>
      </c>
      <c r="B62" s="88" t="e">
        <f>VLOOKUP(C62,#REF!,1,0)</f>
        <v>#REF!</v>
      </c>
      <c r="C62" s="1" t="s">
        <v>271</v>
      </c>
      <c r="D62" s="1" t="s">
        <v>272</v>
      </c>
      <c r="E62" s="1" t="s">
        <v>9213</v>
      </c>
      <c r="F62" s="1" t="s">
        <v>8957</v>
      </c>
      <c r="G62" t="s">
        <v>9009</v>
      </c>
      <c r="H62" s="1" t="s">
        <v>9252</v>
      </c>
      <c r="I62" s="1" t="s">
        <v>9253</v>
      </c>
      <c r="J62" s="2" t="s">
        <v>9212</v>
      </c>
      <c r="K62" s="1" t="s">
        <v>10607</v>
      </c>
      <c r="L62" s="1" t="s">
        <v>8987</v>
      </c>
      <c r="M62" s="1">
        <v>600</v>
      </c>
      <c r="N62" s="1" t="s">
        <v>8953</v>
      </c>
      <c r="O62" s="1" t="s">
        <v>8989</v>
      </c>
      <c r="P62" s="1" t="s">
        <v>8955</v>
      </c>
      <c r="Q62" s="1" t="s">
        <v>8956</v>
      </c>
      <c r="R62" s="1" t="s">
        <v>8975</v>
      </c>
      <c r="S62" s="1" t="s">
        <v>273</v>
      </c>
      <c r="T62" s="1" t="s">
        <v>11</v>
      </c>
      <c r="U62" s="1" t="s">
        <v>184</v>
      </c>
    </row>
    <row r="63" spans="1:21" x14ac:dyDescent="0.2">
      <c r="A63" s="88" t="s">
        <v>15600</v>
      </c>
      <c r="B63" s="88" t="e">
        <f>VLOOKUP(C63,#REF!,1,0)</f>
        <v>#REF!</v>
      </c>
      <c r="C63" s="1" t="s">
        <v>274</v>
      </c>
      <c r="D63" s="1" t="s">
        <v>275</v>
      </c>
      <c r="E63" s="1" t="s">
        <v>9213</v>
      </c>
      <c r="F63" s="1" t="s">
        <v>8957</v>
      </c>
      <c r="G63" t="s">
        <v>8959</v>
      </c>
      <c r="H63" s="1" t="s">
        <v>9252</v>
      </c>
      <c r="I63" s="1" t="s">
        <v>9253</v>
      </c>
      <c r="J63" s="2" t="s">
        <v>9212</v>
      </c>
      <c r="K63" s="1" t="s">
        <v>10607</v>
      </c>
      <c r="L63" s="1" t="s">
        <v>8951</v>
      </c>
      <c r="M63" s="1">
        <v>600</v>
      </c>
      <c r="N63" s="1" t="s">
        <v>8953</v>
      </c>
      <c r="O63" s="1" t="s">
        <v>8989</v>
      </c>
      <c r="P63" s="1" t="s">
        <v>8955</v>
      </c>
      <c r="Q63" s="1" t="s">
        <v>8956</v>
      </c>
      <c r="R63" s="1" t="s">
        <v>8975</v>
      </c>
      <c r="S63" s="1" t="s">
        <v>276</v>
      </c>
      <c r="T63" s="1" t="s">
        <v>4</v>
      </c>
      <c r="U63" s="1" t="s">
        <v>46</v>
      </c>
    </row>
    <row r="64" spans="1:21" x14ac:dyDescent="0.2">
      <c r="A64" s="88" t="s">
        <v>15601</v>
      </c>
      <c r="B64" s="88" t="e">
        <f>VLOOKUP(C64,#REF!,1,0)</f>
        <v>#REF!</v>
      </c>
      <c r="C64" s="1" t="s">
        <v>277</v>
      </c>
      <c r="D64" s="1" t="s">
        <v>278</v>
      </c>
      <c r="E64" s="1" t="s">
        <v>9213</v>
      </c>
      <c r="F64" s="1" t="s">
        <v>8957</v>
      </c>
      <c r="G64" t="s">
        <v>8959</v>
      </c>
      <c r="H64" s="1" t="s">
        <v>8948</v>
      </c>
      <c r="I64" s="1" t="s">
        <v>8949</v>
      </c>
      <c r="J64" s="2" t="s">
        <v>20724</v>
      </c>
      <c r="K64" s="1" t="s">
        <v>21647</v>
      </c>
      <c r="L64" s="1" t="s">
        <v>8951</v>
      </c>
      <c r="M64" s="1">
        <v>188</v>
      </c>
      <c r="N64" s="1" t="s">
        <v>8953</v>
      </c>
      <c r="O64" s="1" t="s">
        <v>8989</v>
      </c>
      <c r="P64" s="1" t="s">
        <v>8955</v>
      </c>
      <c r="Q64" s="1" t="s">
        <v>8956</v>
      </c>
      <c r="R64" s="1" t="s">
        <v>8958</v>
      </c>
      <c r="S64" s="1" t="s">
        <v>18559</v>
      </c>
      <c r="T64" s="1" t="s">
        <v>7</v>
      </c>
      <c r="U64" s="1" t="s">
        <v>46</v>
      </c>
    </row>
    <row r="65" spans="1:21" x14ac:dyDescent="0.2">
      <c r="A65" s="88" t="s">
        <v>15602</v>
      </c>
      <c r="B65" s="88" t="e">
        <f>VLOOKUP(C65,#REF!,1,0)</f>
        <v>#REF!</v>
      </c>
      <c r="C65" s="1" t="s">
        <v>282</v>
      </c>
      <c r="D65" s="1" t="s">
        <v>283</v>
      </c>
      <c r="E65" s="1" t="s">
        <v>20718</v>
      </c>
      <c r="F65" s="1" t="s">
        <v>8974</v>
      </c>
      <c r="G65" t="s">
        <v>8959</v>
      </c>
      <c r="H65" s="1" t="s">
        <v>8984</v>
      </c>
      <c r="I65" s="1" t="s">
        <v>8998</v>
      </c>
      <c r="J65" s="2" t="s">
        <v>21309</v>
      </c>
      <c r="K65" s="1" t="s">
        <v>21309</v>
      </c>
      <c r="L65" s="1" t="s">
        <v>21600</v>
      </c>
      <c r="M65" s="1">
        <v>2063</v>
      </c>
      <c r="N65" s="1" t="s">
        <v>8953</v>
      </c>
      <c r="O65" s="1" t="s">
        <v>8989</v>
      </c>
      <c r="P65" s="1" t="s">
        <v>8955</v>
      </c>
      <c r="Q65" s="1" t="s">
        <v>8956</v>
      </c>
      <c r="R65" s="1" t="s">
        <v>8958</v>
      </c>
      <c r="S65" s="1" t="s">
        <v>18561</v>
      </c>
      <c r="T65" s="1" t="s">
        <v>7</v>
      </c>
      <c r="U65" s="1" t="s">
        <v>210</v>
      </c>
    </row>
    <row r="66" spans="1:21" x14ac:dyDescent="0.2">
      <c r="A66" s="88" t="s">
        <v>15603</v>
      </c>
      <c r="B66" s="88" t="e">
        <f>VLOOKUP(C66,#REF!,1,0)</f>
        <v>#REF!</v>
      </c>
      <c r="C66" s="1" t="s">
        <v>284</v>
      </c>
      <c r="D66" s="1" t="s">
        <v>285</v>
      </c>
      <c r="E66" s="1" t="s">
        <v>18502</v>
      </c>
      <c r="F66" s="1" t="s">
        <v>8957</v>
      </c>
      <c r="G66" t="s">
        <v>8959</v>
      </c>
      <c r="H66" s="1" t="s">
        <v>20712</v>
      </c>
      <c r="I66" s="1" t="s">
        <v>9155</v>
      </c>
      <c r="J66" s="2" t="s">
        <v>21310</v>
      </c>
      <c r="K66" s="1" t="s">
        <v>21310</v>
      </c>
      <c r="L66" s="1" t="s">
        <v>21600</v>
      </c>
      <c r="M66" s="1">
        <v>440000</v>
      </c>
      <c r="N66" s="1" t="s">
        <v>8953</v>
      </c>
      <c r="O66" s="1" t="s">
        <v>8954</v>
      </c>
      <c r="P66" s="1" t="s">
        <v>8955</v>
      </c>
      <c r="Q66" s="1" t="s">
        <v>8956</v>
      </c>
      <c r="R66" s="1" t="s">
        <v>8958</v>
      </c>
      <c r="S66" s="1" t="s">
        <v>18562</v>
      </c>
      <c r="T66" s="1" t="s">
        <v>17</v>
      </c>
      <c r="U66" s="1" t="s">
        <v>286</v>
      </c>
    </row>
    <row r="67" spans="1:21" x14ac:dyDescent="0.2">
      <c r="A67" s="88" t="s">
        <v>15604</v>
      </c>
      <c r="B67" s="88" t="e">
        <f>VLOOKUP(C67,#REF!,1,0)</f>
        <v>#REF!</v>
      </c>
      <c r="C67" s="1" t="s">
        <v>287</v>
      </c>
      <c r="D67" s="1" t="s">
        <v>288</v>
      </c>
      <c r="E67" s="1" t="s">
        <v>9010</v>
      </c>
      <c r="F67" s="1" t="s">
        <v>8959</v>
      </c>
      <c r="G67" t="s">
        <v>8959</v>
      </c>
      <c r="H67" s="1" t="s">
        <v>9252</v>
      </c>
      <c r="I67" s="1" t="s">
        <v>9155</v>
      </c>
      <c r="J67" s="2" t="s">
        <v>21265</v>
      </c>
      <c r="K67" s="1" t="s">
        <v>21648</v>
      </c>
      <c r="L67" s="1" t="s">
        <v>8987</v>
      </c>
      <c r="M67" s="1">
        <v>8158</v>
      </c>
      <c r="N67" s="1" t="s">
        <v>8953</v>
      </c>
      <c r="O67" s="1" t="s">
        <v>8954</v>
      </c>
      <c r="P67" s="1" t="s">
        <v>8955</v>
      </c>
      <c r="Q67" s="1" t="s">
        <v>8956</v>
      </c>
      <c r="R67" s="1" t="s">
        <v>8958</v>
      </c>
      <c r="S67" s="1" t="s">
        <v>289</v>
      </c>
      <c r="T67" s="1" t="s">
        <v>17</v>
      </c>
      <c r="U67" s="1" t="s">
        <v>87</v>
      </c>
    </row>
    <row r="68" spans="1:21" x14ac:dyDescent="0.2">
      <c r="A68" s="88" t="s">
        <v>15605</v>
      </c>
      <c r="B68" s="88" t="e">
        <f>VLOOKUP(C68,#REF!,1,0)</f>
        <v>#REF!</v>
      </c>
      <c r="C68" s="1" t="s">
        <v>290</v>
      </c>
      <c r="D68" s="1" t="s">
        <v>291</v>
      </c>
      <c r="E68" t="s">
        <v>20726</v>
      </c>
      <c r="F68" s="1" t="s">
        <v>8959</v>
      </c>
      <c r="G68" t="s">
        <v>8959</v>
      </c>
      <c r="H68" s="1" t="s">
        <v>20714</v>
      </c>
      <c r="I68" s="1" t="s">
        <v>20725</v>
      </c>
      <c r="J68" s="2" t="s">
        <v>9036</v>
      </c>
      <c r="K68" s="1" t="s">
        <v>9036</v>
      </c>
      <c r="L68" s="1" t="s">
        <v>8987</v>
      </c>
      <c r="M68" s="1">
        <v>108312</v>
      </c>
      <c r="N68" s="1" t="s">
        <v>8953</v>
      </c>
      <c r="O68" s="1" t="s">
        <v>8954</v>
      </c>
      <c r="P68" s="1" t="s">
        <v>8955</v>
      </c>
      <c r="Q68" s="1" t="s">
        <v>8956</v>
      </c>
      <c r="R68" s="1" t="s">
        <v>9103</v>
      </c>
      <c r="S68" s="1" t="s">
        <v>292</v>
      </c>
      <c r="T68" s="1" t="s">
        <v>7</v>
      </c>
      <c r="U68" s="1" t="s">
        <v>5</v>
      </c>
    </row>
    <row r="69" spans="1:21" x14ac:dyDescent="0.2">
      <c r="A69" s="88" t="s">
        <v>15606</v>
      </c>
      <c r="B69" s="88" t="e">
        <f>VLOOKUP(C69,#REF!,1,0)</f>
        <v>#REF!</v>
      </c>
      <c r="C69" s="1" t="s">
        <v>293</v>
      </c>
      <c r="D69" s="1" t="s">
        <v>294</v>
      </c>
      <c r="E69" s="1" t="s">
        <v>13122</v>
      </c>
      <c r="F69" s="1" t="s">
        <v>8957</v>
      </c>
      <c r="G69" t="s">
        <v>8959</v>
      </c>
      <c r="H69" s="1" t="s">
        <v>9035</v>
      </c>
      <c r="I69" s="1" t="s">
        <v>9155</v>
      </c>
      <c r="J69" s="2" t="s">
        <v>20727</v>
      </c>
      <c r="K69" s="1" t="s">
        <v>20727</v>
      </c>
      <c r="L69" s="1" t="s">
        <v>8987</v>
      </c>
      <c r="M69" s="1">
        <v>244527</v>
      </c>
      <c r="N69" s="1" t="s">
        <v>8953</v>
      </c>
      <c r="O69" s="1" t="s">
        <v>8954</v>
      </c>
      <c r="P69" s="1" t="s">
        <v>8955</v>
      </c>
      <c r="Q69" s="1" t="s">
        <v>8956</v>
      </c>
      <c r="R69" s="1" t="s">
        <v>8958</v>
      </c>
      <c r="S69" s="1" t="s">
        <v>18563</v>
      </c>
      <c r="T69" s="1" t="s">
        <v>17</v>
      </c>
      <c r="U69" s="1" t="s">
        <v>64</v>
      </c>
    </row>
    <row r="70" spans="1:21" x14ac:dyDescent="0.2">
      <c r="A70" s="88" t="s">
        <v>15607</v>
      </c>
      <c r="B70" s="88" t="e">
        <f>VLOOKUP(C70,#REF!,1,0)</f>
        <v>#REF!</v>
      </c>
      <c r="C70" s="1" t="s">
        <v>299</v>
      </c>
      <c r="D70" s="1" t="s">
        <v>300</v>
      </c>
      <c r="E70" s="1" t="s">
        <v>9010</v>
      </c>
      <c r="F70" s="1" t="s">
        <v>8957</v>
      </c>
      <c r="G70" t="s">
        <v>8959</v>
      </c>
      <c r="H70" s="1" t="s">
        <v>9092</v>
      </c>
      <c r="I70" s="1" t="s">
        <v>8971</v>
      </c>
      <c r="J70" s="2" t="s">
        <v>10178</v>
      </c>
      <c r="K70" s="1" t="s">
        <v>10178</v>
      </c>
      <c r="L70" s="1" t="s">
        <v>21600</v>
      </c>
      <c r="M70" s="1">
        <v>546</v>
      </c>
      <c r="N70" s="1" t="s">
        <v>8953</v>
      </c>
      <c r="O70" s="1" t="s">
        <v>8954</v>
      </c>
      <c r="P70" s="1" t="s">
        <v>8955</v>
      </c>
      <c r="Q70" s="1" t="s">
        <v>8956</v>
      </c>
      <c r="R70" s="1" t="s">
        <v>9103</v>
      </c>
      <c r="S70" s="1" t="s">
        <v>301</v>
      </c>
      <c r="T70" s="1" t="s">
        <v>17</v>
      </c>
      <c r="U70" s="1" t="s">
        <v>64</v>
      </c>
    </row>
    <row r="71" spans="1:21" x14ac:dyDescent="0.2">
      <c r="A71" s="88" t="s">
        <v>15608</v>
      </c>
      <c r="B71" s="88" t="e">
        <f>VLOOKUP(C71,#REF!,1,0)</f>
        <v>#REF!</v>
      </c>
      <c r="C71" s="1" t="s">
        <v>302</v>
      </c>
      <c r="D71" s="1" t="s">
        <v>303</v>
      </c>
      <c r="E71" s="1" t="s">
        <v>18502</v>
      </c>
      <c r="F71" s="1" t="s">
        <v>8957</v>
      </c>
      <c r="G71" t="s">
        <v>8959</v>
      </c>
      <c r="H71" s="1" t="s">
        <v>9092</v>
      </c>
      <c r="I71" s="1" t="s">
        <v>8971</v>
      </c>
      <c r="J71" s="2" t="s">
        <v>18491</v>
      </c>
      <c r="K71" s="1" t="s">
        <v>9386</v>
      </c>
      <c r="L71" s="1" t="s">
        <v>21600</v>
      </c>
      <c r="M71" s="1">
        <v>1235</v>
      </c>
      <c r="N71" s="1" t="s">
        <v>8953</v>
      </c>
      <c r="O71" s="1" t="s">
        <v>8989</v>
      </c>
      <c r="P71" s="1" t="s">
        <v>8955</v>
      </c>
      <c r="Q71" s="1" t="s">
        <v>8956</v>
      </c>
      <c r="R71" s="1" t="s">
        <v>9103</v>
      </c>
      <c r="S71" s="1" t="s">
        <v>18565</v>
      </c>
      <c r="T71" s="1" t="s">
        <v>7</v>
      </c>
      <c r="U71" s="1" t="s">
        <v>64</v>
      </c>
    </row>
    <row r="72" spans="1:21" x14ac:dyDescent="0.2">
      <c r="A72" s="88" t="s">
        <v>15609</v>
      </c>
      <c r="B72" s="88" t="e">
        <f>VLOOKUP(C72,#REF!,1,0)</f>
        <v>#REF!</v>
      </c>
      <c r="C72" s="1" t="s">
        <v>304</v>
      </c>
      <c r="D72" s="1" t="s">
        <v>305</v>
      </c>
      <c r="E72" s="1" t="s">
        <v>12363</v>
      </c>
      <c r="F72" s="1" t="s">
        <v>8959</v>
      </c>
      <c r="G72" t="s">
        <v>8959</v>
      </c>
      <c r="H72" s="1" t="s">
        <v>9252</v>
      </c>
      <c r="I72" s="1" t="s">
        <v>18504</v>
      </c>
      <c r="J72" s="2" t="s">
        <v>21298</v>
      </c>
      <c r="K72" s="1" t="s">
        <v>21649</v>
      </c>
      <c r="L72" s="1" t="s">
        <v>20728</v>
      </c>
      <c r="M72" s="1">
        <v>410</v>
      </c>
      <c r="N72" s="1" t="s">
        <v>8953</v>
      </c>
      <c r="O72" s="1" t="s">
        <v>8989</v>
      </c>
      <c r="P72" s="1" t="s">
        <v>8955</v>
      </c>
      <c r="Q72" s="1" t="s">
        <v>8956</v>
      </c>
      <c r="R72" s="1" t="s">
        <v>9103</v>
      </c>
      <c r="S72" s="1" t="s">
        <v>18566</v>
      </c>
      <c r="T72" s="1" t="s">
        <v>7</v>
      </c>
      <c r="U72" s="1" t="s">
        <v>184</v>
      </c>
    </row>
    <row r="73" spans="1:21" x14ac:dyDescent="0.2">
      <c r="A73" s="88" t="s">
        <v>15610</v>
      </c>
      <c r="B73" s="88" t="e">
        <f>VLOOKUP(C73,#REF!,1,0)</f>
        <v>#REF!</v>
      </c>
      <c r="C73" s="1" t="s">
        <v>309</v>
      </c>
      <c r="D73" s="1" t="s">
        <v>310</v>
      </c>
      <c r="E73" s="1" t="s">
        <v>9317</v>
      </c>
      <c r="F73" s="1" t="s">
        <v>9060</v>
      </c>
      <c r="G73" t="s">
        <v>9009</v>
      </c>
      <c r="H73" s="1" t="s">
        <v>9092</v>
      </c>
      <c r="I73" s="1" t="s">
        <v>8949</v>
      </c>
      <c r="J73" s="2" t="s">
        <v>9036</v>
      </c>
      <c r="K73" s="1" t="s">
        <v>9036</v>
      </c>
      <c r="L73" s="1" t="s">
        <v>21600</v>
      </c>
      <c r="M73" s="1">
        <v>595</v>
      </c>
      <c r="N73" s="1" t="s">
        <v>8953</v>
      </c>
      <c r="O73" s="1" t="s">
        <v>8954</v>
      </c>
      <c r="P73" s="1" t="s">
        <v>8955</v>
      </c>
      <c r="Q73" s="1" t="s">
        <v>8956</v>
      </c>
      <c r="R73" s="1" t="s">
        <v>8958</v>
      </c>
      <c r="S73" s="1" t="s">
        <v>311</v>
      </c>
      <c r="T73" s="1" t="s">
        <v>17</v>
      </c>
      <c r="U73" s="1" t="s">
        <v>126</v>
      </c>
    </row>
    <row r="74" spans="1:21" x14ac:dyDescent="0.2">
      <c r="A74" s="88" t="s">
        <v>15612</v>
      </c>
      <c r="B74" s="88" t="e">
        <f>VLOOKUP(C74,#REF!,1,0)</f>
        <v>#REF!</v>
      </c>
      <c r="C74" s="1" t="s">
        <v>314</v>
      </c>
      <c r="D74" s="1" t="s">
        <v>315</v>
      </c>
      <c r="E74" s="1" t="s">
        <v>9380</v>
      </c>
      <c r="F74" s="1" t="s">
        <v>8957</v>
      </c>
      <c r="G74" t="s">
        <v>8959</v>
      </c>
      <c r="H74" s="1" t="s">
        <v>20712</v>
      </c>
      <c r="I74" s="1" t="s">
        <v>9155</v>
      </c>
      <c r="J74" s="2" t="s">
        <v>10492</v>
      </c>
      <c r="K74" s="1" t="s">
        <v>10492</v>
      </c>
      <c r="L74" s="1" t="s">
        <v>21600</v>
      </c>
      <c r="M74" s="1">
        <v>11293</v>
      </c>
      <c r="N74" s="1" t="s">
        <v>8953</v>
      </c>
      <c r="O74" s="1" t="s">
        <v>8954</v>
      </c>
      <c r="P74" s="1" t="s">
        <v>8955</v>
      </c>
      <c r="Q74" s="1" t="s">
        <v>8956</v>
      </c>
      <c r="R74" s="1" t="s">
        <v>9103</v>
      </c>
      <c r="S74" s="1" t="s">
        <v>18569</v>
      </c>
      <c r="T74" s="1" t="s">
        <v>7</v>
      </c>
      <c r="U74" s="1" t="s">
        <v>316</v>
      </c>
    </row>
    <row r="75" spans="1:21" x14ac:dyDescent="0.2">
      <c r="A75" s="88" t="s">
        <v>15613</v>
      </c>
      <c r="B75" s="88" t="e">
        <f>VLOOKUP(C75,#REF!,1,0)</f>
        <v>#REF!</v>
      </c>
      <c r="C75" s="1" t="s">
        <v>317</v>
      </c>
      <c r="D75" s="1" t="s">
        <v>318</v>
      </c>
      <c r="E75" s="1" t="s">
        <v>9380</v>
      </c>
      <c r="F75" s="1" t="s">
        <v>8957</v>
      </c>
      <c r="G75" t="s">
        <v>8959</v>
      </c>
      <c r="H75" s="1" t="s">
        <v>20712</v>
      </c>
      <c r="I75" s="1" t="s">
        <v>8971</v>
      </c>
      <c r="J75" s="2" t="s">
        <v>10492</v>
      </c>
      <c r="K75" s="1" t="s">
        <v>10492</v>
      </c>
      <c r="L75" s="1" t="s">
        <v>8951</v>
      </c>
      <c r="M75" s="1">
        <v>2000</v>
      </c>
      <c r="N75" s="1" t="s">
        <v>8953</v>
      </c>
      <c r="O75" s="1" t="s">
        <v>8989</v>
      </c>
      <c r="P75" s="1" t="s">
        <v>8955</v>
      </c>
      <c r="Q75" s="1" t="s">
        <v>8956</v>
      </c>
      <c r="R75" s="1" t="s">
        <v>9103</v>
      </c>
      <c r="S75" s="1" t="s">
        <v>18570</v>
      </c>
      <c r="T75" s="1" t="s">
        <v>7</v>
      </c>
      <c r="U75" s="1" t="s">
        <v>46</v>
      </c>
    </row>
    <row r="76" spans="1:21" x14ac:dyDescent="0.2">
      <c r="A76" s="88" t="s">
        <v>15614</v>
      </c>
      <c r="B76" s="88" t="e">
        <f>VLOOKUP(C76,#REF!,1,0)</f>
        <v>#REF!</v>
      </c>
      <c r="C76" s="1" t="s">
        <v>319</v>
      </c>
      <c r="D76" s="1" t="s">
        <v>320</v>
      </c>
      <c r="E76" s="1" t="s">
        <v>10049</v>
      </c>
      <c r="F76" s="1" t="s">
        <v>8959</v>
      </c>
      <c r="G76" t="s">
        <v>8959</v>
      </c>
      <c r="H76" s="1" t="s">
        <v>9100</v>
      </c>
      <c r="I76" s="1" t="s">
        <v>8949</v>
      </c>
      <c r="J76" s="2" t="s">
        <v>9041</v>
      </c>
      <c r="K76" s="1" t="s">
        <v>9041</v>
      </c>
      <c r="L76" s="1" t="s">
        <v>8987</v>
      </c>
      <c r="M76" s="1">
        <v>500</v>
      </c>
      <c r="N76" s="1" t="s">
        <v>9059</v>
      </c>
      <c r="O76" s="1" t="s">
        <v>8954</v>
      </c>
      <c r="P76" s="1" t="s">
        <v>8955</v>
      </c>
      <c r="Q76" s="1" t="s">
        <v>8956</v>
      </c>
      <c r="R76" s="1" t="s">
        <v>8975</v>
      </c>
      <c r="S76" s="1" t="s">
        <v>321</v>
      </c>
      <c r="T76" s="1" t="s">
        <v>11</v>
      </c>
      <c r="U76" s="1" t="s">
        <v>322</v>
      </c>
    </row>
    <row r="77" spans="1:21" x14ac:dyDescent="0.2">
      <c r="A77" s="88" t="s">
        <v>15615</v>
      </c>
      <c r="B77" s="88" t="e">
        <f>VLOOKUP(C77,#REF!,1,0)</f>
        <v>#REF!</v>
      </c>
      <c r="C77" s="1" t="s">
        <v>323</v>
      </c>
      <c r="D77" s="1" t="s">
        <v>324</v>
      </c>
      <c r="E77" s="1" t="s">
        <v>10032</v>
      </c>
      <c r="F77" s="1" t="s">
        <v>8959</v>
      </c>
      <c r="G77" t="s">
        <v>8959</v>
      </c>
      <c r="H77" s="1" t="s">
        <v>9035</v>
      </c>
      <c r="I77" s="1" t="s">
        <v>8998</v>
      </c>
      <c r="J77" s="2" t="s">
        <v>10492</v>
      </c>
      <c r="K77" s="1" t="s">
        <v>10492</v>
      </c>
      <c r="L77" s="1" t="s">
        <v>20730</v>
      </c>
      <c r="M77" s="1">
        <v>1369</v>
      </c>
      <c r="N77" s="1" t="s">
        <v>8953</v>
      </c>
      <c r="O77" s="1" t="s">
        <v>8954</v>
      </c>
      <c r="P77" s="1" t="s">
        <v>8955</v>
      </c>
      <c r="Q77" s="1" t="s">
        <v>8956</v>
      </c>
      <c r="R77" s="1" t="s">
        <v>9103</v>
      </c>
      <c r="S77" s="1" t="s">
        <v>18571</v>
      </c>
      <c r="T77" s="1" t="s">
        <v>7</v>
      </c>
      <c r="U77" s="1" t="s">
        <v>74</v>
      </c>
    </row>
    <row r="78" spans="1:21" x14ac:dyDescent="0.2">
      <c r="A78" s="88" t="s">
        <v>15617</v>
      </c>
      <c r="B78" s="88" t="e">
        <f>VLOOKUP(C78,#REF!,1,0)</f>
        <v>#REF!</v>
      </c>
      <c r="C78" s="1" t="s">
        <v>327</v>
      </c>
      <c r="D78" s="1" t="s">
        <v>328</v>
      </c>
      <c r="E78" s="1" t="s">
        <v>9010</v>
      </c>
      <c r="F78" s="1" t="s">
        <v>8957</v>
      </c>
      <c r="G78" t="s">
        <v>9183</v>
      </c>
      <c r="H78" s="1" t="s">
        <v>9075</v>
      </c>
      <c r="I78" s="1" t="s">
        <v>8971</v>
      </c>
      <c r="J78" s="2" t="s">
        <v>8972</v>
      </c>
      <c r="K78" s="1" t="s">
        <v>8972</v>
      </c>
      <c r="L78" s="1" t="s">
        <v>21600</v>
      </c>
      <c r="M78" s="1">
        <v>2238</v>
      </c>
      <c r="N78" s="1" t="s">
        <v>9059</v>
      </c>
      <c r="O78" s="1" t="s">
        <v>8954</v>
      </c>
      <c r="P78" s="1" t="s">
        <v>8955</v>
      </c>
      <c r="Q78" s="1" t="s">
        <v>8956</v>
      </c>
      <c r="R78" s="1" t="s">
        <v>9103</v>
      </c>
      <c r="S78" s="1" t="s">
        <v>329</v>
      </c>
      <c r="T78" s="1" t="s">
        <v>11</v>
      </c>
      <c r="U78" s="1" t="s">
        <v>126</v>
      </c>
    </row>
    <row r="79" spans="1:21" x14ac:dyDescent="0.2">
      <c r="A79" s="88" t="s">
        <v>15618</v>
      </c>
      <c r="B79" s="88" t="e">
        <f>VLOOKUP(C79,#REF!,1,0)</f>
        <v>#REF!</v>
      </c>
      <c r="C79" s="1" t="s">
        <v>330</v>
      </c>
      <c r="D79" s="1" t="s">
        <v>331</v>
      </c>
      <c r="E79" s="1" t="s">
        <v>12526</v>
      </c>
      <c r="F79" s="1" t="s">
        <v>8959</v>
      </c>
      <c r="G79" t="s">
        <v>8959</v>
      </c>
      <c r="H79" s="1" t="s">
        <v>9092</v>
      </c>
      <c r="I79" s="1" t="s">
        <v>8971</v>
      </c>
      <c r="J79" s="2" t="s">
        <v>20731</v>
      </c>
      <c r="K79" s="1" t="s">
        <v>20731</v>
      </c>
      <c r="L79" s="1" t="s">
        <v>8987</v>
      </c>
      <c r="M79" s="1">
        <v>1694</v>
      </c>
      <c r="N79" s="1" t="s">
        <v>8953</v>
      </c>
      <c r="O79" s="1" t="s">
        <v>8989</v>
      </c>
      <c r="P79" s="1" t="s">
        <v>8955</v>
      </c>
      <c r="Q79" s="1" t="s">
        <v>8956</v>
      </c>
      <c r="R79" s="1" t="s">
        <v>8958</v>
      </c>
      <c r="S79" s="1" t="s">
        <v>20542</v>
      </c>
      <c r="T79" s="1" t="s">
        <v>17</v>
      </c>
      <c r="U79" s="1" t="s">
        <v>332</v>
      </c>
    </row>
    <row r="80" spans="1:21" x14ac:dyDescent="0.2">
      <c r="A80" s="88" t="s">
        <v>15619</v>
      </c>
      <c r="B80" s="88" t="e">
        <f>VLOOKUP(C80,#REF!,1,0)</f>
        <v>#REF!</v>
      </c>
      <c r="C80" s="1" t="s">
        <v>333</v>
      </c>
      <c r="D80" s="1" t="s">
        <v>334</v>
      </c>
      <c r="E80" s="1" t="s">
        <v>11671</v>
      </c>
      <c r="F80" s="1" t="s">
        <v>8957</v>
      </c>
      <c r="G80" t="s">
        <v>9061</v>
      </c>
      <c r="H80" s="1" t="s">
        <v>20712</v>
      </c>
      <c r="I80" s="1" t="s">
        <v>8959</v>
      </c>
      <c r="J80" s="2" t="s">
        <v>10492</v>
      </c>
      <c r="K80" s="1" t="s">
        <v>10492</v>
      </c>
      <c r="L80" s="1" t="s">
        <v>21600</v>
      </c>
      <c r="M80" s="1">
        <v>240</v>
      </c>
      <c r="N80" s="1" t="s">
        <v>9059</v>
      </c>
      <c r="O80" s="1" t="s">
        <v>8989</v>
      </c>
      <c r="P80" s="1" t="s">
        <v>8955</v>
      </c>
      <c r="Q80" s="1" t="s">
        <v>8956</v>
      </c>
      <c r="R80" s="1" t="s">
        <v>9103</v>
      </c>
      <c r="S80" s="1" t="s">
        <v>20543</v>
      </c>
      <c r="T80" s="1" t="s">
        <v>17</v>
      </c>
      <c r="U80" s="1" t="s">
        <v>161</v>
      </c>
    </row>
    <row r="81" spans="1:21" x14ac:dyDescent="0.2">
      <c r="A81" s="88" t="s">
        <v>15620</v>
      </c>
      <c r="B81" s="88" t="e">
        <f>VLOOKUP(C81,#REF!,1,0)</f>
        <v>#REF!</v>
      </c>
      <c r="C81" s="1" t="s">
        <v>335</v>
      </c>
      <c r="D81" s="1" t="s">
        <v>336</v>
      </c>
      <c r="E81" s="1" t="s">
        <v>9465</v>
      </c>
      <c r="F81" s="1" t="s">
        <v>8957</v>
      </c>
      <c r="G81" t="s">
        <v>8959</v>
      </c>
      <c r="H81" s="1" t="s">
        <v>20712</v>
      </c>
      <c r="I81" s="1" t="s">
        <v>9155</v>
      </c>
      <c r="J81" s="2" t="s">
        <v>9036</v>
      </c>
      <c r="K81" s="1" t="s">
        <v>9036</v>
      </c>
      <c r="L81" s="1" t="s">
        <v>8987</v>
      </c>
      <c r="M81" s="1">
        <v>2485</v>
      </c>
      <c r="N81" s="1" t="s">
        <v>8953</v>
      </c>
      <c r="O81" s="1" t="s">
        <v>8954</v>
      </c>
      <c r="P81" s="1" t="s">
        <v>8955</v>
      </c>
      <c r="Q81" s="1" t="s">
        <v>8956</v>
      </c>
      <c r="R81" s="1" t="s">
        <v>8958</v>
      </c>
      <c r="S81" s="1" t="s">
        <v>20544</v>
      </c>
      <c r="T81" s="1" t="s">
        <v>7</v>
      </c>
      <c r="U81" s="1" t="s">
        <v>126</v>
      </c>
    </row>
    <row r="82" spans="1:21" x14ac:dyDescent="0.2">
      <c r="A82" s="88" t="s">
        <v>15621</v>
      </c>
      <c r="B82" s="88" t="e">
        <f>VLOOKUP(C82,#REF!,1,0)</f>
        <v>#REF!</v>
      </c>
      <c r="C82" s="1" t="s">
        <v>337</v>
      </c>
      <c r="D82" s="1" t="s">
        <v>21634</v>
      </c>
      <c r="E82" s="1" t="s">
        <v>10049</v>
      </c>
      <c r="F82" s="1" t="s">
        <v>8957</v>
      </c>
      <c r="G82" t="s">
        <v>8959</v>
      </c>
      <c r="H82" s="1" t="s">
        <v>9605</v>
      </c>
      <c r="I82" s="1" t="s">
        <v>9121</v>
      </c>
      <c r="J82" s="2" t="s">
        <v>14674</v>
      </c>
      <c r="K82" s="1" t="s">
        <v>21760</v>
      </c>
      <c r="L82" s="1" t="s">
        <v>21600</v>
      </c>
      <c r="M82" s="1">
        <v>324</v>
      </c>
      <c r="N82" s="1" t="s">
        <v>8953</v>
      </c>
      <c r="O82" s="1" t="s">
        <v>8989</v>
      </c>
      <c r="P82" s="1" t="s">
        <v>8955</v>
      </c>
      <c r="Q82" s="1" t="s">
        <v>8956</v>
      </c>
      <c r="R82" s="1" t="s">
        <v>8958</v>
      </c>
      <c r="S82" s="1" t="s">
        <v>339</v>
      </c>
      <c r="T82" s="1" t="s">
        <v>7</v>
      </c>
      <c r="U82" s="1" t="s">
        <v>184</v>
      </c>
    </row>
    <row r="83" spans="1:21" x14ac:dyDescent="0.2">
      <c r="A83" s="88" t="s">
        <v>15622</v>
      </c>
      <c r="B83" s="88" t="e">
        <f>VLOOKUP(C83,#REF!,1,0)</f>
        <v>#REF!</v>
      </c>
      <c r="C83" s="1" t="s">
        <v>340</v>
      </c>
      <c r="D83" s="1" t="s">
        <v>341</v>
      </c>
      <c r="E83" s="1" t="s">
        <v>10873</v>
      </c>
      <c r="F83" s="1" t="s">
        <v>8959</v>
      </c>
      <c r="G83" t="s">
        <v>8959</v>
      </c>
      <c r="H83" s="1" t="s">
        <v>9035</v>
      </c>
      <c r="I83" s="1" t="s">
        <v>9155</v>
      </c>
      <c r="J83" s="2" t="s">
        <v>10525</v>
      </c>
      <c r="K83" s="1" t="s">
        <v>10525</v>
      </c>
      <c r="L83" s="1" t="s">
        <v>20867</v>
      </c>
      <c r="M83" s="1">
        <v>35640</v>
      </c>
      <c r="N83" s="1" t="s">
        <v>8953</v>
      </c>
      <c r="O83" s="1" t="s">
        <v>8954</v>
      </c>
      <c r="P83" s="1" t="s">
        <v>8955</v>
      </c>
      <c r="Q83" s="1" t="s">
        <v>8956</v>
      </c>
      <c r="R83" s="1" t="s">
        <v>9103</v>
      </c>
      <c r="S83" s="1" t="s">
        <v>18572</v>
      </c>
      <c r="T83" s="1" t="s">
        <v>7</v>
      </c>
      <c r="U83" s="1" t="s">
        <v>342</v>
      </c>
    </row>
    <row r="84" spans="1:21" x14ac:dyDescent="0.2">
      <c r="A84" s="88" t="s">
        <v>15623</v>
      </c>
      <c r="B84" s="88" t="e">
        <f>VLOOKUP(C84,#REF!,1,0)</f>
        <v>#REF!</v>
      </c>
      <c r="C84" s="1" t="s">
        <v>343</v>
      </c>
      <c r="D84" s="1" t="s">
        <v>344</v>
      </c>
      <c r="E84" s="1" t="s">
        <v>10873</v>
      </c>
      <c r="F84" s="1" t="s">
        <v>8957</v>
      </c>
      <c r="G84" t="s">
        <v>9009</v>
      </c>
      <c r="H84" s="1" t="s">
        <v>9035</v>
      </c>
      <c r="I84" s="1" t="s">
        <v>9308</v>
      </c>
      <c r="J84" s="2" t="s">
        <v>9036</v>
      </c>
      <c r="K84" s="1" t="s">
        <v>9036</v>
      </c>
      <c r="L84" s="1" t="s">
        <v>8987</v>
      </c>
      <c r="M84" s="1">
        <v>486275</v>
      </c>
      <c r="N84" s="1" t="s">
        <v>8953</v>
      </c>
      <c r="O84" s="1" t="s">
        <v>8954</v>
      </c>
      <c r="P84" s="1" t="s">
        <v>8955</v>
      </c>
      <c r="Q84" s="1" t="s">
        <v>8956</v>
      </c>
      <c r="R84" s="1" t="s">
        <v>8958</v>
      </c>
      <c r="S84" s="1" t="s">
        <v>345</v>
      </c>
      <c r="T84" s="1" t="s">
        <v>17</v>
      </c>
      <c r="U84" s="1" t="s">
        <v>180</v>
      </c>
    </row>
    <row r="85" spans="1:21" x14ac:dyDescent="0.2">
      <c r="A85" s="88" t="s">
        <v>15624</v>
      </c>
      <c r="B85" s="88" t="e">
        <f>VLOOKUP(C85,#REF!,1,0)</f>
        <v>#REF!</v>
      </c>
      <c r="C85" s="1" t="s">
        <v>346</v>
      </c>
      <c r="D85" s="1" t="s">
        <v>347</v>
      </c>
      <c r="E85" s="1" t="s">
        <v>10873</v>
      </c>
      <c r="F85" s="1" t="s">
        <v>8957</v>
      </c>
      <c r="G85" t="s">
        <v>8959</v>
      </c>
      <c r="H85" s="1" t="s">
        <v>9049</v>
      </c>
      <c r="I85" s="1" t="s">
        <v>9050</v>
      </c>
      <c r="J85" s="2" t="s">
        <v>9102</v>
      </c>
      <c r="K85" s="1" t="s">
        <v>9102</v>
      </c>
      <c r="L85" s="1" t="s">
        <v>21600</v>
      </c>
      <c r="M85" s="1">
        <v>1022</v>
      </c>
      <c r="N85" s="1" t="s">
        <v>8953</v>
      </c>
      <c r="O85" s="1" t="s">
        <v>8954</v>
      </c>
      <c r="P85" s="1" t="s">
        <v>8955</v>
      </c>
      <c r="Q85" s="1" t="s">
        <v>8956</v>
      </c>
      <c r="R85" s="1" t="s">
        <v>9103</v>
      </c>
      <c r="S85" s="1" t="s">
        <v>348</v>
      </c>
      <c r="T85" s="1" t="s">
        <v>242</v>
      </c>
      <c r="U85" s="1" t="s">
        <v>61</v>
      </c>
    </row>
    <row r="86" spans="1:21" x14ac:dyDescent="0.2">
      <c r="A86" s="88" t="s">
        <v>15625</v>
      </c>
      <c r="B86" s="88" t="e">
        <f>VLOOKUP(C86,#REF!,1,0)</f>
        <v>#REF!</v>
      </c>
      <c r="C86" s="1" t="s">
        <v>349</v>
      </c>
      <c r="D86" s="1" t="s">
        <v>350</v>
      </c>
      <c r="E86" s="1" t="s">
        <v>9465</v>
      </c>
      <c r="F86" s="1" t="s">
        <v>8957</v>
      </c>
      <c r="G86" t="s">
        <v>9009</v>
      </c>
      <c r="H86" s="1" t="s">
        <v>9035</v>
      </c>
      <c r="I86" s="1" t="s">
        <v>8998</v>
      </c>
      <c r="J86" s="2" t="s">
        <v>9036</v>
      </c>
      <c r="K86" s="1" t="s">
        <v>9036</v>
      </c>
      <c r="L86" s="1" t="s">
        <v>8987</v>
      </c>
      <c r="M86" s="1">
        <v>35056</v>
      </c>
      <c r="N86" t="s">
        <v>20915</v>
      </c>
      <c r="O86" s="1" t="s">
        <v>8954</v>
      </c>
      <c r="P86" s="1" t="s">
        <v>8955</v>
      </c>
      <c r="Q86" s="1" t="s">
        <v>8956</v>
      </c>
      <c r="R86" s="1" t="s">
        <v>8958</v>
      </c>
      <c r="S86" s="1" t="s">
        <v>351</v>
      </c>
      <c r="T86" s="1" t="s">
        <v>242</v>
      </c>
      <c r="U86" s="1" t="s">
        <v>61</v>
      </c>
    </row>
    <row r="87" spans="1:21" x14ac:dyDescent="0.2">
      <c r="A87" s="88" t="s">
        <v>15626</v>
      </c>
      <c r="B87" s="88" t="e">
        <f>VLOOKUP(C87,#REF!,1,0)</f>
        <v>#REF!</v>
      </c>
      <c r="C87" s="1" t="s">
        <v>356</v>
      </c>
      <c r="D87" s="1" t="s">
        <v>357</v>
      </c>
      <c r="E87" s="1" t="s">
        <v>10873</v>
      </c>
      <c r="F87" s="1" t="s">
        <v>8959</v>
      </c>
      <c r="G87" t="s">
        <v>8959</v>
      </c>
      <c r="H87" s="1" t="s">
        <v>8948</v>
      </c>
      <c r="I87" s="1" t="s">
        <v>12453</v>
      </c>
      <c r="J87" s="2" t="s">
        <v>9036</v>
      </c>
      <c r="K87" s="1" t="s">
        <v>9036</v>
      </c>
      <c r="L87" s="1" t="s">
        <v>8987</v>
      </c>
      <c r="M87" s="1">
        <v>17</v>
      </c>
      <c r="N87" s="1" t="s">
        <v>9059</v>
      </c>
      <c r="O87" s="1" t="s">
        <v>8989</v>
      </c>
      <c r="P87" s="1" t="s">
        <v>8955</v>
      </c>
      <c r="Q87" s="1" t="s">
        <v>8956</v>
      </c>
      <c r="R87" s="1" t="s">
        <v>8958</v>
      </c>
      <c r="S87" s="1" t="s">
        <v>358</v>
      </c>
      <c r="T87" s="1" t="s">
        <v>11</v>
      </c>
      <c r="U87" s="1" t="s">
        <v>359</v>
      </c>
    </row>
    <row r="88" spans="1:21" x14ac:dyDescent="0.2">
      <c r="A88" s="88" t="s">
        <v>15627</v>
      </c>
      <c r="B88" s="88" t="e">
        <f>VLOOKUP(C88,#REF!,1,0)</f>
        <v>#REF!</v>
      </c>
      <c r="C88" s="1" t="s">
        <v>360</v>
      </c>
      <c r="D88" s="1" t="s">
        <v>361</v>
      </c>
      <c r="E88" s="1" t="s">
        <v>9176</v>
      </c>
      <c r="F88" s="1" t="s">
        <v>8959</v>
      </c>
      <c r="G88" t="s">
        <v>8959</v>
      </c>
      <c r="H88" s="1" t="s">
        <v>20714</v>
      </c>
      <c r="I88" s="1" t="s">
        <v>20725</v>
      </c>
      <c r="J88" s="2" t="s">
        <v>10525</v>
      </c>
      <c r="K88" s="1" t="s">
        <v>10525</v>
      </c>
      <c r="L88" s="1" t="s">
        <v>9076</v>
      </c>
      <c r="M88" s="1">
        <v>32382</v>
      </c>
      <c r="N88" s="1" t="s">
        <v>8953</v>
      </c>
      <c r="O88" s="1" t="s">
        <v>8989</v>
      </c>
      <c r="P88" s="1" t="s">
        <v>8955</v>
      </c>
      <c r="Q88" s="1" t="s">
        <v>8956</v>
      </c>
      <c r="R88" s="1" t="s">
        <v>9103</v>
      </c>
      <c r="S88" s="1" t="s">
        <v>18574</v>
      </c>
      <c r="T88" s="1" t="s">
        <v>17</v>
      </c>
      <c r="U88" s="1" t="s">
        <v>110</v>
      </c>
    </row>
    <row r="89" spans="1:21" x14ac:dyDescent="0.2">
      <c r="A89" s="88" t="s">
        <v>15628</v>
      </c>
      <c r="B89" s="88" t="e">
        <f>VLOOKUP(C89,#REF!,1,0)</f>
        <v>#REF!</v>
      </c>
      <c r="C89" s="1" t="s">
        <v>365</v>
      </c>
      <c r="D89" s="1" t="s">
        <v>366</v>
      </c>
      <c r="E89" s="1" t="s">
        <v>9333</v>
      </c>
      <c r="F89" s="1" t="s">
        <v>9060</v>
      </c>
      <c r="G89" t="s">
        <v>8959</v>
      </c>
      <c r="H89" s="1" t="s">
        <v>9100</v>
      </c>
      <c r="I89" s="1" t="s">
        <v>8959</v>
      </c>
      <c r="J89" s="2" t="s">
        <v>20732</v>
      </c>
      <c r="K89" s="1" t="s">
        <v>20732</v>
      </c>
      <c r="L89" s="1" t="s">
        <v>8987</v>
      </c>
      <c r="M89" s="1">
        <v>233</v>
      </c>
      <c r="N89" s="1" t="s">
        <v>9059</v>
      </c>
      <c r="O89" s="1" t="s">
        <v>8989</v>
      </c>
      <c r="P89" s="1" t="s">
        <v>8955</v>
      </c>
      <c r="Q89" s="1" t="s">
        <v>8956</v>
      </c>
      <c r="R89" s="1" t="s">
        <v>8975</v>
      </c>
      <c r="S89" s="1" t="s">
        <v>18576</v>
      </c>
      <c r="T89" s="1" t="s">
        <v>17</v>
      </c>
      <c r="U89" s="1" t="s">
        <v>24</v>
      </c>
    </row>
    <row r="90" spans="1:21" x14ac:dyDescent="0.2">
      <c r="A90" s="88" t="s">
        <v>15629</v>
      </c>
      <c r="B90" s="88" t="e">
        <f>VLOOKUP(C90,#REF!,1,0)</f>
        <v>#REF!</v>
      </c>
      <c r="C90" s="1" t="s">
        <v>367</v>
      </c>
      <c r="D90" s="1" t="s">
        <v>368</v>
      </c>
      <c r="E90" s="1" t="s">
        <v>10008</v>
      </c>
      <c r="F90" s="1" t="s">
        <v>8959</v>
      </c>
      <c r="G90" t="s">
        <v>8959</v>
      </c>
      <c r="H90" s="1" t="s">
        <v>9035</v>
      </c>
      <c r="I90" s="1" t="s">
        <v>9308</v>
      </c>
      <c r="J90" s="2" t="s">
        <v>21534</v>
      </c>
      <c r="K90" s="1" t="s">
        <v>21761</v>
      </c>
      <c r="L90" s="1" t="s">
        <v>8987</v>
      </c>
      <c r="M90" s="1">
        <v>3905</v>
      </c>
      <c r="N90" s="1" t="s">
        <v>8953</v>
      </c>
      <c r="O90" s="1" t="s">
        <v>8954</v>
      </c>
      <c r="P90" s="1" t="s">
        <v>8955</v>
      </c>
      <c r="Q90" s="1" t="s">
        <v>8956</v>
      </c>
      <c r="R90" s="1" t="s">
        <v>9103</v>
      </c>
      <c r="S90" s="1" t="s">
        <v>18577</v>
      </c>
      <c r="T90" s="1" t="s">
        <v>7</v>
      </c>
      <c r="U90" s="1" t="s">
        <v>369</v>
      </c>
    </row>
    <row r="91" spans="1:21" x14ac:dyDescent="0.2">
      <c r="A91" s="88" t="s">
        <v>15630</v>
      </c>
      <c r="B91" s="88" t="e">
        <f>VLOOKUP(C91,#REF!,1,0)</f>
        <v>#REF!</v>
      </c>
      <c r="C91" s="1" t="s">
        <v>370</v>
      </c>
      <c r="D91" s="1" t="s">
        <v>371</v>
      </c>
      <c r="E91" s="1" t="s">
        <v>10008</v>
      </c>
      <c r="F91" s="1" t="s">
        <v>8959</v>
      </c>
      <c r="G91" t="s">
        <v>8959</v>
      </c>
      <c r="H91" s="1" t="s">
        <v>9035</v>
      </c>
      <c r="I91" s="1" t="s">
        <v>9308</v>
      </c>
      <c r="J91" s="2" t="s">
        <v>20734</v>
      </c>
      <c r="K91" s="1" t="s">
        <v>20734</v>
      </c>
      <c r="L91" s="1" t="s">
        <v>8951</v>
      </c>
      <c r="M91" s="1">
        <v>2869</v>
      </c>
      <c r="N91" s="1" t="s">
        <v>8953</v>
      </c>
      <c r="O91" s="1" t="s">
        <v>8954</v>
      </c>
      <c r="P91" s="1" t="s">
        <v>8955</v>
      </c>
      <c r="Q91" s="1" t="s">
        <v>8956</v>
      </c>
      <c r="R91" s="1" t="s">
        <v>9103</v>
      </c>
      <c r="S91" s="1" t="s">
        <v>18578</v>
      </c>
      <c r="T91" s="1" t="s">
        <v>7</v>
      </c>
      <c r="U91" s="1" t="s">
        <v>372</v>
      </c>
    </row>
    <row r="92" spans="1:21" x14ac:dyDescent="0.2">
      <c r="A92" s="88" t="s">
        <v>15631</v>
      </c>
      <c r="B92" s="88" t="e">
        <f>VLOOKUP(C92,#REF!,1,0)</f>
        <v>#REF!</v>
      </c>
      <c r="C92" s="1" t="s">
        <v>373</v>
      </c>
      <c r="D92" s="1" t="s">
        <v>374</v>
      </c>
      <c r="E92" s="1" t="s">
        <v>10008</v>
      </c>
      <c r="F92" s="1" t="s">
        <v>8959</v>
      </c>
      <c r="G92" t="s">
        <v>8959</v>
      </c>
      <c r="H92" s="1" t="s">
        <v>9154</v>
      </c>
      <c r="I92" s="1" t="s">
        <v>8959</v>
      </c>
      <c r="J92" s="2" t="s">
        <v>10525</v>
      </c>
      <c r="K92" s="1" t="s">
        <v>21650</v>
      </c>
      <c r="L92" s="1" t="s">
        <v>9464</v>
      </c>
      <c r="M92" s="1">
        <v>216</v>
      </c>
      <c r="N92" s="1" t="s">
        <v>9059</v>
      </c>
      <c r="O92" s="1" t="s">
        <v>8989</v>
      </c>
      <c r="P92" s="1" t="s">
        <v>8955</v>
      </c>
      <c r="Q92" s="1" t="s">
        <v>8956</v>
      </c>
      <c r="R92" s="1" t="s">
        <v>9103</v>
      </c>
      <c r="S92" s="1" t="s">
        <v>18579</v>
      </c>
      <c r="T92" s="1" t="s">
        <v>7</v>
      </c>
      <c r="U92" s="1" t="s">
        <v>375</v>
      </c>
    </row>
    <row r="93" spans="1:21" x14ac:dyDescent="0.2">
      <c r="A93" s="88" t="s">
        <v>15632</v>
      </c>
      <c r="B93" s="88" t="e">
        <f>VLOOKUP(C93,#REF!,1,0)</f>
        <v>#REF!</v>
      </c>
      <c r="C93" s="1" t="s">
        <v>376</v>
      </c>
      <c r="D93" s="1" t="s">
        <v>377</v>
      </c>
      <c r="E93" s="1" t="s">
        <v>9465</v>
      </c>
      <c r="F93" s="1" t="s">
        <v>8959</v>
      </c>
      <c r="G93" t="s">
        <v>9061</v>
      </c>
      <c r="H93" s="1" t="s">
        <v>20712</v>
      </c>
      <c r="I93" s="1" t="s">
        <v>9155</v>
      </c>
      <c r="J93" s="2" t="e">
        <v>#N/A</v>
      </c>
      <c r="K93" s="1" t="e">
        <v>#N/A</v>
      </c>
      <c r="L93" s="1" t="s">
        <v>9464</v>
      </c>
      <c r="M93" s="1">
        <v>25</v>
      </c>
      <c r="N93" s="1" t="s">
        <v>8953</v>
      </c>
      <c r="O93" s="1" t="s">
        <v>8989</v>
      </c>
      <c r="P93" s="1" t="s">
        <v>8955</v>
      </c>
      <c r="Q93" s="1" t="s">
        <v>8956</v>
      </c>
      <c r="R93" s="1" t="s">
        <v>9103</v>
      </c>
      <c r="S93" s="1" t="s">
        <v>18580</v>
      </c>
      <c r="T93" s="1" t="s">
        <v>7</v>
      </c>
      <c r="U93" s="1" t="s">
        <v>378</v>
      </c>
    </row>
    <row r="94" spans="1:21" x14ac:dyDescent="0.2">
      <c r="A94" s="88" t="s">
        <v>15633</v>
      </c>
      <c r="B94" s="88" t="e">
        <f>VLOOKUP(C94,#REF!,1,0)</f>
        <v>#REF!</v>
      </c>
      <c r="C94" s="1" t="s">
        <v>379</v>
      </c>
      <c r="D94" s="1" t="s">
        <v>380</v>
      </c>
      <c r="E94" s="1" t="s">
        <v>9465</v>
      </c>
      <c r="F94" s="1" t="s">
        <v>8957</v>
      </c>
      <c r="G94" t="s">
        <v>9061</v>
      </c>
      <c r="H94" s="1" t="s">
        <v>8948</v>
      </c>
      <c r="I94" s="1" t="s">
        <v>9155</v>
      </c>
      <c r="J94" s="2" t="s">
        <v>9051</v>
      </c>
      <c r="K94" s="1" t="s">
        <v>9051</v>
      </c>
      <c r="L94" s="1" t="s">
        <v>9464</v>
      </c>
      <c r="M94" s="1">
        <v>50</v>
      </c>
      <c r="N94" s="1" t="s">
        <v>9059</v>
      </c>
      <c r="O94" s="1" t="s">
        <v>8989</v>
      </c>
      <c r="P94" s="1" t="s">
        <v>8955</v>
      </c>
      <c r="Q94" s="1" t="s">
        <v>8956</v>
      </c>
      <c r="R94" s="1" t="s">
        <v>8958</v>
      </c>
      <c r="S94" s="1" t="s">
        <v>381</v>
      </c>
      <c r="T94" s="1" t="s">
        <v>17</v>
      </c>
      <c r="U94" s="1" t="s">
        <v>382</v>
      </c>
    </row>
    <row r="95" spans="1:21" x14ac:dyDescent="0.2">
      <c r="A95" s="88" t="s">
        <v>15634</v>
      </c>
      <c r="B95" s="88" t="e">
        <f>VLOOKUP(C95,#REF!,1,0)</f>
        <v>#REF!</v>
      </c>
      <c r="C95" s="1" t="s">
        <v>387</v>
      </c>
      <c r="D95" s="1" t="s">
        <v>388</v>
      </c>
      <c r="E95" s="1" t="s">
        <v>13950</v>
      </c>
      <c r="F95" s="1" t="s">
        <v>8957</v>
      </c>
      <c r="G95" t="s">
        <v>8959</v>
      </c>
      <c r="H95" s="1" t="s">
        <v>20714</v>
      </c>
      <c r="I95" s="1" t="s">
        <v>9050</v>
      </c>
      <c r="J95" s="2" t="s">
        <v>9036</v>
      </c>
      <c r="K95" s="1" t="s">
        <v>9036</v>
      </c>
      <c r="L95" s="1" t="s">
        <v>8987</v>
      </c>
      <c r="M95" s="1">
        <v>109076</v>
      </c>
      <c r="N95" s="1" t="s">
        <v>8953</v>
      </c>
      <c r="O95" s="1" t="s">
        <v>8954</v>
      </c>
      <c r="P95" s="1" t="s">
        <v>8955</v>
      </c>
      <c r="Q95" s="1" t="s">
        <v>8956</v>
      </c>
      <c r="R95" s="1" t="s">
        <v>8975</v>
      </c>
      <c r="S95" s="1" t="s">
        <v>18582</v>
      </c>
      <c r="T95" s="1" t="s">
        <v>7</v>
      </c>
      <c r="U95" s="1" t="s">
        <v>126</v>
      </c>
    </row>
    <row r="96" spans="1:21" x14ac:dyDescent="0.2">
      <c r="A96" s="88" t="s">
        <v>15635</v>
      </c>
      <c r="B96" s="88" t="e">
        <f>VLOOKUP(C96,#REF!,1,0)</f>
        <v>#REF!</v>
      </c>
      <c r="C96" s="1" t="s">
        <v>393</v>
      </c>
      <c r="D96" s="1" t="s">
        <v>394</v>
      </c>
      <c r="E96" s="1" t="s">
        <v>9465</v>
      </c>
      <c r="F96" s="1" t="s">
        <v>8974</v>
      </c>
      <c r="G96" t="s">
        <v>8959</v>
      </c>
      <c r="H96" s="1" t="s">
        <v>9049</v>
      </c>
      <c r="I96" s="1" t="s">
        <v>9050</v>
      </c>
      <c r="J96" s="2" t="s">
        <v>18489</v>
      </c>
      <c r="K96" s="1" t="s">
        <v>18489</v>
      </c>
      <c r="L96" s="1" t="s">
        <v>8951</v>
      </c>
      <c r="M96" s="1">
        <v>30371</v>
      </c>
      <c r="N96" s="1" t="s">
        <v>8953</v>
      </c>
      <c r="O96" s="1" t="s">
        <v>8954</v>
      </c>
      <c r="P96" s="1" t="s">
        <v>8955</v>
      </c>
      <c r="Q96" s="1" t="s">
        <v>8956</v>
      </c>
      <c r="R96" s="1" t="s">
        <v>8975</v>
      </c>
      <c r="S96" s="1" t="s">
        <v>395</v>
      </c>
      <c r="T96" s="1" t="s">
        <v>17</v>
      </c>
      <c r="U96" s="1" t="s">
        <v>396</v>
      </c>
    </row>
    <row r="97" spans="1:21" x14ac:dyDescent="0.2">
      <c r="A97" s="88" t="s">
        <v>15636</v>
      </c>
      <c r="B97" s="88" t="e">
        <f>VLOOKUP(C97,#REF!,1,0)</f>
        <v>#REF!</v>
      </c>
      <c r="C97" s="1" t="s">
        <v>397</v>
      </c>
      <c r="D97" s="1" t="s">
        <v>398</v>
      </c>
      <c r="E97" s="1" t="s">
        <v>9968</v>
      </c>
      <c r="F97" s="1" t="s">
        <v>8959</v>
      </c>
      <c r="G97" t="s">
        <v>8959</v>
      </c>
      <c r="H97" s="1" t="s">
        <v>9035</v>
      </c>
      <c r="I97" s="1" t="s">
        <v>8998</v>
      </c>
      <c r="J97" s="2" t="s">
        <v>21535</v>
      </c>
      <c r="K97" s="1" t="s">
        <v>21535</v>
      </c>
      <c r="L97" s="1" t="s">
        <v>9133</v>
      </c>
      <c r="M97" s="1">
        <v>1020</v>
      </c>
      <c r="N97" s="1" t="s">
        <v>8953</v>
      </c>
      <c r="O97" s="1" t="s">
        <v>8989</v>
      </c>
      <c r="P97" s="1" t="s">
        <v>8955</v>
      </c>
      <c r="Q97" s="1" t="s">
        <v>8956</v>
      </c>
      <c r="R97" s="1" t="s">
        <v>8958</v>
      </c>
      <c r="S97" s="1" t="s">
        <v>18584</v>
      </c>
      <c r="T97" s="1" t="s">
        <v>7</v>
      </c>
      <c r="U97" s="1" t="s">
        <v>74</v>
      </c>
    </row>
    <row r="98" spans="1:21" x14ac:dyDescent="0.2">
      <c r="A98" s="88" t="s">
        <v>15637</v>
      </c>
      <c r="B98" s="88" t="e">
        <f>VLOOKUP(C98,#REF!,1,0)</f>
        <v>#REF!</v>
      </c>
      <c r="C98" s="1" t="s">
        <v>399</v>
      </c>
      <c r="D98" s="1" t="s">
        <v>400</v>
      </c>
      <c r="E98" s="1" t="s">
        <v>9010</v>
      </c>
      <c r="F98" s="1" t="s">
        <v>8974</v>
      </c>
      <c r="G98" t="s">
        <v>8959</v>
      </c>
      <c r="H98" s="1" t="s">
        <v>9035</v>
      </c>
      <c r="I98" s="1" t="s">
        <v>8998</v>
      </c>
      <c r="J98" s="2" t="s">
        <v>9036</v>
      </c>
      <c r="K98" s="1" t="s">
        <v>9036</v>
      </c>
      <c r="L98" s="1" t="s">
        <v>8951</v>
      </c>
      <c r="M98" s="1">
        <v>7855</v>
      </c>
      <c r="N98" s="1" t="s">
        <v>8953</v>
      </c>
      <c r="O98" s="1" t="s">
        <v>8954</v>
      </c>
      <c r="P98" s="1" t="s">
        <v>8955</v>
      </c>
      <c r="Q98" s="1" t="s">
        <v>8956</v>
      </c>
      <c r="R98" s="1" t="s">
        <v>8975</v>
      </c>
      <c r="S98" s="1" t="s">
        <v>401</v>
      </c>
      <c r="T98" s="1" t="s">
        <v>17</v>
      </c>
      <c r="U98" s="1" t="s">
        <v>402</v>
      </c>
    </row>
    <row r="99" spans="1:21" x14ac:dyDescent="0.2">
      <c r="A99" s="88" t="s">
        <v>15638</v>
      </c>
      <c r="B99" s="88" t="e">
        <f>VLOOKUP(C99,#REF!,1,0)</f>
        <v>#REF!</v>
      </c>
      <c r="C99" s="1" t="s">
        <v>403</v>
      </c>
      <c r="D99" s="1" t="s">
        <v>404</v>
      </c>
      <c r="E99" s="1" t="s">
        <v>18502</v>
      </c>
      <c r="F99" s="1" t="s">
        <v>9060</v>
      </c>
      <c r="G99" t="s">
        <v>9061</v>
      </c>
      <c r="H99" s="1" t="s">
        <v>9252</v>
      </c>
      <c r="I99" s="1" t="s">
        <v>9308</v>
      </c>
      <c r="J99" s="2" t="s">
        <v>20735</v>
      </c>
      <c r="K99" s="1" t="s">
        <v>20735</v>
      </c>
      <c r="L99" s="1" t="s">
        <v>9133</v>
      </c>
      <c r="M99" s="1">
        <v>452</v>
      </c>
      <c r="N99" s="1" t="s">
        <v>8953</v>
      </c>
      <c r="O99" s="1" t="s">
        <v>8989</v>
      </c>
      <c r="P99" s="1" t="s">
        <v>8955</v>
      </c>
      <c r="Q99" s="1" t="s">
        <v>8956</v>
      </c>
      <c r="R99" s="1" t="s">
        <v>8958</v>
      </c>
      <c r="S99" s="1" t="s">
        <v>18585</v>
      </c>
      <c r="T99" s="1" t="s">
        <v>7</v>
      </c>
      <c r="U99" s="1" t="s">
        <v>93</v>
      </c>
    </row>
    <row r="100" spans="1:21" x14ac:dyDescent="0.2">
      <c r="A100" s="88" t="s">
        <v>15639</v>
      </c>
      <c r="B100" s="88" t="e">
        <f>VLOOKUP(C100,#REF!,1,0)</f>
        <v>#REF!</v>
      </c>
      <c r="C100" s="1" t="s">
        <v>405</v>
      </c>
      <c r="D100" s="1" t="s">
        <v>406</v>
      </c>
      <c r="E100" s="1" t="s">
        <v>13950</v>
      </c>
      <c r="F100" s="1" t="s">
        <v>8957</v>
      </c>
      <c r="G100" t="s">
        <v>8959</v>
      </c>
      <c r="H100" s="1" t="s">
        <v>9252</v>
      </c>
      <c r="I100" s="1" t="s">
        <v>9422</v>
      </c>
      <c r="J100" s="2" t="s">
        <v>21536</v>
      </c>
      <c r="K100" s="1" t="s">
        <v>21536</v>
      </c>
      <c r="L100" s="1" t="s">
        <v>8987</v>
      </c>
      <c r="M100" s="1">
        <v>540</v>
      </c>
      <c r="N100" s="1" t="s">
        <v>8953</v>
      </c>
      <c r="O100" s="1" t="s">
        <v>8954</v>
      </c>
      <c r="P100" s="1" t="s">
        <v>8955</v>
      </c>
      <c r="Q100" s="1" t="s">
        <v>8956</v>
      </c>
      <c r="R100" s="1" t="s">
        <v>8975</v>
      </c>
      <c r="S100" s="1" t="s">
        <v>20545</v>
      </c>
      <c r="T100" s="1" t="s">
        <v>17</v>
      </c>
      <c r="U100" s="1" t="s">
        <v>126</v>
      </c>
    </row>
    <row r="101" spans="1:21" x14ac:dyDescent="0.2">
      <c r="A101" s="88" t="s">
        <v>15640</v>
      </c>
      <c r="B101" s="88" t="e">
        <f>VLOOKUP(C101,#REF!,1,0)</f>
        <v>#REF!</v>
      </c>
      <c r="C101" s="1" t="s">
        <v>407</v>
      </c>
      <c r="D101" s="1" t="s">
        <v>408</v>
      </c>
      <c r="E101" s="1" t="s">
        <v>9327</v>
      </c>
      <c r="F101" s="1" t="s">
        <v>8957</v>
      </c>
      <c r="G101" t="s">
        <v>8959</v>
      </c>
      <c r="H101" s="1" t="s">
        <v>9252</v>
      </c>
      <c r="I101" s="1" t="s">
        <v>9253</v>
      </c>
      <c r="J101" s="2" t="s">
        <v>9036</v>
      </c>
      <c r="K101" s="1" t="s">
        <v>9036</v>
      </c>
      <c r="L101" s="1" t="s">
        <v>8987</v>
      </c>
      <c r="M101" s="1">
        <v>736</v>
      </c>
      <c r="N101" s="1" t="s">
        <v>8953</v>
      </c>
      <c r="O101" s="1" t="s">
        <v>8989</v>
      </c>
      <c r="P101" s="1" t="s">
        <v>8955</v>
      </c>
      <c r="Q101" s="1" t="s">
        <v>8956</v>
      </c>
      <c r="R101" s="1" t="s">
        <v>8958</v>
      </c>
      <c r="S101" s="1" t="s">
        <v>409</v>
      </c>
      <c r="T101" s="1" t="s">
        <v>242</v>
      </c>
      <c r="U101" s="1" t="s">
        <v>184</v>
      </c>
    </row>
    <row r="102" spans="1:21" x14ac:dyDescent="0.2">
      <c r="A102" s="88" t="s">
        <v>15641</v>
      </c>
      <c r="B102" s="88" t="e">
        <f>VLOOKUP(C102,#REF!,1,0)</f>
        <v>#REF!</v>
      </c>
      <c r="C102" s="1" t="s">
        <v>410</v>
      </c>
      <c r="D102" s="1" t="s">
        <v>411</v>
      </c>
      <c r="E102" s="1" t="s">
        <v>9333</v>
      </c>
      <c r="F102" s="1" t="s">
        <v>8959</v>
      </c>
      <c r="G102" t="s">
        <v>9061</v>
      </c>
      <c r="H102" s="1" t="s">
        <v>8948</v>
      </c>
      <c r="I102" s="1" t="s">
        <v>8998</v>
      </c>
      <c r="J102" s="2" t="s">
        <v>9658</v>
      </c>
      <c r="K102" s="1" t="s">
        <v>9658</v>
      </c>
      <c r="L102" s="1" t="s">
        <v>9133</v>
      </c>
      <c r="M102" s="1">
        <v>441</v>
      </c>
      <c r="N102" s="1" t="s">
        <v>8953</v>
      </c>
      <c r="O102" s="1" t="s">
        <v>8954</v>
      </c>
      <c r="P102" s="1" t="s">
        <v>8955</v>
      </c>
      <c r="Q102" s="1" t="s">
        <v>8956</v>
      </c>
      <c r="R102" s="1" t="s">
        <v>8975</v>
      </c>
      <c r="S102" s="1" t="s">
        <v>412</v>
      </c>
      <c r="T102" s="1" t="s">
        <v>17</v>
      </c>
      <c r="U102" s="1" t="s">
        <v>413</v>
      </c>
    </row>
    <row r="103" spans="1:21" x14ac:dyDescent="0.2">
      <c r="A103" s="88" t="s">
        <v>15642</v>
      </c>
      <c r="B103" s="88" t="e">
        <f>VLOOKUP(C103,#REF!,1,0)</f>
        <v>#REF!</v>
      </c>
      <c r="C103" s="1" t="s">
        <v>414</v>
      </c>
      <c r="D103" s="1" t="s">
        <v>415</v>
      </c>
      <c r="E103" s="1" t="s">
        <v>9333</v>
      </c>
      <c r="F103" s="1" t="s">
        <v>8959</v>
      </c>
      <c r="G103" t="s">
        <v>9061</v>
      </c>
      <c r="H103" s="1" t="s">
        <v>8948</v>
      </c>
      <c r="I103" s="1" t="s">
        <v>8998</v>
      </c>
      <c r="J103" s="2" t="s">
        <v>20736</v>
      </c>
      <c r="K103" s="1" t="s">
        <v>20736</v>
      </c>
      <c r="L103" s="1" t="s">
        <v>9133</v>
      </c>
      <c r="M103" s="1">
        <v>703</v>
      </c>
      <c r="N103" s="1" t="s">
        <v>8953</v>
      </c>
      <c r="O103" s="1" t="s">
        <v>8989</v>
      </c>
      <c r="P103" s="1" t="s">
        <v>8955</v>
      </c>
      <c r="Q103" s="1" t="s">
        <v>8956</v>
      </c>
      <c r="R103" s="1" t="s">
        <v>8975</v>
      </c>
      <c r="S103" s="1" t="s">
        <v>18586</v>
      </c>
      <c r="T103" s="1" t="s">
        <v>7</v>
      </c>
      <c r="U103" s="1" t="s">
        <v>416</v>
      </c>
    </row>
    <row r="104" spans="1:21" x14ac:dyDescent="0.2">
      <c r="A104" s="88" t="s">
        <v>15643</v>
      </c>
      <c r="B104" s="88" t="e">
        <f>VLOOKUP(C104,#REF!,1,0)</f>
        <v>#REF!</v>
      </c>
      <c r="C104" s="1" t="s">
        <v>417</v>
      </c>
      <c r="D104" s="1" t="s">
        <v>418</v>
      </c>
      <c r="E104" s="1" t="s">
        <v>9333</v>
      </c>
      <c r="F104" s="1" t="s">
        <v>8959</v>
      </c>
      <c r="G104" t="s">
        <v>9061</v>
      </c>
      <c r="H104" s="1" t="s">
        <v>8948</v>
      </c>
      <c r="I104" s="1" t="s">
        <v>9308</v>
      </c>
      <c r="J104" s="2" t="s">
        <v>20805</v>
      </c>
      <c r="K104" s="1" t="s">
        <v>9212</v>
      </c>
      <c r="L104" s="1" t="s">
        <v>8987</v>
      </c>
      <c r="M104" s="1">
        <v>210</v>
      </c>
      <c r="N104" s="1" t="s">
        <v>8953</v>
      </c>
      <c r="O104" s="1" t="s">
        <v>8989</v>
      </c>
      <c r="P104" s="1" t="s">
        <v>8955</v>
      </c>
      <c r="Q104" s="1" t="s">
        <v>8956</v>
      </c>
      <c r="R104" s="1" t="s">
        <v>8975</v>
      </c>
      <c r="S104" s="1" t="s">
        <v>18587</v>
      </c>
      <c r="T104" s="1" t="s">
        <v>17</v>
      </c>
      <c r="U104" s="1" t="s">
        <v>413</v>
      </c>
    </row>
    <row r="105" spans="1:21" x14ac:dyDescent="0.2">
      <c r="A105" s="88" t="s">
        <v>15644</v>
      </c>
      <c r="B105" s="88" t="e">
        <f>VLOOKUP(C105,#REF!,1,0)</f>
        <v>#REF!</v>
      </c>
      <c r="C105" s="1" t="s">
        <v>419</v>
      </c>
      <c r="D105" s="1" t="s">
        <v>420</v>
      </c>
      <c r="E105" s="1" t="s">
        <v>9317</v>
      </c>
      <c r="F105" s="1" t="s">
        <v>8959</v>
      </c>
      <c r="G105" t="s">
        <v>9061</v>
      </c>
      <c r="H105" s="1" t="s">
        <v>8948</v>
      </c>
      <c r="I105" s="1" t="s">
        <v>9725</v>
      </c>
      <c r="J105" s="2" t="s">
        <v>18491</v>
      </c>
      <c r="K105" s="1" t="s">
        <v>18491</v>
      </c>
      <c r="L105" s="1" t="s">
        <v>9464</v>
      </c>
      <c r="M105" s="1">
        <v>90</v>
      </c>
      <c r="N105" s="1" t="s">
        <v>9059</v>
      </c>
      <c r="O105" s="1" t="s">
        <v>8989</v>
      </c>
      <c r="P105" s="1" t="s">
        <v>8955</v>
      </c>
      <c r="Q105" s="1" t="s">
        <v>8956</v>
      </c>
      <c r="R105" s="1" t="s">
        <v>8958</v>
      </c>
      <c r="S105" s="1" t="s">
        <v>18588</v>
      </c>
      <c r="T105" s="1" t="s">
        <v>17</v>
      </c>
      <c r="U105" s="1" t="s">
        <v>375</v>
      </c>
    </row>
    <row r="106" spans="1:21" x14ac:dyDescent="0.2">
      <c r="A106" s="88" t="s">
        <v>15645</v>
      </c>
      <c r="B106" s="88" t="e">
        <f>VLOOKUP(C106,#REF!,1,0)</f>
        <v>#REF!</v>
      </c>
      <c r="C106" s="1" t="s">
        <v>425</v>
      </c>
      <c r="D106" s="1" t="s">
        <v>426</v>
      </c>
      <c r="E106" s="1" t="s">
        <v>9815</v>
      </c>
      <c r="F106" s="1" t="s">
        <v>8957</v>
      </c>
      <c r="G106" t="s">
        <v>8959</v>
      </c>
      <c r="H106" s="1" t="s">
        <v>9252</v>
      </c>
      <c r="I106" s="1" t="s">
        <v>18504</v>
      </c>
      <c r="J106" s="131" t="s">
        <v>21537</v>
      </c>
      <c r="K106" s="1" t="s">
        <v>21537</v>
      </c>
      <c r="L106" s="1" t="s">
        <v>8987</v>
      </c>
      <c r="M106" s="1">
        <v>1318</v>
      </c>
      <c r="N106" s="1" t="s">
        <v>8953</v>
      </c>
      <c r="O106" s="1" t="s">
        <v>8954</v>
      </c>
      <c r="P106" s="1" t="s">
        <v>8955</v>
      </c>
      <c r="Q106" s="1" t="s">
        <v>8956</v>
      </c>
      <c r="R106" s="1" t="s">
        <v>9103</v>
      </c>
      <c r="S106" s="1" t="s">
        <v>18590</v>
      </c>
      <c r="T106" s="1" t="s">
        <v>7</v>
      </c>
      <c r="U106" s="1" t="s">
        <v>5</v>
      </c>
    </row>
    <row r="107" spans="1:21" x14ac:dyDescent="0.2">
      <c r="A107" s="88" t="s">
        <v>15646</v>
      </c>
      <c r="B107" s="88" t="e">
        <f>VLOOKUP(C107,#REF!,1,0)</f>
        <v>#REF!</v>
      </c>
      <c r="C107" s="1" t="s">
        <v>431</v>
      </c>
      <c r="D107" s="1" t="s">
        <v>432</v>
      </c>
      <c r="E107" s="1" t="s">
        <v>9213</v>
      </c>
      <c r="F107" s="1" t="s">
        <v>8957</v>
      </c>
      <c r="G107" t="s">
        <v>8959</v>
      </c>
      <c r="H107" s="1" t="s">
        <v>9049</v>
      </c>
      <c r="I107" s="1" t="s">
        <v>9050</v>
      </c>
      <c r="J107" s="2" t="s">
        <v>9212</v>
      </c>
      <c r="K107" s="1" t="s">
        <v>9212</v>
      </c>
      <c r="L107" s="1" t="s">
        <v>9133</v>
      </c>
      <c r="M107" s="1">
        <v>40</v>
      </c>
      <c r="N107" s="1" t="s">
        <v>8953</v>
      </c>
      <c r="O107" s="1" t="s">
        <v>8954</v>
      </c>
      <c r="P107" s="1" t="s">
        <v>8955</v>
      </c>
      <c r="Q107" s="1" t="s">
        <v>8956</v>
      </c>
      <c r="R107" s="1" t="s">
        <v>8958</v>
      </c>
      <c r="S107" s="1" t="s">
        <v>433</v>
      </c>
      <c r="T107" s="1" t="s">
        <v>17</v>
      </c>
      <c r="U107" s="1" t="s">
        <v>434</v>
      </c>
    </row>
    <row r="108" spans="1:21" x14ac:dyDescent="0.2">
      <c r="A108" s="88" t="s">
        <v>15647</v>
      </c>
      <c r="B108" s="88" t="e">
        <f>VLOOKUP(C108,#REF!,1,0)</f>
        <v>#REF!</v>
      </c>
      <c r="C108" s="1" t="s">
        <v>435</v>
      </c>
      <c r="D108" s="1" t="s">
        <v>436</v>
      </c>
      <c r="E108" s="1" t="s">
        <v>9968</v>
      </c>
      <c r="F108" s="1" t="s">
        <v>8959</v>
      </c>
      <c r="G108" t="s">
        <v>8959</v>
      </c>
      <c r="H108" s="1" t="s">
        <v>9173</v>
      </c>
      <c r="I108" s="1" t="s">
        <v>8959</v>
      </c>
      <c r="J108" s="2" t="s">
        <v>21524</v>
      </c>
      <c r="K108" s="1" t="s">
        <v>9036</v>
      </c>
      <c r="L108" s="1" t="s">
        <v>9464</v>
      </c>
      <c r="M108" s="1" t="s">
        <v>9479</v>
      </c>
      <c r="N108" s="1" t="s">
        <v>9479</v>
      </c>
      <c r="O108" s="1" t="s">
        <v>9479</v>
      </c>
      <c r="P108" s="1" t="s">
        <v>8955</v>
      </c>
      <c r="Q108" s="1" t="s">
        <v>8956</v>
      </c>
      <c r="R108" s="1" t="s">
        <v>9103</v>
      </c>
      <c r="S108" s="1" t="s">
        <v>18592</v>
      </c>
      <c r="T108" s="1" t="s">
        <v>7</v>
      </c>
      <c r="U108" s="1" t="s">
        <v>107</v>
      </c>
    </row>
    <row r="109" spans="1:21" x14ac:dyDescent="0.2">
      <c r="A109" s="88" t="s">
        <v>15648</v>
      </c>
      <c r="B109" s="88" t="e">
        <f>VLOOKUP(C109,#REF!,1,0)</f>
        <v>#REF!</v>
      </c>
      <c r="C109" s="1" t="s">
        <v>437</v>
      </c>
      <c r="D109" s="1" t="s">
        <v>438</v>
      </c>
      <c r="E109" s="1" t="s">
        <v>9010</v>
      </c>
      <c r="F109" s="1" t="s">
        <v>8957</v>
      </c>
      <c r="G109" t="s">
        <v>8959</v>
      </c>
      <c r="H109" s="1" t="s">
        <v>9092</v>
      </c>
      <c r="I109" s="1" t="s">
        <v>8985</v>
      </c>
      <c r="J109" s="2" t="s">
        <v>21246</v>
      </c>
      <c r="K109" s="1" t="s">
        <v>21246</v>
      </c>
      <c r="L109" s="1" t="s">
        <v>9292</v>
      </c>
      <c r="M109" s="1">
        <v>942</v>
      </c>
      <c r="N109" s="1" t="s">
        <v>8953</v>
      </c>
      <c r="O109" s="1" t="s">
        <v>8989</v>
      </c>
      <c r="P109" s="1" t="s">
        <v>8955</v>
      </c>
      <c r="Q109" s="1" t="s">
        <v>8956</v>
      </c>
      <c r="R109" s="1" t="s">
        <v>8975</v>
      </c>
      <c r="S109" s="1" t="s">
        <v>439</v>
      </c>
      <c r="T109" s="1" t="s">
        <v>17</v>
      </c>
      <c r="U109" s="1" t="s">
        <v>110</v>
      </c>
    </row>
    <row r="110" spans="1:21" x14ac:dyDescent="0.2">
      <c r="A110" s="88" t="s">
        <v>15649</v>
      </c>
      <c r="B110" s="88" t="e">
        <f>VLOOKUP(C110,#REF!,1,0)</f>
        <v>#REF!</v>
      </c>
      <c r="C110" s="1" t="s">
        <v>440</v>
      </c>
      <c r="D110" s="1" t="s">
        <v>441</v>
      </c>
      <c r="E110" s="1" t="s">
        <v>9333</v>
      </c>
      <c r="F110" s="1" t="s">
        <v>8957</v>
      </c>
      <c r="G110" t="s">
        <v>9183</v>
      </c>
      <c r="H110" s="1" t="s">
        <v>9049</v>
      </c>
      <c r="I110" s="1" t="s">
        <v>9325</v>
      </c>
      <c r="J110" s="2" t="s">
        <v>9036</v>
      </c>
      <c r="K110" s="1" t="s">
        <v>9036</v>
      </c>
      <c r="L110" s="1" t="s">
        <v>9133</v>
      </c>
      <c r="M110" s="1">
        <v>4216</v>
      </c>
      <c r="N110" s="1" t="s">
        <v>8953</v>
      </c>
      <c r="O110" s="1" t="s">
        <v>8954</v>
      </c>
      <c r="P110" s="1" t="s">
        <v>8955</v>
      </c>
      <c r="Q110" s="1" t="s">
        <v>8956</v>
      </c>
      <c r="R110" s="1" t="s">
        <v>8975</v>
      </c>
      <c r="S110" s="1" t="s">
        <v>442</v>
      </c>
      <c r="T110" s="1" t="s">
        <v>17</v>
      </c>
      <c r="U110" s="1" t="s">
        <v>443</v>
      </c>
    </row>
    <row r="111" spans="1:21" x14ac:dyDescent="0.2">
      <c r="A111" s="88" t="s">
        <v>15650</v>
      </c>
      <c r="B111" s="88" t="e">
        <f>VLOOKUP(C111,#REF!,1,0)</f>
        <v>#REF!</v>
      </c>
      <c r="C111" s="1" t="s">
        <v>444</v>
      </c>
      <c r="D111" s="1" t="s">
        <v>445</v>
      </c>
      <c r="E111" s="1" t="s">
        <v>9333</v>
      </c>
      <c r="F111" s="1" t="s">
        <v>8957</v>
      </c>
      <c r="G111" t="s">
        <v>9009</v>
      </c>
      <c r="H111" s="1" t="s">
        <v>9049</v>
      </c>
      <c r="I111" s="1" t="s">
        <v>9121</v>
      </c>
      <c r="J111" s="2" t="s">
        <v>14353</v>
      </c>
      <c r="K111" s="1" t="s">
        <v>14353</v>
      </c>
      <c r="L111" s="1" t="s">
        <v>8951</v>
      </c>
      <c r="M111" s="1">
        <v>171</v>
      </c>
      <c r="N111" s="1" t="s">
        <v>9059</v>
      </c>
      <c r="O111" s="1" t="s">
        <v>8989</v>
      </c>
      <c r="P111" s="1" t="s">
        <v>8955</v>
      </c>
      <c r="Q111" s="1" t="s">
        <v>8956</v>
      </c>
      <c r="R111" s="1" t="s">
        <v>8958</v>
      </c>
      <c r="S111" s="1" t="s">
        <v>446</v>
      </c>
      <c r="T111" s="1" t="s">
        <v>242</v>
      </c>
      <c r="U111" s="1" t="s">
        <v>447</v>
      </c>
    </row>
    <row r="112" spans="1:21" x14ac:dyDescent="0.2">
      <c r="A112" s="88" t="s">
        <v>15651</v>
      </c>
      <c r="B112" s="88" t="e">
        <f>VLOOKUP(C112,#REF!,1,0)</f>
        <v>#REF!</v>
      </c>
      <c r="C112" s="1" t="s">
        <v>451</v>
      </c>
      <c r="D112" s="1" t="s">
        <v>452</v>
      </c>
      <c r="E112" s="1" t="s">
        <v>18502</v>
      </c>
      <c r="F112" s="1" t="s">
        <v>9060</v>
      </c>
      <c r="G112" t="s">
        <v>9061</v>
      </c>
      <c r="H112" s="1" t="s">
        <v>9154</v>
      </c>
      <c r="I112" s="1" t="s">
        <v>8949</v>
      </c>
      <c r="J112" s="2" t="s">
        <v>9036</v>
      </c>
      <c r="K112" s="1" t="s">
        <v>9036</v>
      </c>
      <c r="L112" s="1" t="s">
        <v>9464</v>
      </c>
      <c r="M112" s="1">
        <v>4036</v>
      </c>
      <c r="N112" s="1" t="s">
        <v>8953</v>
      </c>
      <c r="O112" s="1" t="s">
        <v>8954</v>
      </c>
      <c r="P112" s="1" t="s">
        <v>8955</v>
      </c>
      <c r="Q112" s="1" t="s">
        <v>8956</v>
      </c>
      <c r="R112" s="1" t="s">
        <v>9103</v>
      </c>
      <c r="S112" s="1" t="s">
        <v>18594</v>
      </c>
      <c r="T112" s="1" t="s">
        <v>17</v>
      </c>
      <c r="U112" s="1" t="s">
        <v>392</v>
      </c>
    </row>
    <row r="113" spans="1:21" x14ac:dyDescent="0.2">
      <c r="A113" s="88" t="s">
        <v>15652</v>
      </c>
      <c r="B113" s="88" t="e">
        <f>VLOOKUP(C113,#REF!,1,0)</f>
        <v>#REF!</v>
      </c>
      <c r="C113" s="1" t="s">
        <v>457</v>
      </c>
      <c r="D113" s="1" t="s">
        <v>458</v>
      </c>
      <c r="E113" s="1" t="s">
        <v>9642</v>
      </c>
      <c r="F113" s="1" t="s">
        <v>8959</v>
      </c>
      <c r="G113" t="s">
        <v>8959</v>
      </c>
      <c r="H113" s="1" t="s">
        <v>9154</v>
      </c>
      <c r="I113" s="1" t="s">
        <v>8998</v>
      </c>
      <c r="J113" s="2" t="s">
        <v>20740</v>
      </c>
      <c r="K113" s="1" t="s">
        <v>20740</v>
      </c>
      <c r="L113" s="1" t="s">
        <v>8951</v>
      </c>
      <c r="M113" s="1">
        <v>71</v>
      </c>
      <c r="N113" s="1" t="s">
        <v>9059</v>
      </c>
      <c r="O113" s="1" t="s">
        <v>8954</v>
      </c>
      <c r="P113" s="1" t="s">
        <v>8955</v>
      </c>
      <c r="Q113" s="1" t="s">
        <v>8956</v>
      </c>
      <c r="R113" s="1" t="s">
        <v>9103</v>
      </c>
      <c r="S113" s="1" t="s">
        <v>18596</v>
      </c>
      <c r="T113" s="1" t="s">
        <v>17</v>
      </c>
      <c r="U113" s="1" t="s">
        <v>459</v>
      </c>
    </row>
    <row r="114" spans="1:21" x14ac:dyDescent="0.2">
      <c r="A114" s="88" t="s">
        <v>15653</v>
      </c>
      <c r="B114" s="88" t="e">
        <f>VLOOKUP(C114,#REF!,1,0)</f>
        <v>#REF!</v>
      </c>
      <c r="C114" s="1" t="s">
        <v>460</v>
      </c>
      <c r="D114" s="1" t="s">
        <v>461</v>
      </c>
      <c r="E114" s="1" t="s">
        <v>9642</v>
      </c>
      <c r="F114" s="1" t="s">
        <v>8957</v>
      </c>
      <c r="G114" t="s">
        <v>8959</v>
      </c>
      <c r="H114" s="1" t="s">
        <v>9154</v>
      </c>
      <c r="I114" s="1" t="s">
        <v>8998</v>
      </c>
      <c r="J114" s="2" t="s">
        <v>10492</v>
      </c>
      <c r="K114" s="1" t="s">
        <v>10492</v>
      </c>
      <c r="L114" s="1" t="s">
        <v>21603</v>
      </c>
      <c r="M114" s="1">
        <v>473</v>
      </c>
      <c r="N114" s="1" t="s">
        <v>9059</v>
      </c>
      <c r="O114" s="1" t="s">
        <v>8954</v>
      </c>
      <c r="P114" s="1" t="s">
        <v>8955</v>
      </c>
      <c r="Q114" s="1" t="s">
        <v>8956</v>
      </c>
      <c r="R114" s="1" t="s">
        <v>8958</v>
      </c>
      <c r="S114" s="1" t="s">
        <v>18597</v>
      </c>
      <c r="T114" s="1" t="s">
        <v>17</v>
      </c>
      <c r="U114" s="1" t="s">
        <v>462</v>
      </c>
    </row>
    <row r="115" spans="1:21" x14ac:dyDescent="0.2">
      <c r="A115" s="88" t="s">
        <v>15654</v>
      </c>
      <c r="B115" s="88" t="e">
        <f>VLOOKUP(C115,#REF!,1,0)</f>
        <v>#REF!</v>
      </c>
      <c r="C115" s="1" t="s">
        <v>463</v>
      </c>
      <c r="D115" s="1" t="s">
        <v>464</v>
      </c>
      <c r="E115" s="1" t="s">
        <v>9642</v>
      </c>
      <c r="F115" s="1" t="s">
        <v>8959</v>
      </c>
      <c r="G115" t="s">
        <v>8959</v>
      </c>
      <c r="H115" s="1" t="s">
        <v>9154</v>
      </c>
      <c r="I115" s="1" t="s">
        <v>8998</v>
      </c>
      <c r="J115" s="2" t="s">
        <v>20740</v>
      </c>
      <c r="K115" s="1" t="s">
        <v>21651</v>
      </c>
      <c r="L115" s="1" t="s">
        <v>8951</v>
      </c>
      <c r="M115" s="1">
        <v>444</v>
      </c>
      <c r="N115" s="1" t="s">
        <v>9059</v>
      </c>
      <c r="O115" s="1" t="s">
        <v>8954</v>
      </c>
      <c r="P115" s="1" t="s">
        <v>8955</v>
      </c>
      <c r="Q115" s="1" t="s">
        <v>8956</v>
      </c>
      <c r="R115" s="1" t="s">
        <v>8975</v>
      </c>
      <c r="S115" s="1" t="s">
        <v>18598</v>
      </c>
      <c r="T115" s="1" t="s">
        <v>7</v>
      </c>
      <c r="U115" s="1" t="s">
        <v>462</v>
      </c>
    </row>
    <row r="116" spans="1:21" x14ac:dyDescent="0.2">
      <c r="A116" s="88" t="s">
        <v>15655</v>
      </c>
      <c r="B116" s="88" t="e">
        <f>VLOOKUP(C116,#REF!,1,0)</f>
        <v>#REF!</v>
      </c>
      <c r="C116" s="1" t="s">
        <v>465</v>
      </c>
      <c r="D116" s="1" t="s">
        <v>466</v>
      </c>
      <c r="E116" s="1" t="s">
        <v>10008</v>
      </c>
      <c r="F116" s="1" t="s">
        <v>8959</v>
      </c>
      <c r="G116" t="s">
        <v>8959</v>
      </c>
      <c r="H116" s="1" t="s">
        <v>8948</v>
      </c>
      <c r="I116" s="1" t="s">
        <v>8949</v>
      </c>
      <c r="J116" s="2" t="s">
        <v>9036</v>
      </c>
      <c r="K116" s="1" t="s">
        <v>9036</v>
      </c>
      <c r="L116" s="1" t="s">
        <v>21600</v>
      </c>
      <c r="M116" s="1">
        <v>243</v>
      </c>
      <c r="N116" s="1" t="s">
        <v>8953</v>
      </c>
      <c r="O116" s="1" t="s">
        <v>8954</v>
      </c>
      <c r="P116" s="1" t="s">
        <v>8955</v>
      </c>
      <c r="Q116" s="1" t="s">
        <v>8956</v>
      </c>
      <c r="R116" s="1" t="s">
        <v>9103</v>
      </c>
      <c r="S116" s="1" t="s">
        <v>18599</v>
      </c>
      <c r="T116" s="1" t="s">
        <v>17</v>
      </c>
      <c r="U116" s="1" t="s">
        <v>467</v>
      </c>
    </row>
    <row r="117" spans="1:21" x14ac:dyDescent="0.2">
      <c r="A117" s="88" t="s">
        <v>15656</v>
      </c>
      <c r="B117" s="88" t="e">
        <f>VLOOKUP(C117,#REF!,1,0)</f>
        <v>#REF!</v>
      </c>
      <c r="C117" s="1" t="s">
        <v>471</v>
      </c>
      <c r="D117" s="1" t="s">
        <v>472</v>
      </c>
      <c r="E117" s="1" t="s">
        <v>14748</v>
      </c>
      <c r="F117" s="1" t="s">
        <v>8959</v>
      </c>
      <c r="G117" t="s">
        <v>8959</v>
      </c>
      <c r="H117" s="1" t="s">
        <v>8948</v>
      </c>
      <c r="I117" s="1" t="s">
        <v>8949</v>
      </c>
      <c r="J117" s="2" t="s">
        <v>9036</v>
      </c>
      <c r="K117" s="1" t="s">
        <v>9036</v>
      </c>
      <c r="L117" s="1" t="s">
        <v>8951</v>
      </c>
      <c r="M117" s="1">
        <v>3580</v>
      </c>
      <c r="N117" s="1" t="s">
        <v>8953</v>
      </c>
      <c r="O117" s="1" t="s">
        <v>8989</v>
      </c>
      <c r="P117" s="1" t="s">
        <v>8955</v>
      </c>
      <c r="Q117" s="1" t="s">
        <v>8956</v>
      </c>
      <c r="R117" s="1" t="s">
        <v>8958</v>
      </c>
      <c r="S117" s="1" t="s">
        <v>18601</v>
      </c>
      <c r="T117" s="1" t="s">
        <v>7</v>
      </c>
      <c r="U117" s="1" t="s">
        <v>473</v>
      </c>
    </row>
    <row r="118" spans="1:21" x14ac:dyDescent="0.2">
      <c r="A118" s="88" t="s">
        <v>15657</v>
      </c>
      <c r="B118" s="88" t="e">
        <f>VLOOKUP(C118,#REF!,1,0)</f>
        <v>#REF!</v>
      </c>
      <c r="C118" s="1" t="s">
        <v>478</v>
      </c>
      <c r="D118" s="1" t="s">
        <v>479</v>
      </c>
      <c r="E118" s="1" t="s">
        <v>20741</v>
      </c>
      <c r="F118" s="1" t="s">
        <v>8957</v>
      </c>
      <c r="G118" t="s">
        <v>8959</v>
      </c>
      <c r="H118" s="1" t="s">
        <v>8948</v>
      </c>
      <c r="I118" s="1" t="s">
        <v>8949</v>
      </c>
      <c r="J118" s="2" t="s">
        <v>20742</v>
      </c>
      <c r="K118" s="1" t="s">
        <v>21652</v>
      </c>
      <c r="L118" s="1" t="s">
        <v>21600</v>
      </c>
      <c r="M118" s="1">
        <v>5824</v>
      </c>
      <c r="N118" s="1" t="s">
        <v>9059</v>
      </c>
      <c r="O118" s="1" t="s">
        <v>8954</v>
      </c>
      <c r="P118" s="1" t="s">
        <v>8955</v>
      </c>
      <c r="Q118" s="1" t="s">
        <v>8956</v>
      </c>
      <c r="R118" s="1" t="s">
        <v>8958</v>
      </c>
      <c r="S118" s="1" t="s">
        <v>18603</v>
      </c>
      <c r="T118" s="1" t="s">
        <v>17</v>
      </c>
      <c r="U118" s="1" t="s">
        <v>57</v>
      </c>
    </row>
    <row r="119" spans="1:21" x14ac:dyDescent="0.2">
      <c r="A119" s="88" t="s">
        <v>15658</v>
      </c>
      <c r="B119" s="88" t="e">
        <f>VLOOKUP(C119,#REF!,1,0)</f>
        <v>#REF!</v>
      </c>
      <c r="C119" s="1" t="s">
        <v>480</v>
      </c>
      <c r="D119" s="1" t="s">
        <v>481</v>
      </c>
      <c r="E119" s="1" t="s">
        <v>10873</v>
      </c>
      <c r="F119" s="1" t="s">
        <v>9060</v>
      </c>
      <c r="G119" t="s">
        <v>9061</v>
      </c>
      <c r="H119" s="1" t="s">
        <v>9154</v>
      </c>
      <c r="I119" s="1" t="s">
        <v>8949</v>
      </c>
      <c r="J119" s="2" t="s">
        <v>9036</v>
      </c>
      <c r="K119" s="1" t="s">
        <v>9036</v>
      </c>
      <c r="L119" s="1" t="s">
        <v>21600</v>
      </c>
      <c r="M119" s="1">
        <v>24620</v>
      </c>
      <c r="N119" s="1" t="s">
        <v>9059</v>
      </c>
      <c r="O119" s="1" t="s">
        <v>8954</v>
      </c>
      <c r="P119" s="1" t="s">
        <v>8955</v>
      </c>
      <c r="Q119" s="1" t="s">
        <v>8956</v>
      </c>
      <c r="R119" s="1" t="s">
        <v>8975</v>
      </c>
      <c r="S119" s="1" t="s">
        <v>18604</v>
      </c>
      <c r="T119" s="1" t="s">
        <v>17</v>
      </c>
      <c r="U119" s="1" t="s">
        <v>126</v>
      </c>
    </row>
    <row r="120" spans="1:21" x14ac:dyDescent="0.2">
      <c r="A120" s="88" t="s">
        <v>15659</v>
      </c>
      <c r="B120" s="88" t="e">
        <f>VLOOKUP(C120,#REF!,1,0)</f>
        <v>#REF!</v>
      </c>
      <c r="C120" s="1" t="s">
        <v>482</v>
      </c>
      <c r="D120" s="1" t="s">
        <v>483</v>
      </c>
      <c r="E120" s="1" t="s">
        <v>18502</v>
      </c>
      <c r="F120" s="1" t="s">
        <v>8957</v>
      </c>
      <c r="G120" t="s">
        <v>9009</v>
      </c>
      <c r="H120" s="1" t="s">
        <v>9154</v>
      </c>
      <c r="I120" s="1" t="s">
        <v>11607</v>
      </c>
      <c r="J120" s="2" t="s">
        <v>9036</v>
      </c>
      <c r="K120" s="1" t="s">
        <v>9036</v>
      </c>
      <c r="L120" s="1" t="s">
        <v>8951</v>
      </c>
      <c r="M120" s="1">
        <v>16056</v>
      </c>
      <c r="N120" s="1" t="s">
        <v>9059</v>
      </c>
      <c r="O120" s="1" t="s">
        <v>8989</v>
      </c>
      <c r="P120" s="1" t="s">
        <v>8955</v>
      </c>
      <c r="Q120" s="1" t="s">
        <v>8956</v>
      </c>
      <c r="R120" s="1" t="s">
        <v>8975</v>
      </c>
      <c r="S120" s="1" t="s">
        <v>18605</v>
      </c>
      <c r="T120" s="1" t="s">
        <v>17</v>
      </c>
      <c r="U120" s="1" t="s">
        <v>484</v>
      </c>
    </row>
    <row r="121" spans="1:21" x14ac:dyDescent="0.2">
      <c r="A121" s="88" t="s">
        <v>15660</v>
      </c>
      <c r="B121" s="88" t="e">
        <f>VLOOKUP(C121,#REF!,1,0)</f>
        <v>#REF!</v>
      </c>
      <c r="C121" s="1" t="s">
        <v>485</v>
      </c>
      <c r="D121" s="1" t="s">
        <v>486</v>
      </c>
      <c r="E121" s="1" t="s">
        <v>9317</v>
      </c>
      <c r="F121" s="1" t="s">
        <v>8959</v>
      </c>
      <c r="G121" t="s">
        <v>8959</v>
      </c>
      <c r="H121" s="1" t="s">
        <v>8948</v>
      </c>
      <c r="I121" s="1" t="s">
        <v>9101</v>
      </c>
      <c r="J121" s="2" t="s">
        <v>9316</v>
      </c>
      <c r="K121" s="1" t="s">
        <v>9316</v>
      </c>
      <c r="L121" s="1" t="s">
        <v>8987</v>
      </c>
      <c r="M121" s="1">
        <v>7849</v>
      </c>
      <c r="N121" s="1" t="s">
        <v>8953</v>
      </c>
      <c r="O121" s="1" t="s">
        <v>8954</v>
      </c>
      <c r="P121" s="1" t="s">
        <v>8955</v>
      </c>
      <c r="Q121" s="1" t="s">
        <v>8956</v>
      </c>
      <c r="R121" s="1" t="s">
        <v>8975</v>
      </c>
      <c r="S121" s="1" t="s">
        <v>487</v>
      </c>
      <c r="T121" s="1" t="s">
        <v>4</v>
      </c>
      <c r="U121" s="1" t="s">
        <v>24</v>
      </c>
    </row>
    <row r="122" spans="1:21" x14ac:dyDescent="0.2">
      <c r="A122" s="88" t="s">
        <v>15661</v>
      </c>
      <c r="B122" s="88" t="e">
        <f>VLOOKUP(C122,#REF!,1,0)</f>
        <v>#REF!</v>
      </c>
      <c r="C122" s="1" t="s">
        <v>488</v>
      </c>
      <c r="D122" s="1" t="s">
        <v>489</v>
      </c>
      <c r="E122" s="1" t="s">
        <v>9317</v>
      </c>
      <c r="F122" s="1" t="s">
        <v>8959</v>
      </c>
      <c r="G122" t="s">
        <v>9009</v>
      </c>
      <c r="H122" s="1" t="s">
        <v>9173</v>
      </c>
      <c r="I122" s="1" t="s">
        <v>9101</v>
      </c>
      <c r="J122" s="2" t="s">
        <v>9112</v>
      </c>
      <c r="K122" s="1" t="s">
        <v>9112</v>
      </c>
      <c r="L122" s="1" t="s">
        <v>8951</v>
      </c>
      <c r="M122" s="1">
        <v>22</v>
      </c>
      <c r="N122" s="1" t="s">
        <v>9059</v>
      </c>
      <c r="O122" s="1" t="s">
        <v>8954</v>
      </c>
      <c r="P122" s="1" t="s">
        <v>8955</v>
      </c>
      <c r="Q122" s="1" t="s">
        <v>8956</v>
      </c>
      <c r="R122" s="1" t="s">
        <v>8975</v>
      </c>
      <c r="S122" s="1" t="s">
        <v>490</v>
      </c>
      <c r="T122" s="1" t="s">
        <v>17</v>
      </c>
      <c r="U122" s="1" t="s">
        <v>64</v>
      </c>
    </row>
    <row r="123" spans="1:21" x14ac:dyDescent="0.2">
      <c r="A123" s="88" t="s">
        <v>15664</v>
      </c>
      <c r="B123" s="88" t="e">
        <f>VLOOKUP(C123,#REF!,1,0)</f>
        <v>#REF!</v>
      </c>
      <c r="C123" s="1" t="s">
        <v>501</v>
      </c>
      <c r="D123" s="1" t="s">
        <v>502</v>
      </c>
      <c r="E123" s="1" t="s">
        <v>9010</v>
      </c>
      <c r="F123" s="1" t="s">
        <v>8957</v>
      </c>
      <c r="G123" t="s">
        <v>8959</v>
      </c>
      <c r="H123" s="1" t="s">
        <v>9154</v>
      </c>
      <c r="I123" s="1" t="s">
        <v>8949</v>
      </c>
      <c r="J123" s="2" t="s">
        <v>9036</v>
      </c>
      <c r="K123" s="1" t="s">
        <v>9036</v>
      </c>
      <c r="L123" s="1" t="s">
        <v>21600</v>
      </c>
      <c r="M123" s="1">
        <v>270</v>
      </c>
      <c r="N123" s="1" t="s">
        <v>8953</v>
      </c>
      <c r="O123" s="1" t="s">
        <v>8989</v>
      </c>
      <c r="P123" s="1" t="s">
        <v>8955</v>
      </c>
      <c r="Q123" s="1" t="s">
        <v>8956</v>
      </c>
      <c r="R123" s="1" t="s">
        <v>9103</v>
      </c>
      <c r="S123" s="1" t="s">
        <v>503</v>
      </c>
      <c r="T123" s="1" t="s">
        <v>242</v>
      </c>
      <c r="U123" s="1" t="s">
        <v>126</v>
      </c>
    </row>
    <row r="124" spans="1:21" x14ac:dyDescent="0.2">
      <c r="A124" s="88" t="s">
        <v>15665</v>
      </c>
      <c r="B124" s="88" t="e">
        <f>VLOOKUP(C124,#REF!,1,0)</f>
        <v>#REF!</v>
      </c>
      <c r="C124" s="1" t="s">
        <v>504</v>
      </c>
      <c r="D124" s="1" t="s">
        <v>505</v>
      </c>
      <c r="E124" s="1" t="s">
        <v>9010</v>
      </c>
      <c r="F124" s="1" t="s">
        <v>8957</v>
      </c>
      <c r="G124" t="s">
        <v>9009</v>
      </c>
      <c r="H124" s="1" t="s">
        <v>9154</v>
      </c>
      <c r="I124" s="1" t="s">
        <v>8949</v>
      </c>
      <c r="J124" s="2" t="s">
        <v>21461</v>
      </c>
      <c r="K124" s="1" t="s">
        <v>21461</v>
      </c>
      <c r="L124" s="1" t="s">
        <v>21600</v>
      </c>
      <c r="M124" s="1">
        <v>251</v>
      </c>
      <c r="N124" s="1" t="s">
        <v>8953</v>
      </c>
      <c r="O124" s="1" t="s">
        <v>8989</v>
      </c>
      <c r="P124" s="1" t="s">
        <v>8955</v>
      </c>
      <c r="Q124" s="1" t="s">
        <v>8956</v>
      </c>
      <c r="R124" s="1" t="s">
        <v>9103</v>
      </c>
      <c r="S124" s="1" t="s">
        <v>503</v>
      </c>
      <c r="T124" s="1" t="s">
        <v>4</v>
      </c>
      <c r="U124" s="1" t="s">
        <v>161</v>
      </c>
    </row>
    <row r="125" spans="1:21" x14ac:dyDescent="0.2">
      <c r="A125" s="88" t="s">
        <v>15667</v>
      </c>
      <c r="B125" s="88" t="e">
        <f>VLOOKUP(C125,#REF!,1,0)</f>
        <v>#REF!</v>
      </c>
      <c r="C125" s="1" t="s">
        <v>508</v>
      </c>
      <c r="D125" s="1" t="s">
        <v>509</v>
      </c>
      <c r="E125" s="1" t="s">
        <v>10873</v>
      </c>
      <c r="F125" s="1" t="s">
        <v>8959</v>
      </c>
      <c r="G125" t="s">
        <v>8959</v>
      </c>
      <c r="H125" s="1" t="s">
        <v>9154</v>
      </c>
      <c r="I125" s="1" t="s">
        <v>9121</v>
      </c>
      <c r="J125" s="2" t="s">
        <v>13541</v>
      </c>
      <c r="K125" s="1" t="s">
        <v>13541</v>
      </c>
      <c r="L125" s="1" t="s">
        <v>9464</v>
      </c>
      <c r="M125" s="1">
        <v>3389</v>
      </c>
      <c r="N125" s="1" t="s">
        <v>8953</v>
      </c>
      <c r="O125" s="1" t="s">
        <v>8954</v>
      </c>
      <c r="P125" s="1" t="s">
        <v>8955</v>
      </c>
      <c r="Q125" s="1" t="s">
        <v>8956</v>
      </c>
      <c r="R125" s="1" t="s">
        <v>9103</v>
      </c>
      <c r="S125" s="1" t="s">
        <v>510</v>
      </c>
      <c r="T125" s="1" t="s">
        <v>11</v>
      </c>
      <c r="U125" s="1" t="s">
        <v>64</v>
      </c>
    </row>
    <row r="126" spans="1:21" x14ac:dyDescent="0.2">
      <c r="A126" s="88" t="s">
        <v>15668</v>
      </c>
      <c r="B126" s="88" t="e">
        <f>VLOOKUP(C126,#REF!,1,0)</f>
        <v>#REF!</v>
      </c>
      <c r="C126" s="1" t="s">
        <v>511</v>
      </c>
      <c r="D126" s="1" t="s">
        <v>512</v>
      </c>
      <c r="E126" s="1" t="s">
        <v>9010</v>
      </c>
      <c r="F126" s="1" t="s">
        <v>8974</v>
      </c>
      <c r="G126" t="s">
        <v>8959</v>
      </c>
      <c r="H126" s="1" t="s">
        <v>9605</v>
      </c>
      <c r="I126" s="1" t="s">
        <v>9101</v>
      </c>
      <c r="J126" s="2" t="s">
        <v>10040</v>
      </c>
      <c r="K126" s="1" t="s">
        <v>21653</v>
      </c>
      <c r="L126" s="1" t="s">
        <v>9157</v>
      </c>
      <c r="M126" s="1">
        <v>12671</v>
      </c>
      <c r="N126" s="1" t="s">
        <v>8953</v>
      </c>
      <c r="O126" s="1" t="s">
        <v>8989</v>
      </c>
      <c r="P126" s="1" t="s">
        <v>8955</v>
      </c>
      <c r="Q126" s="1" t="s">
        <v>8956</v>
      </c>
      <c r="R126" s="1" t="s">
        <v>8958</v>
      </c>
      <c r="S126" s="1" t="s">
        <v>513</v>
      </c>
      <c r="T126" s="1" t="s">
        <v>17</v>
      </c>
      <c r="U126" s="1" t="s">
        <v>514</v>
      </c>
    </row>
    <row r="127" spans="1:21" x14ac:dyDescent="0.2">
      <c r="A127" s="88" t="s">
        <v>15670</v>
      </c>
      <c r="B127" s="88" t="e">
        <f>VLOOKUP(C127,#REF!,1,0)</f>
        <v>#REF!</v>
      </c>
      <c r="C127" s="1" t="s">
        <v>519</v>
      </c>
      <c r="D127" s="1" t="s">
        <v>520</v>
      </c>
      <c r="E127" s="1" t="s">
        <v>10873</v>
      </c>
      <c r="F127" s="1" t="s">
        <v>8957</v>
      </c>
      <c r="G127" t="s">
        <v>8959</v>
      </c>
      <c r="H127" s="1" t="s">
        <v>8948</v>
      </c>
      <c r="I127" s="1" t="s">
        <v>8949</v>
      </c>
      <c r="J127" s="2" t="s">
        <v>9036</v>
      </c>
      <c r="K127" s="1" t="s">
        <v>9036</v>
      </c>
      <c r="L127" s="1" t="s">
        <v>9076</v>
      </c>
      <c r="M127" s="1">
        <v>4012</v>
      </c>
      <c r="N127" s="1" t="s">
        <v>8953</v>
      </c>
      <c r="O127" s="1" t="s">
        <v>8989</v>
      </c>
      <c r="P127" s="1" t="s">
        <v>8955</v>
      </c>
      <c r="Q127" s="1" t="s">
        <v>8956</v>
      </c>
      <c r="R127" s="1" t="s">
        <v>9103</v>
      </c>
      <c r="S127" s="1" t="s">
        <v>18609</v>
      </c>
      <c r="T127" s="1" t="s">
        <v>7</v>
      </c>
      <c r="U127" s="1" t="s">
        <v>46</v>
      </c>
    </row>
    <row r="128" spans="1:21" x14ac:dyDescent="0.2">
      <c r="A128" s="88" t="s">
        <v>15671</v>
      </c>
      <c r="B128" s="88" t="e">
        <f>VLOOKUP(C128,#REF!,1,0)</f>
        <v>#REF!</v>
      </c>
      <c r="C128" s="1" t="s">
        <v>521</v>
      </c>
      <c r="D128" s="1" t="s">
        <v>522</v>
      </c>
      <c r="E128" s="1" t="s">
        <v>9380</v>
      </c>
      <c r="F128" s="1" t="s">
        <v>9060</v>
      </c>
      <c r="G128" t="s">
        <v>9183</v>
      </c>
      <c r="H128" s="1" t="s">
        <v>9075</v>
      </c>
      <c r="I128" s="1" t="s">
        <v>9155</v>
      </c>
      <c r="J128" s="2" t="s">
        <v>12408</v>
      </c>
      <c r="K128" s="1" t="s">
        <v>12408</v>
      </c>
      <c r="L128" s="1" t="s">
        <v>8951</v>
      </c>
      <c r="M128" s="1">
        <v>157</v>
      </c>
      <c r="N128" s="1" t="s">
        <v>8953</v>
      </c>
      <c r="O128" s="1" t="s">
        <v>8989</v>
      </c>
      <c r="P128" s="1" t="s">
        <v>8955</v>
      </c>
      <c r="Q128" s="1" t="s">
        <v>8956</v>
      </c>
      <c r="R128" s="1" t="s">
        <v>8975</v>
      </c>
      <c r="S128" s="1" t="s">
        <v>523</v>
      </c>
      <c r="T128" s="1" t="s">
        <v>11</v>
      </c>
      <c r="U128" s="1" t="s">
        <v>61</v>
      </c>
    </row>
    <row r="129" spans="1:21" x14ac:dyDescent="0.2">
      <c r="A129" s="88" t="s">
        <v>15672</v>
      </c>
      <c r="B129" s="88" t="e">
        <f>VLOOKUP(C129,#REF!,1,0)</f>
        <v>#REF!</v>
      </c>
      <c r="C129" s="1" t="s">
        <v>524</v>
      </c>
      <c r="D129" s="1" t="s">
        <v>525</v>
      </c>
      <c r="E129" s="1" t="s">
        <v>9380</v>
      </c>
      <c r="F129" s="1" t="s">
        <v>8957</v>
      </c>
      <c r="G129" t="s">
        <v>8959</v>
      </c>
      <c r="H129" s="1" t="s">
        <v>9075</v>
      </c>
      <c r="I129" s="1" t="s">
        <v>8971</v>
      </c>
      <c r="J129" s="2" t="s">
        <v>12500</v>
      </c>
      <c r="K129" s="1" t="s">
        <v>12500</v>
      </c>
      <c r="L129" s="1" t="s">
        <v>8951</v>
      </c>
      <c r="M129" s="1">
        <v>132</v>
      </c>
      <c r="N129" s="1" t="s">
        <v>9059</v>
      </c>
      <c r="O129" s="1" t="s">
        <v>8989</v>
      </c>
      <c r="P129" s="1" t="s">
        <v>8955</v>
      </c>
      <c r="Q129" s="1" t="s">
        <v>8956</v>
      </c>
      <c r="R129" s="1" t="s">
        <v>8975</v>
      </c>
      <c r="S129" s="1" t="s">
        <v>526</v>
      </c>
      <c r="T129" s="1" t="s">
        <v>4</v>
      </c>
      <c r="U129" s="1" t="s">
        <v>64</v>
      </c>
    </row>
    <row r="130" spans="1:21" x14ac:dyDescent="0.2">
      <c r="A130" s="88" t="s">
        <v>15673</v>
      </c>
      <c r="B130" s="88" t="e">
        <f>VLOOKUP(C130,#REF!,1,0)</f>
        <v>#REF!</v>
      </c>
      <c r="C130" s="1" t="s">
        <v>527</v>
      </c>
      <c r="D130" s="1" t="s">
        <v>528</v>
      </c>
      <c r="E130" s="1" t="s">
        <v>9380</v>
      </c>
      <c r="F130" s="1" t="s">
        <v>8957</v>
      </c>
      <c r="G130" t="s">
        <v>8959</v>
      </c>
      <c r="H130" s="1" t="s">
        <v>9075</v>
      </c>
      <c r="I130" s="1" t="s">
        <v>8971</v>
      </c>
      <c r="J130" s="2" t="s">
        <v>12500</v>
      </c>
      <c r="K130" s="1" t="s">
        <v>12500</v>
      </c>
      <c r="L130" s="1" t="s">
        <v>8951</v>
      </c>
      <c r="M130" s="1">
        <v>223</v>
      </c>
      <c r="N130" s="1" t="s">
        <v>8953</v>
      </c>
      <c r="O130" s="1" t="s">
        <v>8989</v>
      </c>
      <c r="P130" s="1" t="s">
        <v>8955</v>
      </c>
      <c r="Q130" s="1" t="s">
        <v>8956</v>
      </c>
      <c r="R130" s="1" t="s">
        <v>8975</v>
      </c>
      <c r="S130" s="1" t="s">
        <v>529</v>
      </c>
      <c r="T130" s="1" t="s">
        <v>242</v>
      </c>
      <c r="U130" s="1" t="s">
        <v>64</v>
      </c>
    </row>
    <row r="131" spans="1:21" x14ac:dyDescent="0.2">
      <c r="A131" s="88" t="s">
        <v>15674</v>
      </c>
      <c r="B131" s="88" t="e">
        <f>VLOOKUP(C131,#REF!,1,0)</f>
        <v>#REF!</v>
      </c>
      <c r="C131" s="1" t="s">
        <v>530</v>
      </c>
      <c r="D131" s="1" t="s">
        <v>531</v>
      </c>
      <c r="E131" s="1" t="s">
        <v>9380</v>
      </c>
      <c r="F131" s="1" t="s">
        <v>8957</v>
      </c>
      <c r="G131" t="s">
        <v>8959</v>
      </c>
      <c r="H131" s="1" t="s">
        <v>9075</v>
      </c>
      <c r="I131" s="1" t="s">
        <v>8971</v>
      </c>
      <c r="J131" s="2" t="s">
        <v>12500</v>
      </c>
      <c r="K131" s="1" t="s">
        <v>12500</v>
      </c>
      <c r="L131" s="1" t="s">
        <v>8951</v>
      </c>
      <c r="M131" s="1">
        <v>255</v>
      </c>
      <c r="N131" s="1" t="s">
        <v>8953</v>
      </c>
      <c r="O131" s="1" t="s">
        <v>8989</v>
      </c>
      <c r="P131" s="1" t="s">
        <v>8955</v>
      </c>
      <c r="Q131" s="1" t="s">
        <v>8956</v>
      </c>
      <c r="R131" s="1" t="s">
        <v>8975</v>
      </c>
      <c r="S131" s="1" t="s">
        <v>532</v>
      </c>
      <c r="T131" s="1" t="s">
        <v>4</v>
      </c>
      <c r="U131" s="1" t="s">
        <v>64</v>
      </c>
    </row>
    <row r="132" spans="1:21" x14ac:dyDescent="0.2">
      <c r="A132" s="88" t="s">
        <v>15675</v>
      </c>
      <c r="B132" s="88" t="e">
        <f>VLOOKUP(C132,#REF!,1,0)</f>
        <v>#REF!</v>
      </c>
      <c r="C132" s="1" t="s">
        <v>533</v>
      </c>
      <c r="D132" s="1" t="s">
        <v>534</v>
      </c>
      <c r="E132" s="1" t="s">
        <v>9380</v>
      </c>
      <c r="F132" s="1" t="s">
        <v>8957</v>
      </c>
      <c r="G132" t="s">
        <v>8959</v>
      </c>
      <c r="H132" s="1" t="s">
        <v>9075</v>
      </c>
      <c r="I132" s="1" t="s">
        <v>8971</v>
      </c>
      <c r="J132" s="2" t="s">
        <v>12713</v>
      </c>
      <c r="K132" s="1" t="s">
        <v>12713</v>
      </c>
      <c r="L132" s="1" t="s">
        <v>8951</v>
      </c>
      <c r="M132" s="1">
        <v>276</v>
      </c>
      <c r="N132" s="1" t="s">
        <v>8953</v>
      </c>
      <c r="O132" s="1" t="s">
        <v>8989</v>
      </c>
      <c r="P132" s="1" t="s">
        <v>8955</v>
      </c>
      <c r="Q132" s="1" t="s">
        <v>8956</v>
      </c>
      <c r="R132" s="1" t="s">
        <v>8975</v>
      </c>
      <c r="S132" s="1" t="s">
        <v>535</v>
      </c>
      <c r="T132" s="1" t="s">
        <v>11</v>
      </c>
      <c r="U132" s="1" t="s">
        <v>64</v>
      </c>
    </row>
    <row r="133" spans="1:21" x14ac:dyDescent="0.2">
      <c r="A133" s="88" t="s">
        <v>15677</v>
      </c>
      <c r="B133" s="88" t="e">
        <f>VLOOKUP(C133,#REF!,1,0)</f>
        <v>#REF!</v>
      </c>
      <c r="C133" s="1" t="s">
        <v>539</v>
      </c>
      <c r="D133" s="1" t="s">
        <v>540</v>
      </c>
      <c r="E133" s="1" t="s">
        <v>9380</v>
      </c>
      <c r="F133" s="1" t="s">
        <v>8957</v>
      </c>
      <c r="G133" t="s">
        <v>8959</v>
      </c>
      <c r="H133" s="1" t="s">
        <v>8948</v>
      </c>
      <c r="I133" s="1" t="s">
        <v>8998</v>
      </c>
      <c r="J133" s="2" t="s">
        <v>18491</v>
      </c>
      <c r="K133" s="1" t="s">
        <v>18491</v>
      </c>
      <c r="L133" s="1" t="s">
        <v>9076</v>
      </c>
      <c r="M133" s="1">
        <v>16640</v>
      </c>
      <c r="N133" s="1" t="s">
        <v>8953</v>
      </c>
      <c r="O133" s="1" t="s">
        <v>8989</v>
      </c>
      <c r="P133" s="1" t="s">
        <v>8955</v>
      </c>
      <c r="Q133" s="1" t="s">
        <v>8956</v>
      </c>
      <c r="R133" s="1" t="s">
        <v>8958</v>
      </c>
      <c r="S133" s="1" t="s">
        <v>18610</v>
      </c>
      <c r="T133" s="1" t="s">
        <v>7</v>
      </c>
      <c r="U133" s="1" t="s">
        <v>93</v>
      </c>
    </row>
    <row r="134" spans="1:21" x14ac:dyDescent="0.2">
      <c r="A134" s="88" t="s">
        <v>15678</v>
      </c>
      <c r="B134" s="88" t="e">
        <f>VLOOKUP(C134,#REF!,1,0)</f>
        <v>#REF!</v>
      </c>
      <c r="C134" s="1" t="s">
        <v>541</v>
      </c>
      <c r="D134" s="1" t="s">
        <v>542</v>
      </c>
      <c r="E134" s="1" t="s">
        <v>9176</v>
      </c>
      <c r="F134" s="1" t="s">
        <v>8959</v>
      </c>
      <c r="G134" t="s">
        <v>8959</v>
      </c>
      <c r="H134" s="1" t="s">
        <v>8948</v>
      </c>
      <c r="I134" s="1" t="s">
        <v>8949</v>
      </c>
      <c r="J134" s="2" t="s">
        <v>9679</v>
      </c>
      <c r="K134" s="1" t="s">
        <v>9679</v>
      </c>
      <c r="L134" s="1" t="s">
        <v>8987</v>
      </c>
      <c r="M134" s="1">
        <v>2201</v>
      </c>
      <c r="N134" s="1" t="s">
        <v>9059</v>
      </c>
      <c r="O134" s="1" t="s">
        <v>8954</v>
      </c>
      <c r="P134" s="1" t="s">
        <v>8955</v>
      </c>
      <c r="Q134" s="1" t="s">
        <v>8956</v>
      </c>
      <c r="R134" s="1" t="s">
        <v>8958</v>
      </c>
      <c r="S134" s="1" t="s">
        <v>543</v>
      </c>
      <c r="T134" s="1" t="s">
        <v>17</v>
      </c>
      <c r="U134" s="1" t="s">
        <v>544</v>
      </c>
    </row>
    <row r="135" spans="1:21" x14ac:dyDescent="0.2">
      <c r="A135" s="88" t="s">
        <v>15679</v>
      </c>
      <c r="B135" s="88" t="e">
        <f>VLOOKUP(C135,#REF!,1,0)</f>
        <v>#REF!</v>
      </c>
      <c r="C135" s="1" t="s">
        <v>545</v>
      </c>
      <c r="D135" s="1" t="s">
        <v>546</v>
      </c>
      <c r="E135" s="1" t="s">
        <v>9176</v>
      </c>
      <c r="F135" s="1" t="s">
        <v>8959</v>
      </c>
      <c r="G135" t="s">
        <v>8959</v>
      </c>
      <c r="H135" s="1" t="s">
        <v>9100</v>
      </c>
      <c r="I135" s="1" t="s">
        <v>8949</v>
      </c>
      <c r="J135" s="2" t="s">
        <v>9036</v>
      </c>
      <c r="K135" s="1" t="s">
        <v>9036</v>
      </c>
      <c r="L135" s="1" t="s">
        <v>8987</v>
      </c>
      <c r="M135" s="1">
        <v>55</v>
      </c>
      <c r="N135" s="1" t="s">
        <v>9059</v>
      </c>
      <c r="O135" s="1" t="s">
        <v>8989</v>
      </c>
      <c r="P135" s="1" t="s">
        <v>8955</v>
      </c>
      <c r="Q135" s="1" t="s">
        <v>8956</v>
      </c>
      <c r="R135" s="1" t="s">
        <v>8975</v>
      </c>
      <c r="S135" s="1" t="s">
        <v>18611</v>
      </c>
      <c r="T135" s="1" t="s">
        <v>17</v>
      </c>
      <c r="U135" s="1" t="s">
        <v>547</v>
      </c>
    </row>
    <row r="136" spans="1:21" x14ac:dyDescent="0.2">
      <c r="A136" s="88" t="s">
        <v>15680</v>
      </c>
      <c r="B136" s="88" t="e">
        <f>VLOOKUP(C136,#REF!,1,0)</f>
        <v>#REF!</v>
      </c>
      <c r="C136" s="1" t="s">
        <v>548</v>
      </c>
      <c r="D136" s="1" t="s">
        <v>549</v>
      </c>
      <c r="E136" s="1" t="s">
        <v>9213</v>
      </c>
      <c r="F136" s="1" t="s">
        <v>8957</v>
      </c>
      <c r="G136" t="s">
        <v>8959</v>
      </c>
      <c r="H136" s="1" t="s">
        <v>8948</v>
      </c>
      <c r="I136" s="1" t="s">
        <v>8998</v>
      </c>
      <c r="J136" s="2" t="s">
        <v>9036</v>
      </c>
      <c r="K136" s="1" t="s">
        <v>9036</v>
      </c>
      <c r="L136" s="1" t="s">
        <v>21600</v>
      </c>
      <c r="M136" s="1">
        <v>5174</v>
      </c>
      <c r="N136" s="1" t="s">
        <v>8953</v>
      </c>
      <c r="O136" s="1" t="s">
        <v>8954</v>
      </c>
      <c r="P136" s="1" t="s">
        <v>8955</v>
      </c>
      <c r="Q136" s="1" t="s">
        <v>8956</v>
      </c>
      <c r="R136" s="1" t="s">
        <v>8975</v>
      </c>
      <c r="S136" s="1" t="s">
        <v>18612</v>
      </c>
      <c r="T136" s="1" t="s">
        <v>7</v>
      </c>
      <c r="U136" s="1" t="s">
        <v>184</v>
      </c>
    </row>
    <row r="137" spans="1:21" x14ac:dyDescent="0.2">
      <c r="A137" s="88" t="s">
        <v>15681</v>
      </c>
      <c r="B137" s="88" t="e">
        <f>VLOOKUP(C137,#REF!,1,0)</f>
        <v>#REF!</v>
      </c>
      <c r="C137" s="1" t="s">
        <v>550</v>
      </c>
      <c r="D137" s="1" t="s">
        <v>551</v>
      </c>
      <c r="E137" s="1" t="s">
        <v>9213</v>
      </c>
      <c r="F137" s="1" t="s">
        <v>9060</v>
      </c>
      <c r="G137" t="s">
        <v>9009</v>
      </c>
      <c r="H137" s="1" t="s">
        <v>9035</v>
      </c>
      <c r="I137" s="1" t="s">
        <v>8998</v>
      </c>
      <c r="J137" s="2" t="s">
        <v>9036</v>
      </c>
      <c r="K137" s="1" t="s">
        <v>9036</v>
      </c>
      <c r="L137" s="1" t="s">
        <v>8987</v>
      </c>
      <c r="M137" s="1">
        <v>106</v>
      </c>
      <c r="N137" s="1" t="s">
        <v>8953</v>
      </c>
      <c r="O137" s="1" t="s">
        <v>8989</v>
      </c>
      <c r="P137" s="1" t="s">
        <v>8955</v>
      </c>
      <c r="Q137" s="1" t="s">
        <v>8956</v>
      </c>
      <c r="R137" s="1" t="s">
        <v>8958</v>
      </c>
      <c r="S137" s="1" t="s">
        <v>552</v>
      </c>
      <c r="T137" s="1" t="s">
        <v>11</v>
      </c>
      <c r="U137" s="1" t="s">
        <v>24</v>
      </c>
    </row>
    <row r="138" spans="1:21" x14ac:dyDescent="0.2">
      <c r="A138" s="88" t="s">
        <v>15682</v>
      </c>
      <c r="B138" s="88" t="e">
        <f>VLOOKUP(C138,#REF!,1,0)</f>
        <v>#REF!</v>
      </c>
      <c r="C138" s="1" t="s">
        <v>553</v>
      </c>
      <c r="D138" s="1" t="s">
        <v>554</v>
      </c>
      <c r="E138" s="1" t="s">
        <v>9213</v>
      </c>
      <c r="F138" s="1" t="s">
        <v>8957</v>
      </c>
      <c r="G138" t="s">
        <v>9061</v>
      </c>
      <c r="H138" s="1" t="s">
        <v>9100</v>
      </c>
      <c r="I138" s="1" t="s">
        <v>8949</v>
      </c>
      <c r="J138" s="2" t="s">
        <v>9041</v>
      </c>
      <c r="K138" s="1" t="s">
        <v>9041</v>
      </c>
      <c r="L138" s="1" t="s">
        <v>8987</v>
      </c>
      <c r="M138" s="1">
        <v>693</v>
      </c>
      <c r="N138" s="1" t="s">
        <v>8953</v>
      </c>
      <c r="O138" s="1" t="s">
        <v>8989</v>
      </c>
      <c r="P138" s="1" t="s">
        <v>8955</v>
      </c>
      <c r="Q138" s="1" t="s">
        <v>8956</v>
      </c>
      <c r="R138" s="1" t="s">
        <v>8975</v>
      </c>
      <c r="S138" s="1" t="s">
        <v>18613</v>
      </c>
      <c r="T138" s="1" t="s">
        <v>7</v>
      </c>
      <c r="U138" s="1" t="s">
        <v>24</v>
      </c>
    </row>
    <row r="139" spans="1:21" x14ac:dyDescent="0.2">
      <c r="A139" s="88" t="s">
        <v>15683</v>
      </c>
      <c r="B139" s="88" t="e">
        <f>VLOOKUP(C139,#REF!,1,0)</f>
        <v>#REF!</v>
      </c>
      <c r="C139" s="1" t="s">
        <v>555</v>
      </c>
      <c r="D139" s="1" t="s">
        <v>556</v>
      </c>
      <c r="E139" s="1" t="s">
        <v>18502</v>
      </c>
      <c r="F139" s="1" t="s">
        <v>8957</v>
      </c>
      <c r="G139" t="s">
        <v>8959</v>
      </c>
      <c r="H139" s="1" t="s">
        <v>9035</v>
      </c>
      <c r="I139" s="1" t="s">
        <v>8998</v>
      </c>
      <c r="J139" s="2" t="s">
        <v>10492</v>
      </c>
      <c r="K139" s="1" t="s">
        <v>21645</v>
      </c>
      <c r="L139" s="1" t="s">
        <v>9157</v>
      </c>
      <c r="M139" s="1">
        <v>96</v>
      </c>
      <c r="N139" s="1" t="s">
        <v>9059</v>
      </c>
      <c r="O139" s="1" t="s">
        <v>8989</v>
      </c>
      <c r="P139" s="1" t="s">
        <v>8955</v>
      </c>
      <c r="Q139" s="1" t="s">
        <v>8956</v>
      </c>
      <c r="R139" s="1" t="s">
        <v>8975</v>
      </c>
      <c r="S139" s="1" t="s">
        <v>18614</v>
      </c>
      <c r="T139" s="1" t="s">
        <v>17</v>
      </c>
      <c r="U139" s="1" t="s">
        <v>24</v>
      </c>
    </row>
    <row r="140" spans="1:21" x14ac:dyDescent="0.2">
      <c r="A140" s="88" t="s">
        <v>15684</v>
      </c>
      <c r="B140" s="88" t="e">
        <f>VLOOKUP(C140,#REF!,1,0)</f>
        <v>#REF!</v>
      </c>
      <c r="C140" s="1" t="s">
        <v>557</v>
      </c>
      <c r="D140" s="1" t="s">
        <v>558</v>
      </c>
      <c r="E140" s="1" t="s">
        <v>18502</v>
      </c>
      <c r="F140" s="1" t="s">
        <v>8959</v>
      </c>
      <c r="G140" t="s">
        <v>9183</v>
      </c>
      <c r="H140" s="1" t="s">
        <v>9075</v>
      </c>
      <c r="I140" s="1" t="s">
        <v>8998</v>
      </c>
      <c r="J140" s="2" t="s">
        <v>9036</v>
      </c>
      <c r="K140" s="1" t="s">
        <v>9036</v>
      </c>
      <c r="L140" s="1" t="s">
        <v>9133</v>
      </c>
      <c r="M140" s="1">
        <v>3581</v>
      </c>
      <c r="N140" s="1" t="s">
        <v>8953</v>
      </c>
      <c r="O140" s="1" t="s">
        <v>8989</v>
      </c>
      <c r="P140" s="1" t="s">
        <v>8955</v>
      </c>
      <c r="Q140" s="1" t="s">
        <v>8956</v>
      </c>
      <c r="R140" s="1" t="s">
        <v>8958</v>
      </c>
      <c r="S140" s="1" t="s">
        <v>18615</v>
      </c>
      <c r="T140" s="1" t="s">
        <v>7</v>
      </c>
      <c r="U140" s="1" t="s">
        <v>559</v>
      </c>
    </row>
    <row r="141" spans="1:21" x14ac:dyDescent="0.2">
      <c r="A141" s="88" t="s">
        <v>15685</v>
      </c>
      <c r="B141" s="88" t="e">
        <f>VLOOKUP(C141,#REF!,1,0)</f>
        <v>#REF!</v>
      </c>
      <c r="C141" s="1" t="s">
        <v>560</v>
      </c>
      <c r="D141" s="1" t="s">
        <v>561</v>
      </c>
      <c r="E141" s="1" t="s">
        <v>18502</v>
      </c>
      <c r="F141" s="1" t="s">
        <v>8957</v>
      </c>
      <c r="G141" t="s">
        <v>9061</v>
      </c>
      <c r="H141" s="1" t="s">
        <v>8984</v>
      </c>
      <c r="I141" s="1" t="s">
        <v>8998</v>
      </c>
      <c r="J141" s="2" t="s">
        <v>10525</v>
      </c>
      <c r="K141" s="1" t="s">
        <v>10525</v>
      </c>
      <c r="L141" s="1" t="s">
        <v>21600</v>
      </c>
      <c r="M141" s="1">
        <v>82</v>
      </c>
      <c r="N141" s="1" t="s">
        <v>9059</v>
      </c>
      <c r="O141" s="1" t="s">
        <v>8989</v>
      </c>
      <c r="P141" s="1" t="s">
        <v>8955</v>
      </c>
      <c r="Q141" s="1" t="s">
        <v>8956</v>
      </c>
      <c r="R141" s="1" t="s">
        <v>8958</v>
      </c>
      <c r="S141" s="1" t="s">
        <v>18616</v>
      </c>
      <c r="T141" s="1" t="s">
        <v>7</v>
      </c>
      <c r="U141" s="1" t="s">
        <v>562</v>
      </c>
    </row>
    <row r="142" spans="1:21" x14ac:dyDescent="0.2">
      <c r="A142" s="88" t="s">
        <v>15686</v>
      </c>
      <c r="B142" s="88" t="e">
        <f>VLOOKUP(C142,#REF!,1,0)</f>
        <v>#REF!</v>
      </c>
      <c r="C142" s="1" t="s">
        <v>563</v>
      </c>
      <c r="D142" s="1" t="s">
        <v>564</v>
      </c>
      <c r="E142" s="1" t="s">
        <v>18502</v>
      </c>
      <c r="F142" s="1" t="s">
        <v>8959</v>
      </c>
      <c r="G142" t="s">
        <v>9183</v>
      </c>
      <c r="H142" s="1" t="s">
        <v>9075</v>
      </c>
      <c r="I142" s="1" t="s">
        <v>8971</v>
      </c>
      <c r="J142" s="2" t="s">
        <v>9102</v>
      </c>
      <c r="K142" s="1" t="s">
        <v>9102</v>
      </c>
      <c r="L142" s="1" t="s">
        <v>9157</v>
      </c>
      <c r="M142" s="1">
        <v>32</v>
      </c>
      <c r="N142" s="1" t="s">
        <v>9059</v>
      </c>
      <c r="O142" s="1" t="s">
        <v>8989</v>
      </c>
      <c r="P142" s="1" t="s">
        <v>8955</v>
      </c>
      <c r="Q142" s="1" t="s">
        <v>8956</v>
      </c>
      <c r="R142" s="1" t="s">
        <v>8975</v>
      </c>
      <c r="S142" s="1" t="s">
        <v>20547</v>
      </c>
      <c r="T142" s="1" t="s">
        <v>17</v>
      </c>
      <c r="U142" s="1" t="s">
        <v>565</v>
      </c>
    </row>
    <row r="143" spans="1:21" x14ac:dyDescent="0.2">
      <c r="A143" s="88" t="s">
        <v>15687</v>
      </c>
      <c r="B143" s="88" t="e">
        <f>VLOOKUP(C143,#REF!,1,0)</f>
        <v>#REF!</v>
      </c>
      <c r="C143" s="1" t="s">
        <v>566</v>
      </c>
      <c r="D143" s="1" t="s">
        <v>567</v>
      </c>
      <c r="E143" s="1" t="s">
        <v>18502</v>
      </c>
      <c r="F143" s="1" t="s">
        <v>8974</v>
      </c>
      <c r="G143" t="s">
        <v>9061</v>
      </c>
      <c r="H143" s="1" t="s">
        <v>9154</v>
      </c>
      <c r="I143" s="1" t="s">
        <v>8949</v>
      </c>
      <c r="J143" s="2" t="s">
        <v>21538</v>
      </c>
      <c r="K143" s="1" t="s">
        <v>21654</v>
      </c>
      <c r="L143" s="1" t="s">
        <v>8987</v>
      </c>
      <c r="M143" s="1">
        <v>425</v>
      </c>
      <c r="N143" s="1" t="s">
        <v>9059</v>
      </c>
      <c r="O143" s="1" t="s">
        <v>8989</v>
      </c>
      <c r="P143" s="1" t="s">
        <v>8955</v>
      </c>
      <c r="Q143" s="1" t="s">
        <v>8956</v>
      </c>
      <c r="R143" s="1" t="s">
        <v>8958</v>
      </c>
      <c r="S143" s="1" t="s">
        <v>18617</v>
      </c>
      <c r="T143" s="1" t="s">
        <v>17</v>
      </c>
      <c r="U143" s="1" t="s">
        <v>161</v>
      </c>
    </row>
    <row r="144" spans="1:21" x14ac:dyDescent="0.2">
      <c r="A144" s="88" t="s">
        <v>15688</v>
      </c>
      <c r="B144" s="88" t="e">
        <f>VLOOKUP(C144,#REF!,1,0)</f>
        <v>#REF!</v>
      </c>
      <c r="C144" s="1" t="s">
        <v>568</v>
      </c>
      <c r="D144" s="1" t="s">
        <v>569</v>
      </c>
      <c r="E144" s="1" t="s">
        <v>10873</v>
      </c>
      <c r="F144" s="1" t="s">
        <v>8957</v>
      </c>
      <c r="G144" t="s">
        <v>9009</v>
      </c>
      <c r="H144" s="1" t="s">
        <v>9154</v>
      </c>
      <c r="I144" s="1" t="s">
        <v>8949</v>
      </c>
      <c r="J144" s="2" t="s">
        <v>9436</v>
      </c>
      <c r="K144" s="1" t="s">
        <v>9436</v>
      </c>
      <c r="L144" s="1" t="s">
        <v>9133</v>
      </c>
      <c r="M144" s="1">
        <v>600</v>
      </c>
      <c r="N144" s="1" t="s">
        <v>9059</v>
      </c>
      <c r="O144" s="1" t="s">
        <v>8989</v>
      </c>
      <c r="P144" s="1" t="s">
        <v>8955</v>
      </c>
      <c r="Q144" s="1" t="s">
        <v>8956</v>
      </c>
      <c r="R144" s="1" t="s">
        <v>8975</v>
      </c>
      <c r="S144" s="1" t="s">
        <v>570</v>
      </c>
      <c r="T144" s="1" t="s">
        <v>11</v>
      </c>
      <c r="U144" s="1" t="s">
        <v>571</v>
      </c>
    </row>
    <row r="145" spans="1:21" x14ac:dyDescent="0.2">
      <c r="A145" s="88" t="s">
        <v>15690</v>
      </c>
      <c r="B145" s="88" t="e">
        <f>VLOOKUP(C145,#REF!,1,0)</f>
        <v>#REF!</v>
      </c>
      <c r="C145" s="1" t="s">
        <v>574</v>
      </c>
      <c r="D145" s="1" t="s">
        <v>575</v>
      </c>
      <c r="E145" s="1" t="s">
        <v>9317</v>
      </c>
      <c r="F145" s="1" t="s">
        <v>8957</v>
      </c>
      <c r="G145" t="s">
        <v>8959</v>
      </c>
      <c r="H145" s="1" t="s">
        <v>9049</v>
      </c>
      <c r="I145" s="1" t="s">
        <v>9050</v>
      </c>
      <c r="J145" s="2" t="s">
        <v>9018</v>
      </c>
      <c r="K145" s="1" t="s">
        <v>21762</v>
      </c>
      <c r="L145" s="1" t="s">
        <v>8987</v>
      </c>
      <c r="M145" s="1">
        <v>1274</v>
      </c>
      <c r="N145" s="1" t="s">
        <v>8953</v>
      </c>
      <c r="O145" s="1" t="s">
        <v>8954</v>
      </c>
      <c r="P145" s="1" t="s">
        <v>8955</v>
      </c>
      <c r="Q145" s="1" t="s">
        <v>8956</v>
      </c>
      <c r="R145" s="1" t="s">
        <v>8958</v>
      </c>
      <c r="S145" s="1" t="s">
        <v>576</v>
      </c>
      <c r="T145" s="1" t="s">
        <v>17</v>
      </c>
      <c r="U145" s="1" t="s">
        <v>577</v>
      </c>
    </row>
    <row r="146" spans="1:21" x14ac:dyDescent="0.2">
      <c r="A146" s="88" t="s">
        <v>15692</v>
      </c>
      <c r="B146" s="88" t="e">
        <f>VLOOKUP(C146,#REF!,1,0)</f>
        <v>#REF!</v>
      </c>
      <c r="C146" s="1" t="s">
        <v>581</v>
      </c>
      <c r="D146" s="1" t="s">
        <v>582</v>
      </c>
      <c r="E146" s="1" t="s">
        <v>18502</v>
      </c>
      <c r="F146" s="1" t="s">
        <v>9060</v>
      </c>
      <c r="G146" t="s">
        <v>9061</v>
      </c>
      <c r="H146" s="1" t="s">
        <v>20712</v>
      </c>
      <c r="I146" s="1" t="s">
        <v>9155</v>
      </c>
      <c r="J146" s="2" t="s">
        <v>20735</v>
      </c>
      <c r="K146" s="1" t="s">
        <v>20735</v>
      </c>
      <c r="L146" s="1" t="s">
        <v>9292</v>
      </c>
      <c r="M146" s="1">
        <v>88702</v>
      </c>
      <c r="N146" s="1" t="s">
        <v>8953</v>
      </c>
      <c r="O146" s="1" t="s">
        <v>8954</v>
      </c>
      <c r="P146" s="1" t="s">
        <v>8955</v>
      </c>
      <c r="Q146" s="1" t="s">
        <v>8956</v>
      </c>
      <c r="R146" s="1" t="s">
        <v>9103</v>
      </c>
      <c r="S146" s="1" t="s">
        <v>20548</v>
      </c>
      <c r="T146" s="1" t="s">
        <v>7</v>
      </c>
      <c r="U146" s="1" t="s">
        <v>584</v>
      </c>
    </row>
    <row r="147" spans="1:21" x14ac:dyDescent="0.2">
      <c r="A147" s="88" t="s">
        <v>15694</v>
      </c>
      <c r="B147" s="88" t="e">
        <f>VLOOKUP(C147,#REF!,1,0)</f>
        <v>#REF!</v>
      </c>
      <c r="C147" s="1" t="s">
        <v>586</v>
      </c>
      <c r="D147" s="1" t="s">
        <v>587</v>
      </c>
      <c r="E147" s="1" t="s">
        <v>9010</v>
      </c>
      <c r="F147" s="1" t="s">
        <v>8957</v>
      </c>
      <c r="G147" t="s">
        <v>9061</v>
      </c>
      <c r="H147" s="1" t="s">
        <v>9092</v>
      </c>
      <c r="I147" s="1" t="s">
        <v>8998</v>
      </c>
      <c r="J147" s="2" t="s">
        <v>10601</v>
      </c>
      <c r="K147" s="1" t="s">
        <v>10601</v>
      </c>
      <c r="L147" s="1" t="s">
        <v>21600</v>
      </c>
      <c r="M147" s="1">
        <v>136</v>
      </c>
      <c r="N147" s="1" t="s">
        <v>8953</v>
      </c>
      <c r="O147" s="1" t="s">
        <v>8954</v>
      </c>
      <c r="P147" s="1" t="s">
        <v>8955</v>
      </c>
      <c r="Q147" s="1" t="s">
        <v>8956</v>
      </c>
      <c r="R147" s="1" t="s">
        <v>8958</v>
      </c>
      <c r="S147" s="1" t="s">
        <v>588</v>
      </c>
      <c r="T147" s="1" t="s">
        <v>11</v>
      </c>
      <c r="U147" s="1" t="s">
        <v>378</v>
      </c>
    </row>
    <row r="148" spans="1:21" x14ac:dyDescent="0.2">
      <c r="A148" s="88" t="s">
        <v>15695</v>
      </c>
      <c r="B148" s="88" t="e">
        <f>VLOOKUP(C148,#REF!,1,0)</f>
        <v>#REF!</v>
      </c>
      <c r="C148" s="1" t="s">
        <v>589</v>
      </c>
      <c r="D148" s="1" t="s">
        <v>590</v>
      </c>
      <c r="E148" s="1" t="s">
        <v>18502</v>
      </c>
      <c r="F148" s="1" t="s">
        <v>8959</v>
      </c>
      <c r="G148" t="s">
        <v>8959</v>
      </c>
      <c r="H148" s="1" t="s">
        <v>20712</v>
      </c>
      <c r="I148" s="1" t="s">
        <v>9155</v>
      </c>
      <c r="J148" s="2" t="s">
        <v>9212</v>
      </c>
      <c r="K148" s="1" t="s">
        <v>9212</v>
      </c>
      <c r="L148" s="1" t="s">
        <v>21600</v>
      </c>
      <c r="M148" s="1">
        <v>380</v>
      </c>
      <c r="N148" s="1" t="s">
        <v>9059</v>
      </c>
      <c r="O148" s="1" t="s">
        <v>8954</v>
      </c>
      <c r="P148" s="1" t="s">
        <v>8955</v>
      </c>
      <c r="Q148" s="1" t="s">
        <v>8956</v>
      </c>
      <c r="R148" s="1" t="s">
        <v>9103</v>
      </c>
      <c r="S148" s="1" t="s">
        <v>18620</v>
      </c>
      <c r="T148" s="1" t="s">
        <v>7</v>
      </c>
      <c r="U148" s="1" t="s">
        <v>342</v>
      </c>
    </row>
    <row r="149" spans="1:21" x14ac:dyDescent="0.2">
      <c r="A149" s="88" t="s">
        <v>15696</v>
      </c>
      <c r="B149" s="88" t="e">
        <f>VLOOKUP(C149,#REF!,1,0)</f>
        <v>#REF!</v>
      </c>
      <c r="C149" s="1" t="s">
        <v>591</v>
      </c>
      <c r="D149" s="1" t="s">
        <v>592</v>
      </c>
      <c r="E149" s="1" t="s">
        <v>18502</v>
      </c>
      <c r="F149" s="1" t="s">
        <v>8957</v>
      </c>
      <c r="G149" t="s">
        <v>8959</v>
      </c>
      <c r="H149" s="1" t="s">
        <v>9154</v>
      </c>
      <c r="I149" s="1" t="s">
        <v>8959</v>
      </c>
      <c r="J149" s="2" t="s">
        <v>20742</v>
      </c>
      <c r="K149" s="1" t="s">
        <v>20742</v>
      </c>
      <c r="L149" s="1" t="s">
        <v>9076</v>
      </c>
      <c r="M149" s="1">
        <v>90941</v>
      </c>
      <c r="N149" s="1" t="s">
        <v>8953</v>
      </c>
      <c r="O149" s="1" t="s">
        <v>8989</v>
      </c>
      <c r="P149" s="1" t="s">
        <v>8955</v>
      </c>
      <c r="Q149" s="1" t="s">
        <v>8956</v>
      </c>
      <c r="R149" s="1" t="s">
        <v>8958</v>
      </c>
      <c r="S149" s="1" t="s">
        <v>18621</v>
      </c>
      <c r="T149" s="1" t="s">
        <v>17</v>
      </c>
      <c r="U149" s="1" t="s">
        <v>24</v>
      </c>
    </row>
    <row r="150" spans="1:21" x14ac:dyDescent="0.2">
      <c r="A150" s="88" t="s">
        <v>15697</v>
      </c>
      <c r="B150" s="88" t="e">
        <f>VLOOKUP(C150,#REF!,1,0)</f>
        <v>#REF!</v>
      </c>
      <c r="C150" s="1" t="s">
        <v>593</v>
      </c>
      <c r="D150" s="1" t="s">
        <v>594</v>
      </c>
      <c r="E150" s="1" t="s">
        <v>12547</v>
      </c>
      <c r="F150" s="1" t="s">
        <v>8959</v>
      </c>
      <c r="G150" t="s">
        <v>8959</v>
      </c>
      <c r="H150" s="1" t="s">
        <v>9252</v>
      </c>
      <c r="I150" s="1" t="s">
        <v>9253</v>
      </c>
      <c r="J150" s="2" t="s">
        <v>9036</v>
      </c>
      <c r="K150" s="1" t="s">
        <v>9036</v>
      </c>
      <c r="L150" s="1" t="s">
        <v>8951</v>
      </c>
      <c r="M150" s="1">
        <v>84</v>
      </c>
      <c r="N150" s="1" t="s">
        <v>8953</v>
      </c>
      <c r="O150" s="1" t="s">
        <v>8954</v>
      </c>
      <c r="P150" s="1" t="s">
        <v>8955</v>
      </c>
      <c r="Q150" s="1" t="s">
        <v>8956</v>
      </c>
      <c r="R150" s="1" t="s">
        <v>8958</v>
      </c>
      <c r="S150" s="1" t="s">
        <v>595</v>
      </c>
      <c r="T150" s="1" t="s">
        <v>11</v>
      </c>
      <c r="U150" s="1" t="s">
        <v>184</v>
      </c>
    </row>
    <row r="151" spans="1:21" x14ac:dyDescent="0.2">
      <c r="A151" s="88" t="s">
        <v>15698</v>
      </c>
      <c r="B151" s="88" t="e">
        <f>VLOOKUP(C151,#REF!,1,0)</f>
        <v>#REF!</v>
      </c>
      <c r="C151" s="1" t="s">
        <v>596</v>
      </c>
      <c r="D151" s="1" t="s">
        <v>597</v>
      </c>
      <c r="E151" s="1" t="s">
        <v>18502</v>
      </c>
      <c r="F151" s="1" t="s">
        <v>8957</v>
      </c>
      <c r="G151" t="s">
        <v>8959</v>
      </c>
      <c r="H151" s="1" t="s">
        <v>9252</v>
      </c>
      <c r="I151" s="1" t="s">
        <v>18504</v>
      </c>
      <c r="J151" s="2" t="s">
        <v>21412</v>
      </c>
      <c r="K151" s="1" t="s">
        <v>21844</v>
      </c>
      <c r="L151" s="1" t="s">
        <v>8987</v>
      </c>
      <c r="M151" s="1">
        <v>322091</v>
      </c>
      <c r="N151" s="1" t="s">
        <v>8953</v>
      </c>
      <c r="O151" s="1" t="s">
        <v>8954</v>
      </c>
      <c r="P151" s="1" t="s">
        <v>8955</v>
      </c>
      <c r="Q151" s="1" t="s">
        <v>8956</v>
      </c>
      <c r="R151" s="1" t="s">
        <v>8958</v>
      </c>
      <c r="S151" s="1" t="s">
        <v>18622</v>
      </c>
      <c r="T151" s="1" t="s">
        <v>17</v>
      </c>
      <c r="U151" s="1" t="s">
        <v>598</v>
      </c>
    </row>
    <row r="152" spans="1:21" x14ac:dyDescent="0.2">
      <c r="A152" s="88" t="s">
        <v>15699</v>
      </c>
      <c r="B152" s="88" t="e">
        <f>VLOOKUP(C152,#REF!,1,0)</f>
        <v>#REF!</v>
      </c>
      <c r="C152" s="1" t="s">
        <v>599</v>
      </c>
      <c r="D152" s="1" t="s">
        <v>600</v>
      </c>
      <c r="E152" s="1" t="s">
        <v>9010</v>
      </c>
      <c r="F152" s="1" t="s">
        <v>8957</v>
      </c>
      <c r="G152" t="s">
        <v>9061</v>
      </c>
      <c r="H152" s="1" t="s">
        <v>9092</v>
      </c>
      <c r="I152" s="1" t="s">
        <v>8949</v>
      </c>
      <c r="J152" s="2" t="s">
        <v>9036</v>
      </c>
      <c r="K152" s="1" t="s">
        <v>9036</v>
      </c>
      <c r="L152" s="1" t="s">
        <v>8987</v>
      </c>
      <c r="M152" s="1">
        <v>21</v>
      </c>
      <c r="N152" s="1" t="s">
        <v>9059</v>
      </c>
      <c r="O152" s="1" t="s">
        <v>8989</v>
      </c>
      <c r="P152" s="1" t="s">
        <v>8955</v>
      </c>
      <c r="Q152" s="1" t="s">
        <v>8956</v>
      </c>
      <c r="R152" s="1" t="s">
        <v>8958</v>
      </c>
      <c r="S152" s="1" t="s">
        <v>601</v>
      </c>
      <c r="T152" s="1" t="s">
        <v>11</v>
      </c>
      <c r="U152" s="1" t="s">
        <v>43</v>
      </c>
    </row>
    <row r="153" spans="1:21" x14ac:dyDescent="0.2">
      <c r="A153" s="88" t="s">
        <v>15700</v>
      </c>
      <c r="B153" s="88" t="e">
        <f>VLOOKUP(C153,#REF!,1,0)</f>
        <v>#REF!</v>
      </c>
      <c r="C153" s="1" t="s">
        <v>602</v>
      </c>
      <c r="D153" s="1" t="s">
        <v>603</v>
      </c>
      <c r="E153" s="1" t="s">
        <v>18502</v>
      </c>
      <c r="F153" s="1" t="s">
        <v>9060</v>
      </c>
      <c r="G153" t="s">
        <v>8959</v>
      </c>
      <c r="H153" s="1" t="s">
        <v>20714</v>
      </c>
      <c r="I153" s="1" t="s">
        <v>20725</v>
      </c>
      <c r="J153" s="2" t="s">
        <v>12408</v>
      </c>
      <c r="K153" s="1" t="s">
        <v>12408</v>
      </c>
      <c r="L153" s="1" t="s">
        <v>9133</v>
      </c>
      <c r="M153" s="1">
        <v>45558</v>
      </c>
      <c r="N153" s="1" t="s">
        <v>8953</v>
      </c>
      <c r="O153" s="1" t="s">
        <v>8954</v>
      </c>
      <c r="P153" s="1" t="s">
        <v>8955</v>
      </c>
      <c r="Q153" s="1" t="s">
        <v>8956</v>
      </c>
      <c r="R153" s="1" t="s">
        <v>8975</v>
      </c>
      <c r="S153" s="1" t="s">
        <v>18623</v>
      </c>
      <c r="T153" s="1" t="s">
        <v>7</v>
      </c>
      <c r="U153" s="1" t="s">
        <v>24</v>
      </c>
    </row>
    <row r="154" spans="1:21" x14ac:dyDescent="0.2">
      <c r="A154" s="88" t="s">
        <v>15701</v>
      </c>
      <c r="B154" s="88" t="e">
        <f>VLOOKUP(C154,#REF!,1,0)</f>
        <v>#REF!</v>
      </c>
      <c r="C154" s="1" t="s">
        <v>604</v>
      </c>
      <c r="D154" s="1" t="s">
        <v>605</v>
      </c>
      <c r="E154" s="1" t="s">
        <v>9010</v>
      </c>
      <c r="F154" s="1" t="s">
        <v>8957</v>
      </c>
      <c r="G154" t="s">
        <v>8959</v>
      </c>
      <c r="H154" s="1" t="s">
        <v>9035</v>
      </c>
      <c r="I154" s="1" t="s">
        <v>8998</v>
      </c>
      <c r="J154" s="2" t="s">
        <v>21594</v>
      </c>
      <c r="K154" s="1" t="s">
        <v>21594</v>
      </c>
      <c r="L154" s="1" t="s">
        <v>21598</v>
      </c>
      <c r="M154" s="1">
        <v>369714</v>
      </c>
      <c r="N154" s="1" t="s">
        <v>8953</v>
      </c>
      <c r="O154" s="1" t="s">
        <v>8954</v>
      </c>
      <c r="P154" s="1" t="s">
        <v>8955</v>
      </c>
      <c r="Q154" s="1" t="s">
        <v>8956</v>
      </c>
      <c r="R154" s="1" t="s">
        <v>8975</v>
      </c>
      <c r="S154" s="1" t="s">
        <v>606</v>
      </c>
      <c r="T154" s="1" t="s">
        <v>17</v>
      </c>
      <c r="U154" s="1" t="s">
        <v>8</v>
      </c>
    </row>
    <row r="155" spans="1:21" x14ac:dyDescent="0.2">
      <c r="A155" s="88" t="s">
        <v>15702</v>
      </c>
      <c r="B155" s="88" t="e">
        <f>VLOOKUP(C155,#REF!,1,0)</f>
        <v>#REF!</v>
      </c>
      <c r="C155" s="1" t="s">
        <v>607</v>
      </c>
      <c r="D155" s="1" t="s">
        <v>608</v>
      </c>
      <c r="E155" s="1" t="s">
        <v>18502</v>
      </c>
      <c r="F155" s="1" t="s">
        <v>8957</v>
      </c>
      <c r="G155" t="s">
        <v>9061</v>
      </c>
      <c r="H155" s="1" t="s">
        <v>9100</v>
      </c>
      <c r="I155" s="1" t="s">
        <v>8949</v>
      </c>
      <c r="J155" s="2" t="s">
        <v>10492</v>
      </c>
      <c r="K155" s="1" t="s">
        <v>10492</v>
      </c>
      <c r="L155" s="1" t="s">
        <v>8987</v>
      </c>
      <c r="M155" s="1">
        <v>300000</v>
      </c>
      <c r="N155" s="1" t="s">
        <v>8953</v>
      </c>
      <c r="O155" s="1" t="s">
        <v>8954</v>
      </c>
      <c r="P155" s="1" t="s">
        <v>8955</v>
      </c>
      <c r="Q155" s="1" t="s">
        <v>8956</v>
      </c>
      <c r="R155" s="1" t="s">
        <v>8975</v>
      </c>
      <c r="S155" s="1" t="s">
        <v>20549</v>
      </c>
      <c r="T155" s="1" t="s">
        <v>7</v>
      </c>
      <c r="U155" s="1" t="s">
        <v>609</v>
      </c>
    </row>
    <row r="156" spans="1:21" x14ac:dyDescent="0.2">
      <c r="A156" s="88" t="s">
        <v>15703</v>
      </c>
      <c r="B156" s="88" t="e">
        <f>VLOOKUP(C156,#REF!,1,0)</f>
        <v>#REF!</v>
      </c>
      <c r="C156" s="1" t="s">
        <v>610</v>
      </c>
      <c r="D156" s="1" t="s">
        <v>611</v>
      </c>
      <c r="E156" s="1" t="s">
        <v>9010</v>
      </c>
      <c r="F156" s="1" t="s">
        <v>8957</v>
      </c>
      <c r="G156" t="s">
        <v>9183</v>
      </c>
      <c r="H156" s="1" t="s">
        <v>9049</v>
      </c>
      <c r="I156" s="1" t="s">
        <v>8949</v>
      </c>
      <c r="J156" s="2" t="s">
        <v>12430</v>
      </c>
      <c r="K156" s="1" t="s">
        <v>12430</v>
      </c>
      <c r="L156" s="1" t="s">
        <v>8951</v>
      </c>
      <c r="M156" s="1">
        <v>20</v>
      </c>
      <c r="N156" s="1" t="s">
        <v>8953</v>
      </c>
      <c r="O156" s="1" t="s">
        <v>8989</v>
      </c>
      <c r="P156" s="1" t="s">
        <v>8955</v>
      </c>
      <c r="Q156" s="1" t="s">
        <v>8956</v>
      </c>
      <c r="R156" s="1" t="s">
        <v>8958</v>
      </c>
      <c r="S156" s="1" t="s">
        <v>612</v>
      </c>
      <c r="T156" s="1" t="s">
        <v>11</v>
      </c>
      <c r="U156" s="1" t="s">
        <v>392</v>
      </c>
    </row>
    <row r="157" spans="1:21" x14ac:dyDescent="0.2">
      <c r="A157" s="88" t="s">
        <v>15704</v>
      </c>
      <c r="B157" s="88" t="e">
        <f>VLOOKUP(C157,#REF!,1,0)</f>
        <v>#REF!</v>
      </c>
      <c r="C157" s="1" t="s">
        <v>613</v>
      </c>
      <c r="D157" s="1" t="s">
        <v>614</v>
      </c>
      <c r="E157" s="1" t="s">
        <v>10049</v>
      </c>
      <c r="F157" s="1" t="s">
        <v>8957</v>
      </c>
      <c r="G157" t="s">
        <v>9183</v>
      </c>
      <c r="H157" s="1" t="s">
        <v>9100</v>
      </c>
      <c r="I157" s="1" t="s">
        <v>8949</v>
      </c>
      <c r="J157" s="2" t="s">
        <v>10135</v>
      </c>
      <c r="K157" s="1" t="s">
        <v>21655</v>
      </c>
      <c r="L157" s="1" t="s">
        <v>8987</v>
      </c>
      <c r="M157" s="1">
        <v>80</v>
      </c>
      <c r="N157" s="1" t="s">
        <v>9059</v>
      </c>
      <c r="O157" s="1" t="s">
        <v>8954</v>
      </c>
      <c r="P157" s="1" t="s">
        <v>8955</v>
      </c>
      <c r="Q157" s="1" t="s">
        <v>8956</v>
      </c>
      <c r="R157" s="1" t="s">
        <v>8958</v>
      </c>
      <c r="S157" s="1" t="s">
        <v>615</v>
      </c>
      <c r="T157" s="1" t="s">
        <v>11</v>
      </c>
      <c r="U157" s="1" t="s">
        <v>616</v>
      </c>
    </row>
    <row r="158" spans="1:21" x14ac:dyDescent="0.2">
      <c r="A158" s="88" t="s">
        <v>15705</v>
      </c>
      <c r="B158" s="88" t="e">
        <f>VLOOKUP(C158,#REF!,1,0)</f>
        <v>#REF!</v>
      </c>
      <c r="C158" s="1" t="s">
        <v>617</v>
      </c>
      <c r="D158" s="1" t="s">
        <v>618</v>
      </c>
      <c r="E158" s="1" t="s">
        <v>10049</v>
      </c>
      <c r="F158" s="1" t="s">
        <v>8974</v>
      </c>
      <c r="G158" t="s">
        <v>8959</v>
      </c>
      <c r="H158" s="1" t="s">
        <v>8948</v>
      </c>
      <c r="I158" s="1" t="s">
        <v>8949</v>
      </c>
      <c r="J158" s="2" t="s">
        <v>21539</v>
      </c>
      <c r="K158" s="1" t="s">
        <v>21656</v>
      </c>
      <c r="L158" s="1" t="s">
        <v>8987</v>
      </c>
      <c r="M158" s="1">
        <v>117</v>
      </c>
      <c r="N158" s="1" t="s">
        <v>9059</v>
      </c>
      <c r="O158" s="1" t="s">
        <v>8954</v>
      </c>
      <c r="P158" s="1" t="s">
        <v>8955</v>
      </c>
      <c r="Q158" s="1" t="s">
        <v>8956</v>
      </c>
      <c r="R158" s="1" t="s">
        <v>8958</v>
      </c>
      <c r="S158" s="1" t="s">
        <v>18624</v>
      </c>
      <c r="T158" s="1" t="s">
        <v>17</v>
      </c>
      <c r="U158" s="1" t="s">
        <v>619</v>
      </c>
    </row>
    <row r="159" spans="1:21" x14ac:dyDescent="0.2">
      <c r="A159" s="88" t="s">
        <v>15706</v>
      </c>
      <c r="B159" s="88" t="e">
        <f>VLOOKUP(C159,#REF!,1,0)</f>
        <v>#REF!</v>
      </c>
      <c r="C159" s="1" t="s">
        <v>620</v>
      </c>
      <c r="D159" s="1" t="s">
        <v>621</v>
      </c>
      <c r="E159" s="1" t="s">
        <v>9310</v>
      </c>
      <c r="F159" s="1" t="s">
        <v>8957</v>
      </c>
      <c r="G159" t="s">
        <v>8959</v>
      </c>
      <c r="H159" s="1" t="s">
        <v>20712</v>
      </c>
      <c r="I159" s="1" t="s">
        <v>9155</v>
      </c>
      <c r="J159" s="2" t="s">
        <v>9036</v>
      </c>
      <c r="K159" s="1" t="s">
        <v>9036</v>
      </c>
      <c r="L159" s="1" t="s">
        <v>9076</v>
      </c>
      <c r="M159" s="1">
        <v>5936</v>
      </c>
      <c r="N159" s="1" t="s">
        <v>8953</v>
      </c>
      <c r="O159" s="1" t="s">
        <v>8954</v>
      </c>
      <c r="P159" s="1" t="s">
        <v>8955</v>
      </c>
      <c r="Q159" s="1" t="s">
        <v>8956</v>
      </c>
      <c r="R159" s="1" t="s">
        <v>8975</v>
      </c>
      <c r="S159" s="1" t="s">
        <v>18625</v>
      </c>
      <c r="T159" s="1" t="s">
        <v>17</v>
      </c>
      <c r="U159" s="1" t="s">
        <v>61</v>
      </c>
    </row>
    <row r="160" spans="1:21" x14ac:dyDescent="0.2">
      <c r="A160" s="88" t="s">
        <v>15707</v>
      </c>
      <c r="B160" s="88" t="e">
        <f>VLOOKUP(C160,#REF!,1,0)</f>
        <v>#REF!</v>
      </c>
      <c r="C160" s="1" t="s">
        <v>622</v>
      </c>
      <c r="D160" s="1" t="s">
        <v>623</v>
      </c>
      <c r="E160" s="1" t="s">
        <v>9310</v>
      </c>
      <c r="F160" s="1" t="s">
        <v>8957</v>
      </c>
      <c r="G160" t="s">
        <v>9183</v>
      </c>
      <c r="H160" s="1" t="s">
        <v>8948</v>
      </c>
      <c r="I160" s="1" t="s">
        <v>8949</v>
      </c>
      <c r="J160" s="2" t="s">
        <v>9679</v>
      </c>
      <c r="K160" s="1" t="s">
        <v>9679</v>
      </c>
      <c r="L160" s="1" t="s">
        <v>21600</v>
      </c>
      <c r="M160" s="1">
        <v>49</v>
      </c>
      <c r="N160" s="1" t="s">
        <v>8953</v>
      </c>
      <c r="O160" s="1" t="s">
        <v>8989</v>
      </c>
      <c r="P160" s="1" t="s">
        <v>8955</v>
      </c>
      <c r="Q160" s="1" t="s">
        <v>8956</v>
      </c>
      <c r="R160" s="1" t="s">
        <v>9103</v>
      </c>
      <c r="S160" s="1" t="s">
        <v>624</v>
      </c>
      <c r="T160" s="1" t="s">
        <v>11</v>
      </c>
      <c r="U160" s="1" t="s">
        <v>625</v>
      </c>
    </row>
    <row r="161" spans="1:21" x14ac:dyDescent="0.2">
      <c r="A161" s="88" t="s">
        <v>15708</v>
      </c>
      <c r="B161" s="88" t="e">
        <f>VLOOKUP(C161,#REF!,1,0)</f>
        <v>#REF!</v>
      </c>
      <c r="C161" s="1" t="s">
        <v>626</v>
      </c>
      <c r="D161" s="1" t="s">
        <v>627</v>
      </c>
      <c r="E161" s="1" t="s">
        <v>9317</v>
      </c>
      <c r="F161" s="1" t="s">
        <v>8957</v>
      </c>
      <c r="G161" t="s">
        <v>8959</v>
      </c>
      <c r="H161" s="1" t="s">
        <v>9154</v>
      </c>
      <c r="I161" s="1" t="s">
        <v>8971</v>
      </c>
      <c r="J161" s="2" t="s">
        <v>21540</v>
      </c>
      <c r="K161" s="1" t="s">
        <v>21540</v>
      </c>
      <c r="L161" s="1" t="s">
        <v>9076</v>
      </c>
      <c r="M161" s="1">
        <v>435</v>
      </c>
      <c r="N161" s="1" t="s">
        <v>8953</v>
      </c>
      <c r="O161" s="1" t="s">
        <v>8989</v>
      </c>
      <c r="P161" s="1" t="s">
        <v>8955</v>
      </c>
      <c r="Q161" s="1" t="s">
        <v>8956</v>
      </c>
      <c r="R161" s="1" t="s">
        <v>9103</v>
      </c>
      <c r="S161" s="1" t="s">
        <v>18626</v>
      </c>
      <c r="T161" s="1" t="s">
        <v>7</v>
      </c>
      <c r="U161" s="1" t="s">
        <v>64</v>
      </c>
    </row>
    <row r="162" spans="1:21" x14ac:dyDescent="0.2">
      <c r="A162" s="88" t="s">
        <v>15709</v>
      </c>
      <c r="B162" s="88" t="e">
        <f>VLOOKUP(C162,#REF!,1,0)</f>
        <v>#REF!</v>
      </c>
      <c r="C162" s="1" t="s">
        <v>628</v>
      </c>
      <c r="D162" s="1" t="s">
        <v>629</v>
      </c>
      <c r="E162" s="1" t="s">
        <v>9010</v>
      </c>
      <c r="F162" s="1" t="s">
        <v>8957</v>
      </c>
      <c r="G162" t="s">
        <v>8959</v>
      </c>
      <c r="H162" s="1" t="s">
        <v>9252</v>
      </c>
      <c r="I162" s="1" t="s">
        <v>9253</v>
      </c>
      <c r="J162" s="2" t="s">
        <v>9041</v>
      </c>
      <c r="K162" s="1" t="s">
        <v>9041</v>
      </c>
      <c r="L162" s="1" t="s">
        <v>9076</v>
      </c>
      <c r="M162" s="1">
        <v>8</v>
      </c>
      <c r="N162" s="1" t="s">
        <v>8953</v>
      </c>
      <c r="O162" s="1" t="s">
        <v>8954</v>
      </c>
      <c r="P162" s="1" t="s">
        <v>8955</v>
      </c>
      <c r="Q162" s="1" t="s">
        <v>8956</v>
      </c>
      <c r="R162" s="1" t="s">
        <v>9103</v>
      </c>
      <c r="S162" s="1" t="s">
        <v>630</v>
      </c>
      <c r="T162" s="1" t="s">
        <v>11</v>
      </c>
      <c r="U162" s="1" t="s">
        <v>631</v>
      </c>
    </row>
    <row r="163" spans="1:21" x14ac:dyDescent="0.2">
      <c r="A163" s="88" t="s">
        <v>15711</v>
      </c>
      <c r="B163" s="88" t="e">
        <f>VLOOKUP(C163,#REF!,1,0)</f>
        <v>#REF!</v>
      </c>
      <c r="C163" s="1" t="s">
        <v>635</v>
      </c>
      <c r="D163" s="1" t="s">
        <v>636</v>
      </c>
      <c r="E163" s="1" t="s">
        <v>10049</v>
      </c>
      <c r="F163" s="1" t="s">
        <v>8957</v>
      </c>
      <c r="G163" t="s">
        <v>9061</v>
      </c>
      <c r="H163" s="1" t="s">
        <v>9100</v>
      </c>
      <c r="I163" s="1" t="s">
        <v>8949</v>
      </c>
      <c r="J163" s="2" t="s">
        <v>9036</v>
      </c>
      <c r="K163" s="1" t="s">
        <v>9036</v>
      </c>
      <c r="L163" s="1" t="s">
        <v>8987</v>
      </c>
      <c r="M163" s="1">
        <v>1638</v>
      </c>
      <c r="N163" s="1" t="s">
        <v>9059</v>
      </c>
      <c r="O163" s="1" t="s">
        <v>8954</v>
      </c>
      <c r="P163" s="1" t="s">
        <v>8955</v>
      </c>
      <c r="Q163" s="1" t="s">
        <v>8956</v>
      </c>
      <c r="R163" s="1" t="s">
        <v>8975</v>
      </c>
      <c r="S163" s="1" t="s">
        <v>637</v>
      </c>
      <c r="T163" s="1" t="s">
        <v>17</v>
      </c>
      <c r="U163" s="1" t="s">
        <v>57</v>
      </c>
    </row>
    <row r="164" spans="1:21" x14ac:dyDescent="0.2">
      <c r="A164" s="88" t="s">
        <v>15713</v>
      </c>
      <c r="B164" s="88" t="e">
        <f>VLOOKUP(C164,#REF!,1,0)</f>
        <v>#REF!</v>
      </c>
      <c r="C164" s="1" t="s">
        <v>641</v>
      </c>
      <c r="D164" s="1" t="s">
        <v>642</v>
      </c>
      <c r="E164" s="1" t="s">
        <v>9815</v>
      </c>
      <c r="F164" s="1" t="s">
        <v>8959</v>
      </c>
      <c r="G164" t="s">
        <v>8959</v>
      </c>
      <c r="H164" s="1" t="s">
        <v>9100</v>
      </c>
      <c r="I164" s="1" t="s">
        <v>8949</v>
      </c>
      <c r="J164" s="2" t="s">
        <v>9036</v>
      </c>
      <c r="K164" s="1" t="s">
        <v>9036</v>
      </c>
      <c r="L164" s="1" t="s">
        <v>8987</v>
      </c>
      <c r="M164" s="1">
        <v>18016</v>
      </c>
      <c r="N164" s="1" t="s">
        <v>8953</v>
      </c>
      <c r="O164" s="1" t="s">
        <v>8989</v>
      </c>
      <c r="P164" s="1" t="s">
        <v>8955</v>
      </c>
      <c r="Q164" s="1" t="s">
        <v>8956</v>
      </c>
      <c r="R164" s="1" t="s">
        <v>9103</v>
      </c>
      <c r="S164" s="1" t="s">
        <v>643</v>
      </c>
      <c r="T164" s="1" t="s">
        <v>17</v>
      </c>
      <c r="U164" s="1" t="s">
        <v>644</v>
      </c>
    </row>
    <row r="165" spans="1:21" x14ac:dyDescent="0.2">
      <c r="A165" s="88" t="s">
        <v>15714</v>
      </c>
      <c r="B165" s="88" t="e">
        <f>VLOOKUP(C165,#REF!,1,0)</f>
        <v>#REF!</v>
      </c>
      <c r="C165" s="1" t="s">
        <v>645</v>
      </c>
      <c r="D165" s="1" t="s">
        <v>646</v>
      </c>
      <c r="E165" s="1" t="s">
        <v>18502</v>
      </c>
      <c r="F165" s="1" t="s">
        <v>9060</v>
      </c>
      <c r="G165" t="s">
        <v>9061</v>
      </c>
      <c r="H165" s="1" t="s">
        <v>8948</v>
      </c>
      <c r="I165" s="1" t="s">
        <v>8949</v>
      </c>
      <c r="J165" s="2" t="s">
        <v>21265</v>
      </c>
      <c r="K165" s="1" t="s">
        <v>21265</v>
      </c>
      <c r="L165" s="1" t="s">
        <v>8987</v>
      </c>
      <c r="M165" s="1">
        <v>14468</v>
      </c>
      <c r="N165" s="1" t="s">
        <v>8953</v>
      </c>
      <c r="O165" s="1" t="s">
        <v>8954</v>
      </c>
      <c r="P165" s="1" t="s">
        <v>8955</v>
      </c>
      <c r="Q165" s="1" t="s">
        <v>8956</v>
      </c>
      <c r="R165" s="1" t="s">
        <v>8975</v>
      </c>
      <c r="S165" s="1" t="s">
        <v>18629</v>
      </c>
      <c r="T165" s="1" t="s">
        <v>7</v>
      </c>
      <c r="U165" s="1" t="s">
        <v>647</v>
      </c>
    </row>
    <row r="166" spans="1:21" x14ac:dyDescent="0.2">
      <c r="A166" s="88" t="s">
        <v>15715</v>
      </c>
      <c r="B166" s="88" t="e">
        <f>VLOOKUP(C166,#REF!,1,0)</f>
        <v>#REF!</v>
      </c>
      <c r="C166" s="1" t="s">
        <v>648</v>
      </c>
      <c r="D166" s="1" t="s">
        <v>649</v>
      </c>
      <c r="E166" s="1" t="s">
        <v>18502</v>
      </c>
      <c r="F166" s="1" t="s">
        <v>9060</v>
      </c>
      <c r="G166" t="s">
        <v>9061</v>
      </c>
      <c r="H166" s="1" t="s">
        <v>9154</v>
      </c>
      <c r="I166" s="1" t="s">
        <v>8998</v>
      </c>
      <c r="J166" s="2" t="s">
        <v>10492</v>
      </c>
      <c r="K166" s="1" t="s">
        <v>10492</v>
      </c>
      <c r="L166" s="1" t="s">
        <v>21600</v>
      </c>
      <c r="M166" s="1">
        <v>19572</v>
      </c>
      <c r="N166" s="1" t="s">
        <v>8953</v>
      </c>
      <c r="O166" s="1" t="s">
        <v>8954</v>
      </c>
      <c r="P166" s="1" t="s">
        <v>8955</v>
      </c>
      <c r="Q166" s="1" t="s">
        <v>8956</v>
      </c>
      <c r="R166" s="1" t="s">
        <v>8975</v>
      </c>
      <c r="S166" s="1" t="s">
        <v>20550</v>
      </c>
      <c r="T166" s="1" t="s">
        <v>7</v>
      </c>
      <c r="U166" s="1" t="s">
        <v>110</v>
      </c>
    </row>
    <row r="167" spans="1:21" x14ac:dyDescent="0.2">
      <c r="A167" s="88" t="s">
        <v>15716</v>
      </c>
      <c r="B167" s="88" t="e">
        <f>VLOOKUP(C167,#REF!,1,0)</f>
        <v>#REF!</v>
      </c>
      <c r="C167" s="1" t="s">
        <v>650</v>
      </c>
      <c r="D167" s="1" t="s">
        <v>651</v>
      </c>
      <c r="E167" s="1" t="s">
        <v>18502</v>
      </c>
      <c r="F167" s="1" t="s">
        <v>9060</v>
      </c>
      <c r="G167" t="s">
        <v>9061</v>
      </c>
      <c r="H167" s="1" t="s">
        <v>9154</v>
      </c>
      <c r="I167" s="1" t="s">
        <v>8998</v>
      </c>
      <c r="J167" s="2" t="s">
        <v>10492</v>
      </c>
      <c r="K167" s="1" t="s">
        <v>10492</v>
      </c>
      <c r="L167" s="1" t="s">
        <v>21600</v>
      </c>
      <c r="M167" s="1">
        <v>13224</v>
      </c>
      <c r="N167" s="1" t="s">
        <v>8953</v>
      </c>
      <c r="O167" s="1" t="s">
        <v>8954</v>
      </c>
      <c r="P167" s="1" t="s">
        <v>8955</v>
      </c>
      <c r="Q167" s="1" t="s">
        <v>8956</v>
      </c>
      <c r="R167" s="1" t="s">
        <v>8975</v>
      </c>
      <c r="S167" s="1" t="s">
        <v>20551</v>
      </c>
      <c r="T167" s="1" t="s">
        <v>7</v>
      </c>
      <c r="U167" s="1" t="s">
        <v>652</v>
      </c>
    </row>
    <row r="168" spans="1:21" x14ac:dyDescent="0.2">
      <c r="A168" s="88" t="s">
        <v>15717</v>
      </c>
      <c r="B168" s="88" t="e">
        <f>VLOOKUP(C168,#REF!,1,0)</f>
        <v>#REF!</v>
      </c>
      <c r="C168" s="1" t="s">
        <v>657</v>
      </c>
      <c r="D168" s="1" t="s">
        <v>658</v>
      </c>
      <c r="E168" s="1" t="s">
        <v>14748</v>
      </c>
      <c r="F168" s="1" t="s">
        <v>8959</v>
      </c>
      <c r="G168" t="s">
        <v>8959</v>
      </c>
      <c r="H168" s="1" t="s">
        <v>9605</v>
      </c>
      <c r="I168" s="1" t="s">
        <v>9101</v>
      </c>
      <c r="J168" s="2" t="s">
        <v>9036</v>
      </c>
      <c r="K168" s="1" t="s">
        <v>9036</v>
      </c>
      <c r="L168" s="1" t="s">
        <v>8987</v>
      </c>
      <c r="M168" s="1">
        <v>263</v>
      </c>
      <c r="N168" s="1" t="s">
        <v>9059</v>
      </c>
      <c r="O168" s="1" t="s">
        <v>8989</v>
      </c>
      <c r="P168" s="1" t="s">
        <v>8955</v>
      </c>
      <c r="Q168" s="1" t="s">
        <v>8956</v>
      </c>
      <c r="R168" s="1" t="s">
        <v>9103</v>
      </c>
      <c r="S168" s="1" t="s">
        <v>18631</v>
      </c>
      <c r="T168" s="1" t="s">
        <v>7</v>
      </c>
      <c r="U168" s="1" t="s">
        <v>43</v>
      </c>
    </row>
    <row r="169" spans="1:21" x14ac:dyDescent="0.2">
      <c r="A169" s="88" t="s">
        <v>15718</v>
      </c>
      <c r="B169" s="88" t="e">
        <f>VLOOKUP(C169,#REF!,1,0)</f>
        <v>#REF!</v>
      </c>
      <c r="C169" s="1" t="s">
        <v>659</v>
      </c>
      <c r="D169" s="1" t="s">
        <v>660</v>
      </c>
      <c r="E169" s="1" t="s">
        <v>9465</v>
      </c>
      <c r="F169" s="1" t="s">
        <v>8959</v>
      </c>
      <c r="G169" t="s">
        <v>9061</v>
      </c>
      <c r="H169" s="1" t="s">
        <v>9035</v>
      </c>
      <c r="I169" s="1" t="s">
        <v>9308</v>
      </c>
      <c r="J169" s="2" t="s">
        <v>9102</v>
      </c>
      <c r="K169" s="1" t="s">
        <v>9102</v>
      </c>
      <c r="L169" s="1" t="s">
        <v>8951</v>
      </c>
      <c r="M169" s="1">
        <v>138</v>
      </c>
      <c r="N169" s="1" t="s">
        <v>9059</v>
      </c>
      <c r="O169" s="1" t="s">
        <v>8989</v>
      </c>
      <c r="P169" s="1" t="s">
        <v>8955</v>
      </c>
      <c r="Q169" s="1" t="s">
        <v>8956</v>
      </c>
      <c r="R169" s="1" t="s">
        <v>8975</v>
      </c>
      <c r="S169" s="1" t="s">
        <v>661</v>
      </c>
      <c r="T169" s="1" t="s">
        <v>11</v>
      </c>
      <c r="U169" s="1" t="s">
        <v>662</v>
      </c>
    </row>
    <row r="170" spans="1:21" x14ac:dyDescent="0.2">
      <c r="A170" s="88" t="s">
        <v>15719</v>
      </c>
      <c r="B170" s="88" t="e">
        <f>VLOOKUP(C170,#REF!,1,0)</f>
        <v>#REF!</v>
      </c>
      <c r="C170" s="1" t="s">
        <v>663</v>
      </c>
      <c r="D170" s="1" t="s">
        <v>664</v>
      </c>
      <c r="E170" s="1" t="s">
        <v>9465</v>
      </c>
      <c r="F170" s="1" t="s">
        <v>8959</v>
      </c>
      <c r="G170" t="s">
        <v>9061</v>
      </c>
      <c r="H170" s="1" t="s">
        <v>9252</v>
      </c>
      <c r="I170" s="1" t="s">
        <v>9253</v>
      </c>
      <c r="J170" s="2" t="s">
        <v>9102</v>
      </c>
      <c r="K170" s="1" t="s">
        <v>9102</v>
      </c>
      <c r="L170" s="1" t="s">
        <v>8951</v>
      </c>
      <c r="M170" s="1">
        <v>1146</v>
      </c>
      <c r="N170" s="1" t="s">
        <v>9059</v>
      </c>
      <c r="O170" s="1" t="s">
        <v>8989</v>
      </c>
      <c r="P170" s="1" t="s">
        <v>8955</v>
      </c>
      <c r="Q170" s="1" t="s">
        <v>8956</v>
      </c>
      <c r="R170" s="1" t="s">
        <v>8958</v>
      </c>
      <c r="S170" s="1" t="s">
        <v>665</v>
      </c>
      <c r="T170" s="1" t="s">
        <v>4</v>
      </c>
      <c r="U170" s="1" t="s">
        <v>666</v>
      </c>
    </row>
    <row r="171" spans="1:21" x14ac:dyDescent="0.2">
      <c r="A171" s="88" t="s">
        <v>15720</v>
      </c>
      <c r="B171" s="88" t="e">
        <f>VLOOKUP(C171,#REF!,1,0)</f>
        <v>#REF!</v>
      </c>
      <c r="C171" s="1" t="s">
        <v>667</v>
      </c>
      <c r="D171" s="1" t="s">
        <v>668</v>
      </c>
      <c r="E171" s="1" t="s">
        <v>9465</v>
      </c>
      <c r="F171" s="1" t="s">
        <v>8959</v>
      </c>
      <c r="G171" t="s">
        <v>9061</v>
      </c>
      <c r="H171" s="1" t="s">
        <v>9252</v>
      </c>
      <c r="I171" s="1" t="s">
        <v>8971</v>
      </c>
      <c r="J171" s="2" t="s">
        <v>9102</v>
      </c>
      <c r="K171" s="1" t="s">
        <v>9102</v>
      </c>
      <c r="L171" s="1" t="s">
        <v>8987</v>
      </c>
      <c r="M171" s="1">
        <v>550</v>
      </c>
      <c r="N171" s="1" t="s">
        <v>9059</v>
      </c>
      <c r="O171" s="1" t="s">
        <v>8989</v>
      </c>
      <c r="P171" s="1" t="s">
        <v>8955</v>
      </c>
      <c r="Q171" s="1" t="s">
        <v>8956</v>
      </c>
      <c r="R171" s="1" t="s">
        <v>8958</v>
      </c>
      <c r="S171" s="1" t="s">
        <v>669</v>
      </c>
      <c r="T171" s="1" t="s">
        <v>11</v>
      </c>
      <c r="U171" s="1" t="s">
        <v>670</v>
      </c>
    </row>
    <row r="172" spans="1:21" x14ac:dyDescent="0.2">
      <c r="A172" s="88" t="s">
        <v>15721</v>
      </c>
      <c r="B172" s="88" t="e">
        <f>VLOOKUP(C172,#REF!,1,0)</f>
        <v>#REF!</v>
      </c>
      <c r="C172" s="1" t="s">
        <v>674</v>
      </c>
      <c r="D172" s="1" t="s">
        <v>675</v>
      </c>
      <c r="E172" s="1" t="s">
        <v>9380</v>
      </c>
      <c r="F172" s="1" t="s">
        <v>8959</v>
      </c>
      <c r="G172" t="s">
        <v>8959</v>
      </c>
      <c r="H172" s="1" t="s">
        <v>9100</v>
      </c>
      <c r="I172" s="1" t="s">
        <v>8971</v>
      </c>
      <c r="J172" s="2" t="s">
        <v>10492</v>
      </c>
      <c r="K172" s="1" t="s">
        <v>10492</v>
      </c>
      <c r="L172" s="1" t="s">
        <v>21600</v>
      </c>
      <c r="M172" s="1">
        <v>423</v>
      </c>
      <c r="N172" s="1" t="s">
        <v>8953</v>
      </c>
      <c r="O172" s="1" t="s">
        <v>8989</v>
      </c>
      <c r="P172" s="1" t="s">
        <v>8955</v>
      </c>
      <c r="Q172" s="1" t="s">
        <v>8956</v>
      </c>
      <c r="R172" s="1" t="s">
        <v>8958</v>
      </c>
      <c r="S172" s="1" t="s">
        <v>18633</v>
      </c>
      <c r="T172" s="1" t="s">
        <v>7</v>
      </c>
      <c r="U172" s="1" t="s">
        <v>46</v>
      </c>
    </row>
    <row r="173" spans="1:21" x14ac:dyDescent="0.2">
      <c r="A173" s="88" t="s">
        <v>15722</v>
      </c>
      <c r="B173" s="88" t="e">
        <f>VLOOKUP(C173,#REF!,1,0)</f>
        <v>#REF!</v>
      </c>
      <c r="C173" s="1" t="s">
        <v>676</v>
      </c>
      <c r="D173" s="1" t="s">
        <v>677</v>
      </c>
      <c r="E173" s="1" t="s">
        <v>9380</v>
      </c>
      <c r="F173" s="1" t="s">
        <v>8974</v>
      </c>
      <c r="G173" t="s">
        <v>8959</v>
      </c>
      <c r="H173" s="1" t="s">
        <v>20712</v>
      </c>
      <c r="I173" s="1" t="s">
        <v>8971</v>
      </c>
      <c r="J173" s="2" t="s">
        <v>10492</v>
      </c>
      <c r="K173" s="1" t="s">
        <v>10492</v>
      </c>
      <c r="L173" s="1" t="s">
        <v>21600</v>
      </c>
      <c r="M173" s="1">
        <v>700</v>
      </c>
      <c r="N173" s="1" t="s">
        <v>8953</v>
      </c>
      <c r="O173" s="1" t="s">
        <v>8989</v>
      </c>
      <c r="P173" s="1" t="s">
        <v>8955</v>
      </c>
      <c r="Q173" s="1" t="s">
        <v>8956</v>
      </c>
      <c r="R173" s="1" t="s">
        <v>9103</v>
      </c>
      <c r="S173" s="1" t="s">
        <v>18634</v>
      </c>
      <c r="T173" s="1" t="s">
        <v>17</v>
      </c>
      <c r="U173" s="1" t="s">
        <v>46</v>
      </c>
    </row>
    <row r="174" spans="1:21" x14ac:dyDescent="0.2">
      <c r="A174" s="88" t="s">
        <v>15723</v>
      </c>
      <c r="B174" s="88" t="e">
        <f>VLOOKUP(C174,#REF!,1,0)</f>
        <v>#REF!</v>
      </c>
      <c r="C174" s="1" t="s">
        <v>678</v>
      </c>
      <c r="D174" s="1" t="s">
        <v>679</v>
      </c>
      <c r="E174" s="1" t="s">
        <v>9968</v>
      </c>
      <c r="F174" s="1" t="s">
        <v>8959</v>
      </c>
      <c r="G174" t="s">
        <v>8959</v>
      </c>
      <c r="H174" s="1" t="s">
        <v>9035</v>
      </c>
      <c r="I174" s="1" t="s">
        <v>9308</v>
      </c>
      <c r="J174" s="2" t="s">
        <v>21321</v>
      </c>
      <c r="K174" s="1" t="s">
        <v>21763</v>
      </c>
      <c r="L174" s="1" t="s">
        <v>8951</v>
      </c>
      <c r="M174" s="1">
        <v>6087</v>
      </c>
      <c r="N174" s="1" t="s">
        <v>8953</v>
      </c>
      <c r="O174" s="1" t="s">
        <v>8989</v>
      </c>
      <c r="P174" s="1" t="s">
        <v>8955</v>
      </c>
      <c r="Q174" s="1" t="s">
        <v>8956</v>
      </c>
      <c r="R174" s="1" t="s">
        <v>8975</v>
      </c>
      <c r="S174" s="1" t="s">
        <v>680</v>
      </c>
      <c r="T174" s="1" t="s">
        <v>7</v>
      </c>
      <c r="U174" s="1" t="s">
        <v>184</v>
      </c>
    </row>
    <row r="175" spans="1:21" x14ac:dyDescent="0.2">
      <c r="A175" s="88" t="s">
        <v>15724</v>
      </c>
      <c r="B175" s="88" t="e">
        <f>VLOOKUP(C175,#REF!,1,0)</f>
        <v>#REF!</v>
      </c>
      <c r="C175" s="1" t="s">
        <v>681</v>
      </c>
      <c r="D175" s="1" t="s">
        <v>682</v>
      </c>
      <c r="E175" s="1" t="s">
        <v>10032</v>
      </c>
      <c r="F175" s="1" t="s">
        <v>8957</v>
      </c>
      <c r="G175" t="s">
        <v>8959</v>
      </c>
      <c r="H175" s="1" t="s">
        <v>9092</v>
      </c>
      <c r="I175" s="1" t="s">
        <v>8998</v>
      </c>
      <c r="J175" s="2" t="s">
        <v>9036</v>
      </c>
      <c r="K175" s="1" t="s">
        <v>9036</v>
      </c>
      <c r="L175" s="1" t="s">
        <v>8951</v>
      </c>
      <c r="M175" s="1">
        <v>642</v>
      </c>
      <c r="N175" s="1" t="s">
        <v>8953</v>
      </c>
      <c r="O175" s="1" t="s">
        <v>8989</v>
      </c>
      <c r="P175" s="1" t="s">
        <v>8955</v>
      </c>
      <c r="Q175" s="1" t="s">
        <v>8956</v>
      </c>
      <c r="R175" s="1" t="s">
        <v>8958</v>
      </c>
      <c r="S175" s="1" t="s">
        <v>683</v>
      </c>
      <c r="T175" s="1" t="s">
        <v>4</v>
      </c>
      <c r="U175" s="1" t="s">
        <v>74</v>
      </c>
    </row>
    <row r="176" spans="1:21" x14ac:dyDescent="0.2">
      <c r="A176" s="88" t="s">
        <v>15725</v>
      </c>
      <c r="B176" s="88" t="e">
        <f>VLOOKUP(C176,#REF!,1,0)</f>
        <v>#REF!</v>
      </c>
      <c r="C176" s="1" t="s">
        <v>684</v>
      </c>
      <c r="D176" s="1" t="s">
        <v>685</v>
      </c>
      <c r="E176" s="1" t="s">
        <v>10850</v>
      </c>
      <c r="F176" s="1" t="s">
        <v>8957</v>
      </c>
      <c r="G176" t="s">
        <v>9183</v>
      </c>
      <c r="H176" s="1" t="s">
        <v>20714</v>
      </c>
      <c r="I176" s="1" t="s">
        <v>9050</v>
      </c>
      <c r="J176" s="2" t="s">
        <v>10525</v>
      </c>
      <c r="K176" s="1" t="s">
        <v>10525</v>
      </c>
      <c r="L176" s="1" t="s">
        <v>8951</v>
      </c>
      <c r="M176" s="1">
        <v>80874</v>
      </c>
      <c r="N176" s="1" t="s">
        <v>8953</v>
      </c>
      <c r="O176" s="1" t="s">
        <v>8954</v>
      </c>
      <c r="P176" s="1" t="s">
        <v>8955</v>
      </c>
      <c r="Q176" s="1" t="s">
        <v>8956</v>
      </c>
      <c r="R176" s="1" t="s">
        <v>8975</v>
      </c>
      <c r="S176" s="1" t="s">
        <v>20552</v>
      </c>
      <c r="T176" s="1" t="s">
        <v>17</v>
      </c>
      <c r="U176" s="1" t="s">
        <v>686</v>
      </c>
    </row>
    <row r="177" spans="1:21" x14ac:dyDescent="0.2">
      <c r="A177" s="88" t="s">
        <v>15726</v>
      </c>
      <c r="B177" s="88" t="e">
        <f>VLOOKUP(C177,#REF!,1,0)</f>
        <v>#REF!</v>
      </c>
      <c r="C177" s="1" t="s">
        <v>687</v>
      </c>
      <c r="D177" s="1" t="s">
        <v>688</v>
      </c>
      <c r="E177" s="1" t="s">
        <v>9317</v>
      </c>
      <c r="F177" s="1" t="s">
        <v>8957</v>
      </c>
      <c r="G177" t="s">
        <v>8959</v>
      </c>
      <c r="H177" s="1" t="s">
        <v>9605</v>
      </c>
      <c r="I177" s="1" t="s">
        <v>9101</v>
      </c>
      <c r="J177" s="2" t="s">
        <v>9036</v>
      </c>
      <c r="K177" s="1" t="s">
        <v>9036</v>
      </c>
      <c r="L177" s="1" t="s">
        <v>8951</v>
      </c>
      <c r="M177" s="1">
        <v>36</v>
      </c>
      <c r="N177" s="1" t="s">
        <v>8953</v>
      </c>
      <c r="O177" s="1" t="s">
        <v>8954</v>
      </c>
      <c r="P177" s="1" t="s">
        <v>8955</v>
      </c>
      <c r="Q177" s="1" t="s">
        <v>8956</v>
      </c>
      <c r="R177" s="1" t="s">
        <v>8975</v>
      </c>
      <c r="S177" s="1" t="s">
        <v>689</v>
      </c>
      <c r="T177" s="1" t="s">
        <v>11</v>
      </c>
      <c r="U177" s="1" t="s">
        <v>690</v>
      </c>
    </row>
    <row r="178" spans="1:21" x14ac:dyDescent="0.2">
      <c r="A178" s="88" t="s">
        <v>15727</v>
      </c>
      <c r="B178" s="88" t="e">
        <f>VLOOKUP(C178,#REF!,1,0)</f>
        <v>#REF!</v>
      </c>
      <c r="C178" s="1" t="s">
        <v>691</v>
      </c>
      <c r="D178" s="1" t="s">
        <v>692</v>
      </c>
      <c r="E178" s="1" t="s">
        <v>10873</v>
      </c>
      <c r="F178" s="1" t="s">
        <v>8957</v>
      </c>
      <c r="G178" t="s">
        <v>9009</v>
      </c>
      <c r="H178" s="1" t="s">
        <v>9154</v>
      </c>
      <c r="I178" s="1" t="s">
        <v>8949</v>
      </c>
      <c r="J178" s="2" t="s">
        <v>9036</v>
      </c>
      <c r="K178" s="1" t="s">
        <v>9036</v>
      </c>
      <c r="L178" s="1" t="s">
        <v>9157</v>
      </c>
      <c r="M178" s="1">
        <v>69820</v>
      </c>
      <c r="N178" s="1" t="s">
        <v>8953</v>
      </c>
      <c r="O178" s="1" t="s">
        <v>8954</v>
      </c>
      <c r="P178" s="1" t="s">
        <v>8955</v>
      </c>
      <c r="Q178" s="1" t="s">
        <v>8956</v>
      </c>
      <c r="R178" s="1" t="s">
        <v>8975</v>
      </c>
      <c r="S178" s="1" t="s">
        <v>693</v>
      </c>
      <c r="T178" s="1" t="s">
        <v>17</v>
      </c>
      <c r="U178" s="1" t="s">
        <v>694</v>
      </c>
    </row>
    <row r="179" spans="1:21" x14ac:dyDescent="0.2">
      <c r="A179" s="88" t="s">
        <v>15728</v>
      </c>
      <c r="B179" s="88" t="e">
        <f>VLOOKUP(C179,#REF!,1,0)</f>
        <v>#REF!</v>
      </c>
      <c r="C179" s="1" t="s">
        <v>695</v>
      </c>
      <c r="D179" s="1" t="s">
        <v>696</v>
      </c>
      <c r="E179" s="1" t="s">
        <v>18502</v>
      </c>
      <c r="F179" s="1" t="s">
        <v>9060</v>
      </c>
      <c r="G179" t="s">
        <v>9183</v>
      </c>
      <c r="H179" s="1" t="s">
        <v>20714</v>
      </c>
      <c r="I179" s="1" t="s">
        <v>9050</v>
      </c>
      <c r="J179" s="2" t="s">
        <v>9036</v>
      </c>
      <c r="K179" s="1" t="s">
        <v>9036</v>
      </c>
      <c r="L179" s="1" t="s">
        <v>8987</v>
      </c>
      <c r="M179" s="1">
        <v>5945</v>
      </c>
      <c r="N179" s="1" t="s">
        <v>8953</v>
      </c>
      <c r="O179" s="1" t="s">
        <v>8954</v>
      </c>
      <c r="P179" s="1" t="s">
        <v>8955</v>
      </c>
      <c r="Q179" s="1" t="s">
        <v>8956</v>
      </c>
      <c r="R179" s="1" t="s">
        <v>8975</v>
      </c>
      <c r="S179" s="1" t="s">
        <v>18635</v>
      </c>
      <c r="T179" s="1" t="s">
        <v>7</v>
      </c>
      <c r="U179" s="1" t="s">
        <v>447</v>
      </c>
    </row>
    <row r="180" spans="1:21" x14ac:dyDescent="0.2">
      <c r="A180" s="88" t="s">
        <v>15729</v>
      </c>
      <c r="B180" s="88" t="e">
        <f>VLOOKUP(C180,#REF!,1,0)</f>
        <v>#REF!</v>
      </c>
      <c r="C180" s="1" t="s">
        <v>705</v>
      </c>
      <c r="D180" s="1" t="s">
        <v>706</v>
      </c>
      <c r="E180" s="1" t="s">
        <v>9387</v>
      </c>
      <c r="F180" s="1" t="s">
        <v>8974</v>
      </c>
      <c r="G180" t="s">
        <v>9009</v>
      </c>
      <c r="H180" s="1" t="s">
        <v>8984</v>
      </c>
      <c r="I180" s="1" t="s">
        <v>8998</v>
      </c>
      <c r="J180" s="2" t="s">
        <v>10135</v>
      </c>
      <c r="K180" s="1" t="s">
        <v>10135</v>
      </c>
      <c r="L180" s="1" t="s">
        <v>8987</v>
      </c>
      <c r="M180" s="1">
        <v>71</v>
      </c>
      <c r="N180" s="1" t="s">
        <v>9059</v>
      </c>
      <c r="O180" s="1" t="s">
        <v>8989</v>
      </c>
      <c r="P180" s="1" t="s">
        <v>8955</v>
      </c>
      <c r="Q180" s="1" t="s">
        <v>8956</v>
      </c>
      <c r="R180" s="1" t="s">
        <v>8975</v>
      </c>
      <c r="S180" s="1" t="s">
        <v>707</v>
      </c>
      <c r="T180" s="1" t="s">
        <v>4</v>
      </c>
      <c r="U180" s="1" t="s">
        <v>562</v>
      </c>
    </row>
    <row r="181" spans="1:21" x14ac:dyDescent="0.2">
      <c r="A181" s="88" t="s">
        <v>15730</v>
      </c>
      <c r="B181" s="88" t="e">
        <f>VLOOKUP(C181,#REF!,1,0)</f>
        <v>#REF!</v>
      </c>
      <c r="C181" s="1" t="s">
        <v>708</v>
      </c>
      <c r="D181" s="1" t="s">
        <v>709</v>
      </c>
      <c r="E181" s="1" t="s">
        <v>9317</v>
      </c>
      <c r="F181" s="1" t="s">
        <v>8957</v>
      </c>
      <c r="G181" t="s">
        <v>8959</v>
      </c>
      <c r="H181" s="1" t="s">
        <v>9605</v>
      </c>
      <c r="I181" s="1" t="s">
        <v>20725</v>
      </c>
      <c r="J181" s="2" t="s">
        <v>20723</v>
      </c>
      <c r="K181" s="1" t="s">
        <v>20723</v>
      </c>
      <c r="L181" s="1" t="s">
        <v>9076</v>
      </c>
      <c r="M181" s="1">
        <v>40</v>
      </c>
      <c r="N181" s="1" t="s">
        <v>8953</v>
      </c>
      <c r="O181" s="1" t="s">
        <v>8989</v>
      </c>
      <c r="P181" s="1" t="s">
        <v>8955</v>
      </c>
      <c r="Q181" s="1" t="s">
        <v>8956</v>
      </c>
      <c r="R181" s="1" t="s">
        <v>9103</v>
      </c>
      <c r="S181" s="1" t="s">
        <v>18638</v>
      </c>
      <c r="T181" s="1" t="s">
        <v>7</v>
      </c>
      <c r="U181" s="1" t="s">
        <v>64</v>
      </c>
    </row>
    <row r="182" spans="1:21" x14ac:dyDescent="0.2">
      <c r="A182" s="88" t="s">
        <v>15731</v>
      </c>
      <c r="B182" s="88" t="e">
        <f>VLOOKUP(C182,#REF!,1,0)</f>
        <v>#REF!</v>
      </c>
      <c r="C182" s="1" t="s">
        <v>714</v>
      </c>
      <c r="D182" s="1" t="s">
        <v>715</v>
      </c>
      <c r="E182" s="1" t="s">
        <v>9465</v>
      </c>
      <c r="F182" s="1" t="e">
        <v>#N/A</v>
      </c>
      <c r="G182" t="s">
        <v>9061</v>
      </c>
      <c r="H182" s="1" t="s">
        <v>9154</v>
      </c>
      <c r="I182" s="1" t="s">
        <v>8998</v>
      </c>
      <c r="J182" s="2" t="s">
        <v>9036</v>
      </c>
      <c r="K182" s="1" t="s">
        <v>9036</v>
      </c>
      <c r="L182" s="1" t="s">
        <v>9076</v>
      </c>
      <c r="M182" s="1">
        <v>43</v>
      </c>
      <c r="N182" s="1" t="s">
        <v>9059</v>
      </c>
      <c r="O182" s="1" t="s">
        <v>8989</v>
      </c>
      <c r="P182" s="1" t="s">
        <v>8955</v>
      </c>
      <c r="Q182" s="1" t="s">
        <v>8956</v>
      </c>
      <c r="R182" s="1" t="s">
        <v>8975</v>
      </c>
      <c r="S182" s="1" t="s">
        <v>18640</v>
      </c>
      <c r="T182" s="1" t="s">
        <v>7</v>
      </c>
      <c r="U182" s="1" t="s">
        <v>716</v>
      </c>
    </row>
    <row r="183" spans="1:21" x14ac:dyDescent="0.2">
      <c r="A183" s="88" t="s">
        <v>15732</v>
      </c>
      <c r="B183" s="88" t="e">
        <f>VLOOKUP(C183,#REF!,1,0)</f>
        <v>#REF!</v>
      </c>
      <c r="C183" s="1" t="s">
        <v>717</v>
      </c>
      <c r="D183" s="1" t="s">
        <v>718</v>
      </c>
      <c r="E183" s="1" t="s">
        <v>18502</v>
      </c>
      <c r="F183" s="1" t="s">
        <v>9060</v>
      </c>
      <c r="G183" t="s">
        <v>8959</v>
      </c>
      <c r="H183" s="1" t="s">
        <v>9605</v>
      </c>
      <c r="I183" s="1" t="s">
        <v>9101</v>
      </c>
      <c r="J183" s="2" t="s">
        <v>10492</v>
      </c>
      <c r="K183" s="1" t="s">
        <v>10492</v>
      </c>
      <c r="L183" s="1" t="s">
        <v>9464</v>
      </c>
      <c r="M183" s="1">
        <v>8783</v>
      </c>
      <c r="N183" s="1" t="s">
        <v>8953</v>
      </c>
      <c r="O183" s="1" t="s">
        <v>8954</v>
      </c>
      <c r="P183" s="1" t="s">
        <v>8955</v>
      </c>
      <c r="Q183" s="1" t="s">
        <v>8956</v>
      </c>
      <c r="R183" s="1" t="s">
        <v>9103</v>
      </c>
      <c r="S183" s="1" t="s">
        <v>18641</v>
      </c>
      <c r="T183" s="1" t="s">
        <v>7</v>
      </c>
      <c r="U183" s="1" t="s">
        <v>580</v>
      </c>
    </row>
    <row r="184" spans="1:21" x14ac:dyDescent="0.2">
      <c r="A184" s="88" t="s">
        <v>15733</v>
      </c>
      <c r="B184" s="88" t="e">
        <f>VLOOKUP(C184,#REF!,1,0)</f>
        <v>#REF!</v>
      </c>
      <c r="C184" s="1" t="s">
        <v>719</v>
      </c>
      <c r="D184" s="1" t="s">
        <v>720</v>
      </c>
      <c r="E184" s="1" t="s">
        <v>9010</v>
      </c>
      <c r="F184" s="1" t="s">
        <v>8957</v>
      </c>
      <c r="G184" t="s">
        <v>8959</v>
      </c>
      <c r="H184" s="1" t="s">
        <v>8948</v>
      </c>
      <c r="I184" s="1" t="s">
        <v>9155</v>
      </c>
      <c r="J184" s="2" t="s">
        <v>9041</v>
      </c>
      <c r="K184" s="1" t="s">
        <v>9041</v>
      </c>
      <c r="L184" s="1" t="s">
        <v>9157</v>
      </c>
      <c r="M184" s="1">
        <v>6361</v>
      </c>
      <c r="N184" s="1" t="s">
        <v>8953</v>
      </c>
      <c r="O184" s="1" t="s">
        <v>8954</v>
      </c>
      <c r="P184" s="1" t="s">
        <v>8955</v>
      </c>
      <c r="Q184" s="1" t="s">
        <v>8956</v>
      </c>
      <c r="R184" s="1" t="s">
        <v>8975</v>
      </c>
      <c r="S184" s="1" t="s">
        <v>721</v>
      </c>
      <c r="T184" s="1" t="s">
        <v>17</v>
      </c>
      <c r="U184" s="1" t="s">
        <v>21</v>
      </c>
    </row>
    <row r="185" spans="1:21" x14ac:dyDescent="0.2">
      <c r="A185" s="88" t="s">
        <v>15734</v>
      </c>
      <c r="B185" s="88" t="e">
        <f>VLOOKUP(C185,#REF!,1,0)</f>
        <v>#REF!</v>
      </c>
      <c r="C185" s="1" t="s">
        <v>722</v>
      </c>
      <c r="D185" s="1" t="s">
        <v>723</v>
      </c>
      <c r="E185" s="1" t="s">
        <v>10032</v>
      </c>
      <c r="F185" s="1" t="s">
        <v>8957</v>
      </c>
      <c r="G185" t="s">
        <v>9183</v>
      </c>
      <c r="H185" s="1" t="s">
        <v>9154</v>
      </c>
      <c r="I185" s="1" t="s">
        <v>8949</v>
      </c>
      <c r="J185" s="2" t="s">
        <v>11955</v>
      </c>
      <c r="K185" s="1" t="s">
        <v>11955</v>
      </c>
      <c r="L185" s="1" t="s">
        <v>21615</v>
      </c>
      <c r="M185" s="1">
        <v>45</v>
      </c>
      <c r="N185" s="1" t="s">
        <v>9059</v>
      </c>
      <c r="O185" s="1" t="s">
        <v>8989</v>
      </c>
      <c r="P185" s="1" t="s">
        <v>8955</v>
      </c>
      <c r="Q185" s="1" t="s">
        <v>8956</v>
      </c>
      <c r="R185" s="1" t="s">
        <v>8975</v>
      </c>
      <c r="S185" s="1" t="s">
        <v>724</v>
      </c>
      <c r="T185" s="1" t="s">
        <v>11</v>
      </c>
      <c r="U185" s="1" t="s">
        <v>61</v>
      </c>
    </row>
    <row r="186" spans="1:21" x14ac:dyDescent="0.2">
      <c r="A186" s="88" t="s">
        <v>728</v>
      </c>
      <c r="B186" s="88" t="e">
        <f>VLOOKUP(C186,#REF!,1,0)</f>
        <v>#REF!</v>
      </c>
      <c r="C186" s="1" t="s">
        <v>729</v>
      </c>
      <c r="D186" s="1" t="s">
        <v>730</v>
      </c>
      <c r="E186" s="1" t="s">
        <v>18502</v>
      </c>
      <c r="F186" s="1" t="s">
        <v>8957</v>
      </c>
      <c r="G186" t="s">
        <v>9061</v>
      </c>
      <c r="H186" s="1" t="s">
        <v>9154</v>
      </c>
      <c r="I186" s="1" t="s">
        <v>8998</v>
      </c>
      <c r="J186" s="2" t="s">
        <v>9036</v>
      </c>
      <c r="K186" s="1" t="s">
        <v>9036</v>
      </c>
      <c r="L186" s="1" t="s">
        <v>9133</v>
      </c>
      <c r="M186" s="1">
        <v>1638</v>
      </c>
      <c r="N186" s="1" t="s">
        <v>9059</v>
      </c>
      <c r="O186" s="1" t="s">
        <v>8954</v>
      </c>
      <c r="P186" s="1" t="s">
        <v>8955</v>
      </c>
      <c r="Q186" s="1" t="s">
        <v>8956</v>
      </c>
      <c r="R186" s="1" t="s">
        <v>8975</v>
      </c>
      <c r="S186" s="1" t="s">
        <v>20553</v>
      </c>
      <c r="T186" s="1" t="s">
        <v>11</v>
      </c>
      <c r="U186" s="1" t="s">
        <v>652</v>
      </c>
    </row>
    <row r="187" spans="1:21" x14ac:dyDescent="0.2">
      <c r="A187" s="88" t="s">
        <v>15736</v>
      </c>
      <c r="B187" s="88" t="e">
        <f>VLOOKUP(C187,#REF!,1,0)</f>
        <v>#REF!</v>
      </c>
      <c r="C187" s="1" t="s">
        <v>731</v>
      </c>
      <c r="D187" s="1" t="s">
        <v>732</v>
      </c>
      <c r="E187" s="1" t="s">
        <v>18502</v>
      </c>
      <c r="F187" s="1" t="s">
        <v>9060</v>
      </c>
      <c r="G187" t="s">
        <v>9061</v>
      </c>
      <c r="H187" s="1" t="s">
        <v>9154</v>
      </c>
      <c r="I187" s="1" t="s">
        <v>8998</v>
      </c>
      <c r="J187" s="2" t="s">
        <v>9036</v>
      </c>
      <c r="K187" s="1" t="s">
        <v>9036</v>
      </c>
      <c r="L187" s="1" t="s">
        <v>9464</v>
      </c>
      <c r="M187" s="1">
        <v>1160</v>
      </c>
      <c r="N187" s="1" t="s">
        <v>9059</v>
      </c>
      <c r="O187" s="1" t="s">
        <v>8954</v>
      </c>
      <c r="P187" s="1" t="s">
        <v>8955</v>
      </c>
      <c r="Q187" s="1" t="s">
        <v>8956</v>
      </c>
      <c r="R187" s="1" t="s">
        <v>8975</v>
      </c>
      <c r="S187" s="1" t="s">
        <v>20554</v>
      </c>
      <c r="T187" s="1" t="s">
        <v>17</v>
      </c>
      <c r="U187" s="1" t="s">
        <v>733</v>
      </c>
    </row>
    <row r="188" spans="1:21" x14ac:dyDescent="0.2">
      <c r="A188" s="88" t="s">
        <v>15737</v>
      </c>
      <c r="B188" s="88" t="e">
        <f>VLOOKUP(C188,#REF!,1,0)</f>
        <v>#REF!</v>
      </c>
      <c r="C188" s="1" t="s">
        <v>734</v>
      </c>
      <c r="D188" s="1" t="s">
        <v>735</v>
      </c>
      <c r="E188" s="1" t="s">
        <v>10049</v>
      </c>
      <c r="F188" s="1" t="s">
        <v>8957</v>
      </c>
      <c r="G188" t="s">
        <v>8959</v>
      </c>
      <c r="H188" s="1" t="s">
        <v>9075</v>
      </c>
      <c r="I188" s="1" t="s">
        <v>8949</v>
      </c>
      <c r="J188" s="2" t="s">
        <v>9036</v>
      </c>
      <c r="K188" s="1" t="s">
        <v>9036</v>
      </c>
      <c r="L188" s="1" t="s">
        <v>21600</v>
      </c>
      <c r="M188" s="1">
        <v>18</v>
      </c>
      <c r="N188" s="1" t="s">
        <v>9059</v>
      </c>
      <c r="O188" s="1" t="s">
        <v>8989</v>
      </c>
      <c r="P188" s="1" t="s">
        <v>8955</v>
      </c>
      <c r="Q188" s="1" t="s">
        <v>8956</v>
      </c>
      <c r="R188" s="1" t="s">
        <v>8958</v>
      </c>
      <c r="S188" s="1" t="s">
        <v>736</v>
      </c>
      <c r="T188" s="1" t="s">
        <v>17</v>
      </c>
      <c r="U188" s="1" t="s">
        <v>577</v>
      </c>
    </row>
    <row r="189" spans="1:21" x14ac:dyDescent="0.2">
      <c r="A189" s="88" t="s">
        <v>15738</v>
      </c>
      <c r="B189" s="88" t="e">
        <f>VLOOKUP(C189,#REF!,1,0)</f>
        <v>#REF!</v>
      </c>
      <c r="C189" s="1" t="s">
        <v>737</v>
      </c>
      <c r="D189" s="1" t="s">
        <v>738</v>
      </c>
      <c r="E189" s="1" t="s">
        <v>9176</v>
      </c>
      <c r="F189" s="1" t="s">
        <v>8959</v>
      </c>
      <c r="G189" t="s">
        <v>9061</v>
      </c>
      <c r="H189" s="1" t="s">
        <v>8948</v>
      </c>
      <c r="I189" s="1" t="s">
        <v>8998</v>
      </c>
      <c r="J189" s="2" t="s">
        <v>10135</v>
      </c>
      <c r="K189" s="1" t="s">
        <v>10135</v>
      </c>
      <c r="L189" s="1" t="s">
        <v>9292</v>
      </c>
      <c r="M189" s="1">
        <v>1000</v>
      </c>
      <c r="N189" s="1" t="s">
        <v>8953</v>
      </c>
      <c r="O189" s="1" t="s">
        <v>8989</v>
      </c>
      <c r="P189" s="1" t="s">
        <v>8955</v>
      </c>
      <c r="Q189" s="1" t="s">
        <v>8956</v>
      </c>
      <c r="R189" s="1" t="s">
        <v>8958</v>
      </c>
      <c r="S189" s="1" t="s">
        <v>739</v>
      </c>
      <c r="T189" s="1" t="s">
        <v>17</v>
      </c>
      <c r="U189" s="1" t="s">
        <v>740</v>
      </c>
    </row>
    <row r="190" spans="1:21" x14ac:dyDescent="0.2">
      <c r="A190" s="88" t="s">
        <v>15740</v>
      </c>
      <c r="B190" s="88" t="e">
        <f>VLOOKUP(C190,#REF!,1,0)</f>
        <v>#REF!</v>
      </c>
      <c r="C190" s="1" t="s">
        <v>745</v>
      </c>
      <c r="D190" s="1" t="s">
        <v>746</v>
      </c>
      <c r="E190" s="1" t="s">
        <v>14748</v>
      </c>
      <c r="F190" s="1" t="s">
        <v>8974</v>
      </c>
      <c r="G190" t="s">
        <v>9183</v>
      </c>
      <c r="H190" s="1" t="s">
        <v>9092</v>
      </c>
      <c r="I190" s="1" t="s">
        <v>9308</v>
      </c>
      <c r="J190" s="2" t="s">
        <v>9036</v>
      </c>
      <c r="K190" s="1" t="s">
        <v>9036</v>
      </c>
      <c r="L190" s="1" t="s">
        <v>8951</v>
      </c>
      <c r="M190" s="1">
        <v>2106</v>
      </c>
      <c r="N190" s="1" t="s">
        <v>8953</v>
      </c>
      <c r="O190" s="1" t="s">
        <v>8989</v>
      </c>
      <c r="P190" s="1" t="s">
        <v>8955</v>
      </c>
      <c r="Q190" s="1" t="s">
        <v>8956</v>
      </c>
      <c r="R190" s="1" t="s">
        <v>9103</v>
      </c>
      <c r="S190" s="1" t="s">
        <v>18643</v>
      </c>
      <c r="T190" s="1" t="s">
        <v>7</v>
      </c>
      <c r="U190" s="1" t="s">
        <v>744</v>
      </c>
    </row>
    <row r="191" spans="1:21" x14ac:dyDescent="0.2">
      <c r="A191" s="88" t="s">
        <v>15741</v>
      </c>
      <c r="B191" s="88"/>
      <c r="C191" s="1" t="s">
        <v>753</v>
      </c>
      <c r="D191" s="1" t="s">
        <v>754</v>
      </c>
      <c r="E191" s="1" t="e">
        <v>#N/A</v>
      </c>
      <c r="F191" s="1" t="e">
        <v>#N/A</v>
      </c>
      <c r="G191" t="e">
        <v>#N/A</v>
      </c>
      <c r="H191" s="1" t="e">
        <v>#N/A</v>
      </c>
      <c r="I191" s="1" t="e">
        <v>#N/A</v>
      </c>
      <c r="J191" s="2" t="e">
        <v>#N/A</v>
      </c>
      <c r="K191" s="1" t="e">
        <v>#N/A</v>
      </c>
      <c r="L191" s="1" t="e">
        <v>#N/A</v>
      </c>
      <c r="M191" s="1" t="e">
        <v>#N/A</v>
      </c>
      <c r="N191" s="1" t="e">
        <v>#N/A</v>
      </c>
      <c r="O191" s="1" t="e">
        <v>#N/A</v>
      </c>
      <c r="P191" s="1" t="s">
        <v>8955</v>
      </c>
      <c r="Q191" s="1" t="s">
        <v>8956</v>
      </c>
      <c r="R191" s="1" t="s">
        <v>8975</v>
      </c>
      <c r="S191" s="1" t="s">
        <v>18646</v>
      </c>
      <c r="T191" s="1">
        <v>2021</v>
      </c>
      <c r="U191" s="1" t="s">
        <v>755</v>
      </c>
    </row>
    <row r="192" spans="1:21" x14ac:dyDescent="0.2">
      <c r="A192" s="88" t="s">
        <v>15742</v>
      </c>
      <c r="B192" s="88" t="e">
        <f>VLOOKUP(C192,#REF!,1,0)</f>
        <v>#REF!</v>
      </c>
      <c r="C192" s="1" t="s">
        <v>760</v>
      </c>
      <c r="D192" s="1" t="s">
        <v>761</v>
      </c>
      <c r="E192" s="1" t="s">
        <v>9310</v>
      </c>
      <c r="F192" s="1" t="s">
        <v>8957</v>
      </c>
      <c r="G192" t="s">
        <v>8959</v>
      </c>
      <c r="H192" s="1" t="s">
        <v>20712</v>
      </c>
      <c r="I192" s="1" t="s">
        <v>9155</v>
      </c>
      <c r="J192" s="2" t="s">
        <v>21541</v>
      </c>
      <c r="K192" s="1" t="s">
        <v>21541</v>
      </c>
      <c r="L192" s="1" t="s">
        <v>8951</v>
      </c>
      <c r="M192" s="1">
        <v>1200</v>
      </c>
      <c r="N192" s="1" t="s">
        <v>8953</v>
      </c>
      <c r="O192" s="1" t="s">
        <v>8954</v>
      </c>
      <c r="P192" s="1" t="s">
        <v>8955</v>
      </c>
      <c r="Q192" s="1" t="s">
        <v>8956</v>
      </c>
      <c r="R192" s="1" t="s">
        <v>8975</v>
      </c>
      <c r="S192" s="1" t="s">
        <v>18648</v>
      </c>
      <c r="T192" s="1" t="s">
        <v>7</v>
      </c>
      <c r="U192" s="1" t="s">
        <v>126</v>
      </c>
    </row>
    <row r="193" spans="1:21" x14ac:dyDescent="0.2">
      <c r="A193" s="88" t="s">
        <v>15743</v>
      </c>
      <c r="B193" s="88" t="e">
        <f>VLOOKUP(C193,#REF!,1,0)</f>
        <v>#REF!</v>
      </c>
      <c r="C193" s="1" t="s">
        <v>766</v>
      </c>
      <c r="D193" s="1" t="s">
        <v>767</v>
      </c>
      <c r="E193" s="1" t="s">
        <v>9852</v>
      </c>
      <c r="F193" s="1" t="s">
        <v>8957</v>
      </c>
      <c r="G193" t="s">
        <v>8959</v>
      </c>
      <c r="H193" s="1" t="s">
        <v>9605</v>
      </c>
      <c r="I193" s="1" t="s">
        <v>9101</v>
      </c>
      <c r="J193" s="2" t="s">
        <v>20727</v>
      </c>
      <c r="K193" s="1" t="s">
        <v>20727</v>
      </c>
      <c r="L193" s="1" t="s">
        <v>8951</v>
      </c>
      <c r="M193" s="1">
        <v>5636</v>
      </c>
      <c r="N193" s="1" t="s">
        <v>8953</v>
      </c>
      <c r="O193" s="1" t="s">
        <v>8954</v>
      </c>
      <c r="P193" s="1" t="s">
        <v>8955</v>
      </c>
      <c r="Q193" s="1" t="s">
        <v>8956</v>
      </c>
      <c r="R193" s="1" t="s">
        <v>8958</v>
      </c>
      <c r="S193" s="1" t="s">
        <v>20555</v>
      </c>
      <c r="T193" s="1" t="s">
        <v>7</v>
      </c>
      <c r="U193" s="1" t="s">
        <v>35</v>
      </c>
    </row>
    <row r="194" spans="1:21" x14ac:dyDescent="0.2">
      <c r="A194" s="88" t="s">
        <v>15744</v>
      </c>
      <c r="B194" s="88" t="e">
        <f>VLOOKUP(C194,#REF!,1,0)</f>
        <v>#REF!</v>
      </c>
      <c r="C194" s="1" t="s">
        <v>768</v>
      </c>
      <c r="D194" s="1" t="s">
        <v>769</v>
      </c>
      <c r="E194" s="1" t="s">
        <v>9010</v>
      </c>
      <c r="F194" s="1" t="s">
        <v>8959</v>
      </c>
      <c r="G194" t="s">
        <v>8959</v>
      </c>
      <c r="H194" s="1" t="s">
        <v>9092</v>
      </c>
      <c r="I194" s="1" t="s">
        <v>8949</v>
      </c>
      <c r="J194" s="2" t="s">
        <v>9658</v>
      </c>
      <c r="K194" s="1" t="s">
        <v>9658</v>
      </c>
      <c r="L194" s="1" t="s">
        <v>9133</v>
      </c>
      <c r="M194" s="1">
        <v>1370</v>
      </c>
      <c r="N194" s="1" t="s">
        <v>8953</v>
      </c>
      <c r="O194" s="1" t="s">
        <v>8989</v>
      </c>
      <c r="P194" s="1" t="s">
        <v>8955</v>
      </c>
      <c r="Q194" s="1" t="s">
        <v>8956</v>
      </c>
      <c r="R194" s="1" t="s">
        <v>8975</v>
      </c>
      <c r="S194" s="1" t="s">
        <v>770</v>
      </c>
      <c r="T194" s="1" t="s">
        <v>11</v>
      </c>
      <c r="U194" s="1" t="s">
        <v>771</v>
      </c>
    </row>
    <row r="195" spans="1:21" x14ac:dyDescent="0.2">
      <c r="A195" s="88" t="s">
        <v>15745</v>
      </c>
      <c r="B195" s="88" t="e">
        <f>VLOOKUP(C195,#REF!,1,0)</f>
        <v>#REF!</v>
      </c>
      <c r="C195" s="1" t="s">
        <v>772</v>
      </c>
      <c r="D195" s="1" t="s">
        <v>773</v>
      </c>
      <c r="E195" s="1" t="s">
        <v>10873</v>
      </c>
      <c r="F195" s="1" t="s">
        <v>8957</v>
      </c>
      <c r="G195" t="s">
        <v>8959</v>
      </c>
      <c r="H195" s="1" t="s">
        <v>20712</v>
      </c>
      <c r="I195" s="1" t="s">
        <v>8949</v>
      </c>
      <c r="J195" s="2" t="s">
        <v>21205</v>
      </c>
      <c r="K195" s="1" t="s">
        <v>21205</v>
      </c>
      <c r="L195" s="1" t="s">
        <v>21600</v>
      </c>
      <c r="M195" s="1">
        <v>1613</v>
      </c>
      <c r="N195" s="1" t="s">
        <v>9059</v>
      </c>
      <c r="O195" s="1" t="s">
        <v>8954</v>
      </c>
      <c r="P195" s="1" t="s">
        <v>8955</v>
      </c>
      <c r="Q195" s="1" t="s">
        <v>8956</v>
      </c>
      <c r="R195" s="1" t="s">
        <v>8975</v>
      </c>
      <c r="S195" s="1" t="s">
        <v>18650</v>
      </c>
      <c r="T195" s="1" t="s">
        <v>7</v>
      </c>
      <c r="U195" s="1" t="s">
        <v>61</v>
      </c>
    </row>
    <row r="196" spans="1:21" x14ac:dyDescent="0.2">
      <c r="A196" s="88" t="s">
        <v>15746</v>
      </c>
      <c r="B196" s="88" t="e">
        <f>VLOOKUP(C196,#REF!,1,0)</f>
        <v>#REF!</v>
      </c>
      <c r="C196" s="1" t="s">
        <v>774</v>
      </c>
      <c r="D196" s="1" t="s">
        <v>775</v>
      </c>
      <c r="E196" s="1" t="s">
        <v>18502</v>
      </c>
      <c r="F196" s="1" t="s">
        <v>8957</v>
      </c>
      <c r="G196" t="s">
        <v>9061</v>
      </c>
      <c r="H196" s="1" t="s">
        <v>8948</v>
      </c>
      <c r="I196" s="1" t="s">
        <v>8949</v>
      </c>
      <c r="J196" s="2" t="s">
        <v>10492</v>
      </c>
      <c r="K196" s="1" t="s">
        <v>10492</v>
      </c>
      <c r="L196" s="1" t="s">
        <v>9076</v>
      </c>
      <c r="M196" s="1">
        <v>3</v>
      </c>
      <c r="N196" s="1" t="s">
        <v>9059</v>
      </c>
      <c r="O196" s="1" t="s">
        <v>8989</v>
      </c>
      <c r="P196" s="1" t="s">
        <v>8955</v>
      </c>
      <c r="Q196" s="1" t="s">
        <v>8956</v>
      </c>
      <c r="R196" s="1" t="s">
        <v>8975</v>
      </c>
      <c r="S196" s="1" t="s">
        <v>18651</v>
      </c>
      <c r="T196" s="1" t="s">
        <v>17</v>
      </c>
      <c r="U196" s="1" t="s">
        <v>161</v>
      </c>
    </row>
    <row r="197" spans="1:21" x14ac:dyDescent="0.2">
      <c r="A197" s="88" t="s">
        <v>15747</v>
      </c>
      <c r="B197" s="88" t="e">
        <f>VLOOKUP(C197,#REF!,1,0)</f>
        <v>#REF!</v>
      </c>
      <c r="C197" s="1" t="s">
        <v>776</v>
      </c>
      <c r="D197" s="1" t="s">
        <v>777</v>
      </c>
      <c r="E197" s="1" t="s">
        <v>18502</v>
      </c>
      <c r="F197" s="1" t="s">
        <v>8957</v>
      </c>
      <c r="G197" t="s">
        <v>9183</v>
      </c>
      <c r="H197" s="1" t="s">
        <v>20714</v>
      </c>
      <c r="I197" s="1" t="s">
        <v>9050</v>
      </c>
      <c r="J197" s="2" t="s">
        <v>21329</v>
      </c>
      <c r="K197" s="1" t="s">
        <v>21329</v>
      </c>
      <c r="L197" s="1" t="s">
        <v>9133</v>
      </c>
      <c r="M197" s="1">
        <v>15141</v>
      </c>
      <c r="N197" s="1" t="s">
        <v>8953</v>
      </c>
      <c r="O197" s="1" t="s">
        <v>8954</v>
      </c>
      <c r="P197" s="1" t="s">
        <v>8955</v>
      </c>
      <c r="Q197" s="1" t="s">
        <v>8956</v>
      </c>
      <c r="R197" s="1" t="s">
        <v>8975</v>
      </c>
      <c r="S197" s="1" t="s">
        <v>18652</v>
      </c>
      <c r="T197" s="1" t="s">
        <v>7</v>
      </c>
      <c r="U197" s="1" t="s">
        <v>778</v>
      </c>
    </row>
    <row r="198" spans="1:21" x14ac:dyDescent="0.2">
      <c r="A198" s="88" t="s">
        <v>15748</v>
      </c>
      <c r="B198" s="88" t="e">
        <f>VLOOKUP(C198,#REF!,1,0)</f>
        <v>#REF!</v>
      </c>
      <c r="C198" s="1" t="s">
        <v>784</v>
      </c>
      <c r="D198" s="1" t="s">
        <v>785</v>
      </c>
      <c r="E198" s="1" t="s">
        <v>9815</v>
      </c>
      <c r="F198" s="1" t="s">
        <v>8957</v>
      </c>
      <c r="G198" t="s">
        <v>9009</v>
      </c>
      <c r="H198" s="1" t="s">
        <v>9154</v>
      </c>
      <c r="I198" s="1" t="s">
        <v>8971</v>
      </c>
      <c r="J198" s="2" t="s">
        <v>10930</v>
      </c>
      <c r="K198" s="1" t="s">
        <v>10930</v>
      </c>
      <c r="L198" s="1" t="s">
        <v>21600</v>
      </c>
      <c r="M198" s="1">
        <v>396</v>
      </c>
      <c r="N198" s="1" t="s">
        <v>8953</v>
      </c>
      <c r="O198" s="1" t="s">
        <v>8989</v>
      </c>
      <c r="P198" s="1" t="s">
        <v>8955</v>
      </c>
      <c r="Q198" s="1" t="s">
        <v>8956</v>
      </c>
      <c r="R198" s="1" t="s">
        <v>8975</v>
      </c>
      <c r="S198" s="1" t="s">
        <v>786</v>
      </c>
      <c r="T198" s="1" t="s">
        <v>11</v>
      </c>
      <c r="U198" s="1" t="s">
        <v>74</v>
      </c>
    </row>
    <row r="199" spans="1:21" x14ac:dyDescent="0.2">
      <c r="A199" s="88" t="s">
        <v>15749</v>
      </c>
      <c r="B199" s="88" t="e">
        <f>VLOOKUP(C199,#REF!,1,0)</f>
        <v>#REF!</v>
      </c>
      <c r="C199" s="1" t="s">
        <v>787</v>
      </c>
      <c r="D199" s="1" t="s">
        <v>788</v>
      </c>
      <c r="E199" s="1" t="s">
        <v>9815</v>
      </c>
      <c r="F199" s="1" t="s">
        <v>8957</v>
      </c>
      <c r="G199" t="s">
        <v>8959</v>
      </c>
      <c r="H199" s="1" t="s">
        <v>8984</v>
      </c>
      <c r="I199" s="1" t="s">
        <v>8971</v>
      </c>
      <c r="J199" s="2" t="s">
        <v>9036</v>
      </c>
      <c r="K199" s="1" t="s">
        <v>9036</v>
      </c>
      <c r="L199" s="1" t="s">
        <v>8951</v>
      </c>
      <c r="M199" s="1">
        <v>63</v>
      </c>
      <c r="N199" s="1" t="s">
        <v>9059</v>
      </c>
      <c r="O199" s="1" t="s">
        <v>8989</v>
      </c>
      <c r="P199" s="1" t="s">
        <v>8955</v>
      </c>
      <c r="Q199" s="1" t="s">
        <v>8956</v>
      </c>
      <c r="R199" s="1" t="s">
        <v>8975</v>
      </c>
      <c r="S199" s="1" t="s">
        <v>789</v>
      </c>
      <c r="T199" s="1" t="s">
        <v>11</v>
      </c>
      <c r="U199" s="1" t="s">
        <v>184</v>
      </c>
    </row>
    <row r="200" spans="1:21" x14ac:dyDescent="0.2">
      <c r="A200" s="88" t="s">
        <v>15750</v>
      </c>
      <c r="B200" s="88" t="e">
        <f>VLOOKUP(C200,#REF!,1,0)</f>
        <v>#REF!</v>
      </c>
      <c r="C200" s="1" t="s">
        <v>793</v>
      </c>
      <c r="D200" s="1" t="s">
        <v>794</v>
      </c>
      <c r="E200" s="1" t="s">
        <v>9815</v>
      </c>
      <c r="F200" s="1" t="s">
        <v>8957</v>
      </c>
      <c r="G200" t="s">
        <v>9183</v>
      </c>
      <c r="H200" s="1" t="s">
        <v>8948</v>
      </c>
      <c r="I200" s="1" t="s">
        <v>8971</v>
      </c>
      <c r="J200" s="2" t="s">
        <v>9436</v>
      </c>
      <c r="K200" s="1" t="s">
        <v>21764</v>
      </c>
      <c r="L200" s="1" t="s">
        <v>9133</v>
      </c>
      <c r="M200" s="1">
        <v>407</v>
      </c>
      <c r="N200" s="1" t="s">
        <v>8953</v>
      </c>
      <c r="O200" s="1" t="s">
        <v>8989</v>
      </c>
      <c r="P200" s="1" t="s">
        <v>8955</v>
      </c>
      <c r="Q200" s="1" t="s">
        <v>8956</v>
      </c>
      <c r="R200" s="1" t="s">
        <v>8975</v>
      </c>
      <c r="S200" s="1" t="s">
        <v>795</v>
      </c>
      <c r="T200" s="1" t="s">
        <v>17</v>
      </c>
      <c r="U200" s="1" t="s">
        <v>5</v>
      </c>
    </row>
    <row r="201" spans="1:21" x14ac:dyDescent="0.2">
      <c r="A201" s="88" t="s">
        <v>15751</v>
      </c>
      <c r="B201" s="88" t="e">
        <f>VLOOKUP(C201,#REF!,1,0)</f>
        <v>#REF!</v>
      </c>
      <c r="C201" s="1" t="s">
        <v>796</v>
      </c>
      <c r="D201" s="1" t="s">
        <v>797</v>
      </c>
      <c r="E201" s="1" t="s">
        <v>18502</v>
      </c>
      <c r="F201" s="1" t="s">
        <v>8957</v>
      </c>
      <c r="G201" t="s">
        <v>8959</v>
      </c>
      <c r="H201" s="1" t="s">
        <v>9154</v>
      </c>
      <c r="I201" s="1" t="s">
        <v>8949</v>
      </c>
      <c r="J201" s="2" t="s">
        <v>9036</v>
      </c>
      <c r="K201" s="1" t="s">
        <v>9036</v>
      </c>
      <c r="L201" s="1" t="s">
        <v>9076</v>
      </c>
      <c r="M201" s="1">
        <v>4</v>
      </c>
      <c r="N201" s="1" t="s">
        <v>9059</v>
      </c>
      <c r="O201" s="1" t="s">
        <v>8989</v>
      </c>
      <c r="P201" s="1" t="s">
        <v>8955</v>
      </c>
      <c r="Q201" s="1" t="s">
        <v>8956</v>
      </c>
      <c r="R201" s="1" t="s">
        <v>9103</v>
      </c>
      <c r="S201" s="1" t="s">
        <v>18654</v>
      </c>
      <c r="T201" s="1" t="s">
        <v>17</v>
      </c>
      <c r="U201" s="1" t="s">
        <v>161</v>
      </c>
    </row>
    <row r="202" spans="1:21" x14ac:dyDescent="0.2">
      <c r="A202" s="88" t="s">
        <v>15753</v>
      </c>
      <c r="B202" s="88" t="e">
        <f>VLOOKUP(C202,#REF!,1,0)</f>
        <v>#REF!</v>
      </c>
      <c r="C202" s="1" t="s">
        <v>805</v>
      </c>
      <c r="D202" s="1" t="s">
        <v>806</v>
      </c>
      <c r="E202" s="1" t="s">
        <v>10049</v>
      </c>
      <c r="F202" s="1" t="s">
        <v>9060</v>
      </c>
      <c r="G202" t="s">
        <v>8959</v>
      </c>
      <c r="H202" s="1" t="s">
        <v>9605</v>
      </c>
      <c r="I202" s="1" t="s">
        <v>9422</v>
      </c>
      <c r="J202" s="2" t="s">
        <v>10048</v>
      </c>
      <c r="K202" s="1" t="s">
        <v>10048</v>
      </c>
      <c r="L202" s="1" t="s">
        <v>9157</v>
      </c>
      <c r="M202" s="1">
        <v>53787</v>
      </c>
      <c r="N202" s="1" t="s">
        <v>8953</v>
      </c>
      <c r="O202" s="1" t="s">
        <v>8954</v>
      </c>
      <c r="P202" s="1" t="s">
        <v>8955</v>
      </c>
      <c r="Q202" s="1" t="s">
        <v>8956</v>
      </c>
      <c r="R202" s="1" t="s">
        <v>8975</v>
      </c>
      <c r="S202" s="1" t="s">
        <v>807</v>
      </c>
      <c r="T202" s="1" t="s">
        <v>17</v>
      </c>
      <c r="U202" s="1" t="s">
        <v>808</v>
      </c>
    </row>
    <row r="203" spans="1:21" x14ac:dyDescent="0.2">
      <c r="A203" s="88" t="s">
        <v>15754</v>
      </c>
      <c r="B203" s="88" t="e">
        <f>VLOOKUP(C203,#REF!,1,0)</f>
        <v>#REF!</v>
      </c>
      <c r="C203" s="1" t="s">
        <v>809</v>
      </c>
      <c r="D203" s="1" t="s">
        <v>810</v>
      </c>
      <c r="E203" s="1" t="s">
        <v>18502</v>
      </c>
      <c r="F203" s="1" t="s">
        <v>8959</v>
      </c>
      <c r="G203" t="s">
        <v>9183</v>
      </c>
      <c r="H203" s="1" t="s">
        <v>9075</v>
      </c>
      <c r="I203" s="1" t="s">
        <v>8959</v>
      </c>
      <c r="J203" s="2" t="s">
        <v>18497</v>
      </c>
      <c r="K203" s="1" t="s">
        <v>21658</v>
      </c>
      <c r="L203" s="1" t="s">
        <v>9292</v>
      </c>
      <c r="M203" s="1">
        <v>63</v>
      </c>
      <c r="N203" s="1" t="s">
        <v>9059</v>
      </c>
      <c r="O203" s="1" t="s">
        <v>8989</v>
      </c>
      <c r="P203" s="1" t="s">
        <v>8955</v>
      </c>
      <c r="Q203" s="1" t="s">
        <v>8956</v>
      </c>
      <c r="R203" s="1" t="s">
        <v>8958</v>
      </c>
      <c r="S203" s="1" t="s">
        <v>18657</v>
      </c>
      <c r="T203" s="1" t="s">
        <v>7</v>
      </c>
      <c r="U203" s="1" t="s">
        <v>559</v>
      </c>
    </row>
    <row r="204" spans="1:21" x14ac:dyDescent="0.2">
      <c r="A204" s="88" t="s">
        <v>15755</v>
      </c>
      <c r="B204" s="88"/>
      <c r="C204" s="1" t="s">
        <v>811</v>
      </c>
      <c r="D204" s="1" t="s">
        <v>812</v>
      </c>
      <c r="E204" s="1" t="e">
        <v>#N/A</v>
      </c>
      <c r="F204" s="1" t="e">
        <v>#N/A</v>
      </c>
      <c r="G204" t="e">
        <v>#N/A</v>
      </c>
      <c r="H204" s="1" t="e">
        <v>#N/A</v>
      </c>
      <c r="I204" s="1" t="e">
        <v>#N/A</v>
      </c>
      <c r="J204" s="2" t="e">
        <v>#N/A</v>
      </c>
      <c r="K204" s="1" t="e">
        <v>#N/A</v>
      </c>
      <c r="L204" s="1" t="e">
        <v>#N/A</v>
      </c>
      <c r="M204" s="1" t="e">
        <v>#N/A</v>
      </c>
      <c r="N204" s="1" t="e">
        <v>#N/A</v>
      </c>
      <c r="O204" s="1" t="e">
        <v>#N/A</v>
      </c>
      <c r="P204" s="1" t="s">
        <v>8955</v>
      </c>
      <c r="Q204" s="1" t="s">
        <v>8956</v>
      </c>
      <c r="R204" s="1" t="s">
        <v>9103</v>
      </c>
      <c r="S204" s="1" t="s">
        <v>18658</v>
      </c>
      <c r="T204" s="1" t="s">
        <v>252</v>
      </c>
      <c r="U204" s="1" t="s">
        <v>813</v>
      </c>
    </row>
    <row r="205" spans="1:21" x14ac:dyDescent="0.2">
      <c r="A205" s="88" t="s">
        <v>15756</v>
      </c>
      <c r="B205" s="88" t="e">
        <f>VLOOKUP(C205,#REF!,1,0)</f>
        <v>#REF!</v>
      </c>
      <c r="C205" s="1" t="s">
        <v>819</v>
      </c>
      <c r="D205" s="1" t="s">
        <v>820</v>
      </c>
      <c r="E205" s="1" t="s">
        <v>10032</v>
      </c>
      <c r="F205" s="1" t="s">
        <v>8959</v>
      </c>
      <c r="G205" t="s">
        <v>9061</v>
      </c>
      <c r="H205" s="1" t="s">
        <v>9035</v>
      </c>
      <c r="I205" s="1" t="s">
        <v>8998</v>
      </c>
      <c r="J205" s="2" t="s">
        <v>21542</v>
      </c>
      <c r="K205" s="1" t="s">
        <v>21542</v>
      </c>
      <c r="L205" s="1" t="s">
        <v>9157</v>
      </c>
      <c r="M205" s="1">
        <v>189</v>
      </c>
      <c r="N205" s="1" t="s">
        <v>9059</v>
      </c>
      <c r="O205" s="1" t="s">
        <v>8989</v>
      </c>
      <c r="P205" s="1" t="s">
        <v>8955</v>
      </c>
      <c r="Q205" s="1" t="s">
        <v>8956</v>
      </c>
      <c r="R205" s="1" t="s">
        <v>8958</v>
      </c>
      <c r="S205" s="1" t="s">
        <v>20556</v>
      </c>
      <c r="T205" s="1" t="s">
        <v>7</v>
      </c>
      <c r="U205" s="1" t="s">
        <v>147</v>
      </c>
    </row>
    <row r="206" spans="1:21" x14ac:dyDescent="0.2">
      <c r="A206" s="88" t="s">
        <v>15757</v>
      </c>
      <c r="B206" s="88" t="e">
        <f>VLOOKUP(C206,#REF!,1,0)</f>
        <v>#REF!</v>
      </c>
      <c r="C206" s="1" t="s">
        <v>821</v>
      </c>
      <c r="D206" s="1" t="s">
        <v>822</v>
      </c>
      <c r="E206" s="1" t="s">
        <v>9317</v>
      </c>
      <c r="F206" s="1" t="s">
        <v>8957</v>
      </c>
      <c r="G206" t="s">
        <v>8959</v>
      </c>
      <c r="H206" s="1" t="s">
        <v>9154</v>
      </c>
      <c r="I206" s="1" t="s">
        <v>9155</v>
      </c>
      <c r="J206" s="2" t="s">
        <v>21201</v>
      </c>
      <c r="K206" s="1" t="s">
        <v>21201</v>
      </c>
      <c r="L206" s="1" t="s">
        <v>21600</v>
      </c>
      <c r="M206" s="1">
        <v>40</v>
      </c>
      <c r="N206" s="1" t="s">
        <v>8953</v>
      </c>
      <c r="O206" s="1" t="s">
        <v>8989</v>
      </c>
      <c r="P206" s="1" t="s">
        <v>8955</v>
      </c>
      <c r="Q206" s="1" t="s">
        <v>8956</v>
      </c>
      <c r="R206" s="1" t="s">
        <v>9103</v>
      </c>
      <c r="S206" s="1" t="s">
        <v>823</v>
      </c>
      <c r="T206" s="1" t="s">
        <v>7</v>
      </c>
      <c r="U206" s="1" t="s">
        <v>64</v>
      </c>
    </row>
    <row r="207" spans="1:21" x14ac:dyDescent="0.2">
      <c r="A207" s="88" t="s">
        <v>15758</v>
      </c>
      <c r="B207" s="88"/>
      <c r="C207" s="1" t="s">
        <v>824</v>
      </c>
      <c r="D207" s="1" t="s">
        <v>825</v>
      </c>
      <c r="E207" s="1" t="e">
        <v>#N/A</v>
      </c>
      <c r="F207" s="1" t="e">
        <v>#N/A</v>
      </c>
      <c r="G207" t="e">
        <v>#N/A</v>
      </c>
      <c r="H207" s="1" t="e">
        <v>#N/A</v>
      </c>
      <c r="I207" s="1" t="e">
        <v>#N/A</v>
      </c>
      <c r="J207" s="2" t="e">
        <v>#N/A</v>
      </c>
      <c r="K207" s="1" t="e">
        <v>#N/A</v>
      </c>
      <c r="L207" s="1" t="e">
        <v>#N/A</v>
      </c>
      <c r="M207" s="1" t="e">
        <v>#N/A</v>
      </c>
      <c r="N207" s="1" t="e">
        <v>#N/A</v>
      </c>
      <c r="O207" s="1" t="e">
        <v>#N/A</v>
      </c>
      <c r="P207" s="1" t="s">
        <v>8955</v>
      </c>
      <c r="Q207" s="1" t="s">
        <v>8956</v>
      </c>
      <c r="R207" s="1" t="s">
        <v>9103</v>
      </c>
      <c r="S207" s="1" t="s">
        <v>18659</v>
      </c>
      <c r="T207" s="1" t="s">
        <v>252</v>
      </c>
      <c r="U207" s="1" t="s">
        <v>126</v>
      </c>
    </row>
    <row r="208" spans="1:21" x14ac:dyDescent="0.2">
      <c r="A208" s="88" t="s">
        <v>15759</v>
      </c>
      <c r="B208" s="88" t="e">
        <f>VLOOKUP(C208,#REF!,1,0)</f>
        <v>#REF!</v>
      </c>
      <c r="C208" s="1" t="s">
        <v>826</v>
      </c>
      <c r="D208" s="1" t="s">
        <v>827</v>
      </c>
      <c r="E208" s="1" t="s">
        <v>9317</v>
      </c>
      <c r="F208" s="1" t="s">
        <v>8957</v>
      </c>
      <c r="G208" t="s">
        <v>9183</v>
      </c>
      <c r="H208" s="1" t="s">
        <v>9035</v>
      </c>
      <c r="I208" s="1" t="s">
        <v>8998</v>
      </c>
      <c r="J208" s="2" t="s">
        <v>10979</v>
      </c>
      <c r="K208" s="1" t="s">
        <v>21765</v>
      </c>
      <c r="L208" s="1" t="s">
        <v>8951</v>
      </c>
      <c r="M208" s="1">
        <v>220000</v>
      </c>
      <c r="N208" s="1" t="s">
        <v>8953</v>
      </c>
      <c r="O208" s="1" t="s">
        <v>8989</v>
      </c>
      <c r="P208" s="1" t="s">
        <v>8955</v>
      </c>
      <c r="Q208" s="1" t="s">
        <v>8956</v>
      </c>
      <c r="R208" s="1" t="s">
        <v>9103</v>
      </c>
      <c r="S208" s="1" t="s">
        <v>828</v>
      </c>
      <c r="T208" s="1" t="s">
        <v>17</v>
      </c>
      <c r="U208" s="1" t="s">
        <v>64</v>
      </c>
    </row>
    <row r="209" spans="1:21" x14ac:dyDescent="0.2">
      <c r="A209" s="88" t="s">
        <v>15760</v>
      </c>
      <c r="B209" s="88" t="e">
        <f>VLOOKUP(C209,#REF!,1,0)</f>
        <v>#REF!</v>
      </c>
      <c r="C209" s="1" t="s">
        <v>829</v>
      </c>
      <c r="D209" s="1" t="s">
        <v>830</v>
      </c>
      <c r="E209" s="1" t="s">
        <v>9465</v>
      </c>
      <c r="F209" s="1" t="s">
        <v>8959</v>
      </c>
      <c r="G209" t="s">
        <v>9061</v>
      </c>
      <c r="H209" s="1" t="s">
        <v>9092</v>
      </c>
      <c r="I209" s="1" t="s">
        <v>9308</v>
      </c>
      <c r="J209" s="2" t="s">
        <v>9036</v>
      </c>
      <c r="K209" s="1" t="s">
        <v>9036</v>
      </c>
      <c r="L209" s="1" t="s">
        <v>8951</v>
      </c>
      <c r="M209" s="1">
        <v>40524</v>
      </c>
      <c r="N209" s="1" t="s">
        <v>8953</v>
      </c>
      <c r="O209" s="1" t="s">
        <v>8989</v>
      </c>
      <c r="P209" s="1" t="s">
        <v>8955</v>
      </c>
      <c r="Q209" s="1" t="s">
        <v>8956</v>
      </c>
      <c r="R209" s="1" t="s">
        <v>8958</v>
      </c>
      <c r="S209" s="1" t="s">
        <v>18660</v>
      </c>
      <c r="T209" s="1" t="s">
        <v>7</v>
      </c>
      <c r="U209" s="1" t="s">
        <v>831</v>
      </c>
    </row>
    <row r="210" spans="1:21" x14ac:dyDescent="0.2">
      <c r="A210" s="88" t="s">
        <v>15761</v>
      </c>
      <c r="B210" s="88" t="e">
        <f>VLOOKUP(C210,#REF!,1,0)</f>
        <v>#REF!</v>
      </c>
      <c r="C210" s="1" t="s">
        <v>832</v>
      </c>
      <c r="D210" s="1" t="s">
        <v>833</v>
      </c>
      <c r="E210" s="1" t="s">
        <v>9246</v>
      </c>
      <c r="F210" s="1" t="s">
        <v>8959</v>
      </c>
      <c r="G210" t="s">
        <v>9061</v>
      </c>
      <c r="H210" s="1" t="s">
        <v>9605</v>
      </c>
      <c r="I210" s="1" t="s">
        <v>9155</v>
      </c>
      <c r="J210" s="2" t="s">
        <v>9036</v>
      </c>
      <c r="K210" s="1" t="s">
        <v>9036</v>
      </c>
      <c r="L210" s="1" t="s">
        <v>9133</v>
      </c>
      <c r="M210" s="1">
        <v>78</v>
      </c>
      <c r="N210" s="1" t="s">
        <v>9059</v>
      </c>
      <c r="O210" s="1" t="s">
        <v>8954</v>
      </c>
      <c r="P210" s="1" t="s">
        <v>8955</v>
      </c>
      <c r="Q210" s="1" t="s">
        <v>8956</v>
      </c>
      <c r="R210" s="1" t="s">
        <v>9103</v>
      </c>
      <c r="S210" s="1" t="s">
        <v>834</v>
      </c>
      <c r="T210" s="1" t="s">
        <v>11</v>
      </c>
      <c r="U210" s="1" t="s">
        <v>835</v>
      </c>
    </row>
    <row r="211" spans="1:21" x14ac:dyDescent="0.2">
      <c r="A211" s="88" t="s">
        <v>15762</v>
      </c>
      <c r="B211" s="88" t="e">
        <f>VLOOKUP(C211,#REF!,1,0)</f>
        <v>#REF!</v>
      </c>
      <c r="C211" s="1" t="s">
        <v>836</v>
      </c>
      <c r="D211" s="1" t="s">
        <v>837</v>
      </c>
      <c r="E211" s="1" t="s">
        <v>9246</v>
      </c>
      <c r="F211" s="1" t="s">
        <v>8959</v>
      </c>
      <c r="G211" t="s">
        <v>8959</v>
      </c>
      <c r="H211" s="1" t="s">
        <v>8984</v>
      </c>
      <c r="I211" s="1" t="s">
        <v>8998</v>
      </c>
      <c r="J211" s="2" t="s">
        <v>10492</v>
      </c>
      <c r="K211" s="1" t="s">
        <v>10492</v>
      </c>
      <c r="L211" s="1" t="s">
        <v>21600</v>
      </c>
      <c r="M211" s="1">
        <v>1995</v>
      </c>
      <c r="N211" s="1" t="s">
        <v>8953</v>
      </c>
      <c r="O211" s="1" t="s">
        <v>8954</v>
      </c>
      <c r="P211" s="1" t="s">
        <v>8955</v>
      </c>
      <c r="Q211" s="1" t="s">
        <v>8956</v>
      </c>
      <c r="R211" s="1" t="s">
        <v>8975</v>
      </c>
      <c r="S211" s="1" t="s">
        <v>18661</v>
      </c>
      <c r="T211" s="1" t="s">
        <v>7</v>
      </c>
      <c r="U211" s="1" t="s">
        <v>378</v>
      </c>
    </row>
    <row r="212" spans="1:21" x14ac:dyDescent="0.2">
      <c r="A212" s="88" t="s">
        <v>15764</v>
      </c>
      <c r="B212" s="88" t="e">
        <f>VLOOKUP(C212,#REF!,1,0)</f>
        <v>#REF!</v>
      </c>
      <c r="C212" s="1" t="s">
        <v>840</v>
      </c>
      <c r="D212" s="1" t="s">
        <v>841</v>
      </c>
      <c r="E212" s="1" t="s">
        <v>9636</v>
      </c>
      <c r="F212" s="1" t="s">
        <v>8957</v>
      </c>
      <c r="G212" t="s">
        <v>9183</v>
      </c>
      <c r="H212" s="1" t="s">
        <v>9049</v>
      </c>
      <c r="I212" s="1" t="s">
        <v>9325</v>
      </c>
      <c r="J212" s="2" t="s">
        <v>10218</v>
      </c>
      <c r="K212" s="1" t="s">
        <v>10218</v>
      </c>
      <c r="L212" s="1" t="s">
        <v>8951</v>
      </c>
      <c r="M212" s="1">
        <v>14336</v>
      </c>
      <c r="N212" s="1" t="s">
        <v>8953</v>
      </c>
      <c r="O212" s="1" t="s">
        <v>8954</v>
      </c>
      <c r="P212" s="1" t="s">
        <v>8955</v>
      </c>
      <c r="Q212" s="1" t="s">
        <v>8956</v>
      </c>
      <c r="R212" s="1" t="s">
        <v>8975</v>
      </c>
      <c r="S212" s="1" t="s">
        <v>842</v>
      </c>
      <c r="T212" s="1" t="s">
        <v>17</v>
      </c>
      <c r="U212" s="1" t="s">
        <v>61</v>
      </c>
    </row>
    <row r="213" spans="1:21" x14ac:dyDescent="0.2">
      <c r="A213" s="88" t="s">
        <v>15765</v>
      </c>
      <c r="B213" s="88" t="e">
        <f>VLOOKUP(C213,#REF!,1,0)</f>
        <v>#REF!</v>
      </c>
      <c r="C213" s="1" t="s">
        <v>843</v>
      </c>
      <c r="D213" s="1" t="s">
        <v>844</v>
      </c>
      <c r="E213" s="1" t="s">
        <v>9317</v>
      </c>
      <c r="F213" s="1" t="s">
        <v>8957</v>
      </c>
      <c r="G213" t="s">
        <v>8959</v>
      </c>
      <c r="H213" s="1" t="s">
        <v>9100</v>
      </c>
      <c r="I213" s="1" t="s">
        <v>8949</v>
      </c>
      <c r="J213" s="2" t="s">
        <v>9316</v>
      </c>
      <c r="K213" s="1" t="s">
        <v>9316</v>
      </c>
      <c r="L213" s="1" t="s">
        <v>8987</v>
      </c>
      <c r="M213" s="1">
        <v>969</v>
      </c>
      <c r="N213" s="1" t="s">
        <v>9059</v>
      </c>
      <c r="O213" s="1" t="s">
        <v>8989</v>
      </c>
      <c r="P213" s="1" t="s">
        <v>8955</v>
      </c>
      <c r="Q213" s="1" t="s">
        <v>8956</v>
      </c>
      <c r="R213" s="1" t="s">
        <v>8958</v>
      </c>
      <c r="S213" s="1" t="s">
        <v>845</v>
      </c>
      <c r="T213" s="1" t="s">
        <v>17</v>
      </c>
      <c r="U213" s="1" t="s">
        <v>846</v>
      </c>
    </row>
    <row r="214" spans="1:21" x14ac:dyDescent="0.2">
      <c r="A214" s="88" t="s">
        <v>15766</v>
      </c>
      <c r="B214" s="88" t="e">
        <f>VLOOKUP(C214,#REF!,1,0)</f>
        <v>#REF!</v>
      </c>
      <c r="C214" s="1" t="s">
        <v>851</v>
      </c>
      <c r="D214" s="1" t="s">
        <v>852</v>
      </c>
      <c r="E214" s="1" t="s">
        <v>10032</v>
      </c>
      <c r="F214" s="1" t="s">
        <v>8959</v>
      </c>
      <c r="G214" t="s">
        <v>8959</v>
      </c>
      <c r="H214" s="1" t="s">
        <v>9035</v>
      </c>
      <c r="I214" s="1" t="s">
        <v>9308</v>
      </c>
      <c r="J214" s="2" t="s">
        <v>20723</v>
      </c>
      <c r="K214" s="1" t="s">
        <v>20723</v>
      </c>
      <c r="L214" s="1" t="s">
        <v>8951</v>
      </c>
      <c r="M214" s="1">
        <v>22120</v>
      </c>
      <c r="N214" s="1" t="s">
        <v>8953</v>
      </c>
      <c r="O214" s="1" t="s">
        <v>8989</v>
      </c>
      <c r="P214" s="1" t="s">
        <v>8955</v>
      </c>
      <c r="Q214" s="1" t="s">
        <v>8956</v>
      </c>
      <c r="R214" s="1" t="s">
        <v>9103</v>
      </c>
      <c r="S214" s="1" t="s">
        <v>18663</v>
      </c>
      <c r="T214" s="1" t="s">
        <v>7</v>
      </c>
      <c r="U214" s="1" t="s">
        <v>853</v>
      </c>
    </row>
    <row r="215" spans="1:21" x14ac:dyDescent="0.2">
      <c r="A215" s="88" t="s">
        <v>15767</v>
      </c>
      <c r="B215" s="88" t="e">
        <f>VLOOKUP(C215,#REF!,1,0)</f>
        <v>#REF!</v>
      </c>
      <c r="C215" s="1" t="s">
        <v>854</v>
      </c>
      <c r="D215" s="1" t="s">
        <v>855</v>
      </c>
      <c r="E215" s="1" t="s">
        <v>9176</v>
      </c>
      <c r="F215" s="1" t="s">
        <v>8957</v>
      </c>
      <c r="G215" t="s">
        <v>9061</v>
      </c>
      <c r="H215" s="1" t="s">
        <v>8948</v>
      </c>
      <c r="I215" s="1" t="s">
        <v>8949</v>
      </c>
      <c r="J215" s="2" t="s">
        <v>8972</v>
      </c>
      <c r="K215" s="1" t="s">
        <v>8972</v>
      </c>
      <c r="L215" s="1" t="s">
        <v>9076</v>
      </c>
      <c r="M215" s="1">
        <v>2</v>
      </c>
      <c r="N215" s="1" t="s">
        <v>9059</v>
      </c>
      <c r="O215" s="1" t="s">
        <v>8954</v>
      </c>
      <c r="P215" s="1" t="s">
        <v>8955</v>
      </c>
      <c r="Q215" s="1" t="s">
        <v>8956</v>
      </c>
      <c r="R215" s="1" t="s">
        <v>8975</v>
      </c>
      <c r="S215" s="1" t="s">
        <v>856</v>
      </c>
      <c r="T215" s="1" t="s">
        <v>17</v>
      </c>
      <c r="U215" s="1" t="s">
        <v>857</v>
      </c>
    </row>
    <row r="216" spans="1:21" x14ac:dyDescent="0.2">
      <c r="A216" s="88" t="s">
        <v>15768</v>
      </c>
      <c r="B216" s="88" t="e">
        <f>VLOOKUP(C216,#REF!,1,0)</f>
        <v>#REF!</v>
      </c>
      <c r="C216" s="1" t="s">
        <v>858</v>
      </c>
      <c r="D216" s="1" t="s">
        <v>859</v>
      </c>
      <c r="E216" s="1" t="s">
        <v>9176</v>
      </c>
      <c r="F216" s="1" t="s">
        <v>9060</v>
      </c>
      <c r="G216" t="s">
        <v>9061</v>
      </c>
      <c r="H216" s="1" t="s">
        <v>8948</v>
      </c>
      <c r="I216" s="1" t="s">
        <v>8949</v>
      </c>
      <c r="J216" s="2" t="s">
        <v>9523</v>
      </c>
      <c r="K216" s="1" t="s">
        <v>9523</v>
      </c>
      <c r="L216" s="1" t="s">
        <v>9292</v>
      </c>
      <c r="M216" s="1">
        <v>27</v>
      </c>
      <c r="N216" s="1" t="s">
        <v>9059</v>
      </c>
      <c r="O216" s="1" t="s">
        <v>8989</v>
      </c>
      <c r="P216" s="1" t="s">
        <v>8955</v>
      </c>
      <c r="Q216" s="1" t="s">
        <v>8956</v>
      </c>
      <c r="R216" s="1" t="s">
        <v>8975</v>
      </c>
      <c r="S216" s="1" t="s">
        <v>860</v>
      </c>
      <c r="T216" s="1" t="s">
        <v>17</v>
      </c>
      <c r="U216" s="1" t="s">
        <v>392</v>
      </c>
    </row>
    <row r="217" spans="1:21" x14ac:dyDescent="0.2">
      <c r="A217" s="88" t="s">
        <v>15769</v>
      </c>
      <c r="B217" s="88" t="e">
        <f>VLOOKUP(C217,#REF!,1,0)</f>
        <v>#REF!</v>
      </c>
      <c r="C217" s="1" t="s">
        <v>861</v>
      </c>
      <c r="D217" s="1" t="s">
        <v>862</v>
      </c>
      <c r="E217" s="1" t="s">
        <v>18502</v>
      </c>
      <c r="F217" s="1" t="s">
        <v>8959</v>
      </c>
      <c r="G217" t="s">
        <v>9183</v>
      </c>
      <c r="H217" s="1" t="s">
        <v>9092</v>
      </c>
      <c r="I217" s="1" t="s">
        <v>9308</v>
      </c>
      <c r="J217" s="2" t="s">
        <v>20723</v>
      </c>
      <c r="K217" s="1" t="s">
        <v>21659</v>
      </c>
      <c r="L217" s="1" t="s">
        <v>8951</v>
      </c>
      <c r="M217" s="1">
        <v>252</v>
      </c>
      <c r="N217" s="1" t="s">
        <v>8953</v>
      </c>
      <c r="O217" s="1" t="s">
        <v>8989</v>
      </c>
      <c r="P217" s="1" t="s">
        <v>8955</v>
      </c>
      <c r="Q217" s="1" t="s">
        <v>8956</v>
      </c>
      <c r="R217" s="1" t="s">
        <v>8958</v>
      </c>
      <c r="S217" s="1" t="s">
        <v>18664</v>
      </c>
      <c r="T217" s="1" t="s">
        <v>7</v>
      </c>
      <c r="U217" s="1" t="s">
        <v>863</v>
      </c>
    </row>
    <row r="218" spans="1:21" x14ac:dyDescent="0.2">
      <c r="A218" s="88" t="s">
        <v>15770</v>
      </c>
      <c r="B218" s="88" t="e">
        <f>VLOOKUP(C218,#REF!,1,0)</f>
        <v>#REF!</v>
      </c>
      <c r="C218" s="1" t="s">
        <v>864</v>
      </c>
      <c r="D218" s="1" t="s">
        <v>865</v>
      </c>
      <c r="E218" s="1" t="s">
        <v>18502</v>
      </c>
      <c r="F218" s="1" t="s">
        <v>9060</v>
      </c>
      <c r="G218" t="s">
        <v>9183</v>
      </c>
      <c r="H218" s="1" t="s">
        <v>9605</v>
      </c>
      <c r="I218" s="1" t="s">
        <v>8959</v>
      </c>
      <c r="J218" s="2" t="s">
        <v>9036</v>
      </c>
      <c r="K218" s="1" t="s">
        <v>9036</v>
      </c>
      <c r="L218" s="1" t="s">
        <v>8987</v>
      </c>
      <c r="M218" s="1">
        <v>3469</v>
      </c>
      <c r="N218" s="1" t="s">
        <v>8953</v>
      </c>
      <c r="O218" s="1" t="s">
        <v>8989</v>
      </c>
      <c r="P218" s="1" t="s">
        <v>8955</v>
      </c>
      <c r="Q218" s="1" t="s">
        <v>8956</v>
      </c>
      <c r="R218" s="1" t="s">
        <v>9103</v>
      </c>
      <c r="S218" s="1"/>
      <c r="T218" s="1">
        <v>2019</v>
      </c>
      <c r="U218" s="1"/>
    </row>
    <row r="219" spans="1:21" x14ac:dyDescent="0.2">
      <c r="A219" s="88" t="s">
        <v>15771</v>
      </c>
      <c r="B219" s="88" t="e">
        <f>VLOOKUP(C219,#REF!,1,0)</f>
        <v>#REF!</v>
      </c>
      <c r="C219" s="1" t="s">
        <v>869</v>
      </c>
      <c r="D219" s="1" t="s">
        <v>870</v>
      </c>
      <c r="E219" s="1" t="s">
        <v>9317</v>
      </c>
      <c r="F219" s="1" t="s">
        <v>8957</v>
      </c>
      <c r="G219" t="s">
        <v>9061</v>
      </c>
      <c r="H219" s="1" t="s">
        <v>9154</v>
      </c>
      <c r="I219" s="1" t="s">
        <v>8949</v>
      </c>
      <c r="J219" s="2" t="s">
        <v>10492</v>
      </c>
      <c r="K219" s="1" t="s">
        <v>10492</v>
      </c>
      <c r="L219" s="1" t="s">
        <v>8951</v>
      </c>
      <c r="M219" s="1">
        <v>50</v>
      </c>
      <c r="N219" s="1" t="s">
        <v>9059</v>
      </c>
      <c r="O219" s="1" t="s">
        <v>8989</v>
      </c>
      <c r="P219" s="1" t="s">
        <v>8955</v>
      </c>
      <c r="Q219" s="1" t="s">
        <v>8956</v>
      </c>
      <c r="R219" s="1" t="s">
        <v>8975</v>
      </c>
      <c r="S219" s="1" t="s">
        <v>18666</v>
      </c>
      <c r="T219" s="1" t="s">
        <v>7</v>
      </c>
      <c r="U219" s="1" t="s">
        <v>871</v>
      </c>
    </row>
    <row r="220" spans="1:21" x14ac:dyDescent="0.2">
      <c r="A220" s="88" t="s">
        <v>15772</v>
      </c>
      <c r="B220" s="88" t="e">
        <f>VLOOKUP(C220,#REF!,1,0)</f>
        <v>#REF!</v>
      </c>
      <c r="C220" s="1" t="s">
        <v>872</v>
      </c>
      <c r="D220" s="1" t="s">
        <v>873</v>
      </c>
      <c r="E220" s="1" t="s">
        <v>9317</v>
      </c>
      <c r="F220" s="1" t="s">
        <v>8959</v>
      </c>
      <c r="G220" t="s">
        <v>9183</v>
      </c>
      <c r="H220" s="1" t="s">
        <v>8948</v>
      </c>
      <c r="I220" s="1" t="s">
        <v>8949</v>
      </c>
      <c r="J220" s="2" t="s">
        <v>10492</v>
      </c>
      <c r="K220" s="1" t="s">
        <v>21645</v>
      </c>
      <c r="L220" s="1" t="s">
        <v>21600</v>
      </c>
      <c r="M220" s="1">
        <v>509</v>
      </c>
      <c r="N220" s="1" t="s">
        <v>9059</v>
      </c>
      <c r="O220" s="1" t="s">
        <v>8989</v>
      </c>
      <c r="P220" s="1" t="s">
        <v>8955</v>
      </c>
      <c r="Q220" s="1" t="s">
        <v>8956</v>
      </c>
      <c r="R220" s="1" t="s">
        <v>8975</v>
      </c>
      <c r="S220" s="1" t="s">
        <v>20558</v>
      </c>
      <c r="T220" s="1" t="s">
        <v>7</v>
      </c>
      <c r="U220" s="1" t="s">
        <v>134</v>
      </c>
    </row>
    <row r="221" spans="1:21" x14ac:dyDescent="0.2">
      <c r="A221" s="88" t="s">
        <v>15773</v>
      </c>
      <c r="B221" s="88" t="e">
        <f>VLOOKUP(C221,#REF!,1,0)</f>
        <v>#VALUE!</v>
      </c>
      <c r="C221" s="1" t="s">
        <v>874</v>
      </c>
      <c r="D221" s="1" t="s">
        <v>875</v>
      </c>
      <c r="E221" s="1" t="s">
        <v>18502</v>
      </c>
      <c r="F221" s="1" t="s">
        <v>8957</v>
      </c>
      <c r="G221" t="s">
        <v>9061</v>
      </c>
      <c r="H221" s="1" t="s">
        <v>9092</v>
      </c>
      <c r="I221" s="1" t="s">
        <v>9725</v>
      </c>
      <c r="J221" s="2" t="s">
        <v>10492</v>
      </c>
      <c r="K221" s="1" t="s">
        <v>10492</v>
      </c>
      <c r="L221" s="1" t="s">
        <v>8951</v>
      </c>
      <c r="M221" s="1">
        <v>78</v>
      </c>
      <c r="N221" s="1" t="s">
        <v>9059</v>
      </c>
      <c r="O221" s="1" t="s">
        <v>8989</v>
      </c>
      <c r="P221" s="1" t="s">
        <v>8955</v>
      </c>
      <c r="Q221" s="1" t="s">
        <v>8956</v>
      </c>
      <c r="R221" s="1" t="s">
        <v>8975</v>
      </c>
      <c r="S221" s="1" t="s">
        <v>18667</v>
      </c>
      <c r="T221" s="1" t="s">
        <v>17</v>
      </c>
      <c r="U221" s="1" t="s">
        <v>876</v>
      </c>
    </row>
    <row r="222" spans="1:21" x14ac:dyDescent="0.2">
      <c r="A222" s="88" t="s">
        <v>15774</v>
      </c>
      <c r="B222" s="88" t="e">
        <f>VLOOKUP(C222,#REF!,1,0)</f>
        <v>#REF!</v>
      </c>
      <c r="C222" s="1" t="s">
        <v>877</v>
      </c>
      <c r="D222" s="1" t="s">
        <v>878</v>
      </c>
      <c r="E222" s="1" t="s">
        <v>10873</v>
      </c>
      <c r="F222" s="1" t="s">
        <v>9060</v>
      </c>
      <c r="G222" t="s">
        <v>9009</v>
      </c>
      <c r="H222" s="1" t="s">
        <v>9100</v>
      </c>
      <c r="I222" s="1" t="s">
        <v>9155</v>
      </c>
      <c r="J222" s="2" t="s">
        <v>9036</v>
      </c>
      <c r="K222" s="1" t="s">
        <v>9036</v>
      </c>
      <c r="L222" s="1" t="s">
        <v>8987</v>
      </c>
      <c r="M222" s="1">
        <v>250</v>
      </c>
      <c r="N222" s="1" t="s">
        <v>8953</v>
      </c>
      <c r="O222" s="1" t="s">
        <v>8989</v>
      </c>
      <c r="P222" s="1" t="s">
        <v>8955</v>
      </c>
      <c r="Q222" s="1" t="s">
        <v>8956</v>
      </c>
      <c r="R222" s="1" t="s">
        <v>8958</v>
      </c>
      <c r="S222" s="1" t="s">
        <v>879</v>
      </c>
      <c r="T222" s="1" t="s">
        <v>4</v>
      </c>
      <c r="U222" s="1" t="s">
        <v>880</v>
      </c>
    </row>
    <row r="223" spans="1:21" x14ac:dyDescent="0.2">
      <c r="A223" s="88" t="s">
        <v>15775</v>
      </c>
      <c r="B223" s="88" t="e">
        <f>VLOOKUP(C223,#REF!,1,0)</f>
        <v>#REF!</v>
      </c>
      <c r="C223" s="1" t="s">
        <v>881</v>
      </c>
      <c r="D223" s="1" t="s">
        <v>882</v>
      </c>
      <c r="E223" s="1" t="s">
        <v>18502</v>
      </c>
      <c r="F223" s="1" t="s">
        <v>8957</v>
      </c>
      <c r="G223" t="s">
        <v>8959</v>
      </c>
      <c r="H223" s="1" t="s">
        <v>20714</v>
      </c>
      <c r="I223" s="1" t="s">
        <v>20725</v>
      </c>
      <c r="J223" s="2" t="s">
        <v>9036</v>
      </c>
      <c r="K223" s="1" t="s">
        <v>9036</v>
      </c>
      <c r="L223" s="1" t="s">
        <v>8951</v>
      </c>
      <c r="M223" s="1">
        <v>4300</v>
      </c>
      <c r="N223" s="1" t="s">
        <v>8953</v>
      </c>
      <c r="O223" s="1" t="s">
        <v>8989</v>
      </c>
      <c r="P223" s="1" t="s">
        <v>8955</v>
      </c>
      <c r="Q223" s="1" t="s">
        <v>8956</v>
      </c>
      <c r="R223" s="1" t="s">
        <v>8958</v>
      </c>
      <c r="S223" s="1" t="s">
        <v>18668</v>
      </c>
      <c r="T223" s="1" t="s">
        <v>7</v>
      </c>
      <c r="U223" s="1" t="s">
        <v>24</v>
      </c>
    </row>
    <row r="224" spans="1:21" x14ac:dyDescent="0.2">
      <c r="A224" s="88" t="s">
        <v>15777</v>
      </c>
      <c r="B224" s="88" t="e">
        <f>VLOOKUP(C224,#REF!,1,0)</f>
        <v>#REF!</v>
      </c>
      <c r="C224" s="1" t="s">
        <v>885</v>
      </c>
      <c r="D224" s="1" t="s">
        <v>886</v>
      </c>
      <c r="E224" s="1" t="s">
        <v>9010</v>
      </c>
      <c r="F224" s="1" t="s">
        <v>8957</v>
      </c>
      <c r="G224" t="s">
        <v>9061</v>
      </c>
      <c r="H224" s="1" t="s">
        <v>9154</v>
      </c>
      <c r="I224" s="1" t="s">
        <v>8949</v>
      </c>
      <c r="J224" s="2" t="s">
        <v>9918</v>
      </c>
      <c r="K224" s="1" t="s">
        <v>9918</v>
      </c>
      <c r="L224" s="1" t="s">
        <v>21600</v>
      </c>
      <c r="M224" s="1">
        <v>4345</v>
      </c>
      <c r="N224" s="1" t="s">
        <v>8953</v>
      </c>
      <c r="O224" s="1" t="s">
        <v>8954</v>
      </c>
      <c r="P224" s="1" t="s">
        <v>8955</v>
      </c>
      <c r="Q224" s="1" t="s">
        <v>8956</v>
      </c>
      <c r="R224" s="1" t="s">
        <v>8975</v>
      </c>
      <c r="S224" s="1" t="s">
        <v>887</v>
      </c>
      <c r="T224" s="1" t="s">
        <v>17</v>
      </c>
      <c r="U224" s="1" t="s">
        <v>571</v>
      </c>
    </row>
    <row r="225" spans="1:21" x14ac:dyDescent="0.2">
      <c r="A225" s="88" t="s">
        <v>15778</v>
      </c>
      <c r="B225" s="88" t="e">
        <f>VLOOKUP(C225,#REF!,1,0)</f>
        <v>#REF!</v>
      </c>
      <c r="C225" s="1" t="s">
        <v>892</v>
      </c>
      <c r="D225" s="1" t="s">
        <v>893</v>
      </c>
      <c r="E225" s="1" t="s">
        <v>20750</v>
      </c>
      <c r="F225" s="1" t="s">
        <v>8957</v>
      </c>
      <c r="G225" t="s">
        <v>8959</v>
      </c>
      <c r="H225" s="1" t="s">
        <v>8984</v>
      </c>
      <c r="I225" s="1" t="s">
        <v>8971</v>
      </c>
      <c r="J225" s="2" t="s">
        <v>21543</v>
      </c>
      <c r="K225" s="1" t="s">
        <v>21660</v>
      </c>
      <c r="L225" s="1" t="s">
        <v>9292</v>
      </c>
      <c r="M225" s="1">
        <v>1331</v>
      </c>
      <c r="N225" s="1" t="s">
        <v>8953</v>
      </c>
      <c r="O225" s="1" t="s">
        <v>8989</v>
      </c>
      <c r="P225" s="1" t="s">
        <v>8955</v>
      </c>
      <c r="Q225" s="1" t="s">
        <v>8956</v>
      </c>
      <c r="R225" s="1" t="s">
        <v>8975</v>
      </c>
      <c r="S225" s="1" t="s">
        <v>18670</v>
      </c>
      <c r="T225" s="1" t="s">
        <v>7</v>
      </c>
      <c r="U225" s="1" t="s">
        <v>210</v>
      </c>
    </row>
    <row r="226" spans="1:21" x14ac:dyDescent="0.2">
      <c r="A226" s="88" t="s">
        <v>15779</v>
      </c>
      <c r="B226" s="88" t="e">
        <f>VLOOKUP(C226,#REF!,1,0)</f>
        <v>#REF!</v>
      </c>
      <c r="C226" s="1" t="s">
        <v>894</v>
      </c>
      <c r="D226" s="1" t="s">
        <v>895</v>
      </c>
      <c r="E226" s="1" t="s">
        <v>9317</v>
      </c>
      <c r="F226" s="1" t="s">
        <v>8957</v>
      </c>
      <c r="G226" t="s">
        <v>9183</v>
      </c>
      <c r="H226" s="1" t="s">
        <v>9100</v>
      </c>
      <c r="I226" s="1" t="s">
        <v>8998</v>
      </c>
      <c r="J226" s="2" t="s">
        <v>9041</v>
      </c>
      <c r="K226" s="1" t="s">
        <v>9041</v>
      </c>
      <c r="L226" s="1" t="s">
        <v>21600</v>
      </c>
      <c r="M226" s="1">
        <v>32</v>
      </c>
      <c r="N226" s="1" t="s">
        <v>9059</v>
      </c>
      <c r="O226" s="1" t="s">
        <v>8989</v>
      </c>
      <c r="P226" s="1" t="s">
        <v>8955</v>
      </c>
      <c r="Q226" s="1" t="s">
        <v>8956</v>
      </c>
      <c r="R226" s="1" t="s">
        <v>8958</v>
      </c>
      <c r="S226" s="1" t="s">
        <v>896</v>
      </c>
      <c r="T226" s="1" t="s">
        <v>11</v>
      </c>
      <c r="U226" s="1" t="s">
        <v>64</v>
      </c>
    </row>
    <row r="227" spans="1:21" x14ac:dyDescent="0.2">
      <c r="A227" s="88" t="s">
        <v>15781</v>
      </c>
      <c r="B227" s="88" t="e">
        <f>VLOOKUP(C227,#REF!,1,0)</f>
        <v>#REF!</v>
      </c>
      <c r="C227" s="1" t="s">
        <v>899</v>
      </c>
      <c r="D227" s="1" t="s">
        <v>900</v>
      </c>
      <c r="E227" s="1" t="s">
        <v>9317</v>
      </c>
      <c r="F227" s="1" t="s">
        <v>8957</v>
      </c>
      <c r="G227" t="s">
        <v>8959</v>
      </c>
      <c r="H227" s="1" t="s">
        <v>9035</v>
      </c>
      <c r="I227" s="1" t="s">
        <v>9308</v>
      </c>
      <c r="J227" s="2" t="s">
        <v>20752</v>
      </c>
      <c r="K227" s="1" t="s">
        <v>21661</v>
      </c>
      <c r="L227" s="1" t="s">
        <v>8987</v>
      </c>
      <c r="M227" s="1">
        <v>271070</v>
      </c>
      <c r="N227" s="1" t="s">
        <v>8953</v>
      </c>
      <c r="O227" s="1" t="s">
        <v>8954</v>
      </c>
      <c r="P227" s="1" t="s">
        <v>8955</v>
      </c>
      <c r="Q227" s="1" t="s">
        <v>8956</v>
      </c>
      <c r="R227" s="1" t="s">
        <v>8958</v>
      </c>
      <c r="S227" s="1" t="s">
        <v>18672</v>
      </c>
      <c r="T227" s="1" t="s">
        <v>7</v>
      </c>
      <c r="U227" s="1" t="s">
        <v>24</v>
      </c>
    </row>
    <row r="228" spans="1:21" x14ac:dyDescent="0.2">
      <c r="A228" s="88" t="s">
        <v>15782</v>
      </c>
      <c r="B228" s="88" t="e">
        <f>VLOOKUP(C228,#REF!,1,0)</f>
        <v>#REF!</v>
      </c>
      <c r="C228" s="1" t="s">
        <v>901</v>
      </c>
      <c r="D228" s="1" t="s">
        <v>902</v>
      </c>
      <c r="E228" s="1" t="s">
        <v>10049</v>
      </c>
      <c r="F228" s="1" t="s">
        <v>8957</v>
      </c>
      <c r="G228" t="s">
        <v>8959</v>
      </c>
      <c r="H228" s="1" t="s">
        <v>20712</v>
      </c>
      <c r="I228" s="1" t="s">
        <v>9155</v>
      </c>
      <c r="J228" s="2" t="s">
        <v>10525</v>
      </c>
      <c r="K228" s="1" t="s">
        <v>21650</v>
      </c>
      <c r="L228" s="1" t="s">
        <v>8951</v>
      </c>
      <c r="M228" s="1">
        <v>791</v>
      </c>
      <c r="N228" s="1" t="s">
        <v>8953</v>
      </c>
      <c r="O228" s="1" t="s">
        <v>8954</v>
      </c>
      <c r="P228" s="1" t="s">
        <v>8955</v>
      </c>
      <c r="Q228" s="1" t="s">
        <v>8956</v>
      </c>
      <c r="R228" s="1" t="s">
        <v>9103</v>
      </c>
      <c r="S228" s="1" t="s">
        <v>18673</v>
      </c>
      <c r="T228" s="1" t="s">
        <v>7</v>
      </c>
      <c r="U228" s="1" t="s">
        <v>74</v>
      </c>
    </row>
    <row r="229" spans="1:21" x14ac:dyDescent="0.2">
      <c r="A229" s="88" t="s">
        <v>15783</v>
      </c>
      <c r="B229" s="88" t="e">
        <f>VLOOKUP(C229,#REF!,1,0)</f>
        <v>#REF!</v>
      </c>
      <c r="C229" s="1" t="s">
        <v>903</v>
      </c>
      <c r="D229" s="1" t="s">
        <v>904</v>
      </c>
      <c r="E229" s="1" t="s">
        <v>10873</v>
      </c>
      <c r="F229" s="1" t="s">
        <v>8974</v>
      </c>
      <c r="G229" t="s">
        <v>8959</v>
      </c>
      <c r="H229" s="1" t="s">
        <v>9035</v>
      </c>
      <c r="I229" s="1" t="s">
        <v>9308</v>
      </c>
      <c r="J229" s="2" t="s">
        <v>18489</v>
      </c>
      <c r="K229" s="1" t="s">
        <v>18489</v>
      </c>
      <c r="L229" s="1" t="s">
        <v>8987</v>
      </c>
      <c r="M229" s="1">
        <v>9490</v>
      </c>
      <c r="N229" s="1" t="s">
        <v>8953</v>
      </c>
      <c r="O229" s="1" t="s">
        <v>8954</v>
      </c>
      <c r="P229" s="1" t="s">
        <v>8955</v>
      </c>
      <c r="Q229" s="1" t="s">
        <v>8956</v>
      </c>
      <c r="R229" s="1" t="s">
        <v>8958</v>
      </c>
      <c r="S229" s="1" t="s">
        <v>18674</v>
      </c>
      <c r="T229" s="1" t="s">
        <v>7</v>
      </c>
      <c r="U229" s="1" t="s">
        <v>27</v>
      </c>
    </row>
    <row r="230" spans="1:21" x14ac:dyDescent="0.2">
      <c r="A230" s="88" t="s">
        <v>15785</v>
      </c>
      <c r="B230" s="88" t="e">
        <f>VLOOKUP(C230,#REF!,1,0)</f>
        <v>#REF!</v>
      </c>
      <c r="C230" s="1" t="s">
        <v>908</v>
      </c>
      <c r="D230" s="1" t="s">
        <v>909</v>
      </c>
      <c r="E230" s="1" t="s">
        <v>9317</v>
      </c>
      <c r="F230" s="1" t="s">
        <v>8957</v>
      </c>
      <c r="G230" t="s">
        <v>9009</v>
      </c>
      <c r="H230" s="1" t="s">
        <v>9173</v>
      </c>
      <c r="I230" s="1" t="s">
        <v>9174</v>
      </c>
      <c r="J230" s="2" t="s">
        <v>18497</v>
      </c>
      <c r="K230" s="1" t="s">
        <v>21658</v>
      </c>
      <c r="L230" s="1" t="s">
        <v>8987</v>
      </c>
      <c r="M230" s="1">
        <v>5008</v>
      </c>
      <c r="N230" s="1" t="s">
        <v>8953</v>
      </c>
      <c r="O230" s="1" t="s">
        <v>8989</v>
      </c>
      <c r="P230" s="1" t="s">
        <v>8955</v>
      </c>
      <c r="Q230" s="1" t="s">
        <v>8956</v>
      </c>
      <c r="R230" s="1" t="s">
        <v>8975</v>
      </c>
      <c r="S230" s="1" t="s">
        <v>20559</v>
      </c>
      <c r="T230" s="1" t="s">
        <v>17</v>
      </c>
      <c r="U230" s="1" t="s">
        <v>910</v>
      </c>
    </row>
    <row r="231" spans="1:21" x14ac:dyDescent="0.2">
      <c r="A231" s="88" t="s">
        <v>15786</v>
      </c>
      <c r="B231" s="88" t="e">
        <f>VLOOKUP(C231,#REF!,1,0)</f>
        <v>#REF!</v>
      </c>
      <c r="C231" s="1" t="s">
        <v>911</v>
      </c>
      <c r="D231" s="1" t="s">
        <v>912</v>
      </c>
      <c r="E231" s="1" t="s">
        <v>9317</v>
      </c>
      <c r="F231" s="1" t="s">
        <v>8959</v>
      </c>
      <c r="G231" t="s">
        <v>9009</v>
      </c>
      <c r="H231" s="1" t="s">
        <v>9173</v>
      </c>
      <c r="I231" s="1" t="s">
        <v>9174</v>
      </c>
      <c r="J231" s="2" t="s">
        <v>18497</v>
      </c>
      <c r="K231" s="1" t="s">
        <v>21658</v>
      </c>
      <c r="L231" s="1" t="s">
        <v>8987</v>
      </c>
      <c r="M231" s="1">
        <v>12378</v>
      </c>
      <c r="N231" s="1" t="s">
        <v>8953</v>
      </c>
      <c r="O231" s="1" t="s">
        <v>8954</v>
      </c>
      <c r="P231" s="1" t="s">
        <v>8955</v>
      </c>
      <c r="Q231" s="1" t="s">
        <v>8956</v>
      </c>
      <c r="R231" s="1" t="s">
        <v>8975</v>
      </c>
      <c r="S231" s="1" t="s">
        <v>18676</v>
      </c>
      <c r="T231" s="1" t="s">
        <v>17</v>
      </c>
      <c r="U231" s="1" t="s">
        <v>910</v>
      </c>
    </row>
    <row r="232" spans="1:21" x14ac:dyDescent="0.2">
      <c r="A232" s="88" t="s">
        <v>15788</v>
      </c>
      <c r="B232" s="88" t="e">
        <f>VLOOKUP(C232,#REF!,1,0)</f>
        <v>#REF!</v>
      </c>
      <c r="C232" s="1" t="s">
        <v>915</v>
      </c>
      <c r="D232" s="1" t="s">
        <v>916</v>
      </c>
      <c r="E232" s="80" t="s">
        <v>9317</v>
      </c>
      <c r="F232" s="80" t="s">
        <v>8959</v>
      </c>
      <c r="G232" s="81" t="s">
        <v>8959</v>
      </c>
      <c r="H232" s="80" t="s">
        <v>9173</v>
      </c>
      <c r="I232" s="80" t="s">
        <v>9174</v>
      </c>
      <c r="J232" s="2" t="s">
        <v>18497</v>
      </c>
      <c r="K232" s="1" t="s">
        <v>21658</v>
      </c>
      <c r="L232" s="80" t="s">
        <v>8987</v>
      </c>
      <c r="M232" s="80">
        <v>14016</v>
      </c>
      <c r="N232" s="80" t="s">
        <v>8953</v>
      </c>
      <c r="O232" s="80" t="s">
        <v>8954</v>
      </c>
      <c r="P232" s="1" t="s">
        <v>8955</v>
      </c>
      <c r="Q232" s="1" t="s">
        <v>8956</v>
      </c>
      <c r="R232" s="1" t="s">
        <v>9103</v>
      </c>
      <c r="S232" s="1" t="s">
        <v>18677</v>
      </c>
      <c r="T232" s="1" t="s">
        <v>17</v>
      </c>
      <c r="U232" s="1" t="s">
        <v>110</v>
      </c>
    </row>
    <row r="233" spans="1:21" x14ac:dyDescent="0.2">
      <c r="A233" s="88" t="s">
        <v>15789</v>
      </c>
      <c r="B233" s="88" t="e">
        <f>VLOOKUP(C233,#REF!,1,0)</f>
        <v>#REF!</v>
      </c>
      <c r="C233" s="1" t="s">
        <v>917</v>
      </c>
      <c r="D233" s="1" t="s">
        <v>918</v>
      </c>
      <c r="E233" s="1" t="s">
        <v>9380</v>
      </c>
      <c r="F233" s="1" t="s">
        <v>8957</v>
      </c>
      <c r="G233" t="s">
        <v>8959</v>
      </c>
      <c r="H233" s="1" t="s">
        <v>8948</v>
      </c>
      <c r="I233" s="1" t="s">
        <v>8949</v>
      </c>
      <c r="J233" s="2" t="s">
        <v>14305</v>
      </c>
      <c r="K233" s="1" t="s">
        <v>14305</v>
      </c>
      <c r="L233" s="1" t="s">
        <v>9292</v>
      </c>
      <c r="M233" s="1">
        <v>300</v>
      </c>
      <c r="N233" s="1" t="s">
        <v>8953</v>
      </c>
      <c r="O233" s="1" t="s">
        <v>8989</v>
      </c>
      <c r="P233" s="1" t="s">
        <v>8955</v>
      </c>
      <c r="Q233" s="1" t="s">
        <v>8956</v>
      </c>
      <c r="R233" s="1" t="s">
        <v>9103</v>
      </c>
      <c r="S233" s="1" t="s">
        <v>919</v>
      </c>
      <c r="T233" s="1" t="s">
        <v>920</v>
      </c>
      <c r="U233" s="1" t="s">
        <v>921</v>
      </c>
    </row>
    <row r="234" spans="1:21" x14ac:dyDescent="0.2">
      <c r="A234" s="88" t="s">
        <v>15790</v>
      </c>
      <c r="B234" s="88" t="e">
        <f>VLOOKUP(C234,#REF!,1,0)</f>
        <v>#REF!</v>
      </c>
      <c r="C234" s="1" t="s">
        <v>922</v>
      </c>
      <c r="D234" s="1" t="s">
        <v>923</v>
      </c>
      <c r="E234" s="1" t="s">
        <v>9380</v>
      </c>
      <c r="F234" s="1" t="s">
        <v>8957</v>
      </c>
      <c r="G234" t="s">
        <v>9061</v>
      </c>
      <c r="H234" s="1" t="s">
        <v>9605</v>
      </c>
      <c r="I234" s="1" t="s">
        <v>8949</v>
      </c>
      <c r="J234" s="2" t="s">
        <v>10511</v>
      </c>
      <c r="K234" s="1" t="s">
        <v>10511</v>
      </c>
      <c r="L234" s="1" t="s">
        <v>8987</v>
      </c>
      <c r="M234" s="1">
        <v>356</v>
      </c>
      <c r="N234" s="1" t="s">
        <v>8953</v>
      </c>
      <c r="O234" s="1" t="s">
        <v>8954</v>
      </c>
      <c r="P234" s="1" t="s">
        <v>8955</v>
      </c>
      <c r="Q234" s="1" t="s">
        <v>8956</v>
      </c>
      <c r="R234" s="1" t="s">
        <v>9103</v>
      </c>
      <c r="S234" s="1" t="s">
        <v>919</v>
      </c>
      <c r="T234" s="1" t="s">
        <v>924</v>
      </c>
      <c r="U234" s="1" t="s">
        <v>925</v>
      </c>
    </row>
    <row r="235" spans="1:21" x14ac:dyDescent="0.2">
      <c r="A235" s="88" t="s">
        <v>15791</v>
      </c>
      <c r="B235" s="88" t="e">
        <f>VLOOKUP(C235,#REF!,1,0)</f>
        <v>#REF!</v>
      </c>
      <c r="C235" s="1" t="s">
        <v>926</v>
      </c>
      <c r="D235" s="1" t="s">
        <v>927</v>
      </c>
      <c r="E235" s="1" t="s">
        <v>9380</v>
      </c>
      <c r="F235" s="1" t="s">
        <v>8957</v>
      </c>
      <c r="G235" t="s">
        <v>8959</v>
      </c>
      <c r="H235" s="1" t="s">
        <v>8948</v>
      </c>
      <c r="I235" s="1" t="s">
        <v>8949</v>
      </c>
      <c r="J235" s="2" t="s">
        <v>12500</v>
      </c>
      <c r="K235" s="1" t="s">
        <v>12500</v>
      </c>
      <c r="L235" s="1" t="s">
        <v>9076</v>
      </c>
      <c r="M235" s="1">
        <v>1422</v>
      </c>
      <c r="N235" s="1" t="s">
        <v>8953</v>
      </c>
      <c r="O235" s="1" t="s">
        <v>8989</v>
      </c>
      <c r="P235" s="1" t="s">
        <v>8955</v>
      </c>
      <c r="Q235" s="1" t="s">
        <v>8956</v>
      </c>
      <c r="R235" s="1" t="s">
        <v>8958</v>
      </c>
      <c r="S235" s="1" t="s">
        <v>928</v>
      </c>
      <c r="T235" s="1" t="s">
        <v>929</v>
      </c>
      <c r="U235" s="1" t="s">
        <v>921</v>
      </c>
    </row>
    <row r="236" spans="1:21" x14ac:dyDescent="0.2">
      <c r="A236" s="88" t="s">
        <v>15792</v>
      </c>
      <c r="B236" s="88" t="e">
        <f>VLOOKUP(C236,#REF!,1,0)</f>
        <v>#REF!</v>
      </c>
      <c r="C236" s="1" t="s">
        <v>930</v>
      </c>
      <c r="D236" s="1" t="s">
        <v>931</v>
      </c>
      <c r="E236" s="1" t="s">
        <v>9010</v>
      </c>
      <c r="F236" s="1" t="s">
        <v>8957</v>
      </c>
      <c r="G236" t="s">
        <v>9183</v>
      </c>
      <c r="H236" s="1" t="s">
        <v>9049</v>
      </c>
      <c r="I236" s="1" t="s">
        <v>9050</v>
      </c>
      <c r="J236" s="2" t="s">
        <v>9036</v>
      </c>
      <c r="K236" s="1" t="s">
        <v>9036</v>
      </c>
      <c r="L236" s="1" t="s">
        <v>9133</v>
      </c>
      <c r="M236" s="1">
        <v>100</v>
      </c>
      <c r="N236" s="1" t="s">
        <v>8953</v>
      </c>
      <c r="O236" s="1" t="s">
        <v>8954</v>
      </c>
      <c r="P236" s="1" t="s">
        <v>8955</v>
      </c>
      <c r="Q236" s="1" t="s">
        <v>8956</v>
      </c>
      <c r="R236" s="1" t="s">
        <v>8975</v>
      </c>
      <c r="S236" s="1" t="s">
        <v>932</v>
      </c>
      <c r="T236" s="1" t="s">
        <v>11</v>
      </c>
      <c r="U236" s="1" t="s">
        <v>933</v>
      </c>
    </row>
    <row r="237" spans="1:21" x14ac:dyDescent="0.2">
      <c r="A237" s="88" t="s">
        <v>15793</v>
      </c>
      <c r="B237" s="88" t="e">
        <f>VLOOKUP(C237,#REF!,1,0)</f>
        <v>#REF!</v>
      </c>
      <c r="C237" s="1" t="s">
        <v>934</v>
      </c>
      <c r="D237" s="1" t="s">
        <v>935</v>
      </c>
      <c r="E237" s="1" t="s">
        <v>10049</v>
      </c>
      <c r="F237" s="1" t="s">
        <v>8959</v>
      </c>
      <c r="G237" t="s">
        <v>8959</v>
      </c>
      <c r="H237" s="1" t="s">
        <v>9035</v>
      </c>
      <c r="I237" s="1" t="s">
        <v>9308</v>
      </c>
      <c r="J237" s="2" t="s">
        <v>10525</v>
      </c>
      <c r="K237" s="1" t="s">
        <v>10525</v>
      </c>
      <c r="L237" s="1" t="s">
        <v>8951</v>
      </c>
      <c r="M237" s="1">
        <v>6523</v>
      </c>
      <c r="N237" s="1" t="s">
        <v>8953</v>
      </c>
      <c r="O237" s="1" t="s">
        <v>8954</v>
      </c>
      <c r="P237" s="1" t="s">
        <v>8955</v>
      </c>
      <c r="Q237" s="1" t="s">
        <v>8956</v>
      </c>
      <c r="R237" s="1" t="s">
        <v>9103</v>
      </c>
      <c r="S237" s="1" t="s">
        <v>18678</v>
      </c>
      <c r="T237" s="1" t="s">
        <v>7</v>
      </c>
      <c r="U237" s="1" t="s">
        <v>184</v>
      </c>
    </row>
    <row r="238" spans="1:21" x14ac:dyDescent="0.2">
      <c r="A238" s="88" t="s">
        <v>15794</v>
      </c>
      <c r="B238" s="88" t="e">
        <f>VLOOKUP(C238,#REF!,1,0)</f>
        <v>#REF!</v>
      </c>
      <c r="C238" s="1" t="s">
        <v>936</v>
      </c>
      <c r="D238" s="1" t="s">
        <v>937</v>
      </c>
      <c r="E238" s="1" t="s">
        <v>11671</v>
      </c>
      <c r="F238" s="1" t="s">
        <v>9060</v>
      </c>
      <c r="G238" t="s">
        <v>9061</v>
      </c>
      <c r="H238" s="1" t="s">
        <v>8948</v>
      </c>
      <c r="I238" s="1" t="s">
        <v>8949</v>
      </c>
      <c r="J238" s="2" t="s">
        <v>10492</v>
      </c>
      <c r="K238" s="1" t="s">
        <v>10492</v>
      </c>
      <c r="L238" s="1" t="s">
        <v>21600</v>
      </c>
      <c r="M238" s="1">
        <v>54</v>
      </c>
      <c r="N238" s="1" t="s">
        <v>8953</v>
      </c>
      <c r="O238" s="1" t="s">
        <v>8989</v>
      </c>
      <c r="P238" s="1" t="s">
        <v>8955</v>
      </c>
      <c r="Q238" s="1" t="s">
        <v>8956</v>
      </c>
      <c r="R238" s="1" t="s">
        <v>8958</v>
      </c>
      <c r="S238" s="1" t="s">
        <v>18679</v>
      </c>
      <c r="T238" s="1" t="s">
        <v>7</v>
      </c>
      <c r="U238" s="1" t="s">
        <v>938</v>
      </c>
    </row>
    <row r="239" spans="1:21" x14ac:dyDescent="0.2">
      <c r="A239" s="88" t="s">
        <v>15795</v>
      </c>
      <c r="B239" s="88" t="e">
        <f>VLOOKUP(C239,#REF!,1,0)</f>
        <v>#REF!</v>
      </c>
      <c r="C239" s="1" t="s">
        <v>943</v>
      </c>
      <c r="D239" s="1" t="s">
        <v>944</v>
      </c>
      <c r="E239" s="1" t="s">
        <v>18502</v>
      </c>
      <c r="F239" s="1" t="s">
        <v>8974</v>
      </c>
      <c r="G239" t="s">
        <v>9061</v>
      </c>
      <c r="H239" s="1" t="s">
        <v>9943</v>
      </c>
      <c r="I239" s="1" t="s">
        <v>8971</v>
      </c>
      <c r="J239" s="2" t="s">
        <v>10381</v>
      </c>
      <c r="K239" s="1" t="s">
        <v>10381</v>
      </c>
      <c r="L239" s="1" t="s">
        <v>9133</v>
      </c>
      <c r="M239" s="1">
        <v>1377</v>
      </c>
      <c r="N239" s="1" t="s">
        <v>8953</v>
      </c>
      <c r="O239" s="1" t="s">
        <v>8989</v>
      </c>
      <c r="P239" s="1" t="s">
        <v>8955</v>
      </c>
      <c r="Q239" s="1" t="s">
        <v>8956</v>
      </c>
      <c r="R239" s="1" t="s">
        <v>8958</v>
      </c>
      <c r="S239" s="1" t="s">
        <v>18681</v>
      </c>
      <c r="T239" s="1" t="s">
        <v>17</v>
      </c>
      <c r="U239" s="1" t="s">
        <v>180</v>
      </c>
    </row>
    <row r="240" spans="1:21" x14ac:dyDescent="0.2">
      <c r="A240" s="88" t="s">
        <v>15796</v>
      </c>
      <c r="B240" s="88" t="e">
        <f>VLOOKUP(C240,#REF!,1,0)</f>
        <v>#REF!</v>
      </c>
      <c r="C240" s="1" t="s">
        <v>945</v>
      </c>
      <c r="D240" s="1" t="s">
        <v>946</v>
      </c>
      <c r="E240" s="1" t="s">
        <v>14748</v>
      </c>
      <c r="F240" s="1" t="s">
        <v>8957</v>
      </c>
      <c r="G240" t="s">
        <v>8959</v>
      </c>
      <c r="H240" s="1" t="s">
        <v>8984</v>
      </c>
      <c r="I240" s="1" t="s">
        <v>8998</v>
      </c>
      <c r="J240" s="2" t="s">
        <v>9036</v>
      </c>
      <c r="K240" s="1" t="s">
        <v>9036</v>
      </c>
      <c r="L240" s="1" t="s">
        <v>8987</v>
      </c>
      <c r="M240" s="1">
        <v>2234</v>
      </c>
      <c r="N240" s="1" t="s">
        <v>8953</v>
      </c>
      <c r="O240" s="1" t="s">
        <v>8954</v>
      </c>
      <c r="P240" s="1" t="s">
        <v>8955</v>
      </c>
      <c r="Q240" s="1" t="s">
        <v>8956</v>
      </c>
      <c r="R240" s="1" t="s">
        <v>8958</v>
      </c>
      <c r="S240" s="1" t="s">
        <v>947</v>
      </c>
      <c r="T240" s="1" t="s">
        <v>7</v>
      </c>
      <c r="U240" s="1" t="s">
        <v>948</v>
      </c>
    </row>
    <row r="241" spans="1:21" x14ac:dyDescent="0.2">
      <c r="A241" s="88" t="s">
        <v>15797</v>
      </c>
      <c r="B241" s="88" t="e">
        <f>VLOOKUP(C241,#REF!,1,0)</f>
        <v>#REF!</v>
      </c>
      <c r="C241" s="1" t="s">
        <v>949</v>
      </c>
      <c r="D241" s="1" t="s">
        <v>950</v>
      </c>
      <c r="E241" s="1" t="s">
        <v>9317</v>
      </c>
      <c r="F241" s="1" t="s">
        <v>8957</v>
      </c>
      <c r="G241" t="s">
        <v>8959</v>
      </c>
      <c r="H241" s="1" t="s">
        <v>9605</v>
      </c>
      <c r="I241" s="1" t="s">
        <v>9101</v>
      </c>
      <c r="J241" s="2" t="s">
        <v>9679</v>
      </c>
      <c r="K241" s="1" t="s">
        <v>9679</v>
      </c>
      <c r="L241" s="1" t="s">
        <v>9292</v>
      </c>
      <c r="M241" s="1">
        <v>78</v>
      </c>
      <c r="N241" s="1" t="s">
        <v>8953</v>
      </c>
      <c r="O241" s="1" t="s">
        <v>8989</v>
      </c>
      <c r="P241" s="1" t="s">
        <v>8955</v>
      </c>
      <c r="Q241" s="1" t="s">
        <v>8956</v>
      </c>
      <c r="R241" s="1" t="s">
        <v>8975</v>
      </c>
      <c r="S241" s="1" t="s">
        <v>951</v>
      </c>
      <c r="T241" s="1" t="s">
        <v>4</v>
      </c>
      <c r="U241" s="1" t="s">
        <v>700</v>
      </c>
    </row>
    <row r="242" spans="1:21" x14ac:dyDescent="0.2">
      <c r="A242" s="88" t="s">
        <v>15798</v>
      </c>
      <c r="B242" s="88" t="e">
        <f>VLOOKUP(C242,#REF!,1,0)</f>
        <v>#REF!</v>
      </c>
      <c r="C242" s="1" t="s">
        <v>952</v>
      </c>
      <c r="D242" s="1" t="s">
        <v>953</v>
      </c>
      <c r="E242" s="1" t="s">
        <v>9213</v>
      </c>
      <c r="F242" s="1" t="s">
        <v>8957</v>
      </c>
      <c r="G242" t="s">
        <v>8959</v>
      </c>
      <c r="H242" s="1" t="s">
        <v>9092</v>
      </c>
      <c r="I242" s="1" t="s">
        <v>9308</v>
      </c>
      <c r="J242" s="2" t="s">
        <v>21544</v>
      </c>
      <c r="K242" s="1" t="s">
        <v>21900</v>
      </c>
      <c r="L242" s="1" t="s">
        <v>8987</v>
      </c>
      <c r="M242" s="1">
        <v>1375</v>
      </c>
      <c r="N242" s="1" t="s">
        <v>8953</v>
      </c>
      <c r="O242" s="1" t="s">
        <v>8989</v>
      </c>
      <c r="P242" s="1" t="s">
        <v>8955</v>
      </c>
      <c r="Q242" s="1" t="s">
        <v>8956</v>
      </c>
      <c r="R242" s="1" t="s">
        <v>9103</v>
      </c>
      <c r="S242" s="1" t="s">
        <v>18682</v>
      </c>
      <c r="T242" s="1" t="s">
        <v>17</v>
      </c>
      <c r="U242" s="1" t="s">
        <v>8</v>
      </c>
    </row>
    <row r="243" spans="1:21" x14ac:dyDescent="0.2">
      <c r="A243" s="88" t="s">
        <v>15799</v>
      </c>
      <c r="B243" s="88" t="e">
        <f>VLOOKUP(C243,#REF!,1,0)</f>
        <v>#REF!</v>
      </c>
      <c r="C243" s="1" t="s">
        <v>954</v>
      </c>
      <c r="D243" s="1" t="s">
        <v>955</v>
      </c>
      <c r="E243" s="1" t="s">
        <v>9246</v>
      </c>
      <c r="F243" s="1" t="s">
        <v>8959</v>
      </c>
      <c r="G243" t="s">
        <v>8959</v>
      </c>
      <c r="H243" s="1" t="s">
        <v>9075</v>
      </c>
      <c r="I243" s="1" t="s">
        <v>9422</v>
      </c>
      <c r="J243" s="2" t="s">
        <v>18491</v>
      </c>
      <c r="K243" s="1" t="s">
        <v>18491</v>
      </c>
      <c r="L243" s="1" t="s">
        <v>9133</v>
      </c>
      <c r="M243" s="1">
        <v>6645</v>
      </c>
      <c r="N243" s="1" t="s">
        <v>8953</v>
      </c>
      <c r="O243" s="1" t="s">
        <v>8954</v>
      </c>
      <c r="P243" s="1" t="s">
        <v>8955</v>
      </c>
      <c r="Q243" s="1" t="s">
        <v>8956</v>
      </c>
      <c r="R243" s="1" t="s">
        <v>8975</v>
      </c>
      <c r="S243" s="1" t="s">
        <v>18683</v>
      </c>
      <c r="T243" s="1" t="s">
        <v>7</v>
      </c>
      <c r="U243" s="1" t="s">
        <v>956</v>
      </c>
    </row>
    <row r="244" spans="1:21" x14ac:dyDescent="0.2">
      <c r="A244" s="88" t="s">
        <v>15801</v>
      </c>
      <c r="B244" s="88" t="e">
        <f>VLOOKUP(C244,#REF!,1,0)</f>
        <v>#REF!</v>
      </c>
      <c r="C244" s="1" t="s">
        <v>963</v>
      </c>
      <c r="D244" s="1" t="s">
        <v>964</v>
      </c>
      <c r="E244" s="1" t="s">
        <v>9650</v>
      </c>
      <c r="F244" s="1" t="s">
        <v>8959</v>
      </c>
      <c r="G244" t="s">
        <v>8959</v>
      </c>
      <c r="H244" s="1" t="s">
        <v>9075</v>
      </c>
      <c r="I244" s="1" t="s">
        <v>8971</v>
      </c>
      <c r="J244" s="2" t="s">
        <v>21545</v>
      </c>
      <c r="K244" s="1" t="s">
        <v>21545</v>
      </c>
      <c r="L244" s="1" t="s">
        <v>8987</v>
      </c>
      <c r="M244" s="1">
        <v>12400</v>
      </c>
      <c r="N244" s="1" t="s">
        <v>8953</v>
      </c>
      <c r="O244" s="1" t="s">
        <v>8954</v>
      </c>
      <c r="P244" s="1" t="s">
        <v>8955</v>
      </c>
      <c r="Q244" s="1" t="s">
        <v>8956</v>
      </c>
      <c r="R244" s="1" t="s">
        <v>8958</v>
      </c>
      <c r="S244" s="1" t="s">
        <v>18686</v>
      </c>
      <c r="T244" s="1" t="s">
        <v>7</v>
      </c>
      <c r="U244" s="1" t="s">
        <v>24</v>
      </c>
    </row>
    <row r="245" spans="1:21" x14ac:dyDescent="0.2">
      <c r="A245" s="88" t="s">
        <v>15802</v>
      </c>
      <c r="B245" s="88" t="e">
        <f>VLOOKUP(C245,#REF!,1,0)</f>
        <v>#REF!</v>
      </c>
      <c r="C245" s="1" t="s">
        <v>965</v>
      </c>
      <c r="D245" s="1" t="s">
        <v>966</v>
      </c>
      <c r="E245" s="1" t="s">
        <v>9650</v>
      </c>
      <c r="F245" s="1" t="s">
        <v>8959</v>
      </c>
      <c r="G245" t="s">
        <v>8959</v>
      </c>
      <c r="H245" s="1" t="s">
        <v>9035</v>
      </c>
      <c r="I245" s="1" t="s">
        <v>8971</v>
      </c>
      <c r="J245" s="2" t="s">
        <v>20755</v>
      </c>
      <c r="K245" s="1" t="s">
        <v>20755</v>
      </c>
      <c r="L245" s="1" t="s">
        <v>8987</v>
      </c>
      <c r="M245" s="1">
        <v>790</v>
      </c>
      <c r="N245" s="1" t="s">
        <v>8953</v>
      </c>
      <c r="O245" s="1" t="s">
        <v>8954</v>
      </c>
      <c r="P245" s="1" t="s">
        <v>8955</v>
      </c>
      <c r="Q245" s="1" t="s">
        <v>8956</v>
      </c>
      <c r="R245" s="1" t="s">
        <v>8958</v>
      </c>
      <c r="S245" s="1" t="s">
        <v>18687</v>
      </c>
      <c r="T245" s="1" t="s">
        <v>17</v>
      </c>
      <c r="U245" s="1" t="s">
        <v>24</v>
      </c>
    </row>
    <row r="246" spans="1:21" x14ac:dyDescent="0.2">
      <c r="A246" s="88" t="s">
        <v>15803</v>
      </c>
      <c r="B246" s="88" t="e">
        <f>VLOOKUP(C246,#REF!,1,0)</f>
        <v>#REF!</v>
      </c>
      <c r="C246" s="1" t="s">
        <v>967</v>
      </c>
      <c r="D246" s="1" t="s">
        <v>968</v>
      </c>
      <c r="E246" s="1" t="s">
        <v>9010</v>
      </c>
      <c r="F246" s="1" t="s">
        <v>9060</v>
      </c>
      <c r="G246" t="s">
        <v>8959</v>
      </c>
      <c r="H246" s="1" t="s">
        <v>9092</v>
      </c>
      <c r="I246" s="1" t="s">
        <v>8971</v>
      </c>
      <c r="J246" s="2" t="s">
        <v>9036</v>
      </c>
      <c r="K246" s="1" t="s">
        <v>9036</v>
      </c>
      <c r="L246" s="1" t="s">
        <v>8987</v>
      </c>
      <c r="M246" s="1">
        <v>80</v>
      </c>
      <c r="N246" s="1" t="s">
        <v>9059</v>
      </c>
      <c r="O246" s="1" t="s">
        <v>8989</v>
      </c>
      <c r="P246" s="1" t="s">
        <v>8955</v>
      </c>
      <c r="Q246" s="1" t="s">
        <v>8956</v>
      </c>
      <c r="R246" s="1" t="s">
        <v>8958</v>
      </c>
      <c r="S246" s="1" t="s">
        <v>969</v>
      </c>
      <c r="T246" s="1" t="s">
        <v>4</v>
      </c>
      <c r="U246" s="1" t="s">
        <v>110</v>
      </c>
    </row>
    <row r="247" spans="1:21" x14ac:dyDescent="0.2">
      <c r="A247" s="88" t="s">
        <v>15804</v>
      </c>
      <c r="B247" s="88" t="e">
        <f>VLOOKUP(C247,#REF!,1,0)</f>
        <v>#REF!</v>
      </c>
      <c r="C247" s="1" t="s">
        <v>970</v>
      </c>
      <c r="D247" s="1" t="s">
        <v>971</v>
      </c>
      <c r="E247" s="1" t="s">
        <v>18502</v>
      </c>
      <c r="F247" s="1" t="s">
        <v>8974</v>
      </c>
      <c r="G247" t="s">
        <v>8959</v>
      </c>
      <c r="H247" s="1" t="s">
        <v>9092</v>
      </c>
      <c r="I247" s="1" t="s">
        <v>8971</v>
      </c>
      <c r="J247" s="2" t="s">
        <v>10525</v>
      </c>
      <c r="K247" s="1" t="s">
        <v>10525</v>
      </c>
      <c r="L247" s="1" t="s">
        <v>8951</v>
      </c>
      <c r="M247" s="1">
        <v>3586</v>
      </c>
      <c r="N247" s="1" t="s">
        <v>8953</v>
      </c>
      <c r="O247" s="1" t="s">
        <v>8989</v>
      </c>
      <c r="P247" s="1" t="s">
        <v>8955</v>
      </c>
      <c r="Q247" s="1" t="s">
        <v>8956</v>
      </c>
      <c r="R247" s="1" t="s">
        <v>8958</v>
      </c>
      <c r="S247" s="1" t="s">
        <v>18688</v>
      </c>
      <c r="T247" s="1" t="s">
        <v>17</v>
      </c>
      <c r="U247" s="1" t="s">
        <v>74</v>
      </c>
    </row>
    <row r="248" spans="1:21" x14ac:dyDescent="0.2">
      <c r="A248" s="88" t="s">
        <v>15805</v>
      </c>
      <c r="B248" s="88" t="e">
        <f>VLOOKUP(C248,#REF!,1,0)</f>
        <v>#REF!</v>
      </c>
      <c r="C248" s="1" t="s">
        <v>972</v>
      </c>
      <c r="D248" s="1" t="s">
        <v>973</v>
      </c>
      <c r="E248" s="1" t="s">
        <v>9010</v>
      </c>
      <c r="F248" s="1" t="s">
        <v>8957</v>
      </c>
      <c r="G248" t="s">
        <v>8959</v>
      </c>
      <c r="H248" s="1" t="s">
        <v>9049</v>
      </c>
      <c r="I248" s="1" t="s">
        <v>9050</v>
      </c>
      <c r="J248" s="2" t="s">
        <v>10178</v>
      </c>
      <c r="K248" s="1" t="s">
        <v>21662</v>
      </c>
      <c r="L248" s="1" t="s">
        <v>8987</v>
      </c>
      <c r="M248" s="1">
        <v>5664</v>
      </c>
      <c r="N248" s="1" t="s">
        <v>8953</v>
      </c>
      <c r="O248" s="1" t="s">
        <v>8989</v>
      </c>
      <c r="P248" s="1" t="s">
        <v>8955</v>
      </c>
      <c r="Q248" s="1" t="s">
        <v>8956</v>
      </c>
      <c r="R248" s="1" t="s">
        <v>8958</v>
      </c>
      <c r="S248" s="1" t="s">
        <v>974</v>
      </c>
      <c r="T248" s="1" t="s">
        <v>4</v>
      </c>
      <c r="U248" s="1" t="s">
        <v>74</v>
      </c>
    </row>
    <row r="249" spans="1:21" x14ac:dyDescent="0.2">
      <c r="A249" s="88" t="s">
        <v>15806</v>
      </c>
      <c r="B249" s="88" t="e">
        <f>VLOOKUP(C249,#REF!,1,0)</f>
        <v>#REF!</v>
      </c>
      <c r="C249" s="1" t="s">
        <v>975</v>
      </c>
      <c r="D249" s="1" t="s">
        <v>976</v>
      </c>
      <c r="E249" s="1" t="s">
        <v>18502</v>
      </c>
      <c r="F249" s="1" t="s">
        <v>8957</v>
      </c>
      <c r="G249" t="s">
        <v>9061</v>
      </c>
      <c r="H249" s="1" t="s">
        <v>8984</v>
      </c>
      <c r="I249" s="1" t="s">
        <v>8998</v>
      </c>
      <c r="J249" s="2" t="s">
        <v>10492</v>
      </c>
      <c r="K249" s="1" t="s">
        <v>10492</v>
      </c>
      <c r="L249" s="1" t="s">
        <v>21600</v>
      </c>
      <c r="M249" s="1">
        <v>102</v>
      </c>
      <c r="N249" s="1" t="s">
        <v>9059</v>
      </c>
      <c r="O249" s="1" t="s">
        <v>8989</v>
      </c>
      <c r="P249" s="1" t="s">
        <v>8955</v>
      </c>
      <c r="Q249" s="1" t="s">
        <v>8956</v>
      </c>
      <c r="R249" s="1" t="s">
        <v>8958</v>
      </c>
      <c r="S249" s="1" t="s">
        <v>18689</v>
      </c>
      <c r="T249" s="1" t="s">
        <v>7</v>
      </c>
      <c r="U249" s="1" t="s">
        <v>562</v>
      </c>
    </row>
    <row r="250" spans="1:21" x14ac:dyDescent="0.2">
      <c r="A250" s="88" t="s">
        <v>15807</v>
      </c>
      <c r="B250" s="88" t="e">
        <f>VLOOKUP(C250,#REF!,1,0)</f>
        <v>#REF!</v>
      </c>
      <c r="C250" s="1" t="s">
        <v>984</v>
      </c>
      <c r="D250" s="1" t="s">
        <v>985</v>
      </c>
      <c r="E250" s="1" t="s">
        <v>10049</v>
      </c>
      <c r="F250" s="1" t="s">
        <v>8957</v>
      </c>
      <c r="G250" t="s">
        <v>8959</v>
      </c>
      <c r="H250" s="1" t="s">
        <v>9154</v>
      </c>
      <c r="I250" s="1" t="s">
        <v>9308</v>
      </c>
      <c r="J250" s="2" t="s">
        <v>21265</v>
      </c>
      <c r="K250" s="1" t="s">
        <v>21648</v>
      </c>
      <c r="L250" s="1" t="s">
        <v>8951</v>
      </c>
      <c r="M250" s="1">
        <v>1465</v>
      </c>
      <c r="N250" s="1" t="s">
        <v>8953</v>
      </c>
      <c r="O250" s="1" t="s">
        <v>8989</v>
      </c>
      <c r="P250" s="1" t="s">
        <v>8955</v>
      </c>
      <c r="Q250" s="1" t="s">
        <v>8956</v>
      </c>
      <c r="R250" s="1" t="s">
        <v>9103</v>
      </c>
      <c r="S250" s="1" t="s">
        <v>18692</v>
      </c>
      <c r="T250" s="1" t="s">
        <v>7</v>
      </c>
      <c r="U250" s="1" t="s">
        <v>986</v>
      </c>
    </row>
    <row r="251" spans="1:21" ht="85.5" x14ac:dyDescent="0.2">
      <c r="A251" s="88" t="s">
        <v>15808</v>
      </c>
      <c r="B251" s="88" t="e">
        <f>VLOOKUP(C251,#REF!,1,0)</f>
        <v>#REF!</v>
      </c>
      <c r="C251" s="1" t="s">
        <v>987</v>
      </c>
      <c r="D251" s="1" t="s">
        <v>988</v>
      </c>
      <c r="E251" s="1" t="s">
        <v>9815</v>
      </c>
      <c r="F251" s="1" t="s">
        <v>8957</v>
      </c>
      <c r="G251" t="s">
        <v>8959</v>
      </c>
      <c r="H251" s="1" t="s">
        <v>9075</v>
      </c>
      <c r="I251" s="1" t="s">
        <v>9101</v>
      </c>
      <c r="J251" s="132" t="s">
        <v>21537</v>
      </c>
      <c r="K251" s="1" t="s">
        <v>21537</v>
      </c>
      <c r="L251" s="1" t="s">
        <v>8987</v>
      </c>
      <c r="M251" s="1">
        <v>10163</v>
      </c>
      <c r="N251" s="1" t="s">
        <v>8953</v>
      </c>
      <c r="O251" s="1" t="s">
        <v>8989</v>
      </c>
      <c r="P251" s="1" t="s">
        <v>8955</v>
      </c>
      <c r="Q251" s="1" t="s">
        <v>8956</v>
      </c>
      <c r="R251" s="1" t="s">
        <v>8975</v>
      </c>
      <c r="S251" s="1" t="s">
        <v>18693</v>
      </c>
      <c r="T251" s="1" t="s">
        <v>7</v>
      </c>
      <c r="U251" s="1" t="s">
        <v>24</v>
      </c>
    </row>
    <row r="252" spans="1:21" x14ac:dyDescent="0.2">
      <c r="A252" s="88" t="s">
        <v>15809</v>
      </c>
      <c r="B252" s="88" t="e">
        <f>VLOOKUP(C252,#REF!,1,0)</f>
        <v>#REF!</v>
      </c>
      <c r="C252" s="1" t="s">
        <v>989</v>
      </c>
      <c r="D252" s="1" t="s">
        <v>990</v>
      </c>
      <c r="E252" s="1" t="s">
        <v>12908</v>
      </c>
      <c r="F252" s="1" t="s">
        <v>8957</v>
      </c>
      <c r="G252" t="s">
        <v>9009</v>
      </c>
      <c r="H252" s="1" t="s">
        <v>8984</v>
      </c>
      <c r="I252" s="1" t="s">
        <v>9422</v>
      </c>
      <c r="J252" s="2" t="s">
        <v>9018</v>
      </c>
      <c r="K252" s="1" t="s">
        <v>9018</v>
      </c>
      <c r="L252" s="1" t="s">
        <v>9464</v>
      </c>
      <c r="M252" s="1">
        <v>420</v>
      </c>
      <c r="N252" s="1" t="s">
        <v>9059</v>
      </c>
      <c r="O252" s="1" t="s">
        <v>8989</v>
      </c>
      <c r="P252" s="1" t="s">
        <v>8955</v>
      </c>
      <c r="Q252" s="1" t="s">
        <v>8956</v>
      </c>
      <c r="R252" s="1" t="s">
        <v>8975</v>
      </c>
      <c r="S252" s="1" t="s">
        <v>991</v>
      </c>
      <c r="T252" s="1" t="s">
        <v>11</v>
      </c>
      <c r="U252" s="1" t="s">
        <v>24</v>
      </c>
    </row>
    <row r="253" spans="1:21" x14ac:dyDescent="0.2">
      <c r="A253" s="88" t="s">
        <v>15810</v>
      </c>
      <c r="B253" s="88" t="e">
        <f>VLOOKUP(C253,#REF!,1,0)</f>
        <v>#REF!</v>
      </c>
      <c r="C253" s="1" t="s">
        <v>992</v>
      </c>
      <c r="D253" s="1" t="s">
        <v>993</v>
      </c>
      <c r="E253" s="1" t="s">
        <v>9010</v>
      </c>
      <c r="F253" s="1" t="s">
        <v>8957</v>
      </c>
      <c r="G253" t="s">
        <v>9061</v>
      </c>
      <c r="H253" s="1" t="s">
        <v>9252</v>
      </c>
      <c r="I253" s="1" t="s">
        <v>8971</v>
      </c>
      <c r="J253" s="2" t="s">
        <v>9018</v>
      </c>
      <c r="K253" s="1" t="s">
        <v>9018</v>
      </c>
      <c r="L253" s="1" t="s">
        <v>8987</v>
      </c>
      <c r="M253" s="1">
        <v>1145</v>
      </c>
      <c r="N253" s="1" t="s">
        <v>8953</v>
      </c>
      <c r="O253" s="1" t="s">
        <v>8954</v>
      </c>
      <c r="P253" s="1" t="s">
        <v>8955</v>
      </c>
      <c r="Q253" s="1" t="s">
        <v>8956</v>
      </c>
      <c r="R253" s="1" t="s">
        <v>8958</v>
      </c>
      <c r="S253" s="1" t="s">
        <v>994</v>
      </c>
      <c r="T253" s="1" t="s">
        <v>17</v>
      </c>
      <c r="U253" s="1" t="s">
        <v>93</v>
      </c>
    </row>
    <row r="254" spans="1:21" x14ac:dyDescent="0.2">
      <c r="A254" s="88" t="s">
        <v>15811</v>
      </c>
      <c r="B254" s="88" t="e">
        <f>VLOOKUP(C254,#REF!,1,0)</f>
        <v>#REF!</v>
      </c>
      <c r="C254" s="1" t="s">
        <v>995</v>
      </c>
      <c r="D254" s="1" t="s">
        <v>996</v>
      </c>
      <c r="E254" s="1" t="s">
        <v>10687</v>
      </c>
      <c r="F254" s="1" t="s">
        <v>8959</v>
      </c>
      <c r="G254" t="s">
        <v>9183</v>
      </c>
      <c r="H254" s="1" t="s">
        <v>8984</v>
      </c>
      <c r="I254" s="1" t="s">
        <v>8971</v>
      </c>
      <c r="J254" s="2" t="s">
        <v>9374</v>
      </c>
      <c r="K254" s="1" t="s">
        <v>9374</v>
      </c>
      <c r="L254" s="1" t="s">
        <v>9133</v>
      </c>
      <c r="M254" s="1">
        <v>550</v>
      </c>
      <c r="N254" s="1" t="s">
        <v>8953</v>
      </c>
      <c r="O254" s="1" t="s">
        <v>8989</v>
      </c>
      <c r="P254" s="1" t="s">
        <v>8955</v>
      </c>
      <c r="Q254" s="1" t="s">
        <v>8956</v>
      </c>
      <c r="R254" s="1" t="s">
        <v>8975</v>
      </c>
      <c r="S254" s="1" t="s">
        <v>997</v>
      </c>
      <c r="T254" s="1" t="s">
        <v>11</v>
      </c>
      <c r="U254" s="1" t="s">
        <v>64</v>
      </c>
    </row>
    <row r="255" spans="1:21" x14ac:dyDescent="0.2">
      <c r="A255" s="88" t="s">
        <v>15812</v>
      </c>
      <c r="B255" s="88" t="e">
        <f>VLOOKUP(C255,#REF!,1,0)</f>
        <v>#REF!</v>
      </c>
      <c r="C255" s="1" t="s">
        <v>998</v>
      </c>
      <c r="D255" s="1" t="s">
        <v>999</v>
      </c>
      <c r="E255" s="1" t="s">
        <v>9380</v>
      </c>
      <c r="F255" s="1" t="s">
        <v>8974</v>
      </c>
      <c r="G255" t="s">
        <v>9009</v>
      </c>
      <c r="H255" s="1" t="s">
        <v>8984</v>
      </c>
      <c r="I255" s="1" t="s">
        <v>9131</v>
      </c>
      <c r="J255" s="2" t="s">
        <v>9036</v>
      </c>
      <c r="K255" s="1" t="s">
        <v>9036</v>
      </c>
      <c r="L255" s="1" t="s">
        <v>9157</v>
      </c>
      <c r="M255" s="1">
        <v>125</v>
      </c>
      <c r="N255" s="1" t="s">
        <v>8953</v>
      </c>
      <c r="O255" s="1" t="s">
        <v>8989</v>
      </c>
      <c r="P255" s="1" t="s">
        <v>8955</v>
      </c>
      <c r="Q255" s="1" t="s">
        <v>8956</v>
      </c>
      <c r="R255" s="1" t="s">
        <v>8975</v>
      </c>
      <c r="S255" s="1" t="s">
        <v>1000</v>
      </c>
      <c r="T255" s="1" t="s">
        <v>17</v>
      </c>
      <c r="U255" s="1" t="s">
        <v>1001</v>
      </c>
    </row>
    <row r="256" spans="1:21" x14ac:dyDescent="0.2">
      <c r="A256" s="88" t="s">
        <v>15813</v>
      </c>
      <c r="B256" s="88" t="e">
        <f>VLOOKUP(C256,#REF!,1,0)</f>
        <v>#REF!</v>
      </c>
      <c r="C256" s="1" t="s">
        <v>1002</v>
      </c>
      <c r="D256" s="1" t="s">
        <v>1003</v>
      </c>
      <c r="E256" s="1" t="s">
        <v>10850</v>
      </c>
      <c r="F256" s="1" t="s">
        <v>8959</v>
      </c>
      <c r="G256" t="s">
        <v>9061</v>
      </c>
      <c r="H256" s="1" t="s">
        <v>20714</v>
      </c>
      <c r="I256" s="1" t="s">
        <v>20725</v>
      </c>
      <c r="J256" s="2" t="s">
        <v>20756</v>
      </c>
      <c r="K256" s="1" t="s">
        <v>20756</v>
      </c>
      <c r="L256" s="1" t="s">
        <v>21600</v>
      </c>
      <c r="M256" s="1">
        <v>10240</v>
      </c>
      <c r="N256" s="1" t="s">
        <v>8953</v>
      </c>
      <c r="O256" s="1" t="s">
        <v>8989</v>
      </c>
      <c r="P256" s="1" t="s">
        <v>8955</v>
      </c>
      <c r="Q256" s="1" t="s">
        <v>8956</v>
      </c>
      <c r="R256" s="1" t="s">
        <v>8958</v>
      </c>
      <c r="S256" s="1" t="s">
        <v>18694</v>
      </c>
      <c r="T256" s="1" t="s">
        <v>7</v>
      </c>
      <c r="U256" s="1" t="s">
        <v>46</v>
      </c>
    </row>
    <row r="257" spans="1:21" x14ac:dyDescent="0.2">
      <c r="A257" s="88" t="s">
        <v>15814</v>
      </c>
      <c r="B257" s="88" t="e">
        <f>VLOOKUP(C257,#REF!,1,0)</f>
        <v>#REF!</v>
      </c>
      <c r="C257" s="1" t="s">
        <v>1004</v>
      </c>
      <c r="D257" s="1" t="s">
        <v>1005</v>
      </c>
      <c r="E257" s="1" t="s">
        <v>9310</v>
      </c>
      <c r="F257" s="1" t="s">
        <v>8957</v>
      </c>
      <c r="G257" t="s">
        <v>8959</v>
      </c>
      <c r="H257" s="1" t="s">
        <v>9100</v>
      </c>
      <c r="I257" s="1" t="s">
        <v>8949</v>
      </c>
      <c r="J257" s="2" t="s">
        <v>10258</v>
      </c>
      <c r="K257" s="1" t="s">
        <v>21766</v>
      </c>
      <c r="L257" s="1" t="s">
        <v>9464</v>
      </c>
      <c r="M257" s="1">
        <v>800</v>
      </c>
      <c r="N257" s="1" t="s">
        <v>8953</v>
      </c>
      <c r="O257" s="1" t="s">
        <v>8989</v>
      </c>
      <c r="P257" s="1" t="s">
        <v>8955</v>
      </c>
      <c r="Q257" s="1" t="s">
        <v>8956</v>
      </c>
      <c r="R257" s="1" t="s">
        <v>8975</v>
      </c>
      <c r="S257" s="1" t="s">
        <v>1006</v>
      </c>
      <c r="T257" s="1" t="s">
        <v>11</v>
      </c>
      <c r="U257" s="1" t="s">
        <v>161</v>
      </c>
    </row>
    <row r="258" spans="1:21" x14ac:dyDescent="0.2">
      <c r="A258" s="88" t="s">
        <v>15815</v>
      </c>
      <c r="B258" s="88" t="e">
        <f>VLOOKUP(C258,#REF!,1,0)</f>
        <v>#REF!</v>
      </c>
      <c r="C258" s="1" t="s">
        <v>1007</v>
      </c>
      <c r="D258" s="1" t="s">
        <v>1008</v>
      </c>
      <c r="E258" s="1" t="s">
        <v>9310</v>
      </c>
      <c r="F258" s="1" t="s">
        <v>8957</v>
      </c>
      <c r="G258" t="s">
        <v>8959</v>
      </c>
      <c r="H258" s="1" t="s">
        <v>9252</v>
      </c>
      <c r="I258" s="1" t="s">
        <v>9253</v>
      </c>
      <c r="J258" s="2" t="s">
        <v>9036</v>
      </c>
      <c r="K258" s="1" t="s">
        <v>9036</v>
      </c>
      <c r="L258" s="1" t="s">
        <v>9133</v>
      </c>
      <c r="M258" s="1">
        <v>990</v>
      </c>
      <c r="N258" s="1" t="s">
        <v>8953</v>
      </c>
      <c r="O258" s="1" t="s">
        <v>8954</v>
      </c>
      <c r="P258" s="1" t="s">
        <v>8955</v>
      </c>
      <c r="Q258" s="1" t="s">
        <v>8956</v>
      </c>
      <c r="R258" s="1" t="s">
        <v>8975</v>
      </c>
      <c r="S258" s="1" t="s">
        <v>1009</v>
      </c>
      <c r="T258" s="1" t="s">
        <v>17</v>
      </c>
      <c r="U258" s="1" t="s">
        <v>1010</v>
      </c>
    </row>
    <row r="259" spans="1:21" x14ac:dyDescent="0.2">
      <c r="A259" s="88" t="s">
        <v>15816</v>
      </c>
      <c r="B259" s="88" t="e">
        <f>VLOOKUP(C259,#REF!,1,0)</f>
        <v>#REF!</v>
      </c>
      <c r="C259" s="1" t="s">
        <v>1015</v>
      </c>
      <c r="D259" s="1" t="s">
        <v>1016</v>
      </c>
      <c r="E259" s="1" t="s">
        <v>9310</v>
      </c>
      <c r="F259" s="1" t="s">
        <v>8957</v>
      </c>
      <c r="G259" t="s">
        <v>8959</v>
      </c>
      <c r="H259" s="1" t="s">
        <v>9035</v>
      </c>
      <c r="I259" s="1" t="s">
        <v>8998</v>
      </c>
      <c r="J259" s="2" t="s">
        <v>20755</v>
      </c>
      <c r="K259" s="1" t="s">
        <v>20755</v>
      </c>
      <c r="L259" s="1" t="s">
        <v>21600</v>
      </c>
      <c r="M259" s="1">
        <v>203</v>
      </c>
      <c r="N259" s="1" t="s">
        <v>9059</v>
      </c>
      <c r="O259" s="1" t="s">
        <v>8989</v>
      </c>
      <c r="P259" s="1" t="s">
        <v>8955</v>
      </c>
      <c r="Q259" s="1" t="s">
        <v>8956</v>
      </c>
      <c r="R259" s="1" t="s">
        <v>8975</v>
      </c>
      <c r="S259" s="1" t="s">
        <v>18696</v>
      </c>
      <c r="T259" s="1" t="s">
        <v>7</v>
      </c>
      <c r="U259" s="1" t="s">
        <v>1017</v>
      </c>
    </row>
    <row r="260" spans="1:21" x14ac:dyDescent="0.2">
      <c r="A260" s="88" t="s">
        <v>15817</v>
      </c>
      <c r="B260" s="88" t="e">
        <f>VLOOKUP(C260,#REF!,1,0)</f>
        <v>#REF!</v>
      </c>
      <c r="C260" s="1" t="s">
        <v>1018</v>
      </c>
      <c r="D260" s="1" t="s">
        <v>1019</v>
      </c>
      <c r="E260" s="1" t="s">
        <v>9310</v>
      </c>
      <c r="F260" s="1" t="s">
        <v>8957</v>
      </c>
      <c r="G260" t="s">
        <v>9009</v>
      </c>
      <c r="H260" s="1" t="s">
        <v>9035</v>
      </c>
      <c r="I260" s="1" t="s">
        <v>9131</v>
      </c>
      <c r="J260" s="2" t="s">
        <v>9036</v>
      </c>
      <c r="K260" s="1" t="s">
        <v>9036</v>
      </c>
      <c r="L260" s="1" t="s">
        <v>8951</v>
      </c>
      <c r="M260" s="1">
        <v>2428</v>
      </c>
      <c r="N260" s="1" t="s">
        <v>8953</v>
      </c>
      <c r="O260" s="1" t="s">
        <v>8954</v>
      </c>
      <c r="P260" s="1" t="s">
        <v>8955</v>
      </c>
      <c r="Q260" s="1" t="s">
        <v>8956</v>
      </c>
      <c r="R260" s="1" t="s">
        <v>8975</v>
      </c>
      <c r="S260" s="1" t="s">
        <v>18697</v>
      </c>
      <c r="T260" s="1" t="s">
        <v>17</v>
      </c>
      <c r="U260" s="1" t="s">
        <v>1020</v>
      </c>
    </row>
    <row r="261" spans="1:21" x14ac:dyDescent="0.2">
      <c r="A261" s="88" t="s">
        <v>15818</v>
      </c>
      <c r="B261" s="88" t="e">
        <f>VLOOKUP(C261,#REF!,1,0)</f>
        <v>#REF!</v>
      </c>
      <c r="C261" s="1" t="s">
        <v>1021</v>
      </c>
      <c r="D261" s="1" t="s">
        <v>1022</v>
      </c>
      <c r="E261" s="1" t="s">
        <v>9010</v>
      </c>
      <c r="F261" s="1" t="s">
        <v>9060</v>
      </c>
      <c r="G261" t="s">
        <v>9183</v>
      </c>
      <c r="H261" s="1" t="s">
        <v>8948</v>
      </c>
      <c r="I261" s="1" t="s">
        <v>8998</v>
      </c>
      <c r="J261" s="2" t="s">
        <v>10178</v>
      </c>
      <c r="K261" s="1" t="s">
        <v>10178</v>
      </c>
      <c r="L261" s="1" t="s">
        <v>8987</v>
      </c>
      <c r="M261" s="1">
        <v>58</v>
      </c>
      <c r="N261" s="1" t="s">
        <v>9059</v>
      </c>
      <c r="O261" s="1" t="s">
        <v>8989</v>
      </c>
      <c r="P261" s="1" t="s">
        <v>8955</v>
      </c>
      <c r="Q261" s="1" t="s">
        <v>8956</v>
      </c>
      <c r="R261" s="1" t="s">
        <v>8958</v>
      </c>
      <c r="S261" s="1" t="s">
        <v>1023</v>
      </c>
      <c r="T261" s="1" t="s">
        <v>11</v>
      </c>
      <c r="U261" s="1" t="s">
        <v>110</v>
      </c>
    </row>
    <row r="262" spans="1:21" x14ac:dyDescent="0.2">
      <c r="A262" s="88" t="s">
        <v>15819</v>
      </c>
      <c r="B262" s="88" t="e">
        <f>VLOOKUP(C262,#REF!,1,0)</f>
        <v>#REF!</v>
      </c>
      <c r="C262" s="1" t="s">
        <v>1024</v>
      </c>
      <c r="D262" s="1" t="s">
        <v>1025</v>
      </c>
      <c r="E262" s="1" t="s">
        <v>18502</v>
      </c>
      <c r="F262" s="1" t="s">
        <v>8957</v>
      </c>
      <c r="G262" t="s">
        <v>8959</v>
      </c>
      <c r="H262" s="1" t="s">
        <v>20712</v>
      </c>
      <c r="I262" s="1" t="s">
        <v>9101</v>
      </c>
      <c r="J262" s="2" t="s">
        <v>20757</v>
      </c>
      <c r="K262" s="1" t="s">
        <v>20757</v>
      </c>
      <c r="L262" s="1" t="s">
        <v>9292</v>
      </c>
      <c r="M262" s="1">
        <v>3200</v>
      </c>
      <c r="N262" s="1" t="s">
        <v>8953</v>
      </c>
      <c r="O262" s="1" t="s">
        <v>8989</v>
      </c>
      <c r="P262" s="1" t="s">
        <v>8955</v>
      </c>
      <c r="Q262" s="1" t="s">
        <v>8956</v>
      </c>
      <c r="R262" s="1" t="s">
        <v>8975</v>
      </c>
      <c r="S262" s="1" t="s">
        <v>18698</v>
      </c>
      <c r="T262" s="1" t="s">
        <v>17</v>
      </c>
      <c r="U262" s="1" t="s">
        <v>700</v>
      </c>
    </row>
    <row r="263" spans="1:21" x14ac:dyDescent="0.2">
      <c r="A263" s="88" t="s">
        <v>15820</v>
      </c>
      <c r="B263" s="88" t="e">
        <f>VLOOKUP(C263,#REF!,1,0)</f>
        <v>#REF!</v>
      </c>
      <c r="C263" s="1" t="s">
        <v>1026</v>
      </c>
      <c r="D263" s="1" t="s">
        <v>1027</v>
      </c>
      <c r="E263" s="1" t="s">
        <v>18502</v>
      </c>
      <c r="F263" s="1" t="s">
        <v>8957</v>
      </c>
      <c r="G263" t="s">
        <v>8959</v>
      </c>
      <c r="H263" s="1" t="s">
        <v>9605</v>
      </c>
      <c r="I263" s="1" t="s">
        <v>9101</v>
      </c>
      <c r="J263" s="2" t="s">
        <v>10492</v>
      </c>
      <c r="K263" s="1" t="s">
        <v>10492</v>
      </c>
      <c r="L263" s="1" t="s">
        <v>21600</v>
      </c>
      <c r="M263" s="1">
        <v>23165</v>
      </c>
      <c r="N263" s="1" t="s">
        <v>8953</v>
      </c>
      <c r="O263" s="1" t="s">
        <v>8989</v>
      </c>
      <c r="P263" s="1" t="s">
        <v>8955</v>
      </c>
      <c r="Q263" s="1" t="s">
        <v>8956</v>
      </c>
      <c r="R263" s="1" t="s">
        <v>8975</v>
      </c>
      <c r="S263" s="1" t="s">
        <v>18699</v>
      </c>
      <c r="T263" s="1" t="s">
        <v>17</v>
      </c>
      <c r="U263" s="1" t="s">
        <v>1028</v>
      </c>
    </row>
    <row r="264" spans="1:21" x14ac:dyDescent="0.2">
      <c r="A264" s="88" t="s">
        <v>15821</v>
      </c>
      <c r="B264" s="88" t="e">
        <f>VLOOKUP(C264,#REF!,1,0)</f>
        <v>#REF!</v>
      </c>
      <c r="C264" s="1" t="s">
        <v>1029</v>
      </c>
      <c r="D264" s="1" t="s">
        <v>1030</v>
      </c>
      <c r="E264" s="1" t="s">
        <v>18502</v>
      </c>
      <c r="F264" s="1" t="s">
        <v>8957</v>
      </c>
      <c r="G264" t="s">
        <v>9061</v>
      </c>
      <c r="H264" s="1" t="s">
        <v>9100</v>
      </c>
      <c r="I264" s="1" t="s">
        <v>8949</v>
      </c>
      <c r="J264" s="2" t="s">
        <v>9036</v>
      </c>
      <c r="K264" s="1" t="s">
        <v>9036</v>
      </c>
      <c r="L264" s="1" t="s">
        <v>21600</v>
      </c>
      <c r="M264" s="1">
        <v>199</v>
      </c>
      <c r="N264" s="1" t="s">
        <v>9059</v>
      </c>
      <c r="O264" s="1" t="s">
        <v>8989</v>
      </c>
      <c r="P264" s="1" t="s">
        <v>8955</v>
      </c>
      <c r="Q264" s="1" t="s">
        <v>8956</v>
      </c>
      <c r="R264" s="1" t="s">
        <v>9103</v>
      </c>
      <c r="S264" s="1" t="s">
        <v>18700</v>
      </c>
      <c r="T264" s="1" t="s">
        <v>7</v>
      </c>
      <c r="U264" s="1" t="s">
        <v>24</v>
      </c>
    </row>
    <row r="265" spans="1:21" x14ac:dyDescent="0.2">
      <c r="A265" s="88" t="s">
        <v>15824</v>
      </c>
      <c r="B265" s="88" t="e">
        <f>VLOOKUP(C265,#REF!,1,0)</f>
        <v>#REF!</v>
      </c>
      <c r="C265" s="1" t="s">
        <v>1036</v>
      </c>
      <c r="D265" s="1" t="s">
        <v>1037</v>
      </c>
      <c r="E265" s="1" t="s">
        <v>18502</v>
      </c>
      <c r="F265" s="1" t="s">
        <v>8957</v>
      </c>
      <c r="G265" t="s">
        <v>8959</v>
      </c>
      <c r="H265" s="1" t="s">
        <v>8948</v>
      </c>
      <c r="I265" s="1" t="s">
        <v>9308</v>
      </c>
      <c r="J265" s="2" t="s">
        <v>9787</v>
      </c>
      <c r="K265" s="1" t="s">
        <v>9787</v>
      </c>
      <c r="L265" s="1" t="s">
        <v>8951</v>
      </c>
      <c r="M265" s="1">
        <v>500</v>
      </c>
      <c r="N265" s="1" t="s">
        <v>11658</v>
      </c>
      <c r="O265" s="1" t="s">
        <v>8989</v>
      </c>
      <c r="P265" s="1" t="s">
        <v>8955</v>
      </c>
      <c r="Q265" s="1" t="s">
        <v>8956</v>
      </c>
      <c r="R265" s="1" t="s">
        <v>9103</v>
      </c>
      <c r="S265" s="1" t="s">
        <v>18702</v>
      </c>
      <c r="T265" s="1" t="s">
        <v>7</v>
      </c>
      <c r="U265" s="1" t="s">
        <v>46</v>
      </c>
    </row>
    <row r="266" spans="1:21" x14ac:dyDescent="0.2">
      <c r="A266" s="88" t="s">
        <v>15825</v>
      </c>
      <c r="B266" s="88" t="e">
        <f>VLOOKUP(C266,#REF!,1,0)</f>
        <v>#REF!</v>
      </c>
      <c r="C266" s="1" t="s">
        <v>1038</v>
      </c>
      <c r="D266" s="1" t="s">
        <v>1039</v>
      </c>
      <c r="E266" s="1" t="s">
        <v>9010</v>
      </c>
      <c r="F266" s="1" t="s">
        <v>8957</v>
      </c>
      <c r="G266" t="s">
        <v>9009</v>
      </c>
      <c r="H266" s="1" t="s">
        <v>9075</v>
      </c>
      <c r="I266" s="1" t="s">
        <v>8985</v>
      </c>
      <c r="J266" s="2" t="s">
        <v>10258</v>
      </c>
      <c r="K266" s="1" t="s">
        <v>10258</v>
      </c>
      <c r="L266" s="1" t="s">
        <v>8987</v>
      </c>
      <c r="M266" s="1">
        <v>159</v>
      </c>
      <c r="N266" s="1" t="s">
        <v>8953</v>
      </c>
      <c r="O266" s="1" t="s">
        <v>8989</v>
      </c>
      <c r="P266" s="1" t="s">
        <v>8955</v>
      </c>
      <c r="Q266" s="1" t="s">
        <v>8956</v>
      </c>
      <c r="R266" s="1" t="s">
        <v>8958</v>
      </c>
      <c r="S266" s="1" t="s">
        <v>1040</v>
      </c>
      <c r="T266" s="1" t="s">
        <v>11</v>
      </c>
      <c r="U266" s="1" t="s">
        <v>43</v>
      </c>
    </row>
    <row r="267" spans="1:21" x14ac:dyDescent="0.2">
      <c r="A267" s="88" t="s">
        <v>15826</v>
      </c>
      <c r="B267" s="88" t="e">
        <f>VLOOKUP(C267,#REF!,1,0)</f>
        <v>#REF!</v>
      </c>
      <c r="C267" s="1" t="s">
        <v>1041</v>
      </c>
      <c r="D267" s="1" t="s">
        <v>1042</v>
      </c>
      <c r="E267" s="1" t="s">
        <v>18502</v>
      </c>
      <c r="F267" s="1" t="s">
        <v>8957</v>
      </c>
      <c r="G267" t="s">
        <v>9183</v>
      </c>
      <c r="H267" s="1" t="s">
        <v>9100</v>
      </c>
      <c r="I267" s="1" t="s">
        <v>8949</v>
      </c>
      <c r="J267" s="2" t="s">
        <v>13923</v>
      </c>
      <c r="K267" s="1" t="s">
        <v>13923</v>
      </c>
      <c r="L267" s="1" t="s">
        <v>9292</v>
      </c>
      <c r="M267" s="1">
        <v>83</v>
      </c>
      <c r="N267" s="1" t="s">
        <v>9059</v>
      </c>
      <c r="O267" s="1" t="s">
        <v>8954</v>
      </c>
      <c r="P267" s="1" t="s">
        <v>8955</v>
      </c>
      <c r="Q267" s="1" t="s">
        <v>8956</v>
      </c>
      <c r="R267" s="1" t="s">
        <v>8975</v>
      </c>
      <c r="S267" s="1" t="s">
        <v>18703</v>
      </c>
      <c r="T267" s="1" t="s">
        <v>7</v>
      </c>
      <c r="U267" s="1" t="s">
        <v>392</v>
      </c>
    </row>
    <row r="268" spans="1:21" x14ac:dyDescent="0.2">
      <c r="A268" s="88" t="s">
        <v>15827</v>
      </c>
      <c r="B268" s="88" t="e">
        <f>VLOOKUP(C268,#REF!,1,0)</f>
        <v>#REF!</v>
      </c>
      <c r="C268" s="1" t="s">
        <v>1046</v>
      </c>
      <c r="D268" s="1" t="s">
        <v>1047</v>
      </c>
      <c r="E268" s="1" t="s">
        <v>9650</v>
      </c>
      <c r="F268" s="1" t="s">
        <v>9060</v>
      </c>
      <c r="G268" t="s">
        <v>8959</v>
      </c>
      <c r="H268" s="1" t="s">
        <v>20712</v>
      </c>
      <c r="I268" s="1" t="s">
        <v>8998</v>
      </c>
      <c r="J268" s="2" t="s">
        <v>10492</v>
      </c>
      <c r="K268" s="1" t="s">
        <v>10492</v>
      </c>
      <c r="L268" s="1" t="s">
        <v>21600</v>
      </c>
      <c r="M268" s="1">
        <v>17013</v>
      </c>
      <c r="N268" s="1" t="s">
        <v>8953</v>
      </c>
      <c r="O268" s="1" t="s">
        <v>8954</v>
      </c>
      <c r="P268" s="1" t="s">
        <v>8955</v>
      </c>
      <c r="Q268" s="1" t="s">
        <v>8956</v>
      </c>
      <c r="R268" s="1" t="s">
        <v>8958</v>
      </c>
      <c r="S268" s="1" t="s">
        <v>18704</v>
      </c>
      <c r="T268" s="1" t="s">
        <v>7</v>
      </c>
      <c r="U268" s="1" t="s">
        <v>61</v>
      </c>
    </row>
    <row r="269" spans="1:21" x14ac:dyDescent="0.2">
      <c r="A269" s="88" t="s">
        <v>15828</v>
      </c>
      <c r="B269" s="88" t="e">
        <f>VLOOKUP(C269,#REF!,1,0)</f>
        <v>#REF!</v>
      </c>
      <c r="C269" s="1" t="s">
        <v>1048</v>
      </c>
      <c r="D269" s="1" t="s">
        <v>1049</v>
      </c>
      <c r="E269" s="1" t="s">
        <v>9650</v>
      </c>
      <c r="F269" s="1" t="s">
        <v>8957</v>
      </c>
      <c r="G269" t="s">
        <v>8959</v>
      </c>
      <c r="H269" s="1" t="s">
        <v>9035</v>
      </c>
      <c r="I269" s="1" t="s">
        <v>8998</v>
      </c>
      <c r="J269" s="2" t="s">
        <v>10492</v>
      </c>
      <c r="K269" s="1" t="s">
        <v>10492</v>
      </c>
      <c r="L269" s="1" t="s">
        <v>21600</v>
      </c>
      <c r="M269" s="1">
        <v>10000</v>
      </c>
      <c r="N269" s="1" t="s">
        <v>8953</v>
      </c>
      <c r="O269" s="1" t="s">
        <v>8954</v>
      </c>
      <c r="P269" s="1" t="s">
        <v>8955</v>
      </c>
      <c r="Q269" s="1" t="s">
        <v>8956</v>
      </c>
      <c r="R269" s="1" t="s">
        <v>8958</v>
      </c>
      <c r="S269" s="1" t="s">
        <v>18705</v>
      </c>
      <c r="T269" s="1" t="s">
        <v>17</v>
      </c>
      <c r="U269" s="1" t="s">
        <v>1050</v>
      </c>
    </row>
    <row r="270" spans="1:21" x14ac:dyDescent="0.2">
      <c r="A270" s="88" t="s">
        <v>15830</v>
      </c>
      <c r="B270" s="88" t="e">
        <f>VLOOKUP(C270,#REF!,1,0)</f>
        <v>#REF!</v>
      </c>
      <c r="C270" s="1" t="s">
        <v>1057</v>
      </c>
      <c r="D270" s="1" t="s">
        <v>1058</v>
      </c>
      <c r="E270" s="1" t="s">
        <v>9310</v>
      </c>
      <c r="F270" s="1" t="s">
        <v>8957</v>
      </c>
      <c r="G270" t="s">
        <v>9183</v>
      </c>
      <c r="H270" s="1" t="s">
        <v>9154</v>
      </c>
      <c r="I270" s="1" t="s">
        <v>8998</v>
      </c>
      <c r="J270" s="2" t="s">
        <v>10492</v>
      </c>
      <c r="K270" s="1" t="s">
        <v>21645</v>
      </c>
      <c r="L270" s="1" t="s">
        <v>21600</v>
      </c>
      <c r="M270" s="1">
        <v>276</v>
      </c>
      <c r="N270" s="1" t="s">
        <v>8953</v>
      </c>
      <c r="O270" s="1" t="s">
        <v>8954</v>
      </c>
      <c r="P270" s="1" t="s">
        <v>8955</v>
      </c>
      <c r="Q270" s="1" t="s">
        <v>8956</v>
      </c>
      <c r="R270" s="1" t="s">
        <v>8975</v>
      </c>
      <c r="S270" s="1" t="s">
        <v>18708</v>
      </c>
      <c r="T270" s="1" t="s">
        <v>17</v>
      </c>
      <c r="U270" s="1" t="s">
        <v>831</v>
      </c>
    </row>
    <row r="271" spans="1:21" x14ac:dyDescent="0.2">
      <c r="A271" s="88" t="s">
        <v>15831</v>
      </c>
      <c r="B271" s="88" t="e">
        <f>VLOOKUP(C271,#REF!,1,0)</f>
        <v>#REF!</v>
      </c>
      <c r="C271" s="1" t="s">
        <v>1059</v>
      </c>
      <c r="D271" s="1" t="s">
        <v>1060</v>
      </c>
      <c r="E271" s="1" t="s">
        <v>9310</v>
      </c>
      <c r="F271" s="1" t="s">
        <v>8959</v>
      </c>
      <c r="G271" t="s">
        <v>9061</v>
      </c>
      <c r="H271" s="1" t="s">
        <v>20712</v>
      </c>
      <c r="I271" s="1" t="s">
        <v>8949</v>
      </c>
      <c r="J271" s="2" t="s">
        <v>13923</v>
      </c>
      <c r="K271" s="1" t="s">
        <v>13923</v>
      </c>
      <c r="L271" s="1" t="s">
        <v>9464</v>
      </c>
      <c r="M271" s="1">
        <v>46000</v>
      </c>
      <c r="N271" s="1" t="s">
        <v>8953</v>
      </c>
      <c r="O271" s="1" t="s">
        <v>8954</v>
      </c>
      <c r="P271" s="1" t="s">
        <v>8955</v>
      </c>
      <c r="Q271" s="1" t="s">
        <v>8956</v>
      </c>
      <c r="R271" s="1" t="s">
        <v>9103</v>
      </c>
      <c r="S271" s="1" t="s">
        <v>18709</v>
      </c>
      <c r="T271" s="1" t="s">
        <v>7</v>
      </c>
      <c r="U271" s="1" t="s">
        <v>21</v>
      </c>
    </row>
    <row r="272" spans="1:21" x14ac:dyDescent="0.2">
      <c r="A272" s="88" t="s">
        <v>15832</v>
      </c>
      <c r="B272" s="88" t="e">
        <f>VLOOKUP(C272,#REF!,1,0)</f>
        <v>#REF!</v>
      </c>
      <c r="C272" s="1" t="s">
        <v>1061</v>
      </c>
      <c r="D272" s="1" t="s">
        <v>1062</v>
      </c>
      <c r="E272" s="1" t="s">
        <v>18502</v>
      </c>
      <c r="F272" s="1" t="s">
        <v>8957</v>
      </c>
      <c r="G272" t="s">
        <v>8959</v>
      </c>
      <c r="H272" s="1" t="s">
        <v>9154</v>
      </c>
      <c r="I272" s="1" t="s">
        <v>20725</v>
      </c>
      <c r="J272" s="2" t="s">
        <v>18491</v>
      </c>
      <c r="K272" s="1" t="s">
        <v>9386</v>
      </c>
      <c r="L272" s="1" t="s">
        <v>9076</v>
      </c>
      <c r="M272" s="1">
        <v>1596</v>
      </c>
      <c r="N272" s="1" t="s">
        <v>8953</v>
      </c>
      <c r="O272" s="1" t="s">
        <v>8989</v>
      </c>
      <c r="P272" s="1" t="s">
        <v>8955</v>
      </c>
      <c r="Q272" s="1" t="s">
        <v>8956</v>
      </c>
      <c r="R272" s="1" t="s">
        <v>8958</v>
      </c>
      <c r="S272" s="1" t="s">
        <v>18710</v>
      </c>
      <c r="T272" s="1" t="s">
        <v>7</v>
      </c>
      <c r="U272" s="1" t="s">
        <v>46</v>
      </c>
    </row>
    <row r="273" spans="1:21" x14ac:dyDescent="0.2">
      <c r="A273" s="88" t="s">
        <v>15833</v>
      </c>
      <c r="B273" s="88" t="e">
        <f>VLOOKUP(C273,#REF!,1,0)</f>
        <v>#REF!</v>
      </c>
      <c r="C273" s="1" t="s">
        <v>1063</v>
      </c>
      <c r="D273" s="1" t="s">
        <v>1064</v>
      </c>
      <c r="E273" s="1" t="s">
        <v>9310</v>
      </c>
      <c r="F273" s="1" t="s">
        <v>8959</v>
      </c>
      <c r="G273" t="s">
        <v>9061</v>
      </c>
      <c r="H273" s="1" t="s">
        <v>8984</v>
      </c>
      <c r="I273" s="1" t="s">
        <v>8971</v>
      </c>
      <c r="J273" s="2" t="s">
        <v>9036</v>
      </c>
      <c r="K273" s="1" t="s">
        <v>9036</v>
      </c>
      <c r="L273" s="1" t="s">
        <v>9133</v>
      </c>
      <c r="M273" s="1">
        <v>2822</v>
      </c>
      <c r="N273" s="1" t="s">
        <v>8953</v>
      </c>
      <c r="O273" s="1" t="s">
        <v>8989</v>
      </c>
      <c r="P273" s="1" t="s">
        <v>8955</v>
      </c>
      <c r="Q273" s="1" t="s">
        <v>8956</v>
      </c>
      <c r="R273" s="1" t="s">
        <v>8958</v>
      </c>
      <c r="S273" s="1" t="s">
        <v>18711</v>
      </c>
      <c r="T273" s="1" t="s">
        <v>7</v>
      </c>
      <c r="U273" s="1" t="s">
        <v>813</v>
      </c>
    </row>
    <row r="274" spans="1:21" x14ac:dyDescent="0.2">
      <c r="A274" s="88" t="s">
        <v>15834</v>
      </c>
      <c r="B274" s="88" t="e">
        <f>VLOOKUP(C274,#REF!,1,0)</f>
        <v>#REF!</v>
      </c>
      <c r="C274" s="1" t="s">
        <v>1065</v>
      </c>
      <c r="D274" s="1" t="s">
        <v>1066</v>
      </c>
      <c r="E274" s="1" t="s">
        <v>9010</v>
      </c>
      <c r="F274" s="1" t="s">
        <v>8959</v>
      </c>
      <c r="G274" t="s">
        <v>9183</v>
      </c>
      <c r="H274" s="1" t="s">
        <v>9049</v>
      </c>
      <c r="I274" s="1" t="s">
        <v>9050</v>
      </c>
      <c r="J274" s="2" t="s">
        <v>9102</v>
      </c>
      <c r="K274" s="1" t="s">
        <v>9102</v>
      </c>
      <c r="L274" s="1" t="s">
        <v>8951</v>
      </c>
      <c r="M274" s="1">
        <v>89</v>
      </c>
      <c r="N274" s="1" t="s">
        <v>9059</v>
      </c>
      <c r="O274" s="1" t="s">
        <v>8954</v>
      </c>
      <c r="P274" s="1" t="s">
        <v>8955</v>
      </c>
      <c r="Q274" s="1" t="s">
        <v>8956</v>
      </c>
      <c r="R274" s="1" t="s">
        <v>8958</v>
      </c>
      <c r="S274" s="1" t="s">
        <v>1067</v>
      </c>
      <c r="T274" s="1" t="s">
        <v>11</v>
      </c>
      <c r="U274" s="1" t="s">
        <v>1068</v>
      </c>
    </row>
    <row r="275" spans="1:21" x14ac:dyDescent="0.2">
      <c r="A275" s="88" t="s">
        <v>15835</v>
      </c>
      <c r="B275" s="88" t="e">
        <f>VLOOKUP(C275,#REF!,1,0)</f>
        <v>#REF!</v>
      </c>
      <c r="C275" s="1" t="s">
        <v>1073</v>
      </c>
      <c r="D275" s="1" t="s">
        <v>1074</v>
      </c>
      <c r="E275" s="1" t="s">
        <v>9010</v>
      </c>
      <c r="F275" s="1" t="s">
        <v>8957</v>
      </c>
      <c r="G275" t="s">
        <v>9183</v>
      </c>
      <c r="H275" s="1" t="s">
        <v>8948</v>
      </c>
      <c r="I275" s="1" t="s">
        <v>9155</v>
      </c>
      <c r="J275" s="2" t="s">
        <v>12040</v>
      </c>
      <c r="K275" s="1" t="s">
        <v>12040</v>
      </c>
      <c r="L275" s="1" t="s">
        <v>9292</v>
      </c>
      <c r="M275" s="1">
        <v>40</v>
      </c>
      <c r="N275" s="1" t="s">
        <v>8953</v>
      </c>
      <c r="O275" s="1" t="s">
        <v>8954</v>
      </c>
      <c r="P275" s="1" t="s">
        <v>8955</v>
      </c>
      <c r="Q275" s="1" t="s">
        <v>8956</v>
      </c>
      <c r="R275" s="1" t="s">
        <v>8958</v>
      </c>
      <c r="S275" s="1" t="s">
        <v>1075</v>
      </c>
      <c r="T275" s="1" t="s">
        <v>11</v>
      </c>
      <c r="U275" s="1" t="s">
        <v>1076</v>
      </c>
    </row>
    <row r="276" spans="1:21" x14ac:dyDescent="0.2">
      <c r="A276" s="88" t="s">
        <v>15836</v>
      </c>
      <c r="B276" s="88" t="e">
        <f>VLOOKUP(C276,#REF!,1,0)</f>
        <v>#REF!</v>
      </c>
      <c r="C276" s="1" t="s">
        <v>1077</v>
      </c>
      <c r="D276" s="1" t="s">
        <v>1078</v>
      </c>
      <c r="E276" s="1" t="s">
        <v>9010</v>
      </c>
      <c r="F276" s="1" t="s">
        <v>8957</v>
      </c>
      <c r="G276" t="s">
        <v>8959</v>
      </c>
      <c r="H276" s="1" t="s">
        <v>9605</v>
      </c>
      <c r="I276" s="1" t="s">
        <v>9155</v>
      </c>
      <c r="J276" s="2" t="s">
        <v>12818</v>
      </c>
      <c r="K276" s="1" t="s">
        <v>12818</v>
      </c>
      <c r="L276" s="1" t="s">
        <v>9076</v>
      </c>
      <c r="M276" s="1">
        <v>74902</v>
      </c>
      <c r="N276" s="1" t="s">
        <v>8953</v>
      </c>
      <c r="O276" s="1" t="s">
        <v>8954</v>
      </c>
      <c r="P276" s="1" t="s">
        <v>8955</v>
      </c>
      <c r="Q276" s="1" t="s">
        <v>8956</v>
      </c>
      <c r="R276" s="1" t="s">
        <v>8958</v>
      </c>
      <c r="S276" s="1" t="s">
        <v>1079</v>
      </c>
      <c r="T276" s="1" t="s">
        <v>929</v>
      </c>
      <c r="U276" s="1" t="s">
        <v>1080</v>
      </c>
    </row>
    <row r="277" spans="1:21" x14ac:dyDescent="0.2">
      <c r="A277" s="88" t="s">
        <v>15837</v>
      </c>
      <c r="B277" s="88" t="e">
        <f>VLOOKUP(C277,#REF!,1,0)</f>
        <v>#REF!</v>
      </c>
      <c r="C277" s="1" t="s">
        <v>1081</v>
      </c>
      <c r="D277" s="1" t="s">
        <v>1082</v>
      </c>
      <c r="E277" s="1" t="s">
        <v>18502</v>
      </c>
      <c r="F277" s="1" t="e">
        <v>#N/A</v>
      </c>
      <c r="G277" t="s">
        <v>9061</v>
      </c>
      <c r="H277" s="1" t="s">
        <v>8948</v>
      </c>
      <c r="I277" s="1" t="s">
        <v>8949</v>
      </c>
      <c r="J277" s="2" t="s">
        <v>10492</v>
      </c>
      <c r="K277" s="1" t="s">
        <v>10492</v>
      </c>
      <c r="L277" s="1" t="s">
        <v>21603</v>
      </c>
      <c r="M277" s="1">
        <v>1034</v>
      </c>
      <c r="N277" s="1" t="s">
        <v>8953</v>
      </c>
      <c r="O277" s="1" t="s">
        <v>8989</v>
      </c>
      <c r="P277" s="1" t="s">
        <v>8955</v>
      </c>
      <c r="Q277" s="1" t="s">
        <v>8956</v>
      </c>
      <c r="R277" s="1" t="s">
        <v>8975</v>
      </c>
      <c r="S277" s="1" t="s">
        <v>18713</v>
      </c>
      <c r="T277" s="1" t="s">
        <v>7</v>
      </c>
      <c r="U277" s="1" t="s">
        <v>378</v>
      </c>
    </row>
    <row r="278" spans="1:21" x14ac:dyDescent="0.2">
      <c r="A278" s="88" t="s">
        <v>15838</v>
      </c>
      <c r="B278" s="88" t="e">
        <f>VLOOKUP(C278,#REF!,1,0)</f>
        <v>#REF!</v>
      </c>
      <c r="C278" s="1" t="s">
        <v>1083</v>
      </c>
      <c r="D278" s="1" t="s">
        <v>1084</v>
      </c>
      <c r="E278" s="1" t="s">
        <v>9310</v>
      </c>
      <c r="F278" s="1" t="s">
        <v>8957</v>
      </c>
      <c r="G278" t="s">
        <v>8959</v>
      </c>
      <c r="H278" s="1" t="s">
        <v>9252</v>
      </c>
      <c r="I278" s="1" t="s">
        <v>8971</v>
      </c>
      <c r="J278" s="2" t="s">
        <v>21418</v>
      </c>
      <c r="K278" s="1" t="s">
        <v>21664</v>
      </c>
      <c r="L278" s="1" t="s">
        <v>20758</v>
      </c>
      <c r="M278" s="1">
        <v>1043</v>
      </c>
      <c r="N278" s="1" t="s">
        <v>9059</v>
      </c>
      <c r="O278" s="1" t="s">
        <v>8989</v>
      </c>
      <c r="P278" s="1" t="s">
        <v>8955</v>
      </c>
      <c r="Q278" s="1" t="s">
        <v>8956</v>
      </c>
      <c r="R278" s="1" t="s">
        <v>8958</v>
      </c>
      <c r="S278" s="1" t="s">
        <v>18714</v>
      </c>
      <c r="T278" s="1" t="s">
        <v>17</v>
      </c>
      <c r="U278" s="1" t="s">
        <v>1017</v>
      </c>
    </row>
    <row r="279" spans="1:21" x14ac:dyDescent="0.2">
      <c r="A279" s="88" t="s">
        <v>15839</v>
      </c>
      <c r="B279" s="88" t="e">
        <f>VLOOKUP(C279,#REF!,1,0)</f>
        <v>#REF!</v>
      </c>
      <c r="C279" s="1" t="s">
        <v>1085</v>
      </c>
      <c r="D279" s="1" t="s">
        <v>1086</v>
      </c>
      <c r="E279" s="1" t="s">
        <v>9310</v>
      </c>
      <c r="F279" s="1" t="s">
        <v>8957</v>
      </c>
      <c r="G279" t="s">
        <v>8959</v>
      </c>
      <c r="H279" s="1" t="s">
        <v>9252</v>
      </c>
      <c r="I279" s="1" t="s">
        <v>8971</v>
      </c>
      <c r="J279" s="2" t="s">
        <v>20736</v>
      </c>
      <c r="K279" s="1" t="s">
        <v>20736</v>
      </c>
      <c r="L279" s="1" t="s">
        <v>8987</v>
      </c>
      <c r="M279" s="1">
        <v>1976</v>
      </c>
      <c r="N279" s="1" t="s">
        <v>8953</v>
      </c>
      <c r="O279" s="1" t="s">
        <v>8989</v>
      </c>
      <c r="P279" s="1" t="s">
        <v>8955</v>
      </c>
      <c r="Q279" s="1" t="s">
        <v>8956</v>
      </c>
      <c r="R279" s="1" t="s">
        <v>8958</v>
      </c>
      <c r="S279" s="1" t="s">
        <v>18715</v>
      </c>
      <c r="T279" s="1" t="s">
        <v>7</v>
      </c>
      <c r="U279" s="1" t="s">
        <v>93</v>
      </c>
    </row>
    <row r="280" spans="1:21" x14ac:dyDescent="0.2">
      <c r="A280" s="88" t="s">
        <v>15842</v>
      </c>
      <c r="B280" s="88" t="e">
        <f>VLOOKUP(C280,#REF!,1,0)</f>
        <v>#REF!</v>
      </c>
      <c r="C280" s="1" t="s">
        <v>1101</v>
      </c>
      <c r="D280" s="1" t="s">
        <v>1102</v>
      </c>
      <c r="E280" s="1" t="s">
        <v>18502</v>
      </c>
      <c r="F280" s="1" t="s">
        <v>8957</v>
      </c>
      <c r="G280" t="s">
        <v>8959</v>
      </c>
      <c r="H280" s="1" t="s">
        <v>9035</v>
      </c>
      <c r="I280" s="1" t="s">
        <v>9308</v>
      </c>
      <c r="J280" s="133" t="s">
        <v>10492</v>
      </c>
      <c r="K280" s="1" t="s">
        <v>10492</v>
      </c>
      <c r="L280" s="1" t="s">
        <v>9292</v>
      </c>
      <c r="M280" s="1">
        <v>1855</v>
      </c>
      <c r="N280" s="1" t="s">
        <v>8953</v>
      </c>
      <c r="O280" s="1" t="s">
        <v>8989</v>
      </c>
      <c r="P280" s="1" t="s">
        <v>8955</v>
      </c>
      <c r="Q280" s="1" t="s">
        <v>8956</v>
      </c>
      <c r="R280" s="1" t="s">
        <v>8958</v>
      </c>
      <c r="S280" s="1" t="s">
        <v>18718</v>
      </c>
      <c r="T280" s="1" t="s">
        <v>7</v>
      </c>
      <c r="U280" s="1" t="s">
        <v>1103</v>
      </c>
    </row>
    <row r="281" spans="1:21" x14ac:dyDescent="0.2">
      <c r="A281" s="88" t="s">
        <v>15843</v>
      </c>
      <c r="B281" s="88" t="e">
        <f>VLOOKUP(C281,#REF!,1,0)</f>
        <v>#REF!</v>
      </c>
      <c r="C281" s="1" t="s">
        <v>1104</v>
      </c>
      <c r="D281" s="1" t="s">
        <v>1105</v>
      </c>
      <c r="E281" s="1" t="s">
        <v>9176</v>
      </c>
      <c r="F281" s="1" t="s">
        <v>8957</v>
      </c>
      <c r="G281" t="s">
        <v>8959</v>
      </c>
      <c r="H281" s="1" t="s">
        <v>9252</v>
      </c>
      <c r="I281" s="1" t="s">
        <v>9253</v>
      </c>
      <c r="J281" s="2" t="s">
        <v>9036</v>
      </c>
      <c r="K281" s="1" t="s">
        <v>9036</v>
      </c>
      <c r="L281" s="1" t="s">
        <v>8987</v>
      </c>
      <c r="M281" s="1">
        <v>1090</v>
      </c>
      <c r="N281" s="1" t="s">
        <v>8953</v>
      </c>
      <c r="O281" s="1" t="s">
        <v>8954</v>
      </c>
      <c r="P281" s="1" t="s">
        <v>8955</v>
      </c>
      <c r="Q281" s="1" t="s">
        <v>8956</v>
      </c>
      <c r="R281" s="1" t="s">
        <v>9103</v>
      </c>
      <c r="S281" s="1" t="s">
        <v>1106</v>
      </c>
      <c r="T281" s="1" t="s">
        <v>4</v>
      </c>
      <c r="U281" s="1" t="s">
        <v>61</v>
      </c>
    </row>
    <row r="282" spans="1:21" x14ac:dyDescent="0.2">
      <c r="A282" s="88" t="s">
        <v>15844</v>
      </c>
      <c r="B282" s="88" t="e">
        <f>VLOOKUP(C282,#REF!,1,0)</f>
        <v>#REF!</v>
      </c>
      <c r="C282" s="1" t="s">
        <v>1107</v>
      </c>
      <c r="D282" s="1" t="s">
        <v>1108</v>
      </c>
      <c r="E282" s="1" t="s">
        <v>14631</v>
      </c>
      <c r="F282" s="1" t="s">
        <v>8957</v>
      </c>
      <c r="G282" t="s">
        <v>8959</v>
      </c>
      <c r="H282" s="1" t="s">
        <v>9154</v>
      </c>
      <c r="I282" s="1" t="s">
        <v>8971</v>
      </c>
      <c r="J282" s="2" t="s">
        <v>9041</v>
      </c>
      <c r="K282" s="1" t="s">
        <v>9041</v>
      </c>
      <c r="L282" s="1" t="s">
        <v>21600</v>
      </c>
      <c r="M282" s="1">
        <v>760</v>
      </c>
      <c r="N282" s="1" t="s">
        <v>8953</v>
      </c>
      <c r="O282" s="1" t="s">
        <v>8954</v>
      </c>
      <c r="P282" s="1" t="s">
        <v>8955</v>
      </c>
      <c r="Q282" s="1" t="s">
        <v>8956</v>
      </c>
      <c r="R282" s="1" t="s">
        <v>9103</v>
      </c>
      <c r="S282" s="1" t="s">
        <v>1109</v>
      </c>
      <c r="T282" s="1" t="s">
        <v>920</v>
      </c>
      <c r="U282" s="1" t="s">
        <v>1110</v>
      </c>
    </row>
    <row r="283" spans="1:21" x14ac:dyDescent="0.2">
      <c r="A283" s="88" t="s">
        <v>15845</v>
      </c>
      <c r="B283" s="88" t="e">
        <f>VLOOKUP(C283,#REF!,1,0)</f>
        <v>#REF!</v>
      </c>
      <c r="C283" s="1" t="s">
        <v>1111</v>
      </c>
      <c r="D283" s="1" t="s">
        <v>1112</v>
      </c>
      <c r="E283" s="1" t="s">
        <v>9176</v>
      </c>
      <c r="F283" s="1" t="s">
        <v>8957</v>
      </c>
      <c r="G283" t="s">
        <v>8959</v>
      </c>
      <c r="H283" s="1" t="s">
        <v>9154</v>
      </c>
      <c r="I283" s="1" t="s">
        <v>8971</v>
      </c>
      <c r="J283" s="2" t="s">
        <v>12500</v>
      </c>
      <c r="K283" s="1" t="s">
        <v>12500</v>
      </c>
      <c r="L283" s="1" t="s">
        <v>21600</v>
      </c>
      <c r="M283" s="1">
        <v>820</v>
      </c>
      <c r="N283" s="1" t="s">
        <v>8953</v>
      </c>
      <c r="O283" s="1" t="s">
        <v>8954</v>
      </c>
      <c r="P283" s="1" t="s">
        <v>8955</v>
      </c>
      <c r="Q283" s="1" t="s">
        <v>8956</v>
      </c>
      <c r="R283" s="1" t="s">
        <v>9103</v>
      </c>
      <c r="S283" s="1" t="s">
        <v>1113</v>
      </c>
      <c r="T283" s="1" t="s">
        <v>1114</v>
      </c>
      <c r="U283" s="1" t="s">
        <v>625</v>
      </c>
    </row>
    <row r="284" spans="1:21" x14ac:dyDescent="0.2">
      <c r="A284" s="88" t="s">
        <v>15846</v>
      </c>
      <c r="B284" s="88" t="e">
        <f>VLOOKUP(C284,#REF!,1,0)</f>
        <v>#REF!</v>
      </c>
      <c r="C284" s="1" t="s">
        <v>1115</v>
      </c>
      <c r="D284" s="1" t="s">
        <v>1116</v>
      </c>
      <c r="E284" s="1" t="s">
        <v>9176</v>
      </c>
      <c r="F284" s="1" t="s">
        <v>9060</v>
      </c>
      <c r="G284" t="s">
        <v>8959</v>
      </c>
      <c r="H284" s="1" t="s">
        <v>8984</v>
      </c>
      <c r="I284" s="1" t="s">
        <v>9131</v>
      </c>
      <c r="J284" s="2" t="s">
        <v>21199</v>
      </c>
      <c r="K284" s="1" t="s">
        <v>21199</v>
      </c>
      <c r="L284" s="1" t="s">
        <v>8987</v>
      </c>
      <c r="M284" s="1">
        <v>940</v>
      </c>
      <c r="N284" s="1" t="s">
        <v>8953</v>
      </c>
      <c r="O284" s="1" t="s">
        <v>8954</v>
      </c>
      <c r="P284" s="1" t="s">
        <v>8955</v>
      </c>
      <c r="Q284" s="1" t="s">
        <v>8956</v>
      </c>
      <c r="R284" s="1" t="s">
        <v>9103</v>
      </c>
      <c r="S284" s="1" t="s">
        <v>18719</v>
      </c>
      <c r="T284" s="1" t="s">
        <v>7</v>
      </c>
      <c r="U284" s="1" t="s">
        <v>126</v>
      </c>
    </row>
    <row r="285" spans="1:21" x14ac:dyDescent="0.2">
      <c r="A285" s="88" t="s">
        <v>15847</v>
      </c>
      <c r="B285" s="88" t="e">
        <f>VLOOKUP(C285,#REF!,1,0)</f>
        <v>#REF!</v>
      </c>
      <c r="C285" s="1" t="s">
        <v>1117</v>
      </c>
      <c r="D285" s="1" t="s">
        <v>1118</v>
      </c>
      <c r="E285" s="1" t="s">
        <v>9010</v>
      </c>
      <c r="F285" s="1" t="s">
        <v>8957</v>
      </c>
      <c r="G285" t="s">
        <v>9061</v>
      </c>
      <c r="H285" s="1" t="s">
        <v>9605</v>
      </c>
      <c r="I285" s="1" t="s">
        <v>9155</v>
      </c>
      <c r="J285" s="2" t="s">
        <v>9245</v>
      </c>
      <c r="K285" s="1" t="s">
        <v>9245</v>
      </c>
      <c r="L285" s="1" t="s">
        <v>9292</v>
      </c>
      <c r="M285" s="1">
        <v>1000</v>
      </c>
      <c r="N285" s="1" t="s">
        <v>8953</v>
      </c>
      <c r="O285" s="1" t="s">
        <v>8954</v>
      </c>
      <c r="P285" s="1" t="s">
        <v>8955</v>
      </c>
      <c r="Q285" s="1" t="s">
        <v>8956</v>
      </c>
      <c r="R285" s="1" t="s">
        <v>8958</v>
      </c>
      <c r="S285" s="1" t="s">
        <v>1119</v>
      </c>
      <c r="T285" s="1" t="s">
        <v>17</v>
      </c>
      <c r="U285" s="1" t="s">
        <v>174</v>
      </c>
    </row>
    <row r="286" spans="1:21" x14ac:dyDescent="0.2">
      <c r="A286" s="88" t="s">
        <v>15848</v>
      </c>
      <c r="B286" s="88" t="e">
        <f>VLOOKUP(C286,#REF!,1,0)</f>
        <v>#REF!</v>
      </c>
      <c r="C286" s="1" t="s">
        <v>1120</v>
      </c>
      <c r="D286" s="1" t="s">
        <v>1121</v>
      </c>
      <c r="E286" s="1" t="s">
        <v>18502</v>
      </c>
      <c r="F286" s="1" t="s">
        <v>8957</v>
      </c>
      <c r="G286" t="s">
        <v>8959</v>
      </c>
      <c r="H286" s="1" t="s">
        <v>9252</v>
      </c>
      <c r="I286" s="1" t="s">
        <v>8959</v>
      </c>
      <c r="J286" s="2" t="s">
        <v>9036</v>
      </c>
      <c r="K286" s="1" t="s">
        <v>9036</v>
      </c>
      <c r="L286" s="1" t="s">
        <v>8987</v>
      </c>
      <c r="M286" s="1">
        <v>24639</v>
      </c>
      <c r="N286" s="1" t="s">
        <v>8953</v>
      </c>
      <c r="O286" s="1" t="s">
        <v>8989</v>
      </c>
      <c r="P286" s="1" t="s">
        <v>8955</v>
      </c>
      <c r="Q286" s="1" t="s">
        <v>8956</v>
      </c>
      <c r="R286" s="1" t="s">
        <v>8975</v>
      </c>
      <c r="S286" s="1" t="s">
        <v>18720</v>
      </c>
      <c r="T286" s="1" t="s">
        <v>17</v>
      </c>
      <c r="U286" s="1" t="s">
        <v>1122</v>
      </c>
    </row>
    <row r="287" spans="1:21" x14ac:dyDescent="0.2">
      <c r="A287" s="88" t="s">
        <v>15849</v>
      </c>
      <c r="B287" s="88" t="e">
        <f>VLOOKUP(C287,#REF!,1,0)</f>
        <v>#REF!</v>
      </c>
      <c r="C287" s="1" t="s">
        <v>1123</v>
      </c>
      <c r="D287" s="1" t="s">
        <v>1124</v>
      </c>
      <c r="E287" s="1" t="s">
        <v>9465</v>
      </c>
      <c r="F287" s="1" t="s">
        <v>8957</v>
      </c>
      <c r="G287" t="s">
        <v>8959</v>
      </c>
      <c r="H287" s="1" t="s">
        <v>9092</v>
      </c>
      <c r="I287" s="1" t="s">
        <v>8959</v>
      </c>
      <c r="J287" s="2" t="s">
        <v>21220</v>
      </c>
      <c r="K287" s="1" t="s">
        <v>21665</v>
      </c>
      <c r="L287" s="1" t="s">
        <v>8951</v>
      </c>
      <c r="M287" s="1">
        <v>217</v>
      </c>
      <c r="N287" s="1" t="s">
        <v>8953</v>
      </c>
      <c r="O287" s="1" t="s">
        <v>8989</v>
      </c>
      <c r="P287" s="1" t="s">
        <v>8955</v>
      </c>
      <c r="Q287" s="1" t="s">
        <v>8956</v>
      </c>
      <c r="R287" s="1" t="s">
        <v>8975</v>
      </c>
      <c r="S287" s="1" t="s">
        <v>18721</v>
      </c>
      <c r="T287" s="1" t="s">
        <v>17</v>
      </c>
      <c r="U287" s="1" t="s">
        <v>1125</v>
      </c>
    </row>
    <row r="288" spans="1:21" x14ac:dyDescent="0.2">
      <c r="A288" s="88" t="s">
        <v>15850</v>
      </c>
      <c r="B288" s="88" t="e">
        <f>VLOOKUP(C288,#REF!,1,0)</f>
        <v>#REF!</v>
      </c>
      <c r="C288" s="1" t="s">
        <v>1126</v>
      </c>
      <c r="D288" s="1" t="s">
        <v>1127</v>
      </c>
      <c r="E288" s="1" t="s">
        <v>9317</v>
      </c>
      <c r="F288" s="1" t="s">
        <v>8959</v>
      </c>
      <c r="G288" t="s">
        <v>8959</v>
      </c>
      <c r="H288" s="1" t="s">
        <v>9605</v>
      </c>
      <c r="I288" s="1" t="s">
        <v>8959</v>
      </c>
      <c r="J288" s="2" t="s">
        <v>9036</v>
      </c>
      <c r="K288" s="1" t="s">
        <v>9036</v>
      </c>
      <c r="L288" s="1" t="s">
        <v>9292</v>
      </c>
      <c r="M288" s="1">
        <v>6</v>
      </c>
      <c r="N288" s="1" t="s">
        <v>11658</v>
      </c>
      <c r="O288" s="1" t="s">
        <v>8989</v>
      </c>
      <c r="P288" s="1" t="s">
        <v>8955</v>
      </c>
      <c r="Q288" s="1" t="s">
        <v>8956</v>
      </c>
      <c r="R288" s="1" t="s">
        <v>9103</v>
      </c>
      <c r="S288" s="1" t="s">
        <v>18722</v>
      </c>
      <c r="T288" s="1" t="s">
        <v>17</v>
      </c>
      <c r="U288" s="1" t="s">
        <v>64</v>
      </c>
    </row>
    <row r="289" spans="1:21" x14ac:dyDescent="0.2">
      <c r="A289" s="88" t="s">
        <v>15851</v>
      </c>
      <c r="B289" s="88" t="e">
        <f>VLOOKUP(C289,#REF!,1,0)</f>
        <v>#REF!</v>
      </c>
      <c r="C289" s="1" t="s">
        <v>1128</v>
      </c>
      <c r="D289" s="1" t="s">
        <v>1129</v>
      </c>
      <c r="E289" s="1" t="s">
        <v>10049</v>
      </c>
      <c r="F289" s="1" t="s">
        <v>8959</v>
      </c>
      <c r="G289" t="s">
        <v>8959</v>
      </c>
      <c r="H289" s="1" t="s">
        <v>9075</v>
      </c>
      <c r="I289" s="1" t="s">
        <v>9131</v>
      </c>
      <c r="J289" s="2" t="s">
        <v>10492</v>
      </c>
      <c r="K289" s="1" t="s">
        <v>10492</v>
      </c>
      <c r="L289" s="1" t="s">
        <v>21600</v>
      </c>
      <c r="M289" s="1">
        <v>900</v>
      </c>
      <c r="N289" s="1" t="s">
        <v>8953</v>
      </c>
      <c r="O289" s="1" t="s">
        <v>8989</v>
      </c>
      <c r="P289" s="1" t="s">
        <v>8955</v>
      </c>
      <c r="Q289" s="1" t="s">
        <v>8956</v>
      </c>
      <c r="R289" s="1" t="s">
        <v>8958</v>
      </c>
      <c r="S289" s="1" t="s">
        <v>18723</v>
      </c>
      <c r="T289" s="1" t="s">
        <v>7</v>
      </c>
      <c r="U289" s="1" t="s">
        <v>1130</v>
      </c>
    </row>
    <row r="290" spans="1:21" x14ac:dyDescent="0.2">
      <c r="A290" s="88" t="s">
        <v>15852</v>
      </c>
      <c r="B290" s="88" t="e">
        <f>VLOOKUP(C290,#REF!,1,0)</f>
        <v>#REF!</v>
      </c>
      <c r="C290" s="1" t="s">
        <v>1131</v>
      </c>
      <c r="D290" s="1" t="s">
        <v>1132</v>
      </c>
      <c r="E290" s="1" t="s">
        <v>9380</v>
      </c>
      <c r="F290" s="1" t="s">
        <v>8959</v>
      </c>
      <c r="G290" t="s">
        <v>8959</v>
      </c>
      <c r="H290" s="1" t="s">
        <v>9092</v>
      </c>
      <c r="I290" s="1" t="s">
        <v>8998</v>
      </c>
      <c r="J290" s="2" t="s">
        <v>18489</v>
      </c>
      <c r="K290" s="1" t="s">
        <v>18489</v>
      </c>
      <c r="L290" s="1" t="s">
        <v>8987</v>
      </c>
      <c r="M290" s="1">
        <v>681</v>
      </c>
      <c r="N290" s="1" t="s">
        <v>8953</v>
      </c>
      <c r="O290" s="1" t="s">
        <v>8989</v>
      </c>
      <c r="P290" s="1" t="s">
        <v>8955</v>
      </c>
      <c r="Q290" s="1" t="s">
        <v>8956</v>
      </c>
      <c r="R290" s="1" t="s">
        <v>8958</v>
      </c>
      <c r="S290" s="1" t="s">
        <v>18724</v>
      </c>
      <c r="T290" s="1" t="s">
        <v>7</v>
      </c>
      <c r="U290" s="1" t="s">
        <v>43</v>
      </c>
    </row>
    <row r="291" spans="1:21" x14ac:dyDescent="0.2">
      <c r="A291" s="88" t="s">
        <v>15855</v>
      </c>
      <c r="B291" s="88" t="e">
        <f>VLOOKUP(C291,#REF!,1,0)</f>
        <v>#REF!</v>
      </c>
      <c r="C291" s="1" t="s">
        <v>1137</v>
      </c>
      <c r="D291" s="1" t="s">
        <v>1138</v>
      </c>
      <c r="E291" s="1" t="s">
        <v>9010</v>
      </c>
      <c r="F291" s="1" t="s">
        <v>8957</v>
      </c>
      <c r="G291" t="s">
        <v>9183</v>
      </c>
      <c r="H291" s="1" t="s">
        <v>9035</v>
      </c>
      <c r="I291" s="1" t="s">
        <v>8998</v>
      </c>
      <c r="J291" s="2" t="s">
        <v>9036</v>
      </c>
      <c r="K291" s="1" t="s">
        <v>9036</v>
      </c>
      <c r="L291" s="1" t="s">
        <v>8987</v>
      </c>
      <c r="M291" s="1">
        <v>1000</v>
      </c>
      <c r="N291" s="1" t="s">
        <v>8953</v>
      </c>
      <c r="O291" s="1" t="s">
        <v>8989</v>
      </c>
      <c r="P291" s="1" t="s">
        <v>8955</v>
      </c>
      <c r="Q291" s="1" t="s">
        <v>8956</v>
      </c>
      <c r="R291" s="1" t="s">
        <v>8975</v>
      </c>
      <c r="S291" s="1" t="s">
        <v>1139</v>
      </c>
      <c r="T291" s="1" t="s">
        <v>11</v>
      </c>
      <c r="U291" s="1" t="s">
        <v>24</v>
      </c>
    </row>
    <row r="292" spans="1:21" x14ac:dyDescent="0.2">
      <c r="A292" s="88" t="s">
        <v>15856</v>
      </c>
      <c r="B292" s="88" t="e">
        <f>VLOOKUP(C292,#REF!,1,0)</f>
        <v>#REF!</v>
      </c>
      <c r="C292" s="1" t="s">
        <v>1143</v>
      </c>
      <c r="D292" s="1" t="s">
        <v>1144</v>
      </c>
      <c r="E292" s="1" t="s">
        <v>10049</v>
      </c>
      <c r="F292" s="1" t="s">
        <v>8959</v>
      </c>
      <c r="G292" t="s">
        <v>9183</v>
      </c>
      <c r="H292" s="1" t="s">
        <v>9092</v>
      </c>
      <c r="I292" s="1" t="s">
        <v>8998</v>
      </c>
      <c r="J292" s="2" t="s">
        <v>21421</v>
      </c>
      <c r="K292" s="1" t="s">
        <v>21205</v>
      </c>
      <c r="L292" s="1" t="s">
        <v>9076</v>
      </c>
      <c r="M292" s="1">
        <v>720</v>
      </c>
      <c r="N292" s="1" t="s">
        <v>8953</v>
      </c>
      <c r="O292" s="1" t="s">
        <v>8954</v>
      </c>
      <c r="P292" s="1" t="s">
        <v>8955</v>
      </c>
      <c r="Q292" s="1" t="s">
        <v>8956</v>
      </c>
      <c r="R292" s="1" t="s">
        <v>8958</v>
      </c>
      <c r="S292" s="1" t="s">
        <v>1145</v>
      </c>
      <c r="T292" s="1" t="s">
        <v>11</v>
      </c>
      <c r="U292" s="1" t="s">
        <v>1146</v>
      </c>
    </row>
    <row r="293" spans="1:21" x14ac:dyDescent="0.2">
      <c r="A293" s="88" t="s">
        <v>15857</v>
      </c>
      <c r="B293" s="88" t="e">
        <f>VLOOKUP(C293,#REF!,1,0)</f>
        <v>#REF!</v>
      </c>
      <c r="C293" s="1" t="s">
        <v>1147</v>
      </c>
      <c r="D293" s="1" t="s">
        <v>1148</v>
      </c>
      <c r="E293" s="1" t="s">
        <v>9010</v>
      </c>
      <c r="F293" s="1" t="s">
        <v>9060</v>
      </c>
      <c r="G293" t="s">
        <v>9183</v>
      </c>
      <c r="H293" s="1" t="s">
        <v>8948</v>
      </c>
      <c r="I293" s="1" t="s">
        <v>8949</v>
      </c>
      <c r="J293" s="2" t="s">
        <v>9036</v>
      </c>
      <c r="K293" s="1" t="s">
        <v>9036</v>
      </c>
      <c r="L293" s="1" t="s">
        <v>8951</v>
      </c>
      <c r="M293" s="1">
        <v>18</v>
      </c>
      <c r="N293" s="1" t="s">
        <v>9059</v>
      </c>
      <c r="O293" s="1" t="s">
        <v>8989</v>
      </c>
      <c r="P293" s="1" t="s">
        <v>8955</v>
      </c>
      <c r="Q293" s="1" t="s">
        <v>8956</v>
      </c>
      <c r="R293" s="1" t="s">
        <v>8975</v>
      </c>
      <c r="S293" s="1" t="s">
        <v>1149</v>
      </c>
      <c r="T293" s="1" t="s">
        <v>11</v>
      </c>
      <c r="U293" s="1" t="s">
        <v>392</v>
      </c>
    </row>
    <row r="294" spans="1:21" x14ac:dyDescent="0.2">
      <c r="A294" s="88" t="s">
        <v>15858</v>
      </c>
      <c r="B294" s="88" t="e">
        <f>VLOOKUP(C294,#REF!,1,0)</f>
        <v>#REF!</v>
      </c>
      <c r="C294" s="1" t="s">
        <v>1150</v>
      </c>
      <c r="D294" s="1" t="s">
        <v>1151</v>
      </c>
      <c r="E294" s="1" t="s">
        <v>9010</v>
      </c>
      <c r="F294" s="1" t="s">
        <v>8957</v>
      </c>
      <c r="G294" t="s">
        <v>9061</v>
      </c>
      <c r="H294" s="1" t="s">
        <v>9075</v>
      </c>
      <c r="I294" s="1" t="s">
        <v>8998</v>
      </c>
      <c r="J294" s="2" t="s">
        <v>9036</v>
      </c>
      <c r="K294" s="1" t="s">
        <v>9036</v>
      </c>
      <c r="L294" s="1" t="s">
        <v>9133</v>
      </c>
      <c r="M294" s="1">
        <v>6700</v>
      </c>
      <c r="N294" s="1" t="s">
        <v>8953</v>
      </c>
      <c r="O294" s="1" t="s">
        <v>8954</v>
      </c>
      <c r="P294" s="1" t="s">
        <v>8955</v>
      </c>
      <c r="Q294" s="1" t="s">
        <v>8956</v>
      </c>
      <c r="R294" s="1" t="s">
        <v>8975</v>
      </c>
      <c r="S294" s="1" t="s">
        <v>1152</v>
      </c>
      <c r="T294" s="1" t="s">
        <v>4</v>
      </c>
      <c r="U294" s="1" t="s">
        <v>24</v>
      </c>
    </row>
    <row r="295" spans="1:21" x14ac:dyDescent="0.2">
      <c r="A295" s="88" t="s">
        <v>15859</v>
      </c>
      <c r="B295" s="88" t="e">
        <f>VLOOKUP(C295,#REF!,1,0)</f>
        <v>#REF!</v>
      </c>
      <c r="C295" s="1" t="s">
        <v>1153</v>
      </c>
      <c r="D295" s="1" t="s">
        <v>1154</v>
      </c>
      <c r="E295" s="1" t="s">
        <v>9010</v>
      </c>
      <c r="F295" s="1" t="s">
        <v>8957</v>
      </c>
      <c r="G295" t="s">
        <v>9061</v>
      </c>
      <c r="H295" s="1" t="s">
        <v>9075</v>
      </c>
      <c r="I295" s="1" t="s">
        <v>8998</v>
      </c>
      <c r="J295" s="2" t="s">
        <v>9036</v>
      </c>
      <c r="K295" s="1" t="s">
        <v>9036</v>
      </c>
      <c r="L295" s="1" t="s">
        <v>21600</v>
      </c>
      <c r="M295" s="1">
        <v>8420</v>
      </c>
      <c r="N295" s="1" t="s">
        <v>8953</v>
      </c>
      <c r="O295" s="1" t="s">
        <v>8989</v>
      </c>
      <c r="P295" s="1" t="s">
        <v>8955</v>
      </c>
      <c r="Q295" s="1" t="s">
        <v>8956</v>
      </c>
      <c r="R295" s="1" t="s">
        <v>8958</v>
      </c>
      <c r="S295" s="1" t="s">
        <v>1155</v>
      </c>
      <c r="T295" s="1" t="s">
        <v>242</v>
      </c>
      <c r="U295" s="1" t="s">
        <v>93</v>
      </c>
    </row>
    <row r="296" spans="1:21" x14ac:dyDescent="0.2">
      <c r="A296" s="88" t="s">
        <v>15860</v>
      </c>
      <c r="B296" s="88" t="e">
        <f>VLOOKUP(C296,#REF!,1,0)</f>
        <v>#REF!</v>
      </c>
      <c r="C296" s="1" t="s">
        <v>1156</v>
      </c>
      <c r="D296" s="1" t="s">
        <v>1157</v>
      </c>
      <c r="E296" s="1" t="s">
        <v>18502</v>
      </c>
      <c r="F296" s="1" t="s">
        <v>8957</v>
      </c>
      <c r="G296" t="s">
        <v>9061</v>
      </c>
      <c r="H296" s="1" t="s">
        <v>9075</v>
      </c>
      <c r="I296" s="1" t="s">
        <v>8998</v>
      </c>
      <c r="J296" s="2" t="s">
        <v>9036</v>
      </c>
      <c r="K296" s="1" t="s">
        <v>9036</v>
      </c>
      <c r="L296" s="1" t="s">
        <v>9133</v>
      </c>
      <c r="M296" s="1">
        <v>123</v>
      </c>
      <c r="N296" s="1" t="s">
        <v>9059</v>
      </c>
      <c r="O296" s="1" t="s">
        <v>8989</v>
      </c>
      <c r="P296" s="1" t="s">
        <v>8955</v>
      </c>
      <c r="Q296" s="1" t="s">
        <v>8956</v>
      </c>
      <c r="R296" s="1" t="s">
        <v>8975</v>
      </c>
      <c r="S296" s="1" t="s">
        <v>18726</v>
      </c>
      <c r="T296" s="1" t="s">
        <v>17</v>
      </c>
      <c r="U296" s="1" t="s">
        <v>562</v>
      </c>
    </row>
    <row r="297" spans="1:21" x14ac:dyDescent="0.2">
      <c r="A297" s="88" t="s">
        <v>15861</v>
      </c>
      <c r="B297" s="88" t="e">
        <f>VLOOKUP(C297,#REF!,1,0)</f>
        <v>#REF!</v>
      </c>
      <c r="C297" s="1" t="s">
        <v>1158</v>
      </c>
      <c r="D297" s="1" t="s">
        <v>1159</v>
      </c>
      <c r="E297" s="1" t="s">
        <v>9213</v>
      </c>
      <c r="F297" s="1" t="s">
        <v>8957</v>
      </c>
      <c r="G297" t="s">
        <v>9061</v>
      </c>
      <c r="H297" s="1" t="s">
        <v>9035</v>
      </c>
      <c r="I297" s="1" t="s">
        <v>9155</v>
      </c>
      <c r="J297" s="2" t="s">
        <v>10258</v>
      </c>
      <c r="K297" s="1" t="s">
        <v>21766</v>
      </c>
      <c r="L297" s="1" t="s">
        <v>8951</v>
      </c>
      <c r="M297" s="1">
        <v>17211</v>
      </c>
      <c r="N297" s="1" t="s">
        <v>8953</v>
      </c>
      <c r="O297" s="1" t="s">
        <v>8954</v>
      </c>
      <c r="P297" s="1" t="s">
        <v>8955</v>
      </c>
      <c r="Q297" s="1" t="s">
        <v>8956</v>
      </c>
      <c r="R297" s="1" t="s">
        <v>8958</v>
      </c>
      <c r="S297" s="1" t="s">
        <v>1160</v>
      </c>
      <c r="T297" s="1" t="s">
        <v>17</v>
      </c>
      <c r="U297" s="1" t="s">
        <v>1161</v>
      </c>
    </row>
    <row r="298" spans="1:21" x14ac:dyDescent="0.2">
      <c r="A298" s="88" t="s">
        <v>15862</v>
      </c>
      <c r="B298" s="88" t="e">
        <f>VLOOKUP(C298,#REF!,1,0)</f>
        <v>#REF!</v>
      </c>
      <c r="C298" s="1" t="s">
        <v>1162</v>
      </c>
      <c r="D298" s="1" t="s">
        <v>1163</v>
      </c>
      <c r="E298" s="1" t="s">
        <v>9213</v>
      </c>
      <c r="F298" s="1" t="s">
        <v>8957</v>
      </c>
      <c r="G298" t="s">
        <v>9061</v>
      </c>
      <c r="H298" s="1" t="s">
        <v>9035</v>
      </c>
      <c r="I298" s="1" t="s">
        <v>8998</v>
      </c>
      <c r="J298" s="2" t="s">
        <v>9658</v>
      </c>
      <c r="K298" s="1" t="s">
        <v>9658</v>
      </c>
      <c r="L298" s="1" t="s">
        <v>8987</v>
      </c>
      <c r="M298" s="1">
        <v>173</v>
      </c>
      <c r="N298" s="1" t="s">
        <v>8953</v>
      </c>
      <c r="O298" s="1" t="s">
        <v>8989</v>
      </c>
      <c r="P298" s="1" t="s">
        <v>8955</v>
      </c>
      <c r="Q298" s="1" t="s">
        <v>8956</v>
      </c>
      <c r="R298" s="1" t="s">
        <v>8958</v>
      </c>
      <c r="S298" s="1" t="s">
        <v>18727</v>
      </c>
      <c r="T298" s="1" t="s">
        <v>7</v>
      </c>
      <c r="U298" s="1" t="s">
        <v>562</v>
      </c>
    </row>
    <row r="299" spans="1:21" x14ac:dyDescent="0.2">
      <c r="A299" s="88" t="s">
        <v>15863</v>
      </c>
      <c r="B299" s="88"/>
      <c r="C299" s="1" t="s">
        <v>1164</v>
      </c>
      <c r="D299" s="1" t="s">
        <v>1165</v>
      </c>
      <c r="E299" s="1" t="e">
        <v>#N/A</v>
      </c>
      <c r="F299" s="1" t="e">
        <v>#N/A</v>
      </c>
      <c r="G299" t="e">
        <v>#N/A</v>
      </c>
      <c r="H299" s="1" t="e">
        <v>#N/A</v>
      </c>
      <c r="I299" s="1" t="e">
        <v>#N/A</v>
      </c>
      <c r="J299" s="2" t="e">
        <v>#N/A</v>
      </c>
      <c r="K299" s="1" t="e">
        <v>#N/A</v>
      </c>
      <c r="L299" s="1" t="e">
        <v>#N/A</v>
      </c>
      <c r="M299" s="1" t="e">
        <v>#N/A</v>
      </c>
      <c r="N299" s="1" t="e">
        <v>#N/A</v>
      </c>
      <c r="O299" s="1" t="e">
        <v>#N/A</v>
      </c>
      <c r="P299" s="1" t="s">
        <v>8955</v>
      </c>
      <c r="Q299" s="1" t="s">
        <v>8956</v>
      </c>
      <c r="R299" s="1" t="s">
        <v>8958</v>
      </c>
      <c r="S299" s="1" t="s">
        <v>18728</v>
      </c>
      <c r="T299" s="1" t="s">
        <v>252</v>
      </c>
      <c r="U299" s="1" t="s">
        <v>126</v>
      </c>
    </row>
    <row r="300" spans="1:21" x14ac:dyDescent="0.2">
      <c r="A300" s="88" t="s">
        <v>15865</v>
      </c>
      <c r="B300" s="88" t="e">
        <f>VLOOKUP(C300,#REF!,1,0)</f>
        <v>#REF!</v>
      </c>
      <c r="C300" s="1" t="s">
        <v>1168</v>
      </c>
      <c r="D300" s="1" t="s">
        <v>1169</v>
      </c>
      <c r="E300" s="1" t="s">
        <v>9815</v>
      </c>
      <c r="F300" s="1" t="s">
        <v>8974</v>
      </c>
      <c r="G300" t="s">
        <v>8959</v>
      </c>
      <c r="H300" s="1" t="s">
        <v>20712</v>
      </c>
      <c r="I300" s="1" t="s">
        <v>9155</v>
      </c>
      <c r="J300" s="2" t="s">
        <v>20761</v>
      </c>
      <c r="K300" s="1" t="s">
        <v>21767</v>
      </c>
      <c r="L300" s="1" t="s">
        <v>21600</v>
      </c>
      <c r="M300" s="1">
        <v>189</v>
      </c>
      <c r="N300" s="1" t="s">
        <v>8953</v>
      </c>
      <c r="O300" s="1" t="s">
        <v>8954</v>
      </c>
      <c r="P300" s="1" t="s">
        <v>8955</v>
      </c>
      <c r="Q300" s="1" t="s">
        <v>8956</v>
      </c>
      <c r="R300" s="1" t="s">
        <v>9103</v>
      </c>
      <c r="S300" s="1" t="s">
        <v>18730</v>
      </c>
      <c r="T300" s="1" t="s">
        <v>17</v>
      </c>
      <c r="U300" s="1" t="s">
        <v>27</v>
      </c>
    </row>
    <row r="301" spans="1:21" x14ac:dyDescent="0.2">
      <c r="A301" s="88" t="s">
        <v>15866</v>
      </c>
      <c r="B301" s="88" t="e">
        <f>VLOOKUP(C301,#REF!,1,0)</f>
        <v>#REF!</v>
      </c>
      <c r="C301" s="1" t="s">
        <v>1170</v>
      </c>
      <c r="D301" s="1" t="s">
        <v>1171</v>
      </c>
      <c r="E301" s="1" t="s">
        <v>13122</v>
      </c>
      <c r="F301" s="1" t="s">
        <v>8957</v>
      </c>
      <c r="G301" t="s">
        <v>9183</v>
      </c>
      <c r="H301" s="1" t="s">
        <v>9049</v>
      </c>
      <c r="I301" s="1" t="s">
        <v>9325</v>
      </c>
      <c r="J301" s="2" t="s">
        <v>21546</v>
      </c>
      <c r="K301" s="1" t="s">
        <v>21546</v>
      </c>
      <c r="L301" s="1" t="s">
        <v>8987</v>
      </c>
      <c r="M301" s="1">
        <v>14720</v>
      </c>
      <c r="N301" s="1" t="s">
        <v>8953</v>
      </c>
      <c r="O301" s="1" t="s">
        <v>8954</v>
      </c>
      <c r="P301" s="1" t="s">
        <v>8955</v>
      </c>
      <c r="Q301" s="1" t="s">
        <v>8956</v>
      </c>
      <c r="R301" s="1" t="s">
        <v>8958</v>
      </c>
      <c r="S301" s="1" t="s">
        <v>1172</v>
      </c>
      <c r="T301" s="1" t="s">
        <v>11</v>
      </c>
      <c r="U301" s="1" t="s">
        <v>46</v>
      </c>
    </row>
    <row r="302" spans="1:21" x14ac:dyDescent="0.2">
      <c r="A302" s="88" t="s">
        <v>15867</v>
      </c>
      <c r="B302" s="88" t="e">
        <f>VLOOKUP(C302,#REF!,1,0)</f>
        <v>#REF!</v>
      </c>
      <c r="C302" s="1" t="s">
        <v>1179</v>
      </c>
      <c r="D302" s="1" t="s">
        <v>1180</v>
      </c>
      <c r="E302" s="1" t="s">
        <v>9010</v>
      </c>
      <c r="F302" s="1" t="s">
        <v>8974</v>
      </c>
      <c r="G302" t="s">
        <v>9061</v>
      </c>
      <c r="H302" s="1" t="s">
        <v>8948</v>
      </c>
      <c r="I302" s="1" t="s">
        <v>8998</v>
      </c>
      <c r="J302" s="2" t="s">
        <v>8972</v>
      </c>
      <c r="K302" s="1" t="s">
        <v>21768</v>
      </c>
      <c r="L302" s="1" t="s">
        <v>21600</v>
      </c>
      <c r="M302" s="1">
        <v>1120</v>
      </c>
      <c r="N302" s="1" t="s">
        <v>8953</v>
      </c>
      <c r="O302" s="1" t="s">
        <v>8989</v>
      </c>
      <c r="P302" s="1" t="s">
        <v>8955</v>
      </c>
      <c r="Q302" s="1" t="s">
        <v>8956</v>
      </c>
      <c r="R302" s="1" t="s">
        <v>8975</v>
      </c>
      <c r="S302" s="1" t="s">
        <v>1181</v>
      </c>
      <c r="T302" s="1" t="s">
        <v>17</v>
      </c>
      <c r="U302" s="1" t="s">
        <v>93</v>
      </c>
    </row>
    <row r="303" spans="1:21" x14ac:dyDescent="0.2">
      <c r="A303" s="88" t="s">
        <v>15869</v>
      </c>
      <c r="B303" s="88" t="e">
        <f>VLOOKUP(C303,#REF!,1,0)</f>
        <v>#REF!</v>
      </c>
      <c r="C303" s="1" t="s">
        <v>1184</v>
      </c>
      <c r="D303" s="1" t="s">
        <v>1185</v>
      </c>
      <c r="E303" s="1" t="s">
        <v>18502</v>
      </c>
      <c r="F303" s="1" t="s">
        <v>8957</v>
      </c>
      <c r="G303" t="s">
        <v>8959</v>
      </c>
      <c r="H303" s="1" t="s">
        <v>9092</v>
      </c>
      <c r="I303" s="1" t="s">
        <v>8949</v>
      </c>
      <c r="J303" s="2" t="s">
        <v>9036</v>
      </c>
      <c r="K303" s="1" t="s">
        <v>9036</v>
      </c>
      <c r="L303" s="1" t="s">
        <v>8987</v>
      </c>
      <c r="M303" s="1">
        <v>1505</v>
      </c>
      <c r="N303" s="1" t="s">
        <v>9059</v>
      </c>
      <c r="O303" s="1" t="s">
        <v>8954</v>
      </c>
      <c r="P303" s="1" t="s">
        <v>8955</v>
      </c>
      <c r="Q303" s="1" t="s">
        <v>8956</v>
      </c>
      <c r="R303" s="1" t="s">
        <v>8958</v>
      </c>
      <c r="S303" s="1" t="s">
        <v>18734</v>
      </c>
      <c r="T303" s="1" t="s">
        <v>7</v>
      </c>
      <c r="U303" s="1" t="s">
        <v>147</v>
      </c>
    </row>
    <row r="304" spans="1:21" x14ac:dyDescent="0.2">
      <c r="A304" s="88" t="s">
        <v>15870</v>
      </c>
      <c r="B304" s="88" t="e">
        <f>VLOOKUP(C304,#REF!,1,0)</f>
        <v>#REF!</v>
      </c>
      <c r="C304" s="1" t="s">
        <v>1186</v>
      </c>
      <c r="D304" s="1" t="s">
        <v>1187</v>
      </c>
      <c r="E304" s="1" t="s">
        <v>9010</v>
      </c>
      <c r="F304" s="1" t="s">
        <v>8957</v>
      </c>
      <c r="G304" t="s">
        <v>9009</v>
      </c>
      <c r="H304" s="1" t="s">
        <v>9605</v>
      </c>
      <c r="I304" s="1" t="s">
        <v>8985</v>
      </c>
      <c r="J304" s="2" t="s">
        <v>9018</v>
      </c>
      <c r="K304" s="1" t="s">
        <v>9018</v>
      </c>
      <c r="L304" s="1" t="s">
        <v>8987</v>
      </c>
      <c r="M304" s="1">
        <v>3528</v>
      </c>
      <c r="N304" s="1" t="s">
        <v>8953</v>
      </c>
      <c r="O304" s="1" t="s">
        <v>8954</v>
      </c>
      <c r="P304" s="1" t="s">
        <v>8955</v>
      </c>
      <c r="Q304" s="1" t="s">
        <v>8956</v>
      </c>
      <c r="R304" s="1" t="s">
        <v>8958</v>
      </c>
      <c r="S304" s="1" t="s">
        <v>1188</v>
      </c>
      <c r="T304" s="1" t="s">
        <v>11</v>
      </c>
      <c r="U304" s="1" t="s">
        <v>1110</v>
      </c>
    </row>
    <row r="305" spans="1:21" x14ac:dyDescent="0.2">
      <c r="A305" s="88" t="s">
        <v>15871</v>
      </c>
      <c r="B305" s="88" t="e">
        <f>VLOOKUP(C305,#REF!,1,0)</f>
        <v>#REF!</v>
      </c>
      <c r="C305" s="1" t="s">
        <v>1189</v>
      </c>
      <c r="D305" s="1" t="s">
        <v>1190</v>
      </c>
      <c r="E305" s="1" t="s">
        <v>9213</v>
      </c>
      <c r="F305" s="1" t="s">
        <v>8957</v>
      </c>
      <c r="G305" t="s">
        <v>8959</v>
      </c>
      <c r="H305" s="1" t="s">
        <v>20714</v>
      </c>
      <c r="I305" s="1" t="s">
        <v>9050</v>
      </c>
      <c r="J305" s="2" t="s">
        <v>20762</v>
      </c>
      <c r="K305" s="1" t="s">
        <v>20762</v>
      </c>
      <c r="L305" s="1" t="s">
        <v>9133</v>
      </c>
      <c r="M305" s="1">
        <v>15408</v>
      </c>
      <c r="N305" s="1" t="s">
        <v>8953</v>
      </c>
      <c r="O305" s="1" t="s">
        <v>8989</v>
      </c>
      <c r="P305" s="1" t="s">
        <v>8955</v>
      </c>
      <c r="Q305" s="1" t="s">
        <v>8956</v>
      </c>
      <c r="R305" s="1" t="s">
        <v>8975</v>
      </c>
      <c r="S305" s="1" t="s">
        <v>18735</v>
      </c>
      <c r="T305" s="1" t="s">
        <v>7</v>
      </c>
      <c r="U305" s="1" t="s">
        <v>443</v>
      </c>
    </row>
    <row r="306" spans="1:21" x14ac:dyDescent="0.2">
      <c r="A306" s="88" t="s">
        <v>15872</v>
      </c>
      <c r="B306" s="88" t="e">
        <f>VLOOKUP(C306,#REF!,1,0)</f>
        <v>#REF!</v>
      </c>
      <c r="C306" s="1" t="s">
        <v>1191</v>
      </c>
      <c r="D306" s="1" t="s">
        <v>1192</v>
      </c>
      <c r="E306" s="1" t="s">
        <v>9010</v>
      </c>
      <c r="F306" s="1" t="s">
        <v>8957</v>
      </c>
      <c r="G306" t="s">
        <v>9009</v>
      </c>
      <c r="H306" s="1" t="s">
        <v>8948</v>
      </c>
      <c r="I306" s="1" t="s">
        <v>8949</v>
      </c>
      <c r="J306" s="2" t="s">
        <v>12408</v>
      </c>
      <c r="K306" s="1" t="s">
        <v>12408</v>
      </c>
      <c r="L306" s="1" t="s">
        <v>21600</v>
      </c>
      <c r="M306" s="1">
        <v>496</v>
      </c>
      <c r="N306" s="1" t="s">
        <v>9059</v>
      </c>
      <c r="O306" s="1" t="s">
        <v>8954</v>
      </c>
      <c r="P306" s="1" t="s">
        <v>8955</v>
      </c>
      <c r="Q306" s="1" t="s">
        <v>8956</v>
      </c>
      <c r="R306" s="1" t="s">
        <v>8975</v>
      </c>
      <c r="S306" s="1" t="s">
        <v>1193</v>
      </c>
      <c r="T306" s="1" t="s">
        <v>11</v>
      </c>
      <c r="U306" s="1" t="s">
        <v>39</v>
      </c>
    </row>
    <row r="307" spans="1:21" x14ac:dyDescent="0.2">
      <c r="A307" s="88" t="s">
        <v>15873</v>
      </c>
      <c r="B307" s="88" t="e">
        <f>VLOOKUP(C307,#REF!,1,0)</f>
        <v>#REF!</v>
      </c>
      <c r="C307" s="1" t="s">
        <v>1194</v>
      </c>
      <c r="D307" s="1" t="s">
        <v>1195</v>
      </c>
      <c r="E307" s="1" t="s">
        <v>9010</v>
      </c>
      <c r="F307" s="1" t="s">
        <v>8957</v>
      </c>
      <c r="G307" t="s">
        <v>9061</v>
      </c>
      <c r="H307" s="1" t="s">
        <v>12678</v>
      </c>
      <c r="I307" s="1" t="s">
        <v>9155</v>
      </c>
      <c r="J307" s="2" t="s">
        <v>10258</v>
      </c>
      <c r="K307" s="1" t="s">
        <v>10258</v>
      </c>
      <c r="L307" s="1" t="s">
        <v>9133</v>
      </c>
      <c r="M307" s="1">
        <v>35126</v>
      </c>
      <c r="N307" s="1" t="s">
        <v>8953</v>
      </c>
      <c r="O307" s="1" t="s">
        <v>8954</v>
      </c>
      <c r="P307" s="1" t="s">
        <v>8955</v>
      </c>
      <c r="Q307" s="1" t="s">
        <v>8956</v>
      </c>
      <c r="R307" s="1" t="s">
        <v>8975</v>
      </c>
      <c r="S307" s="1" t="s">
        <v>1196</v>
      </c>
      <c r="T307" s="1" t="s">
        <v>11</v>
      </c>
      <c r="U307" s="1" t="s">
        <v>584</v>
      </c>
    </row>
    <row r="308" spans="1:21" x14ac:dyDescent="0.2">
      <c r="A308" s="88" t="s">
        <v>15874</v>
      </c>
      <c r="B308" s="88" t="e">
        <f>VLOOKUP(C308,#REF!,1,0)</f>
        <v>#REF!</v>
      </c>
      <c r="C308" s="1" t="s">
        <v>1197</v>
      </c>
      <c r="D308" s="1" t="s">
        <v>1198</v>
      </c>
      <c r="E308" s="1" t="s">
        <v>18502</v>
      </c>
      <c r="F308" s="1" t="s">
        <v>8957</v>
      </c>
      <c r="G308" t="s">
        <v>9061</v>
      </c>
      <c r="H308" s="1" t="s">
        <v>9100</v>
      </c>
      <c r="I308" s="1" t="s">
        <v>8949</v>
      </c>
      <c r="J308" s="2" t="s">
        <v>10492</v>
      </c>
      <c r="K308" s="1" t="s">
        <v>10492</v>
      </c>
      <c r="L308" s="1" t="s">
        <v>21600</v>
      </c>
      <c r="M308" s="1">
        <v>843</v>
      </c>
      <c r="N308" s="1" t="s">
        <v>8953</v>
      </c>
      <c r="O308" s="1" t="s">
        <v>8954</v>
      </c>
      <c r="P308" s="1" t="s">
        <v>8955</v>
      </c>
      <c r="Q308" s="1" t="s">
        <v>8956</v>
      </c>
      <c r="R308" s="1" t="s">
        <v>8975</v>
      </c>
      <c r="S308" s="1" t="s">
        <v>18736</v>
      </c>
      <c r="T308" s="1" t="s">
        <v>17</v>
      </c>
      <c r="U308" s="1" t="s">
        <v>609</v>
      </c>
    </row>
    <row r="309" spans="1:21" x14ac:dyDescent="0.2">
      <c r="A309" s="88" t="s">
        <v>15875</v>
      </c>
      <c r="B309" s="88" t="e">
        <f>VLOOKUP(C309,#REF!,1,0)</f>
        <v>#REF!</v>
      </c>
      <c r="C309" s="1" t="s">
        <v>1199</v>
      </c>
      <c r="D309" s="1" t="s">
        <v>1200</v>
      </c>
      <c r="E309" s="1" t="s">
        <v>9010</v>
      </c>
      <c r="F309" s="1" t="s">
        <v>9060</v>
      </c>
      <c r="G309" t="s">
        <v>9183</v>
      </c>
      <c r="H309" s="1" t="s">
        <v>8948</v>
      </c>
      <c r="I309" s="1" t="s">
        <v>8998</v>
      </c>
      <c r="J309" s="2" t="s">
        <v>9036</v>
      </c>
      <c r="K309" s="1" t="s">
        <v>9036</v>
      </c>
      <c r="L309" s="1" t="s">
        <v>9133</v>
      </c>
      <c r="M309" s="1">
        <v>10159</v>
      </c>
      <c r="N309" s="1" t="s">
        <v>8953</v>
      </c>
      <c r="O309" s="1" t="s">
        <v>8989</v>
      </c>
      <c r="P309" s="1" t="s">
        <v>8955</v>
      </c>
      <c r="Q309" s="1" t="s">
        <v>8956</v>
      </c>
      <c r="R309" s="1" t="s">
        <v>8975</v>
      </c>
      <c r="S309" s="1" t="s">
        <v>1201</v>
      </c>
      <c r="T309" s="1" t="s">
        <v>11</v>
      </c>
      <c r="U309" s="1" t="s">
        <v>1202</v>
      </c>
    </row>
    <row r="310" spans="1:21" x14ac:dyDescent="0.2">
      <c r="A310" s="88" t="s">
        <v>15878</v>
      </c>
      <c r="B310" s="88" t="e">
        <f>VLOOKUP(C310,#REF!,1,0)</f>
        <v>#REF!</v>
      </c>
      <c r="C310" s="1" t="s">
        <v>1211</v>
      </c>
      <c r="D310" s="1" t="s">
        <v>1212</v>
      </c>
      <c r="E310" s="1" t="s">
        <v>10032</v>
      </c>
      <c r="F310" s="1" t="s">
        <v>8974</v>
      </c>
      <c r="G310" t="s">
        <v>9009</v>
      </c>
      <c r="H310" s="1" t="s">
        <v>9605</v>
      </c>
      <c r="I310" s="1" t="s">
        <v>8998</v>
      </c>
      <c r="J310" s="2" t="s">
        <v>9041</v>
      </c>
      <c r="K310" s="1" t="s">
        <v>9041</v>
      </c>
      <c r="L310" s="1" t="s">
        <v>9076</v>
      </c>
      <c r="M310" s="1">
        <v>8139</v>
      </c>
      <c r="N310" s="1" t="s">
        <v>8953</v>
      </c>
      <c r="O310" s="1" t="s">
        <v>8989</v>
      </c>
      <c r="P310" s="1" t="s">
        <v>8955</v>
      </c>
      <c r="Q310" s="1" t="s">
        <v>8956</v>
      </c>
      <c r="R310" s="1" t="s">
        <v>8958</v>
      </c>
      <c r="S310" s="1" t="s">
        <v>1213</v>
      </c>
      <c r="T310" s="1" t="s">
        <v>11</v>
      </c>
      <c r="U310" s="1" t="s">
        <v>1214</v>
      </c>
    </row>
    <row r="311" spans="1:21" x14ac:dyDescent="0.2">
      <c r="A311" s="88" t="s">
        <v>15879</v>
      </c>
      <c r="B311" s="88" t="e">
        <f>VLOOKUP(C311,#REF!,1,0)</f>
        <v>#REF!</v>
      </c>
      <c r="C311" s="1" t="s">
        <v>1215</v>
      </c>
      <c r="D311" s="1" t="s">
        <v>1216</v>
      </c>
      <c r="E311" s="1" t="s">
        <v>9176</v>
      </c>
      <c r="F311" s="1" t="s">
        <v>9060</v>
      </c>
      <c r="G311" t="s">
        <v>9183</v>
      </c>
      <c r="H311" s="1" t="s">
        <v>20714</v>
      </c>
      <c r="I311" s="1" t="s">
        <v>8959</v>
      </c>
      <c r="J311" s="2" t="s">
        <v>20768</v>
      </c>
      <c r="K311" s="1" t="s">
        <v>20768</v>
      </c>
      <c r="L311" s="1" t="s">
        <v>21600</v>
      </c>
      <c r="M311" s="1">
        <v>82</v>
      </c>
      <c r="N311" s="1" t="s">
        <v>8953</v>
      </c>
      <c r="O311" s="1" t="s">
        <v>8989</v>
      </c>
      <c r="P311" s="1" t="s">
        <v>8955</v>
      </c>
      <c r="Q311" s="1" t="s">
        <v>8956</v>
      </c>
      <c r="R311" s="1" t="s">
        <v>8975</v>
      </c>
      <c r="S311" s="1" t="s">
        <v>18738</v>
      </c>
      <c r="T311" s="1" t="s">
        <v>7</v>
      </c>
      <c r="U311" s="1" t="s">
        <v>24</v>
      </c>
    </row>
    <row r="312" spans="1:21" x14ac:dyDescent="0.2">
      <c r="A312" s="88" t="s">
        <v>15880</v>
      </c>
      <c r="B312" s="88" t="e">
        <f>VLOOKUP(C312,#REF!,1,0)</f>
        <v>#REF!</v>
      </c>
      <c r="C312" s="1" t="s">
        <v>1217</v>
      </c>
      <c r="D312" s="1" t="s">
        <v>1218</v>
      </c>
      <c r="E312" s="1" t="s">
        <v>10032</v>
      </c>
      <c r="F312" s="1" t="s">
        <v>8959</v>
      </c>
      <c r="G312" t="s">
        <v>9009</v>
      </c>
      <c r="H312" s="1" t="s">
        <v>8948</v>
      </c>
      <c r="I312" s="1" t="s">
        <v>8949</v>
      </c>
      <c r="J312" s="2" t="s">
        <v>20779</v>
      </c>
      <c r="K312" s="1" t="s">
        <v>9036</v>
      </c>
      <c r="L312" s="1" t="s">
        <v>8951</v>
      </c>
      <c r="M312" s="1">
        <v>1200</v>
      </c>
      <c r="N312" s="1" t="s">
        <v>8953</v>
      </c>
      <c r="O312" s="1" t="s">
        <v>8989</v>
      </c>
      <c r="P312" s="1" t="s">
        <v>8955</v>
      </c>
      <c r="Q312" s="1" t="s">
        <v>8956</v>
      </c>
      <c r="R312" s="1" t="s">
        <v>8958</v>
      </c>
      <c r="S312" s="1" t="s">
        <v>1219</v>
      </c>
      <c r="T312" s="1" t="s">
        <v>11</v>
      </c>
      <c r="U312" s="1" t="s">
        <v>74</v>
      </c>
    </row>
    <row r="313" spans="1:21" x14ac:dyDescent="0.2">
      <c r="A313" s="88" t="s">
        <v>15881</v>
      </c>
      <c r="B313" s="88"/>
      <c r="C313" s="1" t="s">
        <v>1227</v>
      </c>
      <c r="D313" s="1" t="s">
        <v>1228</v>
      </c>
      <c r="E313" s="1" t="e">
        <v>#N/A</v>
      </c>
      <c r="F313" s="1" t="e">
        <v>#N/A</v>
      </c>
      <c r="G313" t="e">
        <v>#N/A</v>
      </c>
      <c r="H313" s="1" t="e">
        <v>#N/A</v>
      </c>
      <c r="I313" s="1" t="e">
        <v>#N/A</v>
      </c>
      <c r="J313" s="2" t="e">
        <v>#N/A</v>
      </c>
      <c r="K313" s="1" t="e">
        <v>#N/A</v>
      </c>
      <c r="L313" s="1" t="e">
        <v>#N/A</v>
      </c>
      <c r="M313" s="1" t="e">
        <v>#N/A</v>
      </c>
      <c r="N313" s="1" t="e">
        <v>#N/A</v>
      </c>
      <c r="O313" s="1" t="e">
        <v>#N/A</v>
      </c>
      <c r="P313" s="1" t="s">
        <v>8955</v>
      </c>
      <c r="Q313" s="1" t="s">
        <v>8956</v>
      </c>
      <c r="R313" s="1" t="s">
        <v>8975</v>
      </c>
      <c r="S313" s="1" t="s">
        <v>20564</v>
      </c>
      <c r="T313" s="1" t="s">
        <v>252</v>
      </c>
      <c r="U313" s="1" t="s">
        <v>126</v>
      </c>
    </row>
    <row r="314" spans="1:21" x14ac:dyDescent="0.2">
      <c r="A314" s="88" t="s">
        <v>15882</v>
      </c>
      <c r="B314" s="88" t="e">
        <f>VLOOKUP(C314,#REF!,1,0)</f>
        <v>#REF!</v>
      </c>
      <c r="C314" s="1" t="s">
        <v>1232</v>
      </c>
      <c r="D314" s="1" t="s">
        <v>1233</v>
      </c>
      <c r="E314" s="1" t="s">
        <v>9010</v>
      </c>
      <c r="F314" s="1" t="s">
        <v>8957</v>
      </c>
      <c r="G314" t="s">
        <v>9061</v>
      </c>
      <c r="H314" s="1" t="s">
        <v>9092</v>
      </c>
      <c r="I314" s="1" t="s">
        <v>8949</v>
      </c>
      <c r="J314" s="2" t="s">
        <v>9036</v>
      </c>
      <c r="K314" s="1" t="s">
        <v>9036</v>
      </c>
      <c r="L314" s="1" t="s">
        <v>9133</v>
      </c>
      <c r="M314" s="1">
        <v>124</v>
      </c>
      <c r="N314" s="1" t="s">
        <v>8953</v>
      </c>
      <c r="O314" s="1" t="s">
        <v>8954</v>
      </c>
      <c r="P314" s="1" t="s">
        <v>8955</v>
      </c>
      <c r="Q314" s="1" t="s">
        <v>8956</v>
      </c>
      <c r="R314" s="1" t="s">
        <v>8975</v>
      </c>
      <c r="S314" s="1" t="s">
        <v>1234</v>
      </c>
      <c r="T314" s="1" t="s">
        <v>11</v>
      </c>
      <c r="U314" s="1" t="s">
        <v>161</v>
      </c>
    </row>
    <row r="315" spans="1:21" x14ac:dyDescent="0.2">
      <c r="A315" s="88" t="s">
        <v>15884</v>
      </c>
      <c r="B315" s="88" t="e">
        <f>VLOOKUP(C315,#REF!,1,0)</f>
        <v>#REF!</v>
      </c>
      <c r="C315" s="1" t="s">
        <v>1246</v>
      </c>
      <c r="D315" s="1" t="s">
        <v>1247</v>
      </c>
      <c r="E315" s="1" t="s">
        <v>18502</v>
      </c>
      <c r="F315" s="1" t="s">
        <v>8974</v>
      </c>
      <c r="G315" t="s">
        <v>9061</v>
      </c>
      <c r="H315" s="1" t="s">
        <v>8948</v>
      </c>
      <c r="I315" s="1" t="s">
        <v>9155</v>
      </c>
      <c r="J315" s="2" t="s">
        <v>10492</v>
      </c>
      <c r="K315" s="1" t="s">
        <v>10492</v>
      </c>
      <c r="L315" s="1" t="s">
        <v>9133</v>
      </c>
      <c r="M315" s="1">
        <v>36</v>
      </c>
      <c r="N315" s="1" t="s">
        <v>9059</v>
      </c>
      <c r="O315" s="1" t="s">
        <v>8989</v>
      </c>
      <c r="P315" s="1" t="s">
        <v>8955</v>
      </c>
      <c r="Q315" s="1" t="s">
        <v>8956</v>
      </c>
      <c r="R315" s="1" t="s">
        <v>8958</v>
      </c>
      <c r="S315" s="1" t="s">
        <v>18743</v>
      </c>
      <c r="T315" s="1" t="s">
        <v>7</v>
      </c>
      <c r="U315" s="1" t="s">
        <v>180</v>
      </c>
    </row>
    <row r="316" spans="1:21" x14ac:dyDescent="0.2">
      <c r="A316" s="88" t="s">
        <v>15885</v>
      </c>
      <c r="B316" s="88" t="e">
        <f>VLOOKUP(C316,#REF!,1,0)</f>
        <v>#REF!</v>
      </c>
      <c r="C316" s="1" t="s">
        <v>1248</v>
      </c>
      <c r="D316" s="1" t="s">
        <v>1249</v>
      </c>
      <c r="E316" s="1" t="s">
        <v>9310</v>
      </c>
      <c r="F316" s="1" t="s">
        <v>8957</v>
      </c>
      <c r="G316" t="s">
        <v>9183</v>
      </c>
      <c r="H316" s="1" t="s">
        <v>9092</v>
      </c>
      <c r="I316" s="1" t="s">
        <v>8998</v>
      </c>
      <c r="J316" s="2" t="s">
        <v>9523</v>
      </c>
      <c r="K316" s="1" t="s">
        <v>9523</v>
      </c>
      <c r="L316" s="1" t="s">
        <v>21600</v>
      </c>
      <c r="M316" s="1">
        <v>300</v>
      </c>
      <c r="N316" s="1" t="s">
        <v>8953</v>
      </c>
      <c r="O316" s="1" t="s">
        <v>8954</v>
      </c>
      <c r="P316" s="1" t="s">
        <v>8955</v>
      </c>
      <c r="Q316" s="1" t="s">
        <v>8956</v>
      </c>
      <c r="R316" s="1" t="s">
        <v>8958</v>
      </c>
      <c r="S316" s="1" t="s">
        <v>1250</v>
      </c>
      <c r="T316" s="1" t="s">
        <v>17</v>
      </c>
      <c r="U316" s="1" t="s">
        <v>27</v>
      </c>
    </row>
    <row r="317" spans="1:21" x14ac:dyDescent="0.2">
      <c r="A317" s="88" t="s">
        <v>15886</v>
      </c>
      <c r="B317" s="88" t="e">
        <f>VLOOKUP(C317,#REF!,1,0)</f>
        <v>#REF!</v>
      </c>
      <c r="C317" s="1" t="s">
        <v>1251</v>
      </c>
      <c r="D317" s="1" t="s">
        <v>1252</v>
      </c>
      <c r="E317" s="1" t="s">
        <v>9010</v>
      </c>
      <c r="F317" s="1" t="s">
        <v>8974</v>
      </c>
      <c r="G317" t="s">
        <v>9061</v>
      </c>
      <c r="H317" s="1" t="s">
        <v>8984</v>
      </c>
      <c r="I317" s="1" t="s">
        <v>8949</v>
      </c>
      <c r="J317" s="2" t="s">
        <v>20779</v>
      </c>
      <c r="K317" s="1" t="s">
        <v>9036</v>
      </c>
      <c r="L317" s="1" t="s">
        <v>9076</v>
      </c>
      <c r="M317" s="1">
        <v>157</v>
      </c>
      <c r="N317" s="1" t="s">
        <v>9059</v>
      </c>
      <c r="O317" s="1" t="s">
        <v>8989</v>
      </c>
      <c r="P317" s="1" t="s">
        <v>8955</v>
      </c>
      <c r="Q317" s="1" t="s">
        <v>8956</v>
      </c>
      <c r="R317" s="1" t="s">
        <v>8975</v>
      </c>
      <c r="S317" s="1" t="s">
        <v>1253</v>
      </c>
      <c r="T317" s="1" t="s">
        <v>11</v>
      </c>
      <c r="U317" s="1" t="s">
        <v>180</v>
      </c>
    </row>
    <row r="318" spans="1:21" x14ac:dyDescent="0.2">
      <c r="A318" s="88" t="s">
        <v>15887</v>
      </c>
      <c r="B318" s="88" t="e">
        <f>VLOOKUP(C318,#REF!,1,0)</f>
        <v>#REF!</v>
      </c>
      <c r="C318" s="1" t="s">
        <v>1254</v>
      </c>
      <c r="D318" s="1" t="s">
        <v>1255</v>
      </c>
      <c r="E318" s="1" t="s">
        <v>9310</v>
      </c>
      <c r="F318" s="1" t="s">
        <v>8957</v>
      </c>
      <c r="G318" t="s">
        <v>8959</v>
      </c>
      <c r="H318" s="1" t="s">
        <v>9035</v>
      </c>
      <c r="I318" s="1" t="s">
        <v>8998</v>
      </c>
      <c r="J318" s="2" t="s">
        <v>10492</v>
      </c>
      <c r="K318" s="1" t="s">
        <v>21645</v>
      </c>
      <c r="L318" s="1" t="s">
        <v>9292</v>
      </c>
      <c r="M318" s="1">
        <v>1018</v>
      </c>
      <c r="N318" s="1" t="s">
        <v>9059</v>
      </c>
      <c r="O318" s="1" t="s">
        <v>8954</v>
      </c>
      <c r="P318" s="1" t="s">
        <v>8955</v>
      </c>
      <c r="Q318" s="1" t="s">
        <v>8956</v>
      </c>
      <c r="R318" s="1" t="s">
        <v>8958</v>
      </c>
      <c r="S318" s="1" t="s">
        <v>18744</v>
      </c>
      <c r="T318" s="1" t="s">
        <v>17</v>
      </c>
      <c r="U318" s="1" t="s">
        <v>5</v>
      </c>
    </row>
    <row r="319" spans="1:21" x14ac:dyDescent="0.2">
      <c r="A319" s="88" t="s">
        <v>15888</v>
      </c>
      <c r="B319" s="88" t="e">
        <f>VLOOKUP(C319,#REF!,1,0)</f>
        <v>#REF!</v>
      </c>
      <c r="C319" s="1" t="s">
        <v>1256</v>
      </c>
      <c r="D319" s="1" t="s">
        <v>1257</v>
      </c>
      <c r="E319" s="1" t="s">
        <v>9310</v>
      </c>
      <c r="F319" s="1" t="s">
        <v>8959</v>
      </c>
      <c r="G319" t="s">
        <v>9061</v>
      </c>
      <c r="H319" s="1" t="s">
        <v>9035</v>
      </c>
      <c r="I319" s="1" t="s">
        <v>8998</v>
      </c>
      <c r="J319" s="2" t="s">
        <v>21547</v>
      </c>
      <c r="K319" s="1" t="s">
        <v>21547</v>
      </c>
      <c r="L319" s="1" t="s">
        <v>9076</v>
      </c>
      <c r="M319" s="1">
        <v>396</v>
      </c>
      <c r="N319" s="1" t="s">
        <v>8953</v>
      </c>
      <c r="O319" s="1" t="s">
        <v>8989</v>
      </c>
      <c r="P319" s="1" t="s">
        <v>8955</v>
      </c>
      <c r="Q319" s="1" t="s">
        <v>8956</v>
      </c>
      <c r="R319" s="1" t="s">
        <v>9103</v>
      </c>
      <c r="S319" s="1" t="s">
        <v>18745</v>
      </c>
      <c r="T319" s="1" t="s">
        <v>7</v>
      </c>
      <c r="U319" s="1" t="s">
        <v>378</v>
      </c>
    </row>
    <row r="320" spans="1:21" x14ac:dyDescent="0.2">
      <c r="A320" s="88" t="s">
        <v>15890</v>
      </c>
      <c r="B320" s="88" t="e">
        <f>VLOOKUP(C320,#REF!,1,0)</f>
        <v>#REF!</v>
      </c>
      <c r="C320" s="1" t="s">
        <v>1267</v>
      </c>
      <c r="D320" s="1" t="s">
        <v>1268</v>
      </c>
      <c r="E320" s="1" t="s">
        <v>9310</v>
      </c>
      <c r="F320" s="1" t="s">
        <v>8957</v>
      </c>
      <c r="G320" t="s">
        <v>8959</v>
      </c>
      <c r="H320" s="1" t="s">
        <v>9092</v>
      </c>
      <c r="I320" s="1" t="s">
        <v>9308</v>
      </c>
      <c r="J320" s="2" t="s">
        <v>10381</v>
      </c>
      <c r="K320" s="1" t="s">
        <v>21752</v>
      </c>
      <c r="L320" s="1" t="s">
        <v>8951</v>
      </c>
      <c r="M320" s="1">
        <v>1250</v>
      </c>
      <c r="N320" s="1" t="s">
        <v>8953</v>
      </c>
      <c r="O320" s="1" t="s">
        <v>8989</v>
      </c>
      <c r="P320" s="1" t="s">
        <v>8955</v>
      </c>
      <c r="Q320" s="1" t="s">
        <v>8956</v>
      </c>
      <c r="R320" s="1" t="s">
        <v>8958</v>
      </c>
      <c r="S320" s="1" t="s">
        <v>18749</v>
      </c>
      <c r="T320" s="1" t="s">
        <v>17</v>
      </c>
      <c r="U320" s="1" t="s">
        <v>24</v>
      </c>
    </row>
    <row r="321" spans="1:21" x14ac:dyDescent="0.2">
      <c r="A321" s="88" t="s">
        <v>15891</v>
      </c>
      <c r="B321" s="88" t="e">
        <f>VLOOKUP(C321,#REF!,1,0)</f>
        <v>#REF!</v>
      </c>
      <c r="C321" s="1" t="s">
        <v>1269</v>
      </c>
      <c r="D321" s="1" t="s">
        <v>1270</v>
      </c>
      <c r="E321" s="1" t="s">
        <v>9310</v>
      </c>
      <c r="F321" s="1" t="s">
        <v>8957</v>
      </c>
      <c r="G321" t="s">
        <v>9183</v>
      </c>
      <c r="H321" s="1" t="s">
        <v>9100</v>
      </c>
      <c r="I321" s="1" t="s">
        <v>8998</v>
      </c>
      <c r="J321" s="2" t="s">
        <v>8972</v>
      </c>
      <c r="K321" s="1" t="s">
        <v>8972</v>
      </c>
      <c r="L321" s="1" t="s">
        <v>9076</v>
      </c>
      <c r="M321" s="1">
        <v>5936</v>
      </c>
      <c r="N321" s="1" t="s">
        <v>8953</v>
      </c>
      <c r="O321" s="1" t="s">
        <v>8989</v>
      </c>
      <c r="P321" s="1" t="s">
        <v>8955</v>
      </c>
      <c r="Q321" s="1" t="s">
        <v>8956</v>
      </c>
      <c r="R321" s="1" t="s">
        <v>8975</v>
      </c>
      <c r="S321" s="1" t="s">
        <v>1271</v>
      </c>
      <c r="T321" s="1" t="s">
        <v>11</v>
      </c>
      <c r="U321" s="1" t="s">
        <v>61</v>
      </c>
    </row>
    <row r="322" spans="1:21" x14ac:dyDescent="0.2">
      <c r="A322" s="88" t="s">
        <v>15892</v>
      </c>
      <c r="B322" s="88" t="e">
        <f>VLOOKUP(C322,#REF!,1,0)</f>
        <v>#REF!</v>
      </c>
      <c r="C322" s="1" t="s">
        <v>1272</v>
      </c>
      <c r="D322" s="1" t="s">
        <v>1273</v>
      </c>
      <c r="E322" s="1" t="s">
        <v>9310</v>
      </c>
      <c r="F322" s="1" t="s">
        <v>8957</v>
      </c>
      <c r="G322" t="s">
        <v>8959</v>
      </c>
      <c r="H322" s="1" t="s">
        <v>9605</v>
      </c>
      <c r="I322" s="1" t="s">
        <v>8998</v>
      </c>
      <c r="J322" s="2" t="s">
        <v>21206</v>
      </c>
      <c r="K322" s="1" t="s">
        <v>21769</v>
      </c>
      <c r="L322" s="1" t="s">
        <v>9076</v>
      </c>
      <c r="M322" s="1">
        <v>7015</v>
      </c>
      <c r="N322" s="1" t="s">
        <v>8953</v>
      </c>
      <c r="O322" s="1" t="s">
        <v>8989</v>
      </c>
      <c r="P322" s="1" t="s">
        <v>8955</v>
      </c>
      <c r="Q322" s="1" t="s">
        <v>8956</v>
      </c>
      <c r="R322" s="1" t="s">
        <v>8975</v>
      </c>
      <c r="S322" s="1" t="s">
        <v>1274</v>
      </c>
      <c r="T322" s="1" t="s">
        <v>4</v>
      </c>
      <c r="U322" s="1" t="s">
        <v>61</v>
      </c>
    </row>
    <row r="323" spans="1:21" x14ac:dyDescent="0.2">
      <c r="A323" s="88" t="s">
        <v>15893</v>
      </c>
      <c r="B323" s="88" t="e">
        <f>VLOOKUP(C323,#REF!,1,0)</f>
        <v>#REF!</v>
      </c>
      <c r="C323" s="1" t="s">
        <v>1275</v>
      </c>
      <c r="D323" s="1" t="s">
        <v>1276</v>
      </c>
      <c r="E323" s="1" t="s">
        <v>18502</v>
      </c>
      <c r="F323" s="1" t="s">
        <v>8957</v>
      </c>
      <c r="G323" t="s">
        <v>8959</v>
      </c>
      <c r="H323" s="1" t="s">
        <v>20712</v>
      </c>
      <c r="I323" s="1" t="s">
        <v>8998</v>
      </c>
      <c r="J323" s="2" t="s">
        <v>10492</v>
      </c>
      <c r="K323" s="1" t="s">
        <v>10492</v>
      </c>
      <c r="L323" s="1" t="s">
        <v>9076</v>
      </c>
      <c r="M323" s="1">
        <v>1153</v>
      </c>
      <c r="N323" s="1" t="s">
        <v>8953</v>
      </c>
      <c r="O323" s="1" t="s">
        <v>8989</v>
      </c>
      <c r="P323" s="1" t="s">
        <v>8955</v>
      </c>
      <c r="Q323" s="1" t="s">
        <v>8956</v>
      </c>
      <c r="R323" s="1" t="s">
        <v>9103</v>
      </c>
      <c r="S323" s="1" t="s">
        <v>18750</v>
      </c>
      <c r="T323" s="1" t="s">
        <v>7</v>
      </c>
      <c r="U323" s="1" t="s">
        <v>93</v>
      </c>
    </row>
    <row r="324" spans="1:21" x14ac:dyDescent="0.2">
      <c r="A324" s="88" t="s">
        <v>15894</v>
      </c>
      <c r="B324" s="88" t="e">
        <f>VLOOKUP(C324,#REF!,1,0)</f>
        <v>#REF!</v>
      </c>
      <c r="C324" s="1" t="s">
        <v>1277</v>
      </c>
      <c r="D324" s="1" t="s">
        <v>1278</v>
      </c>
      <c r="E324" s="1" t="s">
        <v>9310</v>
      </c>
      <c r="F324" s="1" t="s">
        <v>8959</v>
      </c>
      <c r="G324" t="s">
        <v>9183</v>
      </c>
      <c r="H324" s="1" t="s">
        <v>9075</v>
      </c>
      <c r="I324" s="1" t="s">
        <v>8949</v>
      </c>
      <c r="J324" s="2" t="s">
        <v>20764</v>
      </c>
      <c r="K324" s="1" t="s">
        <v>20764</v>
      </c>
      <c r="L324" s="1" t="s">
        <v>21600</v>
      </c>
      <c r="M324" s="1">
        <v>500</v>
      </c>
      <c r="N324" s="1" t="s">
        <v>8953</v>
      </c>
      <c r="O324" s="1" t="s">
        <v>8989</v>
      </c>
      <c r="P324" s="1" t="s">
        <v>8955</v>
      </c>
      <c r="Q324" s="1" t="s">
        <v>8956</v>
      </c>
      <c r="R324" s="1" t="s">
        <v>8958</v>
      </c>
      <c r="S324" s="1" t="s">
        <v>18751</v>
      </c>
      <c r="T324" s="1" t="s">
        <v>7</v>
      </c>
      <c r="U324" s="1" t="s">
        <v>184</v>
      </c>
    </row>
    <row r="325" spans="1:21" x14ac:dyDescent="0.2">
      <c r="A325" s="88" t="s">
        <v>15895</v>
      </c>
      <c r="B325" s="88" t="e">
        <f>VLOOKUP(C325,#REF!,1,0)</f>
        <v>#REF!</v>
      </c>
      <c r="C325" s="1" t="s">
        <v>1279</v>
      </c>
      <c r="D325" s="1" t="s">
        <v>1280</v>
      </c>
      <c r="E325" s="1" t="s">
        <v>9310</v>
      </c>
      <c r="F325" s="1" t="s">
        <v>8957</v>
      </c>
      <c r="G325" t="s">
        <v>9061</v>
      </c>
      <c r="H325" s="1" t="s">
        <v>9035</v>
      </c>
      <c r="I325" s="1" t="s">
        <v>8998</v>
      </c>
      <c r="J325" s="2" t="s">
        <v>20768</v>
      </c>
      <c r="K325" s="1" t="s">
        <v>20768</v>
      </c>
      <c r="L325" s="1" t="s">
        <v>9133</v>
      </c>
      <c r="M325" s="1">
        <v>76860</v>
      </c>
      <c r="N325" s="1" t="s">
        <v>8953</v>
      </c>
      <c r="O325" s="1" t="s">
        <v>8954</v>
      </c>
      <c r="P325" s="1" t="s">
        <v>8955</v>
      </c>
      <c r="Q325" s="1" t="s">
        <v>8956</v>
      </c>
      <c r="R325" s="1" t="s">
        <v>8975</v>
      </c>
      <c r="S325" s="1" t="s">
        <v>18752</v>
      </c>
      <c r="T325" s="1" t="s">
        <v>7</v>
      </c>
      <c r="U325" s="1" t="s">
        <v>24</v>
      </c>
    </row>
    <row r="326" spans="1:21" x14ac:dyDescent="0.2">
      <c r="A326" s="88" t="s">
        <v>15896</v>
      </c>
      <c r="B326" s="88" t="e">
        <f>VLOOKUP(C326,#REF!,1,0)</f>
        <v>#REF!</v>
      </c>
      <c r="C326" s="1" t="s">
        <v>1284</v>
      </c>
      <c r="D326" s="1" t="s">
        <v>1285</v>
      </c>
      <c r="E326" s="1" t="s">
        <v>9010</v>
      </c>
      <c r="F326" s="1" t="s">
        <v>8957</v>
      </c>
      <c r="G326" t="s">
        <v>9061</v>
      </c>
      <c r="H326" s="1" t="s">
        <v>8948</v>
      </c>
      <c r="I326" s="1" t="s">
        <v>9155</v>
      </c>
      <c r="J326" s="2" t="s">
        <v>8972</v>
      </c>
      <c r="K326" s="1" t="s">
        <v>8972</v>
      </c>
      <c r="L326" s="1" t="s">
        <v>9464</v>
      </c>
      <c r="M326" s="1">
        <v>142</v>
      </c>
      <c r="N326" s="1" t="s">
        <v>8953</v>
      </c>
      <c r="O326" s="1" t="s">
        <v>8954</v>
      </c>
      <c r="P326" s="1" t="s">
        <v>8955</v>
      </c>
      <c r="Q326" s="1" t="s">
        <v>8956</v>
      </c>
      <c r="R326" s="1" t="s">
        <v>8975</v>
      </c>
      <c r="S326" s="1" t="s">
        <v>1286</v>
      </c>
      <c r="T326" s="1" t="s">
        <v>17</v>
      </c>
      <c r="U326" s="1" t="s">
        <v>180</v>
      </c>
    </row>
    <row r="327" spans="1:21" x14ac:dyDescent="0.2">
      <c r="A327" s="88" t="s">
        <v>15897</v>
      </c>
      <c r="B327" s="88" t="e">
        <f>VLOOKUP(C327,#REF!,1,0)</f>
        <v>#REF!</v>
      </c>
      <c r="C327" s="1" t="s">
        <v>1287</v>
      </c>
      <c r="D327" s="1" t="s">
        <v>1288</v>
      </c>
      <c r="E327" s="1" t="s">
        <v>9310</v>
      </c>
      <c r="F327" s="1" t="s">
        <v>8957</v>
      </c>
      <c r="G327" t="s">
        <v>8959</v>
      </c>
      <c r="H327" s="1" t="s">
        <v>20712</v>
      </c>
      <c r="I327" s="1" t="s">
        <v>8959</v>
      </c>
      <c r="J327" s="2" t="s">
        <v>9036</v>
      </c>
      <c r="K327" s="1" t="s">
        <v>9036</v>
      </c>
      <c r="L327" s="1" t="s">
        <v>8951</v>
      </c>
      <c r="M327" s="1">
        <v>8000</v>
      </c>
      <c r="N327" s="1" t="s">
        <v>8953</v>
      </c>
      <c r="O327" s="1" t="s">
        <v>8989</v>
      </c>
      <c r="P327" s="1" t="s">
        <v>8955</v>
      </c>
      <c r="Q327" s="1" t="s">
        <v>8956</v>
      </c>
      <c r="R327" s="1" t="s">
        <v>8958</v>
      </c>
      <c r="S327" s="1" t="s">
        <v>18754</v>
      </c>
      <c r="T327" s="1" t="s">
        <v>7</v>
      </c>
      <c r="U327" s="1" t="s">
        <v>46</v>
      </c>
    </row>
    <row r="328" spans="1:21" x14ac:dyDescent="0.2">
      <c r="A328" s="88" t="s">
        <v>15898</v>
      </c>
      <c r="B328" s="88" t="e">
        <f>VLOOKUP(C328,#REF!,1,0)</f>
        <v>#REF!</v>
      </c>
      <c r="C328" s="1" t="s">
        <v>1289</v>
      </c>
      <c r="D328" s="1" t="s">
        <v>1290</v>
      </c>
      <c r="E328" s="1" t="s">
        <v>10873</v>
      </c>
      <c r="F328" s="1" t="s">
        <v>8974</v>
      </c>
      <c r="G328" t="s">
        <v>8959</v>
      </c>
      <c r="H328" s="1" t="s">
        <v>20712</v>
      </c>
      <c r="I328" s="1" t="s">
        <v>9155</v>
      </c>
      <c r="J328" s="2" t="s">
        <v>20765</v>
      </c>
      <c r="K328" s="1" t="s">
        <v>20765</v>
      </c>
      <c r="L328" s="1" t="s">
        <v>8987</v>
      </c>
      <c r="M328" s="1">
        <v>2844</v>
      </c>
      <c r="N328" s="1" t="s">
        <v>8953</v>
      </c>
      <c r="O328" s="1" t="s">
        <v>8954</v>
      </c>
      <c r="P328" s="1" t="s">
        <v>8955</v>
      </c>
      <c r="Q328" s="1" t="s">
        <v>8956</v>
      </c>
      <c r="R328" s="1" t="s">
        <v>8958</v>
      </c>
      <c r="S328" s="1" t="s">
        <v>18755</v>
      </c>
      <c r="T328" s="1" t="s">
        <v>17</v>
      </c>
      <c r="U328" s="1" t="s">
        <v>126</v>
      </c>
    </row>
    <row r="329" spans="1:21" x14ac:dyDescent="0.2">
      <c r="A329" s="88" t="s">
        <v>15899</v>
      </c>
      <c r="B329" s="88" t="e">
        <f>VLOOKUP(C329,#REF!,1,0)</f>
        <v>#REF!</v>
      </c>
      <c r="C329" s="1" t="s">
        <v>1291</v>
      </c>
      <c r="D329" s="1" t="s">
        <v>1292</v>
      </c>
      <c r="E329" s="1" t="s">
        <v>10873</v>
      </c>
      <c r="F329" s="1" t="s">
        <v>8957</v>
      </c>
      <c r="G329" t="s">
        <v>8959</v>
      </c>
      <c r="H329" s="1" t="s">
        <v>8948</v>
      </c>
      <c r="I329" s="1" t="s">
        <v>8949</v>
      </c>
      <c r="J329" s="2" t="s">
        <v>9036</v>
      </c>
      <c r="K329" s="1" t="s">
        <v>9036</v>
      </c>
      <c r="L329" s="1" t="s">
        <v>21600</v>
      </c>
      <c r="M329" s="1">
        <v>741</v>
      </c>
      <c r="N329" s="1" t="s">
        <v>9059</v>
      </c>
      <c r="O329" s="1" t="s">
        <v>8954</v>
      </c>
      <c r="P329" s="1" t="s">
        <v>8955</v>
      </c>
      <c r="Q329" s="1" t="s">
        <v>8956</v>
      </c>
      <c r="R329" s="1" t="s">
        <v>9103</v>
      </c>
      <c r="S329" s="1" t="s">
        <v>1293</v>
      </c>
      <c r="T329" s="1" t="s">
        <v>4</v>
      </c>
      <c r="U329" s="1" t="s">
        <v>57</v>
      </c>
    </row>
    <row r="330" spans="1:21" x14ac:dyDescent="0.2">
      <c r="A330" s="88" t="s">
        <v>15900</v>
      </c>
      <c r="B330" s="88" t="e">
        <f>VLOOKUP(C330,#REF!,1,0)</f>
        <v>#REF!</v>
      </c>
      <c r="C330" s="1" t="s">
        <v>1294</v>
      </c>
      <c r="D330" s="1" t="s">
        <v>1295</v>
      </c>
      <c r="E330" s="1" t="s">
        <v>9010</v>
      </c>
      <c r="F330" s="1" t="s">
        <v>8957</v>
      </c>
      <c r="G330" t="s">
        <v>9009</v>
      </c>
      <c r="H330" s="1" t="s">
        <v>9075</v>
      </c>
      <c r="I330" s="1" t="s">
        <v>8998</v>
      </c>
      <c r="J330" s="2" t="s">
        <v>10492</v>
      </c>
      <c r="K330" s="1" t="s">
        <v>10492</v>
      </c>
      <c r="L330" s="1" t="s">
        <v>9076</v>
      </c>
      <c r="M330" s="1">
        <v>2960</v>
      </c>
      <c r="N330" s="1" t="s">
        <v>8953</v>
      </c>
      <c r="O330" s="1" t="s">
        <v>8989</v>
      </c>
      <c r="P330" s="1" t="s">
        <v>8955</v>
      </c>
      <c r="Q330" s="1" t="s">
        <v>8956</v>
      </c>
      <c r="R330" s="1" t="s">
        <v>8958</v>
      </c>
      <c r="S330" s="1" t="s">
        <v>1296</v>
      </c>
      <c r="T330" s="1" t="s">
        <v>7</v>
      </c>
      <c r="U330" s="1" t="s">
        <v>93</v>
      </c>
    </row>
    <row r="331" spans="1:21" x14ac:dyDescent="0.2">
      <c r="A331" s="88" t="s">
        <v>15901</v>
      </c>
      <c r="B331" s="88" t="e">
        <f>VLOOKUP(C331,#REF!,1,0)</f>
        <v>#REF!</v>
      </c>
      <c r="C331" s="1" t="s">
        <v>1297</v>
      </c>
      <c r="D331" s="1" t="s">
        <v>1298</v>
      </c>
      <c r="E331" s="1" t="s">
        <v>18502</v>
      </c>
      <c r="F331" s="1" t="s">
        <v>8957</v>
      </c>
      <c r="G331" t="s">
        <v>9061</v>
      </c>
      <c r="H331" s="1" t="s">
        <v>9075</v>
      </c>
      <c r="I331" s="1" t="s">
        <v>9725</v>
      </c>
      <c r="J331" s="2" t="s">
        <v>10492</v>
      </c>
      <c r="K331" s="1" t="s">
        <v>21645</v>
      </c>
      <c r="L331" s="1" t="s">
        <v>21600</v>
      </c>
      <c r="M331" s="1">
        <v>1176</v>
      </c>
      <c r="N331" s="1" t="s">
        <v>8953</v>
      </c>
      <c r="O331" s="1" t="s">
        <v>8989</v>
      </c>
      <c r="P331" s="1" t="s">
        <v>8955</v>
      </c>
      <c r="Q331" s="1" t="s">
        <v>8956</v>
      </c>
      <c r="R331" s="1" t="s">
        <v>8958</v>
      </c>
      <c r="S331" s="1" t="s">
        <v>18756</v>
      </c>
      <c r="T331" s="1" t="s">
        <v>17</v>
      </c>
      <c r="U331" s="1" t="s">
        <v>378</v>
      </c>
    </row>
    <row r="332" spans="1:21" x14ac:dyDescent="0.2">
      <c r="A332" s="88" t="s">
        <v>15902</v>
      </c>
      <c r="B332" s="88" t="e">
        <f>VLOOKUP(C332,#REF!,1,0)</f>
        <v>#REF!</v>
      </c>
      <c r="C332" s="1" t="s">
        <v>1299</v>
      </c>
      <c r="D332" s="1" t="s">
        <v>1300</v>
      </c>
      <c r="E332" s="1" t="s">
        <v>9310</v>
      </c>
      <c r="F332" s="1" t="s">
        <v>8957</v>
      </c>
      <c r="G332" t="s">
        <v>8959</v>
      </c>
      <c r="H332" s="1" t="s">
        <v>20712</v>
      </c>
      <c r="I332" s="1" t="s">
        <v>9155</v>
      </c>
      <c r="J332" s="2" t="s">
        <v>20766</v>
      </c>
      <c r="K332" s="1" t="s">
        <v>20766</v>
      </c>
      <c r="L332" s="1" t="s">
        <v>9076</v>
      </c>
      <c r="M332" s="1">
        <v>1300</v>
      </c>
      <c r="N332" s="1" t="s">
        <v>8953</v>
      </c>
      <c r="O332" s="1" t="s">
        <v>8954</v>
      </c>
      <c r="P332" s="1" t="s">
        <v>8955</v>
      </c>
      <c r="Q332" s="1" t="s">
        <v>8956</v>
      </c>
      <c r="R332" s="1" t="s">
        <v>8958</v>
      </c>
      <c r="S332" s="1" t="s">
        <v>18757</v>
      </c>
      <c r="T332" s="1" t="s">
        <v>7</v>
      </c>
      <c r="U332" s="1" t="s">
        <v>8</v>
      </c>
    </row>
    <row r="333" spans="1:21" x14ac:dyDescent="0.2">
      <c r="A333" s="88" t="s">
        <v>15904</v>
      </c>
      <c r="B333" s="88" t="e">
        <f>VLOOKUP(C333,#REF!,1,0)</f>
        <v>#REF!</v>
      </c>
      <c r="C333" s="1" t="s">
        <v>1304</v>
      </c>
      <c r="D333" s="1" t="s">
        <v>1305</v>
      </c>
      <c r="E333" s="1" t="s">
        <v>18502</v>
      </c>
      <c r="F333" s="1" t="s">
        <v>8957</v>
      </c>
      <c r="G333" t="s">
        <v>9061</v>
      </c>
      <c r="H333" s="1" t="s">
        <v>8948</v>
      </c>
      <c r="I333" s="1" t="s">
        <v>9155</v>
      </c>
      <c r="J333" s="2" t="s">
        <v>9036</v>
      </c>
      <c r="K333" s="1" t="s">
        <v>9036</v>
      </c>
      <c r="L333" s="1" t="s">
        <v>8987</v>
      </c>
      <c r="M333" s="1">
        <v>236</v>
      </c>
      <c r="N333" s="1" t="s">
        <v>8953</v>
      </c>
      <c r="O333" s="1" t="s">
        <v>8989</v>
      </c>
      <c r="P333" s="1" t="s">
        <v>8955</v>
      </c>
      <c r="Q333" s="1" t="s">
        <v>8956</v>
      </c>
      <c r="R333" s="1" t="s">
        <v>8975</v>
      </c>
      <c r="S333" s="1" t="s">
        <v>18759</v>
      </c>
      <c r="T333" s="1" t="s">
        <v>17</v>
      </c>
      <c r="U333" s="1" t="s">
        <v>378</v>
      </c>
    </row>
    <row r="334" spans="1:21" x14ac:dyDescent="0.2">
      <c r="A334" s="88" t="s">
        <v>15905</v>
      </c>
      <c r="B334" s="88" t="e">
        <f>VLOOKUP(C334,#REF!,1,0)</f>
        <v>#REF!</v>
      </c>
      <c r="C334" s="1" t="s">
        <v>1306</v>
      </c>
      <c r="D334" s="1" t="s">
        <v>1307</v>
      </c>
      <c r="E334" s="1" t="s">
        <v>9310</v>
      </c>
      <c r="F334" s="1" t="s">
        <v>8957</v>
      </c>
      <c r="G334" t="s">
        <v>9061</v>
      </c>
      <c r="H334" s="1" t="s">
        <v>9154</v>
      </c>
      <c r="I334" s="1" t="s">
        <v>8998</v>
      </c>
      <c r="J334" s="2" t="s">
        <v>10492</v>
      </c>
      <c r="K334" s="1" t="s">
        <v>10492</v>
      </c>
      <c r="L334" s="1" t="s">
        <v>9133</v>
      </c>
      <c r="M334" s="1">
        <v>124</v>
      </c>
      <c r="N334" s="1" t="s">
        <v>9059</v>
      </c>
      <c r="O334" s="1" t="s">
        <v>8989</v>
      </c>
      <c r="P334" s="1" t="s">
        <v>8955</v>
      </c>
      <c r="Q334" s="1" t="s">
        <v>8956</v>
      </c>
      <c r="R334" s="1" t="s">
        <v>8975</v>
      </c>
      <c r="S334" s="1" t="s">
        <v>18760</v>
      </c>
      <c r="T334" s="1" t="s">
        <v>7</v>
      </c>
      <c r="U334" s="1" t="s">
        <v>670</v>
      </c>
    </row>
    <row r="335" spans="1:21" x14ac:dyDescent="0.2">
      <c r="A335" s="88" t="s">
        <v>15906</v>
      </c>
      <c r="B335" s="88" t="e">
        <f>VLOOKUP(C335,#REF!,1,0)</f>
        <v>#REF!</v>
      </c>
      <c r="C335" s="1" t="s">
        <v>1308</v>
      </c>
      <c r="D335" s="1" t="s">
        <v>1309</v>
      </c>
      <c r="E335" s="1" t="s">
        <v>9010</v>
      </c>
      <c r="F335" s="1" t="s">
        <v>8974</v>
      </c>
      <c r="G335" t="s">
        <v>9061</v>
      </c>
      <c r="H335" s="1" t="s">
        <v>9035</v>
      </c>
      <c r="I335" s="1" t="s">
        <v>8998</v>
      </c>
      <c r="J335" s="2" t="s">
        <v>9036</v>
      </c>
      <c r="K335" s="1" t="s">
        <v>9036</v>
      </c>
      <c r="L335" s="1" t="s">
        <v>8987</v>
      </c>
      <c r="M335" s="1">
        <v>2500</v>
      </c>
      <c r="N335" s="1" t="s">
        <v>8953</v>
      </c>
      <c r="O335" s="1" t="s">
        <v>8989</v>
      </c>
      <c r="P335" s="1" t="s">
        <v>8955</v>
      </c>
      <c r="Q335" s="1" t="s">
        <v>8956</v>
      </c>
      <c r="R335" s="1" t="s">
        <v>8975</v>
      </c>
      <c r="S335" s="1" t="s">
        <v>1310</v>
      </c>
      <c r="T335" s="1" t="s">
        <v>11</v>
      </c>
      <c r="U335" s="1" t="s">
        <v>180</v>
      </c>
    </row>
    <row r="336" spans="1:21" x14ac:dyDescent="0.2">
      <c r="A336" s="88" t="s">
        <v>15907</v>
      </c>
      <c r="B336" s="88" t="e">
        <f>VLOOKUP(C336,#REF!,1,0)</f>
        <v>#REF!</v>
      </c>
      <c r="C336" s="1" t="s">
        <v>1315</v>
      </c>
      <c r="D336" s="1" t="s">
        <v>1316</v>
      </c>
      <c r="E336" s="1" t="s">
        <v>10446</v>
      </c>
      <c r="F336" s="1" t="s">
        <v>8957</v>
      </c>
      <c r="G336" t="s">
        <v>9009</v>
      </c>
      <c r="H336" s="1" t="s">
        <v>8984</v>
      </c>
      <c r="I336" s="1" t="s">
        <v>9131</v>
      </c>
      <c r="J336" s="2" t="s">
        <v>13472</v>
      </c>
      <c r="K336" s="1" t="s">
        <v>13472</v>
      </c>
      <c r="L336" s="1" t="s">
        <v>8987</v>
      </c>
      <c r="M336" s="1">
        <v>1476</v>
      </c>
      <c r="N336" s="1" t="s">
        <v>8953</v>
      </c>
      <c r="O336" s="1" t="s">
        <v>8989</v>
      </c>
      <c r="P336" s="1" t="s">
        <v>8955</v>
      </c>
      <c r="Q336" s="1" t="s">
        <v>8956</v>
      </c>
      <c r="R336" s="1" t="s">
        <v>8958</v>
      </c>
      <c r="S336" s="1" t="s">
        <v>1317</v>
      </c>
      <c r="T336" s="1" t="s">
        <v>11</v>
      </c>
      <c r="U336" s="1" t="s">
        <v>1318</v>
      </c>
    </row>
    <row r="337" spans="1:21" x14ac:dyDescent="0.2">
      <c r="A337" s="88" t="s">
        <v>15908</v>
      </c>
      <c r="B337" s="88" t="e">
        <f>VLOOKUP(C337,#REF!,1,0)</f>
        <v>#REF!</v>
      </c>
      <c r="C337" s="1" t="s">
        <v>1319</v>
      </c>
      <c r="D337" s="1" t="s">
        <v>1320</v>
      </c>
      <c r="E337" s="1" t="s">
        <v>9010</v>
      </c>
      <c r="F337" s="1" t="s">
        <v>8974</v>
      </c>
      <c r="G337" t="s">
        <v>9061</v>
      </c>
      <c r="H337" s="1" t="s">
        <v>9075</v>
      </c>
      <c r="I337" s="1" t="s">
        <v>8949</v>
      </c>
      <c r="J337" s="2" t="s">
        <v>9557</v>
      </c>
      <c r="K337" s="1" t="s">
        <v>9557</v>
      </c>
      <c r="L337" s="1" t="s">
        <v>8951</v>
      </c>
      <c r="M337" s="1">
        <v>330</v>
      </c>
      <c r="N337" s="1" t="s">
        <v>8953</v>
      </c>
      <c r="O337" s="1" t="s">
        <v>8989</v>
      </c>
      <c r="P337" s="1" t="s">
        <v>8955</v>
      </c>
      <c r="Q337" s="1" t="s">
        <v>8956</v>
      </c>
      <c r="R337" s="1" t="s">
        <v>8958</v>
      </c>
      <c r="S337" s="1" t="s">
        <v>1321</v>
      </c>
      <c r="T337" s="1" t="s">
        <v>17</v>
      </c>
      <c r="U337" s="1" t="s">
        <v>1322</v>
      </c>
    </row>
    <row r="338" spans="1:21" x14ac:dyDescent="0.2">
      <c r="A338" s="88" t="s">
        <v>15909</v>
      </c>
      <c r="B338" s="88" t="e">
        <f>VLOOKUP(C338,#REF!,1,0)</f>
        <v>#REF!</v>
      </c>
      <c r="C338" s="1" t="s">
        <v>1323</v>
      </c>
      <c r="D338" s="1" t="s">
        <v>1324</v>
      </c>
      <c r="E338" s="1" t="s">
        <v>9310</v>
      </c>
      <c r="F338" s="1" t="s">
        <v>8957</v>
      </c>
      <c r="G338" t="s">
        <v>8959</v>
      </c>
      <c r="H338" s="1" t="s">
        <v>9100</v>
      </c>
      <c r="I338" s="1" t="s">
        <v>8949</v>
      </c>
      <c r="J338" s="2" t="s">
        <v>18497</v>
      </c>
      <c r="K338" s="1" t="s">
        <v>18497</v>
      </c>
      <c r="L338" s="1" t="s">
        <v>8987</v>
      </c>
      <c r="M338" s="1">
        <v>242</v>
      </c>
      <c r="N338" s="1" t="s">
        <v>9059</v>
      </c>
      <c r="O338" s="1" t="s">
        <v>8989</v>
      </c>
      <c r="P338" s="1" t="s">
        <v>8955</v>
      </c>
      <c r="Q338" s="1" t="s">
        <v>8956</v>
      </c>
      <c r="R338" s="1" t="s">
        <v>8958</v>
      </c>
      <c r="S338" s="1" t="s">
        <v>18761</v>
      </c>
      <c r="T338" s="1" t="s">
        <v>7</v>
      </c>
      <c r="U338" s="1" t="s">
        <v>938</v>
      </c>
    </row>
    <row r="339" spans="1:21" x14ac:dyDescent="0.2">
      <c r="A339" s="88" t="s">
        <v>15910</v>
      </c>
      <c r="B339" s="88" t="e">
        <f>VLOOKUP(C339,#REF!,1,0)</f>
        <v>#REF!</v>
      </c>
      <c r="C339" s="1" t="s">
        <v>1329</v>
      </c>
      <c r="D339" s="1" t="s">
        <v>1330</v>
      </c>
      <c r="E339" s="1" t="s">
        <v>9010</v>
      </c>
      <c r="F339" s="1" t="s">
        <v>9060</v>
      </c>
      <c r="G339" t="s">
        <v>9183</v>
      </c>
      <c r="H339" s="1" t="s">
        <v>9075</v>
      </c>
      <c r="I339" s="1" t="s">
        <v>8998</v>
      </c>
      <c r="J339" s="2" t="s">
        <v>8972</v>
      </c>
      <c r="K339" s="1" t="s">
        <v>8972</v>
      </c>
      <c r="L339" s="1" t="s">
        <v>9133</v>
      </c>
      <c r="M339" s="1">
        <v>51</v>
      </c>
      <c r="N339" s="1" t="s">
        <v>9059</v>
      </c>
      <c r="O339" s="1" t="s">
        <v>8989</v>
      </c>
      <c r="P339" s="1" t="s">
        <v>8955</v>
      </c>
      <c r="Q339" s="1" t="s">
        <v>8956</v>
      </c>
      <c r="R339" s="1" t="s">
        <v>8958</v>
      </c>
      <c r="S339" s="1" t="s">
        <v>1331</v>
      </c>
      <c r="T339" s="1" t="s">
        <v>11</v>
      </c>
      <c r="U339" s="1" t="s">
        <v>93</v>
      </c>
    </row>
    <row r="340" spans="1:21" x14ac:dyDescent="0.2">
      <c r="A340" s="88" t="s">
        <v>15911</v>
      </c>
      <c r="B340" s="88" t="e">
        <f>VLOOKUP(C340,#REF!,1,0)</f>
        <v>#REF!</v>
      </c>
      <c r="C340" s="1" t="s">
        <v>1332</v>
      </c>
      <c r="D340" s="1" t="s">
        <v>1333</v>
      </c>
      <c r="E340" s="1" t="s">
        <v>9317</v>
      </c>
      <c r="F340" s="1" t="s">
        <v>8957</v>
      </c>
      <c r="G340" t="s">
        <v>9061</v>
      </c>
      <c r="H340" s="1" t="s">
        <v>20712</v>
      </c>
      <c r="I340" s="1" t="s">
        <v>8998</v>
      </c>
      <c r="J340" s="2" t="s">
        <v>10492</v>
      </c>
      <c r="K340" s="1" t="s">
        <v>10492</v>
      </c>
      <c r="L340" s="1" t="s">
        <v>21600</v>
      </c>
      <c r="M340" s="1">
        <v>45</v>
      </c>
      <c r="N340" s="1" t="s">
        <v>8953</v>
      </c>
      <c r="O340" s="1" t="s">
        <v>8989</v>
      </c>
      <c r="P340" s="1" t="s">
        <v>8955</v>
      </c>
      <c r="Q340" s="1" t="s">
        <v>8956</v>
      </c>
      <c r="R340" s="1" t="s">
        <v>8958</v>
      </c>
      <c r="S340" s="1" t="s">
        <v>18763</v>
      </c>
      <c r="T340" s="1" t="s">
        <v>7</v>
      </c>
      <c r="U340" s="1" t="s">
        <v>93</v>
      </c>
    </row>
    <row r="341" spans="1:21" x14ac:dyDescent="0.2">
      <c r="A341" s="88" t="s">
        <v>15912</v>
      </c>
      <c r="B341" s="88" t="e">
        <f>VLOOKUP(C341,#REF!,1,0)</f>
        <v>#REF!</v>
      </c>
      <c r="C341" s="1" t="s">
        <v>1337</v>
      </c>
      <c r="D341" s="1" t="s">
        <v>1338</v>
      </c>
      <c r="E341" s="1" t="s">
        <v>9310</v>
      </c>
      <c r="F341" s="1" t="s">
        <v>8957</v>
      </c>
      <c r="G341" t="s">
        <v>9183</v>
      </c>
      <c r="H341" s="1" t="s">
        <v>9075</v>
      </c>
      <c r="I341" s="1" t="s">
        <v>8949</v>
      </c>
      <c r="J341" s="2" t="s">
        <v>20724</v>
      </c>
      <c r="K341" s="1" t="s">
        <v>20724</v>
      </c>
      <c r="L341" s="1" t="s">
        <v>9292</v>
      </c>
      <c r="M341" s="1">
        <v>530</v>
      </c>
      <c r="N341" s="1" t="s">
        <v>9059</v>
      </c>
      <c r="O341" s="1" t="s">
        <v>8989</v>
      </c>
      <c r="P341" s="1" t="s">
        <v>8955</v>
      </c>
      <c r="Q341" s="1" t="s">
        <v>8956</v>
      </c>
      <c r="R341" s="1" t="s">
        <v>8975</v>
      </c>
      <c r="S341" s="1" t="s">
        <v>18765</v>
      </c>
      <c r="T341" s="1" t="s">
        <v>7</v>
      </c>
      <c r="U341" s="1" t="s">
        <v>147</v>
      </c>
    </row>
    <row r="342" spans="1:21" x14ac:dyDescent="0.2">
      <c r="A342" s="88" t="s">
        <v>15913</v>
      </c>
      <c r="B342" s="88" t="e">
        <f>VLOOKUP(C342,#REF!,1,0)</f>
        <v>#REF!</v>
      </c>
      <c r="C342" s="1" t="s">
        <v>1339</v>
      </c>
      <c r="D342" s="1" t="s">
        <v>1340</v>
      </c>
      <c r="E342" s="1" t="s">
        <v>9310</v>
      </c>
      <c r="F342" s="1" t="s">
        <v>8957</v>
      </c>
      <c r="G342" t="s">
        <v>9061</v>
      </c>
      <c r="H342" s="1" t="s">
        <v>9092</v>
      </c>
      <c r="I342" s="1" t="s">
        <v>8971</v>
      </c>
      <c r="J342" s="2" t="s">
        <v>9036</v>
      </c>
      <c r="K342" s="1" t="s">
        <v>9036</v>
      </c>
      <c r="L342" s="1" t="s">
        <v>21600</v>
      </c>
      <c r="M342" s="1">
        <v>81600</v>
      </c>
      <c r="N342" s="1" t="s">
        <v>8953</v>
      </c>
      <c r="O342" s="1" t="s">
        <v>8989</v>
      </c>
      <c r="P342" s="1" t="s">
        <v>8955</v>
      </c>
      <c r="Q342" s="1" t="s">
        <v>8956</v>
      </c>
      <c r="R342" s="1" t="s">
        <v>9103</v>
      </c>
      <c r="S342" s="1" t="s">
        <v>18766</v>
      </c>
      <c r="T342" s="1" t="s">
        <v>17</v>
      </c>
      <c r="U342" s="1" t="s">
        <v>813</v>
      </c>
    </row>
    <row r="343" spans="1:21" x14ac:dyDescent="0.2">
      <c r="A343" s="88" t="s">
        <v>15914</v>
      </c>
      <c r="B343" s="88" t="e">
        <f>VLOOKUP(C343,#REF!,1,0)</f>
        <v>#REF!</v>
      </c>
      <c r="C343" s="1" t="s">
        <v>1341</v>
      </c>
      <c r="D343" s="1" t="s">
        <v>1342</v>
      </c>
      <c r="E343" s="1" t="s">
        <v>9310</v>
      </c>
      <c r="F343" s="1" t="s">
        <v>8957</v>
      </c>
      <c r="G343" t="s">
        <v>9061</v>
      </c>
      <c r="H343" s="1" t="s">
        <v>9100</v>
      </c>
      <c r="I343" s="1" t="s">
        <v>8949</v>
      </c>
      <c r="J343" s="2" t="s">
        <v>18497</v>
      </c>
      <c r="K343" s="1" t="s">
        <v>18497</v>
      </c>
      <c r="L343" s="1" t="s">
        <v>21604</v>
      </c>
      <c r="M343" s="1">
        <v>1428</v>
      </c>
      <c r="N343" s="1" t="s">
        <v>8953</v>
      </c>
      <c r="O343" s="1" t="s">
        <v>8954</v>
      </c>
      <c r="P343" s="1" t="s">
        <v>8955</v>
      </c>
      <c r="Q343" s="1" t="s">
        <v>8956</v>
      </c>
      <c r="R343" s="1" t="s">
        <v>8975</v>
      </c>
      <c r="S343" s="1" t="s">
        <v>18767</v>
      </c>
      <c r="T343" s="1" t="s">
        <v>7</v>
      </c>
      <c r="U343" s="1" t="s">
        <v>1343</v>
      </c>
    </row>
    <row r="344" spans="1:21" x14ac:dyDescent="0.2">
      <c r="A344" s="88" t="s">
        <v>15915</v>
      </c>
      <c r="B344" s="88" t="e">
        <f>VLOOKUP(C344,#REF!,1,0)</f>
        <v>#REF!</v>
      </c>
      <c r="C344" s="1" t="s">
        <v>1344</v>
      </c>
      <c r="D344" s="1" t="s">
        <v>1345</v>
      </c>
      <c r="E344" s="1" t="s">
        <v>18502</v>
      </c>
      <c r="F344" s="1" t="s">
        <v>8957</v>
      </c>
      <c r="G344" t="s">
        <v>9061</v>
      </c>
      <c r="H344" s="1" t="s">
        <v>8948</v>
      </c>
      <c r="I344" s="1" t="s">
        <v>8949</v>
      </c>
      <c r="J344" s="2" t="s">
        <v>10492</v>
      </c>
      <c r="K344" s="1" t="s">
        <v>10492</v>
      </c>
      <c r="L344" s="1" t="s">
        <v>9464</v>
      </c>
      <c r="M344" s="1">
        <v>768</v>
      </c>
      <c r="N344" s="1" t="s">
        <v>8953</v>
      </c>
      <c r="O344" s="1" t="s">
        <v>8989</v>
      </c>
      <c r="P344" s="1" t="s">
        <v>8955</v>
      </c>
      <c r="Q344" s="1" t="s">
        <v>8956</v>
      </c>
      <c r="R344" s="1" t="s">
        <v>8958</v>
      </c>
      <c r="S344" s="1" t="s">
        <v>18768</v>
      </c>
      <c r="T344" s="1" t="s">
        <v>7</v>
      </c>
      <c r="U344" s="1" t="s">
        <v>392</v>
      </c>
    </row>
    <row r="345" spans="1:21" x14ac:dyDescent="0.2">
      <c r="A345" s="88" t="s">
        <v>15916</v>
      </c>
      <c r="B345" s="88" t="e">
        <f>VLOOKUP(C345,#REF!,1,0)</f>
        <v>#REF!</v>
      </c>
      <c r="C345" s="1" t="s">
        <v>1346</v>
      </c>
      <c r="D345" s="1" t="s">
        <v>1347</v>
      </c>
      <c r="E345" s="1" t="s">
        <v>9310</v>
      </c>
      <c r="F345" s="1" t="s">
        <v>8959</v>
      </c>
      <c r="G345" t="s">
        <v>8959</v>
      </c>
      <c r="H345" s="1" t="s">
        <v>9092</v>
      </c>
      <c r="I345" s="1" t="s">
        <v>8998</v>
      </c>
      <c r="J345" s="2" t="s">
        <v>10492</v>
      </c>
      <c r="K345" s="1" t="s">
        <v>10492</v>
      </c>
      <c r="L345" s="1" t="s">
        <v>9292</v>
      </c>
      <c r="M345" s="1">
        <v>302</v>
      </c>
      <c r="N345" s="1" t="s">
        <v>8953</v>
      </c>
      <c r="O345" s="1" t="s">
        <v>8989</v>
      </c>
      <c r="P345" s="1" t="s">
        <v>8955</v>
      </c>
      <c r="Q345" s="1" t="s">
        <v>8956</v>
      </c>
      <c r="R345" s="1" t="s">
        <v>8958</v>
      </c>
      <c r="S345" s="1" t="s">
        <v>18769</v>
      </c>
      <c r="T345" s="1" t="s">
        <v>7</v>
      </c>
      <c r="U345" s="1" t="s">
        <v>61</v>
      </c>
    </row>
    <row r="346" spans="1:21" x14ac:dyDescent="0.2">
      <c r="A346" s="88" t="s">
        <v>15917</v>
      </c>
      <c r="B346" s="88" t="e">
        <f>VLOOKUP(C346,#REF!,1,0)</f>
        <v>#REF!</v>
      </c>
      <c r="C346" s="1" t="s">
        <v>1348</v>
      </c>
      <c r="D346" s="1" t="s">
        <v>1349</v>
      </c>
      <c r="E346" s="1" t="s">
        <v>18502</v>
      </c>
      <c r="F346" s="1" t="s">
        <v>9060</v>
      </c>
      <c r="G346" t="s">
        <v>8959</v>
      </c>
      <c r="H346" s="1" t="s">
        <v>9605</v>
      </c>
      <c r="I346" s="1" t="s">
        <v>8985</v>
      </c>
      <c r="J346" s="2" t="s">
        <v>20736</v>
      </c>
      <c r="K346" s="1" t="s">
        <v>20736</v>
      </c>
      <c r="L346" s="1" t="s">
        <v>21602</v>
      </c>
      <c r="M346" s="1">
        <v>617</v>
      </c>
      <c r="N346" s="1" t="s">
        <v>8953</v>
      </c>
      <c r="O346" s="1" t="s">
        <v>8954</v>
      </c>
      <c r="P346" s="1" t="s">
        <v>8955</v>
      </c>
      <c r="Q346" s="1" t="s">
        <v>8956</v>
      </c>
      <c r="R346" s="1" t="s">
        <v>9103</v>
      </c>
      <c r="S346" s="1" t="s">
        <v>18770</v>
      </c>
      <c r="T346" s="1" t="s">
        <v>7</v>
      </c>
      <c r="U346" s="1" t="s">
        <v>1122</v>
      </c>
    </row>
    <row r="347" spans="1:21" x14ac:dyDescent="0.2">
      <c r="A347" s="88" t="s">
        <v>15918</v>
      </c>
      <c r="B347" s="88"/>
      <c r="C347" s="1" t="s">
        <v>1350</v>
      </c>
      <c r="D347" s="1" t="s">
        <v>1351</v>
      </c>
      <c r="E347" s="1" t="e">
        <v>#N/A</v>
      </c>
      <c r="F347" s="1" t="e">
        <v>#N/A</v>
      </c>
      <c r="G347" t="e">
        <v>#N/A</v>
      </c>
      <c r="H347" s="1" t="e">
        <v>#N/A</v>
      </c>
      <c r="I347" s="1" t="e">
        <v>#N/A</v>
      </c>
      <c r="J347" s="2" t="e">
        <v>#N/A</v>
      </c>
      <c r="K347" s="1" t="e">
        <v>#N/A</v>
      </c>
      <c r="L347" s="1" t="e">
        <v>#N/A</v>
      </c>
      <c r="M347" s="1" t="e">
        <v>#N/A</v>
      </c>
      <c r="N347" s="1" t="e">
        <v>#N/A</v>
      </c>
      <c r="O347" s="1" t="e">
        <v>#N/A</v>
      </c>
      <c r="P347" s="1" t="s">
        <v>8955</v>
      </c>
      <c r="Q347" s="1" t="s">
        <v>8956</v>
      </c>
      <c r="R347" s="1" t="s">
        <v>8958</v>
      </c>
      <c r="S347" s="1" t="s">
        <v>18771</v>
      </c>
      <c r="T347" s="1" t="s">
        <v>252</v>
      </c>
      <c r="U347" s="1" t="s">
        <v>126</v>
      </c>
    </row>
    <row r="348" spans="1:21" x14ac:dyDescent="0.2">
      <c r="A348" s="88" t="s">
        <v>15919</v>
      </c>
      <c r="B348" s="88" t="e">
        <f>VLOOKUP(C348,#REF!,1,0)</f>
        <v>#REF!</v>
      </c>
      <c r="C348" s="1" t="s">
        <v>1352</v>
      </c>
      <c r="D348" s="1" t="s">
        <v>1353</v>
      </c>
      <c r="E348" s="1" t="s">
        <v>9310</v>
      </c>
      <c r="F348" s="1" t="s">
        <v>8957</v>
      </c>
      <c r="G348" t="s">
        <v>8959</v>
      </c>
      <c r="H348" s="1" t="s">
        <v>9100</v>
      </c>
      <c r="I348" s="1" t="s">
        <v>8949</v>
      </c>
      <c r="J348" s="2" t="s">
        <v>9036</v>
      </c>
      <c r="K348" s="1" t="s">
        <v>9036</v>
      </c>
      <c r="L348" s="1" t="s">
        <v>8987</v>
      </c>
      <c r="M348" s="1">
        <v>633</v>
      </c>
      <c r="N348" s="1" t="s">
        <v>9059</v>
      </c>
      <c r="O348" s="1" t="s">
        <v>8954</v>
      </c>
      <c r="P348" s="1" t="s">
        <v>8955</v>
      </c>
      <c r="Q348" s="1" t="s">
        <v>8956</v>
      </c>
      <c r="R348" s="1" t="s">
        <v>8958</v>
      </c>
      <c r="S348" s="1" t="s">
        <v>18772</v>
      </c>
      <c r="T348" s="1" t="s">
        <v>7</v>
      </c>
      <c r="U348" s="1" t="s">
        <v>8</v>
      </c>
    </row>
    <row r="349" spans="1:21" x14ac:dyDescent="0.2">
      <c r="A349" s="88" t="s">
        <v>15920</v>
      </c>
      <c r="B349" s="88" t="e">
        <f>VLOOKUP(C349,#REF!,1,0)</f>
        <v>#REF!</v>
      </c>
      <c r="C349" s="1" t="s">
        <v>1354</v>
      </c>
      <c r="D349" s="1" t="s">
        <v>1355</v>
      </c>
      <c r="E349" s="1" t="s">
        <v>18502</v>
      </c>
      <c r="F349" s="1" t="s">
        <v>8957</v>
      </c>
      <c r="G349" t="s">
        <v>8959</v>
      </c>
      <c r="H349" s="1" t="s">
        <v>9100</v>
      </c>
      <c r="I349" s="1" t="s">
        <v>8959</v>
      </c>
      <c r="J349" s="2" t="s">
        <v>9036</v>
      </c>
      <c r="K349" s="1" t="s">
        <v>9036</v>
      </c>
      <c r="L349" s="1" t="s">
        <v>8951</v>
      </c>
      <c r="M349" s="1">
        <v>91</v>
      </c>
      <c r="N349" s="1" t="s">
        <v>8953</v>
      </c>
      <c r="O349" s="1" t="s">
        <v>8989</v>
      </c>
      <c r="P349" s="1" t="s">
        <v>8955</v>
      </c>
      <c r="Q349" s="1" t="s">
        <v>8956</v>
      </c>
      <c r="R349" s="1" t="s">
        <v>9103</v>
      </c>
      <c r="S349" s="1" t="s">
        <v>18773</v>
      </c>
      <c r="T349" s="1" t="s">
        <v>17</v>
      </c>
      <c r="U349" s="1" t="s">
        <v>87</v>
      </c>
    </row>
    <row r="350" spans="1:21" x14ac:dyDescent="0.2">
      <c r="A350" s="88" t="s">
        <v>15921</v>
      </c>
      <c r="B350" s="88" t="e">
        <f>VLOOKUP(C350,#REF!,1,0)</f>
        <v>#REF!</v>
      </c>
      <c r="C350" s="1" t="s">
        <v>1356</v>
      </c>
      <c r="D350" s="1" t="s">
        <v>1357</v>
      </c>
      <c r="E350" s="1" t="s">
        <v>9310</v>
      </c>
      <c r="F350" s="1" t="s">
        <v>8959</v>
      </c>
      <c r="G350" t="s">
        <v>8959</v>
      </c>
      <c r="H350" s="1" t="s">
        <v>8984</v>
      </c>
      <c r="I350" s="1" t="s">
        <v>8998</v>
      </c>
      <c r="J350" s="2" t="s">
        <v>20768</v>
      </c>
      <c r="K350" s="1" t="s">
        <v>20768</v>
      </c>
      <c r="L350" s="1" t="s">
        <v>21600</v>
      </c>
      <c r="M350" s="1">
        <v>82</v>
      </c>
      <c r="N350" s="1" t="s">
        <v>8953</v>
      </c>
      <c r="O350" s="1" t="s">
        <v>8989</v>
      </c>
      <c r="P350" s="1" t="s">
        <v>8955</v>
      </c>
      <c r="Q350" s="1" t="s">
        <v>8956</v>
      </c>
      <c r="R350" s="1" t="s">
        <v>9103</v>
      </c>
      <c r="S350" s="1" t="s">
        <v>18774</v>
      </c>
      <c r="T350" s="1" t="s">
        <v>7</v>
      </c>
      <c r="U350" s="1" t="s">
        <v>64</v>
      </c>
    </row>
    <row r="351" spans="1:21" x14ac:dyDescent="0.2">
      <c r="A351" s="88" t="s">
        <v>15922</v>
      </c>
      <c r="B351" s="88" t="e">
        <f>VLOOKUP(C351,#REF!,1,0)</f>
        <v>#REF!</v>
      </c>
      <c r="C351" s="1" t="s">
        <v>1358</v>
      </c>
      <c r="D351" s="1" t="s">
        <v>1359</v>
      </c>
      <c r="E351" s="1" t="s">
        <v>9310</v>
      </c>
      <c r="F351" s="1" t="s">
        <v>8957</v>
      </c>
      <c r="G351" t="s">
        <v>9183</v>
      </c>
      <c r="H351" s="1" t="s">
        <v>9092</v>
      </c>
      <c r="I351" s="1" t="s">
        <v>9308</v>
      </c>
      <c r="J351" s="2" t="s">
        <v>20723</v>
      </c>
      <c r="K351" s="1" t="s">
        <v>20723</v>
      </c>
      <c r="L351" s="1" t="s">
        <v>8951</v>
      </c>
      <c r="M351" s="1">
        <v>3705</v>
      </c>
      <c r="N351" s="1" t="s">
        <v>8953</v>
      </c>
      <c r="O351" s="1" t="s">
        <v>8989</v>
      </c>
      <c r="P351" s="1" t="s">
        <v>8955</v>
      </c>
      <c r="Q351" s="1" t="s">
        <v>8956</v>
      </c>
      <c r="R351" s="1" t="s">
        <v>8975</v>
      </c>
      <c r="S351" s="1" t="s">
        <v>18775</v>
      </c>
      <c r="T351" s="1" t="s">
        <v>7</v>
      </c>
      <c r="U351" s="1" t="s">
        <v>835</v>
      </c>
    </row>
    <row r="352" spans="1:21" x14ac:dyDescent="0.2">
      <c r="A352" s="88" t="s">
        <v>15923</v>
      </c>
      <c r="B352" s="88" t="e">
        <f>VLOOKUP(C352,#REF!,1,0)</f>
        <v>#REF!</v>
      </c>
      <c r="C352" s="1" t="s">
        <v>1360</v>
      </c>
      <c r="D352" s="1" t="s">
        <v>1361</v>
      </c>
      <c r="E352" s="1" t="s">
        <v>10446</v>
      </c>
      <c r="F352" s="1" t="s">
        <v>8959</v>
      </c>
      <c r="G352" t="s">
        <v>9183</v>
      </c>
      <c r="H352" s="1" t="s">
        <v>9092</v>
      </c>
      <c r="I352" s="1" t="s">
        <v>9121</v>
      </c>
      <c r="J352" s="2" t="s">
        <v>9036</v>
      </c>
      <c r="K352" s="1" t="s">
        <v>9036</v>
      </c>
      <c r="L352" s="1" t="s">
        <v>8951</v>
      </c>
      <c r="M352" s="1">
        <v>25505</v>
      </c>
      <c r="N352" s="1" t="s">
        <v>8953</v>
      </c>
      <c r="O352" s="1" t="s">
        <v>8989</v>
      </c>
      <c r="P352" s="1" t="s">
        <v>8955</v>
      </c>
      <c r="Q352" s="1" t="s">
        <v>8956</v>
      </c>
      <c r="R352" s="1" t="s">
        <v>8975</v>
      </c>
      <c r="S352" s="1" t="s">
        <v>1362</v>
      </c>
      <c r="T352" s="1" t="s">
        <v>17</v>
      </c>
      <c r="U352" s="1" t="s">
        <v>147</v>
      </c>
    </row>
    <row r="353" spans="1:21" x14ac:dyDescent="0.2">
      <c r="A353" s="88" t="s">
        <v>15924</v>
      </c>
      <c r="B353" s="88" t="e">
        <f>VLOOKUP(C353,#REF!,1,0)</f>
        <v>#REF!</v>
      </c>
      <c r="C353" s="1" t="s">
        <v>1363</v>
      </c>
      <c r="D353" s="1" t="s">
        <v>1364</v>
      </c>
      <c r="E353" s="1" t="s">
        <v>9310</v>
      </c>
      <c r="F353" s="1" t="s">
        <v>9060</v>
      </c>
      <c r="G353" t="s">
        <v>9183</v>
      </c>
      <c r="H353" s="1" t="s">
        <v>9049</v>
      </c>
      <c r="I353" s="1" t="s">
        <v>9050</v>
      </c>
      <c r="J353" s="2" t="s">
        <v>8972</v>
      </c>
      <c r="K353" s="1" t="s">
        <v>8972</v>
      </c>
      <c r="L353" s="1" t="s">
        <v>8951</v>
      </c>
      <c r="M353" s="1">
        <v>650</v>
      </c>
      <c r="N353" s="1" t="s">
        <v>8953</v>
      </c>
      <c r="O353" s="1" t="s">
        <v>8989</v>
      </c>
      <c r="P353" s="1" t="s">
        <v>8955</v>
      </c>
      <c r="Q353" s="1" t="s">
        <v>8956</v>
      </c>
      <c r="R353" s="1" t="s">
        <v>8958</v>
      </c>
      <c r="S353" s="1" t="s">
        <v>1365</v>
      </c>
      <c r="T353" s="1" t="s">
        <v>11</v>
      </c>
      <c r="U353" s="1" t="s">
        <v>61</v>
      </c>
    </row>
    <row r="354" spans="1:21" x14ac:dyDescent="0.2">
      <c r="A354" s="88" t="s">
        <v>15925</v>
      </c>
      <c r="B354" s="88" t="e">
        <f>VLOOKUP(C354,#REF!,1,0)</f>
        <v>#REF!</v>
      </c>
      <c r="C354" s="1" t="s">
        <v>1366</v>
      </c>
      <c r="D354" s="1" t="s">
        <v>1367</v>
      </c>
      <c r="E354" s="1" t="s">
        <v>9310</v>
      </c>
      <c r="F354" s="1" t="s">
        <v>8957</v>
      </c>
      <c r="G354" t="s">
        <v>9061</v>
      </c>
      <c r="H354" s="1" t="s">
        <v>14381</v>
      </c>
      <c r="I354" s="1" t="s">
        <v>9155</v>
      </c>
      <c r="J354" s="2" t="s">
        <v>21462</v>
      </c>
      <c r="K354" s="1" t="s">
        <v>21462</v>
      </c>
      <c r="L354" s="1" t="s">
        <v>9133</v>
      </c>
      <c r="M354" s="1">
        <v>10133</v>
      </c>
      <c r="N354" s="1" t="s">
        <v>8953</v>
      </c>
      <c r="O354" s="1" t="s">
        <v>8954</v>
      </c>
      <c r="P354" s="1" t="s">
        <v>8955</v>
      </c>
      <c r="Q354" s="1" t="s">
        <v>8956</v>
      </c>
      <c r="R354" s="1" t="s">
        <v>8975</v>
      </c>
      <c r="S354" s="1" t="s">
        <v>1368</v>
      </c>
      <c r="T354" s="1" t="s">
        <v>242</v>
      </c>
      <c r="U354" s="1" t="s">
        <v>24</v>
      </c>
    </row>
    <row r="355" spans="1:21" x14ac:dyDescent="0.2">
      <c r="A355" s="88" t="s">
        <v>15926</v>
      </c>
      <c r="B355" s="88" t="e">
        <f>VLOOKUP(C355,#REF!,1,0)</f>
        <v>#REF!</v>
      </c>
      <c r="C355" s="1" t="s">
        <v>1369</v>
      </c>
      <c r="D355" s="1" t="s">
        <v>1370</v>
      </c>
      <c r="E355" s="1" t="s">
        <v>9010</v>
      </c>
      <c r="F355" s="1" t="s">
        <v>8959</v>
      </c>
      <c r="G355" t="s">
        <v>9061</v>
      </c>
      <c r="H355" s="1" t="s">
        <v>8984</v>
      </c>
      <c r="I355" s="1" t="s">
        <v>8971</v>
      </c>
      <c r="J355" s="2" t="s">
        <v>21247</v>
      </c>
      <c r="K355" s="1" t="s">
        <v>21247</v>
      </c>
      <c r="L355" s="1" t="s">
        <v>8987</v>
      </c>
      <c r="M355" s="1">
        <v>9298</v>
      </c>
      <c r="N355" s="1" t="s">
        <v>8953</v>
      </c>
      <c r="O355" s="1" t="s">
        <v>8954</v>
      </c>
      <c r="P355" s="1" t="s">
        <v>8955</v>
      </c>
      <c r="Q355" s="1" t="s">
        <v>8956</v>
      </c>
      <c r="R355" s="1" t="s">
        <v>9103</v>
      </c>
      <c r="S355" s="1" t="s">
        <v>1371</v>
      </c>
      <c r="T355" s="1" t="s">
        <v>4</v>
      </c>
      <c r="U355" s="1" t="s">
        <v>87</v>
      </c>
    </row>
    <row r="356" spans="1:21" x14ac:dyDescent="0.2">
      <c r="A356" s="88" t="s">
        <v>15927</v>
      </c>
      <c r="B356" s="88" t="e">
        <f>VLOOKUP(C356,#REF!,1,0)</f>
        <v>#REF!</v>
      </c>
      <c r="C356" s="1" t="s">
        <v>1372</v>
      </c>
      <c r="D356" s="1" t="s">
        <v>1373</v>
      </c>
      <c r="E356" s="1" t="s">
        <v>9010</v>
      </c>
      <c r="F356" s="1" t="s">
        <v>8959</v>
      </c>
      <c r="G356" t="s">
        <v>9061</v>
      </c>
      <c r="H356" s="1" t="s">
        <v>8984</v>
      </c>
      <c r="I356" s="1" t="s">
        <v>8998</v>
      </c>
      <c r="J356" s="2" t="s">
        <v>9036</v>
      </c>
      <c r="K356" s="1" t="s">
        <v>9036</v>
      </c>
      <c r="L356" s="1" t="s">
        <v>8951</v>
      </c>
      <c r="M356" s="1">
        <v>2210</v>
      </c>
      <c r="N356" s="1" t="s">
        <v>8953</v>
      </c>
      <c r="O356" s="1" t="s">
        <v>8989</v>
      </c>
      <c r="P356" s="1" t="s">
        <v>8955</v>
      </c>
      <c r="Q356" s="1" t="s">
        <v>8956</v>
      </c>
      <c r="R356" s="1" t="s">
        <v>8958</v>
      </c>
      <c r="S356" s="1" t="s">
        <v>1374</v>
      </c>
      <c r="T356" s="1" t="s">
        <v>11</v>
      </c>
      <c r="U356" s="1" t="s">
        <v>891</v>
      </c>
    </row>
    <row r="357" spans="1:21" x14ac:dyDescent="0.2">
      <c r="A357" s="88" t="s">
        <v>15928</v>
      </c>
      <c r="B357" s="88" t="e">
        <f>VLOOKUP(C357,#REF!,1,0)</f>
        <v>#REF!</v>
      </c>
      <c r="C357" s="1" t="s">
        <v>1375</v>
      </c>
      <c r="D357" s="1" t="s">
        <v>1376</v>
      </c>
      <c r="E357" s="1" t="s">
        <v>9010</v>
      </c>
      <c r="F357" s="1" t="s">
        <v>8959</v>
      </c>
      <c r="G357" t="s">
        <v>9061</v>
      </c>
      <c r="H357" s="1" t="s">
        <v>8984</v>
      </c>
      <c r="I357" s="1" t="s">
        <v>9308</v>
      </c>
      <c r="J357" s="2" t="s">
        <v>21352</v>
      </c>
      <c r="K357" s="1" t="s">
        <v>21352</v>
      </c>
      <c r="L357" s="1" t="s">
        <v>8951</v>
      </c>
      <c r="M357" s="1">
        <v>7768</v>
      </c>
      <c r="N357" s="1" t="s">
        <v>8953</v>
      </c>
      <c r="O357" s="1" t="s">
        <v>8989</v>
      </c>
      <c r="P357" s="1" t="s">
        <v>8955</v>
      </c>
      <c r="Q357" s="1" t="s">
        <v>8956</v>
      </c>
      <c r="R357" s="1" t="s">
        <v>8958</v>
      </c>
      <c r="S357" s="1" t="s">
        <v>1377</v>
      </c>
      <c r="T357" s="1" t="s">
        <v>17</v>
      </c>
      <c r="U357" s="1" t="s">
        <v>496</v>
      </c>
    </row>
    <row r="358" spans="1:21" x14ac:dyDescent="0.2">
      <c r="A358" s="88" t="s">
        <v>15929</v>
      </c>
      <c r="B358" s="88" t="e">
        <f>VLOOKUP(C358,#REF!,1,0)</f>
        <v>#REF!</v>
      </c>
      <c r="C358" s="1" t="s">
        <v>1378</v>
      </c>
      <c r="D358" s="1" t="s">
        <v>1379</v>
      </c>
      <c r="E358" s="1" t="s">
        <v>9213</v>
      </c>
      <c r="F358" s="1" t="s">
        <v>8957</v>
      </c>
      <c r="G358" t="s">
        <v>8959</v>
      </c>
      <c r="H358" s="1" t="s">
        <v>8948</v>
      </c>
      <c r="I358" s="1" t="s">
        <v>9121</v>
      </c>
      <c r="J358" s="2" t="s">
        <v>9041</v>
      </c>
      <c r="K358" s="1" t="s">
        <v>9041</v>
      </c>
      <c r="L358" s="1" t="s">
        <v>8951</v>
      </c>
      <c r="M358" s="1">
        <v>15099</v>
      </c>
      <c r="N358" s="1" t="s">
        <v>9059</v>
      </c>
      <c r="O358" s="1" t="s">
        <v>8989</v>
      </c>
      <c r="P358" s="1" t="s">
        <v>8955</v>
      </c>
      <c r="Q358" s="1" t="s">
        <v>8956</v>
      </c>
      <c r="R358" s="1" t="s">
        <v>9103</v>
      </c>
      <c r="S358" s="1" t="s">
        <v>1380</v>
      </c>
      <c r="T358" s="1" t="s">
        <v>17</v>
      </c>
      <c r="U358" s="1" t="s">
        <v>1381</v>
      </c>
    </row>
    <row r="359" spans="1:21" x14ac:dyDescent="0.2">
      <c r="A359" s="88" t="s">
        <v>15930</v>
      </c>
      <c r="B359" s="88" t="e">
        <f>VLOOKUP(C359,#REF!,1,0)</f>
        <v>#REF!</v>
      </c>
      <c r="C359" s="1" t="s">
        <v>1382</v>
      </c>
      <c r="D359" s="1" t="s">
        <v>1383</v>
      </c>
      <c r="E359" s="1" t="s">
        <v>9310</v>
      </c>
      <c r="F359" s="1" t="s">
        <v>8957</v>
      </c>
      <c r="G359" t="s">
        <v>9183</v>
      </c>
      <c r="H359" s="1" t="s">
        <v>9049</v>
      </c>
      <c r="I359" s="1" t="s">
        <v>9155</v>
      </c>
      <c r="J359" s="2" t="s">
        <v>9872</v>
      </c>
      <c r="K359" s="1" t="s">
        <v>9872</v>
      </c>
      <c r="L359" s="1" t="s">
        <v>8951</v>
      </c>
      <c r="M359" s="1">
        <v>165722</v>
      </c>
      <c r="N359" s="1" t="s">
        <v>8953</v>
      </c>
      <c r="O359" s="1" t="s">
        <v>8954</v>
      </c>
      <c r="P359" s="1" t="s">
        <v>8955</v>
      </c>
      <c r="Q359" s="1" t="s">
        <v>8956</v>
      </c>
      <c r="R359" s="1" t="s">
        <v>8958</v>
      </c>
      <c r="S359" s="1" t="s">
        <v>1384</v>
      </c>
      <c r="T359" s="1" t="s">
        <v>17</v>
      </c>
      <c r="U359" s="1" t="s">
        <v>1385</v>
      </c>
    </row>
    <row r="360" spans="1:21" x14ac:dyDescent="0.2">
      <c r="A360" s="88" t="s">
        <v>15931</v>
      </c>
      <c r="B360" s="88" t="e">
        <f>VLOOKUP(C360,#REF!,1,0)</f>
        <v>#REF!</v>
      </c>
      <c r="C360" s="1" t="s">
        <v>1386</v>
      </c>
      <c r="D360" s="1" t="s">
        <v>1387</v>
      </c>
      <c r="E360" s="1" t="s">
        <v>9380</v>
      </c>
      <c r="F360" s="1" t="s">
        <v>8957</v>
      </c>
      <c r="G360" t="s">
        <v>8959</v>
      </c>
      <c r="H360" s="1" t="s">
        <v>9943</v>
      </c>
      <c r="I360" s="1" t="s">
        <v>8971</v>
      </c>
      <c r="J360" s="2" t="s">
        <v>10135</v>
      </c>
      <c r="K360" s="1" t="s">
        <v>10135</v>
      </c>
      <c r="L360" s="1" t="s">
        <v>8987</v>
      </c>
      <c r="M360" s="1">
        <v>428</v>
      </c>
      <c r="N360" s="1" t="s">
        <v>8953</v>
      </c>
      <c r="O360" s="1" t="s">
        <v>8989</v>
      </c>
      <c r="P360" s="1" t="s">
        <v>8955</v>
      </c>
      <c r="Q360" s="1" t="s">
        <v>8956</v>
      </c>
      <c r="R360" s="1" t="s">
        <v>8958</v>
      </c>
      <c r="S360" s="1" t="s">
        <v>1388</v>
      </c>
      <c r="T360" s="1" t="s">
        <v>4</v>
      </c>
      <c r="U360" s="1" t="s">
        <v>87</v>
      </c>
    </row>
    <row r="361" spans="1:21" x14ac:dyDescent="0.2">
      <c r="A361" s="88" t="s">
        <v>15932</v>
      </c>
      <c r="B361" s="88" t="e">
        <f>VLOOKUP(C361,#REF!,1,0)</f>
        <v>#REF!</v>
      </c>
      <c r="C361" s="1" t="s">
        <v>1389</v>
      </c>
      <c r="D361" s="1" t="s">
        <v>1390</v>
      </c>
      <c r="E361" s="1" t="s">
        <v>18502</v>
      </c>
      <c r="F361" s="1" t="s">
        <v>8957</v>
      </c>
      <c r="G361" t="s">
        <v>9061</v>
      </c>
      <c r="H361" s="1" t="s">
        <v>8948</v>
      </c>
      <c r="I361" s="1" t="s">
        <v>8998</v>
      </c>
      <c r="J361" s="2" t="e">
        <v>#N/A</v>
      </c>
      <c r="K361" s="1" t="e">
        <v>#N/A</v>
      </c>
      <c r="L361" s="1" t="s">
        <v>21600</v>
      </c>
      <c r="M361" s="1">
        <v>60</v>
      </c>
      <c r="N361" s="1" t="s">
        <v>8953</v>
      </c>
      <c r="O361" s="1" t="s">
        <v>8989</v>
      </c>
      <c r="P361" s="1" t="s">
        <v>8955</v>
      </c>
      <c r="Q361" s="1" t="s">
        <v>8956</v>
      </c>
      <c r="R361" s="1" t="s">
        <v>8958</v>
      </c>
      <c r="S361" s="1" t="s">
        <v>18776</v>
      </c>
      <c r="T361" s="1" t="s">
        <v>7</v>
      </c>
      <c r="U361" s="1" t="s">
        <v>378</v>
      </c>
    </row>
    <row r="362" spans="1:21" x14ac:dyDescent="0.2">
      <c r="A362" s="88" t="s">
        <v>15933</v>
      </c>
      <c r="B362" s="88" t="e">
        <f>VLOOKUP(C362,#REF!,1,0)</f>
        <v>#REF!</v>
      </c>
      <c r="C362" s="1" t="s">
        <v>1391</v>
      </c>
      <c r="D362" s="1" t="s">
        <v>1392</v>
      </c>
      <c r="E362" s="1" t="s">
        <v>9310</v>
      </c>
      <c r="F362" s="1" t="s">
        <v>8957</v>
      </c>
      <c r="G362" t="s">
        <v>9061</v>
      </c>
      <c r="H362" s="1" t="s">
        <v>9252</v>
      </c>
      <c r="I362" s="1" t="s">
        <v>8971</v>
      </c>
      <c r="J362" s="2" t="s">
        <v>9787</v>
      </c>
      <c r="K362" s="1" t="s">
        <v>9787</v>
      </c>
      <c r="L362" s="1" t="s">
        <v>8951</v>
      </c>
      <c r="M362" s="1">
        <v>307</v>
      </c>
      <c r="N362" s="1" t="s">
        <v>8953</v>
      </c>
      <c r="O362" s="1" t="s">
        <v>8989</v>
      </c>
      <c r="P362" s="1" t="s">
        <v>8955</v>
      </c>
      <c r="Q362" s="1" t="s">
        <v>8956</v>
      </c>
      <c r="R362" s="1" t="s">
        <v>8958</v>
      </c>
      <c r="S362" s="1" t="s">
        <v>1393</v>
      </c>
      <c r="T362" s="1" t="s">
        <v>17</v>
      </c>
      <c r="U362" s="1" t="s">
        <v>267</v>
      </c>
    </row>
    <row r="363" spans="1:21" x14ac:dyDescent="0.2">
      <c r="A363" s="88" t="s">
        <v>15934</v>
      </c>
      <c r="B363" s="88" t="e">
        <f>VLOOKUP(C363,#REF!,1,0)</f>
        <v>#REF!</v>
      </c>
      <c r="C363" s="1" t="s">
        <v>1394</v>
      </c>
      <c r="D363" s="1" t="s">
        <v>1395</v>
      </c>
      <c r="E363" s="1" t="s">
        <v>10049</v>
      </c>
      <c r="F363" s="1" t="s">
        <v>8957</v>
      </c>
      <c r="G363" t="s">
        <v>9009</v>
      </c>
      <c r="H363" s="1" t="s">
        <v>8948</v>
      </c>
      <c r="I363" s="1" t="s">
        <v>12453</v>
      </c>
      <c r="J363" s="2" t="s">
        <v>9041</v>
      </c>
      <c r="K363" s="1" t="s">
        <v>9041</v>
      </c>
      <c r="L363" s="1" t="s">
        <v>8987</v>
      </c>
      <c r="M363" s="1">
        <v>278</v>
      </c>
      <c r="N363" s="1" t="s">
        <v>8953</v>
      </c>
      <c r="O363" s="1" t="s">
        <v>8954</v>
      </c>
      <c r="P363" s="1" t="s">
        <v>8955</v>
      </c>
      <c r="Q363" s="1" t="s">
        <v>8956</v>
      </c>
      <c r="R363" s="1" t="s">
        <v>8958</v>
      </c>
      <c r="S363" s="1" t="s">
        <v>1396</v>
      </c>
      <c r="T363" s="1" t="s">
        <v>11</v>
      </c>
      <c r="U363" s="1" t="s">
        <v>1397</v>
      </c>
    </row>
    <row r="364" spans="1:21" x14ac:dyDescent="0.2">
      <c r="A364" s="88" t="s">
        <v>15935</v>
      </c>
      <c r="B364" s="88" t="e">
        <f>VLOOKUP(C364,#REF!,1,0)</f>
        <v>#REF!</v>
      </c>
      <c r="C364" s="1" t="s">
        <v>1398</v>
      </c>
      <c r="D364" s="1" t="s">
        <v>1399</v>
      </c>
      <c r="E364" s="1" t="s">
        <v>9815</v>
      </c>
      <c r="F364" s="1" t="s">
        <v>8974</v>
      </c>
      <c r="G364" t="s">
        <v>9061</v>
      </c>
      <c r="H364" s="1" t="s">
        <v>8948</v>
      </c>
      <c r="I364" s="1" t="s">
        <v>8998</v>
      </c>
      <c r="J364" s="2" t="s">
        <v>9036</v>
      </c>
      <c r="K364" s="1" t="s">
        <v>9036</v>
      </c>
      <c r="L364" s="1" t="s">
        <v>8951</v>
      </c>
      <c r="M364" s="1">
        <v>313318</v>
      </c>
      <c r="N364" s="1" t="s">
        <v>8953</v>
      </c>
      <c r="O364" s="1" t="s">
        <v>8954</v>
      </c>
      <c r="P364" s="1" t="s">
        <v>8955</v>
      </c>
      <c r="Q364" s="1" t="s">
        <v>8956</v>
      </c>
      <c r="R364" s="1" t="s">
        <v>8975</v>
      </c>
      <c r="S364" s="1" t="s">
        <v>1400</v>
      </c>
      <c r="T364" s="1" t="s">
        <v>11</v>
      </c>
      <c r="U364" s="1" t="s">
        <v>1401</v>
      </c>
    </row>
    <row r="365" spans="1:21" x14ac:dyDescent="0.2">
      <c r="A365" s="88" t="s">
        <v>15937</v>
      </c>
      <c r="B365" s="88" t="e">
        <f>VLOOKUP(C365,#REF!,1,0)</f>
        <v>#REF!</v>
      </c>
      <c r="C365" s="1" t="s">
        <v>1404</v>
      </c>
      <c r="D365" s="1" t="s">
        <v>1405</v>
      </c>
      <c r="E365" s="1" t="s">
        <v>18502</v>
      </c>
      <c r="F365" s="1" t="s">
        <v>8959</v>
      </c>
      <c r="G365" t="s">
        <v>8959</v>
      </c>
      <c r="H365" s="1" t="s">
        <v>8948</v>
      </c>
      <c r="I365" s="1" t="s">
        <v>8998</v>
      </c>
      <c r="J365" s="2" t="s">
        <v>21419</v>
      </c>
      <c r="K365" s="1" t="s">
        <v>21667</v>
      </c>
      <c r="L365" s="1" t="s">
        <v>21600</v>
      </c>
      <c r="M365" s="1">
        <v>135974</v>
      </c>
      <c r="N365" s="1" t="s">
        <v>8953</v>
      </c>
      <c r="O365" s="1" t="s">
        <v>8954</v>
      </c>
      <c r="P365" s="1" t="s">
        <v>8955</v>
      </c>
      <c r="Q365" s="1" t="s">
        <v>8956</v>
      </c>
      <c r="R365" s="1" t="s">
        <v>8975</v>
      </c>
      <c r="S365" s="1" t="s">
        <v>18778</v>
      </c>
      <c r="T365" s="1" t="s">
        <v>17</v>
      </c>
      <c r="U365" s="1" t="s">
        <v>87</v>
      </c>
    </row>
    <row r="366" spans="1:21" x14ac:dyDescent="0.2">
      <c r="A366" s="88" t="s">
        <v>15939</v>
      </c>
      <c r="B366" s="88" t="e">
        <f>VLOOKUP(C366,#REF!,1,0)</f>
        <v>#REF!</v>
      </c>
      <c r="C366" s="1" t="s">
        <v>1408</v>
      </c>
      <c r="D366" s="1" t="s">
        <v>1409</v>
      </c>
      <c r="E366" s="1" t="s">
        <v>9213</v>
      </c>
      <c r="F366" s="1" t="s">
        <v>8957</v>
      </c>
      <c r="G366" t="s">
        <v>9183</v>
      </c>
      <c r="H366" s="1" t="s">
        <v>8948</v>
      </c>
      <c r="I366" s="1" t="s">
        <v>9131</v>
      </c>
      <c r="J366" s="2" t="s">
        <v>21548</v>
      </c>
      <c r="K366" s="1" t="s">
        <v>21668</v>
      </c>
      <c r="L366" s="1" t="s">
        <v>9133</v>
      </c>
      <c r="M366" s="1">
        <v>2216</v>
      </c>
      <c r="N366" s="1" t="s">
        <v>8953</v>
      </c>
      <c r="O366" s="1" t="s">
        <v>8989</v>
      </c>
      <c r="P366" s="1" t="s">
        <v>8955</v>
      </c>
      <c r="Q366" s="1" t="s">
        <v>8956</v>
      </c>
      <c r="R366" s="1" t="s">
        <v>9103</v>
      </c>
      <c r="S366" s="1" t="s">
        <v>18780</v>
      </c>
      <c r="T366" s="1" t="s">
        <v>7</v>
      </c>
      <c r="U366" s="1" t="s">
        <v>1410</v>
      </c>
    </row>
    <row r="367" spans="1:21" x14ac:dyDescent="0.2">
      <c r="A367" s="88" t="s">
        <v>15940</v>
      </c>
      <c r="B367" s="88" t="e">
        <f>VLOOKUP(C367,#REF!,1,0)</f>
        <v>#REF!</v>
      </c>
      <c r="C367" s="1" t="s">
        <v>1411</v>
      </c>
      <c r="D367" s="1" t="s">
        <v>1412</v>
      </c>
      <c r="E367" s="1" t="s">
        <v>9213</v>
      </c>
      <c r="F367" s="1" t="s">
        <v>9060</v>
      </c>
      <c r="G367" t="s">
        <v>9183</v>
      </c>
      <c r="H367" s="1" t="s">
        <v>8948</v>
      </c>
      <c r="I367" s="1" t="s">
        <v>8949</v>
      </c>
      <c r="J367" s="2" t="s">
        <v>10525</v>
      </c>
      <c r="K367" s="1" t="s">
        <v>21650</v>
      </c>
      <c r="L367" s="1" t="s">
        <v>21600</v>
      </c>
      <c r="M367" s="1">
        <v>744</v>
      </c>
      <c r="N367" s="1" t="s">
        <v>8953</v>
      </c>
      <c r="O367" s="1" t="s">
        <v>8954</v>
      </c>
      <c r="P367" s="1" t="s">
        <v>8955</v>
      </c>
      <c r="Q367" s="1" t="s">
        <v>8956</v>
      </c>
      <c r="R367" s="1" t="s">
        <v>8975</v>
      </c>
      <c r="S367" s="1" t="s">
        <v>18781</v>
      </c>
      <c r="T367" s="1" t="s">
        <v>7</v>
      </c>
      <c r="U367" s="1" t="s">
        <v>24</v>
      </c>
    </row>
    <row r="368" spans="1:21" x14ac:dyDescent="0.2">
      <c r="A368" s="88" t="s">
        <v>15941</v>
      </c>
      <c r="B368" s="88" t="e">
        <f>VLOOKUP(C368,#REF!,1,0)</f>
        <v>#REF!</v>
      </c>
      <c r="C368" s="1" t="s">
        <v>1413</v>
      </c>
      <c r="D368" s="1" t="s">
        <v>1414</v>
      </c>
      <c r="E368" s="1" t="s">
        <v>9213</v>
      </c>
      <c r="F368" s="1" t="s">
        <v>8957</v>
      </c>
      <c r="G368" t="s">
        <v>9061</v>
      </c>
      <c r="H368" s="1" t="s">
        <v>9035</v>
      </c>
      <c r="I368" s="1" t="s">
        <v>8998</v>
      </c>
      <c r="J368" s="2" t="s">
        <v>9036</v>
      </c>
      <c r="K368" s="1" t="s">
        <v>9036</v>
      </c>
      <c r="L368" s="1" t="s">
        <v>9076</v>
      </c>
      <c r="M368" s="1">
        <v>104</v>
      </c>
      <c r="N368" s="1" t="s">
        <v>8953</v>
      </c>
      <c r="O368" s="1" t="s">
        <v>8989</v>
      </c>
      <c r="P368" s="1" t="s">
        <v>8955</v>
      </c>
      <c r="Q368" s="1" t="s">
        <v>8956</v>
      </c>
      <c r="R368" s="1" t="s">
        <v>8958</v>
      </c>
      <c r="S368" s="1" t="s">
        <v>18782</v>
      </c>
      <c r="T368" s="1" t="s">
        <v>17</v>
      </c>
      <c r="U368" s="1" t="s">
        <v>180</v>
      </c>
    </row>
    <row r="369" spans="1:21" x14ac:dyDescent="0.2">
      <c r="A369" s="88" t="s">
        <v>15942</v>
      </c>
      <c r="B369" s="88" t="e">
        <f>VLOOKUP(C369,#REF!,1,0)</f>
        <v>#REF!</v>
      </c>
      <c r="C369" s="1" t="s">
        <v>1415</v>
      </c>
      <c r="D369" s="1" t="s">
        <v>1416</v>
      </c>
      <c r="E369" s="1" t="s">
        <v>9213</v>
      </c>
      <c r="F369" s="1" t="s">
        <v>9060</v>
      </c>
      <c r="G369" t="s">
        <v>9009</v>
      </c>
      <c r="H369" s="1" t="s">
        <v>8948</v>
      </c>
      <c r="I369" s="1" t="s">
        <v>8998</v>
      </c>
      <c r="J369" s="2" t="s">
        <v>9036</v>
      </c>
      <c r="K369" s="1" t="s">
        <v>9036</v>
      </c>
      <c r="L369" s="1" t="s">
        <v>9133</v>
      </c>
      <c r="M369" s="1">
        <v>431</v>
      </c>
      <c r="N369" s="1" t="s">
        <v>9059</v>
      </c>
      <c r="O369" s="1" t="s">
        <v>8954</v>
      </c>
      <c r="P369" s="1" t="s">
        <v>8955</v>
      </c>
      <c r="Q369" s="1" t="s">
        <v>8956</v>
      </c>
      <c r="R369" s="1" t="s">
        <v>8958</v>
      </c>
      <c r="S369" s="1" t="s">
        <v>1417</v>
      </c>
      <c r="T369" s="1" t="s">
        <v>4</v>
      </c>
      <c r="U369" s="1" t="s">
        <v>57</v>
      </c>
    </row>
    <row r="370" spans="1:21" x14ac:dyDescent="0.2">
      <c r="A370" s="88" t="s">
        <v>15943</v>
      </c>
      <c r="B370" s="88" t="e">
        <f>VLOOKUP(C370,#REF!,1,0)</f>
        <v>#REF!</v>
      </c>
      <c r="C370" s="1" t="s">
        <v>1418</v>
      </c>
      <c r="D370" s="1" t="s">
        <v>1419</v>
      </c>
      <c r="E370" s="1" t="s">
        <v>9213</v>
      </c>
      <c r="F370" s="1" t="s">
        <v>8957</v>
      </c>
      <c r="G370" t="s">
        <v>9009</v>
      </c>
      <c r="H370" s="1" t="s">
        <v>8948</v>
      </c>
      <c r="I370" s="1" t="s">
        <v>9725</v>
      </c>
      <c r="J370" s="2" t="s">
        <v>21205</v>
      </c>
      <c r="K370" s="1" t="s">
        <v>21205</v>
      </c>
      <c r="L370" s="1" t="s">
        <v>9292</v>
      </c>
      <c r="M370" s="1">
        <v>1303</v>
      </c>
      <c r="N370" s="1" t="s">
        <v>9059</v>
      </c>
      <c r="O370" s="1" t="s">
        <v>8954</v>
      </c>
      <c r="P370" s="1" t="s">
        <v>8955</v>
      </c>
      <c r="Q370" s="1" t="s">
        <v>8956</v>
      </c>
      <c r="R370" s="1" t="s">
        <v>8958</v>
      </c>
      <c r="S370" s="1" t="s">
        <v>1420</v>
      </c>
      <c r="T370" s="1" t="s">
        <v>17</v>
      </c>
      <c r="U370" s="1" t="s">
        <v>1421</v>
      </c>
    </row>
    <row r="371" spans="1:21" x14ac:dyDescent="0.2">
      <c r="A371" s="88" t="s">
        <v>15944</v>
      </c>
      <c r="B371" s="88" t="e">
        <f>VLOOKUP(C371,#REF!,1,0)</f>
        <v>#REF!</v>
      </c>
      <c r="C371" s="1" t="s">
        <v>1422</v>
      </c>
      <c r="D371" s="1" t="s">
        <v>1423</v>
      </c>
      <c r="E371" s="1" t="s">
        <v>9213</v>
      </c>
      <c r="F371" s="1" t="s">
        <v>8959</v>
      </c>
      <c r="G371" t="s">
        <v>9009</v>
      </c>
      <c r="H371" s="1" t="s">
        <v>8948</v>
      </c>
      <c r="I371" s="1" t="s">
        <v>8949</v>
      </c>
      <c r="J371" s="2" t="s">
        <v>9036</v>
      </c>
      <c r="K371" s="1" t="s">
        <v>9036</v>
      </c>
      <c r="L371" s="1" t="s">
        <v>21600</v>
      </c>
      <c r="M371" s="1">
        <v>38</v>
      </c>
      <c r="N371" s="1" t="s">
        <v>9059</v>
      </c>
      <c r="O371" s="1" t="s">
        <v>8954</v>
      </c>
      <c r="P371" s="1" t="s">
        <v>8955</v>
      </c>
      <c r="Q371" s="1" t="s">
        <v>8956</v>
      </c>
      <c r="R371" s="1" t="s">
        <v>9103</v>
      </c>
      <c r="S371" s="1" t="s">
        <v>1424</v>
      </c>
      <c r="T371" s="1" t="s">
        <v>242</v>
      </c>
      <c r="U371" s="1" t="s">
        <v>322</v>
      </c>
    </row>
    <row r="372" spans="1:21" x14ac:dyDescent="0.2">
      <c r="A372" s="88" t="s">
        <v>15945</v>
      </c>
      <c r="B372" s="88" t="e">
        <f>VLOOKUP(C372,#REF!,1,0)</f>
        <v>#REF!</v>
      </c>
      <c r="C372" s="1" t="s">
        <v>1425</v>
      </c>
      <c r="D372" s="1" t="s">
        <v>1426</v>
      </c>
      <c r="E372" s="1" t="s">
        <v>9213</v>
      </c>
      <c r="F372" s="1" t="s">
        <v>8957</v>
      </c>
      <c r="G372" t="s">
        <v>9009</v>
      </c>
      <c r="H372" s="1" t="s">
        <v>8948</v>
      </c>
      <c r="I372" s="1" t="s">
        <v>9725</v>
      </c>
      <c r="J372" s="2" t="s">
        <v>9599</v>
      </c>
      <c r="K372" s="1" t="s">
        <v>9599</v>
      </c>
      <c r="L372" s="1" t="s">
        <v>9464</v>
      </c>
      <c r="M372" s="1">
        <v>492</v>
      </c>
      <c r="N372" s="1" t="s">
        <v>9059</v>
      </c>
      <c r="O372" s="1" t="s">
        <v>8954</v>
      </c>
      <c r="P372" s="1" t="s">
        <v>8955</v>
      </c>
      <c r="Q372" s="1" t="s">
        <v>8956</v>
      </c>
      <c r="R372" s="1" t="s">
        <v>9103</v>
      </c>
      <c r="S372" s="1" t="s">
        <v>1424</v>
      </c>
      <c r="T372" s="1" t="s">
        <v>11</v>
      </c>
      <c r="U372" s="1" t="s">
        <v>1427</v>
      </c>
    </row>
    <row r="373" spans="1:21" x14ac:dyDescent="0.2">
      <c r="A373" s="88" t="s">
        <v>15946</v>
      </c>
      <c r="B373" s="88" t="e">
        <f>VLOOKUP(C373,#REF!,1,0)</f>
        <v>#REF!</v>
      </c>
      <c r="C373" s="1" t="s">
        <v>1428</v>
      </c>
      <c r="D373" s="1" t="s">
        <v>1429</v>
      </c>
      <c r="E373" s="1" t="s">
        <v>9213</v>
      </c>
      <c r="F373" s="1" t="s">
        <v>8957</v>
      </c>
      <c r="G373" t="s">
        <v>9009</v>
      </c>
      <c r="H373" s="1" t="s">
        <v>8948</v>
      </c>
      <c r="I373" s="1" t="s">
        <v>9155</v>
      </c>
      <c r="J373" s="2" t="s">
        <v>9051</v>
      </c>
      <c r="K373" s="1" t="s">
        <v>9051</v>
      </c>
      <c r="L373" s="1" t="s">
        <v>21600</v>
      </c>
      <c r="M373" s="1">
        <v>163</v>
      </c>
      <c r="N373" s="1" t="s">
        <v>8953</v>
      </c>
      <c r="O373" s="1" t="s">
        <v>8989</v>
      </c>
      <c r="P373" s="1" t="s">
        <v>8955</v>
      </c>
      <c r="Q373" s="1" t="s">
        <v>8956</v>
      </c>
      <c r="R373" s="1" t="s">
        <v>9103</v>
      </c>
      <c r="S373" s="1" t="s">
        <v>1430</v>
      </c>
      <c r="T373" s="1" t="s">
        <v>11</v>
      </c>
      <c r="U373" s="1" t="s">
        <v>733</v>
      </c>
    </row>
    <row r="374" spans="1:21" x14ac:dyDescent="0.2">
      <c r="A374" s="88" t="s">
        <v>15947</v>
      </c>
      <c r="B374" s="88" t="e">
        <f>VLOOKUP(C374,#REF!,1,0)</f>
        <v>#REF!</v>
      </c>
      <c r="C374" s="1" t="s">
        <v>1431</v>
      </c>
      <c r="D374" s="1" t="s">
        <v>1432</v>
      </c>
      <c r="E374" s="1" t="s">
        <v>9213</v>
      </c>
      <c r="F374" s="1" t="s">
        <v>8957</v>
      </c>
      <c r="G374" t="s">
        <v>9061</v>
      </c>
      <c r="H374" s="1" t="s">
        <v>20712</v>
      </c>
      <c r="I374" s="1" t="s">
        <v>9725</v>
      </c>
      <c r="J374" s="2" t="s">
        <v>9036</v>
      </c>
      <c r="K374" s="1" t="s">
        <v>9036</v>
      </c>
      <c r="L374" s="1" t="s">
        <v>9076</v>
      </c>
      <c r="M374" s="1" t="s">
        <v>9479</v>
      </c>
      <c r="N374" s="1" t="s">
        <v>9479</v>
      </c>
      <c r="O374" s="1" t="s">
        <v>9479</v>
      </c>
      <c r="P374" s="1" t="s">
        <v>8955</v>
      </c>
      <c r="Q374" s="1" t="s">
        <v>8956</v>
      </c>
      <c r="R374" s="1" t="s">
        <v>8958</v>
      </c>
      <c r="S374" s="1" t="s">
        <v>18783</v>
      </c>
      <c r="T374" s="1" t="s">
        <v>7</v>
      </c>
      <c r="U374" s="1" t="s">
        <v>378</v>
      </c>
    </row>
    <row r="375" spans="1:21" x14ac:dyDescent="0.2">
      <c r="A375" s="88" t="s">
        <v>15948</v>
      </c>
      <c r="B375" s="88" t="e">
        <f>VLOOKUP(C375,#REF!,1,0)</f>
        <v>#REF!</v>
      </c>
      <c r="C375" s="1" t="s">
        <v>1433</v>
      </c>
      <c r="D375" s="1" t="s">
        <v>1434</v>
      </c>
      <c r="E375" s="1" t="s">
        <v>9213</v>
      </c>
      <c r="F375" s="1" t="s">
        <v>8974</v>
      </c>
      <c r="G375" t="s">
        <v>9061</v>
      </c>
      <c r="H375" s="1" t="s">
        <v>9252</v>
      </c>
      <c r="I375" s="1" t="s">
        <v>8971</v>
      </c>
      <c r="J375" s="2" t="s">
        <v>20735</v>
      </c>
      <c r="K375" s="1" t="s">
        <v>20735</v>
      </c>
      <c r="L375" s="1" t="s">
        <v>9133</v>
      </c>
      <c r="M375" s="1">
        <v>1043</v>
      </c>
      <c r="N375" s="1" t="s">
        <v>8953</v>
      </c>
      <c r="O375" s="1" t="s">
        <v>8989</v>
      </c>
      <c r="P375" s="1" t="s">
        <v>8955</v>
      </c>
      <c r="Q375" s="1" t="s">
        <v>8956</v>
      </c>
      <c r="R375" s="1" t="s">
        <v>8975</v>
      </c>
      <c r="S375" s="1" t="s">
        <v>18784</v>
      </c>
      <c r="T375" s="1" t="s">
        <v>17</v>
      </c>
      <c r="U375" s="1" t="s">
        <v>138</v>
      </c>
    </row>
    <row r="376" spans="1:21" x14ac:dyDescent="0.2">
      <c r="A376" s="88" t="s">
        <v>15949</v>
      </c>
      <c r="B376" s="88" t="e">
        <f>VLOOKUP(C376,#REF!,1,0)</f>
        <v>#REF!</v>
      </c>
      <c r="C376" s="1" t="s">
        <v>1435</v>
      </c>
      <c r="D376" s="1" t="s">
        <v>1436</v>
      </c>
      <c r="E376" s="1" t="s">
        <v>9213</v>
      </c>
      <c r="F376" s="1" t="s">
        <v>8959</v>
      </c>
      <c r="G376" t="s">
        <v>9061</v>
      </c>
      <c r="H376" s="1" t="s">
        <v>9092</v>
      </c>
      <c r="I376" s="1" t="s">
        <v>9308</v>
      </c>
      <c r="J376" s="2" t="s">
        <v>18497</v>
      </c>
      <c r="K376" s="1" t="s">
        <v>21658</v>
      </c>
      <c r="L376" s="1" t="s">
        <v>8951</v>
      </c>
      <c r="M376" s="1">
        <v>1266</v>
      </c>
      <c r="N376" s="1" t="s">
        <v>8953</v>
      </c>
      <c r="O376" s="1" t="s">
        <v>8989</v>
      </c>
      <c r="P376" s="1" t="s">
        <v>8955</v>
      </c>
      <c r="Q376" s="1" t="s">
        <v>8956</v>
      </c>
      <c r="R376" s="1" t="s">
        <v>8975</v>
      </c>
      <c r="S376" s="1" t="s">
        <v>18785</v>
      </c>
      <c r="T376" s="1" t="s">
        <v>7</v>
      </c>
      <c r="U376" s="1" t="s">
        <v>666</v>
      </c>
    </row>
    <row r="377" spans="1:21" x14ac:dyDescent="0.2">
      <c r="A377" s="88" t="s">
        <v>15950</v>
      </c>
      <c r="B377" s="88" t="e">
        <f>VLOOKUP(C377,#REF!,1,0)</f>
        <v>#REF!</v>
      </c>
      <c r="C377" s="1" t="s">
        <v>1437</v>
      </c>
      <c r="D377" s="1" t="s">
        <v>1438</v>
      </c>
      <c r="E377" s="1" t="s">
        <v>9213</v>
      </c>
      <c r="F377" s="1" t="s">
        <v>8974</v>
      </c>
      <c r="G377" t="s">
        <v>8959</v>
      </c>
      <c r="H377" s="1" t="s">
        <v>9049</v>
      </c>
      <c r="I377" s="1" t="s">
        <v>9050</v>
      </c>
      <c r="J377" s="2" t="s">
        <v>21549</v>
      </c>
      <c r="K377" s="1" t="s">
        <v>21549</v>
      </c>
      <c r="L377" s="1" t="s">
        <v>8987</v>
      </c>
      <c r="M377" s="1">
        <v>397</v>
      </c>
      <c r="N377" s="1" t="s">
        <v>8953</v>
      </c>
      <c r="O377" s="1" t="s">
        <v>8989</v>
      </c>
      <c r="P377" s="1" t="s">
        <v>8955</v>
      </c>
      <c r="Q377" s="1" t="s">
        <v>8956</v>
      </c>
      <c r="R377" s="1" t="s">
        <v>8958</v>
      </c>
      <c r="S377" s="1" t="s">
        <v>1439</v>
      </c>
      <c r="T377" s="1" t="s">
        <v>4</v>
      </c>
      <c r="U377" s="1" t="s">
        <v>110</v>
      </c>
    </row>
    <row r="378" spans="1:21" x14ac:dyDescent="0.2">
      <c r="A378" s="88" t="s">
        <v>15951</v>
      </c>
      <c r="B378" s="88" t="e">
        <f>VLOOKUP(C378,#REF!,1,0)</f>
        <v>#REF!</v>
      </c>
      <c r="C378" s="1" t="s">
        <v>1440</v>
      </c>
      <c r="D378" s="1" t="s">
        <v>1441</v>
      </c>
      <c r="E378" s="1" t="s">
        <v>9213</v>
      </c>
      <c r="F378" s="1" t="s">
        <v>8957</v>
      </c>
      <c r="G378" t="s">
        <v>8959</v>
      </c>
      <c r="H378" s="1" t="s">
        <v>8984</v>
      </c>
      <c r="I378" s="1" t="s">
        <v>8998</v>
      </c>
      <c r="J378" s="2" t="s">
        <v>21550</v>
      </c>
      <c r="K378" s="1" t="s">
        <v>21669</v>
      </c>
      <c r="L378" s="1" t="s">
        <v>9464</v>
      </c>
      <c r="M378" s="1">
        <v>5936</v>
      </c>
      <c r="N378" s="1" t="s">
        <v>8953</v>
      </c>
      <c r="O378" s="1" t="s">
        <v>8989</v>
      </c>
      <c r="P378" s="1" t="s">
        <v>8955</v>
      </c>
      <c r="Q378" s="1" t="s">
        <v>8956</v>
      </c>
      <c r="R378" s="1" t="s">
        <v>9103</v>
      </c>
      <c r="S378" s="1" t="s">
        <v>18786</v>
      </c>
      <c r="T378" s="1" t="s">
        <v>7</v>
      </c>
      <c r="U378" s="1" t="s">
        <v>46</v>
      </c>
    </row>
    <row r="379" spans="1:21" x14ac:dyDescent="0.2">
      <c r="A379" s="88" t="s">
        <v>15952</v>
      </c>
      <c r="B379" s="88" t="e">
        <f>VLOOKUP(C379,#REF!,1,0)</f>
        <v>#REF!</v>
      </c>
      <c r="C379" s="1" t="s">
        <v>1442</v>
      </c>
      <c r="D379" s="1" t="s">
        <v>1443</v>
      </c>
      <c r="E379" s="1" t="s">
        <v>9213</v>
      </c>
      <c r="F379" s="1" t="s">
        <v>8957</v>
      </c>
      <c r="G379" t="s">
        <v>8959</v>
      </c>
      <c r="H379" s="1" t="s">
        <v>20712</v>
      </c>
      <c r="I379" s="1" t="s">
        <v>8998</v>
      </c>
      <c r="J379" s="2" t="s">
        <v>18491</v>
      </c>
      <c r="K379" s="1" t="s">
        <v>18491</v>
      </c>
      <c r="L379" s="1" t="s">
        <v>9464</v>
      </c>
      <c r="M379" s="1">
        <v>468120</v>
      </c>
      <c r="N379" s="1" t="s">
        <v>8953</v>
      </c>
      <c r="O379" s="1" t="s">
        <v>8989</v>
      </c>
      <c r="P379" s="1" t="s">
        <v>8955</v>
      </c>
      <c r="Q379" s="1" t="s">
        <v>8956</v>
      </c>
      <c r="R379" s="1" t="s">
        <v>9103</v>
      </c>
      <c r="S379" s="1" t="s">
        <v>18787</v>
      </c>
      <c r="T379" s="1" t="s">
        <v>17</v>
      </c>
      <c r="U379" s="1" t="s">
        <v>46</v>
      </c>
    </row>
    <row r="380" spans="1:21" x14ac:dyDescent="0.2">
      <c r="A380" s="88" t="s">
        <v>15953</v>
      </c>
      <c r="B380" s="88" t="e">
        <f>VLOOKUP(C380,#REF!,1,0)</f>
        <v>#REF!</v>
      </c>
      <c r="C380" s="1" t="s">
        <v>1444</v>
      </c>
      <c r="D380" s="1" t="s">
        <v>1445</v>
      </c>
      <c r="E380" s="1" t="s">
        <v>9213</v>
      </c>
      <c r="F380" s="1" t="s">
        <v>8957</v>
      </c>
      <c r="G380" t="s">
        <v>9183</v>
      </c>
      <c r="H380" s="1" t="s">
        <v>9035</v>
      </c>
      <c r="I380" s="1" t="s">
        <v>8998</v>
      </c>
      <c r="J380" s="2" t="s">
        <v>9036</v>
      </c>
      <c r="K380" s="1" t="s">
        <v>9036</v>
      </c>
      <c r="L380" s="1" t="s">
        <v>9133</v>
      </c>
      <c r="M380" s="1">
        <v>7461</v>
      </c>
      <c r="N380" s="1" t="s">
        <v>8953</v>
      </c>
      <c r="O380" s="1" t="s">
        <v>8989</v>
      </c>
      <c r="P380" s="1" t="s">
        <v>8955</v>
      </c>
      <c r="Q380" s="1" t="s">
        <v>8956</v>
      </c>
      <c r="R380" s="1" t="s">
        <v>8975</v>
      </c>
      <c r="S380" s="1" t="s">
        <v>1446</v>
      </c>
      <c r="T380" s="1" t="s">
        <v>11</v>
      </c>
      <c r="U380" s="1" t="s">
        <v>180</v>
      </c>
    </row>
    <row r="381" spans="1:21" x14ac:dyDescent="0.2">
      <c r="A381" s="88" t="s">
        <v>15954</v>
      </c>
      <c r="B381" s="88" t="e">
        <f>VLOOKUP(C381,#REF!,1,0)</f>
        <v>#REF!</v>
      </c>
      <c r="C381" s="1" t="s">
        <v>1447</v>
      </c>
      <c r="D381" s="1" t="s">
        <v>1448</v>
      </c>
      <c r="E381" s="1" t="s">
        <v>9213</v>
      </c>
      <c r="F381" s="1" t="s">
        <v>8957</v>
      </c>
      <c r="G381" t="s">
        <v>8959</v>
      </c>
      <c r="H381" s="1" t="s">
        <v>9100</v>
      </c>
      <c r="I381" s="1" t="s">
        <v>8949</v>
      </c>
      <c r="J381" s="2" t="s">
        <v>20770</v>
      </c>
      <c r="K381" s="1" t="s">
        <v>20770</v>
      </c>
      <c r="L381" s="1" t="s">
        <v>9133</v>
      </c>
      <c r="M381" s="1">
        <v>3704</v>
      </c>
      <c r="N381" s="1" t="s">
        <v>8953</v>
      </c>
      <c r="O381" s="1" t="s">
        <v>8989</v>
      </c>
      <c r="P381" s="1" t="s">
        <v>8955</v>
      </c>
      <c r="Q381" s="1" t="s">
        <v>8956</v>
      </c>
      <c r="R381" s="1" t="s">
        <v>9103</v>
      </c>
      <c r="S381" s="1" t="s">
        <v>18788</v>
      </c>
      <c r="T381" s="1" t="s">
        <v>17</v>
      </c>
      <c r="U381" s="1" t="s">
        <v>609</v>
      </c>
    </row>
    <row r="382" spans="1:21" x14ac:dyDescent="0.2">
      <c r="A382" s="88" t="s">
        <v>15955</v>
      </c>
      <c r="B382" s="88" t="e">
        <f>VLOOKUP(C382,#REF!,1,0)</f>
        <v>#REF!</v>
      </c>
      <c r="C382" s="1" t="s">
        <v>1449</v>
      </c>
      <c r="D382" s="1" t="s">
        <v>1450</v>
      </c>
      <c r="E382" s="1" t="s">
        <v>9213</v>
      </c>
      <c r="F382" s="1" t="s">
        <v>8957</v>
      </c>
      <c r="G382" t="s">
        <v>8959</v>
      </c>
      <c r="H382" s="1" t="s">
        <v>9100</v>
      </c>
      <c r="I382" s="1" t="s">
        <v>8949</v>
      </c>
      <c r="J382" s="2" t="s">
        <v>18491</v>
      </c>
      <c r="K382" s="1" t="s">
        <v>18491</v>
      </c>
      <c r="L382" s="1" t="s">
        <v>8987</v>
      </c>
      <c r="M382" s="1">
        <v>386</v>
      </c>
      <c r="N382" s="1" t="s">
        <v>9059</v>
      </c>
      <c r="O382" s="1" t="s">
        <v>8989</v>
      </c>
      <c r="P382" s="1" t="s">
        <v>8955</v>
      </c>
      <c r="Q382" s="1" t="s">
        <v>8956</v>
      </c>
      <c r="R382" s="1" t="s">
        <v>8958</v>
      </c>
      <c r="S382" s="1" t="s">
        <v>18789</v>
      </c>
      <c r="T382" s="1" t="s">
        <v>7</v>
      </c>
      <c r="U382" s="1" t="s">
        <v>180</v>
      </c>
    </row>
    <row r="383" spans="1:21" x14ac:dyDescent="0.2">
      <c r="A383" s="88" t="s">
        <v>15956</v>
      </c>
      <c r="B383" s="88" t="e">
        <f>VLOOKUP(C383,#REF!,1,0)</f>
        <v>#REF!</v>
      </c>
      <c r="C383" s="1" t="s">
        <v>1451</v>
      </c>
      <c r="D383" s="1" t="s">
        <v>1452</v>
      </c>
      <c r="E383" s="1" t="s">
        <v>9213</v>
      </c>
      <c r="F383" s="1" t="s">
        <v>8959</v>
      </c>
      <c r="G383" t="s">
        <v>9061</v>
      </c>
      <c r="H383" s="1" t="s">
        <v>9100</v>
      </c>
      <c r="I383" s="1" t="s">
        <v>8949</v>
      </c>
      <c r="J383" s="2" t="s">
        <v>20771</v>
      </c>
      <c r="K383" s="1" t="s">
        <v>20771</v>
      </c>
      <c r="L383" s="1" t="s">
        <v>21600</v>
      </c>
      <c r="M383" s="1">
        <v>182</v>
      </c>
      <c r="N383" s="1" t="s">
        <v>9059</v>
      </c>
      <c r="O383" s="1" t="s">
        <v>8954</v>
      </c>
      <c r="P383" s="1" t="s">
        <v>8955</v>
      </c>
      <c r="Q383" s="1" t="s">
        <v>8956</v>
      </c>
      <c r="R383" s="1" t="s">
        <v>8975</v>
      </c>
      <c r="S383" s="1" t="s">
        <v>18790</v>
      </c>
      <c r="T383" s="1" t="s">
        <v>7</v>
      </c>
      <c r="U383" s="1" t="s">
        <v>831</v>
      </c>
    </row>
    <row r="384" spans="1:21" x14ac:dyDescent="0.2">
      <c r="A384" s="88" t="s">
        <v>15958</v>
      </c>
      <c r="B384" s="88" t="e">
        <f>VLOOKUP(C384,#REF!,1,0)</f>
        <v>#REF!</v>
      </c>
      <c r="C384" s="1" t="s">
        <v>1455</v>
      </c>
      <c r="D384" s="1" t="s">
        <v>1456</v>
      </c>
      <c r="E384" s="1" t="s">
        <v>12873</v>
      </c>
      <c r="F384" s="1" t="s">
        <v>8959</v>
      </c>
      <c r="G384" t="s">
        <v>9183</v>
      </c>
      <c r="H384" s="1" t="s">
        <v>9252</v>
      </c>
      <c r="I384" s="1" t="s">
        <v>9253</v>
      </c>
      <c r="J384" s="2" t="s">
        <v>9018</v>
      </c>
      <c r="K384" s="1" t="s">
        <v>21762</v>
      </c>
      <c r="L384" s="1" t="s">
        <v>8987</v>
      </c>
      <c r="M384" s="1">
        <v>1200</v>
      </c>
      <c r="N384" s="1" t="s">
        <v>8953</v>
      </c>
      <c r="O384" s="1" t="s">
        <v>8954</v>
      </c>
      <c r="P384" s="1" t="s">
        <v>8955</v>
      </c>
      <c r="Q384" s="1" t="s">
        <v>8956</v>
      </c>
      <c r="R384" s="1" t="s">
        <v>9103</v>
      </c>
      <c r="S384" s="1" t="s">
        <v>1457</v>
      </c>
      <c r="T384" s="1" t="s">
        <v>11</v>
      </c>
      <c r="U384" s="1" t="s">
        <v>184</v>
      </c>
    </row>
    <row r="385" spans="1:21" x14ac:dyDescent="0.2">
      <c r="A385" s="88" t="s">
        <v>15959</v>
      </c>
      <c r="B385" s="88" t="e">
        <f>VLOOKUP(C385,#REF!,1,0)</f>
        <v>#REF!</v>
      </c>
      <c r="C385" s="1" t="s">
        <v>1458</v>
      </c>
      <c r="D385" s="1" t="s">
        <v>1459</v>
      </c>
      <c r="E385" s="1" t="s">
        <v>9465</v>
      </c>
      <c r="F385" s="1" t="s">
        <v>9060</v>
      </c>
      <c r="G385" t="s">
        <v>9061</v>
      </c>
      <c r="H385" s="1" t="s">
        <v>9035</v>
      </c>
      <c r="I385" s="1" t="s">
        <v>8998</v>
      </c>
      <c r="J385" s="2" t="s">
        <v>9036</v>
      </c>
      <c r="K385" s="1" t="s">
        <v>9036</v>
      </c>
      <c r="L385" s="1" t="s">
        <v>8987</v>
      </c>
      <c r="M385" s="1">
        <v>105</v>
      </c>
      <c r="N385" s="1" t="s">
        <v>9059</v>
      </c>
      <c r="O385" s="1" t="s">
        <v>8954</v>
      </c>
      <c r="P385" s="1" t="s">
        <v>8955</v>
      </c>
      <c r="Q385" s="1" t="s">
        <v>8956</v>
      </c>
      <c r="R385" s="1" t="s">
        <v>8975</v>
      </c>
      <c r="S385" s="1" t="s">
        <v>18792</v>
      </c>
      <c r="T385" s="1" t="s">
        <v>17</v>
      </c>
      <c r="U385" s="1" t="s">
        <v>666</v>
      </c>
    </row>
    <row r="386" spans="1:21" x14ac:dyDescent="0.2">
      <c r="A386" s="88" t="s">
        <v>15960</v>
      </c>
      <c r="B386" s="88" t="e">
        <f>VLOOKUP(C386,#REF!,1,0)</f>
        <v>#REF!</v>
      </c>
      <c r="C386" s="1" t="s">
        <v>1460</v>
      </c>
      <c r="D386" s="1" t="s">
        <v>1461</v>
      </c>
      <c r="E386" s="1" t="s">
        <v>18502</v>
      </c>
      <c r="F386" s="1" t="s">
        <v>9060</v>
      </c>
      <c r="G386" t="s">
        <v>8959</v>
      </c>
      <c r="H386" s="1" t="s">
        <v>9605</v>
      </c>
      <c r="I386" s="1" t="s">
        <v>9101</v>
      </c>
      <c r="J386" s="2" t="s">
        <v>10492</v>
      </c>
      <c r="K386" s="1" t="s">
        <v>10492</v>
      </c>
      <c r="L386" s="1" t="s">
        <v>8951</v>
      </c>
      <c r="M386" s="1">
        <v>11</v>
      </c>
      <c r="N386" s="1" t="s">
        <v>9059</v>
      </c>
      <c r="O386" s="1" t="s">
        <v>8954</v>
      </c>
      <c r="P386" s="1" t="s">
        <v>8955</v>
      </c>
      <c r="Q386" s="1" t="s">
        <v>8956</v>
      </c>
      <c r="R386" s="1" t="s">
        <v>8975</v>
      </c>
      <c r="S386" s="1" t="s">
        <v>20566</v>
      </c>
      <c r="T386" s="1" t="s">
        <v>11</v>
      </c>
      <c r="U386" s="1" t="s">
        <v>1462</v>
      </c>
    </row>
    <row r="387" spans="1:21" x14ac:dyDescent="0.2">
      <c r="A387" s="95" t="s">
        <v>15962</v>
      </c>
      <c r="B387" s="88" t="e">
        <f>VLOOKUP(C387,#REF!,1,0)</f>
        <v>#REF!</v>
      </c>
      <c r="C387" s="1" t="s">
        <v>1465</v>
      </c>
      <c r="D387" s="1" t="s">
        <v>1466</v>
      </c>
      <c r="E387" s="1" t="s">
        <v>18502</v>
      </c>
      <c r="F387" s="1" t="s">
        <v>8957</v>
      </c>
      <c r="G387" t="s">
        <v>9061</v>
      </c>
      <c r="H387" s="1" t="s">
        <v>9605</v>
      </c>
      <c r="I387" s="1" t="s">
        <v>8949</v>
      </c>
      <c r="J387" s="2" t="s">
        <v>20772</v>
      </c>
      <c r="K387" s="1" t="s">
        <v>20772</v>
      </c>
      <c r="L387" s="1" t="s">
        <v>9076</v>
      </c>
      <c r="M387" s="1">
        <v>4475</v>
      </c>
      <c r="N387" s="1" t="s">
        <v>8953</v>
      </c>
      <c r="O387" s="1" t="s">
        <v>8989</v>
      </c>
      <c r="P387" s="1" t="s">
        <v>8955</v>
      </c>
      <c r="Q387" s="1" t="s">
        <v>8956</v>
      </c>
      <c r="R387" s="1" t="s">
        <v>8975</v>
      </c>
      <c r="S387" s="1" t="s">
        <v>18793</v>
      </c>
      <c r="T387" s="1" t="s">
        <v>17</v>
      </c>
      <c r="U387" s="1" t="s">
        <v>93</v>
      </c>
    </row>
    <row r="388" spans="1:21" x14ac:dyDescent="0.2">
      <c r="A388" s="88" t="s">
        <v>15964</v>
      </c>
      <c r="B388" s="88" t="e">
        <f>VLOOKUP(C388,#REF!,1,0)</f>
        <v>#REF!</v>
      </c>
      <c r="C388" s="1" t="s">
        <v>1469</v>
      </c>
      <c r="D388" s="1" t="s">
        <v>1470</v>
      </c>
      <c r="E388" s="1" t="s">
        <v>9213</v>
      </c>
      <c r="F388" s="1" t="s">
        <v>9060</v>
      </c>
      <c r="G388" t="s">
        <v>9183</v>
      </c>
      <c r="H388" s="1" t="s">
        <v>9092</v>
      </c>
      <c r="I388" s="1" t="s">
        <v>8998</v>
      </c>
      <c r="J388" s="2" t="s">
        <v>9036</v>
      </c>
      <c r="K388" s="1" t="s">
        <v>9036</v>
      </c>
      <c r="L388" s="1" t="s">
        <v>8987</v>
      </c>
      <c r="M388" s="1">
        <v>1891</v>
      </c>
      <c r="N388" s="1" t="s">
        <v>8953</v>
      </c>
      <c r="O388" s="1" t="s">
        <v>8954</v>
      </c>
      <c r="P388" s="1" t="s">
        <v>8955</v>
      </c>
      <c r="Q388" s="1" t="s">
        <v>8956</v>
      </c>
      <c r="R388" s="1" t="s">
        <v>8975</v>
      </c>
      <c r="S388" s="1" t="s">
        <v>1471</v>
      </c>
      <c r="T388" s="1" t="s">
        <v>11</v>
      </c>
      <c r="U388" s="1" t="s">
        <v>1472</v>
      </c>
    </row>
    <row r="389" spans="1:21" x14ac:dyDescent="0.2">
      <c r="A389" s="88" t="s">
        <v>15965</v>
      </c>
      <c r="B389" s="88" t="e">
        <f>VLOOKUP(C389,#REF!,1,0)</f>
        <v>#REF!</v>
      </c>
      <c r="C389" s="1" t="s">
        <v>1473</v>
      </c>
      <c r="D389" s="1" t="s">
        <v>1474</v>
      </c>
      <c r="E389" s="1" t="s">
        <v>9246</v>
      </c>
      <c r="F389" s="1" t="s">
        <v>8957</v>
      </c>
      <c r="G389" t="s">
        <v>9061</v>
      </c>
      <c r="H389" s="1" t="s">
        <v>9035</v>
      </c>
      <c r="I389" s="1" t="s">
        <v>8998</v>
      </c>
      <c r="J389" s="2" t="s">
        <v>9036</v>
      </c>
      <c r="K389" s="1" t="s">
        <v>9036</v>
      </c>
      <c r="L389" s="1" t="s">
        <v>8987</v>
      </c>
      <c r="M389" s="1">
        <v>2153</v>
      </c>
      <c r="N389" s="1" t="s">
        <v>9059</v>
      </c>
      <c r="O389" s="1" t="s">
        <v>8954</v>
      </c>
      <c r="P389" s="1" t="s">
        <v>8955</v>
      </c>
      <c r="Q389" s="1" t="s">
        <v>8956</v>
      </c>
      <c r="R389" s="1" t="s">
        <v>8975</v>
      </c>
      <c r="S389" s="1" t="s">
        <v>1475</v>
      </c>
      <c r="T389" s="1" t="s">
        <v>4</v>
      </c>
      <c r="U389" s="1" t="s">
        <v>24</v>
      </c>
    </row>
    <row r="390" spans="1:21" x14ac:dyDescent="0.2">
      <c r="A390" s="88" t="s">
        <v>15966</v>
      </c>
      <c r="B390" s="88" t="e">
        <f>VLOOKUP(C390,#REF!,1,0)</f>
        <v>#REF!</v>
      </c>
      <c r="C390" s="1" t="s">
        <v>1476</v>
      </c>
      <c r="D390" s="1" t="s">
        <v>1477</v>
      </c>
      <c r="E390" s="1" t="s">
        <v>9246</v>
      </c>
      <c r="F390" s="1" t="s">
        <v>8957</v>
      </c>
      <c r="G390" t="s">
        <v>9061</v>
      </c>
      <c r="H390" s="1" t="s">
        <v>9035</v>
      </c>
      <c r="I390" s="1" t="s">
        <v>8998</v>
      </c>
      <c r="J390" s="2" t="s">
        <v>9036</v>
      </c>
      <c r="K390" s="1" t="s">
        <v>9036</v>
      </c>
      <c r="L390" s="1" t="s">
        <v>8987</v>
      </c>
      <c r="M390" s="1">
        <v>4026</v>
      </c>
      <c r="N390" s="1" t="s">
        <v>8953</v>
      </c>
      <c r="O390" s="1" t="s">
        <v>8989</v>
      </c>
      <c r="P390" s="1" t="s">
        <v>8955</v>
      </c>
      <c r="Q390" s="1" t="s">
        <v>8956</v>
      </c>
      <c r="R390" s="1" t="s">
        <v>8975</v>
      </c>
      <c r="S390" s="1" t="s">
        <v>1478</v>
      </c>
      <c r="T390" s="1" t="s">
        <v>924</v>
      </c>
      <c r="U390" s="1" t="s">
        <v>126</v>
      </c>
    </row>
    <row r="391" spans="1:21" x14ac:dyDescent="0.2">
      <c r="A391" s="88" t="s">
        <v>15967</v>
      </c>
      <c r="B391" s="88" t="e">
        <f>VLOOKUP(C391,#REF!,1,0)</f>
        <v>#REF!</v>
      </c>
      <c r="C391" s="1" t="s">
        <v>1479</v>
      </c>
      <c r="D391" s="1" t="s">
        <v>1480</v>
      </c>
      <c r="E391" s="1" t="s">
        <v>9465</v>
      </c>
      <c r="F391" s="1" t="s">
        <v>8959</v>
      </c>
      <c r="G391" t="s">
        <v>9061</v>
      </c>
      <c r="H391" s="1" t="s">
        <v>9252</v>
      </c>
      <c r="I391" s="1" t="s">
        <v>18504</v>
      </c>
      <c r="J391" s="2" t="s">
        <v>9036</v>
      </c>
      <c r="K391" s="1" t="s">
        <v>9036</v>
      </c>
      <c r="L391" s="1" t="s">
        <v>8987</v>
      </c>
      <c r="M391" s="1">
        <v>20578</v>
      </c>
      <c r="N391" s="1" t="s">
        <v>8953</v>
      </c>
      <c r="O391" s="1" t="s">
        <v>8989</v>
      </c>
      <c r="P391" s="1" t="s">
        <v>8955</v>
      </c>
      <c r="Q391" s="1" t="s">
        <v>8956</v>
      </c>
      <c r="R391" s="1" t="s">
        <v>8975</v>
      </c>
      <c r="S391" s="1" t="s">
        <v>18795</v>
      </c>
      <c r="T391" s="1" t="s">
        <v>17</v>
      </c>
      <c r="U391" s="1" t="s">
        <v>670</v>
      </c>
    </row>
    <row r="392" spans="1:21" x14ac:dyDescent="0.2">
      <c r="A392" s="88" t="s">
        <v>15968</v>
      </c>
      <c r="B392" s="88" t="e">
        <f>VLOOKUP(C392,#REF!,1,0)</f>
        <v>#REF!</v>
      </c>
      <c r="C392" s="1" t="s">
        <v>1481</v>
      </c>
      <c r="D392" s="1" t="s">
        <v>1482</v>
      </c>
      <c r="E392" s="1" t="s">
        <v>18502</v>
      </c>
      <c r="F392" s="1" t="s">
        <v>9060</v>
      </c>
      <c r="G392" t="s">
        <v>8959</v>
      </c>
      <c r="H392" s="1" t="s">
        <v>9252</v>
      </c>
      <c r="I392" s="1" t="s">
        <v>18504</v>
      </c>
      <c r="J392" s="2" t="s">
        <v>21248</v>
      </c>
      <c r="K392" s="1" t="s">
        <v>21670</v>
      </c>
      <c r="L392" s="1" t="s">
        <v>8987</v>
      </c>
      <c r="M392" s="1">
        <v>4935</v>
      </c>
      <c r="N392" s="1" t="s">
        <v>8953</v>
      </c>
      <c r="O392" s="1" t="s">
        <v>8954</v>
      </c>
      <c r="P392" s="1" t="s">
        <v>8955</v>
      </c>
      <c r="Q392" s="1" t="s">
        <v>8956</v>
      </c>
      <c r="R392" s="1" t="s">
        <v>8958</v>
      </c>
      <c r="S392" s="1" t="s">
        <v>18796</v>
      </c>
      <c r="T392" s="1" t="s">
        <v>7</v>
      </c>
      <c r="U392" s="1" t="s">
        <v>87</v>
      </c>
    </row>
    <row r="393" spans="1:21" x14ac:dyDescent="0.2">
      <c r="A393" s="88" t="s">
        <v>15969</v>
      </c>
      <c r="B393" s="88" t="e">
        <f>VLOOKUP(C393,#REF!,1,0)</f>
        <v>#REF!</v>
      </c>
      <c r="C393" s="1" t="s">
        <v>1483</v>
      </c>
      <c r="D393" s="1" t="s">
        <v>1484</v>
      </c>
      <c r="E393" s="1" t="s">
        <v>9650</v>
      </c>
      <c r="F393" s="1" t="s">
        <v>8957</v>
      </c>
      <c r="G393" t="s">
        <v>8959</v>
      </c>
      <c r="H393" s="1" t="s">
        <v>8948</v>
      </c>
      <c r="I393" s="1" t="s">
        <v>8998</v>
      </c>
      <c r="J393" s="2" t="s">
        <v>9036</v>
      </c>
      <c r="K393" s="1" t="s">
        <v>9036</v>
      </c>
      <c r="L393" s="1" t="s">
        <v>21600</v>
      </c>
      <c r="M393" s="1">
        <v>376000</v>
      </c>
      <c r="N393" s="1" t="s">
        <v>8953</v>
      </c>
      <c r="O393" s="1" t="s">
        <v>8989</v>
      </c>
      <c r="P393" s="1" t="s">
        <v>8955</v>
      </c>
      <c r="Q393" s="1" t="s">
        <v>8956</v>
      </c>
      <c r="R393" s="1" t="s">
        <v>8958</v>
      </c>
      <c r="S393" s="1" t="s">
        <v>18797</v>
      </c>
      <c r="T393" s="1" t="s">
        <v>17</v>
      </c>
      <c r="U393" s="1" t="s">
        <v>74</v>
      </c>
    </row>
    <row r="394" spans="1:21" x14ac:dyDescent="0.2">
      <c r="A394" s="88" t="s">
        <v>15970</v>
      </c>
      <c r="B394" s="88" t="e">
        <f>VLOOKUP(C394,#REF!,1,0)</f>
        <v>#REF!</v>
      </c>
      <c r="C394" s="1" t="s">
        <v>1485</v>
      </c>
      <c r="D394" s="1" t="s">
        <v>1486</v>
      </c>
      <c r="E394" s="1" t="s">
        <v>9010</v>
      </c>
      <c r="F394" s="1" t="s">
        <v>8957</v>
      </c>
      <c r="G394" t="s">
        <v>9009</v>
      </c>
      <c r="H394" s="1" t="s">
        <v>9154</v>
      </c>
      <c r="I394" s="1" t="s">
        <v>8998</v>
      </c>
      <c r="J394" s="2" t="s">
        <v>9102</v>
      </c>
      <c r="K394" s="1" t="s">
        <v>9102</v>
      </c>
      <c r="L394" s="1" t="s">
        <v>9133</v>
      </c>
      <c r="M394" s="1">
        <v>351</v>
      </c>
      <c r="N394" s="1" t="s">
        <v>8953</v>
      </c>
      <c r="O394" s="1" t="s">
        <v>8954</v>
      </c>
      <c r="P394" s="1" t="s">
        <v>8955</v>
      </c>
      <c r="Q394" s="1" t="s">
        <v>8956</v>
      </c>
      <c r="R394" s="1" t="s">
        <v>8975</v>
      </c>
      <c r="S394" s="1" t="s">
        <v>1487</v>
      </c>
      <c r="T394" s="1" t="s">
        <v>11</v>
      </c>
      <c r="U394" s="1" t="s">
        <v>876</v>
      </c>
    </row>
    <row r="395" spans="1:21" x14ac:dyDescent="0.2">
      <c r="A395" s="88" t="s">
        <v>15971</v>
      </c>
      <c r="B395" s="88" t="e">
        <f>VLOOKUP(C395,#REF!,1,0)</f>
        <v>#REF!</v>
      </c>
      <c r="C395" s="1" t="s">
        <v>1488</v>
      </c>
      <c r="D395" s="1" t="s">
        <v>1489</v>
      </c>
      <c r="E395" s="1" t="s">
        <v>9010</v>
      </c>
      <c r="F395" s="1" t="s">
        <v>8957</v>
      </c>
      <c r="G395" t="s">
        <v>8959</v>
      </c>
      <c r="H395" s="1" t="s">
        <v>8984</v>
      </c>
      <c r="I395" s="1" t="s">
        <v>9121</v>
      </c>
      <c r="J395" s="2" t="s">
        <v>9374</v>
      </c>
      <c r="K395" s="1" t="s">
        <v>9374</v>
      </c>
      <c r="L395" s="1" t="s">
        <v>9292</v>
      </c>
      <c r="M395" s="1">
        <v>8000</v>
      </c>
      <c r="N395" s="1" t="s">
        <v>8953</v>
      </c>
      <c r="O395" s="1" t="s">
        <v>8989</v>
      </c>
      <c r="P395" s="1" t="s">
        <v>8955</v>
      </c>
      <c r="Q395" s="1" t="s">
        <v>8956</v>
      </c>
      <c r="R395" s="1" t="s">
        <v>9103</v>
      </c>
      <c r="S395" s="1" t="s">
        <v>1490</v>
      </c>
      <c r="T395" s="1" t="s">
        <v>17</v>
      </c>
      <c r="U395" s="1" t="s">
        <v>74</v>
      </c>
    </row>
    <row r="396" spans="1:21" x14ac:dyDescent="0.2">
      <c r="A396" s="88" t="s">
        <v>15972</v>
      </c>
      <c r="B396" s="88" t="e">
        <f>VLOOKUP(C396,#REF!,1,0)</f>
        <v>#REF!</v>
      </c>
      <c r="C396" s="1" t="s">
        <v>1491</v>
      </c>
      <c r="D396" s="1" t="s">
        <v>1492</v>
      </c>
      <c r="E396" s="1" t="s">
        <v>18502</v>
      </c>
      <c r="F396" s="1" t="s">
        <v>8959</v>
      </c>
      <c r="G396" t="s">
        <v>8959</v>
      </c>
      <c r="H396" s="1" t="s">
        <v>9252</v>
      </c>
      <c r="I396" s="1" t="s">
        <v>18504</v>
      </c>
      <c r="J396" s="2" t="s">
        <v>21353</v>
      </c>
      <c r="K396" s="1" t="s">
        <v>21753</v>
      </c>
      <c r="L396" s="1" t="s">
        <v>20773</v>
      </c>
      <c r="M396" s="1">
        <v>4452</v>
      </c>
      <c r="N396" s="1" t="s">
        <v>8953</v>
      </c>
      <c r="O396" s="1" t="s">
        <v>8954</v>
      </c>
      <c r="P396" s="1" t="s">
        <v>8955</v>
      </c>
      <c r="Q396" s="1" t="s">
        <v>8956</v>
      </c>
      <c r="R396" s="1" t="s">
        <v>9103</v>
      </c>
      <c r="S396" s="1" t="s">
        <v>18798</v>
      </c>
      <c r="T396" s="1" t="s">
        <v>17</v>
      </c>
      <c r="U396" s="1" t="s">
        <v>74</v>
      </c>
    </row>
    <row r="397" spans="1:21" x14ac:dyDescent="0.2">
      <c r="A397" s="88" t="s">
        <v>15974</v>
      </c>
      <c r="B397" s="88" t="e">
        <f>VLOOKUP(C397,#REF!,1,0)</f>
        <v>#REF!</v>
      </c>
      <c r="C397" s="1" t="s">
        <v>1495</v>
      </c>
      <c r="D397" s="1" t="s">
        <v>1496</v>
      </c>
      <c r="E397" s="1" t="s">
        <v>9010</v>
      </c>
      <c r="F397" s="1" t="s">
        <v>9060</v>
      </c>
      <c r="G397" t="s">
        <v>9061</v>
      </c>
      <c r="H397" s="1" t="s">
        <v>9100</v>
      </c>
      <c r="I397" s="1" t="s">
        <v>8949</v>
      </c>
      <c r="J397" s="2" t="s">
        <v>9102</v>
      </c>
      <c r="K397" s="1" t="s">
        <v>9102</v>
      </c>
      <c r="L397" s="1" t="s">
        <v>9076</v>
      </c>
      <c r="M397" s="1">
        <v>15000</v>
      </c>
      <c r="N397" s="1" t="s">
        <v>8953</v>
      </c>
      <c r="O397" s="1" t="s">
        <v>8989</v>
      </c>
      <c r="P397" s="1" t="s">
        <v>8955</v>
      </c>
      <c r="Q397" s="1" t="s">
        <v>8956</v>
      </c>
      <c r="R397" s="1" t="s">
        <v>9103</v>
      </c>
      <c r="S397" s="1" t="s">
        <v>1497</v>
      </c>
      <c r="T397" s="1" t="s">
        <v>11</v>
      </c>
      <c r="U397" s="1" t="s">
        <v>161</v>
      </c>
    </row>
    <row r="398" spans="1:21" x14ac:dyDescent="0.2">
      <c r="A398" s="88" t="s">
        <v>15976</v>
      </c>
      <c r="B398" s="88" t="e">
        <f>VLOOKUP(C398,#REF!,1,0)</f>
        <v>#REF!</v>
      </c>
      <c r="C398" s="1" t="s">
        <v>1504</v>
      </c>
      <c r="D398" s="1" t="s">
        <v>1505</v>
      </c>
      <c r="E398" s="1" t="s">
        <v>10873</v>
      </c>
      <c r="F398" s="1" t="s">
        <v>8957</v>
      </c>
      <c r="G398" t="s">
        <v>9009</v>
      </c>
      <c r="H398" s="1" t="s">
        <v>8948</v>
      </c>
      <c r="I398" s="1" t="s">
        <v>8949</v>
      </c>
      <c r="J398" s="2" t="s">
        <v>9036</v>
      </c>
      <c r="K398" s="1" t="s">
        <v>9036</v>
      </c>
      <c r="L398" s="1" t="s">
        <v>9133</v>
      </c>
      <c r="M398" s="1">
        <v>1601</v>
      </c>
      <c r="N398" s="1" t="s">
        <v>8953</v>
      </c>
      <c r="O398" s="1" t="s">
        <v>8954</v>
      </c>
      <c r="P398" s="1" t="s">
        <v>8955</v>
      </c>
      <c r="Q398" s="1" t="s">
        <v>8956</v>
      </c>
      <c r="R398" s="1" t="s">
        <v>8958</v>
      </c>
      <c r="S398" s="1" t="s">
        <v>1506</v>
      </c>
      <c r="T398" s="1" t="s">
        <v>4</v>
      </c>
      <c r="U398" s="1" t="s">
        <v>392</v>
      </c>
    </row>
    <row r="399" spans="1:21" x14ac:dyDescent="0.2">
      <c r="A399" s="88" t="s">
        <v>15977</v>
      </c>
      <c r="B399" s="88" t="e">
        <f>VLOOKUP(C399,#REF!,1,0)</f>
        <v>#REF!</v>
      </c>
      <c r="C399" s="1" t="s">
        <v>1507</v>
      </c>
      <c r="D399" s="1" t="s">
        <v>1508</v>
      </c>
      <c r="E399" s="1" t="s">
        <v>9010</v>
      </c>
      <c r="F399" s="1" t="s">
        <v>8959</v>
      </c>
      <c r="G399" t="s">
        <v>9183</v>
      </c>
      <c r="H399" s="1" t="s">
        <v>9154</v>
      </c>
      <c r="I399" s="1" t="s">
        <v>8998</v>
      </c>
      <c r="J399" s="2" t="s">
        <v>9436</v>
      </c>
      <c r="K399" s="1" t="s">
        <v>9436</v>
      </c>
      <c r="L399" s="1" t="s">
        <v>21616</v>
      </c>
      <c r="M399" s="1">
        <v>250</v>
      </c>
      <c r="N399" s="1" t="s">
        <v>8953</v>
      </c>
      <c r="O399" s="1" t="s">
        <v>8954</v>
      </c>
      <c r="P399" s="1" t="s">
        <v>8955</v>
      </c>
      <c r="Q399" s="1" t="s">
        <v>8956</v>
      </c>
      <c r="R399" s="1" t="s">
        <v>8975</v>
      </c>
      <c r="S399" s="1" t="s">
        <v>1509</v>
      </c>
      <c r="T399" s="1" t="s">
        <v>11</v>
      </c>
      <c r="U399" s="1" t="s">
        <v>61</v>
      </c>
    </row>
    <row r="400" spans="1:21" x14ac:dyDescent="0.2">
      <c r="A400" s="88" t="s">
        <v>15978</v>
      </c>
      <c r="B400" s="88" t="e">
        <f>VLOOKUP(C400,#REF!,1,0)</f>
        <v>#REF!</v>
      </c>
      <c r="C400" s="1" t="s">
        <v>1510</v>
      </c>
      <c r="D400" s="1" t="s">
        <v>1511</v>
      </c>
      <c r="E400" s="1" t="s">
        <v>10032</v>
      </c>
      <c r="F400" s="1" t="s">
        <v>9060</v>
      </c>
      <c r="G400" t="s">
        <v>9183</v>
      </c>
      <c r="H400" s="1" t="s">
        <v>9100</v>
      </c>
      <c r="I400" s="1" t="s">
        <v>8949</v>
      </c>
      <c r="J400" s="2" t="s">
        <v>9036</v>
      </c>
      <c r="K400" s="1" t="s">
        <v>9036</v>
      </c>
      <c r="L400" s="1" t="s">
        <v>21600</v>
      </c>
      <c r="M400" s="1">
        <v>53</v>
      </c>
      <c r="N400" s="1" t="s">
        <v>8953</v>
      </c>
      <c r="O400" s="1" t="s">
        <v>8954</v>
      </c>
      <c r="P400" s="1" t="s">
        <v>8955</v>
      </c>
      <c r="Q400" s="1" t="s">
        <v>8956</v>
      </c>
      <c r="R400" s="1" t="s">
        <v>8975</v>
      </c>
      <c r="S400" s="1" t="s">
        <v>1512</v>
      </c>
      <c r="T400" s="1" t="s">
        <v>11</v>
      </c>
      <c r="U400" s="1" t="s">
        <v>24</v>
      </c>
    </row>
    <row r="401" spans="1:21" x14ac:dyDescent="0.2">
      <c r="A401" s="88" t="s">
        <v>15979</v>
      </c>
      <c r="B401" s="88" t="e">
        <f>VLOOKUP(C401,#REF!,1,0)</f>
        <v>#REF!</v>
      </c>
      <c r="C401" s="1" t="s">
        <v>1520</v>
      </c>
      <c r="D401" s="1" t="s">
        <v>1521</v>
      </c>
      <c r="E401" s="1" t="s">
        <v>10032</v>
      </c>
      <c r="F401" s="1" t="s">
        <v>9060</v>
      </c>
      <c r="G401" t="s">
        <v>8959</v>
      </c>
      <c r="H401" s="1" t="s">
        <v>9075</v>
      </c>
      <c r="I401" s="1" t="s">
        <v>8998</v>
      </c>
      <c r="J401" s="2" t="s">
        <v>20774</v>
      </c>
      <c r="K401" s="1" t="s">
        <v>20774</v>
      </c>
      <c r="L401" s="1" t="s">
        <v>21600</v>
      </c>
      <c r="M401" s="1">
        <v>1344</v>
      </c>
      <c r="N401" s="1" t="s">
        <v>8953</v>
      </c>
      <c r="O401" s="1" t="s">
        <v>8989</v>
      </c>
      <c r="P401" s="1" t="s">
        <v>8955</v>
      </c>
      <c r="Q401" s="1" t="s">
        <v>8956</v>
      </c>
      <c r="R401" s="1" t="s">
        <v>9103</v>
      </c>
      <c r="S401" s="1" t="s">
        <v>18802</v>
      </c>
      <c r="T401" s="1" t="s">
        <v>7</v>
      </c>
      <c r="U401" s="1" t="s">
        <v>74</v>
      </c>
    </row>
    <row r="402" spans="1:21" x14ac:dyDescent="0.2">
      <c r="A402" s="88" t="s">
        <v>15980</v>
      </c>
      <c r="B402" s="88" t="e">
        <f>VLOOKUP(C402,#REF!,1,0)</f>
        <v>#REF!</v>
      </c>
      <c r="C402" s="1" t="s">
        <v>1522</v>
      </c>
      <c r="D402" s="1" t="s">
        <v>1523</v>
      </c>
      <c r="E402" s="1" t="s">
        <v>9650</v>
      </c>
      <c r="F402" s="1" t="s">
        <v>8959</v>
      </c>
      <c r="G402" t="s">
        <v>9009</v>
      </c>
      <c r="H402" s="1" t="s">
        <v>9252</v>
      </c>
      <c r="I402" s="1" t="s">
        <v>8971</v>
      </c>
      <c r="J402" s="2" t="s">
        <v>10525</v>
      </c>
      <c r="K402" s="1" t="s">
        <v>10525</v>
      </c>
      <c r="L402" s="1" t="s">
        <v>9133</v>
      </c>
      <c r="M402" s="1">
        <v>118</v>
      </c>
      <c r="N402" s="1" t="s">
        <v>8953</v>
      </c>
      <c r="O402" s="1" t="s">
        <v>8954</v>
      </c>
      <c r="P402" s="1" t="s">
        <v>8955</v>
      </c>
      <c r="Q402" s="1" t="s">
        <v>8956</v>
      </c>
      <c r="R402" s="1" t="s">
        <v>8975</v>
      </c>
      <c r="S402" s="1" t="s">
        <v>20567</v>
      </c>
      <c r="T402" s="1" t="s">
        <v>17</v>
      </c>
      <c r="U402" s="1" t="s">
        <v>1524</v>
      </c>
    </row>
    <row r="403" spans="1:21" x14ac:dyDescent="0.2">
      <c r="A403" s="88" t="s">
        <v>15981</v>
      </c>
      <c r="B403" s="88" t="e">
        <f>VLOOKUP(C403,#REF!,1,0)</f>
        <v>#REF!</v>
      </c>
      <c r="C403" s="1" t="s">
        <v>1525</v>
      </c>
      <c r="D403" s="1" t="s">
        <v>1526</v>
      </c>
      <c r="E403" s="1" t="s">
        <v>18502</v>
      </c>
      <c r="F403" s="1" t="s">
        <v>8959</v>
      </c>
      <c r="G403" t="s">
        <v>8959</v>
      </c>
      <c r="H403" s="1" t="s">
        <v>8984</v>
      </c>
      <c r="I403" s="1" t="s">
        <v>8949</v>
      </c>
      <c r="J403" s="2" t="s">
        <v>9036</v>
      </c>
      <c r="K403" s="1" t="s">
        <v>9036</v>
      </c>
      <c r="L403" s="1" t="s">
        <v>8987</v>
      </c>
      <c r="M403" s="1">
        <v>171</v>
      </c>
      <c r="N403" s="1" t="s">
        <v>8953</v>
      </c>
      <c r="O403" s="1" t="s">
        <v>8989</v>
      </c>
      <c r="P403" s="1" t="s">
        <v>8955</v>
      </c>
      <c r="Q403" s="1" t="s">
        <v>8956</v>
      </c>
      <c r="R403" s="1" t="s">
        <v>8958</v>
      </c>
      <c r="S403" s="1" t="s">
        <v>20568</v>
      </c>
      <c r="T403" s="1" t="s">
        <v>17</v>
      </c>
      <c r="U403" s="1" t="s">
        <v>1527</v>
      </c>
    </row>
    <row r="404" spans="1:21" x14ac:dyDescent="0.2">
      <c r="A404" s="88" t="s">
        <v>15982</v>
      </c>
      <c r="B404" s="88" t="e">
        <f>VLOOKUP(C404,#REF!,1,0)</f>
        <v>#REF!</v>
      </c>
      <c r="C404" s="1" t="s">
        <v>1528</v>
      </c>
      <c r="D404" s="1" t="s">
        <v>1529</v>
      </c>
      <c r="E404" s="1" t="s">
        <v>9010</v>
      </c>
      <c r="F404" s="1" t="s">
        <v>8959</v>
      </c>
      <c r="G404" t="s">
        <v>9061</v>
      </c>
      <c r="H404" s="1" t="s">
        <v>9075</v>
      </c>
      <c r="I404" s="1" t="s">
        <v>8998</v>
      </c>
      <c r="J404" s="2" t="s">
        <v>9112</v>
      </c>
      <c r="K404" s="1" t="s">
        <v>9112</v>
      </c>
      <c r="L404" s="1" t="s">
        <v>8987</v>
      </c>
      <c r="M404" s="1">
        <v>179</v>
      </c>
      <c r="N404" s="1" t="s">
        <v>8953</v>
      </c>
      <c r="O404" s="1" t="s">
        <v>8989</v>
      </c>
      <c r="P404" s="1" t="s">
        <v>8955</v>
      </c>
      <c r="Q404" s="1" t="s">
        <v>8956</v>
      </c>
      <c r="R404" s="1" t="s">
        <v>8975</v>
      </c>
      <c r="S404" s="1" t="s">
        <v>1530</v>
      </c>
      <c r="T404" s="1" t="s">
        <v>17</v>
      </c>
      <c r="U404" s="1" t="s">
        <v>891</v>
      </c>
    </row>
    <row r="405" spans="1:21" x14ac:dyDescent="0.2">
      <c r="A405" s="88" t="s">
        <v>15983</v>
      </c>
      <c r="B405" s="88" t="e">
        <f>VLOOKUP(C405,#REF!,1,0)</f>
        <v>#REF!</v>
      </c>
      <c r="C405" s="1" t="s">
        <v>1531</v>
      </c>
      <c r="D405" s="1" t="s">
        <v>1532</v>
      </c>
      <c r="E405" s="1" t="s">
        <v>10873</v>
      </c>
      <c r="F405" s="1" t="s">
        <v>8959</v>
      </c>
      <c r="G405" t="s">
        <v>9009</v>
      </c>
      <c r="H405" s="1" t="s">
        <v>9092</v>
      </c>
      <c r="I405" s="1" t="s">
        <v>8971</v>
      </c>
      <c r="J405" s="2" t="s">
        <v>18491</v>
      </c>
      <c r="K405" s="1" t="s">
        <v>18491</v>
      </c>
      <c r="L405" s="1" t="s">
        <v>9076</v>
      </c>
      <c r="M405" s="1">
        <v>100</v>
      </c>
      <c r="N405" s="1" t="s">
        <v>8953</v>
      </c>
      <c r="O405" s="1" t="s">
        <v>8989</v>
      </c>
      <c r="P405" s="1" t="s">
        <v>8955</v>
      </c>
      <c r="Q405" s="1" t="s">
        <v>8956</v>
      </c>
      <c r="R405" s="1" t="s">
        <v>9103</v>
      </c>
      <c r="S405" s="1" t="s">
        <v>18803</v>
      </c>
      <c r="T405" s="1" t="s">
        <v>7</v>
      </c>
      <c r="U405" s="1" t="s">
        <v>184</v>
      </c>
    </row>
    <row r="406" spans="1:21" x14ac:dyDescent="0.2">
      <c r="A406" s="88" t="s">
        <v>15984</v>
      </c>
      <c r="B406" s="88" t="e">
        <f>VLOOKUP(C406,#REF!,1,0)</f>
        <v>#REF!</v>
      </c>
      <c r="C406" s="1" t="s">
        <v>1533</v>
      </c>
      <c r="D406" s="1" t="s">
        <v>1534</v>
      </c>
      <c r="E406" s="1" t="s">
        <v>18502</v>
      </c>
      <c r="F406" s="1" t="s">
        <v>8957</v>
      </c>
      <c r="G406" t="s">
        <v>9061</v>
      </c>
      <c r="H406" s="1" t="s">
        <v>9035</v>
      </c>
      <c r="I406" s="1" t="s">
        <v>9308</v>
      </c>
      <c r="J406" s="2" t="s">
        <v>20736</v>
      </c>
      <c r="K406" s="1" t="s">
        <v>21640</v>
      </c>
      <c r="L406" s="1" t="s">
        <v>8987</v>
      </c>
      <c r="M406" s="1">
        <v>5667</v>
      </c>
      <c r="N406" s="1" t="s">
        <v>8953</v>
      </c>
      <c r="O406" s="1" t="s">
        <v>8954</v>
      </c>
      <c r="P406" s="1" t="s">
        <v>8955</v>
      </c>
      <c r="Q406" s="1" t="s">
        <v>8956</v>
      </c>
      <c r="R406" s="1" t="s">
        <v>8958</v>
      </c>
      <c r="S406" s="1" t="s">
        <v>18804</v>
      </c>
      <c r="T406" s="1" t="s">
        <v>7</v>
      </c>
      <c r="U406" s="1" t="s">
        <v>286</v>
      </c>
    </row>
    <row r="407" spans="1:21" x14ac:dyDescent="0.2">
      <c r="A407" s="88" t="s">
        <v>15985</v>
      </c>
      <c r="B407" s="88" t="e">
        <f>VLOOKUP(C407,#REF!,1,0)</f>
        <v>#REF!</v>
      </c>
      <c r="C407" s="1" t="s">
        <v>1535</v>
      </c>
      <c r="D407" s="1" t="s">
        <v>1536</v>
      </c>
      <c r="E407" s="1" t="s">
        <v>9327</v>
      </c>
      <c r="F407" s="1" t="s">
        <v>8957</v>
      </c>
      <c r="G407" t="s">
        <v>8959</v>
      </c>
      <c r="H407" s="1" t="s">
        <v>9252</v>
      </c>
      <c r="I407" s="1" t="s">
        <v>8985</v>
      </c>
      <c r="J407" s="2" t="s">
        <v>9036</v>
      </c>
      <c r="K407" s="1" t="s">
        <v>9036</v>
      </c>
      <c r="L407" s="1" t="s">
        <v>8951</v>
      </c>
      <c r="M407" s="1">
        <v>600</v>
      </c>
      <c r="N407" s="1" t="s">
        <v>8953</v>
      </c>
      <c r="O407" s="1" t="s">
        <v>8954</v>
      </c>
      <c r="P407" s="1" t="s">
        <v>8955</v>
      </c>
      <c r="Q407" s="1" t="s">
        <v>8956</v>
      </c>
      <c r="R407" s="1" t="s">
        <v>8975</v>
      </c>
      <c r="S407" s="1" t="s">
        <v>1537</v>
      </c>
      <c r="T407" s="1" t="s">
        <v>4</v>
      </c>
      <c r="U407" s="1" t="s">
        <v>24</v>
      </c>
    </row>
    <row r="408" spans="1:21" x14ac:dyDescent="0.2">
      <c r="A408" s="88" t="s">
        <v>15986</v>
      </c>
      <c r="B408" s="88" t="e">
        <f>VLOOKUP(C408,#REF!,1,0)</f>
        <v>#REF!</v>
      </c>
      <c r="C408" s="1" t="s">
        <v>1538</v>
      </c>
      <c r="D408" s="1" t="s">
        <v>1539</v>
      </c>
      <c r="E408" s="1" t="s">
        <v>9327</v>
      </c>
      <c r="F408" s="1" t="s">
        <v>8957</v>
      </c>
      <c r="G408" t="s">
        <v>8959</v>
      </c>
      <c r="H408" s="1" t="s">
        <v>9173</v>
      </c>
      <c r="I408" s="1" t="s">
        <v>9269</v>
      </c>
      <c r="J408" s="2" t="s">
        <v>21461</v>
      </c>
      <c r="K408" s="1" t="s">
        <v>21461</v>
      </c>
      <c r="L408" s="1" t="s">
        <v>8951</v>
      </c>
      <c r="M408" s="1">
        <v>308</v>
      </c>
      <c r="N408" s="1" t="s">
        <v>8953</v>
      </c>
      <c r="O408" s="1" t="s">
        <v>8954</v>
      </c>
      <c r="P408" s="1" t="s">
        <v>8955</v>
      </c>
      <c r="Q408" s="1" t="s">
        <v>8956</v>
      </c>
      <c r="R408" s="1" t="s">
        <v>8958</v>
      </c>
      <c r="S408" s="1" t="s">
        <v>1540</v>
      </c>
      <c r="T408" s="1" t="s">
        <v>920</v>
      </c>
      <c r="U408" s="1" t="s">
        <v>921</v>
      </c>
    </row>
    <row r="409" spans="1:21" x14ac:dyDescent="0.2">
      <c r="A409" s="88" t="s">
        <v>15987</v>
      </c>
      <c r="B409" s="88" t="e">
        <f>VLOOKUP(C409,#REF!,1,0)</f>
        <v>#REF!</v>
      </c>
      <c r="C409" s="1" t="s">
        <v>1541</v>
      </c>
      <c r="D409" s="1" t="s">
        <v>1542</v>
      </c>
      <c r="E409" s="1" t="s">
        <v>20743</v>
      </c>
      <c r="F409" s="1" t="s">
        <v>8959</v>
      </c>
      <c r="G409" t="s">
        <v>8959</v>
      </c>
      <c r="H409" s="1" t="s">
        <v>8984</v>
      </c>
      <c r="I409" s="1" t="s">
        <v>8959</v>
      </c>
      <c r="J409" s="2" t="s">
        <v>20775</v>
      </c>
      <c r="K409" s="1" t="s">
        <v>20775</v>
      </c>
      <c r="L409" s="1" t="s">
        <v>8951</v>
      </c>
      <c r="M409" s="1">
        <v>110</v>
      </c>
      <c r="N409" s="1" t="s">
        <v>8953</v>
      </c>
      <c r="O409" s="1" t="s">
        <v>8989</v>
      </c>
      <c r="P409" s="1" t="s">
        <v>8955</v>
      </c>
      <c r="Q409" s="1" t="s">
        <v>8956</v>
      </c>
      <c r="R409" s="1" t="s">
        <v>8958</v>
      </c>
      <c r="S409" s="1" t="s">
        <v>20569</v>
      </c>
      <c r="T409" s="1" t="s">
        <v>7</v>
      </c>
      <c r="U409" s="1" t="s">
        <v>210</v>
      </c>
    </row>
    <row r="410" spans="1:21" x14ac:dyDescent="0.2">
      <c r="A410" s="88" t="s">
        <v>15988</v>
      </c>
      <c r="B410" s="88" t="e">
        <f>VLOOKUP(C410,#REF!,1,0)</f>
        <v>#REF!</v>
      </c>
      <c r="C410" s="1" t="s">
        <v>1543</v>
      </c>
      <c r="D410" s="1" t="s">
        <v>1544</v>
      </c>
      <c r="E410" s="1" t="s">
        <v>18502</v>
      </c>
      <c r="F410" s="1" t="s">
        <v>8957</v>
      </c>
      <c r="G410" t="s">
        <v>8959</v>
      </c>
      <c r="H410" s="1" t="s">
        <v>9035</v>
      </c>
      <c r="I410" s="1" t="s">
        <v>9725</v>
      </c>
      <c r="J410" s="2" t="s">
        <v>20776</v>
      </c>
      <c r="K410" s="1" t="s">
        <v>20776</v>
      </c>
      <c r="L410" s="1" t="s">
        <v>9464</v>
      </c>
      <c r="M410" s="1">
        <v>40</v>
      </c>
      <c r="N410" s="1" t="s">
        <v>8953</v>
      </c>
      <c r="O410" s="1" t="s">
        <v>8989</v>
      </c>
      <c r="P410" s="1" t="s">
        <v>8955</v>
      </c>
      <c r="Q410" s="1" t="s">
        <v>8956</v>
      </c>
      <c r="R410" s="1" t="s">
        <v>8975</v>
      </c>
      <c r="S410" s="1" t="s">
        <v>18805</v>
      </c>
      <c r="T410" s="1" t="s">
        <v>17</v>
      </c>
      <c r="U410" s="1" t="s">
        <v>382</v>
      </c>
    </row>
    <row r="411" spans="1:21" x14ac:dyDescent="0.2">
      <c r="A411" s="88" t="s">
        <v>15989</v>
      </c>
      <c r="B411" s="88" t="e">
        <f>VLOOKUP(C411,#REF!,1,0)</f>
        <v>#REF!</v>
      </c>
      <c r="C411" s="1" t="s">
        <v>1545</v>
      </c>
      <c r="D411" s="1" t="s">
        <v>1546</v>
      </c>
      <c r="E411" s="1" t="s">
        <v>9310</v>
      </c>
      <c r="F411" s="1" t="s">
        <v>8957</v>
      </c>
      <c r="G411" t="s">
        <v>8959</v>
      </c>
      <c r="H411" s="1" t="s">
        <v>8948</v>
      </c>
      <c r="I411" s="1" t="s">
        <v>9725</v>
      </c>
      <c r="J411" s="2" t="s">
        <v>13541</v>
      </c>
      <c r="K411" s="1" t="s">
        <v>13541</v>
      </c>
      <c r="L411" s="1" t="s">
        <v>9076</v>
      </c>
      <c r="M411" s="1">
        <v>20000</v>
      </c>
      <c r="N411" s="1" t="s">
        <v>8953</v>
      </c>
      <c r="O411" s="1" t="s">
        <v>8989</v>
      </c>
      <c r="P411" s="1" t="s">
        <v>8955</v>
      </c>
      <c r="Q411" s="1" t="s">
        <v>8956</v>
      </c>
      <c r="R411" s="1" t="s">
        <v>8958</v>
      </c>
      <c r="S411" s="1" t="s">
        <v>1547</v>
      </c>
      <c r="T411" s="1" t="s">
        <v>4</v>
      </c>
      <c r="U411" s="1" t="s">
        <v>110</v>
      </c>
    </row>
    <row r="412" spans="1:21" x14ac:dyDescent="0.2">
      <c r="A412" s="88" t="s">
        <v>15990</v>
      </c>
      <c r="B412" s="88" t="e">
        <f>VLOOKUP(C412,#REF!,1,0)</f>
        <v>#REF!</v>
      </c>
      <c r="C412" s="1" t="s">
        <v>1548</v>
      </c>
      <c r="D412" s="1" t="s">
        <v>1549</v>
      </c>
      <c r="E412" s="1" t="s">
        <v>9310</v>
      </c>
      <c r="F412" s="1" t="s">
        <v>8957</v>
      </c>
      <c r="G412" t="s">
        <v>8959</v>
      </c>
      <c r="H412" s="1" t="s">
        <v>9100</v>
      </c>
      <c r="I412" s="1" t="s">
        <v>8949</v>
      </c>
      <c r="J412" s="2" t="s">
        <v>20723</v>
      </c>
      <c r="K412" s="1" t="s">
        <v>20723</v>
      </c>
      <c r="L412" s="1" t="s">
        <v>8987</v>
      </c>
      <c r="M412" s="1">
        <v>811</v>
      </c>
      <c r="N412" s="1" t="s">
        <v>9059</v>
      </c>
      <c r="O412" s="1" t="s">
        <v>8989</v>
      </c>
      <c r="P412" s="1" t="s">
        <v>8955</v>
      </c>
      <c r="Q412" s="1" t="s">
        <v>8956</v>
      </c>
      <c r="R412" s="1" t="s">
        <v>9103</v>
      </c>
      <c r="S412" s="1" t="s">
        <v>18806</v>
      </c>
      <c r="T412" s="1" t="s">
        <v>17</v>
      </c>
      <c r="U412" s="1" t="s">
        <v>27</v>
      </c>
    </row>
    <row r="413" spans="1:21" x14ac:dyDescent="0.2">
      <c r="A413" s="88" t="s">
        <v>1550</v>
      </c>
      <c r="B413" s="88" t="e">
        <f>VLOOKUP(C413,#REF!,1,0)</f>
        <v>#REF!</v>
      </c>
      <c r="C413" s="1" t="s">
        <v>1551</v>
      </c>
      <c r="D413" s="1" t="s">
        <v>1552</v>
      </c>
      <c r="E413" s="1" t="s">
        <v>9310</v>
      </c>
      <c r="F413" s="1" t="s">
        <v>8957</v>
      </c>
      <c r="G413" t="s">
        <v>8959</v>
      </c>
      <c r="H413" s="1" t="s">
        <v>9100</v>
      </c>
      <c r="I413" s="1" t="s">
        <v>8949</v>
      </c>
      <c r="J413" s="2" t="s">
        <v>9212</v>
      </c>
      <c r="K413" s="1" t="s">
        <v>10607</v>
      </c>
      <c r="L413" s="1" t="s">
        <v>21600</v>
      </c>
      <c r="M413" s="1">
        <v>274</v>
      </c>
      <c r="N413" s="1" t="s">
        <v>9059</v>
      </c>
      <c r="O413" s="1" t="s">
        <v>8989</v>
      </c>
      <c r="P413" s="1" t="s">
        <v>8955</v>
      </c>
      <c r="Q413" s="1" t="s">
        <v>8956</v>
      </c>
      <c r="R413" s="1" t="s">
        <v>8958</v>
      </c>
      <c r="S413" s="1" t="s">
        <v>18807</v>
      </c>
      <c r="T413" s="1" t="s">
        <v>11</v>
      </c>
      <c r="U413" s="1" t="s">
        <v>35</v>
      </c>
    </row>
    <row r="414" spans="1:21" x14ac:dyDescent="0.2">
      <c r="A414" s="88" t="s">
        <v>15991</v>
      </c>
      <c r="B414" s="88" t="e">
        <f>VLOOKUP(C414,#REF!,1,0)</f>
        <v>#REF!</v>
      </c>
      <c r="C414" s="1" t="s">
        <v>1553</v>
      </c>
      <c r="D414" s="1" t="s">
        <v>1554</v>
      </c>
      <c r="E414" s="1" t="s">
        <v>9310</v>
      </c>
      <c r="F414" s="1" t="s">
        <v>8959</v>
      </c>
      <c r="G414" t="s">
        <v>9061</v>
      </c>
      <c r="H414" s="1" t="s">
        <v>9035</v>
      </c>
      <c r="I414" s="1" t="s">
        <v>8998</v>
      </c>
      <c r="J414" s="2" t="s">
        <v>18497</v>
      </c>
      <c r="K414" s="1" t="s">
        <v>18497</v>
      </c>
      <c r="L414" s="1" t="s">
        <v>8951</v>
      </c>
      <c r="M414" s="1">
        <v>39014</v>
      </c>
      <c r="N414" s="1" t="s">
        <v>8953</v>
      </c>
      <c r="O414" s="1" t="s">
        <v>8954</v>
      </c>
      <c r="P414" s="1" t="s">
        <v>8955</v>
      </c>
      <c r="Q414" s="1" t="s">
        <v>8956</v>
      </c>
      <c r="R414" s="1" t="s">
        <v>8975</v>
      </c>
      <c r="S414" s="1" t="s">
        <v>18808</v>
      </c>
      <c r="T414" s="1" t="s">
        <v>7</v>
      </c>
      <c r="U414" s="1" t="s">
        <v>24</v>
      </c>
    </row>
    <row r="415" spans="1:21" x14ac:dyDescent="0.2">
      <c r="A415" s="88" t="s">
        <v>15992</v>
      </c>
      <c r="B415" s="88" t="e">
        <f>VLOOKUP(C415,#REF!,1,0)</f>
        <v>#REF!</v>
      </c>
      <c r="C415" s="1" t="s">
        <v>1566</v>
      </c>
      <c r="D415" s="1" t="s">
        <v>1567</v>
      </c>
      <c r="E415" s="1" t="s">
        <v>13311</v>
      </c>
      <c r="F415" s="1" t="s">
        <v>8957</v>
      </c>
      <c r="G415" t="s">
        <v>8959</v>
      </c>
      <c r="H415" s="1" t="s">
        <v>9154</v>
      </c>
      <c r="I415" s="1" t="s">
        <v>8949</v>
      </c>
      <c r="J415" s="2" t="s">
        <v>8972</v>
      </c>
      <c r="K415" s="1" t="s">
        <v>21768</v>
      </c>
      <c r="L415" s="1" t="s">
        <v>8951</v>
      </c>
      <c r="M415" s="1">
        <v>140</v>
      </c>
      <c r="N415" s="1" t="s">
        <v>9059</v>
      </c>
      <c r="O415" s="1" t="s">
        <v>8954</v>
      </c>
      <c r="P415" s="1" t="s">
        <v>8955</v>
      </c>
      <c r="Q415" s="1" t="s">
        <v>8956</v>
      </c>
      <c r="R415" s="1" t="s">
        <v>9103</v>
      </c>
      <c r="S415" s="1" t="s">
        <v>1568</v>
      </c>
      <c r="T415" s="1" t="s">
        <v>17</v>
      </c>
      <c r="U415" s="1" t="s">
        <v>184</v>
      </c>
    </row>
    <row r="416" spans="1:21" x14ac:dyDescent="0.2">
      <c r="A416" s="88" t="s">
        <v>15993</v>
      </c>
      <c r="B416" s="88" t="e">
        <f>VLOOKUP(C416,#REF!,1,0)</f>
        <v>#REF!</v>
      </c>
      <c r="C416" s="1" t="s">
        <v>1585</v>
      </c>
      <c r="D416" s="1" t="s">
        <v>1586</v>
      </c>
      <c r="E416" s="1" t="s">
        <v>18502</v>
      </c>
      <c r="F416" s="1" t="s">
        <v>8957</v>
      </c>
      <c r="G416" t="s">
        <v>9009</v>
      </c>
      <c r="H416" s="1" t="s">
        <v>9605</v>
      </c>
      <c r="I416" s="1" t="s">
        <v>9101</v>
      </c>
      <c r="J416" s="2" t="s">
        <v>9036</v>
      </c>
      <c r="K416" s="1" t="s">
        <v>9036</v>
      </c>
      <c r="L416" s="1" t="s">
        <v>21600</v>
      </c>
      <c r="M416" s="1">
        <v>25</v>
      </c>
      <c r="N416" s="1" t="s">
        <v>8953</v>
      </c>
      <c r="O416" s="1" t="s">
        <v>8989</v>
      </c>
      <c r="P416" s="1" t="s">
        <v>8955</v>
      </c>
      <c r="Q416" s="1" t="s">
        <v>8956</v>
      </c>
      <c r="R416" s="1" t="s">
        <v>9103</v>
      </c>
      <c r="S416" s="1" t="s">
        <v>18814</v>
      </c>
      <c r="T416" s="1" t="s">
        <v>17</v>
      </c>
      <c r="U416" s="1" t="s">
        <v>15</v>
      </c>
    </row>
    <row r="417" spans="1:21" x14ac:dyDescent="0.2">
      <c r="A417" s="88" t="s">
        <v>20778</v>
      </c>
      <c r="B417" s="88" t="e">
        <f>VLOOKUP(C417,#REF!,1,0)</f>
        <v>#REF!</v>
      </c>
      <c r="C417" s="1" t="s">
        <v>1589</v>
      </c>
      <c r="D417" s="1" t="s">
        <v>1590</v>
      </c>
      <c r="E417" s="1" t="s">
        <v>12547</v>
      </c>
      <c r="F417" s="1" t="s">
        <v>8957</v>
      </c>
      <c r="G417" t="s">
        <v>8959</v>
      </c>
      <c r="H417" s="1" t="s">
        <v>9075</v>
      </c>
      <c r="I417" s="1" t="s">
        <v>8949</v>
      </c>
      <c r="J417" s="2" t="s">
        <v>20779</v>
      </c>
      <c r="K417" s="1" t="s">
        <v>9036</v>
      </c>
      <c r="L417" s="1" t="s">
        <v>21600</v>
      </c>
      <c r="M417" s="1">
        <v>56</v>
      </c>
      <c r="N417" s="1" t="s">
        <v>9059</v>
      </c>
      <c r="O417" s="1" t="s">
        <v>8954</v>
      </c>
      <c r="P417" s="1" t="s">
        <v>8955</v>
      </c>
      <c r="Q417" s="1" t="s">
        <v>8956</v>
      </c>
      <c r="R417" s="1" t="s">
        <v>8958</v>
      </c>
      <c r="S417" s="1" t="s">
        <v>18815</v>
      </c>
      <c r="T417" s="1" t="s">
        <v>7</v>
      </c>
      <c r="U417" s="1" t="s">
        <v>5</v>
      </c>
    </row>
    <row r="418" spans="1:21" x14ac:dyDescent="0.2">
      <c r="A418" s="88" t="s">
        <v>15994</v>
      </c>
      <c r="B418" s="88" t="e">
        <f>VLOOKUP(C418,#REF!,1,0)</f>
        <v>#REF!</v>
      </c>
      <c r="C418" s="1" t="s">
        <v>1591</v>
      </c>
      <c r="D418" s="1" t="s">
        <v>1592</v>
      </c>
      <c r="E418" s="1" t="s">
        <v>9010</v>
      </c>
      <c r="F418" s="1" t="s">
        <v>8959</v>
      </c>
      <c r="G418" t="s">
        <v>9183</v>
      </c>
      <c r="H418" s="1" t="s">
        <v>9035</v>
      </c>
      <c r="I418" s="1" t="s">
        <v>8998</v>
      </c>
      <c r="J418" s="2" t="s">
        <v>10178</v>
      </c>
      <c r="K418" s="1" t="s">
        <v>21524</v>
      </c>
      <c r="L418" s="1" t="s">
        <v>8951</v>
      </c>
      <c r="M418" s="1">
        <v>12157</v>
      </c>
      <c r="N418" s="1" t="s">
        <v>8953</v>
      </c>
      <c r="O418" s="1" t="s">
        <v>8954</v>
      </c>
      <c r="P418" s="1" t="s">
        <v>8955</v>
      </c>
      <c r="Q418" s="1" t="s">
        <v>8956</v>
      </c>
      <c r="R418" s="1" t="s">
        <v>8958</v>
      </c>
      <c r="S418" s="1" t="s">
        <v>1593</v>
      </c>
      <c r="T418" s="1" t="s">
        <v>11</v>
      </c>
      <c r="U418" s="1" t="s">
        <v>184</v>
      </c>
    </row>
    <row r="419" spans="1:21" x14ac:dyDescent="0.2">
      <c r="A419" s="88" t="s">
        <v>20780</v>
      </c>
      <c r="B419" s="88" t="e">
        <f>VLOOKUP(C419,#REF!,1,0)</f>
        <v>#REF!</v>
      </c>
      <c r="C419" s="1" t="s">
        <v>1594</v>
      </c>
      <c r="D419" s="1" t="s">
        <v>1595</v>
      </c>
      <c r="E419" s="1" t="s">
        <v>9310</v>
      </c>
      <c r="F419" s="1" t="s">
        <v>8957</v>
      </c>
      <c r="G419" t="s">
        <v>8959</v>
      </c>
      <c r="H419" s="1" t="s">
        <v>20714</v>
      </c>
      <c r="I419" s="1" t="s">
        <v>9050</v>
      </c>
      <c r="J419" s="2" t="s">
        <v>20779</v>
      </c>
      <c r="K419" s="1" t="s">
        <v>9036</v>
      </c>
      <c r="L419" s="1" t="s">
        <v>8951</v>
      </c>
      <c r="M419" s="1">
        <v>735</v>
      </c>
      <c r="N419" s="1" t="s">
        <v>8953</v>
      </c>
      <c r="O419" s="1" t="s">
        <v>8954</v>
      </c>
      <c r="P419" s="1" t="s">
        <v>8955</v>
      </c>
      <c r="Q419" s="1" t="s">
        <v>8956</v>
      </c>
      <c r="R419" s="1" t="s">
        <v>8958</v>
      </c>
      <c r="S419" s="1" t="s">
        <v>18816</v>
      </c>
      <c r="T419" s="1" t="s">
        <v>11</v>
      </c>
      <c r="U419" s="1" t="s">
        <v>61</v>
      </c>
    </row>
    <row r="420" spans="1:21" x14ac:dyDescent="0.2">
      <c r="A420" s="88" t="s">
        <v>20781</v>
      </c>
      <c r="B420" s="88" t="e">
        <f>VLOOKUP(C420,#REF!,1,0)</f>
        <v>#REF!</v>
      </c>
      <c r="C420" s="1" t="s">
        <v>1596</v>
      </c>
      <c r="D420" s="1" t="s">
        <v>1597</v>
      </c>
      <c r="E420" s="1" t="s">
        <v>9310</v>
      </c>
      <c r="F420" s="1" t="s">
        <v>8957</v>
      </c>
      <c r="G420" t="s">
        <v>8959</v>
      </c>
      <c r="H420" s="1" t="s">
        <v>9605</v>
      </c>
      <c r="I420" s="1" t="s">
        <v>8971</v>
      </c>
      <c r="J420" s="2" t="s">
        <v>10492</v>
      </c>
      <c r="K420" s="1" t="s">
        <v>10492</v>
      </c>
      <c r="L420" s="1" t="s">
        <v>9076</v>
      </c>
      <c r="M420" s="1" t="s">
        <v>9479</v>
      </c>
      <c r="N420" s="1" t="s">
        <v>9479</v>
      </c>
      <c r="O420" s="1" t="s">
        <v>9479</v>
      </c>
      <c r="P420" s="1" t="s">
        <v>8955</v>
      </c>
      <c r="Q420" s="1" t="s">
        <v>8956</v>
      </c>
      <c r="R420" s="1" t="s">
        <v>8958</v>
      </c>
      <c r="S420" s="1" t="s">
        <v>18817</v>
      </c>
      <c r="T420" s="1" t="s">
        <v>17</v>
      </c>
      <c r="U420" s="1" t="s">
        <v>1598</v>
      </c>
    </row>
    <row r="421" spans="1:21" x14ac:dyDescent="0.2">
      <c r="A421" s="88" t="s">
        <v>20782</v>
      </c>
      <c r="B421" s="88" t="e">
        <f>VLOOKUP(C421,#REF!,1,0)</f>
        <v>#REF!</v>
      </c>
      <c r="C421" s="1" t="s">
        <v>1599</v>
      </c>
      <c r="D421" s="1" t="s">
        <v>1600</v>
      </c>
      <c r="E421" s="1" t="s">
        <v>9176</v>
      </c>
      <c r="F421" s="1" t="s">
        <v>8959</v>
      </c>
      <c r="G421" t="s">
        <v>9009</v>
      </c>
      <c r="H421" s="1" t="s">
        <v>8948</v>
      </c>
      <c r="I421" s="1" t="s">
        <v>8998</v>
      </c>
      <c r="J421" s="2" t="s">
        <v>20783</v>
      </c>
      <c r="K421" s="1" t="s">
        <v>21752</v>
      </c>
      <c r="L421" s="1" t="s">
        <v>8951</v>
      </c>
      <c r="M421" s="1">
        <v>311</v>
      </c>
      <c r="N421" s="1" t="s">
        <v>9059</v>
      </c>
      <c r="O421" s="1" t="s">
        <v>8954</v>
      </c>
      <c r="P421" s="1" t="s">
        <v>8955</v>
      </c>
      <c r="Q421" s="1" t="s">
        <v>8956</v>
      </c>
      <c r="R421" s="1" t="s">
        <v>8975</v>
      </c>
      <c r="S421" s="1" t="s">
        <v>18818</v>
      </c>
      <c r="T421" s="1" t="s">
        <v>7</v>
      </c>
      <c r="U421" s="1" t="s">
        <v>64</v>
      </c>
    </row>
    <row r="422" spans="1:21" x14ac:dyDescent="0.2">
      <c r="A422" s="88" t="s">
        <v>20784</v>
      </c>
      <c r="B422" s="88" t="e">
        <f>VLOOKUP(C422,#REF!,1,0)</f>
        <v>#REF!</v>
      </c>
      <c r="C422" s="1" t="s">
        <v>1601</v>
      </c>
      <c r="D422" s="1" t="s">
        <v>1602</v>
      </c>
      <c r="E422" s="1" t="s">
        <v>18502</v>
      </c>
      <c r="F422" s="1" t="s">
        <v>8957</v>
      </c>
      <c r="G422" t="s">
        <v>9061</v>
      </c>
      <c r="H422" s="1" t="s">
        <v>9100</v>
      </c>
      <c r="I422" s="1" t="s">
        <v>8949</v>
      </c>
      <c r="J422" s="2" t="s">
        <v>20785</v>
      </c>
      <c r="K422" s="1" t="s">
        <v>18491</v>
      </c>
      <c r="L422" s="1" t="s">
        <v>9076</v>
      </c>
      <c r="M422" s="1">
        <v>274</v>
      </c>
      <c r="N422" s="1" t="s">
        <v>9059</v>
      </c>
      <c r="O422" s="1" t="s">
        <v>8989</v>
      </c>
      <c r="P422" s="1" t="s">
        <v>8955</v>
      </c>
      <c r="Q422" s="1" t="s">
        <v>8956</v>
      </c>
      <c r="R422" s="1" t="s">
        <v>8958</v>
      </c>
      <c r="S422" s="1" t="s">
        <v>18819</v>
      </c>
      <c r="T422" s="1" t="s">
        <v>7</v>
      </c>
      <c r="U422" s="1" t="s">
        <v>93</v>
      </c>
    </row>
    <row r="423" spans="1:21" x14ac:dyDescent="0.2">
      <c r="A423" s="88" t="s">
        <v>20786</v>
      </c>
      <c r="B423" s="88" t="e">
        <f>VLOOKUP(C423,#REF!,1,0)</f>
        <v>#REF!</v>
      </c>
      <c r="C423" s="1" t="s">
        <v>1603</v>
      </c>
      <c r="D423" s="1" t="s">
        <v>1604</v>
      </c>
      <c r="E423" s="1" t="s">
        <v>18502</v>
      </c>
      <c r="F423" s="1" t="s">
        <v>8957</v>
      </c>
      <c r="G423" t="s">
        <v>9061</v>
      </c>
      <c r="H423" s="1" t="s">
        <v>8984</v>
      </c>
      <c r="I423" s="1" t="s">
        <v>8949</v>
      </c>
      <c r="J423" s="2" t="s">
        <v>21435</v>
      </c>
      <c r="K423" s="1" t="s">
        <v>21435</v>
      </c>
      <c r="L423" s="1" t="s">
        <v>9076</v>
      </c>
      <c r="M423" s="1">
        <v>55</v>
      </c>
      <c r="N423" s="1" t="s">
        <v>9059</v>
      </c>
      <c r="O423" s="1" t="s">
        <v>8954</v>
      </c>
      <c r="P423" s="1" t="s">
        <v>8955</v>
      </c>
      <c r="Q423" s="1" t="s">
        <v>8956</v>
      </c>
      <c r="R423" s="1" t="s">
        <v>8975</v>
      </c>
      <c r="S423" s="1" t="s">
        <v>18820</v>
      </c>
      <c r="T423" s="1" t="s">
        <v>7</v>
      </c>
      <c r="U423" s="1" t="s">
        <v>378</v>
      </c>
    </row>
    <row r="424" spans="1:21" x14ac:dyDescent="0.2">
      <c r="A424" s="88" t="s">
        <v>20787</v>
      </c>
      <c r="B424" s="88" t="e">
        <f>VLOOKUP(C424,#REF!,1,0)</f>
        <v>#REF!</v>
      </c>
      <c r="C424" s="1" t="s">
        <v>1605</v>
      </c>
      <c r="D424" s="1" t="s">
        <v>1606</v>
      </c>
      <c r="E424" s="1" t="s">
        <v>9310</v>
      </c>
      <c r="F424" s="1" t="s">
        <v>8959</v>
      </c>
      <c r="G424" t="s">
        <v>9061</v>
      </c>
      <c r="H424" s="1" t="s">
        <v>8948</v>
      </c>
      <c r="I424" s="1" t="s">
        <v>8998</v>
      </c>
      <c r="J424" s="2" t="s">
        <v>10492</v>
      </c>
      <c r="K424" s="1" t="s">
        <v>21645</v>
      </c>
      <c r="L424" s="1" t="s">
        <v>21600</v>
      </c>
      <c r="M424" s="1">
        <v>496</v>
      </c>
      <c r="N424" s="1" t="s">
        <v>9059</v>
      </c>
      <c r="O424" s="1" t="s">
        <v>8989</v>
      </c>
      <c r="P424" s="1" t="s">
        <v>8955</v>
      </c>
      <c r="Q424" s="1" t="s">
        <v>8956</v>
      </c>
      <c r="R424" s="1" t="s">
        <v>8975</v>
      </c>
      <c r="S424" s="1" t="s">
        <v>18821</v>
      </c>
      <c r="T424" s="1" t="s">
        <v>7</v>
      </c>
      <c r="U424" s="1" t="s">
        <v>1328</v>
      </c>
    </row>
    <row r="425" spans="1:21" x14ac:dyDescent="0.2">
      <c r="A425" s="88" t="s">
        <v>15995</v>
      </c>
      <c r="B425" s="88" t="e">
        <f>VLOOKUP(C425,#REF!,1,0)</f>
        <v>#REF!</v>
      </c>
      <c r="C425" s="1" t="s">
        <v>1607</v>
      </c>
      <c r="D425" s="1" t="s">
        <v>1608</v>
      </c>
      <c r="E425" s="1" t="s">
        <v>9310</v>
      </c>
      <c r="F425" s="1" t="s">
        <v>8959</v>
      </c>
      <c r="G425" t="s">
        <v>8959</v>
      </c>
      <c r="H425" s="1" t="s">
        <v>9035</v>
      </c>
      <c r="I425" s="1" t="s">
        <v>8998</v>
      </c>
      <c r="J425" s="2" t="s">
        <v>10031</v>
      </c>
      <c r="K425" s="1" t="s">
        <v>21770</v>
      </c>
      <c r="L425" s="1" t="s">
        <v>8987</v>
      </c>
      <c r="M425" s="1">
        <v>1018</v>
      </c>
      <c r="N425" s="1" t="s">
        <v>8953</v>
      </c>
      <c r="O425" s="1" t="s">
        <v>8989</v>
      </c>
      <c r="P425" s="1" t="s">
        <v>8955</v>
      </c>
      <c r="Q425" s="1" t="s">
        <v>8956</v>
      </c>
      <c r="R425" s="1" t="s">
        <v>8958</v>
      </c>
      <c r="S425" s="1" t="s">
        <v>1609</v>
      </c>
      <c r="T425" s="1" t="s">
        <v>11</v>
      </c>
      <c r="U425" s="1" t="s">
        <v>378</v>
      </c>
    </row>
    <row r="426" spans="1:21" x14ac:dyDescent="0.2">
      <c r="A426" s="88" t="s">
        <v>20788</v>
      </c>
      <c r="B426" s="88" t="e">
        <f>VLOOKUP(C426,#REF!,1,0)</f>
        <v>#REF!</v>
      </c>
      <c r="C426" s="1" t="s">
        <v>1610</v>
      </c>
      <c r="D426" s="1" t="s">
        <v>1611</v>
      </c>
      <c r="E426" s="1" t="s">
        <v>9310</v>
      </c>
      <c r="F426" s="1" t="s">
        <v>8957</v>
      </c>
      <c r="G426" t="s">
        <v>8959</v>
      </c>
      <c r="H426" s="1" t="s">
        <v>20712</v>
      </c>
      <c r="I426" s="1" t="s">
        <v>8949</v>
      </c>
      <c r="J426" s="2" t="s">
        <v>20779</v>
      </c>
      <c r="K426" s="1" t="s">
        <v>9036</v>
      </c>
      <c r="L426" s="1" t="s">
        <v>9076</v>
      </c>
      <c r="M426" s="1">
        <v>2464</v>
      </c>
      <c r="N426" s="1" t="s">
        <v>8953</v>
      </c>
      <c r="O426" s="1" t="s">
        <v>8989</v>
      </c>
      <c r="P426" s="1" t="s">
        <v>8955</v>
      </c>
      <c r="Q426" s="1" t="s">
        <v>8956</v>
      </c>
      <c r="R426" s="1" t="s">
        <v>9103</v>
      </c>
      <c r="S426" s="1" t="s">
        <v>18822</v>
      </c>
      <c r="T426" s="1" t="s">
        <v>17</v>
      </c>
      <c r="U426" s="1" t="s">
        <v>21</v>
      </c>
    </row>
    <row r="427" spans="1:21" x14ac:dyDescent="0.2">
      <c r="A427" s="88" t="s">
        <v>20789</v>
      </c>
      <c r="B427" s="88" t="e">
        <f>VLOOKUP(C427,#REF!,1,0)</f>
        <v>#REF!</v>
      </c>
      <c r="C427" s="1" t="s">
        <v>1612</v>
      </c>
      <c r="D427" s="1" t="s">
        <v>1613</v>
      </c>
      <c r="E427" s="1" t="s">
        <v>11671</v>
      </c>
      <c r="F427" s="1" t="s">
        <v>8957</v>
      </c>
      <c r="G427" t="s">
        <v>8959</v>
      </c>
      <c r="H427" s="1" t="s">
        <v>9092</v>
      </c>
      <c r="I427" s="1" t="s">
        <v>8949</v>
      </c>
      <c r="J427" s="2" t="s">
        <v>20735</v>
      </c>
      <c r="K427" s="1" t="s">
        <v>21671</v>
      </c>
      <c r="L427" s="1" t="s">
        <v>8987</v>
      </c>
      <c r="M427" s="1">
        <v>402</v>
      </c>
      <c r="N427" s="1" t="s">
        <v>9059</v>
      </c>
      <c r="O427" s="1" t="s">
        <v>8989</v>
      </c>
      <c r="P427" s="1" t="s">
        <v>8955</v>
      </c>
      <c r="Q427" s="1" t="s">
        <v>8956</v>
      </c>
      <c r="R427" s="1" t="s">
        <v>8958</v>
      </c>
      <c r="S427" s="1" t="s">
        <v>20570</v>
      </c>
      <c r="T427" s="1" t="s">
        <v>17</v>
      </c>
      <c r="U427" s="1" t="s">
        <v>1614</v>
      </c>
    </row>
    <row r="428" spans="1:21" x14ac:dyDescent="0.2">
      <c r="A428" s="88" t="s">
        <v>15996</v>
      </c>
      <c r="B428" s="88" t="e">
        <f>VLOOKUP(C428,#REF!,1,0)</f>
        <v>#REF!</v>
      </c>
      <c r="C428" s="1" t="s">
        <v>1615</v>
      </c>
      <c r="D428" s="1" t="s">
        <v>1616</v>
      </c>
      <c r="E428" s="1" t="s">
        <v>9176</v>
      </c>
      <c r="F428" s="1" t="s">
        <v>8957</v>
      </c>
      <c r="G428" t="s">
        <v>9009</v>
      </c>
      <c r="H428" s="1" t="s">
        <v>9252</v>
      </c>
      <c r="I428" s="1" t="s">
        <v>8949</v>
      </c>
      <c r="J428" s="2" t="s">
        <v>9270</v>
      </c>
      <c r="K428" s="1" t="s">
        <v>9270</v>
      </c>
      <c r="L428" s="1" t="s">
        <v>8987</v>
      </c>
      <c r="M428" s="1">
        <v>492</v>
      </c>
      <c r="N428" s="1" t="s">
        <v>8953</v>
      </c>
      <c r="O428" s="1" t="s">
        <v>8989</v>
      </c>
      <c r="P428" s="1" t="s">
        <v>8955</v>
      </c>
      <c r="Q428" s="1" t="s">
        <v>8956</v>
      </c>
      <c r="R428" s="1" t="s">
        <v>8958</v>
      </c>
      <c r="S428" s="1" t="s">
        <v>1617</v>
      </c>
      <c r="T428" s="1" t="s">
        <v>17</v>
      </c>
      <c r="U428" s="1" t="s">
        <v>666</v>
      </c>
    </row>
    <row r="429" spans="1:21" x14ac:dyDescent="0.2">
      <c r="A429" s="88" t="s">
        <v>15997</v>
      </c>
      <c r="B429" s="88" t="e">
        <f>VLOOKUP(C429,#REF!,1,0)</f>
        <v>#REF!</v>
      </c>
      <c r="C429" s="1" t="s">
        <v>1618</v>
      </c>
      <c r="D429" s="1" t="s">
        <v>1619</v>
      </c>
      <c r="E429" s="1" t="s">
        <v>9246</v>
      </c>
      <c r="F429" s="1" t="s">
        <v>8957</v>
      </c>
      <c r="G429" t="s">
        <v>9009</v>
      </c>
      <c r="H429" s="1" t="s">
        <v>9252</v>
      </c>
      <c r="I429" s="1" t="s">
        <v>8949</v>
      </c>
      <c r="J429" s="2" t="s">
        <v>10492</v>
      </c>
      <c r="K429" s="1" t="s">
        <v>10492</v>
      </c>
      <c r="L429" s="1" t="s">
        <v>21600</v>
      </c>
      <c r="M429" s="1">
        <v>21120</v>
      </c>
      <c r="N429" s="1" t="s">
        <v>8953</v>
      </c>
      <c r="O429" s="1" t="s">
        <v>8989</v>
      </c>
      <c r="P429" s="1" t="s">
        <v>8955</v>
      </c>
      <c r="Q429" s="1" t="s">
        <v>8956</v>
      </c>
      <c r="R429" s="1" t="s">
        <v>8958</v>
      </c>
      <c r="S429" s="1" t="s">
        <v>1620</v>
      </c>
      <c r="T429" s="1" t="s">
        <v>4</v>
      </c>
      <c r="U429" s="1" t="s">
        <v>93</v>
      </c>
    </row>
    <row r="430" spans="1:21" x14ac:dyDescent="0.2">
      <c r="A430" s="88" t="s">
        <v>15998</v>
      </c>
      <c r="B430" s="88" t="e">
        <f>VLOOKUP(C430,#REF!,1,0)</f>
        <v>#REF!</v>
      </c>
      <c r="C430" s="1" t="s">
        <v>1621</v>
      </c>
      <c r="D430" s="1" t="s">
        <v>1622</v>
      </c>
      <c r="E430" s="1" t="s">
        <v>9380</v>
      </c>
      <c r="F430" s="1" t="s">
        <v>8957</v>
      </c>
      <c r="G430" t="s">
        <v>9009</v>
      </c>
      <c r="H430" s="1" t="s">
        <v>9154</v>
      </c>
      <c r="I430" s="1" t="s">
        <v>9101</v>
      </c>
      <c r="J430" s="2" t="s">
        <v>21551</v>
      </c>
      <c r="K430" s="1" t="s">
        <v>21551</v>
      </c>
      <c r="L430" s="1" t="s">
        <v>8987</v>
      </c>
      <c r="M430" s="1">
        <v>8</v>
      </c>
      <c r="N430" s="1" t="s">
        <v>8953</v>
      </c>
      <c r="O430" s="1" t="s">
        <v>8989</v>
      </c>
      <c r="P430" s="1" t="s">
        <v>8955</v>
      </c>
      <c r="Q430" s="1" t="s">
        <v>8956</v>
      </c>
      <c r="R430" s="1" t="s">
        <v>9103</v>
      </c>
      <c r="S430" s="1" t="s">
        <v>1623</v>
      </c>
      <c r="T430" s="1" t="s">
        <v>11</v>
      </c>
      <c r="U430" s="1" t="s">
        <v>46</v>
      </c>
    </row>
    <row r="431" spans="1:21" x14ac:dyDescent="0.2">
      <c r="A431" s="88" t="s">
        <v>20790</v>
      </c>
      <c r="B431" s="88" t="e">
        <f>VLOOKUP(C431,#REF!,1,0)</f>
        <v>#REF!</v>
      </c>
      <c r="C431" s="1" t="s">
        <v>1624</v>
      </c>
      <c r="D431" s="1" t="s">
        <v>1625</v>
      </c>
      <c r="E431" s="1" t="s">
        <v>9380</v>
      </c>
      <c r="F431" s="1" t="s">
        <v>8957</v>
      </c>
      <c r="G431" t="s">
        <v>8959</v>
      </c>
      <c r="H431" s="1" t="s">
        <v>8948</v>
      </c>
      <c r="I431" s="1" t="s">
        <v>9101</v>
      </c>
      <c r="J431" s="2" t="s">
        <v>20723</v>
      </c>
      <c r="K431" s="1" t="s">
        <v>20723</v>
      </c>
      <c r="L431" s="1" t="s">
        <v>21600</v>
      </c>
      <c r="M431" s="1">
        <v>8</v>
      </c>
      <c r="N431" s="1" t="s">
        <v>8953</v>
      </c>
      <c r="O431" s="1" t="s">
        <v>8989</v>
      </c>
      <c r="P431" s="1" t="s">
        <v>8955</v>
      </c>
      <c r="Q431" s="1" t="s">
        <v>8956</v>
      </c>
      <c r="R431" s="1" t="s">
        <v>8958</v>
      </c>
      <c r="S431" s="1" t="s">
        <v>18823</v>
      </c>
      <c r="T431" s="1" t="s">
        <v>17</v>
      </c>
      <c r="U431" s="1" t="s">
        <v>27</v>
      </c>
    </row>
    <row r="432" spans="1:21" x14ac:dyDescent="0.2">
      <c r="A432" s="88" t="s">
        <v>20791</v>
      </c>
      <c r="B432" s="88" t="e">
        <f>VLOOKUP(C432,#REF!,1,0)</f>
        <v>#REF!</v>
      </c>
      <c r="C432" s="1" t="s">
        <v>1629</v>
      </c>
      <c r="D432" s="1" t="s">
        <v>1630</v>
      </c>
      <c r="E432" s="1" t="s">
        <v>9815</v>
      </c>
      <c r="F432" s="1" t="s">
        <v>8959</v>
      </c>
      <c r="G432" t="s">
        <v>8959</v>
      </c>
      <c r="H432" s="1" t="s">
        <v>8948</v>
      </c>
      <c r="I432" s="1" t="s">
        <v>8949</v>
      </c>
      <c r="J432" s="2" t="s">
        <v>20792</v>
      </c>
      <c r="K432" s="1" t="s">
        <v>21845</v>
      </c>
      <c r="L432" s="1" t="s">
        <v>8987</v>
      </c>
      <c r="M432" s="1">
        <v>2400</v>
      </c>
      <c r="N432" s="1" t="s">
        <v>8953</v>
      </c>
      <c r="O432" s="1" t="s">
        <v>8989</v>
      </c>
      <c r="P432" s="1" t="s">
        <v>8955</v>
      </c>
      <c r="Q432" s="1" t="s">
        <v>8956</v>
      </c>
      <c r="R432" s="1" t="s">
        <v>9103</v>
      </c>
      <c r="S432" s="1" t="s">
        <v>18825</v>
      </c>
      <c r="T432" s="1" t="s">
        <v>17</v>
      </c>
      <c r="U432" s="1" t="s">
        <v>322</v>
      </c>
    </row>
    <row r="433" spans="1:22" x14ac:dyDescent="0.2">
      <c r="A433" s="88" t="s">
        <v>20793</v>
      </c>
      <c r="B433" s="88" t="e">
        <f>VLOOKUP(C433,#REF!,1,0)</f>
        <v>#REF!</v>
      </c>
      <c r="C433" s="1" t="s">
        <v>1631</v>
      </c>
      <c r="D433" s="1" t="s">
        <v>1632</v>
      </c>
      <c r="E433" s="1" t="s">
        <v>20794</v>
      </c>
      <c r="F433" s="1" t="s">
        <v>8959</v>
      </c>
      <c r="G433" t="s">
        <v>9183</v>
      </c>
      <c r="H433" s="1" t="s">
        <v>8948</v>
      </c>
      <c r="I433" s="1" t="s">
        <v>8998</v>
      </c>
      <c r="J433" s="2" t="s">
        <v>18497</v>
      </c>
      <c r="K433" s="1" t="s">
        <v>18497</v>
      </c>
      <c r="L433" s="1" t="s">
        <v>8987</v>
      </c>
      <c r="M433" s="1">
        <v>401</v>
      </c>
      <c r="N433" s="1" t="s">
        <v>8953</v>
      </c>
      <c r="O433" s="1" t="s">
        <v>8989</v>
      </c>
      <c r="P433" s="1" t="s">
        <v>8955</v>
      </c>
      <c r="Q433" s="1" t="s">
        <v>8956</v>
      </c>
      <c r="R433" s="1" t="s">
        <v>8975</v>
      </c>
      <c r="S433" s="1" t="s">
        <v>18826</v>
      </c>
      <c r="T433" s="1" t="s">
        <v>7</v>
      </c>
      <c r="U433" s="1" t="s">
        <v>308</v>
      </c>
    </row>
    <row r="434" spans="1:22" x14ac:dyDescent="0.2">
      <c r="A434" s="88" t="s">
        <v>15999</v>
      </c>
      <c r="B434" s="88" t="e">
        <f>VLOOKUP(C434,#REF!,1,0)</f>
        <v>#REF!</v>
      </c>
      <c r="C434" s="1" t="s">
        <v>1633</v>
      </c>
      <c r="D434" s="1" t="s">
        <v>1634</v>
      </c>
      <c r="E434" s="1" t="s">
        <v>9333</v>
      </c>
      <c r="F434" s="1" t="s">
        <v>8959</v>
      </c>
      <c r="G434" t="s">
        <v>8959</v>
      </c>
      <c r="H434" s="1" t="s">
        <v>8948</v>
      </c>
      <c r="I434" s="1" t="s">
        <v>8998</v>
      </c>
      <c r="J434" s="2" t="s">
        <v>21436</v>
      </c>
      <c r="K434" s="1" t="s">
        <v>21672</v>
      </c>
      <c r="L434" s="1" t="s">
        <v>21600</v>
      </c>
      <c r="M434" s="1">
        <v>70</v>
      </c>
      <c r="N434" s="1" t="s">
        <v>9059</v>
      </c>
      <c r="O434" s="1" t="s">
        <v>8989</v>
      </c>
      <c r="P434" s="1" t="s">
        <v>8955</v>
      </c>
      <c r="Q434" s="1" t="s">
        <v>8956</v>
      </c>
      <c r="R434" s="1" t="s">
        <v>8958</v>
      </c>
      <c r="S434" s="1" t="s">
        <v>18827</v>
      </c>
      <c r="T434" s="1" t="s">
        <v>17</v>
      </c>
      <c r="U434" s="1" t="s">
        <v>43</v>
      </c>
    </row>
    <row r="435" spans="1:22" x14ac:dyDescent="0.2">
      <c r="A435" s="88" t="s">
        <v>16000</v>
      </c>
      <c r="B435" s="88" t="e">
        <f>VLOOKUP(C435,#REF!,1,0)</f>
        <v>#REF!</v>
      </c>
      <c r="C435" s="1" t="s">
        <v>1635</v>
      </c>
      <c r="D435" s="1" t="s">
        <v>1636</v>
      </c>
      <c r="E435" s="1" t="s">
        <v>9815</v>
      </c>
      <c r="F435" s="1" t="s">
        <v>8959</v>
      </c>
      <c r="G435" t="s">
        <v>8959</v>
      </c>
      <c r="H435" s="1" t="s">
        <v>9035</v>
      </c>
      <c r="I435" s="1" t="s">
        <v>9308</v>
      </c>
      <c r="J435" s="2" t="s">
        <v>18489</v>
      </c>
      <c r="K435" s="1" t="s">
        <v>21673</v>
      </c>
      <c r="L435" s="1" t="s">
        <v>8987</v>
      </c>
      <c r="M435" s="1">
        <v>15131</v>
      </c>
      <c r="N435" s="1" t="s">
        <v>9059</v>
      </c>
      <c r="O435" s="1" t="s">
        <v>8954</v>
      </c>
      <c r="P435" s="1" t="s">
        <v>8955</v>
      </c>
      <c r="Q435" s="1" t="s">
        <v>8956</v>
      </c>
      <c r="R435" s="1" t="s">
        <v>9103</v>
      </c>
      <c r="S435" s="1" t="s">
        <v>18828</v>
      </c>
      <c r="T435" s="1" t="s">
        <v>7</v>
      </c>
      <c r="U435" s="1" t="s">
        <v>372</v>
      </c>
    </row>
    <row r="436" spans="1:22" x14ac:dyDescent="0.2">
      <c r="A436" s="88" t="s">
        <v>16001</v>
      </c>
      <c r="B436" s="88" t="e">
        <f>VLOOKUP(C436,#REF!,1,0)</f>
        <v>#REF!</v>
      </c>
      <c r="C436" s="1" t="s">
        <v>1641</v>
      </c>
      <c r="D436" s="1" t="s">
        <v>1642</v>
      </c>
      <c r="E436" s="1" t="s">
        <v>9387</v>
      </c>
      <c r="F436" s="1" t="s">
        <v>8959</v>
      </c>
      <c r="G436" t="s">
        <v>9009</v>
      </c>
      <c r="H436" s="1" t="s">
        <v>9173</v>
      </c>
      <c r="I436" s="1" t="s">
        <v>8971</v>
      </c>
      <c r="J436" s="2" t="s">
        <v>9036</v>
      </c>
      <c r="K436" s="1" t="s">
        <v>9036</v>
      </c>
      <c r="L436" s="1" t="s">
        <v>8951</v>
      </c>
      <c r="M436" s="1">
        <v>73</v>
      </c>
      <c r="N436" s="1" t="s">
        <v>8953</v>
      </c>
      <c r="O436" s="1" t="s">
        <v>8989</v>
      </c>
      <c r="P436" s="1" t="s">
        <v>8955</v>
      </c>
      <c r="Q436" s="1" t="s">
        <v>8956</v>
      </c>
      <c r="R436" s="1" t="s">
        <v>9103</v>
      </c>
      <c r="S436" s="1" t="s">
        <v>1643</v>
      </c>
      <c r="T436" s="1" t="s">
        <v>17</v>
      </c>
      <c r="U436" s="1" t="s">
        <v>1421</v>
      </c>
    </row>
    <row r="437" spans="1:22" x14ac:dyDescent="0.2">
      <c r="A437" s="88" t="s">
        <v>16002</v>
      </c>
      <c r="B437" s="88" t="e">
        <f>VLOOKUP(C437,#REF!,1,0)</f>
        <v>#REF!</v>
      </c>
      <c r="C437" s="1" t="s">
        <v>1648</v>
      </c>
      <c r="D437" s="1" t="s">
        <v>1649</v>
      </c>
      <c r="E437" s="1" t="s">
        <v>9456</v>
      </c>
      <c r="F437" s="1" t="s">
        <v>8959</v>
      </c>
      <c r="G437" t="s">
        <v>8959</v>
      </c>
      <c r="H437" s="1" t="s">
        <v>8948</v>
      </c>
      <c r="I437" s="1" t="s">
        <v>8998</v>
      </c>
      <c r="J437" s="2" t="s">
        <v>9658</v>
      </c>
      <c r="K437" s="1" t="s">
        <v>21771</v>
      </c>
      <c r="L437" s="1" t="s">
        <v>8987</v>
      </c>
      <c r="M437" s="1">
        <v>12635</v>
      </c>
      <c r="N437" s="1" t="s">
        <v>8953</v>
      </c>
      <c r="O437" s="1" t="s">
        <v>8989</v>
      </c>
      <c r="P437" s="1" t="s">
        <v>8955</v>
      </c>
      <c r="Q437" s="1" t="s">
        <v>8956</v>
      </c>
      <c r="R437" s="1" t="s">
        <v>9103</v>
      </c>
      <c r="S437" s="1" t="s">
        <v>1650</v>
      </c>
      <c r="T437" s="1" t="s">
        <v>17</v>
      </c>
      <c r="U437" s="1" t="s">
        <v>1651</v>
      </c>
    </row>
    <row r="438" spans="1:22" x14ac:dyDescent="0.2">
      <c r="A438" s="88" t="s">
        <v>16003</v>
      </c>
      <c r="B438" s="88"/>
      <c r="C438" s="1" t="s">
        <v>1652</v>
      </c>
      <c r="D438" s="1" t="s">
        <v>1653</v>
      </c>
      <c r="E438" s="1" t="e">
        <v>#N/A</v>
      </c>
      <c r="F438" s="1" t="e">
        <v>#N/A</v>
      </c>
      <c r="G438" t="e">
        <v>#N/A</v>
      </c>
      <c r="H438" s="1" t="e">
        <v>#N/A</v>
      </c>
      <c r="I438" s="1" t="e">
        <v>#N/A</v>
      </c>
      <c r="J438" s="2" t="e">
        <v>#N/A</v>
      </c>
      <c r="K438" s="1" t="e">
        <v>#N/A</v>
      </c>
      <c r="L438" s="1" t="e">
        <v>#N/A</v>
      </c>
      <c r="M438" s="1" t="e">
        <v>#N/A</v>
      </c>
      <c r="N438" s="1" t="e">
        <v>#N/A</v>
      </c>
      <c r="O438" s="1" t="e">
        <v>#N/A</v>
      </c>
      <c r="P438" s="1" t="s">
        <v>8955</v>
      </c>
      <c r="Q438" s="1" t="s">
        <v>8956</v>
      </c>
      <c r="R438" s="1" t="s">
        <v>9103</v>
      </c>
      <c r="S438" s="1" t="s">
        <v>18831</v>
      </c>
      <c r="T438" s="1" t="s">
        <v>252</v>
      </c>
      <c r="U438" s="1" t="s">
        <v>8</v>
      </c>
    </row>
    <row r="439" spans="1:22" x14ac:dyDescent="0.2">
      <c r="A439" s="88" t="s">
        <v>16004</v>
      </c>
      <c r="B439" s="88" t="e">
        <f>VLOOKUP(C439,#REF!,1,0)</f>
        <v>#REF!</v>
      </c>
      <c r="C439" s="1" t="s">
        <v>1654</v>
      </c>
      <c r="D439" s="1" t="s">
        <v>1655</v>
      </c>
      <c r="E439" s="1" t="s">
        <v>10873</v>
      </c>
      <c r="F439" s="1" t="s">
        <v>8957</v>
      </c>
      <c r="G439" t="s">
        <v>9183</v>
      </c>
      <c r="H439" s="1" t="s">
        <v>9049</v>
      </c>
      <c r="I439" s="1" t="s">
        <v>9325</v>
      </c>
      <c r="J439" s="2" t="s">
        <v>9036</v>
      </c>
      <c r="K439" s="1" t="s">
        <v>9036</v>
      </c>
      <c r="L439" s="1" t="s">
        <v>9133</v>
      </c>
      <c r="M439" s="1">
        <v>14884</v>
      </c>
      <c r="N439" s="1" t="s">
        <v>8953</v>
      </c>
      <c r="O439" s="1" t="s">
        <v>8954</v>
      </c>
      <c r="P439" s="1" t="s">
        <v>8955</v>
      </c>
      <c r="Q439" s="1" t="s">
        <v>8956</v>
      </c>
      <c r="R439" s="1" t="s">
        <v>8975</v>
      </c>
      <c r="S439" s="1" t="s">
        <v>1656</v>
      </c>
      <c r="T439" s="1" t="s">
        <v>11</v>
      </c>
      <c r="U439" s="1" t="s">
        <v>402</v>
      </c>
    </row>
    <row r="440" spans="1:22" x14ac:dyDescent="0.2">
      <c r="A440" s="88" t="s">
        <v>20795</v>
      </c>
      <c r="B440" s="88" t="e">
        <f>VLOOKUP(C440,#REF!,1,0)</f>
        <v>#REF!</v>
      </c>
      <c r="C440" s="1" t="s">
        <v>1657</v>
      </c>
      <c r="D440" s="1" t="s">
        <v>1658</v>
      </c>
      <c r="E440" s="1" t="s">
        <v>9246</v>
      </c>
      <c r="F440" s="1" t="s">
        <v>8959</v>
      </c>
      <c r="G440" t="s">
        <v>9183</v>
      </c>
      <c r="H440" s="1" t="s">
        <v>9092</v>
      </c>
      <c r="I440" s="1" t="s">
        <v>8998</v>
      </c>
      <c r="J440" s="2" t="s">
        <v>20785</v>
      </c>
      <c r="K440" s="1" t="s">
        <v>18491</v>
      </c>
      <c r="L440" s="1" t="s">
        <v>9133</v>
      </c>
      <c r="M440" s="1">
        <v>196</v>
      </c>
      <c r="N440" s="1" t="s">
        <v>9059</v>
      </c>
      <c r="O440" s="1" t="s">
        <v>8989</v>
      </c>
      <c r="P440" s="1" t="s">
        <v>8955</v>
      </c>
      <c r="Q440" s="1" t="s">
        <v>8956</v>
      </c>
      <c r="R440" s="1" t="s">
        <v>8975</v>
      </c>
      <c r="S440" s="1" t="s">
        <v>18832</v>
      </c>
      <c r="T440" s="1" t="s">
        <v>7</v>
      </c>
      <c r="U440" s="1" t="s">
        <v>24</v>
      </c>
    </row>
    <row r="441" spans="1:22" x14ac:dyDescent="0.2">
      <c r="A441" s="88" t="s">
        <v>20796</v>
      </c>
      <c r="B441" s="88" t="e">
        <f>VLOOKUP(C441,#REF!,1,0)</f>
        <v>#REF!</v>
      </c>
      <c r="C441" s="1" t="s">
        <v>1659</v>
      </c>
      <c r="D441" s="1" t="s">
        <v>1660</v>
      </c>
      <c r="E441" s="1" t="s">
        <v>18502</v>
      </c>
      <c r="F441" s="1" t="s">
        <v>8959</v>
      </c>
      <c r="G441" t="s">
        <v>8959</v>
      </c>
      <c r="H441" s="1" t="s">
        <v>9154</v>
      </c>
      <c r="I441" s="1" t="s">
        <v>8998</v>
      </c>
      <c r="J441" s="2" t="s">
        <v>21459</v>
      </c>
      <c r="K441" s="1" t="s">
        <v>21459</v>
      </c>
      <c r="L441" s="1" t="s">
        <v>9076</v>
      </c>
      <c r="M441" s="1">
        <v>10369</v>
      </c>
      <c r="N441" s="1" t="s">
        <v>8953</v>
      </c>
      <c r="O441" s="1" t="s">
        <v>8989</v>
      </c>
      <c r="P441" s="1" t="s">
        <v>8955</v>
      </c>
      <c r="Q441" s="1" t="s">
        <v>8956</v>
      </c>
      <c r="R441" s="1" t="s">
        <v>8975</v>
      </c>
      <c r="S441" s="1" t="s">
        <v>18833</v>
      </c>
      <c r="T441" s="1" t="s">
        <v>17</v>
      </c>
      <c r="U441" s="1" t="s">
        <v>93</v>
      </c>
    </row>
    <row r="442" spans="1:22" x14ac:dyDescent="0.2">
      <c r="A442" s="88">
        <v>1</v>
      </c>
      <c r="B442" s="88" t="e">
        <f>VLOOKUP(C442,#REF!,1,0)</f>
        <v>#REF!</v>
      </c>
      <c r="C442" s="1" t="s">
        <v>20797</v>
      </c>
      <c r="D442" s="1" t="s">
        <v>1661</v>
      </c>
      <c r="E442" s="1" t="s">
        <v>9642</v>
      </c>
      <c r="F442" s="1" t="s">
        <v>8957</v>
      </c>
      <c r="G442" t="s">
        <v>9183</v>
      </c>
      <c r="H442" s="1" t="s">
        <v>9092</v>
      </c>
      <c r="I442" s="1" t="s">
        <v>9308</v>
      </c>
      <c r="J442" s="2" t="s">
        <v>20736</v>
      </c>
      <c r="K442" s="1" t="s">
        <v>20736</v>
      </c>
      <c r="L442" s="1" t="s">
        <v>8987</v>
      </c>
      <c r="M442" s="1">
        <v>400</v>
      </c>
      <c r="N442" s="1" t="s">
        <v>8953</v>
      </c>
      <c r="O442" s="1" t="s">
        <v>8989</v>
      </c>
      <c r="P442" s="1" t="s">
        <v>8955</v>
      </c>
      <c r="Q442" s="1" t="s">
        <v>8956</v>
      </c>
      <c r="R442" s="1" t="s">
        <v>9103</v>
      </c>
      <c r="S442" s="1" t="s">
        <v>20571</v>
      </c>
      <c r="T442" s="1" t="s">
        <v>4</v>
      </c>
      <c r="U442" s="1" t="s">
        <v>1662</v>
      </c>
      <c r="V442" s="1"/>
    </row>
    <row r="443" spans="1:22" x14ac:dyDescent="0.2">
      <c r="A443" s="88" t="s">
        <v>16005</v>
      </c>
      <c r="B443" s="88" t="e">
        <f>VLOOKUP(C443,#REF!,1,0)</f>
        <v>#REF!</v>
      </c>
      <c r="C443" s="1" t="s">
        <v>1663</v>
      </c>
      <c r="D443" s="1" t="s">
        <v>1664</v>
      </c>
      <c r="E443" s="1" t="s">
        <v>9246</v>
      </c>
      <c r="F443" s="1" t="s">
        <v>8957</v>
      </c>
      <c r="G443" t="s">
        <v>9009</v>
      </c>
      <c r="H443" s="1" t="s">
        <v>9605</v>
      </c>
      <c r="I443" s="1" t="s">
        <v>9155</v>
      </c>
      <c r="J443" s="2" t="s">
        <v>9036</v>
      </c>
      <c r="K443" s="1" t="s">
        <v>9036</v>
      </c>
      <c r="L443" s="1" t="s">
        <v>9464</v>
      </c>
      <c r="M443" s="1">
        <v>2060</v>
      </c>
      <c r="N443" s="1" t="s">
        <v>8953</v>
      </c>
      <c r="O443" s="1" t="s">
        <v>8954</v>
      </c>
      <c r="P443" s="1" t="s">
        <v>8955</v>
      </c>
      <c r="Q443" s="1" t="s">
        <v>8956</v>
      </c>
      <c r="R443" s="1" t="s">
        <v>8958</v>
      </c>
      <c r="S443" s="1" t="s">
        <v>1665</v>
      </c>
      <c r="T443" s="1" t="s">
        <v>17</v>
      </c>
      <c r="U443" s="1" t="s">
        <v>126</v>
      </c>
    </row>
    <row r="444" spans="1:22" x14ac:dyDescent="0.2">
      <c r="A444" s="88" t="s">
        <v>20798</v>
      </c>
      <c r="B444" s="88" t="e">
        <f>VLOOKUP(C444,#REF!,1,0)</f>
        <v>#REF!</v>
      </c>
      <c r="C444" s="1" t="s">
        <v>1666</v>
      </c>
      <c r="D444" s="1" t="s">
        <v>1667</v>
      </c>
      <c r="E444" s="1" t="s">
        <v>9246</v>
      </c>
      <c r="F444" s="1" t="s">
        <v>8959</v>
      </c>
      <c r="G444" t="s">
        <v>9061</v>
      </c>
      <c r="H444" s="1" t="s">
        <v>20712</v>
      </c>
      <c r="I444" s="1" t="s">
        <v>8998</v>
      </c>
      <c r="J444" s="2" t="s">
        <v>20779</v>
      </c>
      <c r="K444" s="1" t="s">
        <v>9036</v>
      </c>
      <c r="L444" s="1" t="s">
        <v>8987</v>
      </c>
      <c r="M444" s="1">
        <v>2590</v>
      </c>
      <c r="N444" s="1" t="s">
        <v>8953</v>
      </c>
      <c r="O444" s="1" t="s">
        <v>8954</v>
      </c>
      <c r="P444" s="1" t="s">
        <v>8955</v>
      </c>
      <c r="Q444" s="1" t="s">
        <v>8956</v>
      </c>
      <c r="R444" s="1" t="s">
        <v>8958</v>
      </c>
      <c r="S444" s="1" t="s">
        <v>18834</v>
      </c>
      <c r="T444" s="1" t="s">
        <v>17</v>
      </c>
      <c r="U444" s="1" t="s">
        <v>61</v>
      </c>
    </row>
    <row r="445" spans="1:22" x14ac:dyDescent="0.2">
      <c r="A445" s="88" t="s">
        <v>16006</v>
      </c>
      <c r="B445" s="88" t="e">
        <f>VLOOKUP(C445,#REF!,1,0)</f>
        <v>#REF!</v>
      </c>
      <c r="C445" s="1" t="s">
        <v>1668</v>
      </c>
      <c r="D445" s="1" t="s">
        <v>1669</v>
      </c>
      <c r="E445" s="1" t="s">
        <v>9815</v>
      </c>
      <c r="F445" s="1" t="s">
        <v>8959</v>
      </c>
      <c r="G445" t="s">
        <v>8959</v>
      </c>
      <c r="H445" s="1" t="s">
        <v>8948</v>
      </c>
      <c r="I445" s="1" t="s">
        <v>8949</v>
      </c>
      <c r="J445" s="2" t="s">
        <v>20735</v>
      </c>
      <c r="K445" s="1" t="s">
        <v>20735</v>
      </c>
      <c r="L445" s="1" t="s">
        <v>8987</v>
      </c>
      <c r="M445" s="1">
        <v>3064</v>
      </c>
      <c r="N445" s="1" t="s">
        <v>8953</v>
      </c>
      <c r="O445" s="1" t="s">
        <v>8954</v>
      </c>
      <c r="P445" s="1" t="s">
        <v>8955</v>
      </c>
      <c r="Q445" s="1" t="s">
        <v>8956</v>
      </c>
      <c r="R445" s="1" t="s">
        <v>9103</v>
      </c>
      <c r="S445" s="1" t="s">
        <v>18835</v>
      </c>
      <c r="T445" s="1" t="s">
        <v>17</v>
      </c>
      <c r="U445" s="1" t="s">
        <v>74</v>
      </c>
    </row>
    <row r="446" spans="1:22" x14ac:dyDescent="0.2">
      <c r="A446" s="88" t="s">
        <v>20799</v>
      </c>
      <c r="B446" s="88" t="e">
        <f>VLOOKUP(C446,#REF!,1,0)</f>
        <v>#REF!</v>
      </c>
      <c r="C446" s="1" t="s">
        <v>1670</v>
      </c>
      <c r="D446" s="1" t="s">
        <v>1671</v>
      </c>
      <c r="E446" s="1" t="s">
        <v>10049</v>
      </c>
      <c r="F446" s="1" t="s">
        <v>8959</v>
      </c>
      <c r="G446" t="s">
        <v>8959</v>
      </c>
      <c r="H446" s="1" t="s">
        <v>9252</v>
      </c>
      <c r="I446" s="1" t="s">
        <v>20800</v>
      </c>
      <c r="J446" s="2" t="s">
        <v>18497</v>
      </c>
      <c r="K446" s="1" t="s">
        <v>18497</v>
      </c>
      <c r="L446" s="1" t="s">
        <v>8987</v>
      </c>
      <c r="M446" s="1">
        <v>400</v>
      </c>
      <c r="N446" s="1" t="s">
        <v>8953</v>
      </c>
      <c r="O446" s="1" t="s">
        <v>8989</v>
      </c>
      <c r="P446" s="1" t="s">
        <v>8955</v>
      </c>
      <c r="Q446" s="1" t="s">
        <v>8956</v>
      </c>
      <c r="R446" s="1" t="s">
        <v>9103</v>
      </c>
      <c r="S446" s="1" t="s">
        <v>18836</v>
      </c>
      <c r="T446" s="1" t="s">
        <v>7</v>
      </c>
      <c r="U446" s="1" t="s">
        <v>308</v>
      </c>
    </row>
    <row r="447" spans="1:22" x14ac:dyDescent="0.2">
      <c r="A447" s="88" t="s">
        <v>16007</v>
      </c>
      <c r="B447" s="88" t="e">
        <f>VLOOKUP(C447,#REF!,1,0)</f>
        <v>#REF!</v>
      </c>
      <c r="C447" s="1" t="s">
        <v>1672</v>
      </c>
      <c r="D447" s="1" t="s">
        <v>1673</v>
      </c>
      <c r="E447" s="1" t="s">
        <v>11671</v>
      </c>
      <c r="F447" s="1" t="s">
        <v>8957</v>
      </c>
      <c r="G447" t="s">
        <v>9009</v>
      </c>
      <c r="H447" s="1" t="s">
        <v>9252</v>
      </c>
      <c r="I447" s="1" t="s">
        <v>18504</v>
      </c>
      <c r="J447" s="2" t="s">
        <v>21265</v>
      </c>
      <c r="K447" s="1" t="s">
        <v>21265</v>
      </c>
      <c r="L447" s="1" t="s">
        <v>8951</v>
      </c>
      <c r="M447" s="1">
        <v>2283</v>
      </c>
      <c r="N447" s="1" t="s">
        <v>9059</v>
      </c>
      <c r="O447" s="1" t="s">
        <v>8989</v>
      </c>
      <c r="P447" s="1" t="s">
        <v>8955</v>
      </c>
      <c r="Q447" s="1" t="s">
        <v>8956</v>
      </c>
      <c r="R447" s="1" t="s">
        <v>8958</v>
      </c>
      <c r="S447" s="1" t="s">
        <v>20572</v>
      </c>
      <c r="T447" s="1" t="s">
        <v>7</v>
      </c>
      <c r="U447" s="1" t="s">
        <v>180</v>
      </c>
    </row>
    <row r="448" spans="1:22" x14ac:dyDescent="0.2">
      <c r="A448" s="88" t="s">
        <v>16008</v>
      </c>
      <c r="B448" s="88" t="e">
        <f>VLOOKUP(C448,#REF!,1,0)</f>
        <v>#REF!</v>
      </c>
      <c r="C448" s="1" t="s">
        <v>1679</v>
      </c>
      <c r="D448" s="1" t="s">
        <v>1680</v>
      </c>
      <c r="E448" s="1" t="s">
        <v>9310</v>
      </c>
      <c r="F448" s="1" t="s">
        <v>8957</v>
      </c>
      <c r="G448" t="s">
        <v>8959</v>
      </c>
      <c r="H448" s="1" t="s">
        <v>9605</v>
      </c>
      <c r="I448" s="1" t="s">
        <v>8959</v>
      </c>
      <c r="J448" s="2" t="s">
        <v>10525</v>
      </c>
      <c r="K448" s="1" t="s">
        <v>10525</v>
      </c>
      <c r="L448" s="1" t="s">
        <v>21600</v>
      </c>
      <c r="M448" s="1">
        <v>3600</v>
      </c>
      <c r="N448" s="1" t="s">
        <v>8953</v>
      </c>
      <c r="O448" s="1" t="s">
        <v>8989</v>
      </c>
      <c r="P448" s="1" t="s">
        <v>8955</v>
      </c>
      <c r="Q448" s="1" t="s">
        <v>8956</v>
      </c>
      <c r="R448" s="1" t="s">
        <v>9103</v>
      </c>
      <c r="S448" s="1" t="s">
        <v>18837</v>
      </c>
      <c r="T448" s="1" t="s">
        <v>7</v>
      </c>
      <c r="U448" s="1" t="s">
        <v>210</v>
      </c>
    </row>
    <row r="449" spans="1:21" x14ac:dyDescent="0.2">
      <c r="A449" s="88" t="s">
        <v>16009</v>
      </c>
      <c r="B449" s="88" t="e">
        <f>VLOOKUP(C449,#REF!,1,0)</f>
        <v>#REF!</v>
      </c>
      <c r="C449" s="1" t="s">
        <v>1681</v>
      </c>
      <c r="D449" s="1" t="s">
        <v>1682</v>
      </c>
      <c r="E449" s="1" t="s">
        <v>9310</v>
      </c>
      <c r="F449" s="1" t="s">
        <v>8959</v>
      </c>
      <c r="G449" t="s">
        <v>8959</v>
      </c>
      <c r="H449" s="1" t="s">
        <v>8948</v>
      </c>
      <c r="I449" s="1" t="s">
        <v>8949</v>
      </c>
      <c r="J449" s="2" t="s">
        <v>9036</v>
      </c>
      <c r="K449" s="1" t="s">
        <v>9036</v>
      </c>
      <c r="L449" s="1" t="s">
        <v>21600</v>
      </c>
      <c r="M449" s="1">
        <v>51000</v>
      </c>
      <c r="N449" s="1" t="s">
        <v>8953</v>
      </c>
      <c r="O449" s="1" t="s">
        <v>8989</v>
      </c>
      <c r="P449" s="1" t="s">
        <v>8955</v>
      </c>
      <c r="Q449" s="1" t="s">
        <v>8956</v>
      </c>
      <c r="R449" s="1" t="s">
        <v>8958</v>
      </c>
      <c r="S449" s="1" t="s">
        <v>1683</v>
      </c>
      <c r="T449" s="1" t="s">
        <v>17</v>
      </c>
      <c r="U449" s="1" t="s">
        <v>97</v>
      </c>
    </row>
    <row r="450" spans="1:21" x14ac:dyDescent="0.2">
      <c r="A450" s="88" t="s">
        <v>16010</v>
      </c>
      <c r="B450" s="88" t="e">
        <f>VLOOKUP(C450,#REF!,1,0)</f>
        <v>#REF!</v>
      </c>
      <c r="C450" s="1" t="s">
        <v>1684</v>
      </c>
      <c r="D450" s="1" t="s">
        <v>1685</v>
      </c>
      <c r="E450" s="1" t="s">
        <v>9010</v>
      </c>
      <c r="F450" s="1" t="s">
        <v>8957</v>
      </c>
      <c r="G450" t="s">
        <v>8959</v>
      </c>
      <c r="H450" s="1" t="s">
        <v>9605</v>
      </c>
      <c r="I450" s="1" t="s">
        <v>9121</v>
      </c>
      <c r="J450" s="2" t="s">
        <v>21205</v>
      </c>
      <c r="K450" s="1" t="s">
        <v>21205</v>
      </c>
      <c r="L450" s="1" t="s">
        <v>9292</v>
      </c>
      <c r="M450" s="1">
        <v>608424</v>
      </c>
      <c r="N450" s="1" t="s">
        <v>8953</v>
      </c>
      <c r="O450" s="1" t="s">
        <v>8954</v>
      </c>
      <c r="P450" s="1" t="s">
        <v>8955</v>
      </c>
      <c r="Q450" s="1" t="s">
        <v>8956</v>
      </c>
      <c r="R450" s="1" t="s">
        <v>8958</v>
      </c>
      <c r="S450" s="1" t="s">
        <v>1686</v>
      </c>
      <c r="T450" s="1" t="s">
        <v>17</v>
      </c>
      <c r="U450" s="1" t="s">
        <v>700</v>
      </c>
    </row>
    <row r="451" spans="1:21" x14ac:dyDescent="0.2">
      <c r="A451" s="88" t="s">
        <v>16012</v>
      </c>
      <c r="B451" s="88" t="e">
        <f>VLOOKUP(C451,#REF!,1,0)</f>
        <v>#REF!</v>
      </c>
      <c r="C451" s="1" t="s">
        <v>1693</v>
      </c>
      <c r="D451" s="1" t="s">
        <v>1694</v>
      </c>
      <c r="E451" s="1" t="s">
        <v>10850</v>
      </c>
      <c r="F451" s="1" t="s">
        <v>8957</v>
      </c>
      <c r="G451" t="s">
        <v>8959</v>
      </c>
      <c r="H451" s="1" t="s">
        <v>9049</v>
      </c>
      <c r="I451" s="1" t="s">
        <v>9325</v>
      </c>
      <c r="J451" s="2" t="s">
        <v>9036</v>
      </c>
      <c r="K451" s="1" t="s">
        <v>9036</v>
      </c>
      <c r="L451" s="1" t="s">
        <v>9133</v>
      </c>
      <c r="M451" s="1">
        <v>100</v>
      </c>
      <c r="N451" s="1" t="s">
        <v>8953</v>
      </c>
      <c r="O451" s="1" t="s">
        <v>8954</v>
      </c>
      <c r="P451" s="1" t="s">
        <v>8955</v>
      </c>
      <c r="Q451" s="1" t="s">
        <v>8956</v>
      </c>
      <c r="R451" s="1" t="s">
        <v>8975</v>
      </c>
      <c r="S451" s="1" t="s">
        <v>1695</v>
      </c>
      <c r="T451" s="1" t="s">
        <v>11</v>
      </c>
      <c r="U451" s="1" t="s">
        <v>396</v>
      </c>
    </row>
    <row r="452" spans="1:21" x14ac:dyDescent="0.2">
      <c r="A452" s="88" t="s">
        <v>16013</v>
      </c>
      <c r="B452" s="88" t="e">
        <f>VLOOKUP(C452,#REF!,1,0)</f>
        <v>#REF!</v>
      </c>
      <c r="C452" s="1" t="s">
        <v>1696</v>
      </c>
      <c r="D452" s="1" t="s">
        <v>1697</v>
      </c>
      <c r="E452" s="1" t="s">
        <v>10850</v>
      </c>
      <c r="F452" s="1" t="s">
        <v>8957</v>
      </c>
      <c r="G452" t="s">
        <v>9009</v>
      </c>
      <c r="H452" s="1" t="s">
        <v>20714</v>
      </c>
      <c r="I452" s="1" t="s">
        <v>20725</v>
      </c>
      <c r="J452" s="2" t="s">
        <v>10492</v>
      </c>
      <c r="K452" s="1" t="s">
        <v>10492</v>
      </c>
      <c r="L452" s="1" t="s">
        <v>9464</v>
      </c>
      <c r="M452" s="1">
        <v>23280</v>
      </c>
      <c r="N452" s="1" t="s">
        <v>8953</v>
      </c>
      <c r="O452" s="1" t="s">
        <v>8989</v>
      </c>
      <c r="P452" s="1" t="s">
        <v>8955</v>
      </c>
      <c r="Q452" s="1" t="s">
        <v>8956</v>
      </c>
      <c r="R452" s="1" t="s">
        <v>8975</v>
      </c>
      <c r="S452" s="1" t="s">
        <v>18840</v>
      </c>
      <c r="T452" s="1" t="s">
        <v>17</v>
      </c>
      <c r="U452" s="1" t="s">
        <v>24</v>
      </c>
    </row>
    <row r="453" spans="1:21" x14ac:dyDescent="0.2">
      <c r="A453" s="88" t="s">
        <v>16014</v>
      </c>
      <c r="B453" s="88"/>
      <c r="C453" s="1" t="s">
        <v>1698</v>
      </c>
      <c r="D453" s="1" t="s">
        <v>1699</v>
      </c>
      <c r="E453" s="1" t="e">
        <v>#N/A</v>
      </c>
      <c r="F453" s="1" t="e">
        <v>#N/A</v>
      </c>
      <c r="G453" t="e">
        <v>#N/A</v>
      </c>
      <c r="H453" s="1" t="e">
        <v>#N/A</v>
      </c>
      <c r="I453" s="1" t="e">
        <v>#N/A</v>
      </c>
      <c r="J453" s="2" t="e">
        <v>#N/A</v>
      </c>
      <c r="K453" s="1" t="e">
        <v>#N/A</v>
      </c>
      <c r="L453" s="1" t="e">
        <v>#N/A</v>
      </c>
      <c r="M453" s="1" t="e">
        <v>#N/A</v>
      </c>
      <c r="N453" s="1" t="e">
        <v>#N/A</v>
      </c>
      <c r="O453" s="1" t="e">
        <v>#N/A</v>
      </c>
      <c r="P453" s="1" t="s">
        <v>8955</v>
      </c>
      <c r="Q453" s="1" t="s">
        <v>8956</v>
      </c>
      <c r="R453" s="1" t="s">
        <v>9103</v>
      </c>
      <c r="S453" s="1" t="s">
        <v>18841</v>
      </c>
      <c r="T453" s="1" t="s">
        <v>252</v>
      </c>
      <c r="U453" s="1" t="s">
        <v>74</v>
      </c>
    </row>
    <row r="454" spans="1:21" x14ac:dyDescent="0.2">
      <c r="A454" s="88" t="s">
        <v>16015</v>
      </c>
      <c r="B454" s="88" t="e">
        <f>VLOOKUP(C454,#REF!,1,0)</f>
        <v>#REF!</v>
      </c>
      <c r="C454" s="1" t="s">
        <v>1700</v>
      </c>
      <c r="D454" s="1" t="s">
        <v>1701</v>
      </c>
      <c r="E454" s="1" t="s">
        <v>9010</v>
      </c>
      <c r="F454" s="1" t="s">
        <v>8957</v>
      </c>
      <c r="G454" t="s">
        <v>8959</v>
      </c>
      <c r="H454" s="1" t="s">
        <v>8948</v>
      </c>
      <c r="I454" s="1" t="s">
        <v>8949</v>
      </c>
      <c r="J454" s="2" t="s">
        <v>8972</v>
      </c>
      <c r="K454" s="1" t="s">
        <v>8972</v>
      </c>
      <c r="L454" s="1" t="s">
        <v>21600</v>
      </c>
      <c r="M454" s="1">
        <v>135</v>
      </c>
      <c r="N454" s="1" t="s">
        <v>8953</v>
      </c>
      <c r="O454" s="1" t="s">
        <v>8989</v>
      </c>
      <c r="P454" s="1" t="s">
        <v>8955</v>
      </c>
      <c r="Q454" s="1" t="s">
        <v>8956</v>
      </c>
      <c r="R454" s="1" t="s">
        <v>8975</v>
      </c>
      <c r="S454" s="1" t="s">
        <v>1702</v>
      </c>
      <c r="T454" s="1" t="s">
        <v>17</v>
      </c>
      <c r="U454" s="1" t="s">
        <v>21</v>
      </c>
    </row>
    <row r="455" spans="1:21" x14ac:dyDescent="0.2">
      <c r="A455" s="95" t="s">
        <v>16016</v>
      </c>
      <c r="B455" s="88" t="e">
        <f>VLOOKUP(C455,#REF!,1,0)</f>
        <v>#REF!</v>
      </c>
      <c r="C455" s="1" t="s">
        <v>1707</v>
      </c>
      <c r="D455" s="1" t="s">
        <v>1708</v>
      </c>
      <c r="E455" s="1" t="s">
        <v>18502</v>
      </c>
      <c r="F455" s="1" t="s">
        <v>8957</v>
      </c>
      <c r="G455" t="s">
        <v>9061</v>
      </c>
      <c r="H455" s="1" t="s">
        <v>9075</v>
      </c>
      <c r="I455" s="1" t="s">
        <v>8949</v>
      </c>
      <c r="J455" s="2" t="s">
        <v>10525</v>
      </c>
      <c r="K455" s="1" t="s">
        <v>10525</v>
      </c>
      <c r="L455" s="1" t="s">
        <v>8987</v>
      </c>
      <c r="M455" s="1">
        <v>617</v>
      </c>
      <c r="N455" s="1" t="s">
        <v>9059</v>
      </c>
      <c r="O455" s="1" t="s">
        <v>8989</v>
      </c>
      <c r="P455" s="1" t="s">
        <v>8955</v>
      </c>
      <c r="Q455" s="1" t="s">
        <v>8956</v>
      </c>
      <c r="R455" s="1" t="s">
        <v>8975</v>
      </c>
      <c r="S455" s="1" t="s">
        <v>18843</v>
      </c>
      <c r="T455" s="1" t="s">
        <v>7</v>
      </c>
      <c r="U455" s="1" t="s">
        <v>286</v>
      </c>
    </row>
    <row r="456" spans="1:21" x14ac:dyDescent="0.2">
      <c r="A456" s="88" t="s">
        <v>16017</v>
      </c>
      <c r="B456" s="88" t="e">
        <f>VLOOKUP(C456,#REF!,1,0)</f>
        <v>#REF!</v>
      </c>
      <c r="C456" s="1" t="s">
        <v>1709</v>
      </c>
      <c r="D456" s="1" t="s">
        <v>1710</v>
      </c>
      <c r="E456" s="1" t="s">
        <v>9380</v>
      </c>
      <c r="F456" s="1" t="s">
        <v>8957</v>
      </c>
      <c r="G456" t="s">
        <v>8959</v>
      </c>
      <c r="H456" s="1" t="s">
        <v>9252</v>
      </c>
      <c r="I456" s="1" t="s">
        <v>9253</v>
      </c>
      <c r="J456" s="2" t="s">
        <v>14097</v>
      </c>
      <c r="K456" s="1" t="s">
        <v>14097</v>
      </c>
      <c r="L456" s="1" t="s">
        <v>8987</v>
      </c>
      <c r="M456" s="1">
        <v>410</v>
      </c>
      <c r="N456" s="1" t="s">
        <v>8953</v>
      </c>
      <c r="O456" s="1" t="s">
        <v>8989</v>
      </c>
      <c r="P456" s="1" t="s">
        <v>8955</v>
      </c>
      <c r="Q456" s="1" t="s">
        <v>8956</v>
      </c>
      <c r="R456" s="1" t="s">
        <v>9103</v>
      </c>
      <c r="S456" s="1" t="s">
        <v>1711</v>
      </c>
      <c r="T456" s="1" t="s">
        <v>4</v>
      </c>
      <c r="U456" s="1" t="s">
        <v>126</v>
      </c>
    </row>
    <row r="457" spans="1:21" x14ac:dyDescent="0.2">
      <c r="A457" s="88" t="s">
        <v>16018</v>
      </c>
      <c r="B457" s="88" t="e">
        <f>VLOOKUP(C457,#REF!,1,0)</f>
        <v>#REF!</v>
      </c>
      <c r="C457" s="1" t="s">
        <v>1712</v>
      </c>
      <c r="D457" s="1" t="s">
        <v>1713</v>
      </c>
      <c r="E457" s="1" t="s">
        <v>9380</v>
      </c>
      <c r="F457" s="1" t="s">
        <v>8957</v>
      </c>
      <c r="G457" t="s">
        <v>9009</v>
      </c>
      <c r="H457" s="1" t="s">
        <v>8948</v>
      </c>
      <c r="I457" s="1" t="s">
        <v>8998</v>
      </c>
      <c r="J457" s="2" t="s">
        <v>9036</v>
      </c>
      <c r="K457" s="1" t="s">
        <v>9036</v>
      </c>
      <c r="L457" s="1" t="s">
        <v>9157</v>
      </c>
      <c r="M457" s="1">
        <v>300</v>
      </c>
      <c r="N457" s="1" t="s">
        <v>8953</v>
      </c>
      <c r="O457" s="1" t="s">
        <v>8954</v>
      </c>
      <c r="P457" s="1" t="s">
        <v>8955</v>
      </c>
      <c r="Q457" s="1" t="s">
        <v>8956</v>
      </c>
      <c r="R457" s="1" t="s">
        <v>8958</v>
      </c>
      <c r="S457" s="1" t="s">
        <v>1714</v>
      </c>
      <c r="T457" s="1" t="s">
        <v>17</v>
      </c>
      <c r="U457" s="1" t="s">
        <v>24</v>
      </c>
    </row>
    <row r="458" spans="1:21" x14ac:dyDescent="0.2">
      <c r="A458" s="88" t="s">
        <v>16019</v>
      </c>
      <c r="B458" s="88" t="e">
        <f>VLOOKUP(C458,#REF!,1,0)</f>
        <v>#REF!</v>
      </c>
      <c r="C458" s="1" t="s">
        <v>1715</v>
      </c>
      <c r="D458" s="1" t="s">
        <v>1716</v>
      </c>
      <c r="E458" s="1" t="s">
        <v>10873</v>
      </c>
      <c r="F458" s="1" t="s">
        <v>8957</v>
      </c>
      <c r="G458" t="s">
        <v>9009</v>
      </c>
      <c r="H458" s="1" t="s">
        <v>9154</v>
      </c>
      <c r="I458" s="1" t="s">
        <v>8971</v>
      </c>
      <c r="J458" s="2" t="s">
        <v>10492</v>
      </c>
      <c r="K458" s="1" t="s">
        <v>10492</v>
      </c>
      <c r="L458" s="1" t="s">
        <v>8951</v>
      </c>
      <c r="M458" s="1">
        <v>194</v>
      </c>
      <c r="N458" s="1" t="s">
        <v>9059</v>
      </c>
      <c r="O458" s="1" t="s">
        <v>8954</v>
      </c>
      <c r="P458" s="1" t="s">
        <v>8955</v>
      </c>
      <c r="Q458" s="1" t="s">
        <v>8956</v>
      </c>
      <c r="R458" s="1" t="s">
        <v>8975</v>
      </c>
      <c r="S458" s="1" t="s">
        <v>18844</v>
      </c>
      <c r="T458" s="1" t="s">
        <v>17</v>
      </c>
      <c r="U458" s="1" t="s">
        <v>1717</v>
      </c>
    </row>
    <row r="459" spans="1:21" x14ac:dyDescent="0.2">
      <c r="A459" s="88" t="s">
        <v>16020</v>
      </c>
      <c r="B459" s="88" t="e">
        <f>VLOOKUP(C459,#REF!,1,0)</f>
        <v>#REF!</v>
      </c>
      <c r="C459" s="1" t="s">
        <v>1718</v>
      </c>
      <c r="D459" s="1" t="s">
        <v>1719</v>
      </c>
      <c r="E459" s="1" t="s">
        <v>9317</v>
      </c>
      <c r="F459" s="1" t="s">
        <v>8957</v>
      </c>
      <c r="G459" t="s">
        <v>9009</v>
      </c>
      <c r="H459" s="1" t="s">
        <v>9154</v>
      </c>
      <c r="I459" s="1" t="s">
        <v>8971</v>
      </c>
      <c r="J459" s="2" t="s">
        <v>21205</v>
      </c>
      <c r="K459" s="1" t="s">
        <v>21205</v>
      </c>
      <c r="L459" s="1" t="s">
        <v>9464</v>
      </c>
      <c r="M459" s="1">
        <v>267</v>
      </c>
      <c r="N459" s="1" t="s">
        <v>9059</v>
      </c>
      <c r="O459" s="1" t="s">
        <v>8954</v>
      </c>
      <c r="P459" s="1" t="s">
        <v>8955</v>
      </c>
      <c r="Q459" s="1" t="s">
        <v>8956</v>
      </c>
      <c r="R459" s="1" t="s">
        <v>8975</v>
      </c>
      <c r="S459" s="1" t="s">
        <v>18845</v>
      </c>
      <c r="T459" s="1" t="s">
        <v>17</v>
      </c>
      <c r="U459" s="1" t="s">
        <v>871</v>
      </c>
    </row>
    <row r="460" spans="1:21" x14ac:dyDescent="0.2">
      <c r="A460" s="88" t="s">
        <v>16021</v>
      </c>
      <c r="B460" s="88" t="e">
        <f>VLOOKUP(C460,#REF!,1,0)</f>
        <v>#REF!</v>
      </c>
      <c r="C460" s="1" t="s">
        <v>1720</v>
      </c>
      <c r="D460" s="1" t="s">
        <v>1721</v>
      </c>
      <c r="E460" s="1" t="s">
        <v>9317</v>
      </c>
      <c r="F460" s="1" t="s">
        <v>8957</v>
      </c>
      <c r="G460" t="s">
        <v>9009</v>
      </c>
      <c r="H460" s="1" t="s">
        <v>9154</v>
      </c>
      <c r="I460" s="1" t="s">
        <v>8949</v>
      </c>
      <c r="J460" s="2" t="s">
        <v>10629</v>
      </c>
      <c r="K460" s="1" t="s">
        <v>10629</v>
      </c>
      <c r="L460" s="1" t="s">
        <v>9076</v>
      </c>
      <c r="M460" s="1">
        <v>100000</v>
      </c>
      <c r="N460" s="1" t="s">
        <v>8953</v>
      </c>
      <c r="O460" s="1" t="s">
        <v>8989</v>
      </c>
      <c r="P460" s="1" t="s">
        <v>8955</v>
      </c>
      <c r="Q460" s="1" t="s">
        <v>8956</v>
      </c>
      <c r="R460" s="1" t="s">
        <v>8975</v>
      </c>
      <c r="S460" s="1" t="s">
        <v>18846</v>
      </c>
      <c r="T460" s="1" t="s">
        <v>7</v>
      </c>
      <c r="U460" s="1" t="s">
        <v>1017</v>
      </c>
    </row>
    <row r="461" spans="1:21" x14ac:dyDescent="0.2">
      <c r="A461" s="88" t="s">
        <v>16022</v>
      </c>
      <c r="B461" s="88" t="e">
        <f>VLOOKUP(C461,#REF!,1,0)</f>
        <v>#REF!</v>
      </c>
      <c r="C461" s="1" t="s">
        <v>1727</v>
      </c>
      <c r="D461" s="1" t="s">
        <v>1728</v>
      </c>
      <c r="E461" s="1" t="s">
        <v>10049</v>
      </c>
      <c r="F461" s="1" t="s">
        <v>8957</v>
      </c>
      <c r="G461" t="s">
        <v>8959</v>
      </c>
      <c r="H461" s="1" t="s">
        <v>9100</v>
      </c>
      <c r="I461" s="1" t="s">
        <v>8949</v>
      </c>
      <c r="J461" s="2" t="s">
        <v>10492</v>
      </c>
      <c r="K461" s="1" t="s">
        <v>10492</v>
      </c>
      <c r="L461" s="1" t="s">
        <v>8987</v>
      </c>
      <c r="M461" s="1">
        <v>1003</v>
      </c>
      <c r="N461" s="1" t="s">
        <v>8953</v>
      </c>
      <c r="O461" s="1" t="s">
        <v>8989</v>
      </c>
      <c r="P461" s="1" t="s">
        <v>8955</v>
      </c>
      <c r="Q461" s="1" t="s">
        <v>8956</v>
      </c>
      <c r="R461" s="1" t="s">
        <v>8958</v>
      </c>
      <c r="S461" s="1" t="s">
        <v>18847</v>
      </c>
      <c r="T461" s="1" t="s">
        <v>7</v>
      </c>
      <c r="U461" s="1" t="s">
        <v>46</v>
      </c>
    </row>
    <row r="462" spans="1:21" x14ac:dyDescent="0.2">
      <c r="A462" s="88" t="s">
        <v>16023</v>
      </c>
      <c r="B462" s="88" t="e">
        <f>VLOOKUP(C462,#REF!,1,0)</f>
        <v>#REF!</v>
      </c>
      <c r="C462" s="1" t="s">
        <v>1729</v>
      </c>
      <c r="D462" s="1" t="s">
        <v>1730</v>
      </c>
      <c r="E462" s="1" t="s">
        <v>10850</v>
      </c>
      <c r="F462" s="1" t="s">
        <v>8959</v>
      </c>
      <c r="G462" t="s">
        <v>8959</v>
      </c>
      <c r="H462" s="1" t="s">
        <v>9075</v>
      </c>
      <c r="I462" s="1" t="s">
        <v>8998</v>
      </c>
      <c r="J462" s="2" t="s">
        <v>10492</v>
      </c>
      <c r="K462" s="1" t="s">
        <v>10492</v>
      </c>
      <c r="L462" s="1" t="s">
        <v>9076</v>
      </c>
      <c r="M462" s="1">
        <v>6400</v>
      </c>
      <c r="N462" s="1" t="s">
        <v>8953</v>
      </c>
      <c r="O462" s="1" t="s">
        <v>8989</v>
      </c>
      <c r="P462" s="1" t="s">
        <v>8955</v>
      </c>
      <c r="Q462" s="1" t="s">
        <v>8956</v>
      </c>
      <c r="R462" s="1" t="s">
        <v>8958</v>
      </c>
      <c r="S462" s="1" t="s">
        <v>18848</v>
      </c>
      <c r="T462" s="1" t="s">
        <v>7</v>
      </c>
      <c r="U462" s="1" t="s">
        <v>378</v>
      </c>
    </row>
    <row r="463" spans="1:21" x14ac:dyDescent="0.2">
      <c r="A463" s="88" t="s">
        <v>16024</v>
      </c>
      <c r="B463" s="88" t="e">
        <f>VLOOKUP(C463,#REF!,1,0)</f>
        <v>#REF!</v>
      </c>
      <c r="C463" s="1" t="s">
        <v>1731</v>
      </c>
      <c r="D463" s="1" t="s">
        <v>1732</v>
      </c>
      <c r="E463" s="1" t="s">
        <v>9010</v>
      </c>
      <c r="F463" s="1" t="s">
        <v>8957</v>
      </c>
      <c r="G463" t="s">
        <v>9061</v>
      </c>
      <c r="H463" s="1" t="s">
        <v>8948</v>
      </c>
      <c r="I463" s="1" t="s">
        <v>9725</v>
      </c>
      <c r="J463" s="2" t="s">
        <v>9112</v>
      </c>
      <c r="K463" s="1" t="s">
        <v>9112</v>
      </c>
      <c r="L463" s="1" t="s">
        <v>9133</v>
      </c>
      <c r="M463" s="1">
        <v>2109</v>
      </c>
      <c r="N463" s="1" t="s">
        <v>8953</v>
      </c>
      <c r="O463" s="1" t="s">
        <v>8954</v>
      </c>
      <c r="P463" s="1" t="s">
        <v>8955</v>
      </c>
      <c r="Q463" s="1" t="s">
        <v>8956</v>
      </c>
      <c r="R463" s="1" t="s">
        <v>8975</v>
      </c>
      <c r="S463" s="1" t="s">
        <v>1733</v>
      </c>
      <c r="T463" s="1" t="s">
        <v>17</v>
      </c>
      <c r="U463" s="1" t="s">
        <v>180</v>
      </c>
    </row>
    <row r="464" spans="1:21" x14ac:dyDescent="0.2">
      <c r="A464" s="88" t="s">
        <v>16025</v>
      </c>
      <c r="B464" s="88" t="e">
        <f>VLOOKUP(C464,#REF!,1,0)</f>
        <v>#REF!</v>
      </c>
      <c r="C464" s="1" t="s">
        <v>1734</v>
      </c>
      <c r="D464" s="1" t="s">
        <v>1735</v>
      </c>
      <c r="E464" s="1" t="s">
        <v>9310</v>
      </c>
      <c r="F464" s="1" t="s">
        <v>8957</v>
      </c>
      <c r="G464" t="s">
        <v>9009</v>
      </c>
      <c r="H464" s="1" t="s">
        <v>8984</v>
      </c>
      <c r="I464" s="1" t="s">
        <v>9131</v>
      </c>
      <c r="J464" s="2" t="s">
        <v>9036</v>
      </c>
      <c r="K464" s="1" t="s">
        <v>9036</v>
      </c>
      <c r="L464" s="1" t="s">
        <v>9292</v>
      </c>
      <c r="M464" s="116">
        <v>113426569</v>
      </c>
      <c r="N464" s="1" t="s">
        <v>8953</v>
      </c>
      <c r="O464" s="1" t="s">
        <v>8954</v>
      </c>
      <c r="P464" s="1" t="s">
        <v>8955</v>
      </c>
      <c r="Q464" s="1" t="s">
        <v>8956</v>
      </c>
      <c r="R464" s="1" t="s">
        <v>8975</v>
      </c>
      <c r="S464" s="1" t="s">
        <v>1736</v>
      </c>
      <c r="T464" s="1" t="s">
        <v>17</v>
      </c>
      <c r="U464" s="1" t="s">
        <v>1318</v>
      </c>
    </row>
    <row r="465" spans="1:21" x14ac:dyDescent="0.2">
      <c r="A465" s="88" t="s">
        <v>16026</v>
      </c>
      <c r="B465" s="88" t="e">
        <f>VLOOKUP(C465,#REF!,1,0)</f>
        <v>#REF!</v>
      </c>
      <c r="C465" s="1" t="s">
        <v>1737</v>
      </c>
      <c r="D465" s="1" t="s">
        <v>1738</v>
      </c>
      <c r="E465" s="1" t="s">
        <v>12547</v>
      </c>
      <c r="F465" s="1" t="s">
        <v>8959</v>
      </c>
      <c r="G465" t="s">
        <v>8959</v>
      </c>
      <c r="H465" s="1" t="s">
        <v>9605</v>
      </c>
      <c r="I465" s="1" t="s">
        <v>8998</v>
      </c>
      <c r="J465" s="2" t="s">
        <v>10492</v>
      </c>
      <c r="K465" s="1" t="s">
        <v>10492</v>
      </c>
      <c r="L465" s="1" t="s">
        <v>21600</v>
      </c>
      <c r="M465" s="1">
        <v>7200</v>
      </c>
      <c r="N465" s="1" t="s">
        <v>8953</v>
      </c>
      <c r="O465" s="1" t="s">
        <v>8954</v>
      </c>
      <c r="P465" s="1" t="s">
        <v>8955</v>
      </c>
      <c r="Q465" s="1" t="s">
        <v>8956</v>
      </c>
      <c r="R465" s="1" t="s">
        <v>8958</v>
      </c>
      <c r="S465" s="1" t="s">
        <v>18849</v>
      </c>
      <c r="T465" s="1" t="s">
        <v>7</v>
      </c>
      <c r="U465" s="1" t="s">
        <v>184</v>
      </c>
    </row>
    <row r="466" spans="1:21" x14ac:dyDescent="0.2">
      <c r="A466" s="88" t="s">
        <v>16027</v>
      </c>
      <c r="B466" s="88" t="e">
        <f>VLOOKUP(C466,#REF!,1,0)</f>
        <v>#REF!</v>
      </c>
      <c r="C466" s="1" t="s">
        <v>1739</v>
      </c>
      <c r="D466" s="1" t="s">
        <v>1740</v>
      </c>
      <c r="E466" s="1" t="s">
        <v>12547</v>
      </c>
      <c r="F466" s="1" t="s">
        <v>8959</v>
      </c>
      <c r="G466" t="s">
        <v>8959</v>
      </c>
      <c r="H466" s="1" t="s">
        <v>8948</v>
      </c>
      <c r="I466" s="1" t="s">
        <v>8949</v>
      </c>
      <c r="J466" s="2" t="s">
        <v>9036</v>
      </c>
      <c r="K466" s="1" t="s">
        <v>9036</v>
      </c>
      <c r="L466" s="1" t="s">
        <v>21600</v>
      </c>
      <c r="M466" s="1">
        <v>91</v>
      </c>
      <c r="N466" s="1" t="s">
        <v>8953</v>
      </c>
      <c r="O466" s="1" t="s">
        <v>8989</v>
      </c>
      <c r="P466" s="1" t="s">
        <v>8955</v>
      </c>
      <c r="Q466" s="1" t="s">
        <v>8956</v>
      </c>
      <c r="R466" s="1" t="s">
        <v>8975</v>
      </c>
      <c r="S466" s="1" t="s">
        <v>1741</v>
      </c>
      <c r="T466" s="1" t="s">
        <v>11</v>
      </c>
      <c r="U466" s="1" t="s">
        <v>184</v>
      </c>
    </row>
    <row r="467" spans="1:21" x14ac:dyDescent="0.2">
      <c r="A467" s="88" t="s">
        <v>16028</v>
      </c>
      <c r="B467" s="88" t="e">
        <f>VLOOKUP(C467,#REF!,1,0)</f>
        <v>#REF!</v>
      </c>
      <c r="C467" s="1" t="s">
        <v>1745</v>
      </c>
      <c r="D467" s="1" t="s">
        <v>1746</v>
      </c>
      <c r="E467" s="1" t="s">
        <v>9246</v>
      </c>
      <c r="F467" s="1" t="s">
        <v>8974</v>
      </c>
      <c r="G467" t="s">
        <v>9061</v>
      </c>
      <c r="H467" s="1" t="s">
        <v>8948</v>
      </c>
      <c r="I467" s="1" t="s">
        <v>9155</v>
      </c>
      <c r="J467" s="2" t="s">
        <v>10492</v>
      </c>
      <c r="K467" s="1" t="s">
        <v>21645</v>
      </c>
      <c r="L467" s="1" t="s">
        <v>9076</v>
      </c>
      <c r="M467" s="1">
        <v>34</v>
      </c>
      <c r="N467" s="1" t="s">
        <v>9059</v>
      </c>
      <c r="O467" s="1" t="s">
        <v>8989</v>
      </c>
      <c r="P467" s="1" t="s">
        <v>8955</v>
      </c>
      <c r="Q467" s="1" t="s">
        <v>8956</v>
      </c>
      <c r="R467" s="1" t="s">
        <v>8975</v>
      </c>
      <c r="S467" s="1" t="s">
        <v>18851</v>
      </c>
      <c r="T467" s="1" t="s">
        <v>17</v>
      </c>
      <c r="U467" s="1" t="s">
        <v>93</v>
      </c>
    </row>
    <row r="468" spans="1:21" x14ac:dyDescent="0.2">
      <c r="A468" s="88" t="s">
        <v>16029</v>
      </c>
      <c r="B468" s="88" t="e">
        <f>VLOOKUP(C468,#REF!,1,0)</f>
        <v>#REF!</v>
      </c>
      <c r="C468" s="1" t="s">
        <v>1754</v>
      </c>
      <c r="D468" s="1" t="s">
        <v>1755</v>
      </c>
      <c r="E468" s="1" t="s">
        <v>9213</v>
      </c>
      <c r="F468" s="1" t="s">
        <v>8957</v>
      </c>
      <c r="G468" t="s">
        <v>8959</v>
      </c>
      <c r="H468" s="1" t="s">
        <v>8948</v>
      </c>
      <c r="I468" s="1" t="s">
        <v>8949</v>
      </c>
      <c r="J468" s="2" t="s">
        <v>20776</v>
      </c>
      <c r="K468" s="1" t="s">
        <v>20776</v>
      </c>
      <c r="L468" s="1" t="s">
        <v>9076</v>
      </c>
      <c r="M468" s="1">
        <v>37</v>
      </c>
      <c r="N468" s="1" t="s">
        <v>9059</v>
      </c>
      <c r="O468" s="1" t="s">
        <v>8989</v>
      </c>
      <c r="P468" s="1" t="s">
        <v>8955</v>
      </c>
      <c r="Q468" s="1" t="s">
        <v>8956</v>
      </c>
      <c r="R468" s="1" t="s">
        <v>8958</v>
      </c>
      <c r="S468" s="1" t="s">
        <v>18854</v>
      </c>
      <c r="T468" s="1" t="s">
        <v>7</v>
      </c>
      <c r="U468" s="1" t="s">
        <v>93</v>
      </c>
    </row>
    <row r="469" spans="1:21" x14ac:dyDescent="0.2">
      <c r="A469" s="88" t="s">
        <v>16031</v>
      </c>
      <c r="B469" s="88" t="e">
        <f>VLOOKUP(C469,#REF!,1,0)</f>
        <v>#REF!</v>
      </c>
      <c r="C469" s="1" t="s">
        <v>1759</v>
      </c>
      <c r="D469" s="1" t="s">
        <v>1760</v>
      </c>
      <c r="E469" s="1" t="s">
        <v>10032</v>
      </c>
      <c r="F469" s="1" t="s">
        <v>8957</v>
      </c>
      <c r="G469" t="s">
        <v>9009</v>
      </c>
      <c r="H469" s="1" t="s">
        <v>8948</v>
      </c>
      <c r="I469" s="1" t="s">
        <v>8949</v>
      </c>
      <c r="J469" s="2" t="s">
        <v>21462</v>
      </c>
      <c r="K469" s="1" t="s">
        <v>21462</v>
      </c>
      <c r="L469" s="1" t="s">
        <v>21600</v>
      </c>
      <c r="M469" s="1">
        <v>9</v>
      </c>
      <c r="N469" s="1" t="s">
        <v>9059</v>
      </c>
      <c r="O469" s="1" t="s">
        <v>8989</v>
      </c>
      <c r="P469" s="1" t="s">
        <v>8955</v>
      </c>
      <c r="Q469" s="1" t="s">
        <v>8956</v>
      </c>
      <c r="R469" s="1" t="s">
        <v>8975</v>
      </c>
      <c r="S469" s="1" t="s">
        <v>1761</v>
      </c>
      <c r="T469" s="1" t="s">
        <v>242</v>
      </c>
      <c r="U469" s="1" t="s">
        <v>43</v>
      </c>
    </row>
    <row r="470" spans="1:21" x14ac:dyDescent="0.2">
      <c r="A470" s="88" t="s">
        <v>16032</v>
      </c>
      <c r="B470" s="88" t="e">
        <f>VLOOKUP(C470,#REF!,1,0)</f>
        <v>#REF!</v>
      </c>
      <c r="C470" s="1" t="s">
        <v>1765</v>
      </c>
      <c r="D470" s="1" t="s">
        <v>1766</v>
      </c>
      <c r="E470" s="1" t="s">
        <v>9380</v>
      </c>
      <c r="F470" s="1" t="s">
        <v>8957</v>
      </c>
      <c r="G470" t="s">
        <v>8959</v>
      </c>
      <c r="H470" s="1" t="s">
        <v>8948</v>
      </c>
      <c r="I470" s="1" t="s">
        <v>8949</v>
      </c>
      <c r="J470" s="2" t="s">
        <v>8972</v>
      </c>
      <c r="K470" s="1" t="s">
        <v>21768</v>
      </c>
      <c r="L470" s="1" t="s">
        <v>21600</v>
      </c>
      <c r="M470" s="1">
        <v>208</v>
      </c>
      <c r="N470" s="1" t="s">
        <v>8953</v>
      </c>
      <c r="O470" s="1" t="s">
        <v>8989</v>
      </c>
      <c r="P470" s="1" t="s">
        <v>8955</v>
      </c>
      <c r="Q470" s="1" t="s">
        <v>8956</v>
      </c>
      <c r="R470" s="1" t="s">
        <v>8958</v>
      </c>
      <c r="S470" s="1" t="s">
        <v>1767</v>
      </c>
      <c r="T470" s="1" t="s">
        <v>7</v>
      </c>
      <c r="U470" s="1" t="s">
        <v>43</v>
      </c>
    </row>
    <row r="471" spans="1:21" x14ac:dyDescent="0.2">
      <c r="A471" s="88" t="s">
        <v>16033</v>
      </c>
      <c r="B471" s="88" t="e">
        <f>VLOOKUP(C471,#REF!,1,0)</f>
        <v>#REF!</v>
      </c>
      <c r="C471" s="1" t="s">
        <v>1768</v>
      </c>
      <c r="D471" s="1" t="s">
        <v>1769</v>
      </c>
      <c r="E471" s="1" t="s">
        <v>9380</v>
      </c>
      <c r="F471" s="1" t="s">
        <v>8957</v>
      </c>
      <c r="G471" t="s">
        <v>9183</v>
      </c>
      <c r="H471" s="1" t="s">
        <v>9075</v>
      </c>
      <c r="I471" s="1" t="s">
        <v>8949</v>
      </c>
      <c r="J471" s="2" t="s">
        <v>9918</v>
      </c>
      <c r="K471" s="1" t="s">
        <v>21599</v>
      </c>
      <c r="L471" s="1" t="s">
        <v>21600</v>
      </c>
      <c r="M471" s="1">
        <v>60</v>
      </c>
      <c r="N471" s="1" t="s">
        <v>9059</v>
      </c>
      <c r="O471" s="1" t="s">
        <v>8989</v>
      </c>
      <c r="P471" s="1" t="s">
        <v>8955</v>
      </c>
      <c r="Q471" s="1" t="s">
        <v>8956</v>
      </c>
      <c r="R471" s="1" t="s">
        <v>8975</v>
      </c>
      <c r="S471" s="1" t="s">
        <v>1770</v>
      </c>
      <c r="T471" s="1" t="s">
        <v>11</v>
      </c>
      <c r="U471" s="1" t="s">
        <v>93</v>
      </c>
    </row>
    <row r="472" spans="1:21" x14ac:dyDescent="0.2">
      <c r="A472" s="88" t="s">
        <v>20801</v>
      </c>
      <c r="B472" s="88" t="e">
        <f>VLOOKUP(C472,#REF!,1,0)</f>
        <v>#REF!</v>
      </c>
      <c r="C472" s="1" t="s">
        <v>1774</v>
      </c>
      <c r="D472" s="1" t="s">
        <v>1775</v>
      </c>
      <c r="E472" s="1" t="s">
        <v>9310</v>
      </c>
      <c r="F472" s="1" t="s">
        <v>8957</v>
      </c>
      <c r="G472" t="s">
        <v>9183</v>
      </c>
      <c r="H472" s="1" t="s">
        <v>9075</v>
      </c>
      <c r="I472" s="1" t="s">
        <v>8949</v>
      </c>
      <c r="J472" s="2" t="s">
        <v>21354</v>
      </c>
      <c r="K472" s="1" t="s">
        <v>21354</v>
      </c>
      <c r="L472" s="1" t="s">
        <v>9292</v>
      </c>
      <c r="M472" s="1">
        <v>4896</v>
      </c>
      <c r="N472" s="1" t="s">
        <v>8953</v>
      </c>
      <c r="O472" s="1" t="s">
        <v>8989</v>
      </c>
      <c r="P472" s="1" t="s">
        <v>8955</v>
      </c>
      <c r="Q472" s="1" t="s">
        <v>8956</v>
      </c>
      <c r="R472" s="1" t="s">
        <v>8958</v>
      </c>
      <c r="S472" s="1" t="s">
        <v>18858</v>
      </c>
      <c r="T472" s="1" t="s">
        <v>7</v>
      </c>
      <c r="U472" s="1" t="s">
        <v>1381</v>
      </c>
    </row>
    <row r="473" spans="1:21" x14ac:dyDescent="0.2">
      <c r="A473" s="88" t="s">
        <v>16034</v>
      </c>
      <c r="B473" s="88" t="e">
        <f>VLOOKUP(C473,#REF!,1,0)</f>
        <v>#REF!</v>
      </c>
      <c r="C473" s="1" t="s">
        <v>1776</v>
      </c>
      <c r="D473" s="1" t="s">
        <v>1777</v>
      </c>
      <c r="E473" s="1" t="s">
        <v>9310</v>
      </c>
      <c r="F473" s="1" t="s">
        <v>8957</v>
      </c>
      <c r="G473" t="s">
        <v>9061</v>
      </c>
      <c r="H473" s="1" t="s">
        <v>8948</v>
      </c>
      <c r="I473" s="1" t="s">
        <v>8998</v>
      </c>
      <c r="J473" s="2" t="s">
        <v>20779</v>
      </c>
      <c r="K473" s="1" t="s">
        <v>9036</v>
      </c>
      <c r="L473" s="1" t="s">
        <v>9076</v>
      </c>
      <c r="M473" s="1">
        <v>300</v>
      </c>
      <c r="N473" s="1" t="s">
        <v>8953</v>
      </c>
      <c r="O473" s="1" t="s">
        <v>8989</v>
      </c>
      <c r="P473" s="1" t="s">
        <v>8955</v>
      </c>
      <c r="Q473" s="1" t="s">
        <v>8956</v>
      </c>
      <c r="R473" s="1" t="s">
        <v>9103</v>
      </c>
      <c r="S473" s="1" t="s">
        <v>18859</v>
      </c>
      <c r="T473" s="1" t="s">
        <v>17</v>
      </c>
      <c r="U473" s="1" t="s">
        <v>110</v>
      </c>
    </row>
    <row r="474" spans="1:21" x14ac:dyDescent="0.2">
      <c r="A474" s="88" t="s">
        <v>16035</v>
      </c>
      <c r="B474" s="88" t="e">
        <f>VLOOKUP(C474,#REF!,1,0)</f>
        <v>#REF!</v>
      </c>
      <c r="C474" s="1" t="s">
        <v>1778</v>
      </c>
      <c r="D474" s="1" t="s">
        <v>1779</v>
      </c>
      <c r="E474" s="1" t="s">
        <v>18502</v>
      </c>
      <c r="F474" s="1" t="s">
        <v>8957</v>
      </c>
      <c r="G474" t="s">
        <v>9061</v>
      </c>
      <c r="H474" s="1" t="s">
        <v>9092</v>
      </c>
      <c r="I474" s="1" t="s">
        <v>9155</v>
      </c>
      <c r="J474" s="2" t="s">
        <v>10629</v>
      </c>
      <c r="K474" s="1" t="s">
        <v>10629</v>
      </c>
      <c r="L474" s="1" t="s">
        <v>21600</v>
      </c>
      <c r="M474" s="1">
        <v>140</v>
      </c>
      <c r="N474" s="1" t="s">
        <v>9059</v>
      </c>
      <c r="O474" s="1" t="s">
        <v>8989</v>
      </c>
      <c r="P474" s="1" t="s">
        <v>8955</v>
      </c>
      <c r="Q474" s="1" t="s">
        <v>8956</v>
      </c>
      <c r="R474" s="1" t="s">
        <v>8975</v>
      </c>
      <c r="S474" s="1" t="s">
        <v>18860</v>
      </c>
      <c r="T474" s="1" t="s">
        <v>17</v>
      </c>
      <c r="U474" s="1" t="s">
        <v>1780</v>
      </c>
    </row>
    <row r="475" spans="1:21" x14ac:dyDescent="0.2">
      <c r="A475" s="88" t="s">
        <v>16036</v>
      </c>
      <c r="B475" s="88" t="e">
        <f>VLOOKUP(C475,#REF!,1,0)</f>
        <v>#REF!</v>
      </c>
      <c r="C475" s="1" t="s">
        <v>1781</v>
      </c>
      <c r="D475" s="1" t="s">
        <v>1782</v>
      </c>
      <c r="E475" s="1" t="s">
        <v>18502</v>
      </c>
      <c r="F475" s="1" t="s">
        <v>8957</v>
      </c>
      <c r="G475" t="s">
        <v>9061</v>
      </c>
      <c r="H475" s="1" t="s">
        <v>20712</v>
      </c>
      <c r="I475" s="1" t="s">
        <v>9725</v>
      </c>
      <c r="J475" s="2" t="s">
        <v>10629</v>
      </c>
      <c r="K475" s="1" t="s">
        <v>10629</v>
      </c>
      <c r="L475" s="1" t="s">
        <v>9076</v>
      </c>
      <c r="M475" s="1">
        <v>25</v>
      </c>
      <c r="N475" s="1" t="s">
        <v>9059</v>
      </c>
      <c r="O475" s="1" t="s">
        <v>8989</v>
      </c>
      <c r="P475" s="1" t="s">
        <v>8955</v>
      </c>
      <c r="Q475" s="1" t="s">
        <v>8956</v>
      </c>
      <c r="R475" s="1" t="s">
        <v>8975</v>
      </c>
      <c r="S475" s="1" t="s">
        <v>18861</v>
      </c>
      <c r="T475" s="1" t="s">
        <v>7</v>
      </c>
      <c r="U475" s="1" t="s">
        <v>378</v>
      </c>
    </row>
    <row r="476" spans="1:21" x14ac:dyDescent="0.2">
      <c r="A476" s="88" t="s">
        <v>16037</v>
      </c>
      <c r="B476" s="88" t="e">
        <f>VLOOKUP(C476,#REF!,1,0)</f>
        <v>#REF!</v>
      </c>
      <c r="C476" s="1" t="s">
        <v>1783</v>
      </c>
      <c r="D476" s="1" t="s">
        <v>1784</v>
      </c>
      <c r="E476" s="1" t="s">
        <v>9010</v>
      </c>
      <c r="F476" s="1" t="s">
        <v>8957</v>
      </c>
      <c r="G476" t="s">
        <v>9061</v>
      </c>
      <c r="H476" s="1" t="s">
        <v>9035</v>
      </c>
      <c r="I476" s="1" t="s">
        <v>8998</v>
      </c>
      <c r="J476" s="2" t="s">
        <v>10269</v>
      </c>
      <c r="K476" s="1" t="s">
        <v>10269</v>
      </c>
      <c r="L476" s="1" t="s">
        <v>21600</v>
      </c>
      <c r="M476" s="1">
        <v>35</v>
      </c>
      <c r="N476" s="1" t="s">
        <v>9059</v>
      </c>
      <c r="O476" s="1" t="s">
        <v>8989</v>
      </c>
      <c r="P476" s="1" t="s">
        <v>8955</v>
      </c>
      <c r="Q476" s="1" t="s">
        <v>8956</v>
      </c>
      <c r="R476" s="1" t="s">
        <v>8975</v>
      </c>
      <c r="S476" s="1" t="s">
        <v>1785</v>
      </c>
      <c r="T476" s="1" t="s">
        <v>17</v>
      </c>
      <c r="U476" s="1" t="s">
        <v>93</v>
      </c>
    </row>
    <row r="477" spans="1:21" x14ac:dyDescent="0.2">
      <c r="A477" s="88" t="s">
        <v>16038</v>
      </c>
      <c r="B477" s="88" t="e">
        <f>VLOOKUP(C477,#REF!,1,0)</f>
        <v>#REF!</v>
      </c>
      <c r="C477" s="1" t="s">
        <v>1786</v>
      </c>
      <c r="D477" s="1" t="s">
        <v>1787</v>
      </c>
      <c r="E477" s="1" t="s">
        <v>18502</v>
      </c>
      <c r="F477" s="1" t="s">
        <v>8957</v>
      </c>
      <c r="G477" t="s">
        <v>9061</v>
      </c>
      <c r="H477" s="1" t="s">
        <v>20712</v>
      </c>
      <c r="I477" s="1" t="s">
        <v>9725</v>
      </c>
      <c r="J477" s="2" t="s">
        <v>20785</v>
      </c>
      <c r="K477" s="1" t="s">
        <v>18491</v>
      </c>
      <c r="L477" s="1" t="s">
        <v>9076</v>
      </c>
      <c r="M477" s="1">
        <v>119</v>
      </c>
      <c r="N477" s="1" t="s">
        <v>9059</v>
      </c>
      <c r="O477" s="1" t="s">
        <v>8989</v>
      </c>
      <c r="P477" s="1" t="s">
        <v>8955</v>
      </c>
      <c r="Q477" s="1" t="s">
        <v>8956</v>
      </c>
      <c r="R477" s="1" t="s">
        <v>8975</v>
      </c>
      <c r="S477" s="1" t="s">
        <v>18862</v>
      </c>
      <c r="T477" s="1" t="s">
        <v>17</v>
      </c>
      <c r="U477" s="1" t="s">
        <v>378</v>
      </c>
    </row>
    <row r="478" spans="1:21" x14ac:dyDescent="0.2">
      <c r="A478" s="88" t="s">
        <v>16039</v>
      </c>
      <c r="B478" s="88" t="e">
        <f>VLOOKUP(C478,#REF!,1,0)</f>
        <v>#REF!</v>
      </c>
      <c r="C478" s="1" t="s">
        <v>1788</v>
      </c>
      <c r="D478" s="1" t="s">
        <v>1789</v>
      </c>
      <c r="E478" s="1" t="s">
        <v>9310</v>
      </c>
      <c r="F478" s="1" t="s">
        <v>8957</v>
      </c>
      <c r="G478" t="s">
        <v>8959</v>
      </c>
      <c r="H478" s="1" t="s">
        <v>9035</v>
      </c>
      <c r="I478" s="1" t="s">
        <v>8998</v>
      </c>
      <c r="J478" s="2" t="s">
        <v>10492</v>
      </c>
      <c r="K478" s="1" t="s">
        <v>21645</v>
      </c>
      <c r="L478" s="1" t="s">
        <v>21600</v>
      </c>
      <c r="M478" s="1">
        <v>1018</v>
      </c>
      <c r="N478" s="1" t="s">
        <v>8953</v>
      </c>
      <c r="O478" s="1" t="s">
        <v>8954</v>
      </c>
      <c r="P478" s="1" t="s">
        <v>8955</v>
      </c>
      <c r="Q478" s="1" t="s">
        <v>8956</v>
      </c>
      <c r="R478" s="1" t="s">
        <v>8975</v>
      </c>
      <c r="S478" s="1" t="s">
        <v>18863</v>
      </c>
      <c r="T478" s="1" t="s">
        <v>7</v>
      </c>
      <c r="U478" s="1" t="s">
        <v>1790</v>
      </c>
    </row>
    <row r="479" spans="1:21" x14ac:dyDescent="0.2">
      <c r="A479" s="88" t="s">
        <v>16040</v>
      </c>
      <c r="B479" s="88" t="e">
        <f>VLOOKUP(C479,#REF!,1,0)</f>
        <v>#REF!</v>
      </c>
      <c r="C479" s="1" t="s">
        <v>1794</v>
      </c>
      <c r="D479" s="1" t="s">
        <v>1795</v>
      </c>
      <c r="E479" s="1" t="s">
        <v>9636</v>
      </c>
      <c r="F479" s="1" t="s">
        <v>8957</v>
      </c>
      <c r="G479" t="s">
        <v>8959</v>
      </c>
      <c r="H479" s="1" t="s">
        <v>9049</v>
      </c>
      <c r="I479" s="1" t="s">
        <v>9325</v>
      </c>
      <c r="J479" s="2" t="s">
        <v>10040</v>
      </c>
      <c r="K479" s="1" t="s">
        <v>10040</v>
      </c>
      <c r="L479" s="1" t="s">
        <v>21600</v>
      </c>
      <c r="M479" s="1">
        <v>20160</v>
      </c>
      <c r="N479" s="1" t="s">
        <v>8953</v>
      </c>
      <c r="O479" s="1" t="s">
        <v>8954</v>
      </c>
      <c r="P479" s="1" t="s">
        <v>8955</v>
      </c>
      <c r="Q479" s="1" t="s">
        <v>8956</v>
      </c>
      <c r="R479" s="1" t="s">
        <v>8975</v>
      </c>
      <c r="S479" s="1" t="s">
        <v>1796</v>
      </c>
      <c r="T479" s="1" t="s">
        <v>17</v>
      </c>
      <c r="U479" s="1" t="s">
        <v>1797</v>
      </c>
    </row>
    <row r="480" spans="1:21" x14ac:dyDescent="0.2">
      <c r="A480" s="88" t="s">
        <v>16041</v>
      </c>
      <c r="B480" s="88" t="e">
        <f>VLOOKUP(C480,#REF!,1,0)</f>
        <v>#REF!</v>
      </c>
      <c r="C480" s="1" t="s">
        <v>1802</v>
      </c>
      <c r="D480" s="1" t="s">
        <v>1803</v>
      </c>
      <c r="E480" s="1" t="s">
        <v>9310</v>
      </c>
      <c r="F480" s="1" t="s">
        <v>8957</v>
      </c>
      <c r="G480" t="s">
        <v>8959</v>
      </c>
      <c r="H480" s="1" t="s">
        <v>9154</v>
      </c>
      <c r="I480" s="1" t="s">
        <v>9155</v>
      </c>
      <c r="J480" s="2" t="s">
        <v>9436</v>
      </c>
      <c r="K480" s="1" t="s">
        <v>21764</v>
      </c>
      <c r="L480" s="1" t="s">
        <v>21600</v>
      </c>
      <c r="M480" s="1">
        <v>30</v>
      </c>
      <c r="N480" s="1" t="s">
        <v>8953</v>
      </c>
      <c r="O480" s="1" t="s">
        <v>8954</v>
      </c>
      <c r="P480" s="1" t="s">
        <v>8955</v>
      </c>
      <c r="Q480" s="1" t="s">
        <v>8956</v>
      </c>
      <c r="R480" s="1" t="s">
        <v>8958</v>
      </c>
      <c r="S480" s="1" t="s">
        <v>1804</v>
      </c>
      <c r="T480" s="1" t="s">
        <v>4</v>
      </c>
      <c r="U480" s="1" t="s">
        <v>126</v>
      </c>
    </row>
    <row r="481" spans="1:21" x14ac:dyDescent="0.2">
      <c r="A481" s="88" t="s">
        <v>16042</v>
      </c>
      <c r="B481" s="88"/>
      <c r="C481" s="1" t="s">
        <v>1805</v>
      </c>
      <c r="D481" s="1" t="s">
        <v>1806</v>
      </c>
      <c r="E481" s="1" t="e">
        <v>#N/A</v>
      </c>
      <c r="F481" s="1" t="e">
        <v>#N/A</v>
      </c>
      <c r="G481" t="e">
        <v>#N/A</v>
      </c>
      <c r="H481" s="1" t="e">
        <v>#N/A</v>
      </c>
      <c r="I481" s="1" t="e">
        <v>#N/A</v>
      </c>
      <c r="J481" s="2" t="e">
        <v>#N/A</v>
      </c>
      <c r="K481" s="1" t="e">
        <v>#N/A</v>
      </c>
      <c r="L481" s="1" t="e">
        <v>#N/A</v>
      </c>
      <c r="M481" s="1" t="e">
        <v>#N/A</v>
      </c>
      <c r="N481" s="1" t="e">
        <v>#N/A</v>
      </c>
      <c r="O481" s="1" t="e">
        <v>#N/A</v>
      </c>
      <c r="P481" s="1" t="s">
        <v>8955</v>
      </c>
      <c r="Q481" s="1" t="s">
        <v>8956</v>
      </c>
      <c r="R481" s="1" t="s">
        <v>8975</v>
      </c>
      <c r="S481" s="1" t="s">
        <v>18866</v>
      </c>
      <c r="T481" s="1" t="s">
        <v>252</v>
      </c>
      <c r="U481" s="1" t="s">
        <v>126</v>
      </c>
    </row>
    <row r="482" spans="1:21" x14ac:dyDescent="0.2">
      <c r="A482" s="88" t="s">
        <v>16043</v>
      </c>
      <c r="B482" s="88"/>
      <c r="C482" s="1" t="s">
        <v>1807</v>
      </c>
      <c r="D482" s="1" t="s">
        <v>1808</v>
      </c>
      <c r="E482" s="1" t="e">
        <v>#N/A</v>
      </c>
      <c r="F482" s="1" t="e">
        <v>#N/A</v>
      </c>
      <c r="G482" t="e">
        <v>#N/A</v>
      </c>
      <c r="H482" s="1" t="e">
        <v>#N/A</v>
      </c>
      <c r="I482" s="1" t="e">
        <v>#N/A</v>
      </c>
      <c r="J482" s="2" t="e">
        <v>#N/A</v>
      </c>
      <c r="K482" s="1" t="e">
        <v>#N/A</v>
      </c>
      <c r="L482" s="1" t="e">
        <v>#N/A</v>
      </c>
      <c r="M482" s="1" t="e">
        <v>#N/A</v>
      </c>
      <c r="N482" s="1" t="e">
        <v>#N/A</v>
      </c>
      <c r="O482" s="1" t="e">
        <v>#N/A</v>
      </c>
      <c r="P482" s="1" t="s">
        <v>8955</v>
      </c>
      <c r="Q482" s="1" t="s">
        <v>8956</v>
      </c>
      <c r="R482" s="1" t="s">
        <v>8958</v>
      </c>
      <c r="S482" s="1" t="s">
        <v>18867</v>
      </c>
      <c r="T482" s="1" t="s">
        <v>252</v>
      </c>
      <c r="U482" s="1" t="s">
        <v>126</v>
      </c>
    </row>
    <row r="483" spans="1:21" x14ac:dyDescent="0.2">
      <c r="A483" s="88" t="s">
        <v>16044</v>
      </c>
      <c r="B483" s="88" t="e">
        <f>VLOOKUP(C483,#REF!,1,0)</f>
        <v>#REF!</v>
      </c>
      <c r="C483" s="1" t="s">
        <v>1809</v>
      </c>
      <c r="D483" s="1" t="s">
        <v>1810</v>
      </c>
      <c r="E483" s="1" t="s">
        <v>9317</v>
      </c>
      <c r="F483" s="1" t="s">
        <v>8957</v>
      </c>
      <c r="G483" t="s">
        <v>9061</v>
      </c>
      <c r="H483" s="1" t="s">
        <v>20712</v>
      </c>
      <c r="I483" s="1" t="s">
        <v>9308</v>
      </c>
      <c r="J483" s="2" t="s">
        <v>20802</v>
      </c>
      <c r="K483" s="1" t="s">
        <v>21040</v>
      </c>
      <c r="L483" s="1" t="s">
        <v>8987</v>
      </c>
      <c r="M483" s="1">
        <v>71274</v>
      </c>
      <c r="N483" s="1" t="s">
        <v>8953</v>
      </c>
      <c r="O483" s="1" t="s">
        <v>8954</v>
      </c>
      <c r="P483" s="1" t="s">
        <v>8955</v>
      </c>
      <c r="Q483" s="1" t="s">
        <v>8956</v>
      </c>
      <c r="R483" s="1" t="s">
        <v>8975</v>
      </c>
      <c r="S483" s="1" t="s">
        <v>18868</v>
      </c>
      <c r="T483" s="1" t="s">
        <v>7</v>
      </c>
      <c r="U483" s="1" t="s">
        <v>147</v>
      </c>
    </row>
    <row r="484" spans="1:21" x14ac:dyDescent="0.2">
      <c r="A484" s="88" t="s">
        <v>16047</v>
      </c>
      <c r="B484" s="88" t="e">
        <f>VLOOKUP(C484,#REF!,1,0)</f>
        <v>#REF!</v>
      </c>
      <c r="C484" s="1" t="s">
        <v>1818</v>
      </c>
      <c r="D484" s="1" t="s">
        <v>1819</v>
      </c>
      <c r="E484" s="1" t="s">
        <v>9310</v>
      </c>
      <c r="F484" s="1" t="s">
        <v>8957</v>
      </c>
      <c r="G484" t="s">
        <v>9061</v>
      </c>
      <c r="H484" s="1" t="s">
        <v>8948</v>
      </c>
      <c r="I484" s="1" t="s">
        <v>8971</v>
      </c>
      <c r="J484" s="2" t="s">
        <v>21423</v>
      </c>
      <c r="K484" s="1" t="s">
        <v>21423</v>
      </c>
      <c r="L484" s="1" t="s">
        <v>9076</v>
      </c>
      <c r="M484" s="1">
        <v>20000</v>
      </c>
      <c r="N484" s="1" t="s">
        <v>8953</v>
      </c>
      <c r="O484" s="1" t="s">
        <v>8989</v>
      </c>
      <c r="P484" s="1" t="s">
        <v>8955</v>
      </c>
      <c r="Q484" s="1" t="s">
        <v>8956</v>
      </c>
      <c r="R484" s="1" t="s">
        <v>8958</v>
      </c>
      <c r="S484" s="1" t="s">
        <v>18872</v>
      </c>
      <c r="T484" s="1" t="s">
        <v>7</v>
      </c>
      <c r="U484" s="1" t="s">
        <v>184</v>
      </c>
    </row>
    <row r="485" spans="1:21" x14ac:dyDescent="0.2">
      <c r="A485" s="88" t="s">
        <v>16048</v>
      </c>
      <c r="B485" s="88" t="e">
        <f>VLOOKUP(C485,#REF!,1,0)</f>
        <v>#REF!</v>
      </c>
      <c r="C485" s="1" t="s">
        <v>1820</v>
      </c>
      <c r="D485" s="1" t="s">
        <v>1821</v>
      </c>
      <c r="E485" s="1" t="s">
        <v>9310</v>
      </c>
      <c r="F485" s="1" t="s">
        <v>8959</v>
      </c>
      <c r="G485" t="s">
        <v>8959</v>
      </c>
      <c r="H485" s="1" t="s">
        <v>20803</v>
      </c>
      <c r="I485" s="1" t="s">
        <v>8949</v>
      </c>
      <c r="J485" s="2" t="s">
        <v>10492</v>
      </c>
      <c r="K485" s="1" t="s">
        <v>10492</v>
      </c>
      <c r="L485" s="1" t="s">
        <v>9076</v>
      </c>
      <c r="M485" s="1">
        <v>20</v>
      </c>
      <c r="N485" s="1" t="s">
        <v>9059</v>
      </c>
      <c r="O485" s="1" t="s">
        <v>8989</v>
      </c>
      <c r="P485" s="1" t="s">
        <v>8955</v>
      </c>
      <c r="Q485" s="1" t="s">
        <v>8956</v>
      </c>
      <c r="R485" s="1" t="s">
        <v>9103</v>
      </c>
      <c r="S485" s="1" t="s">
        <v>18873</v>
      </c>
      <c r="T485" s="1" t="s">
        <v>7</v>
      </c>
      <c r="U485" s="1" t="s">
        <v>46</v>
      </c>
    </row>
    <row r="486" spans="1:21" x14ac:dyDescent="0.2">
      <c r="A486" s="88" t="s">
        <v>16049</v>
      </c>
      <c r="B486" s="88" t="e">
        <f>VLOOKUP(C486,#REF!,1,0)</f>
        <v>#REF!</v>
      </c>
      <c r="C486" s="1" t="s">
        <v>1822</v>
      </c>
      <c r="D486" s="1" t="s">
        <v>1823</v>
      </c>
      <c r="E486" s="1" t="s">
        <v>9310</v>
      </c>
      <c r="F486" s="1" t="s">
        <v>8957</v>
      </c>
      <c r="G486" t="s">
        <v>8959</v>
      </c>
      <c r="H486" s="1" t="s">
        <v>9154</v>
      </c>
      <c r="I486" s="1" t="s">
        <v>8949</v>
      </c>
      <c r="J486" s="2" t="s">
        <v>20804</v>
      </c>
      <c r="K486" s="1" t="s">
        <v>9413</v>
      </c>
      <c r="L486" s="1" t="s">
        <v>21600</v>
      </c>
      <c r="M486" s="1">
        <v>2900</v>
      </c>
      <c r="N486" s="1" t="s">
        <v>8953</v>
      </c>
      <c r="O486" s="1" t="s">
        <v>8954</v>
      </c>
      <c r="P486" s="1" t="s">
        <v>8955</v>
      </c>
      <c r="Q486" s="1" t="s">
        <v>8956</v>
      </c>
      <c r="R486" s="1" t="s">
        <v>8958</v>
      </c>
      <c r="S486" s="1" t="s">
        <v>18874</v>
      </c>
      <c r="T486" s="1" t="s">
        <v>17</v>
      </c>
      <c r="U486" s="1" t="s">
        <v>27</v>
      </c>
    </row>
    <row r="487" spans="1:21" x14ac:dyDescent="0.2">
      <c r="A487" s="88" t="s">
        <v>16050</v>
      </c>
      <c r="B487" s="88" t="e">
        <f>VLOOKUP(C487,#REF!,1,0)</f>
        <v>#REF!</v>
      </c>
      <c r="C487" s="1" t="s">
        <v>1824</v>
      </c>
      <c r="D487" s="1" t="s">
        <v>1825</v>
      </c>
      <c r="E487" s="1" t="s">
        <v>9310</v>
      </c>
      <c r="F487" s="1" t="s">
        <v>8957</v>
      </c>
      <c r="G487" t="s">
        <v>8959</v>
      </c>
      <c r="H487" s="1" t="s">
        <v>9154</v>
      </c>
      <c r="I487" s="1" t="s">
        <v>8949</v>
      </c>
      <c r="J487" s="2" t="s">
        <v>20805</v>
      </c>
      <c r="K487" s="1" t="s">
        <v>9212</v>
      </c>
      <c r="L487" s="1" t="s">
        <v>21600</v>
      </c>
      <c r="M487" s="1">
        <v>100</v>
      </c>
      <c r="N487" s="1" t="s">
        <v>9059</v>
      </c>
      <c r="O487" s="1" t="s">
        <v>8954</v>
      </c>
      <c r="P487" s="1" t="s">
        <v>8955</v>
      </c>
      <c r="Q487" s="1" t="s">
        <v>8956</v>
      </c>
      <c r="R487" s="1" t="s">
        <v>8975</v>
      </c>
      <c r="S487" s="1" t="s">
        <v>18875</v>
      </c>
      <c r="T487" s="1" t="s">
        <v>7</v>
      </c>
      <c r="U487" s="1" t="s">
        <v>64</v>
      </c>
    </row>
    <row r="488" spans="1:21" x14ac:dyDescent="0.2">
      <c r="A488" s="88" t="s">
        <v>16051</v>
      </c>
      <c r="B488" s="88" t="e">
        <f>VLOOKUP(C488,#REF!,1,0)</f>
        <v>#REF!</v>
      </c>
      <c r="C488" s="1" t="s">
        <v>1826</v>
      </c>
      <c r="D488" s="1" t="s">
        <v>1827</v>
      </c>
      <c r="E488" s="1" t="s">
        <v>9310</v>
      </c>
      <c r="F488" s="1" t="s">
        <v>8957</v>
      </c>
      <c r="G488" t="s">
        <v>9061</v>
      </c>
      <c r="H488" s="1" t="s">
        <v>9035</v>
      </c>
      <c r="I488" s="1" t="s">
        <v>8949</v>
      </c>
      <c r="J488" s="2" t="s">
        <v>10492</v>
      </c>
      <c r="K488" s="1" t="s">
        <v>10492</v>
      </c>
      <c r="L488" s="1" t="s">
        <v>9076</v>
      </c>
      <c r="M488" s="1">
        <v>871</v>
      </c>
      <c r="N488" s="1" t="s">
        <v>8953</v>
      </c>
      <c r="O488" s="1" t="s">
        <v>8989</v>
      </c>
      <c r="P488" s="1" t="s">
        <v>8955</v>
      </c>
      <c r="Q488" s="1" t="s">
        <v>8956</v>
      </c>
      <c r="R488" s="1" t="s">
        <v>8975</v>
      </c>
      <c r="S488" s="1" t="s">
        <v>18876</v>
      </c>
      <c r="T488" s="1" t="s">
        <v>17</v>
      </c>
      <c r="U488" s="1" t="s">
        <v>161</v>
      </c>
    </row>
    <row r="489" spans="1:21" x14ac:dyDescent="0.2">
      <c r="A489" s="88" t="s">
        <v>16052</v>
      </c>
      <c r="B489" s="88" t="e">
        <f>VLOOKUP(C489,#REF!,1,0)</f>
        <v>#REF!</v>
      </c>
      <c r="C489" s="1" t="s">
        <v>1828</v>
      </c>
      <c r="D489" s="1" t="s">
        <v>1829</v>
      </c>
      <c r="E489" s="1" t="s">
        <v>10873</v>
      </c>
      <c r="F489" s="1" t="s">
        <v>8957</v>
      </c>
      <c r="G489" t="s">
        <v>9061</v>
      </c>
      <c r="H489" s="1" t="s">
        <v>9154</v>
      </c>
      <c r="I489" s="1" t="s">
        <v>8949</v>
      </c>
      <c r="J489" s="2" t="s">
        <v>20805</v>
      </c>
      <c r="K489" s="1" t="s">
        <v>9212</v>
      </c>
      <c r="L489" s="1" t="s">
        <v>21600</v>
      </c>
      <c r="M489" s="1">
        <v>2460</v>
      </c>
      <c r="N489" s="1" t="s">
        <v>8953</v>
      </c>
      <c r="O489" s="1" t="s">
        <v>8954</v>
      </c>
      <c r="P489" s="1" t="s">
        <v>8955</v>
      </c>
      <c r="Q489" s="1" t="s">
        <v>8956</v>
      </c>
      <c r="R489" s="1" t="s">
        <v>8975</v>
      </c>
      <c r="S489" s="1" t="s">
        <v>18877</v>
      </c>
      <c r="T489" s="1" t="s">
        <v>17</v>
      </c>
      <c r="U489" s="1" t="s">
        <v>61</v>
      </c>
    </row>
    <row r="490" spans="1:21" x14ac:dyDescent="0.2">
      <c r="A490" s="88" t="s">
        <v>16053</v>
      </c>
      <c r="B490" s="88" t="e">
        <f>VLOOKUP(C490,#REF!,1,0)</f>
        <v>#REF!</v>
      </c>
      <c r="C490" s="1" t="s">
        <v>1830</v>
      </c>
      <c r="D490" s="1" t="s">
        <v>1831</v>
      </c>
      <c r="E490" s="1" t="s">
        <v>9010</v>
      </c>
      <c r="F490" s="1" t="s">
        <v>8957</v>
      </c>
      <c r="G490" t="s">
        <v>9183</v>
      </c>
      <c r="H490" s="1" t="s">
        <v>9154</v>
      </c>
      <c r="I490" s="1" t="s">
        <v>9325</v>
      </c>
      <c r="J490" s="2" t="s">
        <v>8972</v>
      </c>
      <c r="K490" s="1" t="s">
        <v>21768</v>
      </c>
      <c r="L490" s="1" t="s">
        <v>21600</v>
      </c>
      <c r="M490" s="1">
        <v>25000</v>
      </c>
      <c r="N490" s="1" t="s">
        <v>8953</v>
      </c>
      <c r="O490" s="1" t="s">
        <v>8989</v>
      </c>
      <c r="P490" s="1" t="s">
        <v>8955</v>
      </c>
      <c r="Q490" s="1" t="s">
        <v>8956</v>
      </c>
      <c r="R490" s="1" t="s">
        <v>8975</v>
      </c>
      <c r="S490" s="1" t="s">
        <v>1832</v>
      </c>
      <c r="T490" s="1" t="s">
        <v>11</v>
      </c>
      <c r="U490" s="1" t="s">
        <v>1833</v>
      </c>
    </row>
    <row r="491" spans="1:21" x14ac:dyDescent="0.2">
      <c r="A491" s="88" t="s">
        <v>16055</v>
      </c>
      <c r="B491" s="88" t="e">
        <f>VLOOKUP(C491,#REF!,1,0)</f>
        <v>#REF!</v>
      </c>
      <c r="C491" s="1" t="s">
        <v>1836</v>
      </c>
      <c r="D491" s="1" t="s">
        <v>1837</v>
      </c>
      <c r="E491" s="1" t="s">
        <v>9246</v>
      </c>
      <c r="F491" s="1" t="s">
        <v>8957</v>
      </c>
      <c r="G491" t="s">
        <v>9009</v>
      </c>
      <c r="H491" s="1" t="s">
        <v>8948</v>
      </c>
      <c r="I491" s="1" t="s">
        <v>8949</v>
      </c>
      <c r="J491" s="2" t="s">
        <v>9036</v>
      </c>
      <c r="K491" s="1" t="s">
        <v>9036</v>
      </c>
      <c r="L491" s="1" t="s">
        <v>8951</v>
      </c>
      <c r="M491" s="1">
        <v>3200</v>
      </c>
      <c r="N491" s="1" t="s">
        <v>8953</v>
      </c>
      <c r="O491" s="1" t="s">
        <v>8954</v>
      </c>
      <c r="P491" s="1" t="s">
        <v>8955</v>
      </c>
      <c r="Q491" s="1" t="s">
        <v>8956</v>
      </c>
      <c r="R491" s="1" t="s">
        <v>8958</v>
      </c>
      <c r="S491" s="1" t="s">
        <v>1838</v>
      </c>
      <c r="T491" s="1" t="s">
        <v>17</v>
      </c>
      <c r="U491" s="1" t="s">
        <v>126</v>
      </c>
    </row>
    <row r="492" spans="1:21" x14ac:dyDescent="0.2">
      <c r="A492" s="88" t="s">
        <v>16056</v>
      </c>
      <c r="B492" s="88" t="e">
        <f>VLOOKUP(C492,#REF!,1,0)</f>
        <v>#REF!</v>
      </c>
      <c r="C492" s="1" t="s">
        <v>1839</v>
      </c>
      <c r="D492" s="1" t="s">
        <v>1840</v>
      </c>
      <c r="E492" s="1" t="s">
        <v>9246</v>
      </c>
      <c r="F492" s="1" t="s">
        <v>8957</v>
      </c>
      <c r="G492" t="s">
        <v>9061</v>
      </c>
      <c r="H492" s="1" t="s">
        <v>8948</v>
      </c>
      <c r="I492" s="1" t="s">
        <v>8949</v>
      </c>
      <c r="J492" s="2" t="s">
        <v>10492</v>
      </c>
      <c r="K492" s="1" t="s">
        <v>10492</v>
      </c>
      <c r="L492" s="1" t="s">
        <v>8951</v>
      </c>
      <c r="M492" s="1">
        <v>1702</v>
      </c>
      <c r="N492" s="1" t="s">
        <v>8953</v>
      </c>
      <c r="O492" s="1" t="s">
        <v>8954</v>
      </c>
      <c r="P492" s="1" t="s">
        <v>8955</v>
      </c>
      <c r="Q492" s="1" t="s">
        <v>8956</v>
      </c>
      <c r="R492" s="1" t="s">
        <v>8975</v>
      </c>
      <c r="S492" s="1" t="s">
        <v>18878</v>
      </c>
      <c r="T492" s="1" t="s">
        <v>7</v>
      </c>
      <c r="U492" s="1" t="s">
        <v>126</v>
      </c>
    </row>
    <row r="493" spans="1:21" x14ac:dyDescent="0.2">
      <c r="A493" s="88" t="s">
        <v>16057</v>
      </c>
      <c r="B493" s="88" t="e">
        <f>VLOOKUP(C493,#REF!,1,0)</f>
        <v>#REF!</v>
      </c>
      <c r="C493" s="1" t="s">
        <v>1841</v>
      </c>
      <c r="D493" s="1" t="s">
        <v>1842</v>
      </c>
      <c r="E493" s="1" t="s">
        <v>9246</v>
      </c>
      <c r="F493" s="1" t="s">
        <v>8957</v>
      </c>
      <c r="G493" t="s">
        <v>9183</v>
      </c>
      <c r="H493" s="1" t="s">
        <v>8948</v>
      </c>
      <c r="I493" s="1" t="s">
        <v>8949</v>
      </c>
      <c r="J493" s="2" t="s">
        <v>10258</v>
      </c>
      <c r="K493" s="1" t="s">
        <v>10258</v>
      </c>
      <c r="L493" s="1" t="s">
        <v>9133</v>
      </c>
      <c r="M493" s="1">
        <v>2115</v>
      </c>
      <c r="N493" s="1" t="s">
        <v>9059</v>
      </c>
      <c r="O493" s="1" t="s">
        <v>8989</v>
      </c>
      <c r="P493" s="1" t="s">
        <v>8955</v>
      </c>
      <c r="Q493" s="1" t="s">
        <v>8956</v>
      </c>
      <c r="R493" s="1" t="s">
        <v>8975</v>
      </c>
      <c r="S493" s="1" t="s">
        <v>1843</v>
      </c>
      <c r="T493" s="1" t="s">
        <v>17</v>
      </c>
      <c r="U493" s="1" t="s">
        <v>392</v>
      </c>
    </row>
    <row r="494" spans="1:21" x14ac:dyDescent="0.2">
      <c r="A494" s="88" t="s">
        <v>16058</v>
      </c>
      <c r="B494" s="88" t="e">
        <f>VLOOKUP(C494,#REF!,1,0)</f>
        <v>#REF!</v>
      </c>
      <c r="C494" s="1" t="s">
        <v>1844</v>
      </c>
      <c r="D494" s="1" t="s">
        <v>1845</v>
      </c>
      <c r="E494" s="1" t="s">
        <v>9213</v>
      </c>
      <c r="F494" s="1" t="s">
        <v>8957</v>
      </c>
      <c r="G494" t="s">
        <v>8959</v>
      </c>
      <c r="H494" s="1" t="s">
        <v>9100</v>
      </c>
      <c r="I494" s="1" t="s">
        <v>8949</v>
      </c>
      <c r="J494" s="2" t="s">
        <v>20779</v>
      </c>
      <c r="K494" s="1" t="s">
        <v>9036</v>
      </c>
      <c r="L494" s="1" t="s">
        <v>9133</v>
      </c>
      <c r="M494" s="1">
        <v>331</v>
      </c>
      <c r="N494" s="1" t="s">
        <v>9059</v>
      </c>
      <c r="O494" s="1" t="s">
        <v>8989</v>
      </c>
      <c r="P494" s="1" t="s">
        <v>8955</v>
      </c>
      <c r="Q494" s="1" t="s">
        <v>8956</v>
      </c>
      <c r="R494" s="1" t="s">
        <v>8958</v>
      </c>
      <c r="S494" s="1" t="s">
        <v>18879</v>
      </c>
      <c r="T494" s="1" t="s">
        <v>7</v>
      </c>
      <c r="U494" s="1" t="s">
        <v>467</v>
      </c>
    </row>
    <row r="495" spans="1:21" x14ac:dyDescent="0.2">
      <c r="A495" s="88" t="s">
        <v>16059</v>
      </c>
      <c r="B495" s="88" t="e">
        <f>VLOOKUP(C495,#REF!,1,0)</f>
        <v>#REF!</v>
      </c>
      <c r="C495" s="1" t="s">
        <v>1846</v>
      </c>
      <c r="D495" s="1" t="s">
        <v>1847</v>
      </c>
      <c r="E495" s="1" t="s">
        <v>10049</v>
      </c>
      <c r="F495" s="1" t="s">
        <v>8959</v>
      </c>
      <c r="G495" t="s">
        <v>8959</v>
      </c>
      <c r="H495" s="1" t="s">
        <v>9252</v>
      </c>
      <c r="I495" s="1" t="s">
        <v>18504</v>
      </c>
      <c r="J495" s="2" t="s">
        <v>20779</v>
      </c>
      <c r="K495" s="1" t="s">
        <v>9036</v>
      </c>
      <c r="L495" s="1" t="s">
        <v>8987</v>
      </c>
      <c r="M495" s="1">
        <v>1696</v>
      </c>
      <c r="N495" s="1" t="s">
        <v>8953</v>
      </c>
      <c r="O495" s="1" t="s">
        <v>8954</v>
      </c>
      <c r="P495" s="1" t="s">
        <v>8955</v>
      </c>
      <c r="Q495" s="1" t="s">
        <v>8956</v>
      </c>
      <c r="R495" s="1" t="s">
        <v>8975</v>
      </c>
      <c r="S495" s="1" t="s">
        <v>18880</v>
      </c>
      <c r="T495" s="1" t="s">
        <v>17</v>
      </c>
      <c r="U495" s="1" t="s">
        <v>1848</v>
      </c>
    </row>
    <row r="496" spans="1:21" x14ac:dyDescent="0.2">
      <c r="A496" s="88" t="s">
        <v>16060</v>
      </c>
      <c r="B496" s="88" t="e">
        <f>VLOOKUP(C496,#REF!,1,0)</f>
        <v>#REF!</v>
      </c>
      <c r="C496" s="1" t="s">
        <v>1860</v>
      </c>
      <c r="D496" s="1" t="s">
        <v>1861</v>
      </c>
      <c r="E496" s="1" t="s">
        <v>18502</v>
      </c>
      <c r="F496" s="1" t="s">
        <v>8957</v>
      </c>
      <c r="G496" t="s">
        <v>9009</v>
      </c>
      <c r="H496" s="1" t="s">
        <v>9075</v>
      </c>
      <c r="I496" s="1" t="s">
        <v>9101</v>
      </c>
      <c r="J496" s="2" t="s">
        <v>21437</v>
      </c>
      <c r="K496" s="1" t="s">
        <v>21437</v>
      </c>
      <c r="L496" s="1" t="s">
        <v>21600</v>
      </c>
      <c r="M496" s="1">
        <v>350</v>
      </c>
      <c r="N496" s="1" t="s">
        <v>8953</v>
      </c>
      <c r="O496" s="1" t="s">
        <v>8989</v>
      </c>
      <c r="P496" s="1" t="s">
        <v>8955</v>
      </c>
      <c r="Q496" s="1" t="s">
        <v>8956</v>
      </c>
      <c r="R496" s="1" t="s">
        <v>8958</v>
      </c>
      <c r="S496" s="1" t="s">
        <v>18883</v>
      </c>
      <c r="T496" s="1" t="s">
        <v>17</v>
      </c>
      <c r="U496" s="1" t="s">
        <v>24</v>
      </c>
    </row>
    <row r="497" spans="1:21" x14ac:dyDescent="0.2">
      <c r="A497" s="88" t="s">
        <v>16061</v>
      </c>
      <c r="B497" s="88" t="e">
        <f>VLOOKUP(C497,#REF!,1,0)</f>
        <v>#REF!</v>
      </c>
      <c r="C497" s="1" t="s">
        <v>1862</v>
      </c>
      <c r="D497" s="1" t="s">
        <v>1863</v>
      </c>
      <c r="E497" s="1" t="s">
        <v>18502</v>
      </c>
      <c r="F497" s="1" t="s">
        <v>8957</v>
      </c>
      <c r="G497" t="s">
        <v>9061</v>
      </c>
      <c r="H497" s="1" t="s">
        <v>8948</v>
      </c>
      <c r="I497" s="1" t="s">
        <v>8949</v>
      </c>
      <c r="J497" s="2" t="s">
        <v>10492</v>
      </c>
      <c r="K497" s="1" t="s">
        <v>10492</v>
      </c>
      <c r="L497" s="1" t="s">
        <v>21600</v>
      </c>
      <c r="M497" s="1">
        <v>387</v>
      </c>
      <c r="N497" s="1" t="s">
        <v>8953</v>
      </c>
      <c r="O497" s="1" t="s">
        <v>8989</v>
      </c>
      <c r="P497" s="1" t="s">
        <v>8955</v>
      </c>
      <c r="Q497" s="1" t="s">
        <v>8956</v>
      </c>
      <c r="R497" s="1" t="s">
        <v>8958</v>
      </c>
      <c r="S497" s="1" t="s">
        <v>18884</v>
      </c>
      <c r="T497" s="1" t="s">
        <v>17</v>
      </c>
      <c r="U497" s="1" t="s">
        <v>1202</v>
      </c>
    </row>
    <row r="498" spans="1:21" x14ac:dyDescent="0.2">
      <c r="A498" s="88" t="s">
        <v>16062</v>
      </c>
      <c r="B498" s="88" t="e">
        <f>VLOOKUP(C498,#REF!,1,0)</f>
        <v>#REF!</v>
      </c>
      <c r="C498" s="1" t="s">
        <v>1864</v>
      </c>
      <c r="D498" s="1" t="s">
        <v>1865</v>
      </c>
      <c r="E498" s="1" t="s">
        <v>9176</v>
      </c>
      <c r="F498" s="1" t="s">
        <v>8957</v>
      </c>
      <c r="G498" t="s">
        <v>8959</v>
      </c>
      <c r="H498" s="1" t="s">
        <v>8948</v>
      </c>
      <c r="I498" s="1" t="s">
        <v>8949</v>
      </c>
      <c r="J498" s="2" t="s">
        <v>10492</v>
      </c>
      <c r="K498" s="1" t="s">
        <v>10492</v>
      </c>
      <c r="L498" s="1" t="s">
        <v>9464</v>
      </c>
      <c r="M498" s="1">
        <v>365</v>
      </c>
      <c r="N498" s="1" t="s">
        <v>9059</v>
      </c>
      <c r="O498" s="1" t="s">
        <v>8954</v>
      </c>
      <c r="P498" s="1" t="s">
        <v>8955</v>
      </c>
      <c r="Q498" s="1" t="s">
        <v>8956</v>
      </c>
      <c r="R498" s="1" t="s">
        <v>9103</v>
      </c>
      <c r="S498" s="1" t="s">
        <v>18885</v>
      </c>
      <c r="T498" s="1" t="s">
        <v>7</v>
      </c>
      <c r="U498" s="1" t="s">
        <v>21</v>
      </c>
    </row>
    <row r="499" spans="1:21" x14ac:dyDescent="0.2">
      <c r="A499" s="88" t="s">
        <v>16063</v>
      </c>
      <c r="B499" s="88" t="e">
        <f>VLOOKUP(C499,#REF!,1,0)</f>
        <v>#REF!</v>
      </c>
      <c r="C499" s="1" t="s">
        <v>1866</v>
      </c>
      <c r="D499" s="1" t="s">
        <v>1867</v>
      </c>
      <c r="E499" s="1" t="s">
        <v>14748</v>
      </c>
      <c r="F499" s="1" t="s">
        <v>8959</v>
      </c>
      <c r="G499" t="s">
        <v>9061</v>
      </c>
      <c r="H499" s="1" t="s">
        <v>9035</v>
      </c>
      <c r="I499" s="1" t="s">
        <v>8998</v>
      </c>
      <c r="J499" s="2" t="s">
        <v>20779</v>
      </c>
      <c r="K499" s="1" t="s">
        <v>9036</v>
      </c>
      <c r="L499" s="1" t="s">
        <v>21600</v>
      </c>
      <c r="M499" s="1">
        <v>90</v>
      </c>
      <c r="N499" s="1" t="s">
        <v>9059</v>
      </c>
      <c r="O499" s="1" t="s">
        <v>8989</v>
      </c>
      <c r="P499" s="1" t="s">
        <v>8955</v>
      </c>
      <c r="Q499" s="1" t="s">
        <v>8956</v>
      </c>
      <c r="R499" s="1" t="s">
        <v>8975</v>
      </c>
      <c r="S499" s="1" t="s">
        <v>18886</v>
      </c>
      <c r="T499" s="1" t="s">
        <v>7</v>
      </c>
      <c r="U499" s="1" t="s">
        <v>1868</v>
      </c>
    </row>
    <row r="500" spans="1:21" x14ac:dyDescent="0.2">
      <c r="A500" s="88" t="s">
        <v>16064</v>
      </c>
      <c r="B500" s="88" t="e">
        <f>VLOOKUP(C500,#REF!,1,0)</f>
        <v>#REF!</v>
      </c>
      <c r="C500" s="1" t="s">
        <v>1869</v>
      </c>
      <c r="D500" s="1" t="s">
        <v>1870</v>
      </c>
      <c r="E500" s="1" t="s">
        <v>9380</v>
      </c>
      <c r="F500" s="1" t="s">
        <v>8959</v>
      </c>
      <c r="G500" t="s">
        <v>9183</v>
      </c>
      <c r="H500" s="1" t="s">
        <v>9092</v>
      </c>
      <c r="I500" s="1" t="s">
        <v>8949</v>
      </c>
      <c r="J500" s="2" t="s">
        <v>9036</v>
      </c>
      <c r="K500" s="1" t="s">
        <v>9036</v>
      </c>
      <c r="L500" s="1" t="s">
        <v>9133</v>
      </c>
      <c r="M500" s="1">
        <v>24</v>
      </c>
      <c r="N500" s="1" t="s">
        <v>8953</v>
      </c>
      <c r="O500" s="1" t="s">
        <v>8989</v>
      </c>
      <c r="P500" s="1" t="s">
        <v>8955</v>
      </c>
      <c r="Q500" s="1" t="s">
        <v>8956</v>
      </c>
      <c r="R500" s="1" t="s">
        <v>8958</v>
      </c>
      <c r="S500" s="1" t="s">
        <v>1871</v>
      </c>
      <c r="T500" s="1" t="s">
        <v>17</v>
      </c>
      <c r="U500" s="1" t="s">
        <v>392</v>
      </c>
    </row>
    <row r="501" spans="1:21" x14ac:dyDescent="0.2">
      <c r="A501" s="88" t="s">
        <v>16065</v>
      </c>
      <c r="B501" s="88" t="e">
        <f>VLOOKUP(C501,#REF!,1,0)</f>
        <v>#REF!</v>
      </c>
      <c r="C501" s="1" t="s">
        <v>1872</v>
      </c>
      <c r="D501" s="1" t="s">
        <v>1873</v>
      </c>
      <c r="E501" s="1" t="s">
        <v>9010</v>
      </c>
      <c r="F501" s="1" t="s">
        <v>8957</v>
      </c>
      <c r="G501" t="s">
        <v>9061</v>
      </c>
      <c r="H501" s="1" t="s">
        <v>8948</v>
      </c>
      <c r="I501" s="1" t="s">
        <v>8949</v>
      </c>
      <c r="J501" s="2" t="s">
        <v>9245</v>
      </c>
      <c r="K501" s="1" t="s">
        <v>9245</v>
      </c>
      <c r="L501" s="1" t="s">
        <v>8987</v>
      </c>
      <c r="M501" s="1">
        <v>1050</v>
      </c>
      <c r="N501" s="1" t="s">
        <v>8953</v>
      </c>
      <c r="O501" s="1" t="s">
        <v>8954</v>
      </c>
      <c r="P501" s="1" t="s">
        <v>8955</v>
      </c>
      <c r="Q501" s="1" t="s">
        <v>8956</v>
      </c>
      <c r="R501" s="1" t="s">
        <v>8958</v>
      </c>
      <c r="S501" s="1" t="s">
        <v>1874</v>
      </c>
      <c r="T501" s="1" t="s">
        <v>11</v>
      </c>
      <c r="U501" s="1" t="s">
        <v>921</v>
      </c>
    </row>
    <row r="502" spans="1:21" x14ac:dyDescent="0.2">
      <c r="A502" s="88" t="s">
        <v>16066</v>
      </c>
      <c r="B502" s="88" t="e">
        <f>VLOOKUP(C502,#REF!,1,0)</f>
        <v>#REF!</v>
      </c>
      <c r="C502" s="1" t="s">
        <v>1875</v>
      </c>
      <c r="D502" s="1" t="s">
        <v>1876</v>
      </c>
      <c r="E502" s="1" t="s">
        <v>9310</v>
      </c>
      <c r="F502" s="1" t="s">
        <v>8957</v>
      </c>
      <c r="G502" t="s">
        <v>9009</v>
      </c>
      <c r="H502" s="1" t="s">
        <v>9035</v>
      </c>
      <c r="I502" s="1" t="s">
        <v>9308</v>
      </c>
      <c r="J502" s="2" t="s">
        <v>21552</v>
      </c>
      <c r="K502" s="1" t="s">
        <v>21552</v>
      </c>
      <c r="L502" s="1" t="s">
        <v>21600</v>
      </c>
      <c r="M502" s="1">
        <v>7240</v>
      </c>
      <c r="N502" s="1" t="s">
        <v>20806</v>
      </c>
      <c r="O502" s="1" t="s">
        <v>8954</v>
      </c>
      <c r="P502" s="1" t="s">
        <v>8955</v>
      </c>
      <c r="Q502" s="1" t="s">
        <v>8956</v>
      </c>
      <c r="R502" s="1" t="s">
        <v>8975</v>
      </c>
      <c r="S502" s="1" t="s">
        <v>18887</v>
      </c>
      <c r="T502" s="1" t="s">
        <v>17</v>
      </c>
      <c r="U502" s="1" t="s">
        <v>1877</v>
      </c>
    </row>
    <row r="503" spans="1:21" x14ac:dyDescent="0.2">
      <c r="A503" s="88" t="s">
        <v>16067</v>
      </c>
      <c r="B503" s="88" t="e">
        <f>VLOOKUP(C503,#REF!,1,0)</f>
        <v>#REF!</v>
      </c>
      <c r="C503" s="1" t="s">
        <v>1878</v>
      </c>
      <c r="D503" s="1" t="s">
        <v>1879</v>
      </c>
      <c r="E503" s="1" t="s">
        <v>9465</v>
      </c>
      <c r="F503" s="1" t="s">
        <v>8974</v>
      </c>
      <c r="G503" t="s">
        <v>9009</v>
      </c>
      <c r="H503" s="1" t="s">
        <v>9154</v>
      </c>
      <c r="I503" s="1" t="s">
        <v>8998</v>
      </c>
      <c r="J503" s="2" t="s">
        <v>9041</v>
      </c>
      <c r="K503" s="1" t="s">
        <v>9041</v>
      </c>
      <c r="L503" s="1" t="s">
        <v>8951</v>
      </c>
      <c r="M503" s="1">
        <v>28</v>
      </c>
      <c r="N503" s="1" t="s">
        <v>9059</v>
      </c>
      <c r="O503" s="1" t="s">
        <v>8989</v>
      </c>
      <c r="P503" s="1" t="s">
        <v>8955</v>
      </c>
      <c r="Q503" s="1" t="s">
        <v>8956</v>
      </c>
      <c r="R503" s="1" t="s">
        <v>8958</v>
      </c>
      <c r="S503" s="1" t="s">
        <v>1880</v>
      </c>
      <c r="T503" s="1" t="s">
        <v>4</v>
      </c>
      <c r="U503" s="1" t="s">
        <v>1881</v>
      </c>
    </row>
    <row r="504" spans="1:21" x14ac:dyDescent="0.2">
      <c r="A504" s="88" t="s">
        <v>16068</v>
      </c>
      <c r="B504" s="88" t="e">
        <f>VLOOKUP(C504,#REF!,1,0)</f>
        <v>#REF!</v>
      </c>
      <c r="C504" s="1" t="s">
        <v>1882</v>
      </c>
      <c r="D504" s="1" t="s">
        <v>1883</v>
      </c>
      <c r="E504" s="1" t="s">
        <v>10873</v>
      </c>
      <c r="F504" s="1" t="s">
        <v>8957</v>
      </c>
      <c r="G504" t="s">
        <v>9183</v>
      </c>
      <c r="H504" s="1" t="s">
        <v>8948</v>
      </c>
      <c r="I504" s="1" t="s">
        <v>8949</v>
      </c>
      <c r="J504" s="2" t="s">
        <v>21311</v>
      </c>
      <c r="K504" s="1" t="s">
        <v>21674</v>
      </c>
      <c r="L504" s="1" t="s">
        <v>21600</v>
      </c>
      <c r="M504" s="1">
        <v>37</v>
      </c>
      <c r="N504" s="1" t="s">
        <v>9059</v>
      </c>
      <c r="O504" s="1" t="s">
        <v>8989</v>
      </c>
      <c r="P504" s="1" t="s">
        <v>8955</v>
      </c>
      <c r="Q504" s="1" t="s">
        <v>8956</v>
      </c>
      <c r="R504" s="1" t="s">
        <v>8975</v>
      </c>
      <c r="S504" s="1" t="s">
        <v>18888</v>
      </c>
      <c r="T504" s="1" t="s">
        <v>7</v>
      </c>
      <c r="U504" s="1" t="s">
        <v>392</v>
      </c>
    </row>
    <row r="505" spans="1:21" x14ac:dyDescent="0.2">
      <c r="A505" s="88" t="s">
        <v>16069</v>
      </c>
      <c r="B505" s="88" t="e">
        <f>VLOOKUP(C505,#REF!,1,0)</f>
        <v>#REF!</v>
      </c>
      <c r="C505" s="1" t="s">
        <v>1887</v>
      </c>
      <c r="D505" s="1" t="s">
        <v>1888</v>
      </c>
      <c r="E505" s="1" t="s">
        <v>20807</v>
      </c>
      <c r="F505" s="1" t="s">
        <v>8959</v>
      </c>
      <c r="G505" t="s">
        <v>8959</v>
      </c>
      <c r="H505" s="1" t="s">
        <v>9035</v>
      </c>
      <c r="I505" s="1" t="s">
        <v>8998</v>
      </c>
      <c r="J505" s="2" t="s">
        <v>20779</v>
      </c>
      <c r="K505" s="1" t="s">
        <v>9036</v>
      </c>
      <c r="L505" s="1" t="s">
        <v>8951</v>
      </c>
      <c r="M505" s="1">
        <v>1500</v>
      </c>
      <c r="N505" s="1" t="s">
        <v>8953</v>
      </c>
      <c r="O505" s="1" t="s">
        <v>8954</v>
      </c>
      <c r="P505" s="1" t="s">
        <v>8955</v>
      </c>
      <c r="Q505" s="1" t="s">
        <v>8956</v>
      </c>
      <c r="R505" s="1" t="s">
        <v>8958</v>
      </c>
      <c r="S505" s="1" t="s">
        <v>18890</v>
      </c>
      <c r="T505" s="1" t="s">
        <v>7</v>
      </c>
      <c r="U505" s="1" t="s">
        <v>1889</v>
      </c>
    </row>
    <row r="506" spans="1:21" x14ac:dyDescent="0.2">
      <c r="A506" s="88" t="s">
        <v>16070</v>
      </c>
      <c r="B506" s="88" t="e">
        <f>VLOOKUP(C506,#REF!,1,0)</f>
        <v>#REF!</v>
      </c>
      <c r="C506" s="1" t="s">
        <v>1893</v>
      </c>
      <c r="D506" s="1" t="s">
        <v>1894</v>
      </c>
      <c r="E506" s="1" t="s">
        <v>9968</v>
      </c>
      <c r="F506" s="1" t="s">
        <v>8959</v>
      </c>
      <c r="G506" t="s">
        <v>8959</v>
      </c>
      <c r="H506" s="1" t="s">
        <v>9049</v>
      </c>
      <c r="I506" s="1" t="s">
        <v>9050</v>
      </c>
      <c r="J506" s="2" t="s">
        <v>9036</v>
      </c>
      <c r="K506" s="1" t="s">
        <v>9036</v>
      </c>
      <c r="L506" s="1" t="s">
        <v>8951</v>
      </c>
      <c r="M506" s="1">
        <v>248</v>
      </c>
      <c r="N506" s="1" t="s">
        <v>8953</v>
      </c>
      <c r="O506" s="1" t="s">
        <v>8954</v>
      </c>
      <c r="P506" s="1" t="s">
        <v>8955</v>
      </c>
      <c r="Q506" s="1" t="s">
        <v>8956</v>
      </c>
      <c r="R506" s="1" t="s">
        <v>8958</v>
      </c>
      <c r="S506" s="1" t="s">
        <v>1895</v>
      </c>
      <c r="T506" s="1" t="s">
        <v>17</v>
      </c>
      <c r="U506" s="1" t="s">
        <v>1598</v>
      </c>
    </row>
    <row r="507" spans="1:21" x14ac:dyDescent="0.2">
      <c r="A507" s="88" t="s">
        <v>16071</v>
      </c>
      <c r="B507" s="88" t="e">
        <f>VLOOKUP(C507,#REF!,1,0)</f>
        <v>#REF!</v>
      </c>
      <c r="C507" s="1" t="s">
        <v>1896</v>
      </c>
      <c r="D507" s="1" t="s">
        <v>1897</v>
      </c>
      <c r="E507" s="1" t="s">
        <v>9636</v>
      </c>
      <c r="F507" s="1" t="s">
        <v>9060</v>
      </c>
      <c r="G507" t="s">
        <v>9183</v>
      </c>
      <c r="H507" s="1" t="s">
        <v>9092</v>
      </c>
      <c r="I507" s="1" t="s">
        <v>8998</v>
      </c>
      <c r="J507" s="2" t="s">
        <v>10930</v>
      </c>
      <c r="K507" s="1" t="s">
        <v>10930</v>
      </c>
      <c r="L507" s="1" t="s">
        <v>21600</v>
      </c>
      <c r="M507" s="1">
        <v>45</v>
      </c>
      <c r="N507" s="1" t="s">
        <v>8953</v>
      </c>
      <c r="O507" s="1" t="s">
        <v>8989</v>
      </c>
      <c r="P507" s="1" t="s">
        <v>8955</v>
      </c>
      <c r="Q507" s="1" t="s">
        <v>8956</v>
      </c>
      <c r="R507" s="1" t="s">
        <v>8958</v>
      </c>
      <c r="S507" s="1" t="s">
        <v>1898</v>
      </c>
      <c r="T507" s="1" t="s">
        <v>11</v>
      </c>
      <c r="U507" s="1" t="s">
        <v>46</v>
      </c>
    </row>
    <row r="508" spans="1:21" x14ac:dyDescent="0.2">
      <c r="A508" s="88" t="s">
        <v>16072</v>
      </c>
      <c r="B508" s="88" t="e">
        <f>VLOOKUP(C508,#REF!,1,0)</f>
        <v>#REF!</v>
      </c>
      <c r="C508" s="1" t="s">
        <v>1899</v>
      </c>
      <c r="D508" s="1" t="s">
        <v>1900</v>
      </c>
      <c r="E508" s="1" t="s">
        <v>18502</v>
      </c>
      <c r="F508" s="1" t="s">
        <v>8957</v>
      </c>
      <c r="G508" t="s">
        <v>9061</v>
      </c>
      <c r="H508" s="1" t="s">
        <v>9154</v>
      </c>
      <c r="I508" s="1" t="s">
        <v>8998</v>
      </c>
      <c r="J508" s="2" t="e">
        <v>#N/A</v>
      </c>
      <c r="K508" s="1" t="e">
        <v>#N/A</v>
      </c>
      <c r="L508" s="1" t="s">
        <v>9157</v>
      </c>
      <c r="M508" s="1">
        <v>2068</v>
      </c>
      <c r="N508" s="1" t="s">
        <v>9059</v>
      </c>
      <c r="O508" s="1" t="s">
        <v>8989</v>
      </c>
      <c r="P508" s="1" t="s">
        <v>8955</v>
      </c>
      <c r="Q508" s="1" t="s">
        <v>8956</v>
      </c>
      <c r="R508" s="1" t="s">
        <v>8975</v>
      </c>
      <c r="S508" s="1" t="s">
        <v>20575</v>
      </c>
      <c r="T508" s="1" t="s">
        <v>7</v>
      </c>
      <c r="U508" s="1" t="s">
        <v>876</v>
      </c>
    </row>
    <row r="509" spans="1:21" x14ac:dyDescent="0.2">
      <c r="A509" s="88" t="s">
        <v>16073</v>
      </c>
      <c r="B509" s="88" t="e">
        <f>VLOOKUP(C509,#REF!,1,0)</f>
        <v>#REF!</v>
      </c>
      <c r="C509" s="1" t="s">
        <v>1901</v>
      </c>
      <c r="D509" s="1" t="s">
        <v>1902</v>
      </c>
      <c r="E509" s="1" t="s">
        <v>9317</v>
      </c>
      <c r="F509" s="1" t="s">
        <v>8957</v>
      </c>
      <c r="G509" t="s">
        <v>9009</v>
      </c>
      <c r="H509" s="1" t="s">
        <v>9100</v>
      </c>
      <c r="I509" s="1" t="s">
        <v>8949</v>
      </c>
      <c r="J509" s="2" t="s">
        <v>20779</v>
      </c>
      <c r="K509" s="1" t="s">
        <v>9036</v>
      </c>
      <c r="L509" s="1" t="s">
        <v>9133</v>
      </c>
      <c r="M509" s="1">
        <v>1041</v>
      </c>
      <c r="N509" s="1" t="s">
        <v>8953</v>
      </c>
      <c r="O509" s="1" t="s">
        <v>8989</v>
      </c>
      <c r="P509" s="1" t="s">
        <v>8955</v>
      </c>
      <c r="Q509" s="1" t="s">
        <v>8956</v>
      </c>
      <c r="R509" s="1" t="s">
        <v>8975</v>
      </c>
      <c r="S509" s="1" t="s">
        <v>20576</v>
      </c>
      <c r="T509" s="1" t="s">
        <v>17</v>
      </c>
      <c r="U509" s="1" t="s">
        <v>57</v>
      </c>
    </row>
    <row r="510" spans="1:21" x14ac:dyDescent="0.2">
      <c r="A510" s="88" t="s">
        <v>16074</v>
      </c>
      <c r="B510" s="88" t="e">
        <f>VLOOKUP(C510,#REF!,1,0)</f>
        <v>#REF!</v>
      </c>
      <c r="C510" s="1" t="s">
        <v>1903</v>
      </c>
      <c r="D510" s="1" t="s">
        <v>1904</v>
      </c>
      <c r="E510" s="1" t="s">
        <v>9642</v>
      </c>
      <c r="F510" s="1" t="s">
        <v>8957</v>
      </c>
      <c r="G510" t="s">
        <v>8959</v>
      </c>
      <c r="H510" s="1" t="s">
        <v>9252</v>
      </c>
      <c r="I510" s="1" t="s">
        <v>8949</v>
      </c>
      <c r="J510" s="2" t="s">
        <v>20779</v>
      </c>
      <c r="K510" s="1" t="s">
        <v>9036</v>
      </c>
      <c r="L510" s="1" t="s">
        <v>8987</v>
      </c>
      <c r="M510" s="1">
        <v>723</v>
      </c>
      <c r="N510" s="1" t="s">
        <v>8953</v>
      </c>
      <c r="O510" s="1" t="s">
        <v>8954</v>
      </c>
      <c r="P510" s="1" t="s">
        <v>8955</v>
      </c>
      <c r="Q510" s="1" t="s">
        <v>8956</v>
      </c>
      <c r="R510" s="1" t="s">
        <v>9103</v>
      </c>
      <c r="S510" s="1" t="s">
        <v>18892</v>
      </c>
      <c r="T510" s="1" t="s">
        <v>7</v>
      </c>
      <c r="U510" s="1" t="s">
        <v>64</v>
      </c>
    </row>
    <row r="511" spans="1:21" x14ac:dyDescent="0.2">
      <c r="A511" s="88" t="s">
        <v>16075</v>
      </c>
      <c r="B511" s="88" t="e">
        <f>VLOOKUP(C511,#REF!,1,0)</f>
        <v>#REF!</v>
      </c>
      <c r="C511" s="1" t="s">
        <v>1905</v>
      </c>
      <c r="D511" s="1" t="s">
        <v>1906</v>
      </c>
      <c r="E511" s="1" t="s">
        <v>20808</v>
      </c>
      <c r="F511" s="1" t="s">
        <v>8959</v>
      </c>
      <c r="G511" t="s">
        <v>8959</v>
      </c>
      <c r="H511" s="1" t="s">
        <v>9035</v>
      </c>
      <c r="I511" s="1" t="s">
        <v>9155</v>
      </c>
      <c r="J511" s="2" t="s">
        <v>21553</v>
      </c>
      <c r="K511" s="1" t="s">
        <v>21553</v>
      </c>
      <c r="L511" s="1" t="s">
        <v>8987</v>
      </c>
      <c r="M511" s="1">
        <v>6087</v>
      </c>
      <c r="N511" s="1" t="s">
        <v>8953</v>
      </c>
      <c r="O511" s="1" t="s">
        <v>8954</v>
      </c>
      <c r="P511" s="1" t="s">
        <v>8955</v>
      </c>
      <c r="Q511" s="1" t="s">
        <v>8956</v>
      </c>
      <c r="R511" s="1" t="s">
        <v>9103</v>
      </c>
      <c r="S511" s="1" t="s">
        <v>18893</v>
      </c>
      <c r="T511" s="1" t="s">
        <v>7</v>
      </c>
      <c r="U511" s="1" t="s">
        <v>1907</v>
      </c>
    </row>
    <row r="512" spans="1:21" x14ac:dyDescent="0.2">
      <c r="A512" s="88" t="s">
        <v>16076</v>
      </c>
      <c r="B512" s="88" t="e">
        <f>VLOOKUP(C512,#REF!,1,0)</f>
        <v>#REF!</v>
      </c>
      <c r="C512" s="1" t="s">
        <v>1908</v>
      </c>
      <c r="D512" s="1" t="s">
        <v>1909</v>
      </c>
      <c r="E512" s="1" t="s">
        <v>18502</v>
      </c>
      <c r="F512" s="1" t="s">
        <v>8959</v>
      </c>
      <c r="G512" t="s">
        <v>9061</v>
      </c>
      <c r="H512" s="1" t="s">
        <v>8948</v>
      </c>
      <c r="I512" s="1" t="s">
        <v>8949</v>
      </c>
      <c r="J512" s="2" t="s">
        <v>20779</v>
      </c>
      <c r="K512" s="1" t="s">
        <v>9036</v>
      </c>
      <c r="L512" s="1" t="s">
        <v>9076</v>
      </c>
      <c r="M512" s="1">
        <v>3</v>
      </c>
      <c r="N512" s="1" t="s">
        <v>9059</v>
      </c>
      <c r="O512" s="1" t="s">
        <v>8989</v>
      </c>
      <c r="P512" s="1" t="s">
        <v>8955</v>
      </c>
      <c r="Q512" s="1" t="s">
        <v>8956</v>
      </c>
      <c r="R512" s="1" t="s">
        <v>9103</v>
      </c>
      <c r="S512" s="1" t="s">
        <v>18894</v>
      </c>
      <c r="T512" s="1" t="s">
        <v>17</v>
      </c>
      <c r="U512" s="1" t="s">
        <v>46</v>
      </c>
    </row>
    <row r="513" spans="1:21" x14ac:dyDescent="0.2">
      <c r="A513" s="88" t="s">
        <v>16077</v>
      </c>
      <c r="B513" s="88" t="e">
        <f>VLOOKUP(C513,#REF!,1,0)</f>
        <v>#REF!</v>
      </c>
      <c r="C513" s="1" t="s">
        <v>1910</v>
      </c>
      <c r="D513" s="1" t="s">
        <v>1911</v>
      </c>
      <c r="E513" s="1" t="s">
        <v>12363</v>
      </c>
      <c r="F513" s="1" t="s">
        <v>8957</v>
      </c>
      <c r="G513" t="s">
        <v>9009</v>
      </c>
      <c r="H513" s="1" t="s">
        <v>9154</v>
      </c>
      <c r="I513" s="1" t="s">
        <v>8949</v>
      </c>
      <c r="J513" s="2" t="s">
        <v>9036</v>
      </c>
      <c r="K513" s="1" t="s">
        <v>9036</v>
      </c>
      <c r="L513" s="1" t="s">
        <v>21600</v>
      </c>
      <c r="M513" s="1">
        <v>264</v>
      </c>
      <c r="N513" s="1" t="s">
        <v>8953</v>
      </c>
      <c r="O513" s="1" t="s">
        <v>8989</v>
      </c>
      <c r="P513" s="1" t="s">
        <v>8955</v>
      </c>
      <c r="Q513" s="1" t="s">
        <v>8956</v>
      </c>
      <c r="R513" s="1" t="s">
        <v>9103</v>
      </c>
      <c r="S513" s="1" t="s">
        <v>1912</v>
      </c>
      <c r="T513" s="1" t="s">
        <v>924</v>
      </c>
      <c r="U513" s="1" t="s">
        <v>46</v>
      </c>
    </row>
    <row r="514" spans="1:21" x14ac:dyDescent="0.2">
      <c r="A514" s="88" t="s">
        <v>16078</v>
      </c>
      <c r="B514" s="88" t="e">
        <f>VLOOKUP(C514,#REF!,1,0)</f>
        <v>#REF!</v>
      </c>
      <c r="C514" s="1" t="s">
        <v>1913</v>
      </c>
      <c r="D514" s="1" t="s">
        <v>1914</v>
      </c>
      <c r="E514" s="1" t="s">
        <v>9246</v>
      </c>
      <c r="F514" s="1" t="s">
        <v>8957</v>
      </c>
      <c r="G514" t="s">
        <v>9061</v>
      </c>
      <c r="H514" s="1" t="s">
        <v>20712</v>
      </c>
      <c r="I514" s="1" t="s">
        <v>8998</v>
      </c>
      <c r="J514" s="2" t="s">
        <v>20779</v>
      </c>
      <c r="K514" s="1" t="s">
        <v>9036</v>
      </c>
      <c r="L514" s="1" t="s">
        <v>8951</v>
      </c>
      <c r="M514" s="1">
        <v>16000</v>
      </c>
      <c r="N514" s="1" t="s">
        <v>9059</v>
      </c>
      <c r="O514" s="1" t="s">
        <v>8954</v>
      </c>
      <c r="P514" s="1" t="s">
        <v>8955</v>
      </c>
      <c r="Q514" s="1" t="s">
        <v>8956</v>
      </c>
      <c r="R514" s="1" t="s">
        <v>8975</v>
      </c>
      <c r="S514" s="1" t="s">
        <v>18895</v>
      </c>
      <c r="T514" s="1" t="s">
        <v>17</v>
      </c>
      <c r="U514" s="1" t="s">
        <v>1915</v>
      </c>
    </row>
    <row r="515" spans="1:21" x14ac:dyDescent="0.2">
      <c r="A515" s="88" t="s">
        <v>16079</v>
      </c>
      <c r="B515" s="88" t="e">
        <f>VLOOKUP(C515,#REF!,1,0)</f>
        <v>#REF!</v>
      </c>
      <c r="C515" s="1" t="s">
        <v>1922</v>
      </c>
      <c r="D515" s="1" t="s">
        <v>1923</v>
      </c>
      <c r="E515" s="1" t="s">
        <v>9010</v>
      </c>
      <c r="F515" s="1" t="s">
        <v>8959</v>
      </c>
      <c r="G515" t="s">
        <v>9183</v>
      </c>
      <c r="H515" s="1" t="s">
        <v>9092</v>
      </c>
      <c r="I515" s="1" t="s">
        <v>9308</v>
      </c>
      <c r="J515" s="2" t="s">
        <v>9036</v>
      </c>
      <c r="K515" s="1" t="s">
        <v>9036</v>
      </c>
      <c r="L515" s="1" t="s">
        <v>8951</v>
      </c>
      <c r="M515" s="1">
        <v>901</v>
      </c>
      <c r="N515" s="1" t="s">
        <v>8953</v>
      </c>
      <c r="O515" s="1" t="s">
        <v>8954</v>
      </c>
      <c r="P515" s="1" t="s">
        <v>8955</v>
      </c>
      <c r="Q515" s="1" t="s">
        <v>8956</v>
      </c>
      <c r="R515" s="1" t="s">
        <v>8958</v>
      </c>
      <c r="S515" s="1" t="s">
        <v>1924</v>
      </c>
      <c r="T515" s="1" t="s">
        <v>11</v>
      </c>
      <c r="U515" s="1" t="s">
        <v>496</v>
      </c>
    </row>
    <row r="516" spans="1:21" x14ac:dyDescent="0.2">
      <c r="A516" s="88" t="s">
        <v>16080</v>
      </c>
      <c r="B516" s="88" t="e">
        <f>VLOOKUP(C516,#REF!,1,0)</f>
        <v>#REF!</v>
      </c>
      <c r="C516" s="1" t="s">
        <v>15476</v>
      </c>
      <c r="D516" s="1" t="s">
        <v>1925</v>
      </c>
      <c r="E516" s="1" t="s">
        <v>18502</v>
      </c>
      <c r="F516" s="1" t="s">
        <v>8957</v>
      </c>
      <c r="G516" t="s">
        <v>9009</v>
      </c>
      <c r="H516" s="1" t="s">
        <v>9035</v>
      </c>
      <c r="I516" s="1" t="s">
        <v>9155</v>
      </c>
      <c r="J516" s="2" t="s">
        <v>21520</v>
      </c>
      <c r="K516" s="1" t="s">
        <v>20755</v>
      </c>
      <c r="L516" s="1" t="s">
        <v>8987</v>
      </c>
      <c r="M516" s="1">
        <v>1538</v>
      </c>
      <c r="N516" s="1" t="s">
        <v>8953</v>
      </c>
      <c r="O516" s="1" t="s">
        <v>8954</v>
      </c>
      <c r="P516" s="1" t="s">
        <v>8955</v>
      </c>
      <c r="Q516" s="1" t="s">
        <v>8956</v>
      </c>
      <c r="R516" s="1" t="s">
        <v>8958</v>
      </c>
      <c r="S516" s="1" t="s">
        <v>18897</v>
      </c>
      <c r="T516" s="1" t="s">
        <v>7</v>
      </c>
      <c r="U516" s="1" t="s">
        <v>110</v>
      </c>
    </row>
    <row r="517" spans="1:21" x14ac:dyDescent="0.2">
      <c r="A517" s="88" t="s">
        <v>16081</v>
      </c>
      <c r="B517" s="88" t="e">
        <f>VLOOKUP(C517,#REF!,1,0)</f>
        <v>#REF!</v>
      </c>
      <c r="C517" s="1" t="s">
        <v>1926</v>
      </c>
      <c r="D517" s="1" t="s">
        <v>1927</v>
      </c>
      <c r="E517" s="1" t="s">
        <v>9010</v>
      </c>
      <c r="F517" s="1" t="s">
        <v>8957</v>
      </c>
      <c r="G517" t="s">
        <v>9061</v>
      </c>
      <c r="H517" s="1" t="s">
        <v>8948</v>
      </c>
      <c r="I517" s="1" t="s">
        <v>8949</v>
      </c>
      <c r="J517" s="2" t="s">
        <v>9036</v>
      </c>
      <c r="K517" s="1" t="s">
        <v>9036</v>
      </c>
      <c r="L517" s="1" t="s">
        <v>8987</v>
      </c>
      <c r="M517" s="1">
        <v>195023</v>
      </c>
      <c r="N517" s="1" t="s">
        <v>8953</v>
      </c>
      <c r="O517" s="1" t="s">
        <v>8954</v>
      </c>
      <c r="P517" s="1" t="s">
        <v>8955</v>
      </c>
      <c r="Q517" s="1" t="s">
        <v>8956</v>
      </c>
      <c r="R517" s="1" t="s">
        <v>9103</v>
      </c>
      <c r="S517" s="1" t="s">
        <v>1928</v>
      </c>
      <c r="T517" s="1" t="s">
        <v>17</v>
      </c>
      <c r="U517" s="1" t="s">
        <v>1929</v>
      </c>
    </row>
    <row r="518" spans="1:21" x14ac:dyDescent="0.2">
      <c r="A518" s="88" t="s">
        <v>16082</v>
      </c>
      <c r="B518" s="88" t="e">
        <f>VLOOKUP(C518,#REF!,1,0)</f>
        <v>#REF!</v>
      </c>
      <c r="C518" s="1" t="s">
        <v>1930</v>
      </c>
      <c r="D518" s="1" t="s">
        <v>1931</v>
      </c>
      <c r="E518" s="1" t="s">
        <v>9213</v>
      </c>
      <c r="F518" s="1" t="s">
        <v>9060</v>
      </c>
      <c r="G518" t="s">
        <v>8959</v>
      </c>
      <c r="H518" s="1" t="s">
        <v>9100</v>
      </c>
      <c r="I518" s="1" t="s">
        <v>8949</v>
      </c>
      <c r="J518" s="2" t="s">
        <v>9036</v>
      </c>
      <c r="K518" s="1" t="s">
        <v>9036</v>
      </c>
      <c r="L518" s="1" t="s">
        <v>9076</v>
      </c>
      <c r="M518" s="1">
        <v>3</v>
      </c>
      <c r="N518" s="1" t="s">
        <v>8953</v>
      </c>
      <c r="O518" s="1" t="s">
        <v>8954</v>
      </c>
      <c r="P518" s="1" t="s">
        <v>8955</v>
      </c>
      <c r="Q518" s="1" t="s">
        <v>8956</v>
      </c>
      <c r="R518" s="1" t="s">
        <v>8958</v>
      </c>
      <c r="S518" s="1" t="s">
        <v>1932</v>
      </c>
      <c r="T518" s="1" t="s">
        <v>11</v>
      </c>
      <c r="U518" s="1" t="s">
        <v>161</v>
      </c>
    </row>
    <row r="519" spans="1:21" x14ac:dyDescent="0.2">
      <c r="A519" s="88" t="s">
        <v>16083</v>
      </c>
      <c r="B519" s="88" t="e">
        <f>VLOOKUP(C519,#REF!,1,0)</f>
        <v>#REF!</v>
      </c>
      <c r="C519" s="1" t="s">
        <v>1933</v>
      </c>
      <c r="D519" s="1" t="s">
        <v>1934</v>
      </c>
      <c r="E519" s="1" t="s">
        <v>9246</v>
      </c>
      <c r="F519" s="1" t="s">
        <v>8959</v>
      </c>
      <c r="G519" t="s">
        <v>9061</v>
      </c>
      <c r="H519" s="1" t="s">
        <v>9075</v>
      </c>
      <c r="I519" s="1" t="s">
        <v>8949</v>
      </c>
      <c r="J519" s="2" t="s">
        <v>10492</v>
      </c>
      <c r="K519" s="1" t="s">
        <v>21645</v>
      </c>
      <c r="L519" s="1" t="s">
        <v>21600</v>
      </c>
      <c r="M519" s="1">
        <v>5</v>
      </c>
      <c r="N519" s="1" t="s">
        <v>9059</v>
      </c>
      <c r="O519" s="1" t="s">
        <v>8989</v>
      </c>
      <c r="P519" s="1" t="s">
        <v>8955</v>
      </c>
      <c r="Q519" s="1" t="s">
        <v>8956</v>
      </c>
      <c r="R519" s="1" t="s">
        <v>8975</v>
      </c>
      <c r="S519" s="1" t="s">
        <v>18898</v>
      </c>
      <c r="T519" s="1" t="s">
        <v>7</v>
      </c>
      <c r="U519" s="1" t="s">
        <v>93</v>
      </c>
    </row>
    <row r="520" spans="1:21" x14ac:dyDescent="0.2">
      <c r="A520" s="88" t="s">
        <v>16087</v>
      </c>
      <c r="B520" s="88" t="e">
        <f>VLOOKUP(C520,#REF!,1,0)</f>
        <v>#REF!</v>
      </c>
      <c r="C520" s="1" t="s">
        <v>1948</v>
      </c>
      <c r="D520" s="1" t="s">
        <v>1949</v>
      </c>
      <c r="E520" s="1" t="s">
        <v>10873</v>
      </c>
      <c r="F520" s="1" t="s">
        <v>8959</v>
      </c>
      <c r="G520" t="s">
        <v>9183</v>
      </c>
      <c r="H520" s="1" t="s">
        <v>9092</v>
      </c>
      <c r="I520" s="1" t="s">
        <v>9308</v>
      </c>
      <c r="J520" s="2" t="s">
        <v>9036</v>
      </c>
      <c r="K520" s="1" t="s">
        <v>9036</v>
      </c>
      <c r="L520" s="1" t="s">
        <v>21600</v>
      </c>
      <c r="M520" s="1">
        <v>50000</v>
      </c>
      <c r="N520" s="1" t="s">
        <v>8953</v>
      </c>
      <c r="O520" s="1" t="s">
        <v>8989</v>
      </c>
      <c r="P520" s="1" t="s">
        <v>8955</v>
      </c>
      <c r="Q520" s="1" t="s">
        <v>8956</v>
      </c>
      <c r="R520" s="1" t="s">
        <v>8975</v>
      </c>
      <c r="S520" s="1" t="s">
        <v>1950</v>
      </c>
      <c r="T520" s="1" t="s">
        <v>11</v>
      </c>
      <c r="U520" s="1" t="s">
        <v>64</v>
      </c>
    </row>
    <row r="521" spans="1:21" x14ac:dyDescent="0.2">
      <c r="A521" s="88" t="s">
        <v>16088</v>
      </c>
      <c r="B521" s="88" t="e">
        <f>VLOOKUP(C521,#REF!,1,0)</f>
        <v>#REF!</v>
      </c>
      <c r="C521" s="1" t="s">
        <v>1951</v>
      </c>
      <c r="D521" s="1" t="s">
        <v>1952</v>
      </c>
      <c r="E521" s="1" t="s">
        <v>9317</v>
      </c>
      <c r="F521" s="1" t="s">
        <v>8957</v>
      </c>
      <c r="G521" t="s">
        <v>9009</v>
      </c>
      <c r="H521" s="1" t="s">
        <v>9605</v>
      </c>
      <c r="I521" s="1" t="s">
        <v>8949</v>
      </c>
      <c r="J521" s="2" t="s">
        <v>20779</v>
      </c>
      <c r="K521" s="1" t="s">
        <v>9036</v>
      </c>
      <c r="L521" s="1" t="s">
        <v>9292</v>
      </c>
      <c r="M521" s="1">
        <v>5525</v>
      </c>
      <c r="N521" s="1" t="s">
        <v>8953</v>
      </c>
      <c r="O521" s="1" t="s">
        <v>8989</v>
      </c>
      <c r="P521" s="1" t="s">
        <v>8955</v>
      </c>
      <c r="Q521" s="1" t="s">
        <v>8956</v>
      </c>
      <c r="R521" s="1" t="s">
        <v>9103</v>
      </c>
      <c r="S521" s="1" t="s">
        <v>18904</v>
      </c>
      <c r="T521" s="1" t="s">
        <v>7</v>
      </c>
      <c r="U521" s="1" t="s">
        <v>24</v>
      </c>
    </row>
    <row r="522" spans="1:21" x14ac:dyDescent="0.2">
      <c r="A522" s="88" t="s">
        <v>16089</v>
      </c>
      <c r="B522" s="88" t="e">
        <f>VLOOKUP(C522,#REF!,1,0)</f>
        <v>#REF!</v>
      </c>
      <c r="C522" s="1" t="s">
        <v>1953</v>
      </c>
      <c r="D522" s="1" t="s">
        <v>1954</v>
      </c>
      <c r="E522" s="1" t="s">
        <v>18502</v>
      </c>
      <c r="F522" s="1" t="s">
        <v>8957</v>
      </c>
      <c r="G522" t="s">
        <v>8959</v>
      </c>
      <c r="H522" s="1" t="s">
        <v>9035</v>
      </c>
      <c r="I522" s="1" t="s">
        <v>9308</v>
      </c>
      <c r="J522" s="2" t="s">
        <v>21628</v>
      </c>
      <c r="K522" s="1" t="s">
        <v>9386</v>
      </c>
      <c r="L522" s="1" t="s">
        <v>21627</v>
      </c>
      <c r="M522" s="1">
        <v>1235</v>
      </c>
      <c r="N522" s="1" t="s">
        <v>8953</v>
      </c>
      <c r="O522" s="1" t="s">
        <v>8989</v>
      </c>
      <c r="P522" s="1" t="s">
        <v>8955</v>
      </c>
      <c r="Q522" s="1" t="s">
        <v>8956</v>
      </c>
      <c r="R522" s="1" t="s">
        <v>8958</v>
      </c>
      <c r="S522" s="1" t="s">
        <v>18905</v>
      </c>
      <c r="T522" s="1" t="s">
        <v>7</v>
      </c>
      <c r="U522" s="1" t="s">
        <v>61</v>
      </c>
    </row>
    <row r="523" spans="1:21" x14ac:dyDescent="0.2">
      <c r="A523" s="88" t="s">
        <v>16090</v>
      </c>
      <c r="B523" s="88" t="e">
        <f>VLOOKUP(C523,#REF!,1,0)</f>
        <v>#REF!</v>
      </c>
      <c r="C523" s="1" t="s">
        <v>1955</v>
      </c>
      <c r="D523" s="1" t="s">
        <v>1956</v>
      </c>
      <c r="E523" s="1" t="s">
        <v>18502</v>
      </c>
      <c r="F523" s="1" t="s">
        <v>8957</v>
      </c>
      <c r="G523" t="s">
        <v>8959</v>
      </c>
      <c r="H523" s="1" t="s">
        <v>9100</v>
      </c>
      <c r="I523" s="1" t="s">
        <v>8949</v>
      </c>
      <c r="J523" s="2" t="s">
        <v>20779</v>
      </c>
      <c r="K523" s="1" t="s">
        <v>9036</v>
      </c>
      <c r="L523" s="1" t="s">
        <v>9133</v>
      </c>
      <c r="M523" s="1">
        <v>841</v>
      </c>
      <c r="N523" s="1" t="s">
        <v>9059</v>
      </c>
      <c r="O523" s="1" t="s">
        <v>8954</v>
      </c>
      <c r="P523" s="1" t="s">
        <v>8955</v>
      </c>
      <c r="Q523" s="1" t="s">
        <v>8956</v>
      </c>
      <c r="R523" s="1" t="s">
        <v>9103</v>
      </c>
      <c r="S523" s="1" t="s">
        <v>18906</v>
      </c>
      <c r="T523" s="1" t="s">
        <v>11</v>
      </c>
      <c r="U523" s="1" t="s">
        <v>1957</v>
      </c>
    </row>
    <row r="524" spans="1:21" x14ac:dyDescent="0.2">
      <c r="A524" s="88" t="s">
        <v>16091</v>
      </c>
      <c r="B524" s="88" t="e">
        <f>VLOOKUP(C524,#REF!,1,0)</f>
        <v>#REF!</v>
      </c>
      <c r="C524" s="1" t="s">
        <v>1958</v>
      </c>
      <c r="D524" s="1" t="s">
        <v>1959</v>
      </c>
      <c r="E524" s="1" t="s">
        <v>9010</v>
      </c>
      <c r="F524" s="1" t="s">
        <v>8959</v>
      </c>
      <c r="G524" t="s">
        <v>9061</v>
      </c>
      <c r="H524" s="1" t="s">
        <v>8984</v>
      </c>
      <c r="I524" s="1" t="s">
        <v>8949</v>
      </c>
      <c r="J524" s="2" t="s">
        <v>9036</v>
      </c>
      <c r="K524" s="1" t="s">
        <v>9036</v>
      </c>
      <c r="L524" s="1" t="s">
        <v>8951</v>
      </c>
      <c r="M524" s="1">
        <v>522</v>
      </c>
      <c r="N524" s="1" t="s">
        <v>9059</v>
      </c>
      <c r="O524" s="1" t="s">
        <v>8989</v>
      </c>
      <c r="P524" s="1" t="s">
        <v>8955</v>
      </c>
      <c r="Q524" s="1" t="s">
        <v>8956</v>
      </c>
      <c r="R524" s="1" t="s">
        <v>8958</v>
      </c>
      <c r="S524" s="1" t="s">
        <v>1960</v>
      </c>
      <c r="T524" s="1" t="s">
        <v>11</v>
      </c>
      <c r="U524" s="1" t="s">
        <v>619</v>
      </c>
    </row>
    <row r="525" spans="1:21" x14ac:dyDescent="0.2">
      <c r="A525" s="88" t="s">
        <v>16092</v>
      </c>
      <c r="B525" s="88" t="e">
        <f>VLOOKUP(C525,#REF!,1,0)</f>
        <v>#REF!</v>
      </c>
      <c r="C525" s="1" t="s">
        <v>1964</v>
      </c>
      <c r="D525" s="1" t="s">
        <v>1965</v>
      </c>
      <c r="E525" s="1" t="s">
        <v>10032</v>
      </c>
      <c r="F525" s="1" t="s">
        <v>9060</v>
      </c>
      <c r="G525" t="s">
        <v>9061</v>
      </c>
      <c r="H525" s="1" t="s">
        <v>8948</v>
      </c>
      <c r="I525" s="1" t="s">
        <v>8949</v>
      </c>
      <c r="J525" s="2" t="s">
        <v>20809</v>
      </c>
      <c r="K525" s="1" t="s">
        <v>20771</v>
      </c>
      <c r="L525" s="1" t="s">
        <v>21600</v>
      </c>
      <c r="M525" s="1">
        <v>351</v>
      </c>
      <c r="N525" s="1" t="s">
        <v>9059</v>
      </c>
      <c r="O525" s="1" t="s">
        <v>8954</v>
      </c>
      <c r="P525" s="1" t="s">
        <v>8955</v>
      </c>
      <c r="Q525" s="1" t="s">
        <v>8956</v>
      </c>
      <c r="R525" s="1" t="s">
        <v>8975</v>
      </c>
      <c r="S525" s="1" t="s">
        <v>20578</v>
      </c>
      <c r="T525" s="1" t="s">
        <v>7</v>
      </c>
      <c r="U525" s="1" t="s">
        <v>1966</v>
      </c>
    </row>
    <row r="526" spans="1:21" x14ac:dyDescent="0.2">
      <c r="A526" s="88" t="s">
        <v>16093</v>
      </c>
      <c r="B526" s="88" t="e">
        <f>VLOOKUP(C526,#REF!,1,0)</f>
        <v>#REF!</v>
      </c>
      <c r="C526" s="1" t="s">
        <v>1967</v>
      </c>
      <c r="D526" s="1" t="s">
        <v>1968</v>
      </c>
      <c r="E526" s="1" t="s">
        <v>9213</v>
      </c>
      <c r="F526" s="1" t="s">
        <v>8957</v>
      </c>
      <c r="G526" t="s">
        <v>9183</v>
      </c>
      <c r="H526" s="1" t="s">
        <v>8948</v>
      </c>
      <c r="I526" s="1" t="s">
        <v>8949</v>
      </c>
      <c r="J526" s="2" t="s">
        <v>21437</v>
      </c>
      <c r="K526" s="1" t="s">
        <v>21437</v>
      </c>
      <c r="L526" s="1" t="s">
        <v>9464</v>
      </c>
      <c r="M526" s="1">
        <v>2100</v>
      </c>
      <c r="N526" s="1" t="s">
        <v>8953</v>
      </c>
      <c r="O526" s="1" t="s">
        <v>8989</v>
      </c>
      <c r="P526" s="1" t="s">
        <v>8955</v>
      </c>
      <c r="Q526" s="1" t="s">
        <v>8956</v>
      </c>
      <c r="R526" s="1" t="s">
        <v>8958</v>
      </c>
      <c r="S526" s="1" t="s">
        <v>18908</v>
      </c>
      <c r="T526" s="1" t="s">
        <v>7</v>
      </c>
      <c r="U526" s="1" t="s">
        <v>24</v>
      </c>
    </row>
    <row r="527" spans="1:21" x14ac:dyDescent="0.2">
      <c r="A527" s="88" t="s">
        <v>16094</v>
      </c>
      <c r="B527" s="88" t="e">
        <f>VLOOKUP(C527,#REF!,1,0)</f>
        <v>#REF!</v>
      </c>
      <c r="C527" s="1" t="s">
        <v>1969</v>
      </c>
      <c r="D527" s="1" t="s">
        <v>1970</v>
      </c>
      <c r="E527" s="1" t="s">
        <v>9213</v>
      </c>
      <c r="F527" s="1" t="s">
        <v>8957</v>
      </c>
      <c r="G527" t="s">
        <v>9183</v>
      </c>
      <c r="H527" s="1" t="s">
        <v>9035</v>
      </c>
      <c r="I527" s="1" t="s">
        <v>8998</v>
      </c>
      <c r="J527" s="2" t="s">
        <v>9036</v>
      </c>
      <c r="K527" s="1" t="s">
        <v>9036</v>
      </c>
      <c r="L527" s="1" t="s">
        <v>8951</v>
      </c>
      <c r="M527" s="1">
        <v>888</v>
      </c>
      <c r="N527" s="1" t="s">
        <v>8953</v>
      </c>
      <c r="O527" s="1" t="s">
        <v>8989</v>
      </c>
      <c r="P527" s="1" t="s">
        <v>8955</v>
      </c>
      <c r="Q527" s="1" t="s">
        <v>8956</v>
      </c>
      <c r="R527" s="1" t="s">
        <v>8958</v>
      </c>
      <c r="S527" s="1" t="s">
        <v>1971</v>
      </c>
      <c r="T527" s="1" t="s">
        <v>11</v>
      </c>
      <c r="U527" s="1" t="s">
        <v>184</v>
      </c>
    </row>
    <row r="528" spans="1:21" x14ac:dyDescent="0.2">
      <c r="A528" s="88" t="s">
        <v>16095</v>
      </c>
      <c r="B528" s="88" t="e">
        <f>VLOOKUP(C528,#REF!,1,0)</f>
        <v>#REF!</v>
      </c>
      <c r="C528" s="1" t="s">
        <v>1972</v>
      </c>
      <c r="D528" s="1" t="s">
        <v>1973</v>
      </c>
      <c r="E528" s="1" t="s">
        <v>10873</v>
      </c>
      <c r="F528" s="1" t="s">
        <v>9060</v>
      </c>
      <c r="G528" t="s">
        <v>9183</v>
      </c>
      <c r="H528" s="1" t="s">
        <v>20712</v>
      </c>
      <c r="I528" s="1" t="s">
        <v>9155</v>
      </c>
      <c r="J528" s="2" t="s">
        <v>21267</v>
      </c>
      <c r="K528" s="1" t="s">
        <v>21267</v>
      </c>
      <c r="L528" s="1" t="s">
        <v>8987</v>
      </c>
      <c r="M528" s="1">
        <v>245680</v>
      </c>
      <c r="N528" s="1" t="s">
        <v>8953</v>
      </c>
      <c r="O528" s="1" t="s">
        <v>8954</v>
      </c>
      <c r="P528" s="1" t="s">
        <v>8955</v>
      </c>
      <c r="Q528" s="1" t="s">
        <v>8956</v>
      </c>
      <c r="R528" s="1" t="s">
        <v>8975</v>
      </c>
      <c r="S528" s="1" t="s">
        <v>18909</v>
      </c>
      <c r="T528" s="1" t="s">
        <v>17</v>
      </c>
      <c r="U528" s="1" t="s">
        <v>686</v>
      </c>
    </row>
    <row r="529" spans="1:21" x14ac:dyDescent="0.2">
      <c r="A529" s="88" t="s">
        <v>16096</v>
      </c>
      <c r="B529" s="88" t="e">
        <f>VLOOKUP(C529,#REF!,1,0)</f>
        <v>#REF!</v>
      </c>
      <c r="C529" s="1" t="s">
        <v>1974</v>
      </c>
      <c r="D529" s="1" t="s">
        <v>1975</v>
      </c>
      <c r="E529" s="1" t="s">
        <v>9010</v>
      </c>
      <c r="F529" s="1" t="s">
        <v>8957</v>
      </c>
      <c r="G529" t="s">
        <v>9009</v>
      </c>
      <c r="H529" s="1" t="s">
        <v>9154</v>
      </c>
      <c r="I529" s="1" t="s">
        <v>8949</v>
      </c>
      <c r="J529" s="2" t="s">
        <v>8972</v>
      </c>
      <c r="K529" s="1" t="s">
        <v>8972</v>
      </c>
      <c r="L529" s="1" t="s">
        <v>21600</v>
      </c>
      <c r="M529" s="1">
        <v>11550</v>
      </c>
      <c r="N529" s="1" t="s">
        <v>8953</v>
      </c>
      <c r="O529" s="1" t="s">
        <v>8989</v>
      </c>
      <c r="P529" s="1" t="s">
        <v>8955</v>
      </c>
      <c r="Q529" s="1" t="s">
        <v>8956</v>
      </c>
      <c r="R529" s="1" t="s">
        <v>8958</v>
      </c>
      <c r="S529" s="1" t="s">
        <v>1976</v>
      </c>
      <c r="T529" s="1" t="s">
        <v>17</v>
      </c>
      <c r="U529" s="1" t="s">
        <v>571</v>
      </c>
    </row>
    <row r="530" spans="1:21" x14ac:dyDescent="0.2">
      <c r="A530" s="88" t="s">
        <v>16098</v>
      </c>
      <c r="B530" s="88" t="e">
        <f>VLOOKUP(C530,#REF!,1,0)</f>
        <v>#REF!</v>
      </c>
      <c r="C530" s="1" t="s">
        <v>1980</v>
      </c>
      <c r="D530" s="1" t="s">
        <v>1981</v>
      </c>
      <c r="E530" s="1" t="s">
        <v>20810</v>
      </c>
      <c r="F530" s="1" t="s">
        <v>8957</v>
      </c>
      <c r="G530" t="s">
        <v>8959</v>
      </c>
      <c r="H530" s="1" t="s">
        <v>9092</v>
      </c>
      <c r="I530" s="1" t="s">
        <v>8998</v>
      </c>
      <c r="J530" s="2" t="s">
        <v>20811</v>
      </c>
      <c r="K530" s="1" t="s">
        <v>13923</v>
      </c>
      <c r="L530" s="1" t="s">
        <v>9076</v>
      </c>
      <c r="M530" s="1">
        <v>18</v>
      </c>
      <c r="N530" s="1" t="s">
        <v>9059</v>
      </c>
      <c r="O530" s="1" t="s">
        <v>8989</v>
      </c>
      <c r="P530" s="1" t="s">
        <v>8955</v>
      </c>
      <c r="Q530" s="1" t="s">
        <v>8956</v>
      </c>
      <c r="R530" s="1" t="s">
        <v>8958</v>
      </c>
      <c r="S530" s="1" t="s">
        <v>18910</v>
      </c>
      <c r="T530" s="1" t="s">
        <v>7</v>
      </c>
      <c r="U530" s="1" t="s">
        <v>5</v>
      </c>
    </row>
    <row r="531" spans="1:21" x14ac:dyDescent="0.2">
      <c r="A531" s="88" t="s">
        <v>16099</v>
      </c>
      <c r="B531" s="88" t="e">
        <f>VLOOKUP(C531,#REF!,1,0)</f>
        <v>#REF!</v>
      </c>
      <c r="C531" s="1" t="s">
        <v>1982</v>
      </c>
      <c r="D531" s="1" t="s">
        <v>1983</v>
      </c>
      <c r="E531" s="1" t="s">
        <v>9010</v>
      </c>
      <c r="F531" s="1" t="s">
        <v>8957</v>
      </c>
      <c r="G531" t="s">
        <v>9009</v>
      </c>
      <c r="H531" s="1" t="s">
        <v>9100</v>
      </c>
      <c r="I531" s="1" t="s">
        <v>8998</v>
      </c>
      <c r="J531" s="2" t="s">
        <v>21207</v>
      </c>
      <c r="K531" s="1" t="s">
        <v>21207</v>
      </c>
      <c r="L531" s="1" t="s">
        <v>9464</v>
      </c>
      <c r="M531" s="1">
        <v>74000</v>
      </c>
      <c r="N531" s="1" t="s">
        <v>8953</v>
      </c>
      <c r="O531" s="1" t="s">
        <v>8954</v>
      </c>
      <c r="P531" s="1" t="s">
        <v>8955</v>
      </c>
      <c r="Q531" s="1" t="s">
        <v>8956</v>
      </c>
      <c r="R531" s="1" t="s">
        <v>8975</v>
      </c>
      <c r="S531" s="1" t="s">
        <v>1984</v>
      </c>
      <c r="T531" s="1" t="s">
        <v>7</v>
      </c>
      <c r="U531" s="1" t="s">
        <v>61</v>
      </c>
    </row>
    <row r="532" spans="1:21" x14ac:dyDescent="0.2">
      <c r="A532" s="88" t="s">
        <v>16100</v>
      </c>
      <c r="B532" s="88" t="e">
        <f>VLOOKUP(C532,#REF!,1,0)</f>
        <v>#REF!</v>
      </c>
      <c r="C532" s="1" t="s">
        <v>1985</v>
      </c>
      <c r="D532" s="1" t="s">
        <v>1986</v>
      </c>
      <c r="E532" s="1" t="s">
        <v>9310</v>
      </c>
      <c r="F532" s="1" t="s">
        <v>8957</v>
      </c>
      <c r="G532" t="s">
        <v>9183</v>
      </c>
      <c r="H532" s="1" t="s">
        <v>9092</v>
      </c>
      <c r="I532" s="1" t="s">
        <v>8998</v>
      </c>
      <c r="J532" s="2" t="s">
        <v>10492</v>
      </c>
      <c r="K532" s="1" t="s">
        <v>10492</v>
      </c>
      <c r="L532" s="1" t="s">
        <v>21600</v>
      </c>
      <c r="M532" s="1">
        <v>50</v>
      </c>
      <c r="N532" s="1" t="s">
        <v>9059</v>
      </c>
      <c r="O532" s="1" t="s">
        <v>8989</v>
      </c>
      <c r="P532" s="1" t="s">
        <v>8955</v>
      </c>
      <c r="Q532" s="1" t="s">
        <v>8956</v>
      </c>
      <c r="R532" s="1" t="s">
        <v>8975</v>
      </c>
      <c r="S532" s="1" t="s">
        <v>18911</v>
      </c>
      <c r="T532" s="1" t="s">
        <v>17</v>
      </c>
      <c r="U532" s="1" t="s">
        <v>1202</v>
      </c>
    </row>
    <row r="533" spans="1:21" x14ac:dyDescent="0.2">
      <c r="A533" s="88" t="s">
        <v>16101</v>
      </c>
      <c r="B533" s="88"/>
      <c r="C533" s="1" t="s">
        <v>1987</v>
      </c>
      <c r="D533" s="1" t="s">
        <v>1988</v>
      </c>
      <c r="E533" s="1" t="e">
        <v>#N/A</v>
      </c>
      <c r="F533" s="1" t="e">
        <v>#N/A</v>
      </c>
      <c r="G533" t="e">
        <v>#N/A</v>
      </c>
      <c r="H533" s="1" t="e">
        <v>#N/A</v>
      </c>
      <c r="I533" s="1" t="e">
        <v>#N/A</v>
      </c>
      <c r="J533" s="2" t="e">
        <v>#N/A</v>
      </c>
      <c r="K533" s="1" t="e">
        <v>#N/A</v>
      </c>
      <c r="L533" s="1" t="e">
        <v>#N/A</v>
      </c>
      <c r="M533" s="1" t="e">
        <v>#N/A</v>
      </c>
      <c r="N533" s="1" t="e">
        <v>#N/A</v>
      </c>
      <c r="O533" s="1" t="e">
        <v>#N/A</v>
      </c>
      <c r="P533" s="1" t="s">
        <v>8955</v>
      </c>
      <c r="Q533" s="1" t="s">
        <v>8956</v>
      </c>
      <c r="R533" s="1" t="s">
        <v>8958</v>
      </c>
      <c r="S533" s="1" t="s">
        <v>18912</v>
      </c>
      <c r="T533" s="1" t="s">
        <v>252</v>
      </c>
      <c r="U533" s="1" t="s">
        <v>161</v>
      </c>
    </row>
    <row r="534" spans="1:21" ht="42.75" x14ac:dyDescent="0.2">
      <c r="A534" s="88" t="s">
        <v>16102</v>
      </c>
      <c r="B534" s="88" t="e">
        <f>VLOOKUP(C534,#REF!,1,0)</f>
        <v>#REF!</v>
      </c>
      <c r="C534" s="1" t="s">
        <v>1989</v>
      </c>
      <c r="D534" s="1" t="s">
        <v>1990</v>
      </c>
      <c r="E534" s="1" t="s">
        <v>9310</v>
      </c>
      <c r="F534" s="1" t="s">
        <v>8957</v>
      </c>
      <c r="G534" t="s">
        <v>8959</v>
      </c>
      <c r="H534" s="1" t="s">
        <v>9605</v>
      </c>
      <c r="I534" s="1" t="s">
        <v>9101</v>
      </c>
      <c r="J534" s="132" t="s">
        <v>21356</v>
      </c>
      <c r="K534" s="1" t="s">
        <v>21908</v>
      </c>
      <c r="L534" s="1" t="s">
        <v>21600</v>
      </c>
      <c r="M534" s="1">
        <v>925</v>
      </c>
      <c r="N534" s="1" t="s">
        <v>8953</v>
      </c>
      <c r="O534" s="1" t="s">
        <v>8954</v>
      </c>
      <c r="P534" s="1" t="s">
        <v>8955</v>
      </c>
      <c r="Q534" s="1" t="s">
        <v>8956</v>
      </c>
      <c r="R534" s="1" t="s">
        <v>8958</v>
      </c>
      <c r="S534" s="1" t="s">
        <v>18913</v>
      </c>
      <c r="T534" s="1" t="s">
        <v>17</v>
      </c>
      <c r="U534" s="1" t="s">
        <v>1833</v>
      </c>
    </row>
    <row r="535" spans="1:21" x14ac:dyDescent="0.2">
      <c r="A535" s="88" t="s">
        <v>16103</v>
      </c>
      <c r="B535" s="88" t="e">
        <f>VLOOKUP(C535,#REF!,1,0)</f>
        <v>#REF!</v>
      </c>
      <c r="C535" s="1" t="s">
        <v>1991</v>
      </c>
      <c r="D535" s="1" t="s">
        <v>1992</v>
      </c>
      <c r="E535" s="1" t="s">
        <v>18502</v>
      </c>
      <c r="F535" s="1" t="s">
        <v>8957</v>
      </c>
      <c r="G535" t="s">
        <v>9061</v>
      </c>
      <c r="H535" s="1" t="s">
        <v>20712</v>
      </c>
      <c r="I535" s="1" t="s">
        <v>9155</v>
      </c>
      <c r="J535" s="2" t="s">
        <v>10492</v>
      </c>
      <c r="K535" s="1" t="s">
        <v>10492</v>
      </c>
      <c r="L535" s="1" t="s">
        <v>9464</v>
      </c>
      <c r="M535" s="1">
        <v>26000</v>
      </c>
      <c r="N535" s="1" t="s">
        <v>8953</v>
      </c>
      <c r="O535" s="1" t="s">
        <v>8954</v>
      </c>
      <c r="P535" s="1" t="s">
        <v>8955</v>
      </c>
      <c r="Q535" s="1" t="s">
        <v>8956</v>
      </c>
      <c r="R535" s="1" t="s">
        <v>8958</v>
      </c>
      <c r="S535" s="1" t="s">
        <v>18914</v>
      </c>
      <c r="T535" s="1" t="s">
        <v>17</v>
      </c>
      <c r="U535" s="1" t="s">
        <v>126</v>
      </c>
    </row>
    <row r="536" spans="1:21" x14ac:dyDescent="0.2">
      <c r="A536" s="88" t="s">
        <v>16104</v>
      </c>
      <c r="B536" s="88" t="e">
        <f>VLOOKUP(C536,#REF!,1,0)</f>
        <v>#REF!</v>
      </c>
      <c r="C536" s="1" t="s">
        <v>1993</v>
      </c>
      <c r="D536" s="1" t="s">
        <v>1994</v>
      </c>
      <c r="E536" s="1" t="s">
        <v>9010</v>
      </c>
      <c r="F536" s="1" t="s">
        <v>8957</v>
      </c>
      <c r="G536" t="s">
        <v>9061</v>
      </c>
      <c r="H536" s="1" t="s">
        <v>8948</v>
      </c>
      <c r="I536" s="1" t="s">
        <v>8949</v>
      </c>
      <c r="J536" s="2" t="s">
        <v>10492</v>
      </c>
      <c r="K536" s="1" t="s">
        <v>10492</v>
      </c>
      <c r="L536" s="1" t="s">
        <v>9464</v>
      </c>
      <c r="M536" s="1">
        <v>40</v>
      </c>
      <c r="N536" s="1" t="s">
        <v>8953</v>
      </c>
      <c r="O536" s="1" t="s">
        <v>8989</v>
      </c>
      <c r="P536" s="1" t="s">
        <v>8955</v>
      </c>
      <c r="Q536" s="1" t="s">
        <v>8956</v>
      </c>
      <c r="R536" s="1" t="s">
        <v>8958</v>
      </c>
      <c r="S536" s="1" t="s">
        <v>1995</v>
      </c>
      <c r="T536" s="1" t="s">
        <v>11</v>
      </c>
      <c r="U536" s="1" t="s">
        <v>921</v>
      </c>
    </row>
    <row r="537" spans="1:21" x14ac:dyDescent="0.2">
      <c r="A537" s="88" t="s">
        <v>16105</v>
      </c>
      <c r="B537" s="88" t="e">
        <f>VLOOKUP(C537,#REF!,1,0)</f>
        <v>#REF!</v>
      </c>
      <c r="C537" s="1" t="s">
        <v>1996</v>
      </c>
      <c r="D537" s="1" t="s">
        <v>1997</v>
      </c>
      <c r="E537" s="1" t="s">
        <v>18502</v>
      </c>
      <c r="F537" s="1" t="s">
        <v>8957</v>
      </c>
      <c r="G537" t="s">
        <v>9061</v>
      </c>
      <c r="H537" s="1" t="s">
        <v>8948</v>
      </c>
      <c r="I537" s="1" t="s">
        <v>8949</v>
      </c>
      <c r="J537" s="2" t="s">
        <v>10492</v>
      </c>
      <c r="K537" s="1" t="s">
        <v>10492</v>
      </c>
      <c r="L537" s="1" t="s">
        <v>9464</v>
      </c>
      <c r="M537" s="1">
        <v>180</v>
      </c>
      <c r="N537" s="1" t="s">
        <v>8953</v>
      </c>
      <c r="O537" s="1" t="s">
        <v>8989</v>
      </c>
      <c r="P537" s="1" t="s">
        <v>8955</v>
      </c>
      <c r="Q537" s="1" t="s">
        <v>8956</v>
      </c>
      <c r="R537" s="1" t="s">
        <v>9103</v>
      </c>
      <c r="S537" s="1" t="s">
        <v>18915</v>
      </c>
      <c r="T537" s="1" t="s">
        <v>17</v>
      </c>
      <c r="U537" s="1" t="s">
        <v>126</v>
      </c>
    </row>
    <row r="538" spans="1:21" x14ac:dyDescent="0.2">
      <c r="A538" s="88" t="s">
        <v>16106</v>
      </c>
      <c r="B538" s="88" t="e">
        <f>VLOOKUP(C538,#REF!,1,0)</f>
        <v>#REF!</v>
      </c>
      <c r="C538" s="1" t="s">
        <v>1998</v>
      </c>
      <c r="D538" s="1" t="s">
        <v>1999</v>
      </c>
      <c r="E538" s="1" t="s">
        <v>9010</v>
      </c>
      <c r="F538" s="1" t="s">
        <v>8957</v>
      </c>
      <c r="G538" t="s">
        <v>8959</v>
      </c>
      <c r="H538" s="1" t="s">
        <v>9154</v>
      </c>
      <c r="I538" s="1" t="s">
        <v>9308</v>
      </c>
      <c r="J538" s="2" t="s">
        <v>9036</v>
      </c>
      <c r="K538" s="1" t="s">
        <v>9036</v>
      </c>
      <c r="L538" s="1" t="s">
        <v>9464</v>
      </c>
      <c r="M538" s="1">
        <v>6000</v>
      </c>
      <c r="N538" s="1" t="s">
        <v>8953</v>
      </c>
      <c r="O538" s="1" t="s">
        <v>8989</v>
      </c>
      <c r="P538" s="1" t="s">
        <v>8955</v>
      </c>
      <c r="Q538" s="1" t="s">
        <v>8956</v>
      </c>
      <c r="R538" s="1" t="s">
        <v>8975</v>
      </c>
      <c r="S538" s="1" t="s">
        <v>2000</v>
      </c>
      <c r="T538" s="1" t="s">
        <v>17</v>
      </c>
      <c r="U538" s="1" t="s">
        <v>184</v>
      </c>
    </row>
    <row r="539" spans="1:21" x14ac:dyDescent="0.2">
      <c r="A539" s="88" t="s">
        <v>16108</v>
      </c>
      <c r="B539" s="88" t="e">
        <f>VLOOKUP(C539,#REF!,1,0)</f>
        <v>#REF!</v>
      </c>
      <c r="C539" s="1" t="s">
        <v>2004</v>
      </c>
      <c r="D539" s="1" t="s">
        <v>2005</v>
      </c>
      <c r="E539" s="1" t="s">
        <v>9010</v>
      </c>
      <c r="F539" s="1" t="s">
        <v>8957</v>
      </c>
      <c r="G539" t="s">
        <v>8959</v>
      </c>
      <c r="H539" s="1" t="s">
        <v>8948</v>
      </c>
      <c r="I539" s="1" t="s">
        <v>8949</v>
      </c>
      <c r="J539" s="2" t="s">
        <v>9918</v>
      </c>
      <c r="K539" s="1" t="s">
        <v>9918</v>
      </c>
      <c r="L539" s="1" t="s">
        <v>9292</v>
      </c>
      <c r="M539" s="1">
        <v>50</v>
      </c>
      <c r="N539" s="1" t="s">
        <v>8953</v>
      </c>
      <c r="O539" s="1" t="s">
        <v>8954</v>
      </c>
      <c r="P539" s="1" t="s">
        <v>8955</v>
      </c>
      <c r="Q539" s="1" t="s">
        <v>8956</v>
      </c>
      <c r="R539" s="1" t="s">
        <v>8975</v>
      </c>
      <c r="S539" s="1" t="s">
        <v>2006</v>
      </c>
      <c r="T539" s="1" t="s">
        <v>17</v>
      </c>
      <c r="U539" s="1" t="s">
        <v>126</v>
      </c>
    </row>
    <row r="540" spans="1:21" x14ac:dyDescent="0.2">
      <c r="A540" s="88" t="s">
        <v>16109</v>
      </c>
      <c r="B540" s="88" t="e">
        <f>VLOOKUP(C540,#REF!,1,0)</f>
        <v>#REF!</v>
      </c>
      <c r="C540" s="1" t="s">
        <v>2007</v>
      </c>
      <c r="D540" s="1" t="s">
        <v>2008</v>
      </c>
      <c r="E540" s="1" t="s">
        <v>18502</v>
      </c>
      <c r="F540" s="1" t="s">
        <v>8959</v>
      </c>
      <c r="G540" t="s">
        <v>8959</v>
      </c>
      <c r="H540" s="1" t="s">
        <v>8984</v>
      </c>
      <c r="I540" s="1" t="s">
        <v>8998</v>
      </c>
      <c r="J540" s="2" t="s">
        <v>20768</v>
      </c>
      <c r="K540" s="1" t="s">
        <v>20768</v>
      </c>
      <c r="L540" s="1" t="s">
        <v>21600</v>
      </c>
      <c r="M540" s="1">
        <v>201</v>
      </c>
      <c r="N540" s="1" t="s">
        <v>8953</v>
      </c>
      <c r="O540" s="1" t="s">
        <v>8954</v>
      </c>
      <c r="P540" s="1" t="s">
        <v>8955</v>
      </c>
      <c r="Q540" s="1" t="s">
        <v>8956</v>
      </c>
      <c r="R540" s="1" t="s">
        <v>9103</v>
      </c>
      <c r="S540" s="1" t="s">
        <v>18917</v>
      </c>
      <c r="T540" s="1" t="s">
        <v>7</v>
      </c>
      <c r="U540" s="1" t="s">
        <v>64</v>
      </c>
    </row>
    <row r="541" spans="1:21" x14ac:dyDescent="0.2">
      <c r="A541" s="88" t="s">
        <v>16110</v>
      </c>
      <c r="B541" s="88" t="e">
        <f>VLOOKUP(C541,#REF!,1,0)</f>
        <v>#REF!</v>
      </c>
      <c r="C541" s="1" t="s">
        <v>2009</v>
      </c>
      <c r="D541" s="1" t="s">
        <v>2010</v>
      </c>
      <c r="E541" s="1" t="s">
        <v>18502</v>
      </c>
      <c r="F541" s="1" t="s">
        <v>8959</v>
      </c>
      <c r="G541" t="s">
        <v>9061</v>
      </c>
      <c r="H541" s="1" t="s">
        <v>20812</v>
      </c>
      <c r="I541" s="1" t="s">
        <v>8949</v>
      </c>
      <c r="J541" s="2" t="s">
        <v>10492</v>
      </c>
      <c r="K541" s="1" t="s">
        <v>10492</v>
      </c>
      <c r="L541" s="1" t="s">
        <v>9076</v>
      </c>
      <c r="M541" s="1">
        <v>72</v>
      </c>
      <c r="N541" s="1" t="s">
        <v>8953</v>
      </c>
      <c r="O541" s="1" t="s">
        <v>8989</v>
      </c>
      <c r="P541" s="1" t="s">
        <v>8955</v>
      </c>
      <c r="Q541" s="1" t="s">
        <v>8956</v>
      </c>
      <c r="R541" s="1" t="s">
        <v>8975</v>
      </c>
      <c r="S541" s="1" t="s">
        <v>18918</v>
      </c>
      <c r="T541" s="1" t="s">
        <v>17</v>
      </c>
      <c r="U541" s="1" t="s">
        <v>61</v>
      </c>
    </row>
    <row r="542" spans="1:21" x14ac:dyDescent="0.2">
      <c r="A542" s="88" t="s">
        <v>16111</v>
      </c>
      <c r="B542" s="88" t="e">
        <f>VLOOKUP(C542,#REF!,1,0)</f>
        <v>#REF!</v>
      </c>
      <c r="C542" s="1" t="s">
        <v>2011</v>
      </c>
      <c r="D542" s="1" t="s">
        <v>2012</v>
      </c>
      <c r="E542" s="1" t="s">
        <v>10049</v>
      </c>
      <c r="F542" s="1" t="s">
        <v>8957</v>
      </c>
      <c r="G542" t="s">
        <v>8959</v>
      </c>
      <c r="H542" s="1" t="s">
        <v>9154</v>
      </c>
      <c r="I542" s="1" t="s">
        <v>8998</v>
      </c>
      <c r="J542" s="2" t="s">
        <v>10492</v>
      </c>
      <c r="K542" s="1" t="s">
        <v>21645</v>
      </c>
      <c r="L542" s="1" t="s">
        <v>21600</v>
      </c>
      <c r="M542" s="1">
        <v>76335</v>
      </c>
      <c r="N542" s="1" t="s">
        <v>8953</v>
      </c>
      <c r="O542" s="1" t="s">
        <v>8989</v>
      </c>
      <c r="P542" s="1" t="s">
        <v>8955</v>
      </c>
      <c r="Q542" s="1" t="s">
        <v>8956</v>
      </c>
      <c r="R542" s="1" t="s">
        <v>8975</v>
      </c>
      <c r="S542" s="1" t="s">
        <v>18919</v>
      </c>
      <c r="T542" s="1" t="s">
        <v>7</v>
      </c>
      <c r="U542" s="1" t="s">
        <v>2013</v>
      </c>
    </row>
    <row r="543" spans="1:21" x14ac:dyDescent="0.2">
      <c r="A543" s="88" t="s">
        <v>16112</v>
      </c>
      <c r="B543" s="88" t="e">
        <f>VLOOKUP(C543,#REF!,1,0)</f>
        <v>#REF!</v>
      </c>
      <c r="C543" s="1" t="s">
        <v>2014</v>
      </c>
      <c r="D543" s="1" t="s">
        <v>2015</v>
      </c>
      <c r="E543" s="1" t="s">
        <v>9310</v>
      </c>
      <c r="F543" s="1" t="s">
        <v>8957</v>
      </c>
      <c r="G543" t="s">
        <v>8959</v>
      </c>
      <c r="H543" s="1" t="s">
        <v>8948</v>
      </c>
      <c r="I543" s="1" t="s">
        <v>12453</v>
      </c>
      <c r="J543" s="2" t="s">
        <v>20813</v>
      </c>
      <c r="K543" s="1" t="s">
        <v>20770</v>
      </c>
      <c r="L543" s="1" t="s">
        <v>8987</v>
      </c>
      <c r="M543" s="1">
        <v>2000</v>
      </c>
      <c r="N543" s="1" t="s">
        <v>8953</v>
      </c>
      <c r="O543" s="1" t="s">
        <v>8989</v>
      </c>
      <c r="P543" s="1" t="s">
        <v>8955</v>
      </c>
      <c r="Q543" s="1" t="s">
        <v>8956</v>
      </c>
      <c r="R543" s="1" t="s">
        <v>9103</v>
      </c>
      <c r="S543" s="1" t="s">
        <v>18920</v>
      </c>
      <c r="T543" s="1" t="s">
        <v>17</v>
      </c>
      <c r="U543" s="1" t="s">
        <v>577</v>
      </c>
    </row>
    <row r="544" spans="1:21" x14ac:dyDescent="0.2">
      <c r="A544" s="88" t="s">
        <v>16115</v>
      </c>
      <c r="B544" s="88" t="e">
        <f>VLOOKUP(C544,#REF!,1,0)</f>
        <v>#REF!</v>
      </c>
      <c r="C544" s="1" t="s">
        <v>2022</v>
      </c>
      <c r="D544" s="1" t="s">
        <v>2023</v>
      </c>
      <c r="E544" s="1" t="s">
        <v>18502</v>
      </c>
      <c r="F544" s="1" t="s">
        <v>8957</v>
      </c>
      <c r="G544" t="s">
        <v>8959</v>
      </c>
      <c r="H544" s="1" t="s">
        <v>8948</v>
      </c>
      <c r="I544" s="1" t="s">
        <v>8998</v>
      </c>
      <c r="J544" s="2" t="s">
        <v>10492</v>
      </c>
      <c r="K544" s="1" t="s">
        <v>10492</v>
      </c>
      <c r="L544" s="1" t="s">
        <v>21600</v>
      </c>
      <c r="M544" s="1">
        <v>7040</v>
      </c>
      <c r="N544" s="1" t="s">
        <v>8953</v>
      </c>
      <c r="O544" s="1" t="s">
        <v>8989</v>
      </c>
      <c r="P544" s="1" t="s">
        <v>8955</v>
      </c>
      <c r="Q544" s="1" t="s">
        <v>8956</v>
      </c>
      <c r="R544" s="1" t="s">
        <v>8975</v>
      </c>
      <c r="S544" s="1" t="s">
        <v>18922</v>
      </c>
      <c r="T544" s="1" t="s">
        <v>7</v>
      </c>
      <c r="U544" s="1" t="s">
        <v>2024</v>
      </c>
    </row>
    <row r="545" spans="1:21" x14ac:dyDescent="0.2">
      <c r="A545" s="88" t="s">
        <v>16116</v>
      </c>
      <c r="B545" s="88" t="e">
        <f>VLOOKUP(C545,#REF!,1,0)</f>
        <v>#REF!</v>
      </c>
      <c r="C545" s="1" t="s">
        <v>2025</v>
      </c>
      <c r="D545" s="1" t="s">
        <v>2026</v>
      </c>
      <c r="E545" s="1" t="s">
        <v>9317</v>
      </c>
      <c r="F545" s="1" t="s">
        <v>8957</v>
      </c>
      <c r="G545" t="s">
        <v>8959</v>
      </c>
      <c r="H545" s="1" t="s">
        <v>9092</v>
      </c>
      <c r="I545" s="1" t="s">
        <v>8998</v>
      </c>
      <c r="J545" s="2" t="s">
        <v>8972</v>
      </c>
      <c r="K545" s="1" t="s">
        <v>8972</v>
      </c>
      <c r="L545" s="1" t="s">
        <v>21600</v>
      </c>
      <c r="M545" s="1">
        <v>24</v>
      </c>
      <c r="N545" s="1" t="s">
        <v>9059</v>
      </c>
      <c r="O545" s="1" t="s">
        <v>8954</v>
      </c>
      <c r="P545" s="1" t="s">
        <v>8955</v>
      </c>
      <c r="Q545" s="1" t="s">
        <v>8956</v>
      </c>
      <c r="R545" s="1" t="s">
        <v>8975</v>
      </c>
      <c r="S545" s="1" t="s">
        <v>2027</v>
      </c>
      <c r="T545" s="1" t="s">
        <v>17</v>
      </c>
      <c r="U545" s="1" t="s">
        <v>64</v>
      </c>
    </row>
    <row r="546" spans="1:21" x14ac:dyDescent="0.2">
      <c r="A546" s="88" t="s">
        <v>16117</v>
      </c>
      <c r="B546" s="88" t="e">
        <f>VLOOKUP(C546,#REF!,1,0)</f>
        <v>#REF!</v>
      </c>
      <c r="C546" s="1" t="s">
        <v>2028</v>
      </c>
      <c r="D546" s="1" t="s">
        <v>2029</v>
      </c>
      <c r="E546" s="1" t="s">
        <v>9310</v>
      </c>
      <c r="F546" s="1" t="s">
        <v>8957</v>
      </c>
      <c r="G546" t="s">
        <v>8959</v>
      </c>
      <c r="H546" s="1" t="s">
        <v>9605</v>
      </c>
      <c r="I546" s="1" t="s">
        <v>8959</v>
      </c>
      <c r="J546" s="2" t="s">
        <v>10492</v>
      </c>
      <c r="K546" s="1" t="s">
        <v>10492</v>
      </c>
      <c r="L546" s="1" t="s">
        <v>9464</v>
      </c>
      <c r="M546" s="1">
        <v>11</v>
      </c>
      <c r="N546" s="1" t="s">
        <v>8953</v>
      </c>
      <c r="O546" s="1" t="s">
        <v>8989</v>
      </c>
      <c r="P546" s="1" t="s">
        <v>8955</v>
      </c>
      <c r="Q546" s="1" t="s">
        <v>8956</v>
      </c>
      <c r="R546" s="1" t="s">
        <v>9103</v>
      </c>
      <c r="S546" s="1" t="s">
        <v>18923</v>
      </c>
      <c r="T546" s="1" t="s">
        <v>7</v>
      </c>
      <c r="U546" s="1" t="s">
        <v>61</v>
      </c>
    </row>
    <row r="547" spans="1:21" x14ac:dyDescent="0.2">
      <c r="A547" s="88" t="s">
        <v>16118</v>
      </c>
      <c r="B547" s="88" t="e">
        <f>VLOOKUP(C547,#REF!,1,0)</f>
        <v>#REF!</v>
      </c>
      <c r="C547" s="1" t="s">
        <v>2033</v>
      </c>
      <c r="D547" s="1" t="s">
        <v>2034</v>
      </c>
      <c r="E547" s="1" t="s">
        <v>18502</v>
      </c>
      <c r="F547" s="1" t="s">
        <v>8959</v>
      </c>
      <c r="G547" t="s">
        <v>8959</v>
      </c>
      <c r="H547" s="1" t="s">
        <v>9092</v>
      </c>
      <c r="I547" s="1" t="s">
        <v>8971</v>
      </c>
      <c r="J547" s="2" t="s">
        <v>20805</v>
      </c>
      <c r="K547" s="1" t="s">
        <v>9212</v>
      </c>
      <c r="L547" s="1" t="s">
        <v>8951</v>
      </c>
      <c r="M547" s="1">
        <v>6816</v>
      </c>
      <c r="N547" s="1" t="s">
        <v>8953</v>
      </c>
      <c r="O547" s="1" t="s">
        <v>8989</v>
      </c>
      <c r="P547" s="1" t="s">
        <v>8955</v>
      </c>
      <c r="Q547" s="1" t="s">
        <v>8956</v>
      </c>
      <c r="R547" s="1" t="s">
        <v>9103</v>
      </c>
      <c r="S547" s="1" t="s">
        <v>18925</v>
      </c>
      <c r="T547" s="1" t="s">
        <v>7</v>
      </c>
      <c r="U547" s="1" t="s">
        <v>46</v>
      </c>
    </row>
    <row r="548" spans="1:21" x14ac:dyDescent="0.2">
      <c r="A548" s="88" t="s">
        <v>16119</v>
      </c>
      <c r="B548" s="88" t="e">
        <f>VLOOKUP(C548,#REF!,1,0)</f>
        <v>#REF!</v>
      </c>
      <c r="C548" s="1" t="s">
        <v>2035</v>
      </c>
      <c r="D548" s="1" t="s">
        <v>2036</v>
      </c>
      <c r="E548" s="1" t="s">
        <v>9310</v>
      </c>
      <c r="F548" s="1" t="s">
        <v>8957</v>
      </c>
      <c r="G548" t="s">
        <v>9061</v>
      </c>
      <c r="H548" s="1" t="s">
        <v>9035</v>
      </c>
      <c r="I548" s="1" t="s">
        <v>8998</v>
      </c>
      <c r="J548" s="2" t="s">
        <v>10492</v>
      </c>
      <c r="K548" s="1" t="s">
        <v>10492</v>
      </c>
      <c r="L548" s="1" t="s">
        <v>8987</v>
      </c>
      <c r="M548" s="1">
        <v>426</v>
      </c>
      <c r="N548" s="1" t="s">
        <v>9059</v>
      </c>
      <c r="O548" s="1" t="s">
        <v>8954</v>
      </c>
      <c r="P548" s="1" t="s">
        <v>8955</v>
      </c>
      <c r="Q548" s="1" t="s">
        <v>8956</v>
      </c>
      <c r="R548" s="1" t="s">
        <v>8975</v>
      </c>
      <c r="S548" s="1" t="s">
        <v>18926</v>
      </c>
      <c r="T548" s="1" t="s">
        <v>7</v>
      </c>
      <c r="U548" s="1" t="s">
        <v>831</v>
      </c>
    </row>
    <row r="549" spans="1:21" x14ac:dyDescent="0.2">
      <c r="A549" s="88" t="s">
        <v>16120</v>
      </c>
      <c r="B549" s="88" t="e">
        <f>VLOOKUP(C549,#REF!,1,0)</f>
        <v>#REF!</v>
      </c>
      <c r="C549" s="1" t="s">
        <v>2037</v>
      </c>
      <c r="D549" s="1" t="s">
        <v>2038</v>
      </c>
      <c r="E549" s="1" t="s">
        <v>9310</v>
      </c>
      <c r="F549" s="1" t="s">
        <v>8957</v>
      </c>
      <c r="G549" t="s">
        <v>8959</v>
      </c>
      <c r="H549" s="1" t="s">
        <v>20714</v>
      </c>
      <c r="I549" s="1" t="s">
        <v>20725</v>
      </c>
      <c r="J549" s="2" t="s">
        <v>21554</v>
      </c>
      <c r="K549" s="1" t="s">
        <v>21675</v>
      </c>
      <c r="L549" s="1" t="s">
        <v>9133</v>
      </c>
      <c r="M549" s="1">
        <v>912</v>
      </c>
      <c r="N549" s="1" t="s">
        <v>8953</v>
      </c>
      <c r="O549" s="1" t="s">
        <v>8989</v>
      </c>
      <c r="P549" s="1" t="s">
        <v>8955</v>
      </c>
      <c r="Q549" s="1" t="s">
        <v>8956</v>
      </c>
      <c r="R549" s="1" t="s">
        <v>8975</v>
      </c>
      <c r="S549" s="1" t="s">
        <v>18927</v>
      </c>
      <c r="T549" s="1" t="s">
        <v>7</v>
      </c>
      <c r="U549" s="1" t="s">
        <v>46</v>
      </c>
    </row>
    <row r="550" spans="1:21" x14ac:dyDescent="0.2">
      <c r="A550" s="88" t="s">
        <v>16121</v>
      </c>
      <c r="B550" s="88" t="e">
        <f>VLOOKUP(C550,#REF!,1,0)</f>
        <v>#REF!</v>
      </c>
      <c r="C550" s="1" t="s">
        <v>2039</v>
      </c>
      <c r="D550" s="1" t="s">
        <v>2040</v>
      </c>
      <c r="E550" s="1" t="s">
        <v>9310</v>
      </c>
      <c r="F550" s="1" t="s">
        <v>8957</v>
      </c>
      <c r="G550" t="s">
        <v>8959</v>
      </c>
      <c r="H550" s="1" t="s">
        <v>9252</v>
      </c>
      <c r="I550" s="1" t="s">
        <v>8949</v>
      </c>
      <c r="J550" s="2" t="s">
        <v>18497</v>
      </c>
      <c r="K550" s="1" t="s">
        <v>18497</v>
      </c>
      <c r="L550" s="1" t="s">
        <v>9133</v>
      </c>
      <c r="M550" s="1">
        <v>100</v>
      </c>
      <c r="N550" s="1" t="s">
        <v>9059</v>
      </c>
      <c r="O550" s="1" t="s">
        <v>8989</v>
      </c>
      <c r="P550" s="1" t="s">
        <v>8955</v>
      </c>
      <c r="Q550" s="1" t="s">
        <v>8956</v>
      </c>
      <c r="R550" s="1" t="s">
        <v>8958</v>
      </c>
      <c r="S550" s="1" t="s">
        <v>18928</v>
      </c>
      <c r="T550" s="1" t="s">
        <v>7</v>
      </c>
      <c r="U550" s="1" t="s">
        <v>21</v>
      </c>
    </row>
    <row r="551" spans="1:21" x14ac:dyDescent="0.2">
      <c r="A551" s="88" t="s">
        <v>16122</v>
      </c>
      <c r="B551" s="88" t="e">
        <f>VLOOKUP(C551,#REF!,1,0)</f>
        <v>#REF!</v>
      </c>
      <c r="C551" s="1" t="s">
        <v>2045</v>
      </c>
      <c r="D551" s="1" t="s">
        <v>2046</v>
      </c>
      <c r="E551" s="1" t="s">
        <v>9310</v>
      </c>
      <c r="F551" s="1" t="s">
        <v>8957</v>
      </c>
      <c r="G551" t="s">
        <v>8959</v>
      </c>
      <c r="H551" s="1" t="s">
        <v>9100</v>
      </c>
      <c r="I551" s="1" t="s">
        <v>8949</v>
      </c>
      <c r="J551" s="2" t="s">
        <v>20779</v>
      </c>
      <c r="K551" s="1" t="s">
        <v>9036</v>
      </c>
      <c r="L551" s="1" t="s">
        <v>8951</v>
      </c>
      <c r="M551" s="1">
        <v>3127</v>
      </c>
      <c r="N551" s="1" t="s">
        <v>8953</v>
      </c>
      <c r="O551" s="1" t="s">
        <v>8954</v>
      </c>
      <c r="P551" s="1" t="s">
        <v>8955</v>
      </c>
      <c r="Q551" s="1" t="s">
        <v>8956</v>
      </c>
      <c r="R551" s="1" t="s">
        <v>8975</v>
      </c>
      <c r="S551" s="1" t="s">
        <v>18930</v>
      </c>
      <c r="T551" s="1" t="s">
        <v>7</v>
      </c>
      <c r="U551" s="1" t="s">
        <v>359</v>
      </c>
    </row>
    <row r="552" spans="1:21" x14ac:dyDescent="0.2">
      <c r="A552" s="88" t="s">
        <v>16123</v>
      </c>
      <c r="B552" s="88" t="e">
        <f>VLOOKUP(C552,#REF!,1,0)</f>
        <v>#REF!</v>
      </c>
      <c r="C552" s="1" t="s">
        <v>2047</v>
      </c>
      <c r="D552" s="1" t="s">
        <v>2048</v>
      </c>
      <c r="E552" s="1" t="s">
        <v>18502</v>
      </c>
      <c r="F552" s="1" t="s">
        <v>8957</v>
      </c>
      <c r="G552" t="s">
        <v>8959</v>
      </c>
      <c r="H552" s="1" t="s">
        <v>9035</v>
      </c>
      <c r="I552" s="1" t="s">
        <v>8998</v>
      </c>
      <c r="J552" s="2" t="s">
        <v>10492</v>
      </c>
      <c r="K552" s="1" t="s">
        <v>21645</v>
      </c>
      <c r="L552" s="1" t="s">
        <v>21600</v>
      </c>
      <c r="M552" s="1">
        <v>105</v>
      </c>
      <c r="N552" s="1" t="s">
        <v>9059</v>
      </c>
      <c r="O552" s="1" t="s">
        <v>8954</v>
      </c>
      <c r="P552" s="1" t="s">
        <v>8955</v>
      </c>
      <c r="Q552" s="1" t="s">
        <v>8956</v>
      </c>
      <c r="R552" s="1" t="s">
        <v>9103</v>
      </c>
      <c r="S552" s="1" t="s">
        <v>18931</v>
      </c>
      <c r="T552" s="1" t="s">
        <v>7</v>
      </c>
      <c r="U552" s="1" t="s">
        <v>378</v>
      </c>
    </row>
    <row r="553" spans="1:21" x14ac:dyDescent="0.2">
      <c r="A553" s="88" t="s">
        <v>16124</v>
      </c>
      <c r="B553" s="88" t="e">
        <f>VLOOKUP(C553,#REF!,1,0)</f>
        <v>#REF!</v>
      </c>
      <c r="C553" s="1" t="s">
        <v>2049</v>
      </c>
      <c r="D553" s="1" t="s">
        <v>2050</v>
      </c>
      <c r="E553" s="1" t="s">
        <v>18502</v>
      </c>
      <c r="F553" s="1" t="s">
        <v>9060</v>
      </c>
      <c r="G553" t="s">
        <v>8959</v>
      </c>
      <c r="H553" s="1" t="s">
        <v>8948</v>
      </c>
      <c r="I553" s="1" t="s">
        <v>8949</v>
      </c>
      <c r="J553" s="2" t="s">
        <v>10525</v>
      </c>
      <c r="K553" s="1" t="s">
        <v>10525</v>
      </c>
      <c r="L553" s="1" t="s">
        <v>8987</v>
      </c>
      <c r="M553" s="1">
        <v>10158</v>
      </c>
      <c r="N553" s="1" t="s">
        <v>8953</v>
      </c>
      <c r="O553" s="1" t="s">
        <v>8954</v>
      </c>
      <c r="P553" s="1" t="s">
        <v>8955</v>
      </c>
      <c r="Q553" s="1" t="s">
        <v>8956</v>
      </c>
      <c r="R553" s="1" t="s">
        <v>8958</v>
      </c>
      <c r="S553" s="1" t="s">
        <v>18932</v>
      </c>
      <c r="T553" s="1" t="s">
        <v>7</v>
      </c>
      <c r="U553" s="1" t="s">
        <v>2051</v>
      </c>
    </row>
    <row r="554" spans="1:21" x14ac:dyDescent="0.2">
      <c r="A554" s="88" t="s">
        <v>16125</v>
      </c>
      <c r="B554" s="88" t="e">
        <f>VLOOKUP(C554,#REF!,1,0)</f>
        <v>#REF!</v>
      </c>
      <c r="C554" s="1" t="s">
        <v>2052</v>
      </c>
      <c r="D554" s="1" t="s">
        <v>2053</v>
      </c>
      <c r="E554" s="1" t="s">
        <v>9010</v>
      </c>
      <c r="F554" s="1" t="s">
        <v>8974</v>
      </c>
      <c r="G554" t="s">
        <v>8959</v>
      </c>
      <c r="H554" s="1" t="s">
        <v>9035</v>
      </c>
      <c r="I554" s="1" t="s">
        <v>8998</v>
      </c>
      <c r="J554" s="2" t="s">
        <v>9036</v>
      </c>
      <c r="K554" s="1" t="s">
        <v>9036</v>
      </c>
      <c r="L554" s="1" t="s">
        <v>21600</v>
      </c>
      <c r="M554" s="1">
        <v>90</v>
      </c>
      <c r="N554" s="1" t="s">
        <v>8953</v>
      </c>
      <c r="O554" s="1" t="s">
        <v>8954</v>
      </c>
      <c r="P554" s="1" t="s">
        <v>8955</v>
      </c>
      <c r="Q554" s="1" t="s">
        <v>8956</v>
      </c>
      <c r="R554" s="1" t="s">
        <v>8958</v>
      </c>
      <c r="S554" s="1" t="s">
        <v>2054</v>
      </c>
      <c r="T554" s="1" t="s">
        <v>17</v>
      </c>
      <c r="U554" s="1" t="s">
        <v>93</v>
      </c>
    </row>
    <row r="555" spans="1:21" x14ac:dyDescent="0.2">
      <c r="A555" s="88" t="s">
        <v>16126</v>
      </c>
      <c r="B555" s="88" t="e">
        <f>VLOOKUP(C555,#REF!,1,0)</f>
        <v>#REF!</v>
      </c>
      <c r="C555" s="1" t="s">
        <v>2055</v>
      </c>
      <c r="D555" s="1" t="s">
        <v>2056</v>
      </c>
      <c r="E555" s="1" t="s">
        <v>18502</v>
      </c>
      <c r="F555" s="1" t="s">
        <v>8959</v>
      </c>
      <c r="G555" t="s">
        <v>8959</v>
      </c>
      <c r="H555" s="1" t="s">
        <v>8948</v>
      </c>
      <c r="I555" s="1" t="s">
        <v>8949</v>
      </c>
      <c r="J555" s="2" t="s">
        <v>21322</v>
      </c>
      <c r="K555" s="1" t="s">
        <v>21322</v>
      </c>
      <c r="L555" s="1" t="s">
        <v>21600</v>
      </c>
      <c r="M555" s="1">
        <v>351</v>
      </c>
      <c r="N555" s="1" t="s">
        <v>8953</v>
      </c>
      <c r="O555" s="1" t="s">
        <v>8954</v>
      </c>
      <c r="P555" s="1" t="s">
        <v>8955</v>
      </c>
      <c r="Q555" s="1" t="s">
        <v>8956</v>
      </c>
      <c r="R555" s="1" t="s">
        <v>9103</v>
      </c>
      <c r="S555" s="1" t="s">
        <v>18933</v>
      </c>
      <c r="T555" s="1" t="s">
        <v>7</v>
      </c>
      <c r="U555" s="1" t="s">
        <v>1966</v>
      </c>
    </row>
    <row r="556" spans="1:21" x14ac:dyDescent="0.2">
      <c r="A556" s="88" t="s">
        <v>16127</v>
      </c>
      <c r="B556" s="88" t="e">
        <f>VLOOKUP(C556,#REF!,1,0)</f>
        <v>#REF!</v>
      </c>
      <c r="C556" s="1" t="s">
        <v>2057</v>
      </c>
      <c r="D556" s="1" t="s">
        <v>2058</v>
      </c>
      <c r="E556" s="1" t="s">
        <v>9310</v>
      </c>
      <c r="F556" s="1" t="s">
        <v>8957</v>
      </c>
      <c r="G556" t="s">
        <v>8959</v>
      </c>
      <c r="H556" s="1" t="s">
        <v>9035</v>
      </c>
      <c r="I556" s="1" t="s">
        <v>9308</v>
      </c>
      <c r="J556" s="2" t="s">
        <v>21323</v>
      </c>
      <c r="K556" s="1" t="s">
        <v>21323</v>
      </c>
      <c r="L556" s="1" t="s">
        <v>8987</v>
      </c>
      <c r="M556" s="1">
        <v>2905</v>
      </c>
      <c r="N556" s="1" t="s">
        <v>8953</v>
      </c>
      <c r="O556" s="1" t="s">
        <v>8954</v>
      </c>
      <c r="P556" s="1" t="s">
        <v>8955</v>
      </c>
      <c r="Q556" s="1" t="s">
        <v>8956</v>
      </c>
      <c r="R556" s="1" t="s">
        <v>8958</v>
      </c>
      <c r="S556" s="1" t="s">
        <v>18934</v>
      </c>
      <c r="T556" s="1" t="s">
        <v>7</v>
      </c>
      <c r="U556" s="1" t="s">
        <v>1328</v>
      </c>
    </row>
    <row r="557" spans="1:21" x14ac:dyDescent="0.2">
      <c r="A557" s="88" t="s">
        <v>16128</v>
      </c>
      <c r="B557" s="88" t="e">
        <f>VLOOKUP(C557,#REF!,1,0)</f>
        <v>#REF!</v>
      </c>
      <c r="C557" s="1" t="s">
        <v>2059</v>
      </c>
      <c r="D557" s="1" t="s">
        <v>2060</v>
      </c>
      <c r="E557" s="1" t="s">
        <v>9310</v>
      </c>
      <c r="F557" s="1" t="s">
        <v>8957</v>
      </c>
      <c r="G557" t="s">
        <v>8959</v>
      </c>
      <c r="H557" s="1" t="s">
        <v>9075</v>
      </c>
      <c r="I557" s="1" t="s">
        <v>8971</v>
      </c>
      <c r="J557" s="2" t="s">
        <v>20779</v>
      </c>
      <c r="K557" s="1" t="s">
        <v>9036</v>
      </c>
      <c r="L557" s="1" t="s">
        <v>8951</v>
      </c>
      <c r="M557" s="1">
        <v>47579</v>
      </c>
      <c r="N557" s="1" t="s">
        <v>8953</v>
      </c>
      <c r="O557" s="1" t="s">
        <v>8989</v>
      </c>
      <c r="P557" s="1" t="s">
        <v>8955</v>
      </c>
      <c r="Q557" s="1" t="s">
        <v>8956</v>
      </c>
      <c r="R557" s="1" t="s">
        <v>8975</v>
      </c>
      <c r="S557" s="1" t="s">
        <v>18935</v>
      </c>
      <c r="T557" s="1" t="s">
        <v>17</v>
      </c>
      <c r="U557" s="1" t="s">
        <v>2061</v>
      </c>
    </row>
    <row r="558" spans="1:21" x14ac:dyDescent="0.2">
      <c r="A558" s="88" t="s">
        <v>16129</v>
      </c>
      <c r="B558" s="88" t="e">
        <f>VLOOKUP(C558,#REF!,1,0)</f>
        <v>#REF!</v>
      </c>
      <c r="C558" s="1" t="s">
        <v>2062</v>
      </c>
      <c r="D558" s="1" t="s">
        <v>2063</v>
      </c>
      <c r="E558" s="1" t="s">
        <v>9310</v>
      </c>
      <c r="F558" s="1" t="s">
        <v>9060</v>
      </c>
      <c r="G558" t="s">
        <v>8959</v>
      </c>
      <c r="H558" s="1" t="s">
        <v>9252</v>
      </c>
      <c r="I558" s="1" t="s">
        <v>20800</v>
      </c>
      <c r="J558" s="2" t="s">
        <v>21205</v>
      </c>
      <c r="K558" s="1" t="s">
        <v>21205</v>
      </c>
      <c r="L558" s="1" t="s">
        <v>8987</v>
      </c>
      <c r="M558" s="1">
        <v>7909</v>
      </c>
      <c r="N558" s="1" t="s">
        <v>8953</v>
      </c>
      <c r="O558" s="1" t="s">
        <v>8989</v>
      </c>
      <c r="P558" s="1" t="s">
        <v>8955</v>
      </c>
      <c r="Q558" s="1" t="s">
        <v>8956</v>
      </c>
      <c r="R558" s="1" t="s">
        <v>9103</v>
      </c>
      <c r="S558" s="1" t="s">
        <v>18936</v>
      </c>
      <c r="T558" s="1" t="s">
        <v>7</v>
      </c>
      <c r="U558" s="1" t="s">
        <v>2061</v>
      </c>
    </row>
    <row r="559" spans="1:21" x14ac:dyDescent="0.2">
      <c r="A559" s="88" t="s">
        <v>16130</v>
      </c>
      <c r="B559" s="88" t="e">
        <f>VLOOKUP(C559,#REF!,1,0)</f>
        <v>#REF!</v>
      </c>
      <c r="C559" s="1" t="s">
        <v>2064</v>
      </c>
      <c r="D559" s="1" t="s">
        <v>2065</v>
      </c>
      <c r="E559" s="1" t="s">
        <v>9310</v>
      </c>
      <c r="F559" s="1" t="s">
        <v>8959</v>
      </c>
      <c r="G559" t="s">
        <v>9183</v>
      </c>
      <c r="H559" s="1" t="s">
        <v>9075</v>
      </c>
      <c r="I559" s="1" t="s">
        <v>8949</v>
      </c>
      <c r="J559" s="2" t="s">
        <v>9436</v>
      </c>
      <c r="K559" s="1" t="s">
        <v>9436</v>
      </c>
      <c r="L559" s="1" t="s">
        <v>21600</v>
      </c>
      <c r="M559" s="1">
        <v>70</v>
      </c>
      <c r="N559" s="1" t="s">
        <v>9059</v>
      </c>
      <c r="O559" s="1" t="s">
        <v>8989</v>
      </c>
      <c r="P559" s="1" t="s">
        <v>8955</v>
      </c>
      <c r="Q559" s="1" t="s">
        <v>8956</v>
      </c>
      <c r="R559" s="1" t="s">
        <v>8958</v>
      </c>
      <c r="S559" s="1" t="s">
        <v>2066</v>
      </c>
      <c r="T559" s="1" t="s">
        <v>11</v>
      </c>
      <c r="U559" s="1" t="s">
        <v>1050</v>
      </c>
    </row>
    <row r="560" spans="1:21" x14ac:dyDescent="0.2">
      <c r="A560" s="88" t="s">
        <v>16131</v>
      </c>
      <c r="B560" s="88" t="e">
        <f>VLOOKUP(C560,#REF!,1,0)</f>
        <v>#REF!</v>
      </c>
      <c r="C560" s="1" t="s">
        <v>2067</v>
      </c>
      <c r="D560" s="1" t="s">
        <v>2068</v>
      </c>
      <c r="E560" s="1" t="s">
        <v>9310</v>
      </c>
      <c r="F560" s="1" t="s">
        <v>8957</v>
      </c>
      <c r="G560" t="s">
        <v>8959</v>
      </c>
      <c r="H560" s="1" t="s">
        <v>9049</v>
      </c>
      <c r="I560" s="1" t="s">
        <v>9050</v>
      </c>
      <c r="J560" s="2" t="s">
        <v>9036</v>
      </c>
      <c r="K560" s="1" t="s">
        <v>9036</v>
      </c>
      <c r="L560" s="1" t="s">
        <v>8987</v>
      </c>
      <c r="M560" s="1">
        <v>80000</v>
      </c>
      <c r="N560" s="1" t="s">
        <v>8953</v>
      </c>
      <c r="O560" s="1" t="s">
        <v>8989</v>
      </c>
      <c r="P560" s="1" t="s">
        <v>8955</v>
      </c>
      <c r="Q560" s="1" t="s">
        <v>8956</v>
      </c>
      <c r="R560" s="1" t="s">
        <v>8958</v>
      </c>
      <c r="S560" s="1" t="s">
        <v>2069</v>
      </c>
      <c r="T560" s="1" t="s">
        <v>4</v>
      </c>
      <c r="U560" s="1" t="s">
        <v>46</v>
      </c>
    </row>
    <row r="561" spans="1:21" x14ac:dyDescent="0.2">
      <c r="A561" s="88" t="s">
        <v>16133</v>
      </c>
      <c r="B561" s="88" t="e">
        <f>VLOOKUP(C561,#REF!,1,0)</f>
        <v>#REF!</v>
      </c>
      <c r="C561" s="1" t="s">
        <v>2080</v>
      </c>
      <c r="D561" s="1" t="s">
        <v>2081</v>
      </c>
      <c r="E561" s="1" t="s">
        <v>18502</v>
      </c>
      <c r="F561" s="1" t="s">
        <v>8957</v>
      </c>
      <c r="G561" t="s">
        <v>9061</v>
      </c>
      <c r="H561" s="1" t="s">
        <v>9075</v>
      </c>
      <c r="I561" s="1" t="s">
        <v>9131</v>
      </c>
      <c r="J561" s="2" t="s">
        <v>21350</v>
      </c>
      <c r="K561" s="1" t="s">
        <v>21350</v>
      </c>
      <c r="L561" s="1" t="s">
        <v>8951</v>
      </c>
      <c r="M561" s="1">
        <v>1851</v>
      </c>
      <c r="N561" s="1" t="s">
        <v>8953</v>
      </c>
      <c r="O561" s="1" t="s">
        <v>8989</v>
      </c>
      <c r="P561" s="1" t="s">
        <v>8955</v>
      </c>
      <c r="Q561" s="1" t="s">
        <v>8956</v>
      </c>
      <c r="R561" s="1" t="s">
        <v>8958</v>
      </c>
      <c r="S561" s="1" t="s">
        <v>20581</v>
      </c>
      <c r="T561" s="1" t="s">
        <v>17</v>
      </c>
      <c r="U561" s="1" t="s">
        <v>2082</v>
      </c>
    </row>
    <row r="562" spans="1:21" x14ac:dyDescent="0.2">
      <c r="A562" s="88" t="s">
        <v>16134</v>
      </c>
      <c r="B562" s="88" t="e">
        <f>VLOOKUP(C562,#REF!,1,0)</f>
        <v>#REF!</v>
      </c>
      <c r="C562" s="1" t="s">
        <v>2083</v>
      </c>
      <c r="D562" s="1" t="s">
        <v>2084</v>
      </c>
      <c r="E562" s="1" t="s">
        <v>9636</v>
      </c>
      <c r="F562" s="1" t="s">
        <v>8957</v>
      </c>
      <c r="G562" t="s">
        <v>9061</v>
      </c>
      <c r="H562" s="1" t="s">
        <v>9075</v>
      </c>
      <c r="I562" s="1" t="s">
        <v>9155</v>
      </c>
      <c r="J562" s="2" t="s">
        <v>20785</v>
      </c>
      <c r="K562" s="1" t="s">
        <v>18491</v>
      </c>
      <c r="L562" s="1" t="s">
        <v>9076</v>
      </c>
      <c r="M562" s="1">
        <v>17542</v>
      </c>
      <c r="N562" s="1" t="s">
        <v>8953</v>
      </c>
      <c r="O562" s="1" t="s">
        <v>8989</v>
      </c>
      <c r="P562" s="1" t="s">
        <v>8955</v>
      </c>
      <c r="Q562" s="1" t="s">
        <v>8956</v>
      </c>
      <c r="R562" s="1" t="s">
        <v>8958</v>
      </c>
      <c r="S562" s="1" t="s">
        <v>18939</v>
      </c>
      <c r="T562" s="1" t="s">
        <v>7</v>
      </c>
      <c r="U562" s="1" t="s">
        <v>857</v>
      </c>
    </row>
    <row r="563" spans="1:21" x14ac:dyDescent="0.2">
      <c r="A563" s="88" t="s">
        <v>16135</v>
      </c>
      <c r="B563" s="88" t="e">
        <f>VLOOKUP(C563,#REF!,1,0)</f>
        <v>#REF!</v>
      </c>
      <c r="C563" s="1" t="s">
        <v>2085</v>
      </c>
      <c r="D563" s="1" t="s">
        <v>2086</v>
      </c>
      <c r="E563" s="1" t="s">
        <v>18502</v>
      </c>
      <c r="F563" s="1" t="s">
        <v>8959</v>
      </c>
      <c r="G563" t="s">
        <v>8959</v>
      </c>
      <c r="H563" s="1" t="s">
        <v>8948</v>
      </c>
      <c r="I563" s="1" t="s">
        <v>8998</v>
      </c>
      <c r="J563" s="2" t="s">
        <v>20735</v>
      </c>
      <c r="K563" s="1" t="s">
        <v>21671</v>
      </c>
      <c r="L563" s="1" t="s">
        <v>8951</v>
      </c>
      <c r="M563" s="1">
        <v>4128</v>
      </c>
      <c r="N563" s="1" t="s">
        <v>8953</v>
      </c>
      <c r="O563" s="1" t="s">
        <v>8989</v>
      </c>
      <c r="P563" s="1" t="s">
        <v>8955</v>
      </c>
      <c r="Q563" s="1" t="s">
        <v>8956</v>
      </c>
      <c r="R563" s="1" t="s">
        <v>9103</v>
      </c>
      <c r="S563" s="1" t="s">
        <v>2087</v>
      </c>
      <c r="T563" s="1" t="s">
        <v>17</v>
      </c>
      <c r="U563" s="1" t="s">
        <v>87</v>
      </c>
    </row>
    <row r="564" spans="1:21" x14ac:dyDescent="0.2">
      <c r="A564" s="88" t="s">
        <v>16136</v>
      </c>
      <c r="B564" s="88" t="e">
        <f>VLOOKUP(C564,#REF!,1,0)</f>
        <v>#REF!</v>
      </c>
      <c r="C564" s="1" t="s">
        <v>2092</v>
      </c>
      <c r="D564" s="1" t="s">
        <v>2093</v>
      </c>
      <c r="E564" s="1" t="s">
        <v>18502</v>
      </c>
      <c r="F564" s="1" t="s">
        <v>8959</v>
      </c>
      <c r="G564" t="s">
        <v>8959</v>
      </c>
      <c r="H564" s="1" t="s">
        <v>20712</v>
      </c>
      <c r="I564" s="1" t="s">
        <v>9308</v>
      </c>
      <c r="J564" s="2" t="s">
        <v>20735</v>
      </c>
      <c r="K564" s="1" t="s">
        <v>20735</v>
      </c>
      <c r="L564" s="1" t="s">
        <v>8987</v>
      </c>
      <c r="M564" s="1">
        <v>15405</v>
      </c>
      <c r="N564" s="1" t="s">
        <v>8953</v>
      </c>
      <c r="O564" s="1" t="s">
        <v>8989</v>
      </c>
      <c r="P564" s="1" t="s">
        <v>8955</v>
      </c>
      <c r="Q564" s="1" t="s">
        <v>8956</v>
      </c>
      <c r="R564" s="1" t="s">
        <v>9103</v>
      </c>
      <c r="S564" s="1" t="s">
        <v>18940</v>
      </c>
      <c r="T564" s="1" t="s">
        <v>17</v>
      </c>
      <c r="U564" s="1" t="s">
        <v>87</v>
      </c>
    </row>
    <row r="565" spans="1:21" x14ac:dyDescent="0.2">
      <c r="A565" s="88" t="s">
        <v>16137</v>
      </c>
      <c r="B565" s="88" t="e">
        <f>VLOOKUP(C565,#REF!,1,0)</f>
        <v>#REF!</v>
      </c>
      <c r="C565" s="1" t="s">
        <v>2094</v>
      </c>
      <c r="D565" s="1" t="s">
        <v>2095</v>
      </c>
      <c r="E565" s="1" t="s">
        <v>10873</v>
      </c>
      <c r="F565" s="1" t="s">
        <v>9060</v>
      </c>
      <c r="G565" t="s">
        <v>8959</v>
      </c>
      <c r="H565" s="1" t="s">
        <v>8948</v>
      </c>
      <c r="I565" s="1" t="s">
        <v>8949</v>
      </c>
      <c r="J565" s="2" t="s">
        <v>20838</v>
      </c>
      <c r="K565" s="1" t="s">
        <v>20755</v>
      </c>
      <c r="L565" s="1" t="s">
        <v>9076</v>
      </c>
      <c r="M565" s="1">
        <v>4012</v>
      </c>
      <c r="N565" s="1" t="s">
        <v>8953</v>
      </c>
      <c r="O565" s="1" t="s">
        <v>8989</v>
      </c>
      <c r="P565" s="1" t="s">
        <v>8955</v>
      </c>
      <c r="Q565" s="1" t="s">
        <v>8956</v>
      </c>
      <c r="R565" s="1" t="s">
        <v>8958</v>
      </c>
      <c r="S565" s="1" t="s">
        <v>18941</v>
      </c>
      <c r="T565" s="1" t="s">
        <v>7</v>
      </c>
      <c r="U565" s="1" t="s">
        <v>46</v>
      </c>
    </row>
    <row r="566" spans="1:21" x14ac:dyDescent="0.2">
      <c r="A566" s="88" t="s">
        <v>16140</v>
      </c>
      <c r="B566" s="88" t="e">
        <f>VLOOKUP(C566,#REF!,1,0)</f>
        <v>#REF!</v>
      </c>
      <c r="C566" s="1" t="s">
        <v>2102</v>
      </c>
      <c r="D566" s="1" t="s">
        <v>2103</v>
      </c>
      <c r="E566" s="1" t="s">
        <v>10873</v>
      </c>
      <c r="F566" s="1" t="s">
        <v>9060</v>
      </c>
      <c r="G566" t="s">
        <v>8959</v>
      </c>
      <c r="H566" s="1" t="s">
        <v>9605</v>
      </c>
      <c r="I566" s="1" t="s">
        <v>9101</v>
      </c>
      <c r="J566" s="2" t="s">
        <v>20736</v>
      </c>
      <c r="K566" s="1" t="s">
        <v>20736</v>
      </c>
      <c r="L566" s="1" t="s">
        <v>9292</v>
      </c>
      <c r="M566" s="1">
        <f>96*50</f>
        <v>4800</v>
      </c>
      <c r="N566" s="1" t="s">
        <v>8953</v>
      </c>
      <c r="O566" s="1" t="s">
        <v>8989</v>
      </c>
      <c r="P566" s="1" t="s">
        <v>8955</v>
      </c>
      <c r="Q566" s="1" t="s">
        <v>8956</v>
      </c>
      <c r="R566" s="1" t="s">
        <v>8975</v>
      </c>
      <c r="S566" s="1" t="s">
        <v>18942</v>
      </c>
      <c r="T566" s="1" t="s">
        <v>17</v>
      </c>
      <c r="U566" s="1" t="s">
        <v>2104</v>
      </c>
    </row>
    <row r="567" spans="1:21" x14ac:dyDescent="0.2">
      <c r="A567" s="88" t="s">
        <v>16141</v>
      </c>
      <c r="B567" s="88" t="e">
        <f>VLOOKUP(C567,#REF!,1,0)</f>
        <v>#REF!</v>
      </c>
      <c r="C567" s="1" t="s">
        <v>2105</v>
      </c>
      <c r="D567" s="1" t="s">
        <v>2106</v>
      </c>
      <c r="E567" s="1" t="s">
        <v>9650</v>
      </c>
      <c r="F567" s="1" t="s">
        <v>8957</v>
      </c>
      <c r="G567" t="s">
        <v>8959</v>
      </c>
      <c r="H567" s="1" t="s">
        <v>9252</v>
      </c>
      <c r="I567" s="1" t="s">
        <v>9422</v>
      </c>
      <c r="J567" s="2" t="s">
        <v>9036</v>
      </c>
      <c r="K567" s="1" t="s">
        <v>9036</v>
      </c>
      <c r="L567" s="1" t="s">
        <v>8987</v>
      </c>
      <c r="M567" s="1">
        <v>120</v>
      </c>
      <c r="N567" s="1" t="s">
        <v>8953</v>
      </c>
      <c r="O567" s="1" t="s">
        <v>8989</v>
      </c>
      <c r="P567" s="1" t="s">
        <v>8955</v>
      </c>
      <c r="Q567" s="1" t="s">
        <v>8956</v>
      </c>
      <c r="R567" s="1" t="s">
        <v>8958</v>
      </c>
      <c r="S567" s="1" t="s">
        <v>2107</v>
      </c>
      <c r="T567" s="1" t="s">
        <v>11</v>
      </c>
      <c r="U567" s="1" t="s">
        <v>74</v>
      </c>
    </row>
    <row r="568" spans="1:21" x14ac:dyDescent="0.2">
      <c r="A568" s="88" t="s">
        <v>16142</v>
      </c>
      <c r="B568" s="88" t="e">
        <f>VLOOKUP(C568,#REF!,1,0)</f>
        <v>#REF!</v>
      </c>
      <c r="C568" s="1" t="s">
        <v>2108</v>
      </c>
      <c r="D568" s="1" t="s">
        <v>2109</v>
      </c>
      <c r="E568" s="1" t="s">
        <v>11671</v>
      </c>
      <c r="F568" s="1" t="s">
        <v>8957</v>
      </c>
      <c r="G568" t="s">
        <v>8959</v>
      </c>
      <c r="H568" s="1" t="s">
        <v>9092</v>
      </c>
      <c r="I568" s="1" t="s">
        <v>8949</v>
      </c>
      <c r="J568" s="2" t="s">
        <v>9036</v>
      </c>
      <c r="K568" s="1" t="s">
        <v>9036</v>
      </c>
      <c r="L568" s="1" t="s">
        <v>8951</v>
      </c>
      <c r="M568" s="1">
        <v>1347</v>
      </c>
      <c r="N568" s="1" t="s">
        <v>8953</v>
      </c>
      <c r="O568" s="1" t="s">
        <v>8989</v>
      </c>
      <c r="P568" s="1" t="s">
        <v>8955</v>
      </c>
      <c r="Q568" s="1" t="s">
        <v>8956</v>
      </c>
      <c r="R568" s="1" t="s">
        <v>9103</v>
      </c>
      <c r="S568" s="1" t="s">
        <v>2110</v>
      </c>
      <c r="T568" s="1" t="s">
        <v>4</v>
      </c>
      <c r="U568" s="1" t="s">
        <v>87</v>
      </c>
    </row>
    <row r="569" spans="1:21" x14ac:dyDescent="0.2">
      <c r="A569" s="88" t="s">
        <v>16144</v>
      </c>
      <c r="B569" s="88" t="e">
        <f>VLOOKUP(C569,#REF!,1,0)</f>
        <v>#REF!</v>
      </c>
      <c r="C569" s="1" t="s">
        <v>2114</v>
      </c>
      <c r="D569" s="1" t="s">
        <v>2115</v>
      </c>
      <c r="E569" s="1" t="s">
        <v>10032</v>
      </c>
      <c r="F569" s="1" t="s">
        <v>8957</v>
      </c>
      <c r="G569" t="s">
        <v>8959</v>
      </c>
      <c r="H569" s="1" t="s">
        <v>9252</v>
      </c>
      <c r="I569" s="1" t="s">
        <v>9725</v>
      </c>
      <c r="J569" s="2" t="s">
        <v>10492</v>
      </c>
      <c r="K569" s="1" t="s">
        <v>10492</v>
      </c>
      <c r="L569" s="1" t="s">
        <v>21600</v>
      </c>
      <c r="M569" s="1">
        <v>60</v>
      </c>
      <c r="N569" s="1" t="s">
        <v>9059</v>
      </c>
      <c r="O569" s="1" t="s">
        <v>8954</v>
      </c>
      <c r="P569" s="1" t="s">
        <v>8955</v>
      </c>
      <c r="Q569" s="1" t="s">
        <v>8956</v>
      </c>
      <c r="R569" s="1" t="s">
        <v>8975</v>
      </c>
      <c r="S569" s="1" t="s">
        <v>18944</v>
      </c>
      <c r="T569" s="1" t="s">
        <v>7</v>
      </c>
      <c r="U569" s="1" t="s">
        <v>46</v>
      </c>
    </row>
    <row r="570" spans="1:21" x14ac:dyDescent="0.2">
      <c r="A570" s="88" t="s">
        <v>16145</v>
      </c>
      <c r="B570" s="88" t="e">
        <f>VLOOKUP(C570,#REF!,1,0)</f>
        <v>#REF!</v>
      </c>
      <c r="C570" s="1" t="s">
        <v>2116</v>
      </c>
      <c r="D570" s="1" t="s">
        <v>2117</v>
      </c>
      <c r="E570" s="1" t="s">
        <v>10032</v>
      </c>
      <c r="F570" s="1" t="s">
        <v>8959</v>
      </c>
      <c r="G570" t="s">
        <v>8959</v>
      </c>
      <c r="H570" s="1" t="s">
        <v>8984</v>
      </c>
      <c r="I570" s="1" t="s">
        <v>9131</v>
      </c>
      <c r="J570" s="2" t="s">
        <v>10492</v>
      </c>
      <c r="K570" s="1" t="s">
        <v>10492</v>
      </c>
      <c r="L570" s="1" t="s">
        <v>8951</v>
      </c>
      <c r="M570" s="1">
        <v>3818</v>
      </c>
      <c r="N570" s="1" t="s">
        <v>8953</v>
      </c>
      <c r="O570" s="1" t="s">
        <v>8954</v>
      </c>
      <c r="P570" s="1" t="s">
        <v>8955</v>
      </c>
      <c r="Q570" s="1" t="s">
        <v>8956</v>
      </c>
      <c r="R570" s="1" t="s">
        <v>8975</v>
      </c>
      <c r="S570" s="1" t="s">
        <v>18945</v>
      </c>
      <c r="T570" s="1" t="s">
        <v>7</v>
      </c>
      <c r="U570" s="1" t="s">
        <v>64</v>
      </c>
    </row>
    <row r="571" spans="1:21" x14ac:dyDescent="0.2">
      <c r="A571" s="88" t="s">
        <v>16146</v>
      </c>
      <c r="B571" s="88" t="e">
        <f>VLOOKUP(C571,#REF!,1,0)</f>
        <v>#REF!</v>
      </c>
      <c r="C571" s="1" t="s">
        <v>2118</v>
      </c>
      <c r="D571" s="1" t="s">
        <v>2119</v>
      </c>
      <c r="E571" s="1" t="s">
        <v>9010</v>
      </c>
      <c r="F571" s="1" t="s">
        <v>8957</v>
      </c>
      <c r="G571" t="s">
        <v>8959</v>
      </c>
      <c r="H571" s="1" t="s">
        <v>9092</v>
      </c>
      <c r="I571" s="1" t="s">
        <v>9101</v>
      </c>
      <c r="J571" s="2" t="s">
        <v>10492</v>
      </c>
      <c r="K571" s="1" t="s">
        <v>10492</v>
      </c>
      <c r="L571" s="1" t="s">
        <v>21600</v>
      </c>
      <c r="M571" s="1">
        <v>1041</v>
      </c>
      <c r="N571" s="1" t="s">
        <v>8953</v>
      </c>
      <c r="O571" s="1" t="s">
        <v>8989</v>
      </c>
      <c r="P571" s="1" t="s">
        <v>8955</v>
      </c>
      <c r="Q571" s="1" t="s">
        <v>8956</v>
      </c>
      <c r="R571" s="1" t="s">
        <v>8958</v>
      </c>
      <c r="S571" s="1" t="s">
        <v>2120</v>
      </c>
      <c r="T571" s="1" t="s">
        <v>4</v>
      </c>
      <c r="U571" s="1" t="s">
        <v>2121</v>
      </c>
    </row>
    <row r="572" spans="1:21" x14ac:dyDescent="0.2">
      <c r="A572" s="88" t="s">
        <v>16147</v>
      </c>
      <c r="B572" s="88" t="e">
        <f>VLOOKUP(C572,#REF!,1,0)</f>
        <v>#REF!</v>
      </c>
      <c r="C572" s="1" t="s">
        <v>2122</v>
      </c>
      <c r="D572" s="1" t="s">
        <v>2123</v>
      </c>
      <c r="E572" s="1" t="s">
        <v>9387</v>
      </c>
      <c r="F572" s="1" t="s">
        <v>8959</v>
      </c>
      <c r="G572" t="s">
        <v>8959</v>
      </c>
      <c r="H572" s="1" t="s">
        <v>9154</v>
      </c>
      <c r="I572" s="1" t="s">
        <v>8998</v>
      </c>
      <c r="J572" s="2" t="s">
        <v>21463</v>
      </c>
      <c r="K572" s="1" t="s">
        <v>21463</v>
      </c>
      <c r="L572" s="1" t="s">
        <v>8951</v>
      </c>
      <c r="M572" s="1">
        <v>90</v>
      </c>
      <c r="N572" s="1" t="s">
        <v>9059</v>
      </c>
      <c r="O572" s="1" t="s">
        <v>8954</v>
      </c>
      <c r="P572" s="1" t="s">
        <v>8955</v>
      </c>
      <c r="Q572" s="1" t="s">
        <v>8956</v>
      </c>
      <c r="R572" s="1" t="s">
        <v>9103</v>
      </c>
      <c r="S572" s="1" t="s">
        <v>2124</v>
      </c>
      <c r="T572" s="1" t="s">
        <v>17</v>
      </c>
      <c r="U572" s="1" t="s">
        <v>93</v>
      </c>
    </row>
    <row r="573" spans="1:21" x14ac:dyDescent="0.2">
      <c r="A573" s="88" t="s">
        <v>16148</v>
      </c>
      <c r="B573" s="88" t="e">
        <f>VLOOKUP(C573,#REF!,1,0)</f>
        <v>#REF!</v>
      </c>
      <c r="C573" s="1" t="s">
        <v>2125</v>
      </c>
      <c r="D573" s="1" t="s">
        <v>2126</v>
      </c>
      <c r="E573" s="1" t="s">
        <v>9010</v>
      </c>
      <c r="F573" s="1" t="s">
        <v>9060</v>
      </c>
      <c r="G573" t="s">
        <v>8959</v>
      </c>
      <c r="H573" s="1" t="s">
        <v>9154</v>
      </c>
      <c r="I573" s="1" t="s">
        <v>8949</v>
      </c>
      <c r="J573" s="2" t="s">
        <v>9413</v>
      </c>
      <c r="K573" s="1" t="s">
        <v>9413</v>
      </c>
      <c r="L573" s="1" t="s">
        <v>8987</v>
      </c>
      <c r="M573" s="1">
        <v>4000</v>
      </c>
      <c r="N573" s="1" t="s">
        <v>8953</v>
      </c>
      <c r="O573" s="1" t="s">
        <v>8954</v>
      </c>
      <c r="P573" s="1" t="s">
        <v>8955</v>
      </c>
      <c r="Q573" s="1" t="s">
        <v>8956</v>
      </c>
      <c r="R573" s="1" t="s">
        <v>8975</v>
      </c>
      <c r="S573" s="1" t="s">
        <v>2127</v>
      </c>
      <c r="T573" s="1" t="s">
        <v>17</v>
      </c>
      <c r="U573" s="1" t="s">
        <v>580</v>
      </c>
    </row>
    <row r="574" spans="1:21" x14ac:dyDescent="0.2">
      <c r="A574" s="88" t="s">
        <v>16149</v>
      </c>
      <c r="B574" s="88" t="e">
        <f>VLOOKUP(C574,#REF!,1,0)</f>
        <v>#REF!</v>
      </c>
      <c r="C574" s="1" t="s">
        <v>2128</v>
      </c>
      <c r="D574" s="1" t="s">
        <v>2129</v>
      </c>
      <c r="E574" s="1" t="s">
        <v>9310</v>
      </c>
      <c r="F574" s="1" t="s">
        <v>8957</v>
      </c>
      <c r="G574" t="s">
        <v>9061</v>
      </c>
      <c r="H574" s="1" t="s">
        <v>9035</v>
      </c>
      <c r="I574" s="1" t="s">
        <v>8998</v>
      </c>
      <c r="J574" s="2" t="s">
        <v>20779</v>
      </c>
      <c r="K574" s="1" t="s">
        <v>9036</v>
      </c>
      <c r="L574" s="1" t="s">
        <v>8951</v>
      </c>
      <c r="M574" s="1">
        <v>15</v>
      </c>
      <c r="N574" s="1" t="s">
        <v>9059</v>
      </c>
      <c r="O574" s="1" t="s">
        <v>8989</v>
      </c>
      <c r="P574" s="1" t="s">
        <v>8955</v>
      </c>
      <c r="Q574" s="1" t="s">
        <v>8956</v>
      </c>
      <c r="R574" s="1" t="s">
        <v>8958</v>
      </c>
      <c r="S574" s="1" t="s">
        <v>18946</v>
      </c>
      <c r="T574" s="1" t="s">
        <v>7</v>
      </c>
      <c r="U574" s="1" t="s">
        <v>831</v>
      </c>
    </row>
    <row r="575" spans="1:21" x14ac:dyDescent="0.2">
      <c r="A575" s="88" t="s">
        <v>16150</v>
      </c>
      <c r="B575" s="88" t="e">
        <f>VLOOKUP(C575,#REF!,1,0)</f>
        <v>#REF!</v>
      </c>
      <c r="C575" s="1" t="s">
        <v>2130</v>
      </c>
      <c r="D575" s="1" t="s">
        <v>2131</v>
      </c>
      <c r="E575" s="1" t="s">
        <v>9310</v>
      </c>
      <c r="F575" s="1" t="s">
        <v>9060</v>
      </c>
      <c r="G575" t="s">
        <v>8959</v>
      </c>
      <c r="H575" s="1" t="s">
        <v>20714</v>
      </c>
      <c r="I575" s="1" t="s">
        <v>20725</v>
      </c>
      <c r="J575" s="2" t="s">
        <v>10525</v>
      </c>
      <c r="K575" s="1" t="s">
        <v>10525</v>
      </c>
      <c r="L575" s="1" t="s">
        <v>8951</v>
      </c>
      <c r="M575" s="1">
        <v>8270</v>
      </c>
      <c r="N575" s="1" t="s">
        <v>8953</v>
      </c>
      <c r="O575" s="1" t="s">
        <v>8989</v>
      </c>
      <c r="P575" s="1" t="s">
        <v>8955</v>
      </c>
      <c r="Q575" s="1" t="s">
        <v>8956</v>
      </c>
      <c r="R575" s="1" t="s">
        <v>8975</v>
      </c>
      <c r="S575" s="1" t="s">
        <v>18947</v>
      </c>
      <c r="T575" s="1" t="s">
        <v>17</v>
      </c>
      <c r="U575" s="1" t="s">
        <v>443</v>
      </c>
    </row>
    <row r="576" spans="1:21" x14ac:dyDescent="0.2">
      <c r="A576" s="88" t="s">
        <v>16151</v>
      </c>
      <c r="B576" s="88" t="e">
        <f>VLOOKUP(C576,#REF!,1,0)</f>
        <v>#REF!</v>
      </c>
      <c r="C576" s="1" t="s">
        <v>2132</v>
      </c>
      <c r="D576" s="1" t="s">
        <v>2133</v>
      </c>
      <c r="E576" s="1" t="s">
        <v>10850</v>
      </c>
      <c r="F576" s="1" t="s">
        <v>8957</v>
      </c>
      <c r="G576" t="s">
        <v>9183</v>
      </c>
      <c r="H576" s="1" t="s">
        <v>9049</v>
      </c>
      <c r="I576" s="1" t="s">
        <v>9050</v>
      </c>
      <c r="J576" s="2" t="s">
        <v>12097</v>
      </c>
      <c r="K576" s="1" t="s">
        <v>12097</v>
      </c>
      <c r="L576" s="1" t="s">
        <v>21600</v>
      </c>
      <c r="M576" s="1">
        <v>650</v>
      </c>
      <c r="N576" s="1" t="s">
        <v>8953</v>
      </c>
      <c r="O576" s="1" t="s">
        <v>8954</v>
      </c>
      <c r="P576" s="1" t="s">
        <v>8955</v>
      </c>
      <c r="Q576" s="1" t="s">
        <v>8956</v>
      </c>
      <c r="R576" s="1" t="s">
        <v>8958</v>
      </c>
      <c r="S576" s="1" t="s">
        <v>2134</v>
      </c>
      <c r="T576" s="1" t="s">
        <v>11</v>
      </c>
      <c r="U576" s="1" t="s">
        <v>61</v>
      </c>
    </row>
    <row r="577" spans="1:21" x14ac:dyDescent="0.2">
      <c r="A577" s="88" t="s">
        <v>16152</v>
      </c>
      <c r="B577" s="88" t="e">
        <f>VLOOKUP(C577,#REF!,1,0)</f>
        <v>#REF!</v>
      </c>
      <c r="C577" s="1" t="s">
        <v>2135</v>
      </c>
      <c r="D577" s="1" t="s">
        <v>2136</v>
      </c>
      <c r="E577" s="1" t="s">
        <v>9310</v>
      </c>
      <c r="F577" s="1" t="s">
        <v>8957</v>
      </c>
      <c r="G577" t="s">
        <v>9183</v>
      </c>
      <c r="H577" s="1" t="s">
        <v>9049</v>
      </c>
      <c r="I577" s="1" t="s">
        <v>9050</v>
      </c>
      <c r="J577" s="2" t="s">
        <v>10218</v>
      </c>
      <c r="K577" s="1" t="s">
        <v>10218</v>
      </c>
      <c r="L577" s="1" t="s">
        <v>8987</v>
      </c>
      <c r="M577" s="1">
        <v>5783</v>
      </c>
      <c r="N577" s="1" t="s">
        <v>8953</v>
      </c>
      <c r="O577" s="1" t="s">
        <v>8954</v>
      </c>
      <c r="P577" s="1" t="s">
        <v>8955</v>
      </c>
      <c r="Q577" s="1" t="s">
        <v>8956</v>
      </c>
      <c r="R577" s="1" t="s">
        <v>8975</v>
      </c>
      <c r="S577" s="1" t="s">
        <v>2137</v>
      </c>
      <c r="T577" s="1" t="s">
        <v>11</v>
      </c>
      <c r="U577" s="1" t="s">
        <v>61</v>
      </c>
    </row>
    <row r="578" spans="1:21" x14ac:dyDescent="0.2">
      <c r="A578" s="88" t="s">
        <v>16153</v>
      </c>
      <c r="B578" s="88" t="e">
        <f>VLOOKUP(C578,#REF!,1,0)</f>
        <v>#REF!</v>
      </c>
      <c r="C578" s="1" t="s">
        <v>2138</v>
      </c>
      <c r="D578" s="1" t="s">
        <v>2139</v>
      </c>
      <c r="E578" s="1" t="s">
        <v>18502</v>
      </c>
      <c r="F578" s="1" t="s">
        <v>8957</v>
      </c>
      <c r="G578" t="s">
        <v>8959</v>
      </c>
      <c r="H578" s="1" t="s">
        <v>9092</v>
      </c>
      <c r="I578" s="1" t="s">
        <v>8949</v>
      </c>
      <c r="J578" s="2" t="s">
        <v>10525</v>
      </c>
      <c r="K578" s="1" t="s">
        <v>21650</v>
      </c>
      <c r="L578" s="1" t="s">
        <v>9076</v>
      </c>
      <c r="M578" s="1">
        <v>1280</v>
      </c>
      <c r="N578" s="1" t="s">
        <v>8953</v>
      </c>
      <c r="O578" s="1" t="s">
        <v>8989</v>
      </c>
      <c r="P578" s="1" t="s">
        <v>8955</v>
      </c>
      <c r="Q578" s="1" t="s">
        <v>8956</v>
      </c>
      <c r="R578" s="1" t="s">
        <v>8958</v>
      </c>
      <c r="S578" s="1" t="s">
        <v>18948</v>
      </c>
      <c r="T578" s="1" t="s">
        <v>17</v>
      </c>
      <c r="U578" s="1" t="s">
        <v>93</v>
      </c>
    </row>
    <row r="579" spans="1:21" x14ac:dyDescent="0.2">
      <c r="A579" s="88" t="s">
        <v>16154</v>
      </c>
      <c r="B579" s="88" t="e">
        <f>VLOOKUP(C579,#REF!,1,0)</f>
        <v>#REF!</v>
      </c>
      <c r="C579" s="1" t="s">
        <v>2140</v>
      </c>
      <c r="D579" s="1" t="s">
        <v>2141</v>
      </c>
      <c r="E579" s="1" t="s">
        <v>18502</v>
      </c>
      <c r="F579" s="1" t="s">
        <v>8959</v>
      </c>
      <c r="G579" t="s">
        <v>9061</v>
      </c>
      <c r="H579" s="1" t="s">
        <v>8984</v>
      </c>
      <c r="I579" s="1" t="s">
        <v>8949</v>
      </c>
      <c r="J579" s="2" t="s">
        <v>10525</v>
      </c>
      <c r="K579" s="1" t="s">
        <v>10525</v>
      </c>
      <c r="L579" s="1" t="s">
        <v>8951</v>
      </c>
      <c r="M579" s="1">
        <v>43</v>
      </c>
      <c r="N579" s="1" t="s">
        <v>9059</v>
      </c>
      <c r="O579" s="1" t="s">
        <v>8989</v>
      </c>
      <c r="P579" s="1" t="s">
        <v>8955</v>
      </c>
      <c r="Q579" s="1" t="s">
        <v>8956</v>
      </c>
      <c r="R579" s="1" t="s">
        <v>8975</v>
      </c>
      <c r="S579" s="1" t="s">
        <v>18949</v>
      </c>
      <c r="T579" s="1" t="s">
        <v>7</v>
      </c>
      <c r="U579" s="1" t="s">
        <v>378</v>
      </c>
    </row>
    <row r="580" spans="1:21" x14ac:dyDescent="0.2">
      <c r="A580" s="88" t="s">
        <v>16155</v>
      </c>
      <c r="B580" s="88" t="e">
        <f>VLOOKUP(C580,#REF!,1,0)</f>
        <v>#REF!</v>
      </c>
      <c r="C580" s="1" t="s">
        <v>2142</v>
      </c>
      <c r="D580" s="1" t="s">
        <v>2143</v>
      </c>
      <c r="E580" s="1" t="s">
        <v>9310</v>
      </c>
      <c r="F580" s="1" t="s">
        <v>8957</v>
      </c>
      <c r="G580" t="s">
        <v>8959</v>
      </c>
      <c r="H580" s="1" t="s">
        <v>8984</v>
      </c>
      <c r="I580" s="1" t="s">
        <v>8998</v>
      </c>
      <c r="J580" s="2" t="s">
        <v>9036</v>
      </c>
      <c r="K580" s="1" t="s">
        <v>9036</v>
      </c>
      <c r="L580" s="1" t="s">
        <v>9133</v>
      </c>
      <c r="M580" s="1">
        <v>30208</v>
      </c>
      <c r="N580" s="1" t="s">
        <v>8953</v>
      </c>
      <c r="O580" s="1" t="s">
        <v>8954</v>
      </c>
      <c r="P580" s="1" t="s">
        <v>8955</v>
      </c>
      <c r="Q580" s="1" t="s">
        <v>8956</v>
      </c>
      <c r="R580" s="1" t="s">
        <v>8975</v>
      </c>
      <c r="S580" s="1" t="s">
        <v>2144</v>
      </c>
      <c r="T580" s="1" t="s">
        <v>11</v>
      </c>
      <c r="U580" s="1" t="s">
        <v>2145</v>
      </c>
    </row>
    <row r="581" spans="1:21" x14ac:dyDescent="0.2">
      <c r="A581" s="88" t="s">
        <v>16156</v>
      </c>
      <c r="B581" s="88" t="e">
        <f>VLOOKUP(C581,#REF!,1,0)</f>
        <v>#REF!</v>
      </c>
      <c r="C581" s="1" t="s">
        <v>2146</v>
      </c>
      <c r="D581" s="1" t="s">
        <v>2147</v>
      </c>
      <c r="E581" s="1" t="s">
        <v>9310</v>
      </c>
      <c r="F581" s="1" t="s">
        <v>8957</v>
      </c>
      <c r="G581" t="s">
        <v>9061</v>
      </c>
      <c r="H581" s="1" t="s">
        <v>8984</v>
      </c>
      <c r="I581" s="1" t="s">
        <v>9155</v>
      </c>
      <c r="J581" s="2" t="s">
        <v>10309</v>
      </c>
      <c r="K581" s="1" t="s">
        <v>10309</v>
      </c>
      <c r="L581" s="1" t="s">
        <v>9133</v>
      </c>
      <c r="M581" s="1">
        <v>3540</v>
      </c>
      <c r="N581" s="1" t="s">
        <v>8953</v>
      </c>
      <c r="O581" s="1" t="s">
        <v>8989</v>
      </c>
      <c r="P581" s="1" t="s">
        <v>8955</v>
      </c>
      <c r="Q581" s="1" t="s">
        <v>8956</v>
      </c>
      <c r="R581" s="1" t="s">
        <v>8958</v>
      </c>
      <c r="S581" s="1" t="s">
        <v>2148</v>
      </c>
      <c r="T581" s="1" t="s">
        <v>17</v>
      </c>
      <c r="U581" s="1" t="s">
        <v>2149</v>
      </c>
    </row>
    <row r="582" spans="1:21" x14ac:dyDescent="0.2">
      <c r="A582" s="88" t="s">
        <v>16157</v>
      </c>
      <c r="B582" s="88" t="e">
        <f>VLOOKUP(C582,#REF!,1,0)</f>
        <v>#REF!</v>
      </c>
      <c r="C582" s="1" t="s">
        <v>2150</v>
      </c>
      <c r="D582" s="1" t="s">
        <v>2151</v>
      </c>
      <c r="E582" s="1" t="s">
        <v>12387</v>
      </c>
      <c r="F582" s="1" t="s">
        <v>8957</v>
      </c>
      <c r="G582" t="s">
        <v>9183</v>
      </c>
      <c r="H582" s="1" t="s">
        <v>9154</v>
      </c>
      <c r="I582" s="1" t="s">
        <v>9422</v>
      </c>
      <c r="J582" s="2" t="s">
        <v>12386</v>
      </c>
      <c r="K582" s="1" t="s">
        <v>21599</v>
      </c>
      <c r="L582" s="1" t="s">
        <v>21600</v>
      </c>
      <c r="M582" s="1">
        <v>72</v>
      </c>
      <c r="N582" s="1" t="s">
        <v>8953</v>
      </c>
      <c r="O582" s="1" t="s">
        <v>8989</v>
      </c>
      <c r="P582" s="1" t="s">
        <v>8955</v>
      </c>
      <c r="Q582" s="1" t="s">
        <v>8956</v>
      </c>
      <c r="R582" s="1" t="s">
        <v>8958</v>
      </c>
      <c r="S582" s="1" t="s">
        <v>2152</v>
      </c>
      <c r="T582" s="1" t="s">
        <v>11</v>
      </c>
      <c r="U582" s="1" t="s">
        <v>74</v>
      </c>
    </row>
    <row r="583" spans="1:21" x14ac:dyDescent="0.2">
      <c r="A583" s="88" t="s">
        <v>16158</v>
      </c>
      <c r="B583" s="88" t="e">
        <f>VLOOKUP(C583,#REF!,1,0)</f>
        <v>#REF!</v>
      </c>
      <c r="C583" s="1" t="s">
        <v>2156</v>
      </c>
      <c r="D583" s="1" t="s">
        <v>2157</v>
      </c>
      <c r="E583" s="1" t="s">
        <v>18502</v>
      </c>
      <c r="F583" s="1" t="s">
        <v>8957</v>
      </c>
      <c r="G583" t="s">
        <v>9061</v>
      </c>
      <c r="H583" s="1" t="s">
        <v>9035</v>
      </c>
      <c r="I583" s="1" t="s">
        <v>8998</v>
      </c>
      <c r="J583" s="2" t="s">
        <v>20785</v>
      </c>
      <c r="K583" s="1" t="s">
        <v>18491</v>
      </c>
      <c r="L583" s="1" t="s">
        <v>9464</v>
      </c>
      <c r="M583" s="1">
        <v>20</v>
      </c>
      <c r="N583" s="1" t="s">
        <v>9059</v>
      </c>
      <c r="O583" s="1" t="s">
        <v>8954</v>
      </c>
      <c r="P583" s="1" t="s">
        <v>8955</v>
      </c>
      <c r="Q583" s="1" t="s">
        <v>8956</v>
      </c>
      <c r="R583" s="1" t="s">
        <v>8975</v>
      </c>
      <c r="S583" s="1" t="s">
        <v>18951</v>
      </c>
      <c r="T583" s="1" t="s">
        <v>7</v>
      </c>
      <c r="U583" s="1" t="s">
        <v>93</v>
      </c>
    </row>
    <row r="584" spans="1:21" x14ac:dyDescent="0.2">
      <c r="A584" s="88" t="s">
        <v>16159</v>
      </c>
      <c r="B584" s="88" t="e">
        <f>VLOOKUP(C584,#REF!,1,0)</f>
        <v>#REF!</v>
      </c>
      <c r="C584" s="1" t="s">
        <v>2158</v>
      </c>
      <c r="D584" s="1" t="s">
        <v>2159</v>
      </c>
      <c r="E584" s="1" t="s">
        <v>9010</v>
      </c>
      <c r="F584" s="1" t="s">
        <v>8957</v>
      </c>
      <c r="G584" t="s">
        <v>9061</v>
      </c>
      <c r="H584" s="1" t="s">
        <v>9100</v>
      </c>
      <c r="I584" s="1" t="s">
        <v>8949</v>
      </c>
      <c r="J584" s="2" t="s">
        <v>9036</v>
      </c>
      <c r="K584" s="1" t="s">
        <v>9036</v>
      </c>
      <c r="L584" s="1" t="s">
        <v>21600</v>
      </c>
      <c r="M584" s="1">
        <v>120</v>
      </c>
      <c r="N584" s="1" t="s">
        <v>8953</v>
      </c>
      <c r="O584" s="1" t="s">
        <v>8954</v>
      </c>
      <c r="P584" s="1" t="s">
        <v>8955</v>
      </c>
      <c r="Q584" s="1" t="s">
        <v>8956</v>
      </c>
      <c r="R584" s="1" t="s">
        <v>8975</v>
      </c>
      <c r="S584" s="1" t="s">
        <v>2160</v>
      </c>
      <c r="T584" s="1" t="s">
        <v>11</v>
      </c>
      <c r="U584" s="1" t="s">
        <v>93</v>
      </c>
    </row>
    <row r="585" spans="1:21" x14ac:dyDescent="0.2">
      <c r="A585" s="88" t="s">
        <v>16160</v>
      </c>
      <c r="B585" s="88" t="e">
        <f>VLOOKUP(C585,#REF!,1,0)</f>
        <v>#REF!</v>
      </c>
      <c r="C585" s="1" t="s">
        <v>2161</v>
      </c>
      <c r="D585" s="1" t="s">
        <v>2162</v>
      </c>
      <c r="E585" s="1" t="s">
        <v>9310</v>
      </c>
      <c r="F585" s="1" t="s">
        <v>8957</v>
      </c>
      <c r="G585" t="s">
        <v>8959</v>
      </c>
      <c r="H585" s="1" t="s">
        <v>9092</v>
      </c>
      <c r="I585" s="1" t="s">
        <v>20800</v>
      </c>
      <c r="J585" s="2" t="s">
        <v>18497</v>
      </c>
      <c r="K585" s="1" t="s">
        <v>18497</v>
      </c>
      <c r="L585" s="1" t="s">
        <v>8987</v>
      </c>
      <c r="M585" s="1">
        <v>1144</v>
      </c>
      <c r="N585" s="1" t="s">
        <v>8953</v>
      </c>
      <c r="O585" s="1" t="s">
        <v>8989</v>
      </c>
      <c r="P585" s="1" t="s">
        <v>8955</v>
      </c>
      <c r="Q585" s="1" t="s">
        <v>8956</v>
      </c>
      <c r="R585" s="1" t="s">
        <v>8958</v>
      </c>
      <c r="S585" s="1" t="s">
        <v>18952</v>
      </c>
      <c r="T585" s="1" t="s">
        <v>7</v>
      </c>
      <c r="U585" s="1" t="s">
        <v>93</v>
      </c>
    </row>
    <row r="586" spans="1:21" x14ac:dyDescent="0.2">
      <c r="A586" s="88" t="s">
        <v>16162</v>
      </c>
      <c r="B586" s="88"/>
      <c r="C586" s="1" t="s">
        <v>2165</v>
      </c>
      <c r="D586" s="1" t="s">
        <v>2166</v>
      </c>
      <c r="E586" s="1" t="e">
        <v>#N/A</v>
      </c>
      <c r="F586" s="1" t="e">
        <v>#N/A</v>
      </c>
      <c r="G586" t="e">
        <v>#N/A</v>
      </c>
      <c r="H586" s="1" t="e">
        <v>#N/A</v>
      </c>
      <c r="I586" s="1" t="e">
        <v>#N/A</v>
      </c>
      <c r="J586" s="2" t="e">
        <v>#N/A</v>
      </c>
      <c r="K586" s="1" t="e">
        <v>#N/A</v>
      </c>
      <c r="L586" s="1" t="e">
        <v>#N/A</v>
      </c>
      <c r="M586" s="1" t="e">
        <v>#N/A</v>
      </c>
      <c r="N586" s="1" t="e">
        <v>#N/A</v>
      </c>
      <c r="O586" s="1" t="e">
        <v>#N/A</v>
      </c>
      <c r="P586" s="1" t="s">
        <v>8955</v>
      </c>
      <c r="Q586" s="1" t="s">
        <v>8956</v>
      </c>
      <c r="R586" s="1" t="s">
        <v>8958</v>
      </c>
      <c r="S586" s="1" t="s">
        <v>18954</v>
      </c>
      <c r="T586" s="1" t="s">
        <v>252</v>
      </c>
      <c r="U586" s="1" t="s">
        <v>286</v>
      </c>
    </row>
    <row r="587" spans="1:21" x14ac:dyDescent="0.2">
      <c r="A587" s="88" t="s">
        <v>16163</v>
      </c>
      <c r="B587" s="88" t="e">
        <f>VLOOKUP(C587,#REF!,1,0)</f>
        <v>#REF!</v>
      </c>
      <c r="C587" s="1" t="s">
        <v>2167</v>
      </c>
      <c r="D587" s="1" t="s">
        <v>2168</v>
      </c>
      <c r="E587" s="1" t="s">
        <v>18502</v>
      </c>
      <c r="F587" s="1" t="s">
        <v>8959</v>
      </c>
      <c r="G587" t="s">
        <v>9061</v>
      </c>
      <c r="H587" s="1" t="s">
        <v>9605</v>
      </c>
      <c r="I587" s="1" t="s">
        <v>9725</v>
      </c>
      <c r="J587" s="2" t="s">
        <v>21230</v>
      </c>
      <c r="K587" s="1" t="s">
        <v>21230</v>
      </c>
      <c r="L587" s="1" t="s">
        <v>9133</v>
      </c>
      <c r="M587" s="1">
        <v>2160</v>
      </c>
      <c r="N587" s="1" t="s">
        <v>8953</v>
      </c>
      <c r="O587" s="1" t="s">
        <v>8989</v>
      </c>
      <c r="P587" s="1" t="s">
        <v>8955</v>
      </c>
      <c r="Q587" s="1" t="s">
        <v>8956</v>
      </c>
      <c r="R587" s="1" t="s">
        <v>8958</v>
      </c>
      <c r="S587" s="1" t="s">
        <v>20582</v>
      </c>
      <c r="T587" s="1" t="s">
        <v>7</v>
      </c>
      <c r="U587" s="1" t="s">
        <v>831</v>
      </c>
    </row>
    <row r="588" spans="1:21" x14ac:dyDescent="0.2">
      <c r="A588" s="88" t="s">
        <v>16164</v>
      </c>
      <c r="B588" s="88" t="e">
        <f>VLOOKUP(C588,#REF!,1,0)</f>
        <v>#REF!</v>
      </c>
      <c r="C588" s="1" t="s">
        <v>2169</v>
      </c>
      <c r="D588" s="1" t="s">
        <v>2170</v>
      </c>
      <c r="E588" s="1" t="s">
        <v>9333</v>
      </c>
      <c r="F588" s="1" t="s">
        <v>8957</v>
      </c>
      <c r="G588" t="s">
        <v>9061</v>
      </c>
      <c r="H588" s="1" t="s">
        <v>9252</v>
      </c>
      <c r="I588" s="1" t="s">
        <v>8971</v>
      </c>
      <c r="J588" s="2" t="s">
        <v>10135</v>
      </c>
      <c r="K588" s="1" t="s">
        <v>21772</v>
      </c>
      <c r="L588" s="1" t="s">
        <v>9292</v>
      </c>
      <c r="M588" s="1">
        <v>947</v>
      </c>
      <c r="N588" s="1" t="s">
        <v>8953</v>
      </c>
      <c r="O588" s="1" t="s">
        <v>8989</v>
      </c>
      <c r="P588" s="1" t="s">
        <v>8955</v>
      </c>
      <c r="Q588" s="1" t="s">
        <v>8956</v>
      </c>
      <c r="R588" s="1" t="s">
        <v>8975</v>
      </c>
      <c r="S588" s="1" t="s">
        <v>2171</v>
      </c>
      <c r="T588" s="1" t="s">
        <v>17</v>
      </c>
      <c r="U588" s="1" t="s">
        <v>2172</v>
      </c>
    </row>
    <row r="589" spans="1:21" x14ac:dyDescent="0.2">
      <c r="A589" s="88" t="s">
        <v>16165</v>
      </c>
      <c r="B589" s="88" t="e">
        <f>VLOOKUP(C589,#REF!,1,0)</f>
        <v>#REF!</v>
      </c>
      <c r="C589" s="1" t="s">
        <v>2176</v>
      </c>
      <c r="D589" s="1" t="s">
        <v>2177</v>
      </c>
      <c r="E589" s="1" t="s">
        <v>9333</v>
      </c>
      <c r="F589" s="1" t="s">
        <v>8959</v>
      </c>
      <c r="G589" t="s">
        <v>9009</v>
      </c>
      <c r="H589" s="1" t="s">
        <v>9173</v>
      </c>
      <c r="I589" s="1" t="s">
        <v>8959</v>
      </c>
      <c r="J589" s="2" t="s">
        <v>20735</v>
      </c>
      <c r="K589" s="1" t="s">
        <v>21671</v>
      </c>
      <c r="L589" s="1" t="s">
        <v>8987</v>
      </c>
      <c r="M589" s="1">
        <v>4867</v>
      </c>
      <c r="N589" s="1" t="s">
        <v>8953</v>
      </c>
      <c r="O589" s="1" t="s">
        <v>8989</v>
      </c>
      <c r="P589" s="1" t="s">
        <v>8955</v>
      </c>
      <c r="Q589" s="1" t="s">
        <v>8956</v>
      </c>
      <c r="R589" s="1" t="s">
        <v>8975</v>
      </c>
      <c r="S589" s="1" t="s">
        <v>18956</v>
      </c>
      <c r="T589" s="1" t="s">
        <v>17</v>
      </c>
      <c r="U589" s="1" t="s">
        <v>2178</v>
      </c>
    </row>
    <row r="590" spans="1:21" x14ac:dyDescent="0.2">
      <c r="A590" s="88" t="s">
        <v>16166</v>
      </c>
      <c r="B590" s="88" t="e">
        <f>VLOOKUP(C590,#REF!,1,0)</f>
        <v>#REF!</v>
      </c>
      <c r="C590" s="1" t="s">
        <v>2184</v>
      </c>
      <c r="D590" s="1" t="s">
        <v>2185</v>
      </c>
      <c r="E590" s="1" t="s">
        <v>9333</v>
      </c>
      <c r="F590" s="1" t="s">
        <v>8957</v>
      </c>
      <c r="G590" t="s">
        <v>9061</v>
      </c>
      <c r="H590" s="1" t="s">
        <v>8948</v>
      </c>
      <c r="I590" s="1" t="s">
        <v>8949</v>
      </c>
      <c r="J590" s="2" t="s">
        <v>10492</v>
      </c>
      <c r="K590" s="1" t="s">
        <v>10492</v>
      </c>
      <c r="L590" s="1" t="s">
        <v>9076</v>
      </c>
      <c r="M590" s="1">
        <v>15</v>
      </c>
      <c r="N590" s="1" t="s">
        <v>9059</v>
      </c>
      <c r="O590" s="1" t="s">
        <v>8989</v>
      </c>
      <c r="P590" s="1" t="s">
        <v>8955</v>
      </c>
      <c r="Q590" s="1" t="s">
        <v>8956</v>
      </c>
      <c r="R590" s="1" t="s">
        <v>8975</v>
      </c>
      <c r="S590" s="1" t="s">
        <v>20583</v>
      </c>
      <c r="T590" s="1" t="s">
        <v>7</v>
      </c>
      <c r="U590" s="1" t="s">
        <v>666</v>
      </c>
    </row>
    <row r="591" spans="1:21" x14ac:dyDescent="0.2">
      <c r="A591" s="88" t="s">
        <v>16167</v>
      </c>
      <c r="B591" s="88" t="e">
        <f>VLOOKUP(C591,#REF!,1,0)</f>
        <v>#REF!</v>
      </c>
      <c r="C591" s="1" t="s">
        <v>2186</v>
      </c>
      <c r="D591" s="1" t="s">
        <v>2187</v>
      </c>
      <c r="E591" s="1" t="s">
        <v>9333</v>
      </c>
      <c r="F591" s="1" t="s">
        <v>8959</v>
      </c>
      <c r="G591" t="s">
        <v>9061</v>
      </c>
      <c r="H591" s="1" t="s">
        <v>9605</v>
      </c>
      <c r="I591" s="1" t="s">
        <v>9308</v>
      </c>
      <c r="J591" s="2" t="s">
        <v>21225</v>
      </c>
      <c r="K591" s="1" t="s">
        <v>21773</v>
      </c>
      <c r="L591" s="1" t="s">
        <v>8987</v>
      </c>
      <c r="M591" s="1">
        <v>600</v>
      </c>
      <c r="N591" s="1" t="s">
        <v>8953</v>
      </c>
      <c r="O591" s="1" t="s">
        <v>8989</v>
      </c>
      <c r="P591" s="1" t="s">
        <v>8955</v>
      </c>
      <c r="Q591" s="1" t="s">
        <v>8956</v>
      </c>
      <c r="R591" s="1" t="s">
        <v>8975</v>
      </c>
      <c r="S591" s="1" t="s">
        <v>18957</v>
      </c>
      <c r="T591" s="1" t="s">
        <v>7</v>
      </c>
      <c r="U591" s="1" t="s">
        <v>413</v>
      </c>
    </row>
    <row r="592" spans="1:21" x14ac:dyDescent="0.2">
      <c r="A592" s="88" t="s">
        <v>16168</v>
      </c>
      <c r="B592" s="88" t="e">
        <f>VLOOKUP(C592,#REF!,1,0)</f>
        <v>#REF!</v>
      </c>
      <c r="C592" s="1" t="s">
        <v>2188</v>
      </c>
      <c r="D592" s="1" t="s">
        <v>2189</v>
      </c>
      <c r="E592" s="1" t="s">
        <v>9333</v>
      </c>
      <c r="F592" s="1" t="s">
        <v>8959</v>
      </c>
      <c r="G592" t="s">
        <v>9061</v>
      </c>
      <c r="H592" s="1" t="s">
        <v>9605</v>
      </c>
      <c r="I592" s="1" t="s">
        <v>9308</v>
      </c>
      <c r="J592" s="2" t="s">
        <v>20735</v>
      </c>
      <c r="K592" s="1" t="s">
        <v>21671</v>
      </c>
      <c r="L592" s="1" t="s">
        <v>8951</v>
      </c>
      <c r="M592" s="1">
        <v>300</v>
      </c>
      <c r="N592" s="1" t="s">
        <v>8953</v>
      </c>
      <c r="O592" s="1" t="s">
        <v>8989</v>
      </c>
      <c r="P592" s="1" t="s">
        <v>8955</v>
      </c>
      <c r="Q592" s="1" t="s">
        <v>8956</v>
      </c>
      <c r="R592" s="1" t="s">
        <v>8975</v>
      </c>
      <c r="S592" s="1" t="s">
        <v>18958</v>
      </c>
      <c r="T592" s="1" t="s">
        <v>7</v>
      </c>
      <c r="U592" s="1" t="s">
        <v>416</v>
      </c>
    </row>
    <row r="593" spans="1:21" x14ac:dyDescent="0.2">
      <c r="A593" s="95" t="s">
        <v>16170</v>
      </c>
      <c r="B593" s="88" t="e">
        <f>VLOOKUP(C593,#REF!,1,0)</f>
        <v>#REF!</v>
      </c>
      <c r="C593" s="1" t="s">
        <v>2192</v>
      </c>
      <c r="D593" s="1" t="s">
        <v>2193</v>
      </c>
      <c r="E593" s="1" t="s">
        <v>9650</v>
      </c>
      <c r="F593" s="1" t="s">
        <v>8959</v>
      </c>
      <c r="G593" t="s">
        <v>8959</v>
      </c>
      <c r="H593" s="1" t="s">
        <v>9605</v>
      </c>
      <c r="I593" s="1" t="s">
        <v>9101</v>
      </c>
      <c r="J593" s="2" t="s">
        <v>10492</v>
      </c>
      <c r="K593" s="1" t="s">
        <v>10492</v>
      </c>
      <c r="L593" s="1" t="s">
        <v>21600</v>
      </c>
      <c r="M593" s="1">
        <v>285</v>
      </c>
      <c r="N593" s="1" t="s">
        <v>8953</v>
      </c>
      <c r="O593" s="1" t="s">
        <v>8954</v>
      </c>
      <c r="P593" s="1" t="s">
        <v>8955</v>
      </c>
      <c r="Q593" s="1" t="s">
        <v>8956</v>
      </c>
      <c r="R593" s="1" t="s">
        <v>8958</v>
      </c>
      <c r="S593" s="1" t="s">
        <v>18960</v>
      </c>
      <c r="T593" s="1" t="s">
        <v>17</v>
      </c>
      <c r="U593" s="1" t="s">
        <v>1110</v>
      </c>
    </row>
    <row r="594" spans="1:21" x14ac:dyDescent="0.2">
      <c r="A594" s="88" t="s">
        <v>16172</v>
      </c>
      <c r="B594" s="88" t="e">
        <f>VLOOKUP(C594,#REF!,1,0)</f>
        <v>#REF!</v>
      </c>
      <c r="C594" s="1" t="s">
        <v>2197</v>
      </c>
      <c r="D594" s="1" t="s">
        <v>2198</v>
      </c>
      <c r="E594" s="1" t="s">
        <v>9333</v>
      </c>
      <c r="F594" s="1" t="s">
        <v>8957</v>
      </c>
      <c r="G594" t="s">
        <v>9061</v>
      </c>
      <c r="H594" s="1" t="s">
        <v>9605</v>
      </c>
      <c r="I594" s="1" t="s">
        <v>9155</v>
      </c>
      <c r="J594" s="2" t="s">
        <v>20805</v>
      </c>
      <c r="K594" s="1" t="s">
        <v>9212</v>
      </c>
      <c r="L594" s="1" t="s">
        <v>8951</v>
      </c>
      <c r="M594" s="1">
        <v>1709</v>
      </c>
      <c r="N594" s="1" t="s">
        <v>8953</v>
      </c>
      <c r="O594" s="1" t="s">
        <v>8989</v>
      </c>
      <c r="P594" s="1" t="s">
        <v>8955</v>
      </c>
      <c r="Q594" s="1" t="s">
        <v>8956</v>
      </c>
      <c r="R594" s="1" t="s">
        <v>9103</v>
      </c>
      <c r="S594" s="1" t="s">
        <v>2199</v>
      </c>
      <c r="T594" s="1" t="s">
        <v>17</v>
      </c>
      <c r="U594" s="1" t="s">
        <v>2200</v>
      </c>
    </row>
    <row r="595" spans="1:21" x14ac:dyDescent="0.2">
      <c r="A595" s="88" t="s">
        <v>16173</v>
      </c>
      <c r="B595" s="88" t="e">
        <f>VLOOKUP(C595,#REF!,1,0)</f>
        <v>#REF!</v>
      </c>
      <c r="C595" s="1" t="s">
        <v>2205</v>
      </c>
      <c r="D595" s="1" t="s">
        <v>2206</v>
      </c>
      <c r="E595" s="1" t="s">
        <v>9815</v>
      </c>
      <c r="F595" s="1" t="s">
        <v>8959</v>
      </c>
      <c r="G595" t="s">
        <v>8959</v>
      </c>
      <c r="H595" s="1" t="s">
        <v>20714</v>
      </c>
      <c r="I595" s="1" t="s">
        <v>20725</v>
      </c>
      <c r="J595" s="2" t="s">
        <v>18497</v>
      </c>
      <c r="K595" s="1" t="s">
        <v>18497</v>
      </c>
      <c r="L595" s="1" t="s">
        <v>8987</v>
      </c>
      <c r="M595" s="1">
        <v>253</v>
      </c>
      <c r="N595" s="1" t="s">
        <v>9059</v>
      </c>
      <c r="O595" s="1" t="s">
        <v>8954</v>
      </c>
      <c r="P595" s="1" t="s">
        <v>8955</v>
      </c>
      <c r="Q595" s="1" t="s">
        <v>8956</v>
      </c>
      <c r="R595" s="1" t="s">
        <v>9103</v>
      </c>
      <c r="S595" s="1" t="s">
        <v>18962</v>
      </c>
      <c r="T595" s="1" t="s">
        <v>17</v>
      </c>
      <c r="U595" s="1" t="s">
        <v>46</v>
      </c>
    </row>
    <row r="596" spans="1:21" x14ac:dyDescent="0.2">
      <c r="A596" s="88" t="s">
        <v>16175</v>
      </c>
      <c r="B596" s="88" t="e">
        <f>VLOOKUP(C596,#REF!,1,0)</f>
        <v>#REF!</v>
      </c>
      <c r="C596" s="1" t="s">
        <v>2209</v>
      </c>
      <c r="D596" s="1" t="s">
        <v>2210</v>
      </c>
      <c r="E596" s="1" t="s">
        <v>10049</v>
      </c>
      <c r="F596" s="1" t="s">
        <v>8957</v>
      </c>
      <c r="G596" t="s">
        <v>8959</v>
      </c>
      <c r="H596" s="1" t="s">
        <v>9092</v>
      </c>
      <c r="I596" s="1" t="s">
        <v>9308</v>
      </c>
      <c r="J596" s="2" t="s">
        <v>20805</v>
      </c>
      <c r="K596" s="1" t="s">
        <v>9212</v>
      </c>
      <c r="L596" s="1" t="s">
        <v>8951</v>
      </c>
      <c r="M596" s="1">
        <v>493</v>
      </c>
      <c r="N596" s="1" t="s">
        <v>9059</v>
      </c>
      <c r="O596" s="1" t="s">
        <v>8989</v>
      </c>
      <c r="P596" s="1" t="s">
        <v>8955</v>
      </c>
      <c r="Q596" s="1" t="s">
        <v>8956</v>
      </c>
      <c r="R596" s="1" t="s">
        <v>8975</v>
      </c>
      <c r="S596" s="1" t="s">
        <v>18964</v>
      </c>
      <c r="T596" s="1" t="s">
        <v>17</v>
      </c>
      <c r="U596" s="1" t="s">
        <v>2211</v>
      </c>
    </row>
    <row r="597" spans="1:21" x14ac:dyDescent="0.2">
      <c r="A597" s="88" t="s">
        <v>16176</v>
      </c>
      <c r="B597" s="88" t="e">
        <f>VLOOKUP(C597,#REF!,1,0)</f>
        <v>#REF!</v>
      </c>
      <c r="C597" s="1" t="s">
        <v>2215</v>
      </c>
      <c r="D597" s="1" t="s">
        <v>2216</v>
      </c>
      <c r="E597" s="1" t="s">
        <v>18502</v>
      </c>
      <c r="F597" s="1" t="s">
        <v>8959</v>
      </c>
      <c r="G597" t="s">
        <v>9061</v>
      </c>
      <c r="H597" s="1" t="s">
        <v>9035</v>
      </c>
      <c r="I597" s="1" t="s">
        <v>8998</v>
      </c>
      <c r="J597" s="2" t="s">
        <v>20779</v>
      </c>
      <c r="K597" s="1" t="s">
        <v>9036</v>
      </c>
      <c r="L597" s="1" t="s">
        <v>9464</v>
      </c>
      <c r="M597" s="1">
        <v>27</v>
      </c>
      <c r="N597" s="1" t="s">
        <v>9059</v>
      </c>
      <c r="O597" s="1" t="s">
        <v>8954</v>
      </c>
      <c r="P597" s="1" t="s">
        <v>8955</v>
      </c>
      <c r="Q597" s="1" t="s">
        <v>8956</v>
      </c>
      <c r="R597" s="1" t="s">
        <v>8958</v>
      </c>
      <c r="S597" s="1" t="s">
        <v>18966</v>
      </c>
      <c r="T597" s="1" t="s">
        <v>7</v>
      </c>
      <c r="U597" s="1" t="s">
        <v>93</v>
      </c>
    </row>
    <row r="598" spans="1:21" x14ac:dyDescent="0.2">
      <c r="A598" s="88" t="s">
        <v>16178</v>
      </c>
      <c r="B598" s="88" t="e">
        <f>VLOOKUP(C598,#REF!,1,0)</f>
        <v>#REF!</v>
      </c>
      <c r="C598" s="1" t="s">
        <v>2219</v>
      </c>
      <c r="D598" s="1" t="s">
        <v>2220</v>
      </c>
      <c r="E598" s="1" t="s">
        <v>9310</v>
      </c>
      <c r="F598" s="1" t="s">
        <v>8957</v>
      </c>
      <c r="G598" t="s">
        <v>9183</v>
      </c>
      <c r="H598" s="1" t="s">
        <v>9092</v>
      </c>
      <c r="I598" s="1" t="s">
        <v>8998</v>
      </c>
      <c r="J598" s="2" t="s">
        <v>9036</v>
      </c>
      <c r="K598" s="1" t="s">
        <v>9036</v>
      </c>
      <c r="L598" s="1" t="s">
        <v>8951</v>
      </c>
      <c r="M598" s="1">
        <v>2340</v>
      </c>
      <c r="N598" s="1" t="s">
        <v>8953</v>
      </c>
      <c r="O598" s="1" t="s">
        <v>8989</v>
      </c>
      <c r="P598" s="1" t="s">
        <v>8955</v>
      </c>
      <c r="Q598" s="1" t="s">
        <v>8956</v>
      </c>
      <c r="R598" s="1" t="s">
        <v>8975</v>
      </c>
      <c r="S598" s="1" t="s">
        <v>2221</v>
      </c>
      <c r="T598" s="1" t="s">
        <v>17</v>
      </c>
      <c r="U598" s="1" t="s">
        <v>1472</v>
      </c>
    </row>
    <row r="599" spans="1:21" x14ac:dyDescent="0.2">
      <c r="A599" s="88" t="s">
        <v>16179</v>
      </c>
      <c r="B599" s="88" t="e">
        <f>VLOOKUP(C599,#REF!,1,0)</f>
        <v>#REF!</v>
      </c>
      <c r="C599" s="1" t="s">
        <v>2226</v>
      </c>
      <c r="D599" s="1" t="s">
        <v>2227</v>
      </c>
      <c r="E599" s="1" t="s">
        <v>10032</v>
      </c>
      <c r="F599" s="1" t="s">
        <v>8957</v>
      </c>
      <c r="G599" t="s">
        <v>8959</v>
      </c>
      <c r="H599" s="1" t="s">
        <v>8948</v>
      </c>
      <c r="I599" s="1" t="s">
        <v>9155</v>
      </c>
      <c r="J599" s="2" t="s">
        <v>9036</v>
      </c>
      <c r="K599" s="1" t="s">
        <v>9036</v>
      </c>
      <c r="L599" s="1" t="s">
        <v>21600</v>
      </c>
      <c r="M599" s="1">
        <v>459</v>
      </c>
      <c r="N599" s="1" t="s">
        <v>8953</v>
      </c>
      <c r="O599" s="1" t="s">
        <v>8954</v>
      </c>
      <c r="P599" s="1" t="s">
        <v>8955</v>
      </c>
      <c r="Q599" s="1" t="s">
        <v>8956</v>
      </c>
      <c r="R599" s="1" t="s">
        <v>8958</v>
      </c>
      <c r="S599" s="1" t="s">
        <v>2228</v>
      </c>
      <c r="T599" s="1" t="s">
        <v>17</v>
      </c>
      <c r="U599" s="1" t="s">
        <v>126</v>
      </c>
    </row>
    <row r="600" spans="1:21" x14ac:dyDescent="0.2">
      <c r="A600" s="88" t="s">
        <v>16180</v>
      </c>
      <c r="B600" s="88" t="e">
        <f>VLOOKUP(C600,#REF!,1,0)</f>
        <v>#REF!</v>
      </c>
      <c r="C600" s="1" t="s">
        <v>2233</v>
      </c>
      <c r="D600" s="1" t="s">
        <v>2234</v>
      </c>
      <c r="E600" s="1" t="s">
        <v>9176</v>
      </c>
      <c r="F600" s="1" t="s">
        <v>8974</v>
      </c>
      <c r="G600" t="s">
        <v>9061</v>
      </c>
      <c r="H600" s="1" t="s">
        <v>9252</v>
      </c>
      <c r="I600" s="1" t="s">
        <v>9422</v>
      </c>
      <c r="J600" s="2" t="s">
        <v>10258</v>
      </c>
      <c r="K600" s="1" t="s">
        <v>10258</v>
      </c>
      <c r="L600" s="1" t="s">
        <v>8987</v>
      </c>
      <c r="M600" s="1">
        <v>7786</v>
      </c>
      <c r="N600" s="1" t="s">
        <v>8953</v>
      </c>
      <c r="O600" s="1" t="s">
        <v>8989</v>
      </c>
      <c r="P600" s="1" t="s">
        <v>8955</v>
      </c>
      <c r="Q600" s="1" t="s">
        <v>8956</v>
      </c>
      <c r="R600" s="1" t="s">
        <v>9103</v>
      </c>
      <c r="S600" s="1" t="s">
        <v>2235</v>
      </c>
      <c r="T600" s="1" t="s">
        <v>11</v>
      </c>
      <c r="U600" s="1" t="s">
        <v>8</v>
      </c>
    </row>
    <row r="601" spans="1:21" x14ac:dyDescent="0.2">
      <c r="A601" s="88" t="s">
        <v>16182</v>
      </c>
      <c r="B601" s="88" t="e">
        <f>VLOOKUP(C601,#REF!,1,0)</f>
        <v>#REF!</v>
      </c>
      <c r="C601" s="1" t="s">
        <v>2238</v>
      </c>
      <c r="D601" s="1" t="s">
        <v>2239</v>
      </c>
      <c r="E601" s="1" t="s">
        <v>18502</v>
      </c>
      <c r="F601" s="1" t="s">
        <v>8957</v>
      </c>
      <c r="G601" t="s">
        <v>8959</v>
      </c>
      <c r="H601" s="1" t="s">
        <v>20712</v>
      </c>
      <c r="I601" s="1" t="s">
        <v>9155</v>
      </c>
      <c r="J601" s="2" t="s">
        <v>10492</v>
      </c>
      <c r="K601" s="1" t="s">
        <v>21645</v>
      </c>
      <c r="L601" s="1" t="s">
        <v>9076</v>
      </c>
      <c r="M601" s="1">
        <v>278</v>
      </c>
      <c r="N601" s="1" t="s">
        <v>8953</v>
      </c>
      <c r="O601" s="1" t="s">
        <v>8954</v>
      </c>
      <c r="P601" s="1" t="s">
        <v>8955</v>
      </c>
      <c r="Q601" s="1" t="s">
        <v>8956</v>
      </c>
      <c r="R601" s="1" t="s">
        <v>8958</v>
      </c>
      <c r="S601" s="1" t="s">
        <v>18968</v>
      </c>
      <c r="T601" s="1" t="s">
        <v>7</v>
      </c>
      <c r="U601" s="1" t="s">
        <v>27</v>
      </c>
    </row>
    <row r="602" spans="1:21" x14ac:dyDescent="0.2">
      <c r="A602" s="88" t="s">
        <v>16183</v>
      </c>
      <c r="B602" s="88" t="e">
        <f>VLOOKUP(C602,#REF!,1,0)</f>
        <v>#REF!</v>
      </c>
      <c r="C602" s="1" t="s">
        <v>2240</v>
      </c>
      <c r="D602" s="1" t="s">
        <v>2241</v>
      </c>
      <c r="E602" s="1" t="s">
        <v>9010</v>
      </c>
      <c r="F602" s="1" t="s">
        <v>8959</v>
      </c>
      <c r="G602" t="s">
        <v>9183</v>
      </c>
      <c r="H602" s="1" t="s">
        <v>9252</v>
      </c>
      <c r="I602" s="1" t="s">
        <v>9155</v>
      </c>
      <c r="J602" s="2" t="s">
        <v>9036</v>
      </c>
      <c r="K602" s="1" t="s">
        <v>9036</v>
      </c>
      <c r="L602" s="1" t="s">
        <v>9133</v>
      </c>
      <c r="M602" s="1">
        <v>138</v>
      </c>
      <c r="N602" s="1" t="s">
        <v>8953</v>
      </c>
      <c r="O602" s="1" t="s">
        <v>8954</v>
      </c>
      <c r="P602" s="1" t="s">
        <v>8955</v>
      </c>
      <c r="Q602" s="1" t="s">
        <v>8956</v>
      </c>
      <c r="R602" s="1" t="s">
        <v>8975</v>
      </c>
      <c r="S602" s="1" t="s">
        <v>2242</v>
      </c>
      <c r="T602" s="1" t="s">
        <v>11</v>
      </c>
      <c r="U602" s="1" t="s">
        <v>43</v>
      </c>
    </row>
    <row r="603" spans="1:21" x14ac:dyDescent="0.2">
      <c r="A603" s="88" t="s">
        <v>16184</v>
      </c>
      <c r="B603" s="88" t="e">
        <f>VLOOKUP(C603,#REF!,1,0)</f>
        <v>#REF!</v>
      </c>
      <c r="C603" s="1" t="s">
        <v>2243</v>
      </c>
      <c r="D603" s="1" t="s">
        <v>2244</v>
      </c>
      <c r="E603" s="1" t="s">
        <v>18502</v>
      </c>
      <c r="F603" s="1" t="s">
        <v>20818</v>
      </c>
      <c r="G603" t="s">
        <v>8959</v>
      </c>
      <c r="H603" s="1" t="s">
        <v>9100</v>
      </c>
      <c r="I603" s="1" t="s">
        <v>8949</v>
      </c>
      <c r="J603" s="2" t="s">
        <v>20817</v>
      </c>
      <c r="K603" s="1" t="s">
        <v>21846</v>
      </c>
      <c r="L603" s="1" t="s">
        <v>8951</v>
      </c>
      <c r="M603" s="1">
        <v>1100</v>
      </c>
      <c r="N603" s="1" t="s">
        <v>9059</v>
      </c>
      <c r="O603" s="1" t="s">
        <v>8954</v>
      </c>
      <c r="P603" s="1" t="s">
        <v>8955</v>
      </c>
      <c r="Q603" s="1" t="s">
        <v>8956</v>
      </c>
      <c r="R603" s="1" t="s">
        <v>8958</v>
      </c>
      <c r="S603" s="1" t="s">
        <v>18969</v>
      </c>
      <c r="T603" s="1" t="s">
        <v>7</v>
      </c>
      <c r="U603" s="1" t="s">
        <v>57</v>
      </c>
    </row>
    <row r="604" spans="1:21" x14ac:dyDescent="0.2">
      <c r="A604" s="88" t="s">
        <v>16185</v>
      </c>
      <c r="B604" s="88" t="e">
        <f>VLOOKUP(C604,#REF!,1,0)</f>
        <v>#REF!</v>
      </c>
      <c r="C604" s="1" t="s">
        <v>2249</v>
      </c>
      <c r="D604" s="1" t="s">
        <v>2250</v>
      </c>
      <c r="E604" s="1" t="s">
        <v>9310</v>
      </c>
      <c r="F604" s="1" t="s">
        <v>8959</v>
      </c>
      <c r="G604" t="s">
        <v>8959</v>
      </c>
      <c r="H604" s="1" t="s">
        <v>9035</v>
      </c>
      <c r="I604" s="1" t="s">
        <v>8998</v>
      </c>
      <c r="J604" s="2" t="s">
        <v>21552</v>
      </c>
      <c r="K604" s="1" t="s">
        <v>21676</v>
      </c>
      <c r="L604" s="1" t="s">
        <v>8951</v>
      </c>
      <c r="M604" s="1">
        <v>1016</v>
      </c>
      <c r="N604" s="1" t="s">
        <v>8953</v>
      </c>
      <c r="O604" s="1" t="s">
        <v>8954</v>
      </c>
      <c r="P604" s="1" t="s">
        <v>8955</v>
      </c>
      <c r="Q604" s="1" t="s">
        <v>8956</v>
      </c>
      <c r="R604" s="1" t="s">
        <v>9103</v>
      </c>
      <c r="S604" s="1" t="s">
        <v>18970</v>
      </c>
      <c r="T604" s="1" t="s">
        <v>7</v>
      </c>
      <c r="U604" s="1" t="s">
        <v>2251</v>
      </c>
    </row>
    <row r="605" spans="1:21" x14ac:dyDescent="0.2">
      <c r="A605" s="88" t="s">
        <v>16186</v>
      </c>
      <c r="B605" s="88" t="e">
        <f>VLOOKUP(C605,#REF!,1,0)</f>
        <v>#REF!</v>
      </c>
      <c r="C605" s="1" t="s">
        <v>2252</v>
      </c>
      <c r="D605" s="1" t="s">
        <v>2253</v>
      </c>
      <c r="E605" s="1" t="s">
        <v>9310</v>
      </c>
      <c r="F605" s="1" t="s">
        <v>8957</v>
      </c>
      <c r="G605" t="s">
        <v>8959</v>
      </c>
      <c r="H605" s="1" t="s">
        <v>9049</v>
      </c>
      <c r="I605" s="1" t="s">
        <v>9325</v>
      </c>
      <c r="J605" s="2" t="s">
        <v>9212</v>
      </c>
      <c r="K605" s="1" t="s">
        <v>9212</v>
      </c>
      <c r="L605" s="1" t="s">
        <v>21600</v>
      </c>
      <c r="M605" s="1">
        <v>52</v>
      </c>
      <c r="N605" s="1" t="s">
        <v>8953</v>
      </c>
      <c r="O605" s="1" t="s">
        <v>8954</v>
      </c>
      <c r="P605" s="1" t="s">
        <v>8955</v>
      </c>
      <c r="Q605" s="1" t="s">
        <v>8956</v>
      </c>
      <c r="R605" s="1" t="s">
        <v>8975</v>
      </c>
      <c r="S605" s="1" t="s">
        <v>2254</v>
      </c>
      <c r="T605" s="1" t="s">
        <v>17</v>
      </c>
      <c r="U605" s="1" t="s">
        <v>184</v>
      </c>
    </row>
    <row r="606" spans="1:21" x14ac:dyDescent="0.2">
      <c r="A606" s="88" t="s">
        <v>16187</v>
      </c>
      <c r="B606" s="88" t="e">
        <f>VLOOKUP(C606,#REF!,1,0)</f>
        <v>#REF!</v>
      </c>
      <c r="C606" s="1" t="s">
        <v>2255</v>
      </c>
      <c r="D606" s="1" t="s">
        <v>2256</v>
      </c>
      <c r="E606" s="1" t="s">
        <v>9310</v>
      </c>
      <c r="F606" s="1" t="s">
        <v>8957</v>
      </c>
      <c r="G606" t="s">
        <v>8959</v>
      </c>
      <c r="H606" s="1" t="s">
        <v>9605</v>
      </c>
      <c r="I606" s="1" t="s">
        <v>9101</v>
      </c>
      <c r="J606" s="2" t="s">
        <v>21201</v>
      </c>
      <c r="K606" s="1" t="s">
        <v>21201</v>
      </c>
      <c r="L606" s="1" t="s">
        <v>8951</v>
      </c>
      <c r="M606" s="1">
        <v>6176</v>
      </c>
      <c r="N606" s="1" t="s">
        <v>8953</v>
      </c>
      <c r="O606" s="1" t="s">
        <v>8954</v>
      </c>
      <c r="P606" s="1" t="s">
        <v>8955</v>
      </c>
      <c r="Q606" s="1" t="s">
        <v>8956</v>
      </c>
      <c r="R606" s="1" t="s">
        <v>9103</v>
      </c>
      <c r="S606" s="1" t="s">
        <v>18971</v>
      </c>
      <c r="T606" s="1" t="s">
        <v>7</v>
      </c>
      <c r="U606" s="1" t="s">
        <v>598</v>
      </c>
    </row>
    <row r="607" spans="1:21" x14ac:dyDescent="0.2">
      <c r="A607" s="88" t="s">
        <v>16188</v>
      </c>
      <c r="B607" s="88" t="e">
        <f>VLOOKUP(C607,#REF!,1,0)</f>
        <v>#REF!</v>
      </c>
      <c r="C607" s="1" t="s">
        <v>2257</v>
      </c>
      <c r="D607" s="1" t="s">
        <v>2258</v>
      </c>
      <c r="E607" s="1" t="s">
        <v>9310</v>
      </c>
      <c r="F607" s="1" t="s">
        <v>8957</v>
      </c>
      <c r="G607" t="s">
        <v>8959</v>
      </c>
      <c r="H607" s="1" t="s">
        <v>20712</v>
      </c>
      <c r="I607" s="1" t="s">
        <v>9155</v>
      </c>
      <c r="J607" s="2" t="s">
        <v>21201</v>
      </c>
      <c r="K607" s="1" t="s">
        <v>21201</v>
      </c>
      <c r="L607" s="1" t="s">
        <v>20823</v>
      </c>
      <c r="M607" s="1">
        <v>11357</v>
      </c>
      <c r="N607" s="1" t="s">
        <v>8953</v>
      </c>
      <c r="O607" s="1" t="s">
        <v>8954</v>
      </c>
      <c r="P607" s="1" t="s">
        <v>8955</v>
      </c>
      <c r="Q607" s="1" t="s">
        <v>8956</v>
      </c>
      <c r="R607" s="1" t="s">
        <v>9103</v>
      </c>
      <c r="S607" s="1" t="s">
        <v>18972</v>
      </c>
      <c r="T607" s="1" t="s">
        <v>7</v>
      </c>
      <c r="U607" s="1" t="s">
        <v>8</v>
      </c>
    </row>
    <row r="608" spans="1:21" x14ac:dyDescent="0.2">
      <c r="A608" s="88" t="s">
        <v>16189</v>
      </c>
      <c r="B608" s="88" t="e">
        <f>VLOOKUP(C608,#REF!,1,0)</f>
        <v>#REF!</v>
      </c>
      <c r="C608" s="1" t="s">
        <v>2259</v>
      </c>
      <c r="D608" s="1" t="s">
        <v>2260</v>
      </c>
      <c r="E608" s="1" t="s">
        <v>9310</v>
      </c>
      <c r="F608" s="1" t="s">
        <v>8959</v>
      </c>
      <c r="G608" t="s">
        <v>9061</v>
      </c>
      <c r="H608" s="1" t="s">
        <v>8984</v>
      </c>
      <c r="I608" s="1" t="s">
        <v>8949</v>
      </c>
      <c r="J608" s="2" t="s">
        <v>20785</v>
      </c>
      <c r="K608" s="1" t="s">
        <v>9386</v>
      </c>
      <c r="L608" s="1" t="s">
        <v>20824</v>
      </c>
      <c r="M608" s="1">
        <v>106</v>
      </c>
      <c r="N608" s="1" t="s">
        <v>9059</v>
      </c>
      <c r="O608" s="1" t="s">
        <v>8954</v>
      </c>
      <c r="P608" s="1" t="s">
        <v>8955</v>
      </c>
      <c r="Q608" s="1" t="s">
        <v>8956</v>
      </c>
      <c r="R608" s="1" t="s">
        <v>9103</v>
      </c>
      <c r="S608" s="1" t="s">
        <v>18973</v>
      </c>
      <c r="T608" s="1" t="s">
        <v>17</v>
      </c>
      <c r="U608" s="1" t="s">
        <v>64</v>
      </c>
    </row>
    <row r="609" spans="1:21" x14ac:dyDescent="0.2">
      <c r="A609" s="88" t="s">
        <v>16190</v>
      </c>
      <c r="B609" s="88" t="e">
        <f>VLOOKUP(C609,#REF!,1,0)</f>
        <v>#REF!</v>
      </c>
      <c r="C609" s="1" t="s">
        <v>2261</v>
      </c>
      <c r="D609" s="1" t="s">
        <v>2262</v>
      </c>
      <c r="E609" s="1" t="s">
        <v>10873</v>
      </c>
      <c r="F609" s="1" t="s">
        <v>8957</v>
      </c>
      <c r="G609" t="s">
        <v>8959</v>
      </c>
      <c r="H609" s="1" t="s">
        <v>8948</v>
      </c>
      <c r="I609" s="1" t="s">
        <v>8998</v>
      </c>
      <c r="J609" s="2" t="s">
        <v>9036</v>
      </c>
      <c r="K609" s="1" t="s">
        <v>9036</v>
      </c>
      <c r="L609" s="1" t="s">
        <v>8987</v>
      </c>
      <c r="M609" s="1">
        <v>4560</v>
      </c>
      <c r="N609" s="1" t="s">
        <v>8953</v>
      </c>
      <c r="O609" s="1" t="s">
        <v>8989</v>
      </c>
      <c r="P609" s="1" t="s">
        <v>8955</v>
      </c>
      <c r="Q609" s="1" t="s">
        <v>8956</v>
      </c>
      <c r="R609" s="1" t="s">
        <v>9103</v>
      </c>
      <c r="S609" s="1" t="s">
        <v>2263</v>
      </c>
      <c r="T609" s="1" t="s">
        <v>4</v>
      </c>
      <c r="U609" s="1" t="s">
        <v>184</v>
      </c>
    </row>
    <row r="610" spans="1:21" x14ac:dyDescent="0.2">
      <c r="A610" s="88" t="s">
        <v>16191</v>
      </c>
      <c r="B610" s="88" t="e">
        <f>VLOOKUP(C610,#REF!,1,0)</f>
        <v>#REF!</v>
      </c>
      <c r="C610" s="1" t="s">
        <v>2264</v>
      </c>
      <c r="D610" s="1" t="s">
        <v>2265</v>
      </c>
      <c r="E610" s="1" t="s">
        <v>10873</v>
      </c>
      <c r="F610" s="1" t="s">
        <v>8974</v>
      </c>
      <c r="G610" t="s">
        <v>8959</v>
      </c>
      <c r="H610" s="1" t="s">
        <v>8984</v>
      </c>
      <c r="I610" s="1" t="s">
        <v>8998</v>
      </c>
      <c r="J610" s="2" t="s">
        <v>10178</v>
      </c>
      <c r="K610" s="1" t="s">
        <v>21524</v>
      </c>
      <c r="L610" s="1" t="s">
        <v>8987</v>
      </c>
      <c r="M610" s="1">
        <v>230</v>
      </c>
      <c r="N610" s="1" t="s">
        <v>9059</v>
      </c>
      <c r="O610" s="1" t="s">
        <v>8989</v>
      </c>
      <c r="P610" s="1" t="s">
        <v>8955</v>
      </c>
      <c r="Q610" s="1" t="s">
        <v>8956</v>
      </c>
      <c r="R610" s="1" t="s">
        <v>9103</v>
      </c>
      <c r="S610" s="1" t="s">
        <v>2266</v>
      </c>
      <c r="T610" s="1" t="s">
        <v>11</v>
      </c>
      <c r="U610" s="1" t="s">
        <v>2267</v>
      </c>
    </row>
    <row r="611" spans="1:21" x14ac:dyDescent="0.2">
      <c r="A611" s="88" t="s">
        <v>16192</v>
      </c>
      <c r="B611" s="88" t="e">
        <f>VLOOKUP(C611,#REF!,1,0)</f>
        <v>#REF!</v>
      </c>
      <c r="C611" s="1" t="s">
        <v>2271</v>
      </c>
      <c r="D611" s="1" t="s">
        <v>2272</v>
      </c>
      <c r="E611" s="1" t="s">
        <v>9310</v>
      </c>
      <c r="F611" s="1" t="s">
        <v>9060</v>
      </c>
      <c r="G611" t="s">
        <v>8959</v>
      </c>
      <c r="H611" s="1" t="s">
        <v>8948</v>
      </c>
      <c r="I611" s="1" t="s">
        <v>8949</v>
      </c>
      <c r="J611" s="2" t="s">
        <v>9221</v>
      </c>
      <c r="K611" s="1" t="s">
        <v>9221</v>
      </c>
      <c r="L611" s="1" t="s">
        <v>8987</v>
      </c>
      <c r="M611" s="1">
        <v>1206</v>
      </c>
      <c r="N611" s="1" t="s">
        <v>8953</v>
      </c>
      <c r="O611" s="1" t="s">
        <v>8989</v>
      </c>
      <c r="P611" s="1" t="s">
        <v>8955</v>
      </c>
      <c r="Q611" s="1" t="s">
        <v>8956</v>
      </c>
      <c r="R611" s="1" t="s">
        <v>8958</v>
      </c>
      <c r="S611" s="1" t="s">
        <v>2273</v>
      </c>
      <c r="T611" s="1" t="s">
        <v>7</v>
      </c>
      <c r="U611" s="1" t="s">
        <v>27</v>
      </c>
    </row>
    <row r="612" spans="1:21" x14ac:dyDescent="0.2">
      <c r="A612" s="88" t="s">
        <v>16193</v>
      </c>
      <c r="B612" s="88" t="e">
        <f>VLOOKUP(C612,#REF!,1,0)</f>
        <v>#REF!</v>
      </c>
      <c r="C612" s="1" t="s">
        <v>2274</v>
      </c>
      <c r="D612" s="1" t="s">
        <v>2275</v>
      </c>
      <c r="E612" s="1" t="s">
        <v>9310</v>
      </c>
      <c r="F612" s="1" t="s">
        <v>8959</v>
      </c>
      <c r="G612" t="s">
        <v>9183</v>
      </c>
      <c r="H612" s="1" t="s">
        <v>8984</v>
      </c>
      <c r="I612" s="1" t="s">
        <v>8998</v>
      </c>
      <c r="J612" s="2" t="s">
        <v>20783</v>
      </c>
      <c r="K612" s="1" t="s">
        <v>21752</v>
      </c>
      <c r="L612" s="1" t="s">
        <v>9292</v>
      </c>
      <c r="M612" s="1">
        <v>20151</v>
      </c>
      <c r="N612" s="1" t="s">
        <v>8953</v>
      </c>
      <c r="O612" s="1" t="s">
        <v>8989</v>
      </c>
      <c r="P612" s="1" t="s">
        <v>8955</v>
      </c>
      <c r="Q612" s="1" t="s">
        <v>8956</v>
      </c>
      <c r="R612" s="1" t="s">
        <v>8975</v>
      </c>
      <c r="S612" s="1" t="s">
        <v>18975</v>
      </c>
      <c r="T612" s="1" t="s">
        <v>17</v>
      </c>
      <c r="U612" s="1" t="s">
        <v>2276</v>
      </c>
    </row>
    <row r="613" spans="1:21" x14ac:dyDescent="0.2">
      <c r="A613" s="88" t="s">
        <v>16194</v>
      </c>
      <c r="B613" s="88"/>
      <c r="C613" s="1" t="s">
        <v>2277</v>
      </c>
      <c r="D613" s="1" t="s">
        <v>2278</v>
      </c>
      <c r="E613" s="1" t="e">
        <v>#N/A</v>
      </c>
      <c r="F613" s="1" t="e">
        <v>#N/A</v>
      </c>
      <c r="G613" t="e">
        <v>#N/A</v>
      </c>
      <c r="H613" s="1" t="e">
        <v>#N/A</v>
      </c>
      <c r="I613" s="1" t="e">
        <v>#N/A</v>
      </c>
      <c r="J613" s="2" t="e">
        <v>#N/A</v>
      </c>
      <c r="K613" s="1" t="e">
        <v>#N/A</v>
      </c>
      <c r="L613" s="1" t="e">
        <v>#N/A</v>
      </c>
      <c r="M613" s="1" t="e">
        <v>#N/A</v>
      </c>
      <c r="N613" s="1" t="e">
        <v>#N/A</v>
      </c>
      <c r="O613" s="1" t="e">
        <v>#N/A</v>
      </c>
      <c r="P613" s="1" t="s">
        <v>8955</v>
      </c>
      <c r="Q613" s="1" t="s">
        <v>8956</v>
      </c>
      <c r="R613" s="1" t="s">
        <v>8975</v>
      </c>
      <c r="S613" s="1" t="s">
        <v>18976</v>
      </c>
      <c r="T613" s="1" t="s">
        <v>252</v>
      </c>
      <c r="U613" s="1" t="s">
        <v>126</v>
      </c>
    </row>
    <row r="614" spans="1:21" x14ac:dyDescent="0.2">
      <c r="A614" s="88" t="s">
        <v>16195</v>
      </c>
      <c r="B614" s="88" t="e">
        <f>VLOOKUP(C614,#REF!,1,0)</f>
        <v>#REF!</v>
      </c>
      <c r="C614" s="1" t="s">
        <v>2279</v>
      </c>
      <c r="D614" s="1" t="s">
        <v>2280</v>
      </c>
      <c r="E614" s="1" t="s">
        <v>9650</v>
      </c>
      <c r="F614" s="1" t="s">
        <v>8957</v>
      </c>
      <c r="G614" t="s">
        <v>9183</v>
      </c>
      <c r="H614" s="1" t="s">
        <v>9173</v>
      </c>
      <c r="I614" s="1" t="s">
        <v>9121</v>
      </c>
      <c r="J614" s="2" t="s">
        <v>9036</v>
      </c>
      <c r="K614" s="1" t="s">
        <v>9036</v>
      </c>
      <c r="L614" s="1" t="s">
        <v>8987</v>
      </c>
      <c r="M614" s="1">
        <v>193</v>
      </c>
      <c r="N614" s="1" t="s">
        <v>8953</v>
      </c>
      <c r="O614" s="1" t="s">
        <v>8989</v>
      </c>
      <c r="P614" s="1" t="s">
        <v>8955</v>
      </c>
      <c r="Q614" s="1" t="s">
        <v>8956</v>
      </c>
      <c r="R614" s="1" t="s">
        <v>9103</v>
      </c>
      <c r="S614" s="1" t="s">
        <v>2281</v>
      </c>
      <c r="T614" s="1" t="s">
        <v>11</v>
      </c>
      <c r="U614" s="1" t="s">
        <v>5</v>
      </c>
    </row>
    <row r="615" spans="1:21" x14ac:dyDescent="0.2">
      <c r="A615" s="88" t="s">
        <v>16197</v>
      </c>
      <c r="B615" s="88" t="e">
        <f>VLOOKUP(C615,#REF!,1,0)</f>
        <v>#REF!</v>
      </c>
      <c r="C615" s="1" t="s">
        <v>2285</v>
      </c>
      <c r="D615" s="1" t="s">
        <v>2286</v>
      </c>
      <c r="E615" s="1" t="s">
        <v>18502</v>
      </c>
      <c r="F615" s="1" t="s">
        <v>8957</v>
      </c>
      <c r="G615" t="s">
        <v>9009</v>
      </c>
      <c r="H615" s="1" t="s">
        <v>9173</v>
      </c>
      <c r="I615" s="1" t="s">
        <v>9174</v>
      </c>
      <c r="J615" s="2" t="s">
        <v>18497</v>
      </c>
      <c r="K615" s="1" t="s">
        <v>18497</v>
      </c>
      <c r="L615" s="1" t="s">
        <v>8951</v>
      </c>
      <c r="M615" s="1">
        <v>668</v>
      </c>
      <c r="N615" s="1" t="s">
        <v>8953</v>
      </c>
      <c r="O615" s="1" t="s">
        <v>8954</v>
      </c>
      <c r="P615" s="1" t="s">
        <v>8955</v>
      </c>
      <c r="Q615" s="1" t="s">
        <v>8956</v>
      </c>
      <c r="R615" s="1" t="s">
        <v>8975</v>
      </c>
      <c r="S615" s="1" t="s">
        <v>18978</v>
      </c>
      <c r="T615" s="1" t="s">
        <v>7</v>
      </c>
      <c r="U615" s="1" t="s">
        <v>2287</v>
      </c>
    </row>
    <row r="616" spans="1:21" x14ac:dyDescent="0.2">
      <c r="A616" s="88" t="s">
        <v>16198</v>
      </c>
      <c r="B616" s="88" t="e">
        <f>VLOOKUP(C616,#REF!,1,0)</f>
        <v>#REF!</v>
      </c>
      <c r="C616" s="1" t="s">
        <v>2288</v>
      </c>
      <c r="D616" s="1" t="s">
        <v>2289</v>
      </c>
      <c r="E616" s="1" t="s">
        <v>9010</v>
      </c>
      <c r="F616" s="1" t="s">
        <v>8959</v>
      </c>
      <c r="G616" t="s">
        <v>8959</v>
      </c>
      <c r="H616" s="1" t="s">
        <v>9049</v>
      </c>
      <c r="I616" s="1" t="s">
        <v>9050</v>
      </c>
      <c r="J616" s="2" t="s">
        <v>9036</v>
      </c>
      <c r="K616" s="1" t="s">
        <v>9036</v>
      </c>
      <c r="L616" s="1" t="s">
        <v>9292</v>
      </c>
      <c r="M616" s="1">
        <v>75137</v>
      </c>
      <c r="N616" s="1" t="s">
        <v>8953</v>
      </c>
      <c r="O616" s="1" t="s">
        <v>8954</v>
      </c>
      <c r="P616" s="1" t="s">
        <v>8955</v>
      </c>
      <c r="Q616" s="1" t="s">
        <v>8956</v>
      </c>
      <c r="R616" s="1" t="s">
        <v>9103</v>
      </c>
      <c r="S616" s="1" t="s">
        <v>2290</v>
      </c>
      <c r="T616" s="1" t="s">
        <v>4</v>
      </c>
      <c r="U616" s="1" t="s">
        <v>447</v>
      </c>
    </row>
    <row r="617" spans="1:21" x14ac:dyDescent="0.2">
      <c r="A617" s="88" t="s">
        <v>16199</v>
      </c>
      <c r="B617" s="88" t="e">
        <f>VLOOKUP(C617,#REF!,1,0)</f>
        <v>#REF!</v>
      </c>
      <c r="C617" s="1" t="s">
        <v>2291</v>
      </c>
      <c r="D617" s="1" t="s">
        <v>2292</v>
      </c>
      <c r="E617" s="1" t="s">
        <v>10008</v>
      </c>
      <c r="F617" s="1" t="s">
        <v>8959</v>
      </c>
      <c r="G617" t="s">
        <v>8959</v>
      </c>
      <c r="H617" s="1" t="s">
        <v>8984</v>
      </c>
      <c r="I617" s="1" t="s">
        <v>9121</v>
      </c>
      <c r="J617" s="2" t="s">
        <v>9036</v>
      </c>
      <c r="K617" s="1" t="s">
        <v>9036</v>
      </c>
      <c r="L617" s="1" t="s">
        <v>8951</v>
      </c>
      <c r="M617" s="1">
        <v>200</v>
      </c>
      <c r="N617" s="1" t="s">
        <v>9059</v>
      </c>
      <c r="O617" s="1" t="s">
        <v>8989</v>
      </c>
      <c r="P617" s="1" t="s">
        <v>8955</v>
      </c>
      <c r="Q617" s="1" t="s">
        <v>8956</v>
      </c>
      <c r="R617" s="1" t="s">
        <v>8975</v>
      </c>
      <c r="S617" s="1" t="s">
        <v>2293</v>
      </c>
      <c r="T617" s="1" t="s">
        <v>17</v>
      </c>
      <c r="U617" s="1" t="s">
        <v>93</v>
      </c>
    </row>
    <row r="618" spans="1:21" x14ac:dyDescent="0.2">
      <c r="A618" s="88" t="s">
        <v>16200</v>
      </c>
      <c r="B618" s="88" t="e">
        <f>VLOOKUP(C618,#REF!,1,0)</f>
        <v>#REF!</v>
      </c>
      <c r="C618" s="1" t="s">
        <v>2297</v>
      </c>
      <c r="D618" s="1" t="s">
        <v>2298</v>
      </c>
      <c r="E618" s="1" t="s">
        <v>9815</v>
      </c>
      <c r="F618" s="1" t="s">
        <v>9060</v>
      </c>
      <c r="G618" t="s">
        <v>8959</v>
      </c>
      <c r="H618" s="1" t="s">
        <v>9605</v>
      </c>
      <c r="I618" s="1" t="s">
        <v>9155</v>
      </c>
      <c r="J618" s="2" t="s">
        <v>21205</v>
      </c>
      <c r="K618" s="1" t="s">
        <v>21205</v>
      </c>
      <c r="L618" s="1" t="s">
        <v>8987</v>
      </c>
      <c r="M618" s="1">
        <v>9712</v>
      </c>
      <c r="N618" s="1" t="s">
        <v>8953</v>
      </c>
      <c r="O618" s="1" t="s">
        <v>8954</v>
      </c>
      <c r="P618" s="1" t="s">
        <v>8955</v>
      </c>
      <c r="Q618" s="1" t="s">
        <v>8956</v>
      </c>
      <c r="R618" s="1" t="s">
        <v>8958</v>
      </c>
      <c r="S618" s="1" t="s">
        <v>20586</v>
      </c>
      <c r="T618" s="1" t="s">
        <v>7</v>
      </c>
      <c r="U618" s="1" t="s">
        <v>342</v>
      </c>
    </row>
    <row r="619" spans="1:21" x14ac:dyDescent="0.2">
      <c r="A619" s="88" t="s">
        <v>16201</v>
      </c>
      <c r="B619" s="88" t="e">
        <f>VLOOKUP(C619,#REF!,1,0)</f>
        <v>#REF!</v>
      </c>
      <c r="C619" s="1" t="s">
        <v>2299</v>
      </c>
      <c r="D619" s="1" t="s">
        <v>2300</v>
      </c>
      <c r="E619" s="1" t="s">
        <v>11671</v>
      </c>
      <c r="F619" s="1" t="s">
        <v>8957</v>
      </c>
      <c r="G619" t="s">
        <v>8959</v>
      </c>
      <c r="H619" s="1" t="s">
        <v>8948</v>
      </c>
      <c r="I619" s="1" t="s">
        <v>9155</v>
      </c>
      <c r="J619" s="2" t="s">
        <v>9036</v>
      </c>
      <c r="K619" s="1" t="s">
        <v>9036</v>
      </c>
      <c r="L619" s="1" t="s">
        <v>8987</v>
      </c>
      <c r="M619" s="1">
        <v>1140</v>
      </c>
      <c r="N619" s="1" t="s">
        <v>8953</v>
      </c>
      <c r="O619" s="1" t="s">
        <v>8954</v>
      </c>
      <c r="P619" s="1" t="s">
        <v>8955</v>
      </c>
      <c r="Q619" s="1" t="s">
        <v>8956</v>
      </c>
      <c r="R619" s="1" t="s">
        <v>8958</v>
      </c>
      <c r="S619" s="1" t="s">
        <v>2301</v>
      </c>
      <c r="T619" s="1" t="s">
        <v>11</v>
      </c>
      <c r="U619" s="1" t="s">
        <v>46</v>
      </c>
    </row>
    <row r="620" spans="1:21" x14ac:dyDescent="0.2">
      <c r="A620" s="88" t="s">
        <v>16202</v>
      </c>
      <c r="B620" s="88" t="e">
        <f>VLOOKUP(C620,#REF!,1,0)</f>
        <v>#REF!</v>
      </c>
      <c r="C620" s="1" t="s">
        <v>2302</v>
      </c>
      <c r="D620" s="1" t="s">
        <v>2303</v>
      </c>
      <c r="E620" s="1" t="s">
        <v>9815</v>
      </c>
      <c r="F620" s="1" t="s">
        <v>8957</v>
      </c>
      <c r="G620" t="s">
        <v>8959</v>
      </c>
      <c r="H620" s="1" t="s">
        <v>9100</v>
      </c>
      <c r="I620" s="1" t="s">
        <v>8949</v>
      </c>
      <c r="J620" s="2" t="s">
        <v>20825</v>
      </c>
      <c r="K620" s="1" t="s">
        <v>12500</v>
      </c>
      <c r="L620" s="1" t="s">
        <v>8987</v>
      </c>
      <c r="M620" s="1">
        <v>65</v>
      </c>
      <c r="N620" s="1" t="s">
        <v>9059</v>
      </c>
      <c r="O620" s="1" t="s">
        <v>8954</v>
      </c>
      <c r="P620" s="1" t="s">
        <v>8955</v>
      </c>
      <c r="Q620" s="1" t="s">
        <v>8956</v>
      </c>
      <c r="R620" s="1" t="s">
        <v>9103</v>
      </c>
      <c r="S620" s="1" t="s">
        <v>18980</v>
      </c>
      <c r="T620" s="1" t="s">
        <v>7</v>
      </c>
      <c r="U620" s="1" t="s">
        <v>2304</v>
      </c>
    </row>
    <row r="621" spans="1:21" x14ac:dyDescent="0.2">
      <c r="A621" s="88" t="s">
        <v>16203</v>
      </c>
      <c r="B621" s="88" t="e">
        <f>VLOOKUP(C621,#REF!,1,0)</f>
        <v>#REF!</v>
      </c>
      <c r="C621" s="1" t="s">
        <v>2305</v>
      </c>
      <c r="D621" s="1" t="s">
        <v>2306</v>
      </c>
      <c r="E621" s="1" t="s">
        <v>9310</v>
      </c>
      <c r="F621" s="1" t="s">
        <v>8957</v>
      </c>
      <c r="G621" t="s">
        <v>8959</v>
      </c>
      <c r="H621" s="1" t="s">
        <v>9075</v>
      </c>
      <c r="I621" s="1" t="s">
        <v>8949</v>
      </c>
      <c r="J621" s="2" t="s">
        <v>20826</v>
      </c>
      <c r="K621" s="1" t="s">
        <v>21847</v>
      </c>
      <c r="L621" s="1" t="s">
        <v>21600</v>
      </c>
      <c r="M621" s="1">
        <v>1392</v>
      </c>
      <c r="N621" s="1" t="s">
        <v>8953</v>
      </c>
      <c r="O621" s="1" t="s">
        <v>8954</v>
      </c>
      <c r="P621" s="1" t="s">
        <v>8955</v>
      </c>
      <c r="Q621" s="1" t="s">
        <v>8956</v>
      </c>
      <c r="R621" s="1" t="s">
        <v>8958</v>
      </c>
      <c r="S621" s="1" t="s">
        <v>18981</v>
      </c>
      <c r="T621" s="1" t="s">
        <v>17</v>
      </c>
      <c r="U621" s="1" t="s">
        <v>2307</v>
      </c>
    </row>
    <row r="622" spans="1:21" x14ac:dyDescent="0.2">
      <c r="A622" s="88" t="s">
        <v>16204</v>
      </c>
      <c r="B622" s="88" t="e">
        <f>VLOOKUP(C622,#REF!,1,0)</f>
        <v>#REF!</v>
      </c>
      <c r="C622" s="1" t="s">
        <v>2308</v>
      </c>
      <c r="D622" s="1" t="s">
        <v>2309</v>
      </c>
      <c r="E622" s="1" t="s">
        <v>18502</v>
      </c>
      <c r="F622" s="1" t="s">
        <v>8957</v>
      </c>
      <c r="G622" t="s">
        <v>8959</v>
      </c>
      <c r="H622" s="1" t="s">
        <v>9035</v>
      </c>
      <c r="I622" s="1" t="s">
        <v>8998</v>
      </c>
      <c r="J622" s="2" t="s">
        <v>10492</v>
      </c>
      <c r="K622" s="1" t="s">
        <v>10492</v>
      </c>
      <c r="L622" s="1" t="s">
        <v>8951</v>
      </c>
      <c r="M622" s="1">
        <v>10614</v>
      </c>
      <c r="N622" s="1" t="s">
        <v>8953</v>
      </c>
      <c r="O622" s="1" t="s">
        <v>8954</v>
      </c>
      <c r="P622" s="1" t="s">
        <v>8955</v>
      </c>
      <c r="Q622" s="1" t="s">
        <v>8956</v>
      </c>
      <c r="R622" s="1" t="s">
        <v>8958</v>
      </c>
      <c r="S622" s="1" t="s">
        <v>18982</v>
      </c>
      <c r="T622" s="1" t="s">
        <v>17</v>
      </c>
      <c r="U622" s="1" t="s">
        <v>61</v>
      </c>
    </row>
    <row r="623" spans="1:21" x14ac:dyDescent="0.2">
      <c r="A623" s="88" t="s">
        <v>16205</v>
      </c>
      <c r="B623" s="88" t="e">
        <f>VLOOKUP(C623,#REF!,1,0)</f>
        <v>#REF!</v>
      </c>
      <c r="C623" s="1" t="s">
        <v>2313</v>
      </c>
      <c r="D623" s="1" t="s">
        <v>2314</v>
      </c>
      <c r="E623" s="1" t="s">
        <v>9380</v>
      </c>
      <c r="F623" s="1" t="s">
        <v>8957</v>
      </c>
      <c r="G623" t="s">
        <v>8959</v>
      </c>
      <c r="H623" s="1" t="s">
        <v>9252</v>
      </c>
      <c r="I623" s="1" t="s">
        <v>8985</v>
      </c>
      <c r="J623" s="2" t="s">
        <v>10492</v>
      </c>
      <c r="K623" s="1" t="s">
        <v>10492</v>
      </c>
      <c r="L623" s="1" t="s">
        <v>8951</v>
      </c>
      <c r="M623" s="1">
        <v>918</v>
      </c>
      <c r="N623" s="1" t="s">
        <v>8953</v>
      </c>
      <c r="O623" s="1" t="s">
        <v>8954</v>
      </c>
      <c r="P623" s="1" t="s">
        <v>8955</v>
      </c>
      <c r="Q623" s="1" t="s">
        <v>8956</v>
      </c>
      <c r="R623" s="1" t="s">
        <v>8958</v>
      </c>
      <c r="S623" s="1" t="s">
        <v>20587</v>
      </c>
      <c r="T623" s="1" t="s">
        <v>7</v>
      </c>
      <c r="U623" s="1" t="s">
        <v>1089</v>
      </c>
    </row>
    <row r="624" spans="1:21" x14ac:dyDescent="0.2">
      <c r="A624" s="88" t="s">
        <v>16206</v>
      </c>
      <c r="B624" s="88" t="e">
        <f>VLOOKUP(C624,#REF!,1,0)</f>
        <v>#REF!</v>
      </c>
      <c r="C624" s="1" t="s">
        <v>2315</v>
      </c>
      <c r="D624" s="1" t="s">
        <v>2316</v>
      </c>
      <c r="E624" s="1" t="s">
        <v>9246</v>
      </c>
      <c r="F624" s="1" t="s">
        <v>8957</v>
      </c>
      <c r="G624" t="s">
        <v>9009</v>
      </c>
      <c r="H624" s="1" t="s">
        <v>9252</v>
      </c>
      <c r="I624" s="1" t="s">
        <v>8998</v>
      </c>
      <c r="J624" s="2" t="s">
        <v>9036</v>
      </c>
      <c r="K624" s="1" t="s">
        <v>9036</v>
      </c>
      <c r="L624" s="1" t="s">
        <v>8951</v>
      </c>
      <c r="M624" s="1">
        <v>1181</v>
      </c>
      <c r="N624" s="1" t="s">
        <v>8953</v>
      </c>
      <c r="O624" s="1" t="s">
        <v>8954</v>
      </c>
      <c r="P624" s="1" t="s">
        <v>8955</v>
      </c>
      <c r="Q624" s="1" t="s">
        <v>8956</v>
      </c>
      <c r="R624" s="1" t="s">
        <v>8975</v>
      </c>
      <c r="S624" s="1" t="s">
        <v>2317</v>
      </c>
      <c r="T624" s="1" t="s">
        <v>11</v>
      </c>
      <c r="U624" s="1" t="s">
        <v>1780</v>
      </c>
    </row>
    <row r="625" spans="1:21" x14ac:dyDescent="0.2">
      <c r="A625" s="88" t="s">
        <v>16207</v>
      </c>
      <c r="B625" s="88" t="e">
        <f>VLOOKUP(C625,#REF!,1,0)</f>
        <v>#REF!</v>
      </c>
      <c r="C625" s="1" t="s">
        <v>2318</v>
      </c>
      <c r="D625" s="1" t="s">
        <v>2319</v>
      </c>
      <c r="E625" s="1" t="s">
        <v>9636</v>
      </c>
      <c r="F625" s="1" t="s">
        <v>8957</v>
      </c>
      <c r="G625" t="s">
        <v>8959</v>
      </c>
      <c r="H625" s="1" t="s">
        <v>9100</v>
      </c>
      <c r="I625" s="1" t="s">
        <v>9101</v>
      </c>
      <c r="J625" s="2" t="s">
        <v>20779</v>
      </c>
      <c r="K625" s="1" t="s">
        <v>9036</v>
      </c>
      <c r="L625" s="1" t="s">
        <v>8987</v>
      </c>
      <c r="M625" s="1">
        <v>204</v>
      </c>
      <c r="N625" s="1" t="s">
        <v>8953</v>
      </c>
      <c r="O625" s="1" t="s">
        <v>8989</v>
      </c>
      <c r="P625" s="1" t="s">
        <v>8955</v>
      </c>
      <c r="Q625" s="1" t="s">
        <v>8956</v>
      </c>
      <c r="R625" s="1" t="s">
        <v>8975</v>
      </c>
      <c r="S625" s="1" t="s">
        <v>18984</v>
      </c>
      <c r="T625" s="1" t="s">
        <v>7</v>
      </c>
      <c r="U625" s="1" t="s">
        <v>1089</v>
      </c>
    </row>
    <row r="626" spans="1:21" x14ac:dyDescent="0.2">
      <c r="A626" s="88" t="s">
        <v>16208</v>
      </c>
      <c r="B626" s="88" t="e">
        <f>VLOOKUP(C626,#REF!,1,0)</f>
        <v>#REF!</v>
      </c>
      <c r="C626" s="1" t="s">
        <v>2320</v>
      </c>
      <c r="D626" s="1" t="s">
        <v>2321</v>
      </c>
      <c r="E626" s="1" t="s">
        <v>9317</v>
      </c>
      <c r="F626" s="1" t="s">
        <v>8959</v>
      </c>
      <c r="G626" t="s">
        <v>8959</v>
      </c>
      <c r="H626" s="1" t="s">
        <v>8984</v>
      </c>
      <c r="I626" s="1" t="s">
        <v>9101</v>
      </c>
      <c r="J626" s="2" t="s">
        <v>21357</v>
      </c>
      <c r="K626" s="1" t="s">
        <v>21357</v>
      </c>
      <c r="L626" s="1" t="s">
        <v>8987</v>
      </c>
      <c r="M626" s="1">
        <v>1577</v>
      </c>
      <c r="N626" s="1" t="s">
        <v>8953</v>
      </c>
      <c r="O626" s="1" t="s">
        <v>8989</v>
      </c>
      <c r="P626" s="1" t="s">
        <v>8955</v>
      </c>
      <c r="Q626" s="1" t="s">
        <v>8956</v>
      </c>
      <c r="R626" s="1" t="s">
        <v>8958</v>
      </c>
      <c r="S626" s="1" t="s">
        <v>18985</v>
      </c>
      <c r="T626" s="1" t="s">
        <v>17</v>
      </c>
      <c r="U626" s="1" t="s">
        <v>64</v>
      </c>
    </row>
    <row r="627" spans="1:21" x14ac:dyDescent="0.2">
      <c r="A627" s="88" t="s">
        <v>16209</v>
      </c>
      <c r="B627" s="88" t="e">
        <f>VLOOKUP(C627,#REF!,1,0)</f>
        <v>#REF!</v>
      </c>
      <c r="C627" s="1" t="s">
        <v>2322</v>
      </c>
      <c r="D627" s="1" t="s">
        <v>2323</v>
      </c>
      <c r="E627" s="1" t="s">
        <v>9317</v>
      </c>
      <c r="F627" s="1" t="s">
        <v>8959</v>
      </c>
      <c r="G627" t="s">
        <v>8959</v>
      </c>
      <c r="H627" s="1" t="s">
        <v>9154</v>
      </c>
      <c r="I627" s="1" t="s">
        <v>20725</v>
      </c>
      <c r="J627" s="2" t="s">
        <v>21199</v>
      </c>
      <c r="K627" s="1" t="s">
        <v>21199</v>
      </c>
      <c r="L627" s="1" t="s">
        <v>8951</v>
      </c>
      <c r="M627" s="1">
        <v>4000</v>
      </c>
      <c r="N627" s="1" t="s">
        <v>8953</v>
      </c>
      <c r="O627" s="1" t="s">
        <v>8989</v>
      </c>
      <c r="P627" s="1" t="s">
        <v>8955</v>
      </c>
      <c r="Q627" s="1" t="s">
        <v>8956</v>
      </c>
      <c r="R627" s="1" t="s">
        <v>8958</v>
      </c>
      <c r="S627" s="1" t="s">
        <v>18986</v>
      </c>
      <c r="T627" s="1" t="s">
        <v>17</v>
      </c>
      <c r="U627" s="1" t="s">
        <v>61</v>
      </c>
    </row>
    <row r="628" spans="1:21" x14ac:dyDescent="0.2">
      <c r="A628" s="88" t="s">
        <v>16210</v>
      </c>
      <c r="B628" s="88" t="e">
        <f>VLOOKUP(C628,#REF!,1,0)</f>
        <v>#REF!</v>
      </c>
      <c r="C628" s="1" t="s">
        <v>2324</v>
      </c>
      <c r="D628" s="1" t="s">
        <v>2325</v>
      </c>
      <c r="E628" s="1" t="s">
        <v>9317</v>
      </c>
      <c r="F628" s="1" t="s">
        <v>8957</v>
      </c>
      <c r="G628" t="s">
        <v>8959</v>
      </c>
      <c r="H628" s="1" t="s">
        <v>9605</v>
      </c>
      <c r="I628" s="1" t="s">
        <v>20725</v>
      </c>
      <c r="J628" s="2" t="s">
        <v>21358</v>
      </c>
      <c r="K628" s="1" t="s">
        <v>21677</v>
      </c>
      <c r="L628" s="1" t="s">
        <v>9076</v>
      </c>
      <c r="M628" s="1">
        <v>90000</v>
      </c>
      <c r="N628" s="1" t="s">
        <v>8953</v>
      </c>
      <c r="O628" s="1" t="s">
        <v>8989</v>
      </c>
      <c r="P628" s="1" t="s">
        <v>8955</v>
      </c>
      <c r="Q628" s="1" t="s">
        <v>8956</v>
      </c>
      <c r="R628" s="1" t="s">
        <v>8975</v>
      </c>
      <c r="S628" s="1" t="s">
        <v>18987</v>
      </c>
      <c r="T628" s="1" t="s">
        <v>17</v>
      </c>
      <c r="U628" s="1" t="s">
        <v>64</v>
      </c>
    </row>
    <row r="629" spans="1:21" x14ac:dyDescent="0.2">
      <c r="A629" s="88" t="s">
        <v>16211</v>
      </c>
      <c r="B629" s="88" t="e">
        <f>VLOOKUP(C629,#REF!,1,0)</f>
        <v>#REF!</v>
      </c>
      <c r="C629" s="1" t="s">
        <v>2326</v>
      </c>
      <c r="D629" s="1" t="s">
        <v>2327</v>
      </c>
      <c r="E629" s="1" t="s">
        <v>9317</v>
      </c>
      <c r="F629" s="1" t="s">
        <v>8959</v>
      </c>
      <c r="G629" t="s">
        <v>8959</v>
      </c>
      <c r="H629" s="1" t="s">
        <v>9605</v>
      </c>
      <c r="I629" s="1" t="s">
        <v>9325</v>
      </c>
      <c r="J629" s="2" t="s">
        <v>10258</v>
      </c>
      <c r="K629" s="1" t="s">
        <v>21663</v>
      </c>
      <c r="L629" s="1" t="s">
        <v>9464</v>
      </c>
      <c r="M629" s="1">
        <v>100</v>
      </c>
      <c r="N629" s="1" t="s">
        <v>8953</v>
      </c>
      <c r="O629" s="1" t="s">
        <v>8954</v>
      </c>
      <c r="P629" s="1" t="s">
        <v>8955</v>
      </c>
      <c r="Q629" s="1" t="s">
        <v>8956</v>
      </c>
      <c r="R629" s="1" t="s">
        <v>9103</v>
      </c>
      <c r="S629" s="1" t="s">
        <v>2328</v>
      </c>
      <c r="T629" s="1" t="s">
        <v>11</v>
      </c>
      <c r="U629" s="1" t="s">
        <v>126</v>
      </c>
    </row>
    <row r="630" spans="1:21" x14ac:dyDescent="0.2">
      <c r="A630" s="88" t="s">
        <v>16212</v>
      </c>
      <c r="B630" s="88" t="e">
        <f>VLOOKUP(C630,#REF!,1,0)</f>
        <v>#REF!</v>
      </c>
      <c r="C630" s="1" t="s">
        <v>2329</v>
      </c>
      <c r="D630" s="1" t="s">
        <v>2330</v>
      </c>
      <c r="E630" s="1" t="s">
        <v>9317</v>
      </c>
      <c r="F630" s="1" t="s">
        <v>8957</v>
      </c>
      <c r="G630" t="s">
        <v>8959</v>
      </c>
      <c r="H630" s="1" t="s">
        <v>9173</v>
      </c>
      <c r="I630" s="1" t="s">
        <v>9174</v>
      </c>
      <c r="J630" s="2" t="s">
        <v>21635</v>
      </c>
      <c r="K630" s="1" t="s">
        <v>21848</v>
      </c>
      <c r="L630" s="1" t="s">
        <v>8987</v>
      </c>
      <c r="M630" s="1">
        <v>10000</v>
      </c>
      <c r="N630" s="1" t="s">
        <v>8953</v>
      </c>
      <c r="O630" s="1" t="s">
        <v>8989</v>
      </c>
      <c r="P630" s="1" t="s">
        <v>8955</v>
      </c>
      <c r="Q630" s="1" t="s">
        <v>8956</v>
      </c>
      <c r="R630" s="1" t="s">
        <v>8975</v>
      </c>
      <c r="S630" s="1" t="s">
        <v>18988</v>
      </c>
      <c r="T630" s="1" t="s">
        <v>7</v>
      </c>
      <c r="U630" s="1" t="s">
        <v>1076</v>
      </c>
    </row>
    <row r="631" spans="1:21" x14ac:dyDescent="0.2">
      <c r="A631" s="88" t="s">
        <v>16213</v>
      </c>
      <c r="B631" s="88"/>
      <c r="C631" s="1" t="s">
        <v>2331</v>
      </c>
      <c r="D631" s="1" t="s">
        <v>2332</v>
      </c>
      <c r="E631" s="1" t="e">
        <v>#N/A</v>
      </c>
      <c r="F631" s="1" t="e">
        <v>#N/A</v>
      </c>
      <c r="G631" t="e">
        <v>#N/A</v>
      </c>
      <c r="H631" s="1" t="e">
        <v>#N/A</v>
      </c>
      <c r="I631" s="1" t="e">
        <v>#N/A</v>
      </c>
      <c r="J631" s="2" t="e">
        <v>#N/A</v>
      </c>
      <c r="K631" s="1" t="e">
        <v>#N/A</v>
      </c>
      <c r="L631" s="1" t="e">
        <v>#N/A</v>
      </c>
      <c r="M631" s="1" t="e">
        <v>#N/A</v>
      </c>
      <c r="N631" s="1" t="e">
        <v>#N/A</v>
      </c>
      <c r="O631" s="1" t="e">
        <v>#N/A</v>
      </c>
      <c r="P631" s="1" t="s">
        <v>8955</v>
      </c>
      <c r="Q631" s="1" t="s">
        <v>8956</v>
      </c>
      <c r="R631" s="1" t="s">
        <v>8958</v>
      </c>
      <c r="S631" s="1" t="s">
        <v>18989</v>
      </c>
      <c r="T631" s="1" t="s">
        <v>252</v>
      </c>
      <c r="U631" s="1" t="s">
        <v>2333</v>
      </c>
    </row>
    <row r="632" spans="1:21" x14ac:dyDescent="0.2">
      <c r="A632" s="88" t="s">
        <v>16214</v>
      </c>
      <c r="B632" s="88" t="e">
        <f>VLOOKUP(C632,#REF!,1,0)</f>
        <v>#REF!</v>
      </c>
      <c r="C632" s="1" t="s">
        <v>2334</v>
      </c>
      <c r="D632" s="1" t="s">
        <v>2335</v>
      </c>
      <c r="E632" s="1" t="s">
        <v>9246</v>
      </c>
      <c r="F632" s="1" t="s">
        <v>8957</v>
      </c>
      <c r="G632" t="s">
        <v>8959</v>
      </c>
      <c r="H632" s="1" t="s">
        <v>8948</v>
      </c>
      <c r="I632" s="1" t="s">
        <v>8949</v>
      </c>
      <c r="J632" s="2" t="s">
        <v>9036</v>
      </c>
      <c r="K632" s="1" t="s">
        <v>9036</v>
      </c>
      <c r="L632" s="1" t="s">
        <v>8951</v>
      </c>
      <c r="M632" s="1">
        <v>420000</v>
      </c>
      <c r="N632" s="1" t="s">
        <v>8953</v>
      </c>
      <c r="O632" s="1" t="s">
        <v>8954</v>
      </c>
      <c r="P632" s="1" t="s">
        <v>8955</v>
      </c>
      <c r="Q632" s="1" t="s">
        <v>8956</v>
      </c>
      <c r="R632" s="1" t="s">
        <v>8975</v>
      </c>
      <c r="S632" s="1" t="s">
        <v>2336</v>
      </c>
      <c r="T632" s="1" t="s">
        <v>4</v>
      </c>
      <c r="U632" s="1" t="s">
        <v>57</v>
      </c>
    </row>
    <row r="633" spans="1:21" x14ac:dyDescent="0.2">
      <c r="A633" s="88" t="s">
        <v>16216</v>
      </c>
      <c r="B633" s="88" t="e">
        <f>VLOOKUP(C633,#REF!,1,0)</f>
        <v>#REF!</v>
      </c>
      <c r="C633" s="1" t="s">
        <v>2339</v>
      </c>
      <c r="D633" s="1" t="s">
        <v>2340</v>
      </c>
      <c r="E633" s="1" t="s">
        <v>18502</v>
      </c>
      <c r="F633" s="1" t="s">
        <v>8957</v>
      </c>
      <c r="G633" t="s">
        <v>8959</v>
      </c>
      <c r="H633" s="1" t="s">
        <v>9252</v>
      </c>
      <c r="I633" s="1" t="s">
        <v>8998</v>
      </c>
      <c r="J633" s="2" t="s">
        <v>10492</v>
      </c>
      <c r="K633" s="1" t="s">
        <v>21645</v>
      </c>
      <c r="L633" s="1" t="s">
        <v>21600</v>
      </c>
      <c r="M633" s="1">
        <v>45621</v>
      </c>
      <c r="N633" s="1" t="s">
        <v>8953</v>
      </c>
      <c r="O633" s="1" t="s">
        <v>8989</v>
      </c>
      <c r="P633" s="1" t="s">
        <v>8955</v>
      </c>
      <c r="Q633" s="1" t="s">
        <v>8956</v>
      </c>
      <c r="R633" s="1" t="s">
        <v>8958</v>
      </c>
      <c r="S633" s="1" t="s">
        <v>20588</v>
      </c>
      <c r="T633" s="1" t="s">
        <v>17</v>
      </c>
      <c r="U633" s="1" t="s">
        <v>93</v>
      </c>
    </row>
    <row r="634" spans="1:21" x14ac:dyDescent="0.2">
      <c r="A634" s="88" t="s">
        <v>16217</v>
      </c>
      <c r="B634" s="88" t="e">
        <f>VLOOKUP(C634,#REF!,1,0)</f>
        <v>#REF!</v>
      </c>
      <c r="C634" s="1" t="s">
        <v>2341</v>
      </c>
      <c r="D634" s="1" t="s">
        <v>2342</v>
      </c>
      <c r="E634" s="1" t="s">
        <v>9246</v>
      </c>
      <c r="F634" s="1" t="s">
        <v>8957</v>
      </c>
      <c r="G634" t="s">
        <v>8959</v>
      </c>
      <c r="H634" s="1" t="s">
        <v>9252</v>
      </c>
      <c r="I634" s="1" t="s">
        <v>8985</v>
      </c>
      <c r="J634" s="2" t="s">
        <v>18489</v>
      </c>
      <c r="K634" s="1" t="s">
        <v>21673</v>
      </c>
      <c r="L634" s="1" t="s">
        <v>8951</v>
      </c>
      <c r="M634" s="1">
        <v>527</v>
      </c>
      <c r="N634" s="1" t="s">
        <v>8953</v>
      </c>
      <c r="O634" s="1" t="s">
        <v>8954</v>
      </c>
      <c r="P634" s="1" t="s">
        <v>8955</v>
      </c>
      <c r="Q634" s="1" t="s">
        <v>8956</v>
      </c>
      <c r="R634" s="1" t="s">
        <v>8958</v>
      </c>
      <c r="S634" s="1" t="s">
        <v>18991</v>
      </c>
      <c r="T634" s="1" t="s">
        <v>17</v>
      </c>
      <c r="U634" s="1" t="s">
        <v>286</v>
      </c>
    </row>
    <row r="635" spans="1:21" x14ac:dyDescent="0.2">
      <c r="A635" s="88" t="s">
        <v>16218</v>
      </c>
      <c r="B635" s="88" t="e">
        <f>VLOOKUP(C635,#REF!,1,0)</f>
        <v>#REF!</v>
      </c>
      <c r="C635" s="1" t="s">
        <v>2347</v>
      </c>
      <c r="D635" s="1" t="s">
        <v>2348</v>
      </c>
      <c r="E635" s="1" t="s">
        <v>9010</v>
      </c>
      <c r="F635" s="1" t="s">
        <v>8959</v>
      </c>
      <c r="G635" t="s">
        <v>8959</v>
      </c>
      <c r="H635" s="1" t="s">
        <v>8948</v>
      </c>
      <c r="I635" s="1" t="s">
        <v>8998</v>
      </c>
      <c r="J635" s="2" t="s">
        <v>9036</v>
      </c>
      <c r="K635" s="1" t="s">
        <v>9036</v>
      </c>
      <c r="L635" s="1" t="s">
        <v>8951</v>
      </c>
      <c r="M635" s="1">
        <v>5043</v>
      </c>
      <c r="N635" s="1" t="s">
        <v>8953</v>
      </c>
      <c r="O635" s="1" t="s">
        <v>8989</v>
      </c>
      <c r="P635" s="1" t="s">
        <v>8955</v>
      </c>
      <c r="Q635" s="1" t="s">
        <v>8956</v>
      </c>
      <c r="R635" s="1" t="s">
        <v>8958</v>
      </c>
      <c r="S635" s="1" t="s">
        <v>2349</v>
      </c>
      <c r="T635" s="1" t="s">
        <v>11</v>
      </c>
      <c r="U635" s="1" t="s">
        <v>126</v>
      </c>
    </row>
    <row r="636" spans="1:21" x14ac:dyDescent="0.2">
      <c r="A636" s="88" t="s">
        <v>16219</v>
      </c>
      <c r="B636" s="88" t="e">
        <f>VLOOKUP(C636,#REF!,1,0)</f>
        <v>#REF!</v>
      </c>
      <c r="C636" s="1" t="s">
        <v>2350</v>
      </c>
      <c r="D636" s="1" t="s">
        <v>2351</v>
      </c>
      <c r="E636" s="1" t="s">
        <v>9317</v>
      </c>
      <c r="F636" s="1" t="s">
        <v>8959</v>
      </c>
      <c r="G636" t="s">
        <v>9009</v>
      </c>
      <c r="H636" s="1" t="s">
        <v>9154</v>
      </c>
      <c r="I636" s="1" t="s">
        <v>8971</v>
      </c>
      <c r="J636" s="2" t="s">
        <v>9041</v>
      </c>
      <c r="K636" s="1" t="s">
        <v>9041</v>
      </c>
      <c r="L636" s="1" t="s">
        <v>8951</v>
      </c>
      <c r="M636" s="1">
        <v>2891</v>
      </c>
      <c r="N636" s="1" t="s">
        <v>8953</v>
      </c>
      <c r="O636" s="1" t="s">
        <v>8989</v>
      </c>
      <c r="P636" s="1" t="s">
        <v>8955</v>
      </c>
      <c r="Q636" s="1" t="s">
        <v>8956</v>
      </c>
      <c r="R636" s="1" t="s">
        <v>8958</v>
      </c>
      <c r="S636" s="1" t="s">
        <v>2352</v>
      </c>
      <c r="T636" s="1" t="s">
        <v>242</v>
      </c>
      <c r="U636" s="1" t="s">
        <v>61</v>
      </c>
    </row>
    <row r="637" spans="1:21" x14ac:dyDescent="0.2">
      <c r="A637" s="88" t="s">
        <v>16220</v>
      </c>
      <c r="B637" s="88" t="e">
        <f>VLOOKUP(C637,#REF!,1,0)</f>
        <v>#REF!</v>
      </c>
      <c r="C637" s="1" t="s">
        <v>2353</v>
      </c>
      <c r="D637" s="1" t="s">
        <v>2354</v>
      </c>
      <c r="E637" s="1" t="s">
        <v>18502</v>
      </c>
      <c r="F637" s="1" t="s">
        <v>8959</v>
      </c>
      <c r="G637" t="s">
        <v>9061</v>
      </c>
      <c r="H637" s="1" t="s">
        <v>9100</v>
      </c>
      <c r="I637" s="1" t="s">
        <v>8959</v>
      </c>
      <c r="J637" s="2" t="s">
        <v>21199</v>
      </c>
      <c r="K637" s="1" t="s">
        <v>21678</v>
      </c>
      <c r="L637" s="1" t="s">
        <v>9157</v>
      </c>
      <c r="M637" s="1">
        <v>48</v>
      </c>
      <c r="N637" s="1" t="s">
        <v>8953</v>
      </c>
      <c r="O637" s="1" t="s">
        <v>8989</v>
      </c>
      <c r="P637" s="1" t="s">
        <v>8955</v>
      </c>
      <c r="Q637" s="1" t="s">
        <v>8956</v>
      </c>
      <c r="R637" s="1" t="s">
        <v>8958</v>
      </c>
      <c r="S637" s="1" t="s">
        <v>18992</v>
      </c>
      <c r="T637" s="1" t="s">
        <v>17</v>
      </c>
      <c r="U637" s="1" t="s">
        <v>161</v>
      </c>
    </row>
    <row r="638" spans="1:21" x14ac:dyDescent="0.2">
      <c r="A638" s="88" t="s">
        <v>16221</v>
      </c>
      <c r="B638" s="88" t="e">
        <f>VLOOKUP(C638,#REF!,1,0)</f>
        <v>#REF!</v>
      </c>
      <c r="C638" s="1" t="s">
        <v>2355</v>
      </c>
      <c r="D638" s="1" t="s">
        <v>2356</v>
      </c>
      <c r="E638" s="1" t="s">
        <v>10873</v>
      </c>
      <c r="F638" s="1" t="s">
        <v>8957</v>
      </c>
      <c r="G638" t="s">
        <v>9183</v>
      </c>
      <c r="H638" s="1" t="s">
        <v>8984</v>
      </c>
      <c r="I638" s="1" t="s">
        <v>8998</v>
      </c>
      <c r="J638" s="2" t="s">
        <v>11915</v>
      </c>
      <c r="K638" s="1" t="s">
        <v>11915</v>
      </c>
      <c r="L638" s="1" t="s">
        <v>21600</v>
      </c>
      <c r="M638" s="1">
        <v>90</v>
      </c>
      <c r="N638" s="1" t="s">
        <v>8953</v>
      </c>
      <c r="O638" s="1" t="s">
        <v>8954</v>
      </c>
      <c r="P638" s="1" t="s">
        <v>8955</v>
      </c>
      <c r="Q638" s="1" t="s">
        <v>8956</v>
      </c>
      <c r="R638" s="1" t="s">
        <v>8975</v>
      </c>
      <c r="S638" s="1" t="s">
        <v>2357</v>
      </c>
      <c r="T638" s="1" t="s">
        <v>11</v>
      </c>
      <c r="U638" s="1" t="s">
        <v>61</v>
      </c>
    </row>
    <row r="639" spans="1:21" x14ac:dyDescent="0.2">
      <c r="A639" s="88" t="s">
        <v>16222</v>
      </c>
      <c r="B639" s="88" t="e">
        <f>VLOOKUP(C639,#REF!,1,0)</f>
        <v>#REF!</v>
      </c>
      <c r="C639" s="1" t="s">
        <v>2358</v>
      </c>
      <c r="D639" s="1" t="s">
        <v>2359</v>
      </c>
      <c r="E639" s="1" t="s">
        <v>10873</v>
      </c>
      <c r="F639" s="1" t="s">
        <v>8957</v>
      </c>
      <c r="G639" t="s">
        <v>9183</v>
      </c>
      <c r="H639" s="1" t="s">
        <v>8984</v>
      </c>
      <c r="I639" s="1" t="s">
        <v>8998</v>
      </c>
      <c r="J639" s="2" t="s">
        <v>21438</v>
      </c>
      <c r="K639" s="1" t="s">
        <v>21438</v>
      </c>
      <c r="L639" s="1" t="s">
        <v>21600</v>
      </c>
      <c r="M639" s="1">
        <v>90</v>
      </c>
      <c r="N639" s="1" t="s">
        <v>8953</v>
      </c>
      <c r="O639" s="1" t="s">
        <v>8989</v>
      </c>
      <c r="P639" s="1" t="s">
        <v>8955</v>
      </c>
      <c r="Q639" s="1" t="s">
        <v>8956</v>
      </c>
      <c r="R639" s="1" t="s">
        <v>8975</v>
      </c>
      <c r="S639" s="1" t="s">
        <v>2360</v>
      </c>
      <c r="T639" s="1" t="s">
        <v>11</v>
      </c>
      <c r="U639" s="1" t="s">
        <v>184</v>
      </c>
    </row>
    <row r="640" spans="1:21" x14ac:dyDescent="0.2">
      <c r="A640" s="88" t="s">
        <v>16224</v>
      </c>
      <c r="B640" s="88"/>
      <c r="C640" s="1" t="s">
        <v>2364</v>
      </c>
      <c r="D640" s="1" t="s">
        <v>2365</v>
      </c>
      <c r="E640" s="1" t="e">
        <v>#N/A</v>
      </c>
      <c r="F640" s="1" t="e">
        <v>#N/A</v>
      </c>
      <c r="G640" t="e">
        <v>#N/A</v>
      </c>
      <c r="H640" s="1" t="e">
        <v>#N/A</v>
      </c>
      <c r="I640" s="1" t="e">
        <v>#N/A</v>
      </c>
      <c r="J640" s="2" t="e">
        <v>#N/A</v>
      </c>
      <c r="K640" s="1" t="e">
        <v>#N/A</v>
      </c>
      <c r="L640" s="1" t="e">
        <v>#N/A</v>
      </c>
      <c r="M640" s="1" t="e">
        <v>#N/A</v>
      </c>
      <c r="N640" s="1" t="e">
        <v>#N/A</v>
      </c>
      <c r="O640" s="1" t="e">
        <v>#N/A</v>
      </c>
      <c r="P640" s="1" t="s">
        <v>8955</v>
      </c>
      <c r="Q640" s="1" t="s">
        <v>8956</v>
      </c>
      <c r="R640" s="1" t="s">
        <v>9103</v>
      </c>
      <c r="S640" s="1" t="s">
        <v>18993</v>
      </c>
      <c r="T640" s="1" t="s">
        <v>252</v>
      </c>
      <c r="U640" s="1" t="s">
        <v>64</v>
      </c>
    </row>
    <row r="641" spans="1:21" x14ac:dyDescent="0.2">
      <c r="A641" s="88" t="s">
        <v>16225</v>
      </c>
      <c r="B641" s="88" t="e">
        <f>VLOOKUP(C641,#REF!,1,0)</f>
        <v>#REF!</v>
      </c>
      <c r="C641" s="1" t="s">
        <v>2370</v>
      </c>
      <c r="D641" s="1" t="s">
        <v>2371</v>
      </c>
      <c r="E641" s="1" t="s">
        <v>18502</v>
      </c>
      <c r="F641" s="1" t="s">
        <v>8959</v>
      </c>
      <c r="G641" t="s">
        <v>9061</v>
      </c>
      <c r="H641" s="1" t="s">
        <v>9100</v>
      </c>
      <c r="I641" s="1" t="s">
        <v>8998</v>
      </c>
      <c r="J641" s="2" t="s">
        <v>20779</v>
      </c>
      <c r="K641" s="1" t="s">
        <v>9036</v>
      </c>
      <c r="L641" s="1" t="s">
        <v>8951</v>
      </c>
      <c r="M641" s="1">
        <v>2012</v>
      </c>
      <c r="N641" s="1" t="s">
        <v>9059</v>
      </c>
      <c r="O641" s="1" t="s">
        <v>8989</v>
      </c>
      <c r="P641" s="1" t="s">
        <v>8955</v>
      </c>
      <c r="Q641" s="1" t="s">
        <v>8956</v>
      </c>
      <c r="R641" s="1" t="s">
        <v>9103</v>
      </c>
      <c r="S641" s="1" t="s">
        <v>2372</v>
      </c>
      <c r="T641" s="1" t="s">
        <v>7</v>
      </c>
      <c r="U641" s="1" t="s">
        <v>2373</v>
      </c>
    </row>
    <row r="642" spans="1:21" x14ac:dyDescent="0.2">
      <c r="A642" s="88" t="s">
        <v>16226</v>
      </c>
      <c r="B642" s="88" t="e">
        <f>VLOOKUP(C642,#REF!,1,0)</f>
        <v>#REF!</v>
      </c>
      <c r="C642" s="1" t="s">
        <v>2378</v>
      </c>
      <c r="D642" s="1" t="s">
        <v>2379</v>
      </c>
      <c r="E642" s="1" t="s">
        <v>9010</v>
      </c>
      <c r="F642" s="1" t="s">
        <v>8957</v>
      </c>
      <c r="G642" t="s">
        <v>9009</v>
      </c>
      <c r="H642" s="1" t="s">
        <v>8948</v>
      </c>
      <c r="I642" s="1" t="s">
        <v>8949</v>
      </c>
      <c r="J642" s="2" t="s">
        <v>9036</v>
      </c>
      <c r="K642" s="1" t="s">
        <v>9036</v>
      </c>
      <c r="L642" s="1" t="s">
        <v>8987</v>
      </c>
      <c r="M642" s="1">
        <v>113</v>
      </c>
      <c r="N642" s="1" t="s">
        <v>9059</v>
      </c>
      <c r="O642" s="1" t="s">
        <v>8989</v>
      </c>
      <c r="P642" s="1" t="s">
        <v>8955</v>
      </c>
      <c r="Q642" s="1" t="s">
        <v>8956</v>
      </c>
      <c r="R642" s="1" t="s">
        <v>8958</v>
      </c>
      <c r="S642" s="1" t="s">
        <v>2380</v>
      </c>
      <c r="T642" s="1" t="s">
        <v>17</v>
      </c>
      <c r="U642" s="1" t="s">
        <v>392</v>
      </c>
    </row>
    <row r="643" spans="1:21" x14ac:dyDescent="0.2">
      <c r="A643" s="88" t="s">
        <v>20827</v>
      </c>
      <c r="B643" s="88" t="e">
        <f>VLOOKUP(C643,#REF!,1,0)</f>
        <v>#REF!</v>
      </c>
      <c r="C643" s="1" t="s">
        <v>2381</v>
      </c>
      <c r="D643" s="1" t="s">
        <v>2382</v>
      </c>
      <c r="E643" s="1" t="s">
        <v>10032</v>
      </c>
      <c r="F643" s="1" t="s">
        <v>8959</v>
      </c>
      <c r="G643" t="s">
        <v>8959</v>
      </c>
      <c r="H643" s="1" t="s">
        <v>9075</v>
      </c>
      <c r="I643" s="1" t="s">
        <v>9155</v>
      </c>
      <c r="J643" s="2" t="s">
        <v>20779</v>
      </c>
      <c r="K643" s="1" t="s">
        <v>9036</v>
      </c>
      <c r="L643" s="1" t="s">
        <v>21600</v>
      </c>
      <c r="M643" s="1">
        <v>673</v>
      </c>
      <c r="N643" s="1" t="s">
        <v>8953</v>
      </c>
      <c r="O643" s="1" t="s">
        <v>8954</v>
      </c>
      <c r="P643" s="1" t="s">
        <v>8955</v>
      </c>
      <c r="Q643" s="1" t="s">
        <v>8956</v>
      </c>
      <c r="R643" s="1" t="s">
        <v>9103</v>
      </c>
      <c r="S643" s="1" t="s">
        <v>20590</v>
      </c>
      <c r="T643" s="1" t="s">
        <v>7</v>
      </c>
      <c r="U643" s="1" t="s">
        <v>64</v>
      </c>
    </row>
    <row r="644" spans="1:21" x14ac:dyDescent="0.2">
      <c r="A644" s="88" t="s">
        <v>16227</v>
      </c>
      <c r="B644" s="88" t="e">
        <f>VLOOKUP(C644,#REF!,1,0)</f>
        <v>#REF!</v>
      </c>
      <c r="C644" s="1" t="s">
        <v>2383</v>
      </c>
      <c r="D644" s="1" t="s">
        <v>2384</v>
      </c>
      <c r="E644" s="1" t="s">
        <v>10032</v>
      </c>
      <c r="F644" s="1" t="s">
        <v>8959</v>
      </c>
      <c r="G644" t="s">
        <v>8959</v>
      </c>
      <c r="H644" s="1" t="s">
        <v>9075</v>
      </c>
      <c r="I644" s="1" t="s">
        <v>8971</v>
      </c>
      <c r="J644" s="2" t="s">
        <v>10492</v>
      </c>
      <c r="K644" s="1" t="s">
        <v>10492</v>
      </c>
      <c r="L644" s="1" t="s">
        <v>21600</v>
      </c>
      <c r="M644" s="1">
        <v>145</v>
      </c>
      <c r="N644" s="1" t="s">
        <v>9059</v>
      </c>
      <c r="O644" s="1" t="s">
        <v>20828</v>
      </c>
      <c r="P644" s="1" t="s">
        <v>8955</v>
      </c>
      <c r="Q644" s="1" t="s">
        <v>8956</v>
      </c>
      <c r="R644" s="1" t="s">
        <v>9103</v>
      </c>
      <c r="S644" s="1" t="s">
        <v>20591</v>
      </c>
      <c r="T644" s="1" t="s">
        <v>7</v>
      </c>
      <c r="U644" s="1" t="s">
        <v>64</v>
      </c>
    </row>
    <row r="645" spans="1:21" x14ac:dyDescent="0.2">
      <c r="A645" s="88" t="s">
        <v>16228</v>
      </c>
      <c r="B645" s="88" t="e">
        <f>VLOOKUP(C645,#REF!,1,0)</f>
        <v>#REF!</v>
      </c>
      <c r="C645" s="1" t="s">
        <v>2385</v>
      </c>
      <c r="D645" s="1" t="s">
        <v>2386</v>
      </c>
      <c r="E645" s="1" t="s">
        <v>9010</v>
      </c>
      <c r="F645" s="1" t="s">
        <v>8959</v>
      </c>
      <c r="G645" t="s">
        <v>8959</v>
      </c>
      <c r="H645" s="1" t="s">
        <v>9092</v>
      </c>
      <c r="I645" s="1" t="s">
        <v>8998</v>
      </c>
      <c r="J645" s="2" t="s">
        <v>9036</v>
      </c>
      <c r="K645" s="1" t="s">
        <v>9036</v>
      </c>
      <c r="L645" s="1" t="s">
        <v>9076</v>
      </c>
      <c r="M645" s="1">
        <v>50</v>
      </c>
      <c r="N645" s="1" t="s">
        <v>8953</v>
      </c>
      <c r="O645" s="1" t="s">
        <v>8989</v>
      </c>
      <c r="P645" s="1" t="s">
        <v>8955</v>
      </c>
      <c r="Q645" s="1" t="s">
        <v>8956</v>
      </c>
      <c r="R645" s="1" t="s">
        <v>8975</v>
      </c>
      <c r="S645" s="1" t="s">
        <v>2387</v>
      </c>
      <c r="T645" s="1" t="s">
        <v>17</v>
      </c>
      <c r="U645" s="1" t="s">
        <v>378</v>
      </c>
    </row>
    <row r="646" spans="1:21" x14ac:dyDescent="0.2">
      <c r="A646" s="88" t="s">
        <v>16229</v>
      </c>
      <c r="B646" s="88" t="e">
        <f>VLOOKUP(C646,#REF!,1,0)</f>
        <v>#REF!</v>
      </c>
      <c r="C646" s="1" t="s">
        <v>2388</v>
      </c>
      <c r="D646" s="1" t="s">
        <v>2389</v>
      </c>
      <c r="E646" s="1" t="s">
        <v>9010</v>
      </c>
      <c r="F646" s="1" t="s">
        <v>8959</v>
      </c>
      <c r="G646" t="s">
        <v>9183</v>
      </c>
      <c r="H646" s="1" t="s">
        <v>8948</v>
      </c>
      <c r="I646" s="1" t="s">
        <v>8949</v>
      </c>
      <c r="J646" s="2" t="s">
        <v>9036</v>
      </c>
      <c r="K646" s="1" t="s">
        <v>9036</v>
      </c>
      <c r="L646" s="1" t="s">
        <v>9133</v>
      </c>
      <c r="M646" s="1">
        <v>50</v>
      </c>
      <c r="N646" s="1" t="s">
        <v>9059</v>
      </c>
      <c r="O646" s="1" t="s">
        <v>8989</v>
      </c>
      <c r="P646" s="1" t="s">
        <v>8955</v>
      </c>
      <c r="Q646" s="1" t="s">
        <v>8956</v>
      </c>
      <c r="R646" s="1" t="s">
        <v>8975</v>
      </c>
      <c r="S646" s="1" t="s">
        <v>2390</v>
      </c>
      <c r="T646" s="1" t="s">
        <v>11</v>
      </c>
      <c r="U646" s="1" t="s">
        <v>122</v>
      </c>
    </row>
    <row r="647" spans="1:21" x14ac:dyDescent="0.2">
      <c r="A647" s="88" t="s">
        <v>16230</v>
      </c>
      <c r="B647" s="88" t="e">
        <f>VLOOKUP(C647,#REF!,1,0)</f>
        <v>#REF!</v>
      </c>
      <c r="C647" s="1" t="s">
        <v>2391</v>
      </c>
      <c r="D647" s="1" t="s">
        <v>2392</v>
      </c>
      <c r="E647" s="1" t="s">
        <v>14748</v>
      </c>
      <c r="F647" s="1" t="s">
        <v>8959</v>
      </c>
      <c r="G647" t="s">
        <v>8959</v>
      </c>
      <c r="H647" s="1" t="s">
        <v>9100</v>
      </c>
      <c r="I647" s="1" t="s">
        <v>8949</v>
      </c>
      <c r="J647" s="2" t="s">
        <v>20779</v>
      </c>
      <c r="K647" s="1" t="s">
        <v>9036</v>
      </c>
      <c r="L647" s="1" t="s">
        <v>9133</v>
      </c>
      <c r="M647" s="1">
        <v>1138</v>
      </c>
      <c r="N647" s="1" t="s">
        <v>8953</v>
      </c>
      <c r="O647" s="1" t="s">
        <v>8954</v>
      </c>
      <c r="P647" s="1" t="s">
        <v>8955</v>
      </c>
      <c r="Q647" s="1" t="s">
        <v>8956</v>
      </c>
      <c r="R647" s="1" t="s">
        <v>9103</v>
      </c>
      <c r="S647" s="1" t="s">
        <v>2393</v>
      </c>
      <c r="T647" s="1" t="s">
        <v>17</v>
      </c>
      <c r="U647" s="1" t="s">
        <v>2394</v>
      </c>
    </row>
    <row r="648" spans="1:21" x14ac:dyDescent="0.2">
      <c r="A648" s="88" t="s">
        <v>16231</v>
      </c>
      <c r="B648" s="88" t="e">
        <f>VLOOKUP(C648,#REF!,1,0)</f>
        <v>#REF!</v>
      </c>
      <c r="C648" s="1" t="s">
        <v>2395</v>
      </c>
      <c r="D648" s="1" t="s">
        <v>2396</v>
      </c>
      <c r="E648" s="1" t="s">
        <v>18502</v>
      </c>
      <c r="F648" s="1" t="s">
        <v>8957</v>
      </c>
      <c r="G648" t="s">
        <v>8959</v>
      </c>
      <c r="H648" s="1" t="s">
        <v>9154</v>
      </c>
      <c r="I648" s="1" t="s">
        <v>8949</v>
      </c>
      <c r="J648" s="2" t="s">
        <v>10492</v>
      </c>
      <c r="K648" s="1" t="s">
        <v>10492</v>
      </c>
      <c r="L648" s="1" t="s">
        <v>21600</v>
      </c>
      <c r="M648" s="1">
        <v>1200</v>
      </c>
      <c r="N648" s="1" t="s">
        <v>8953</v>
      </c>
      <c r="O648" s="1" t="s">
        <v>8989</v>
      </c>
      <c r="P648" s="1" t="s">
        <v>8955</v>
      </c>
      <c r="Q648" s="1" t="s">
        <v>8956</v>
      </c>
      <c r="R648" s="1" t="s">
        <v>9103</v>
      </c>
      <c r="S648" s="1" t="s">
        <v>18995</v>
      </c>
      <c r="T648" s="1" t="s">
        <v>17</v>
      </c>
      <c r="U648" s="1" t="s">
        <v>619</v>
      </c>
    </row>
    <row r="649" spans="1:21" x14ac:dyDescent="0.2">
      <c r="A649" s="88" t="s">
        <v>16233</v>
      </c>
      <c r="B649" s="88" t="e">
        <f>VLOOKUP(C649,#REF!,1,0)</f>
        <v>#REF!</v>
      </c>
      <c r="C649" s="1" t="s">
        <v>2400</v>
      </c>
      <c r="D649" s="1" t="s">
        <v>2401</v>
      </c>
      <c r="E649" s="1" t="s">
        <v>9317</v>
      </c>
      <c r="F649" s="1" t="s">
        <v>8957</v>
      </c>
      <c r="G649" t="s">
        <v>8959</v>
      </c>
      <c r="H649" s="1" t="s">
        <v>8948</v>
      </c>
      <c r="I649" s="1" t="s">
        <v>8949</v>
      </c>
      <c r="J649" s="2" t="s">
        <v>9036</v>
      </c>
      <c r="K649" s="1" t="s">
        <v>9036</v>
      </c>
      <c r="L649" s="1" t="s">
        <v>21600</v>
      </c>
      <c r="M649" s="1">
        <v>158</v>
      </c>
      <c r="N649" s="1" t="s">
        <v>8953</v>
      </c>
      <c r="O649" s="1" t="s">
        <v>8954</v>
      </c>
      <c r="P649" s="1" t="s">
        <v>8955</v>
      </c>
      <c r="Q649" s="1" t="s">
        <v>8956</v>
      </c>
      <c r="R649" s="1" t="s">
        <v>8975</v>
      </c>
      <c r="S649" s="1" t="s">
        <v>2402</v>
      </c>
      <c r="T649" s="1" t="s">
        <v>242</v>
      </c>
      <c r="U649" s="1" t="s">
        <v>61</v>
      </c>
    </row>
    <row r="650" spans="1:21" x14ac:dyDescent="0.2">
      <c r="A650" s="88" t="s">
        <v>16235</v>
      </c>
      <c r="B650" s="88" t="e">
        <f>VLOOKUP(C650,#REF!,1,0)</f>
        <v>#REF!</v>
      </c>
      <c r="C650" s="1" t="s">
        <v>2405</v>
      </c>
      <c r="D650" s="1" t="s">
        <v>2406</v>
      </c>
      <c r="E650" s="1" t="s">
        <v>9317</v>
      </c>
      <c r="F650" s="1" t="s">
        <v>8957</v>
      </c>
      <c r="G650" t="s">
        <v>9183</v>
      </c>
      <c r="H650" s="1" t="s">
        <v>8948</v>
      </c>
      <c r="I650" s="1" t="s">
        <v>9131</v>
      </c>
      <c r="J650" s="2" t="s">
        <v>10492</v>
      </c>
      <c r="K650" s="1" t="s">
        <v>10492</v>
      </c>
      <c r="L650" s="1" t="s">
        <v>9076</v>
      </c>
      <c r="M650" s="1">
        <v>62000</v>
      </c>
      <c r="N650" s="1" t="s">
        <v>8953</v>
      </c>
      <c r="O650" s="1" t="s">
        <v>8989</v>
      </c>
      <c r="P650" s="1" t="s">
        <v>8955</v>
      </c>
      <c r="Q650" s="1" t="s">
        <v>8956</v>
      </c>
      <c r="R650" s="1" t="s">
        <v>8958</v>
      </c>
      <c r="S650" s="1" t="s">
        <v>18997</v>
      </c>
      <c r="T650" s="1" t="s">
        <v>17</v>
      </c>
      <c r="U650" s="1" t="s">
        <v>5</v>
      </c>
    </row>
    <row r="651" spans="1:21" x14ac:dyDescent="0.2">
      <c r="A651" s="88" t="s">
        <v>16237</v>
      </c>
      <c r="B651" s="88" t="e">
        <f>VLOOKUP(C651,#REF!,1,0)</f>
        <v>#REF!</v>
      </c>
      <c r="C651" s="1" t="s">
        <v>2410</v>
      </c>
      <c r="D651" s="1" t="s">
        <v>2411</v>
      </c>
      <c r="E651" s="1" t="s">
        <v>9010</v>
      </c>
      <c r="F651" s="1" t="s">
        <v>8959</v>
      </c>
      <c r="G651" t="s">
        <v>8959</v>
      </c>
      <c r="H651" s="1" t="s">
        <v>8948</v>
      </c>
      <c r="I651" s="1" t="s">
        <v>8949</v>
      </c>
      <c r="J651" s="2" t="s">
        <v>9036</v>
      </c>
      <c r="K651" s="1" t="s">
        <v>9036</v>
      </c>
      <c r="L651" s="1" t="s">
        <v>9076</v>
      </c>
      <c r="M651" s="1">
        <v>60</v>
      </c>
      <c r="N651" s="1" t="s">
        <v>8953</v>
      </c>
      <c r="O651" s="1" t="s">
        <v>8989</v>
      </c>
      <c r="P651" s="1" t="s">
        <v>8955</v>
      </c>
      <c r="Q651" s="1" t="s">
        <v>8956</v>
      </c>
      <c r="R651" s="1" t="s">
        <v>8958</v>
      </c>
      <c r="S651" s="1" t="s">
        <v>2412</v>
      </c>
      <c r="T651" s="1" t="s">
        <v>11</v>
      </c>
      <c r="U651" s="1" t="s">
        <v>619</v>
      </c>
    </row>
    <row r="652" spans="1:21" x14ac:dyDescent="0.2">
      <c r="A652" s="88" t="s">
        <v>16238</v>
      </c>
      <c r="B652" s="88" t="e">
        <f>VLOOKUP(C652,#REF!,1,0)</f>
        <v>#REF!</v>
      </c>
      <c r="C652" s="1" t="s">
        <v>2413</v>
      </c>
      <c r="D652" s="1" t="s">
        <v>2414</v>
      </c>
      <c r="E652" s="1" t="s">
        <v>9010</v>
      </c>
      <c r="F652" s="1" t="s">
        <v>8959</v>
      </c>
      <c r="G652" t="s">
        <v>9061</v>
      </c>
      <c r="H652" s="1" t="s">
        <v>8984</v>
      </c>
      <c r="I652" s="1" t="s">
        <v>8998</v>
      </c>
      <c r="J652" s="2" t="s">
        <v>9036</v>
      </c>
      <c r="K652" s="1" t="s">
        <v>9036</v>
      </c>
      <c r="L652" s="1" t="s">
        <v>8951</v>
      </c>
      <c r="M652" s="1">
        <v>1848</v>
      </c>
      <c r="N652" s="1" t="s">
        <v>8953</v>
      </c>
      <c r="O652" s="1" t="s">
        <v>8989</v>
      </c>
      <c r="P652" s="1" t="s">
        <v>8955</v>
      </c>
      <c r="Q652" s="1" t="s">
        <v>8956</v>
      </c>
      <c r="R652" s="1" t="s">
        <v>8975</v>
      </c>
      <c r="S652" s="1" t="s">
        <v>2415</v>
      </c>
      <c r="T652" s="1" t="s">
        <v>17</v>
      </c>
      <c r="U652" s="1" t="s">
        <v>93</v>
      </c>
    </row>
    <row r="653" spans="1:21" x14ac:dyDescent="0.2">
      <c r="A653" s="88" t="s">
        <v>16239</v>
      </c>
      <c r="B653" s="88" t="e">
        <f>VLOOKUP(C653,#REF!,1,0)</f>
        <v>#REF!</v>
      </c>
      <c r="C653" s="1" t="s">
        <v>2416</v>
      </c>
      <c r="D653" s="1" t="s">
        <v>2417</v>
      </c>
      <c r="E653" s="1" t="s">
        <v>9310</v>
      </c>
      <c r="F653" s="1" t="s">
        <v>8957</v>
      </c>
      <c r="G653" t="s">
        <v>9061</v>
      </c>
      <c r="H653" s="1" t="s">
        <v>9035</v>
      </c>
      <c r="I653" s="1" t="s">
        <v>8998</v>
      </c>
      <c r="J653" s="2" t="s">
        <v>20805</v>
      </c>
      <c r="K653" s="1" t="s">
        <v>10607</v>
      </c>
      <c r="L653" s="1" t="s">
        <v>8987</v>
      </c>
      <c r="M653" s="1">
        <v>828</v>
      </c>
      <c r="N653" s="1" t="s">
        <v>8953</v>
      </c>
      <c r="O653" s="1" t="s">
        <v>8954</v>
      </c>
      <c r="P653" s="1" t="s">
        <v>8955</v>
      </c>
      <c r="Q653" s="1" t="s">
        <v>8956</v>
      </c>
      <c r="R653" s="1" t="s">
        <v>8958</v>
      </c>
      <c r="S653" s="1" t="s">
        <v>18999</v>
      </c>
      <c r="T653" s="1" t="s">
        <v>7</v>
      </c>
      <c r="U653" s="1" t="s">
        <v>147</v>
      </c>
    </row>
    <row r="654" spans="1:21" x14ac:dyDescent="0.2">
      <c r="A654" s="88" t="s">
        <v>16240</v>
      </c>
      <c r="B654" s="88" t="e">
        <f>VLOOKUP(C654,#REF!,1,0)</f>
        <v>#REF!</v>
      </c>
      <c r="C654" s="1" t="s">
        <v>2418</v>
      </c>
      <c r="D654" s="1" t="s">
        <v>2419</v>
      </c>
      <c r="E654" s="1" t="s">
        <v>18502</v>
      </c>
      <c r="F654" s="1" t="s">
        <v>8957</v>
      </c>
      <c r="G654" t="s">
        <v>9061</v>
      </c>
      <c r="H654" s="1" t="s">
        <v>8948</v>
      </c>
      <c r="I654" s="1" t="s">
        <v>9725</v>
      </c>
      <c r="J654" s="2" t="s">
        <v>10492</v>
      </c>
      <c r="K654" s="1" t="s">
        <v>10492</v>
      </c>
      <c r="L654" s="1" t="s">
        <v>9076</v>
      </c>
      <c r="M654" s="1">
        <v>20</v>
      </c>
      <c r="N654" s="1" t="s">
        <v>11658</v>
      </c>
      <c r="O654" s="1" t="s">
        <v>8989</v>
      </c>
      <c r="P654" s="1" t="s">
        <v>8955</v>
      </c>
      <c r="Q654" s="1" t="s">
        <v>8956</v>
      </c>
      <c r="R654" s="1" t="s">
        <v>9103</v>
      </c>
      <c r="S654" s="1" t="s">
        <v>19000</v>
      </c>
      <c r="T654" s="1" t="s">
        <v>17</v>
      </c>
      <c r="U654" s="1" t="s">
        <v>61</v>
      </c>
    </row>
    <row r="655" spans="1:21" x14ac:dyDescent="0.2">
      <c r="A655" s="88" t="s">
        <v>16241</v>
      </c>
      <c r="B655" s="88" t="e">
        <f>VLOOKUP(C655,#REF!,1,0)</f>
        <v>#REF!</v>
      </c>
      <c r="C655" s="1" t="s">
        <v>2420</v>
      </c>
      <c r="D655" s="1" t="s">
        <v>2421</v>
      </c>
      <c r="E655" s="1" t="s">
        <v>9310</v>
      </c>
      <c r="F655" s="1" t="s">
        <v>8957</v>
      </c>
      <c r="G655" t="s">
        <v>8959</v>
      </c>
      <c r="H655" s="1" t="s">
        <v>9035</v>
      </c>
      <c r="I655" s="1" t="s">
        <v>8998</v>
      </c>
      <c r="J655" s="2" t="s">
        <v>20768</v>
      </c>
      <c r="K655" s="1" t="s">
        <v>21679</v>
      </c>
      <c r="L655" s="1" t="s">
        <v>8951</v>
      </c>
      <c r="M655" s="1">
        <v>888</v>
      </c>
      <c r="N655" s="1" t="s">
        <v>8953</v>
      </c>
      <c r="O655" s="1" t="s">
        <v>8954</v>
      </c>
      <c r="P655" s="1" t="s">
        <v>8955</v>
      </c>
      <c r="Q655" s="1" t="s">
        <v>8956</v>
      </c>
      <c r="R655" s="1" t="s">
        <v>8958</v>
      </c>
      <c r="S655" s="1" t="s">
        <v>19001</v>
      </c>
      <c r="T655" s="1" t="s">
        <v>17</v>
      </c>
      <c r="U655" s="1" t="s">
        <v>64</v>
      </c>
    </row>
    <row r="656" spans="1:21" x14ac:dyDescent="0.2">
      <c r="A656" s="88" t="s">
        <v>16243</v>
      </c>
      <c r="B656" s="88" t="e">
        <f>VLOOKUP(C656,#REF!,1,0)</f>
        <v>#REF!</v>
      </c>
      <c r="C656" s="1" t="s">
        <v>2425</v>
      </c>
      <c r="D656" s="1" t="s">
        <v>2426</v>
      </c>
      <c r="E656" s="1" t="s">
        <v>9650</v>
      </c>
      <c r="F656" s="1" t="s">
        <v>8957</v>
      </c>
      <c r="G656" t="s">
        <v>8959</v>
      </c>
      <c r="H656" s="1" t="s">
        <v>9035</v>
      </c>
      <c r="I656" s="1" t="s">
        <v>8998</v>
      </c>
      <c r="J656" s="2" t="s">
        <v>9036</v>
      </c>
      <c r="K656" s="1" t="s">
        <v>9036</v>
      </c>
      <c r="L656" s="1" t="s">
        <v>9292</v>
      </c>
      <c r="M656" s="1">
        <v>7983</v>
      </c>
      <c r="N656" s="1" t="s">
        <v>9059</v>
      </c>
      <c r="O656" s="1" t="s">
        <v>8989</v>
      </c>
      <c r="P656" s="1" t="s">
        <v>8955</v>
      </c>
      <c r="Q656" s="1" t="s">
        <v>8956</v>
      </c>
      <c r="R656" s="1" t="s">
        <v>8975</v>
      </c>
      <c r="S656" s="1" t="s">
        <v>2427</v>
      </c>
      <c r="T656" s="1" t="s">
        <v>11</v>
      </c>
      <c r="U656" s="1" t="s">
        <v>752</v>
      </c>
    </row>
    <row r="657" spans="1:21" x14ac:dyDescent="0.2">
      <c r="A657" s="88" t="s">
        <v>16245</v>
      </c>
      <c r="B657" s="88" t="e">
        <f>VLOOKUP(C657,#REF!,1,0)</f>
        <v>#REF!</v>
      </c>
      <c r="C657" s="1" t="s">
        <v>15477</v>
      </c>
      <c r="D657" s="1" t="s">
        <v>2430</v>
      </c>
      <c r="E657" s="1" t="s">
        <v>9650</v>
      </c>
      <c r="F657" s="1" t="s">
        <v>8957</v>
      </c>
      <c r="G657" t="s">
        <v>8959</v>
      </c>
      <c r="H657" s="1" t="s">
        <v>9035</v>
      </c>
      <c r="I657" s="1" t="s">
        <v>8998</v>
      </c>
      <c r="J657" s="2" t="s">
        <v>10492</v>
      </c>
      <c r="K657" s="1" t="s">
        <v>10492</v>
      </c>
      <c r="L657" s="1" t="s">
        <v>21600</v>
      </c>
      <c r="M657" s="1">
        <v>3500</v>
      </c>
      <c r="N657" s="1" t="s">
        <v>8953</v>
      </c>
      <c r="O657" s="1" t="s">
        <v>8989</v>
      </c>
      <c r="P657" s="1" t="s">
        <v>8955</v>
      </c>
      <c r="Q657" s="1" t="s">
        <v>8956</v>
      </c>
      <c r="R657" s="1" t="s">
        <v>9103</v>
      </c>
      <c r="S657" s="1" t="s">
        <v>19004</v>
      </c>
      <c r="T657" s="1" t="s">
        <v>11</v>
      </c>
      <c r="U657" s="1" t="s">
        <v>2431</v>
      </c>
    </row>
    <row r="658" spans="1:21" x14ac:dyDescent="0.2">
      <c r="A658" s="88" t="s">
        <v>16246</v>
      </c>
      <c r="B658" s="88" t="e">
        <f>VLOOKUP(C658,#REF!,1,0)</f>
        <v>#REF!</v>
      </c>
      <c r="C658" s="1" t="s">
        <v>2432</v>
      </c>
      <c r="D658" s="1" t="s">
        <v>2433</v>
      </c>
      <c r="E658" s="1" t="s">
        <v>11671</v>
      </c>
      <c r="F658" s="1" t="s">
        <v>8957</v>
      </c>
      <c r="G658" t="s">
        <v>9061</v>
      </c>
      <c r="H658" s="1" t="s">
        <v>9092</v>
      </c>
      <c r="I658" s="1" t="s">
        <v>8998</v>
      </c>
      <c r="J658" s="2" t="s">
        <v>10492</v>
      </c>
      <c r="K658" s="1" t="s">
        <v>10492</v>
      </c>
      <c r="L658" s="1" t="s">
        <v>21600</v>
      </c>
      <c r="M658" s="1">
        <v>30</v>
      </c>
      <c r="N658" s="1" t="s">
        <v>9059</v>
      </c>
      <c r="O658" s="1" t="s">
        <v>8989</v>
      </c>
      <c r="P658" s="1" t="s">
        <v>8955</v>
      </c>
      <c r="Q658" s="1" t="s">
        <v>8956</v>
      </c>
      <c r="R658" s="1" t="s">
        <v>8958</v>
      </c>
      <c r="S658" s="1" t="s">
        <v>20592</v>
      </c>
      <c r="T658" s="1" t="s">
        <v>7</v>
      </c>
      <c r="U658" s="1" t="s">
        <v>2434</v>
      </c>
    </row>
    <row r="659" spans="1:21" x14ac:dyDescent="0.2">
      <c r="A659" s="95" t="s">
        <v>16247</v>
      </c>
      <c r="B659" s="88" t="e">
        <f>VLOOKUP(C659,#REF!,1,0)</f>
        <v>#REF!</v>
      </c>
      <c r="C659" s="1" t="s">
        <v>21156</v>
      </c>
      <c r="D659" s="1" t="s">
        <v>2435</v>
      </c>
      <c r="E659" s="1" t="s">
        <v>9246</v>
      </c>
      <c r="F659" s="1" t="s">
        <v>8957</v>
      </c>
      <c r="G659" t="s">
        <v>8959</v>
      </c>
      <c r="H659" s="1" t="s">
        <v>20714</v>
      </c>
      <c r="I659" s="1" t="s">
        <v>9050</v>
      </c>
      <c r="J659" s="2" t="s">
        <v>10525</v>
      </c>
      <c r="K659" s="1" t="s">
        <v>10525</v>
      </c>
      <c r="L659" s="1" t="s">
        <v>8987</v>
      </c>
      <c r="M659" s="1">
        <v>133820</v>
      </c>
      <c r="N659" s="1" t="s">
        <v>8953</v>
      </c>
      <c r="O659" s="1" t="s">
        <v>8954</v>
      </c>
      <c r="P659" s="1" t="s">
        <v>8955</v>
      </c>
      <c r="Q659" s="1" t="s">
        <v>8956</v>
      </c>
      <c r="R659" s="1" t="s">
        <v>9103</v>
      </c>
      <c r="S659" s="1" t="s">
        <v>19005</v>
      </c>
      <c r="T659" s="1" t="s">
        <v>7</v>
      </c>
      <c r="U659" s="1" t="s">
        <v>61</v>
      </c>
    </row>
    <row r="660" spans="1:21" x14ac:dyDescent="0.2">
      <c r="A660" s="88" t="s">
        <v>16248</v>
      </c>
      <c r="B660" s="88" t="e">
        <f>VLOOKUP(C660,#REF!,1,0)</f>
        <v>#REF!</v>
      </c>
      <c r="C660" s="1" t="s">
        <v>2436</v>
      </c>
      <c r="D660" s="1" t="s">
        <v>2437</v>
      </c>
      <c r="E660" s="1" t="s">
        <v>9815</v>
      </c>
      <c r="F660" s="1" t="s">
        <v>8957</v>
      </c>
      <c r="G660" t="s">
        <v>8959</v>
      </c>
      <c r="H660" s="1" t="s">
        <v>9605</v>
      </c>
      <c r="I660" s="1" t="s">
        <v>9101</v>
      </c>
      <c r="J660" s="2" t="s">
        <v>14097</v>
      </c>
      <c r="K660" s="1" t="s">
        <v>14097</v>
      </c>
      <c r="L660" s="1" t="s">
        <v>8987</v>
      </c>
      <c r="M660" s="1">
        <v>618</v>
      </c>
      <c r="N660" s="1" t="s">
        <v>8953</v>
      </c>
      <c r="O660" s="1" t="s">
        <v>8989</v>
      </c>
      <c r="P660" s="1" t="s">
        <v>8955</v>
      </c>
      <c r="Q660" s="1" t="s">
        <v>8956</v>
      </c>
      <c r="R660" s="1" t="s">
        <v>8958</v>
      </c>
      <c r="S660" s="1" t="s">
        <v>2438</v>
      </c>
      <c r="T660" s="1" t="s">
        <v>4</v>
      </c>
      <c r="U660" s="1" t="s">
        <v>2439</v>
      </c>
    </row>
    <row r="661" spans="1:21" x14ac:dyDescent="0.2">
      <c r="A661" s="88" t="s">
        <v>16249</v>
      </c>
      <c r="B661" s="88" t="e">
        <f>VLOOKUP(C661,#REF!,1,0)</f>
        <v>#REF!</v>
      </c>
      <c r="C661" s="1" t="s">
        <v>2440</v>
      </c>
      <c r="D661" s="1" t="s">
        <v>2441</v>
      </c>
      <c r="E661" s="1" t="s">
        <v>9380</v>
      </c>
      <c r="F661" s="1" t="s">
        <v>8959</v>
      </c>
      <c r="G661" t="s">
        <v>8959</v>
      </c>
      <c r="H661" s="1" t="s">
        <v>8948</v>
      </c>
      <c r="I661" s="1" t="s">
        <v>8959</v>
      </c>
      <c r="J661" s="2" t="s">
        <v>20779</v>
      </c>
      <c r="K661" s="1" t="s">
        <v>9036</v>
      </c>
      <c r="L661" s="1" t="s">
        <v>8951</v>
      </c>
      <c r="M661" s="1">
        <v>101</v>
      </c>
      <c r="N661" s="1" t="s">
        <v>9059</v>
      </c>
      <c r="O661" s="1" t="s">
        <v>8954</v>
      </c>
      <c r="P661" s="1" t="s">
        <v>8955</v>
      </c>
      <c r="Q661" s="1" t="s">
        <v>8956</v>
      </c>
      <c r="R661" s="1" t="s">
        <v>9103</v>
      </c>
      <c r="S661" s="1" t="s">
        <v>19006</v>
      </c>
      <c r="T661" s="1" t="s">
        <v>17</v>
      </c>
      <c r="U661" s="1" t="s">
        <v>126</v>
      </c>
    </row>
    <row r="662" spans="1:21" x14ac:dyDescent="0.2">
      <c r="A662" s="88" t="s">
        <v>16250</v>
      </c>
      <c r="B662" s="88" t="e">
        <f>VLOOKUP(C662,#REF!,1,0)</f>
        <v>#REF!</v>
      </c>
      <c r="C662" s="1" t="s">
        <v>2442</v>
      </c>
      <c r="D662" s="1" t="s">
        <v>2443</v>
      </c>
      <c r="E662" s="1" t="s">
        <v>9010</v>
      </c>
      <c r="F662" s="1" t="s">
        <v>8957</v>
      </c>
      <c r="G662" t="s">
        <v>9061</v>
      </c>
      <c r="H662" s="1" t="s">
        <v>9075</v>
      </c>
      <c r="I662" s="1" t="s">
        <v>8998</v>
      </c>
      <c r="J662" s="2" t="s">
        <v>9036</v>
      </c>
      <c r="K662" s="1" t="s">
        <v>9036</v>
      </c>
      <c r="L662" s="1" t="s">
        <v>21600</v>
      </c>
      <c r="M662" s="1">
        <v>16000</v>
      </c>
      <c r="N662" s="1" t="s">
        <v>8953</v>
      </c>
      <c r="O662" s="1" t="s">
        <v>8989</v>
      </c>
      <c r="P662" s="1" t="s">
        <v>8955</v>
      </c>
      <c r="Q662" s="1" t="s">
        <v>8956</v>
      </c>
      <c r="R662" s="1" t="s">
        <v>8958</v>
      </c>
      <c r="S662" s="1" t="s">
        <v>2444</v>
      </c>
      <c r="T662" s="1" t="s">
        <v>17</v>
      </c>
      <c r="U662" s="1" t="s">
        <v>93</v>
      </c>
    </row>
    <row r="663" spans="1:21" x14ac:dyDescent="0.2">
      <c r="A663" s="88" t="s">
        <v>16252</v>
      </c>
      <c r="B663" s="88" t="e">
        <f>VLOOKUP(C663,#REF!,1,0)</f>
        <v>#REF!</v>
      </c>
      <c r="C663" s="1" t="s">
        <v>2448</v>
      </c>
      <c r="D663" s="1" t="s">
        <v>2449</v>
      </c>
      <c r="E663" s="1" t="s">
        <v>9317</v>
      </c>
      <c r="F663" s="1" t="s">
        <v>8959</v>
      </c>
      <c r="G663" t="s">
        <v>9061</v>
      </c>
      <c r="H663" s="1" t="s">
        <v>20712</v>
      </c>
      <c r="I663" s="1" t="s">
        <v>8998</v>
      </c>
      <c r="J663" s="2" t="s">
        <v>10492</v>
      </c>
      <c r="K663" s="1" t="s">
        <v>10492</v>
      </c>
      <c r="L663" s="1" t="s">
        <v>9076</v>
      </c>
      <c r="M663" s="1">
        <v>26</v>
      </c>
      <c r="N663" s="1" t="s">
        <v>9059</v>
      </c>
      <c r="O663" s="1" t="s">
        <v>8989</v>
      </c>
      <c r="P663" s="1" t="s">
        <v>8955</v>
      </c>
      <c r="Q663" s="1" t="s">
        <v>8956</v>
      </c>
      <c r="R663" s="1" t="s">
        <v>8958</v>
      </c>
      <c r="S663" s="1" t="s">
        <v>19007</v>
      </c>
      <c r="T663" s="1" t="s">
        <v>7</v>
      </c>
      <c r="U663" s="1" t="s">
        <v>378</v>
      </c>
    </row>
    <row r="664" spans="1:21" x14ac:dyDescent="0.2">
      <c r="A664" s="88" t="s">
        <v>16253</v>
      </c>
      <c r="B664" s="88" t="e">
        <f>VLOOKUP(C664,#REF!,1,0)</f>
        <v>#REF!</v>
      </c>
      <c r="C664" s="1" t="s">
        <v>2450</v>
      </c>
      <c r="D664" s="1" t="s">
        <v>2451</v>
      </c>
      <c r="E664" s="1" t="s">
        <v>9010</v>
      </c>
      <c r="F664" s="1" t="s">
        <v>8957</v>
      </c>
      <c r="G664" t="s">
        <v>9183</v>
      </c>
      <c r="H664" s="1" t="s">
        <v>9049</v>
      </c>
      <c r="I664" s="1" t="s">
        <v>9050</v>
      </c>
      <c r="J664" s="2" t="s">
        <v>21555</v>
      </c>
      <c r="K664" s="1" t="s">
        <v>21555</v>
      </c>
      <c r="L664" s="1" t="s">
        <v>8951</v>
      </c>
      <c r="M664" s="1">
        <v>116875</v>
      </c>
      <c r="N664" s="1" t="s">
        <v>8953</v>
      </c>
      <c r="O664" s="1" t="s">
        <v>8989</v>
      </c>
      <c r="P664" s="1" t="s">
        <v>8955</v>
      </c>
      <c r="Q664" s="1" t="s">
        <v>8956</v>
      </c>
      <c r="R664" s="1" t="s">
        <v>9103</v>
      </c>
      <c r="S664" s="1" t="s">
        <v>2452</v>
      </c>
      <c r="T664" s="1" t="s">
        <v>11</v>
      </c>
      <c r="U664" s="1" t="s">
        <v>46</v>
      </c>
    </row>
    <row r="665" spans="1:21" x14ac:dyDescent="0.2">
      <c r="A665" s="88" t="s">
        <v>16254</v>
      </c>
      <c r="B665" s="88" t="e">
        <f>VLOOKUP(C665,#REF!,1,0)</f>
        <v>#REF!</v>
      </c>
      <c r="C665" s="1" t="s">
        <v>2453</v>
      </c>
      <c r="D665" s="1" t="s">
        <v>2454</v>
      </c>
      <c r="E665" s="1" t="s">
        <v>10873</v>
      </c>
      <c r="F665" s="1" t="s">
        <v>8959</v>
      </c>
      <c r="G665" t="s">
        <v>8959</v>
      </c>
      <c r="H665" s="1" t="s">
        <v>9173</v>
      </c>
      <c r="I665" s="1" t="s">
        <v>8959</v>
      </c>
      <c r="J665" s="2" t="s">
        <v>21269</v>
      </c>
      <c r="K665" s="1" t="s">
        <v>21754</v>
      </c>
      <c r="L665" s="1" t="s">
        <v>8951</v>
      </c>
      <c r="M665" s="1">
        <v>1775</v>
      </c>
      <c r="N665" s="1" t="s">
        <v>8953</v>
      </c>
      <c r="O665" s="1" t="s">
        <v>8989</v>
      </c>
      <c r="P665" s="1" t="s">
        <v>8955</v>
      </c>
      <c r="Q665" s="1" t="s">
        <v>8956</v>
      </c>
      <c r="R665" s="1" t="s">
        <v>9103</v>
      </c>
      <c r="S665" s="1" t="s">
        <v>20593</v>
      </c>
      <c r="T665" s="1" t="s">
        <v>17</v>
      </c>
      <c r="U665" s="1" t="s">
        <v>27</v>
      </c>
    </row>
    <row r="666" spans="1:21" x14ac:dyDescent="0.2">
      <c r="A666" s="88" t="s">
        <v>16255</v>
      </c>
      <c r="B666" s="88" t="e">
        <f>VLOOKUP(C666,#REF!,1,0)</f>
        <v>#REF!</v>
      </c>
      <c r="C666" s="1" t="s">
        <v>2455</v>
      </c>
      <c r="D666" s="1" t="s">
        <v>2456</v>
      </c>
      <c r="E666" s="1" t="s">
        <v>9387</v>
      </c>
      <c r="F666" s="1" t="s">
        <v>8959</v>
      </c>
      <c r="G666" t="s">
        <v>8959</v>
      </c>
      <c r="H666" s="1" t="s">
        <v>9035</v>
      </c>
      <c r="I666" s="1" t="s">
        <v>9308</v>
      </c>
      <c r="J666" s="2" t="s">
        <v>20723</v>
      </c>
      <c r="K666" s="1" t="s">
        <v>21659</v>
      </c>
      <c r="L666" s="1" t="s">
        <v>8951</v>
      </c>
      <c r="M666" s="1">
        <v>112000</v>
      </c>
      <c r="N666" s="1" t="s">
        <v>8953</v>
      </c>
      <c r="O666" s="1" t="s">
        <v>8954</v>
      </c>
      <c r="P666" s="1" t="s">
        <v>8955</v>
      </c>
      <c r="Q666" s="1" t="s">
        <v>8956</v>
      </c>
      <c r="R666" s="1" t="s">
        <v>9103</v>
      </c>
      <c r="S666" s="1" t="s">
        <v>19008</v>
      </c>
      <c r="T666" s="1" t="s">
        <v>17</v>
      </c>
      <c r="U666" s="1" t="s">
        <v>46</v>
      </c>
    </row>
    <row r="667" spans="1:21" x14ac:dyDescent="0.2">
      <c r="A667" s="88" t="s">
        <v>16256</v>
      </c>
      <c r="B667" s="88" t="e">
        <f>VLOOKUP(C667,#REF!,1,0)</f>
        <v>#REF!</v>
      </c>
      <c r="C667" s="1" t="s">
        <v>2457</v>
      </c>
      <c r="D667" s="1" t="s">
        <v>2458</v>
      </c>
      <c r="E667" s="1" t="s">
        <v>18502</v>
      </c>
      <c r="F667" s="1" t="s">
        <v>8957</v>
      </c>
      <c r="G667" t="s">
        <v>8959</v>
      </c>
      <c r="H667" s="1" t="s">
        <v>8984</v>
      </c>
      <c r="I667" s="1" t="s">
        <v>8998</v>
      </c>
      <c r="J667" s="2" t="s">
        <v>20829</v>
      </c>
      <c r="K667" s="1" t="s">
        <v>9787</v>
      </c>
      <c r="L667" s="1" t="s">
        <v>21600</v>
      </c>
      <c r="M667" s="1">
        <v>9914</v>
      </c>
      <c r="N667" s="1" t="s">
        <v>8953</v>
      </c>
      <c r="O667" s="1" t="s">
        <v>8989</v>
      </c>
      <c r="P667" s="1" t="s">
        <v>8955</v>
      </c>
      <c r="Q667" s="1" t="s">
        <v>8956</v>
      </c>
      <c r="R667" s="1" t="s">
        <v>8958</v>
      </c>
      <c r="S667" s="1" t="s">
        <v>19009</v>
      </c>
      <c r="T667" s="1" t="s">
        <v>17</v>
      </c>
      <c r="U667" s="1" t="s">
        <v>891</v>
      </c>
    </row>
    <row r="668" spans="1:21" x14ac:dyDescent="0.2">
      <c r="A668" s="88" t="s">
        <v>16257</v>
      </c>
      <c r="B668" s="88" t="e">
        <f>VLOOKUP(C668,#REF!,1,0)</f>
        <v>#REF!</v>
      </c>
      <c r="C668" s="1" t="s">
        <v>2459</v>
      </c>
      <c r="D668" s="1" t="s">
        <v>2460</v>
      </c>
      <c r="E668" s="1" t="s">
        <v>9010</v>
      </c>
      <c r="F668" s="1" t="s">
        <v>8957</v>
      </c>
      <c r="G668" t="s">
        <v>9009</v>
      </c>
      <c r="H668" s="1" t="s">
        <v>9092</v>
      </c>
      <c r="I668" s="1" t="s">
        <v>8998</v>
      </c>
      <c r="J668" s="2" t="s">
        <v>8972</v>
      </c>
      <c r="K668" s="1" t="s">
        <v>8972</v>
      </c>
      <c r="L668" s="1" t="s">
        <v>21600</v>
      </c>
      <c r="M668" s="1">
        <v>9582</v>
      </c>
      <c r="N668" s="1" t="s">
        <v>8953</v>
      </c>
      <c r="O668" s="1" t="s">
        <v>8989</v>
      </c>
      <c r="P668" s="1" t="s">
        <v>8955</v>
      </c>
      <c r="Q668" s="1" t="s">
        <v>8956</v>
      </c>
      <c r="R668" s="1" t="s">
        <v>8958</v>
      </c>
      <c r="S668" s="1" t="s">
        <v>2461</v>
      </c>
      <c r="T668" s="1" t="s">
        <v>17</v>
      </c>
      <c r="U668" s="1" t="s">
        <v>670</v>
      </c>
    </row>
    <row r="669" spans="1:21" x14ac:dyDescent="0.2">
      <c r="A669" s="88" t="s">
        <v>16258</v>
      </c>
      <c r="B669" s="88" t="e">
        <f>VLOOKUP(C669,#REF!,1,0)</f>
        <v>#REF!</v>
      </c>
      <c r="C669" s="1" t="s">
        <v>2462</v>
      </c>
      <c r="D669" s="1" t="s">
        <v>2463</v>
      </c>
      <c r="E669" s="1" t="s">
        <v>18502</v>
      </c>
      <c r="F669" s="1" t="s">
        <v>8957</v>
      </c>
      <c r="G669" t="s">
        <v>9061</v>
      </c>
      <c r="H669" s="1" t="s">
        <v>8984</v>
      </c>
      <c r="I669" s="1" t="s">
        <v>8998</v>
      </c>
      <c r="J669" s="2" t="s">
        <v>20785</v>
      </c>
      <c r="K669" s="1" t="s">
        <v>18491</v>
      </c>
      <c r="L669" s="1" t="s">
        <v>8987</v>
      </c>
      <c r="M669" s="1">
        <v>11669</v>
      </c>
      <c r="N669" s="1" t="s">
        <v>8953</v>
      </c>
      <c r="O669" s="1" t="s">
        <v>8989</v>
      </c>
      <c r="P669" s="1" t="s">
        <v>8955</v>
      </c>
      <c r="Q669" s="1" t="s">
        <v>8956</v>
      </c>
      <c r="R669" s="1" t="s">
        <v>9103</v>
      </c>
      <c r="S669" s="1" t="s">
        <v>20594</v>
      </c>
      <c r="T669" s="1" t="s">
        <v>17</v>
      </c>
      <c r="U669" s="1" t="s">
        <v>180</v>
      </c>
    </row>
    <row r="670" spans="1:21" x14ac:dyDescent="0.2">
      <c r="A670" s="88" t="s">
        <v>16259</v>
      </c>
      <c r="B670" s="88" t="e">
        <f>VLOOKUP(C670,#REF!,1,0)</f>
        <v>#REF!</v>
      </c>
      <c r="C670" s="1" t="s">
        <v>2464</v>
      </c>
      <c r="D670" s="1" t="s">
        <v>2465</v>
      </c>
      <c r="E670" s="1" t="s">
        <v>9010</v>
      </c>
      <c r="F670" s="1" t="s">
        <v>8974</v>
      </c>
      <c r="G670" t="s">
        <v>9183</v>
      </c>
      <c r="H670" s="1" t="s">
        <v>8984</v>
      </c>
      <c r="I670" s="1" t="s">
        <v>8949</v>
      </c>
      <c r="J670" s="2" t="s">
        <v>8972</v>
      </c>
      <c r="K670" s="1" t="s">
        <v>8972</v>
      </c>
      <c r="L670" s="1" t="s">
        <v>8951</v>
      </c>
      <c r="M670" s="1">
        <v>98568</v>
      </c>
      <c r="N670" s="1" t="s">
        <v>8953</v>
      </c>
      <c r="O670" s="1" t="s">
        <v>8989</v>
      </c>
      <c r="P670" s="1" t="s">
        <v>8955</v>
      </c>
      <c r="Q670" s="1" t="s">
        <v>8956</v>
      </c>
      <c r="R670" s="1" t="s">
        <v>8958</v>
      </c>
      <c r="S670" s="1" t="s">
        <v>2466</v>
      </c>
      <c r="T670" s="1" t="s">
        <v>11</v>
      </c>
      <c r="U670" s="1" t="s">
        <v>110</v>
      </c>
    </row>
    <row r="671" spans="1:21" x14ac:dyDescent="0.2">
      <c r="A671" s="88" t="s">
        <v>16260</v>
      </c>
      <c r="B671" s="88" t="e">
        <f>VLOOKUP(C671,#REF!,1,0)</f>
        <v>#REF!</v>
      </c>
      <c r="C671" s="1" t="s">
        <v>2467</v>
      </c>
      <c r="D671" s="1" t="s">
        <v>2468</v>
      </c>
      <c r="E671" s="1" t="s">
        <v>9317</v>
      </c>
      <c r="F671" s="1" t="s">
        <v>8959</v>
      </c>
      <c r="G671" t="s">
        <v>9009</v>
      </c>
      <c r="H671" s="1" t="s">
        <v>9049</v>
      </c>
      <c r="I671" s="1" t="s">
        <v>9050</v>
      </c>
      <c r="J671" s="2" t="s">
        <v>9036</v>
      </c>
      <c r="K671" s="1" t="s">
        <v>9036</v>
      </c>
      <c r="L671" s="1" t="s">
        <v>8987</v>
      </c>
      <c r="M671" s="1">
        <v>120656</v>
      </c>
      <c r="N671" s="1" t="s">
        <v>8953</v>
      </c>
      <c r="O671" s="1" t="s">
        <v>8989</v>
      </c>
      <c r="P671" s="1" t="s">
        <v>8955</v>
      </c>
      <c r="Q671" s="1" t="s">
        <v>8956</v>
      </c>
      <c r="R671" s="1" t="s">
        <v>8975</v>
      </c>
      <c r="S671" s="1" t="s">
        <v>2469</v>
      </c>
      <c r="T671" s="1" t="s">
        <v>11</v>
      </c>
      <c r="U671" s="1" t="s">
        <v>447</v>
      </c>
    </row>
    <row r="672" spans="1:21" x14ac:dyDescent="0.2">
      <c r="A672" s="88" t="s">
        <v>16261</v>
      </c>
      <c r="B672" s="88" t="e">
        <f>VLOOKUP(C672,#REF!,1,0)</f>
        <v>#REF!</v>
      </c>
      <c r="C672" s="1" t="s">
        <v>2470</v>
      </c>
      <c r="D672" s="1" t="s">
        <v>2471</v>
      </c>
      <c r="E672" s="1" t="s">
        <v>12547</v>
      </c>
      <c r="F672" s="1" t="s">
        <v>8974</v>
      </c>
      <c r="G672" t="s">
        <v>9009</v>
      </c>
      <c r="H672" s="1" t="s">
        <v>9154</v>
      </c>
      <c r="I672" s="1" t="s">
        <v>8949</v>
      </c>
      <c r="J672" s="2" t="s">
        <v>10492</v>
      </c>
      <c r="K672" s="1" t="s">
        <v>10492</v>
      </c>
      <c r="L672" s="1" t="s">
        <v>21600</v>
      </c>
      <c r="M672" s="1">
        <v>510</v>
      </c>
      <c r="N672" s="1" t="s">
        <v>9059</v>
      </c>
      <c r="O672" s="1" t="s">
        <v>8954</v>
      </c>
      <c r="P672" s="1" t="s">
        <v>8955</v>
      </c>
      <c r="Q672" s="1" t="s">
        <v>8956</v>
      </c>
      <c r="R672" s="1" t="s">
        <v>8958</v>
      </c>
      <c r="S672" s="1" t="s">
        <v>19010</v>
      </c>
      <c r="T672" s="1" t="s">
        <v>7</v>
      </c>
      <c r="U672" s="1" t="s">
        <v>46</v>
      </c>
    </row>
    <row r="673" spans="1:21" x14ac:dyDescent="0.2">
      <c r="A673" s="88" t="s">
        <v>16262</v>
      </c>
      <c r="B673" s="88" t="e">
        <f>VLOOKUP(C673,#REF!,1,0)</f>
        <v>#REF!</v>
      </c>
      <c r="C673" s="1" t="s">
        <v>2472</v>
      </c>
      <c r="D673" s="1" t="s">
        <v>2473</v>
      </c>
      <c r="E673" s="1" t="s">
        <v>10032</v>
      </c>
      <c r="F673" s="1" t="s">
        <v>8959</v>
      </c>
      <c r="G673" t="s">
        <v>9061</v>
      </c>
      <c r="H673" s="1" t="s">
        <v>8984</v>
      </c>
      <c r="I673" s="1" t="s">
        <v>8998</v>
      </c>
      <c r="J673" s="2" t="s">
        <v>20830</v>
      </c>
      <c r="K673" s="1" t="s">
        <v>9041</v>
      </c>
      <c r="L673" s="1" t="s">
        <v>9076</v>
      </c>
      <c r="M673" s="1" t="s">
        <v>9479</v>
      </c>
      <c r="N673" s="1" t="s">
        <v>9479</v>
      </c>
      <c r="O673" s="1" t="s">
        <v>8989</v>
      </c>
      <c r="P673" s="1" t="s">
        <v>8955</v>
      </c>
      <c r="Q673" s="1" t="s">
        <v>8956</v>
      </c>
      <c r="R673" s="1" t="s">
        <v>8958</v>
      </c>
      <c r="S673" s="1" t="s">
        <v>20595</v>
      </c>
      <c r="T673" s="1" t="s">
        <v>7</v>
      </c>
      <c r="U673" s="1" t="s">
        <v>147</v>
      </c>
    </row>
    <row r="674" spans="1:21" x14ac:dyDescent="0.2">
      <c r="A674" s="88" t="s">
        <v>16263</v>
      </c>
      <c r="B674" s="88" t="e">
        <f>VLOOKUP(C674,#REF!,1,0)</f>
        <v>#REF!</v>
      </c>
      <c r="C674" s="1" t="s">
        <v>2474</v>
      </c>
      <c r="D674" s="1" t="s">
        <v>2475</v>
      </c>
      <c r="E674" s="1" t="s">
        <v>9317</v>
      </c>
      <c r="F674" s="1" t="s">
        <v>8957</v>
      </c>
      <c r="G674" t="s">
        <v>9183</v>
      </c>
      <c r="H674" s="1" t="s">
        <v>8948</v>
      </c>
      <c r="I674" s="1" t="s">
        <v>8949</v>
      </c>
      <c r="J674" s="2" t="s">
        <v>10525</v>
      </c>
      <c r="K674" s="1" t="s">
        <v>21650</v>
      </c>
      <c r="L674" s="1" t="s">
        <v>21600</v>
      </c>
      <c r="M674" s="1">
        <v>10432</v>
      </c>
      <c r="N674" s="1" t="s">
        <v>8953</v>
      </c>
      <c r="O674" s="1" t="s">
        <v>8989</v>
      </c>
      <c r="P674" s="1" t="s">
        <v>8955</v>
      </c>
      <c r="Q674" s="1" t="s">
        <v>8956</v>
      </c>
      <c r="R674" s="1" t="s">
        <v>8958</v>
      </c>
      <c r="S674" s="1" t="s">
        <v>19011</v>
      </c>
      <c r="T674" s="1" t="s">
        <v>7</v>
      </c>
      <c r="U674" s="1" t="s">
        <v>2476</v>
      </c>
    </row>
    <row r="675" spans="1:21" x14ac:dyDescent="0.2">
      <c r="A675" s="88" t="s">
        <v>16264</v>
      </c>
      <c r="B675" s="88"/>
      <c r="C675" s="1" t="s">
        <v>2480</v>
      </c>
      <c r="D675" s="1" t="s">
        <v>2481</v>
      </c>
      <c r="E675" s="1" t="e">
        <v>#N/A</v>
      </c>
      <c r="F675" s="1" t="e">
        <v>#N/A</v>
      </c>
      <c r="G675" t="e">
        <v>#N/A</v>
      </c>
      <c r="H675" s="1" t="e">
        <v>#N/A</v>
      </c>
      <c r="I675" s="1" t="e">
        <v>#N/A</v>
      </c>
      <c r="J675" s="2" t="e">
        <v>#N/A</v>
      </c>
      <c r="K675" s="1" t="e">
        <v>#N/A</v>
      </c>
      <c r="L675" s="1" t="e">
        <v>#N/A</v>
      </c>
      <c r="M675" s="1" t="e">
        <v>#N/A</v>
      </c>
      <c r="N675" s="1" t="e">
        <v>#N/A</v>
      </c>
      <c r="O675" s="1" t="e">
        <v>#N/A</v>
      </c>
      <c r="P675" s="1" t="s">
        <v>8955</v>
      </c>
      <c r="Q675" s="1" t="s">
        <v>8956</v>
      </c>
      <c r="R675" s="1" t="s">
        <v>8975</v>
      </c>
      <c r="S675" s="1" t="s">
        <v>19013</v>
      </c>
      <c r="T675" s="1" t="s">
        <v>252</v>
      </c>
      <c r="U675" s="1" t="s">
        <v>2482</v>
      </c>
    </row>
    <row r="676" spans="1:21" x14ac:dyDescent="0.2">
      <c r="A676" s="88" t="s">
        <v>16265</v>
      </c>
      <c r="B676" s="88" t="e">
        <f>VLOOKUP(C676,#REF!,1,0)</f>
        <v>#REF!</v>
      </c>
      <c r="C676" s="1" t="s">
        <v>2483</v>
      </c>
      <c r="D676" s="1" t="s">
        <v>2484</v>
      </c>
      <c r="E676" s="1" t="s">
        <v>9380</v>
      </c>
      <c r="F676" s="1" t="s">
        <v>8957</v>
      </c>
      <c r="G676" t="s">
        <v>8959</v>
      </c>
      <c r="H676" s="1" t="s">
        <v>9605</v>
      </c>
      <c r="I676" s="1" t="s">
        <v>8971</v>
      </c>
      <c r="J676" s="2" t="s">
        <v>20779</v>
      </c>
      <c r="K676" s="1" t="s">
        <v>9036</v>
      </c>
      <c r="L676" s="1" t="s">
        <v>9076</v>
      </c>
      <c r="M676" s="1">
        <v>3825</v>
      </c>
      <c r="N676" s="1" t="s">
        <v>8953</v>
      </c>
      <c r="O676" s="1" t="s">
        <v>8989</v>
      </c>
      <c r="P676" s="1" t="s">
        <v>8955</v>
      </c>
      <c r="Q676" s="1" t="s">
        <v>8956</v>
      </c>
      <c r="R676" s="1" t="s">
        <v>9103</v>
      </c>
      <c r="S676" s="1" t="s">
        <v>19014</v>
      </c>
      <c r="T676" s="1" t="s">
        <v>17</v>
      </c>
      <c r="U676" s="1" t="s">
        <v>2082</v>
      </c>
    </row>
    <row r="677" spans="1:21" x14ac:dyDescent="0.2">
      <c r="A677" s="88" t="s">
        <v>2485</v>
      </c>
      <c r="B677" s="88" t="e">
        <f>VLOOKUP(C677,#REF!,1,0)</f>
        <v>#REF!</v>
      </c>
      <c r="C677" s="1" t="s">
        <v>2486</v>
      </c>
      <c r="D677" s="1" t="s">
        <v>2487</v>
      </c>
      <c r="E677" s="1" t="s">
        <v>18502</v>
      </c>
      <c r="F677" s="1" t="s">
        <v>8957</v>
      </c>
      <c r="G677" t="s">
        <v>8959</v>
      </c>
      <c r="H677" s="1" t="s">
        <v>9035</v>
      </c>
      <c r="I677" s="1" t="s">
        <v>8998</v>
      </c>
      <c r="J677" s="2" t="s">
        <v>10492</v>
      </c>
      <c r="K677" s="1" t="s">
        <v>10492</v>
      </c>
      <c r="L677" s="1" t="s">
        <v>8951</v>
      </c>
      <c r="M677" s="1">
        <v>30513</v>
      </c>
      <c r="N677" s="1" t="s">
        <v>8953</v>
      </c>
      <c r="O677" s="1" t="s">
        <v>8954</v>
      </c>
      <c r="P677" s="1" t="s">
        <v>8955</v>
      </c>
      <c r="Q677" s="1" t="s">
        <v>8956</v>
      </c>
      <c r="R677" s="1" t="s">
        <v>9103</v>
      </c>
      <c r="S677" s="1" t="s">
        <v>19015</v>
      </c>
      <c r="T677" s="1" t="s">
        <v>11</v>
      </c>
      <c r="U677" s="1" t="s">
        <v>584</v>
      </c>
    </row>
    <row r="678" spans="1:21" x14ac:dyDescent="0.2">
      <c r="A678" s="88" t="s">
        <v>16266</v>
      </c>
      <c r="B678" s="88" t="e">
        <f>VLOOKUP(C678,#REF!,1,0)</f>
        <v>#REF!</v>
      </c>
      <c r="C678" s="1" t="s">
        <v>2488</v>
      </c>
      <c r="D678" s="1" t="s">
        <v>2489</v>
      </c>
      <c r="E678" s="1" t="s">
        <v>9636</v>
      </c>
      <c r="F678" s="1" t="s">
        <v>8957</v>
      </c>
      <c r="G678" t="s">
        <v>8959</v>
      </c>
      <c r="H678" s="1" t="s">
        <v>9075</v>
      </c>
      <c r="I678" s="1" t="s">
        <v>9155</v>
      </c>
      <c r="J678" s="2" t="s">
        <v>9212</v>
      </c>
      <c r="K678" s="1" t="s">
        <v>9212</v>
      </c>
      <c r="L678" s="1" t="s">
        <v>21600</v>
      </c>
      <c r="M678" s="1">
        <v>845</v>
      </c>
      <c r="N678" s="1" t="s">
        <v>8953</v>
      </c>
      <c r="O678" s="1" t="s">
        <v>8954</v>
      </c>
      <c r="P678" s="1" t="s">
        <v>8955</v>
      </c>
      <c r="Q678" s="1" t="s">
        <v>8956</v>
      </c>
      <c r="R678" s="1" t="s">
        <v>8958</v>
      </c>
      <c r="S678" s="1" t="s">
        <v>2490</v>
      </c>
      <c r="T678" s="1" t="s">
        <v>17</v>
      </c>
      <c r="U678" s="1" t="s">
        <v>110</v>
      </c>
    </row>
    <row r="679" spans="1:21" x14ac:dyDescent="0.2">
      <c r="A679" s="88" t="s">
        <v>16267</v>
      </c>
      <c r="B679" s="88" t="e">
        <f>VLOOKUP(C679,#REF!,1,0)</f>
        <v>#REF!</v>
      </c>
      <c r="C679" s="1" t="s">
        <v>2494</v>
      </c>
      <c r="D679" s="1" t="s">
        <v>2495</v>
      </c>
      <c r="E679" s="1" t="s">
        <v>10850</v>
      </c>
      <c r="F679" s="1" t="s">
        <v>8957</v>
      </c>
      <c r="G679" t="s">
        <v>8959</v>
      </c>
      <c r="H679" s="1" t="s">
        <v>8984</v>
      </c>
      <c r="I679" s="1" t="s">
        <v>8998</v>
      </c>
      <c r="J679" s="2" t="s">
        <v>18497</v>
      </c>
      <c r="K679" s="1" t="s">
        <v>18497</v>
      </c>
      <c r="L679" s="1" t="s">
        <v>8951</v>
      </c>
      <c r="M679" s="1">
        <v>27</v>
      </c>
      <c r="N679" s="1" t="s">
        <v>9059</v>
      </c>
      <c r="O679" s="1" t="s">
        <v>8989</v>
      </c>
      <c r="P679" s="1" t="s">
        <v>8955</v>
      </c>
      <c r="Q679" s="1" t="s">
        <v>8956</v>
      </c>
      <c r="R679" s="1" t="s">
        <v>8975</v>
      </c>
      <c r="S679" s="1" t="s">
        <v>19017</v>
      </c>
      <c r="T679" s="1" t="s">
        <v>7</v>
      </c>
      <c r="U679" s="1" t="s">
        <v>46</v>
      </c>
    </row>
    <row r="680" spans="1:21" x14ac:dyDescent="0.2">
      <c r="A680" s="88" t="s">
        <v>16268</v>
      </c>
      <c r="B680" s="88" t="e">
        <f>VLOOKUP(C680,#REF!,1,0)</f>
        <v>#REF!</v>
      </c>
      <c r="C680" s="1" t="s">
        <v>2496</v>
      </c>
      <c r="D680" s="1" t="s">
        <v>2497</v>
      </c>
      <c r="E680" s="1" t="s">
        <v>9176</v>
      </c>
      <c r="F680" s="1" t="s">
        <v>8959</v>
      </c>
      <c r="G680" t="s">
        <v>8959</v>
      </c>
      <c r="H680" s="1" t="s">
        <v>9173</v>
      </c>
      <c r="I680" s="1" t="s">
        <v>9174</v>
      </c>
      <c r="J680" s="2" t="s">
        <v>18491</v>
      </c>
      <c r="K680" s="1" t="s">
        <v>18491</v>
      </c>
      <c r="L680" s="1" t="s">
        <v>8987</v>
      </c>
      <c r="M680" s="1">
        <v>112466</v>
      </c>
      <c r="N680" s="1" t="s">
        <v>8953</v>
      </c>
      <c r="O680" s="1" t="s">
        <v>8954</v>
      </c>
      <c r="P680" s="1" t="s">
        <v>8955</v>
      </c>
      <c r="Q680" s="1" t="s">
        <v>8956</v>
      </c>
      <c r="R680" s="1" t="s">
        <v>8958</v>
      </c>
      <c r="S680" s="1" t="s">
        <v>2498</v>
      </c>
      <c r="T680" s="1" t="s">
        <v>7</v>
      </c>
      <c r="U680" s="1" t="s">
        <v>27</v>
      </c>
    </row>
    <row r="681" spans="1:21" x14ac:dyDescent="0.2">
      <c r="A681" s="88" t="s">
        <v>16269</v>
      </c>
      <c r="B681" s="88" t="e">
        <f>VLOOKUP(C681,#REF!,1,0)</f>
        <v>#REF!</v>
      </c>
      <c r="C681" s="1" t="s">
        <v>2499</v>
      </c>
      <c r="D681" s="1" t="s">
        <v>2500</v>
      </c>
      <c r="E681" s="1" t="s">
        <v>9310</v>
      </c>
      <c r="F681" s="1" t="s">
        <v>8957</v>
      </c>
      <c r="G681" t="s">
        <v>9183</v>
      </c>
      <c r="H681" s="1" t="s">
        <v>9035</v>
      </c>
      <c r="I681" s="1" t="s">
        <v>8998</v>
      </c>
      <c r="J681" s="2" t="s">
        <v>8972</v>
      </c>
      <c r="K681" s="1" t="s">
        <v>21768</v>
      </c>
      <c r="L681" s="1" t="s">
        <v>8951</v>
      </c>
      <c r="M681" s="1">
        <v>888</v>
      </c>
      <c r="N681" s="1" t="s">
        <v>8953</v>
      </c>
      <c r="O681" s="1" t="s">
        <v>8989</v>
      </c>
      <c r="P681" s="1" t="s">
        <v>8955</v>
      </c>
      <c r="Q681" s="1" t="s">
        <v>8956</v>
      </c>
      <c r="R681" s="1" t="s">
        <v>8975</v>
      </c>
      <c r="S681" s="1" t="s">
        <v>2501</v>
      </c>
      <c r="T681" s="1" t="s">
        <v>11</v>
      </c>
      <c r="U681" s="1" t="s">
        <v>74</v>
      </c>
    </row>
    <row r="682" spans="1:21" x14ac:dyDescent="0.2">
      <c r="A682" s="88" t="s">
        <v>16270</v>
      </c>
      <c r="B682" s="88" t="e">
        <f>VLOOKUP(C682,#REF!,1,0)</f>
        <v>#REF!</v>
      </c>
      <c r="C682" s="1" t="s">
        <v>2502</v>
      </c>
      <c r="D682" s="1" t="s">
        <v>2503</v>
      </c>
      <c r="E682" s="1" t="s">
        <v>10873</v>
      </c>
      <c r="F682" s="1" t="s">
        <v>8959</v>
      </c>
      <c r="G682" t="s">
        <v>9183</v>
      </c>
      <c r="H682" s="1" t="s">
        <v>8984</v>
      </c>
      <c r="I682" s="1" t="s">
        <v>9131</v>
      </c>
      <c r="J682" s="2" t="s">
        <v>18497</v>
      </c>
      <c r="K682" s="1" t="s">
        <v>18497</v>
      </c>
      <c r="L682" s="1" t="s">
        <v>8987</v>
      </c>
      <c r="M682" s="1">
        <v>9213</v>
      </c>
      <c r="N682" s="1" t="s">
        <v>8953</v>
      </c>
      <c r="O682" s="1" t="s">
        <v>8954</v>
      </c>
      <c r="P682" s="1" t="s">
        <v>8955</v>
      </c>
      <c r="Q682" s="1" t="s">
        <v>8956</v>
      </c>
      <c r="R682" s="1" t="s">
        <v>9103</v>
      </c>
      <c r="S682" s="1" t="s">
        <v>19018</v>
      </c>
      <c r="T682" s="1" t="s">
        <v>17</v>
      </c>
      <c r="U682" s="1" t="s">
        <v>1076</v>
      </c>
    </row>
    <row r="683" spans="1:21" x14ac:dyDescent="0.2">
      <c r="A683" s="88" t="s">
        <v>16272</v>
      </c>
      <c r="B683" s="88" t="e">
        <f>VLOOKUP(C683,#REF!,1,0)</f>
        <v>#REF!</v>
      </c>
      <c r="C683" s="1" t="s">
        <v>2506</v>
      </c>
      <c r="D683" s="1" t="s">
        <v>2507</v>
      </c>
      <c r="E683" s="1" t="s">
        <v>9310</v>
      </c>
      <c r="F683" s="1" t="s">
        <v>8957</v>
      </c>
      <c r="G683" t="s">
        <v>8959</v>
      </c>
      <c r="H683" s="1" t="s">
        <v>10217</v>
      </c>
      <c r="I683" s="1" t="s">
        <v>9155</v>
      </c>
      <c r="J683" s="2" t="s">
        <v>10218</v>
      </c>
      <c r="K683" s="1" t="s">
        <v>10218</v>
      </c>
      <c r="L683" s="1" t="s">
        <v>21600</v>
      </c>
      <c r="M683" s="1">
        <v>2929</v>
      </c>
      <c r="N683" s="1" t="s">
        <v>8953</v>
      </c>
      <c r="O683" s="1" t="s">
        <v>8954</v>
      </c>
      <c r="P683" s="1" t="s">
        <v>8955</v>
      </c>
      <c r="Q683" s="1" t="s">
        <v>8956</v>
      </c>
      <c r="R683" s="1" t="s">
        <v>8975</v>
      </c>
      <c r="S683" s="1" t="s">
        <v>2508</v>
      </c>
      <c r="T683" s="1" t="s">
        <v>17</v>
      </c>
      <c r="U683" s="1" t="s">
        <v>61</v>
      </c>
    </row>
    <row r="684" spans="1:21" x14ac:dyDescent="0.2">
      <c r="A684" s="88" t="s">
        <v>16273</v>
      </c>
      <c r="B684" s="88" t="e">
        <f>VLOOKUP(C684,#REF!,1,0)</f>
        <v>#REF!</v>
      </c>
      <c r="C684" s="1" t="s">
        <v>2509</v>
      </c>
      <c r="D684" s="1" t="s">
        <v>2510</v>
      </c>
      <c r="E684" s="1" t="s">
        <v>18502</v>
      </c>
      <c r="F684" s="1" t="s">
        <v>8959</v>
      </c>
      <c r="G684" t="s">
        <v>8959</v>
      </c>
      <c r="H684" s="1" t="s">
        <v>20712</v>
      </c>
      <c r="I684" s="1" t="s">
        <v>8959</v>
      </c>
      <c r="J684" s="2" t="s">
        <v>10492</v>
      </c>
      <c r="K684" s="1" t="s">
        <v>21645</v>
      </c>
      <c r="L684" s="1" t="s">
        <v>9076</v>
      </c>
      <c r="M684" s="1">
        <v>1200</v>
      </c>
      <c r="N684" s="1" t="s">
        <v>8953</v>
      </c>
      <c r="O684" s="1" t="s">
        <v>8954</v>
      </c>
      <c r="P684" s="1" t="s">
        <v>8955</v>
      </c>
      <c r="Q684" s="1" t="s">
        <v>8956</v>
      </c>
      <c r="R684" s="1" t="s">
        <v>9103</v>
      </c>
      <c r="S684" s="1" t="s">
        <v>19020</v>
      </c>
      <c r="T684" s="1" t="s">
        <v>7</v>
      </c>
      <c r="U684" s="1" t="s">
        <v>27</v>
      </c>
    </row>
    <row r="685" spans="1:21" x14ac:dyDescent="0.2">
      <c r="A685" s="88" t="s">
        <v>16274</v>
      </c>
      <c r="B685" s="88" t="e">
        <f>VLOOKUP(C685,#REF!,1,0)</f>
        <v>#REF!</v>
      </c>
      <c r="C685" s="1" t="s">
        <v>2511</v>
      </c>
      <c r="D685" s="1" t="s">
        <v>2512</v>
      </c>
      <c r="E685" s="1" t="s">
        <v>18502</v>
      </c>
      <c r="F685" s="1" t="s">
        <v>8959</v>
      </c>
      <c r="G685" t="s">
        <v>9061</v>
      </c>
      <c r="H685" s="1" t="s">
        <v>9252</v>
      </c>
      <c r="I685" s="1" t="s">
        <v>18504</v>
      </c>
      <c r="J685" s="2" t="s">
        <v>20785</v>
      </c>
      <c r="K685" s="1" t="s">
        <v>9386</v>
      </c>
      <c r="L685" s="1" t="s">
        <v>9076</v>
      </c>
      <c r="M685" s="1">
        <v>2620</v>
      </c>
      <c r="N685" s="1" t="s">
        <v>8953</v>
      </c>
      <c r="O685" s="1" t="s">
        <v>8954</v>
      </c>
      <c r="P685" s="1" t="s">
        <v>8955</v>
      </c>
      <c r="Q685" s="1" t="s">
        <v>8956</v>
      </c>
      <c r="R685" s="1" t="s">
        <v>9103</v>
      </c>
      <c r="S685" s="1" t="s">
        <v>19021</v>
      </c>
      <c r="T685" s="1" t="s">
        <v>17</v>
      </c>
      <c r="U685" s="1" t="s">
        <v>286</v>
      </c>
    </row>
    <row r="686" spans="1:21" x14ac:dyDescent="0.2">
      <c r="A686" s="88" t="s">
        <v>16275</v>
      </c>
      <c r="B686" s="88" t="e">
        <f>VLOOKUP(C686,#REF!,1,0)</f>
        <v>#REF!</v>
      </c>
      <c r="C686" s="1" t="s">
        <v>2513</v>
      </c>
      <c r="D686" s="1" t="s">
        <v>2514</v>
      </c>
      <c r="E686" s="1" t="s">
        <v>9246</v>
      </c>
      <c r="F686" s="1" t="s">
        <v>8959</v>
      </c>
      <c r="G686" t="s">
        <v>8959</v>
      </c>
      <c r="H686" s="1" t="s">
        <v>8948</v>
      </c>
      <c r="I686" s="1" t="s">
        <v>8949</v>
      </c>
      <c r="J686" s="2" t="s">
        <v>9041</v>
      </c>
      <c r="K686" s="1" t="s">
        <v>9041</v>
      </c>
      <c r="L686" s="1" t="s">
        <v>9292</v>
      </c>
      <c r="M686" s="1">
        <v>1870</v>
      </c>
      <c r="N686" s="1" t="s">
        <v>8953</v>
      </c>
      <c r="O686" s="1" t="s">
        <v>8989</v>
      </c>
      <c r="P686" s="1" t="s">
        <v>8955</v>
      </c>
      <c r="Q686" s="1" t="s">
        <v>8956</v>
      </c>
      <c r="R686" s="1" t="s">
        <v>9103</v>
      </c>
      <c r="S686" s="1" t="s">
        <v>2515</v>
      </c>
      <c r="T686" s="1" t="s">
        <v>924</v>
      </c>
      <c r="U686" s="1" t="s">
        <v>2516</v>
      </c>
    </row>
    <row r="687" spans="1:21" x14ac:dyDescent="0.2">
      <c r="A687" s="88" t="s">
        <v>16277</v>
      </c>
      <c r="B687" s="88" t="e">
        <f>VLOOKUP(C687,#REF!,1,0)</f>
        <v>#REF!</v>
      </c>
      <c r="C687" s="1" t="s">
        <v>2519</v>
      </c>
      <c r="D687" s="1" t="s">
        <v>2520</v>
      </c>
      <c r="E687" s="1" t="s">
        <v>9317</v>
      </c>
      <c r="F687" s="1" t="s">
        <v>9060</v>
      </c>
      <c r="G687" t="s">
        <v>8959</v>
      </c>
      <c r="H687" s="1" t="s">
        <v>8948</v>
      </c>
      <c r="I687" s="1" t="s">
        <v>8949</v>
      </c>
      <c r="J687" s="2" t="s">
        <v>8972</v>
      </c>
      <c r="K687" s="1" t="s">
        <v>8972</v>
      </c>
      <c r="L687" s="1" t="s">
        <v>21600</v>
      </c>
      <c r="M687" s="1">
        <v>943</v>
      </c>
      <c r="N687" s="1" t="s">
        <v>8953</v>
      </c>
      <c r="O687" s="1" t="s">
        <v>8954</v>
      </c>
      <c r="P687" s="1" t="s">
        <v>8955</v>
      </c>
      <c r="Q687" s="1" t="s">
        <v>8956</v>
      </c>
      <c r="R687" s="1" t="s">
        <v>8958</v>
      </c>
      <c r="S687" s="1" t="s">
        <v>2521</v>
      </c>
      <c r="T687" s="1" t="s">
        <v>17</v>
      </c>
      <c r="U687" s="1" t="s">
        <v>392</v>
      </c>
    </row>
    <row r="688" spans="1:21" x14ac:dyDescent="0.2">
      <c r="A688" s="88" t="s">
        <v>16278</v>
      </c>
      <c r="B688" s="88" t="e">
        <f>VLOOKUP(C688,#REF!,1,0)</f>
        <v>#REF!</v>
      </c>
      <c r="C688" s="1" t="s">
        <v>2522</v>
      </c>
      <c r="D688" s="1" t="s">
        <v>2523</v>
      </c>
      <c r="E688" s="1" t="s">
        <v>9317</v>
      </c>
      <c r="F688" s="1" t="s">
        <v>9060</v>
      </c>
      <c r="G688" t="s">
        <v>9061</v>
      </c>
      <c r="H688" s="1" t="s">
        <v>8984</v>
      </c>
      <c r="I688" s="1" t="s">
        <v>8998</v>
      </c>
      <c r="J688" s="2" t="s">
        <v>9036</v>
      </c>
      <c r="K688" s="1" t="s">
        <v>9036</v>
      </c>
      <c r="L688" s="1" t="s">
        <v>21600</v>
      </c>
      <c r="M688" s="1">
        <v>85</v>
      </c>
      <c r="N688" s="1" t="s">
        <v>9059</v>
      </c>
      <c r="O688" s="1" t="s">
        <v>8989</v>
      </c>
      <c r="P688" s="1" t="s">
        <v>8955</v>
      </c>
      <c r="Q688" s="1" t="s">
        <v>8956</v>
      </c>
      <c r="R688" s="1" t="s">
        <v>8958</v>
      </c>
      <c r="S688" s="1" t="s">
        <v>2524</v>
      </c>
      <c r="T688" s="1" t="s">
        <v>7</v>
      </c>
      <c r="U688" s="1" t="s">
        <v>126</v>
      </c>
    </row>
    <row r="689" spans="1:21" x14ac:dyDescent="0.2">
      <c r="A689" s="88" t="s">
        <v>16279</v>
      </c>
      <c r="B689" s="88" t="e">
        <f>VLOOKUP(C689,#REF!,1,0)</f>
        <v>#REF!</v>
      </c>
      <c r="C689" s="1" t="s">
        <v>2525</v>
      </c>
      <c r="D689" s="1" t="s">
        <v>2526</v>
      </c>
      <c r="E689" s="1" t="s">
        <v>9310</v>
      </c>
      <c r="F689" s="1" t="s">
        <v>8957</v>
      </c>
      <c r="G689" t="s">
        <v>8959</v>
      </c>
      <c r="H689" s="1" t="s">
        <v>8948</v>
      </c>
      <c r="I689" s="1" t="s">
        <v>8949</v>
      </c>
      <c r="J689" s="2" t="s">
        <v>20735</v>
      </c>
      <c r="K689" s="1" t="s">
        <v>21671</v>
      </c>
      <c r="L689" s="1" t="s">
        <v>8987</v>
      </c>
      <c r="M689" s="1">
        <v>30</v>
      </c>
      <c r="N689" s="1" t="s">
        <v>9059</v>
      </c>
      <c r="O689" s="1" t="s">
        <v>8989</v>
      </c>
      <c r="P689" s="1" t="s">
        <v>8955</v>
      </c>
      <c r="Q689" s="1" t="s">
        <v>8956</v>
      </c>
      <c r="R689" s="1" t="s">
        <v>9103</v>
      </c>
      <c r="S689" s="1" t="s">
        <v>19023</v>
      </c>
      <c r="T689" s="1" t="s">
        <v>7</v>
      </c>
      <c r="U689" s="1" t="s">
        <v>2527</v>
      </c>
    </row>
    <row r="690" spans="1:21" x14ac:dyDescent="0.2">
      <c r="A690" s="88" t="s">
        <v>16280</v>
      </c>
      <c r="B690" s="88" t="e">
        <f>VLOOKUP(C690,#REF!,1,0)</f>
        <v>#REF!</v>
      </c>
      <c r="C690" s="1" t="s">
        <v>2528</v>
      </c>
      <c r="D690" s="1" t="s">
        <v>2529</v>
      </c>
      <c r="E690" s="1" t="s">
        <v>9010</v>
      </c>
      <c r="F690" s="1" t="s">
        <v>8974</v>
      </c>
      <c r="G690" t="s">
        <v>8959</v>
      </c>
      <c r="H690" s="1" t="s">
        <v>9049</v>
      </c>
      <c r="I690" s="1" t="s">
        <v>9050</v>
      </c>
      <c r="J690" s="2" t="s">
        <v>9036</v>
      </c>
      <c r="K690" s="1" t="s">
        <v>9036</v>
      </c>
      <c r="L690" s="1" t="s">
        <v>8951</v>
      </c>
      <c r="M690" s="1">
        <v>11711</v>
      </c>
      <c r="N690" s="1" t="s">
        <v>8953</v>
      </c>
      <c r="O690" s="1" t="s">
        <v>8954</v>
      </c>
      <c r="P690" s="1" t="s">
        <v>8955</v>
      </c>
      <c r="Q690" s="1" t="s">
        <v>8956</v>
      </c>
      <c r="R690" s="1" t="s">
        <v>8975</v>
      </c>
      <c r="S690" s="1" t="s">
        <v>2530</v>
      </c>
      <c r="T690" s="1" t="s">
        <v>242</v>
      </c>
      <c r="U690" s="1" t="s">
        <v>1100</v>
      </c>
    </row>
    <row r="691" spans="1:21" x14ac:dyDescent="0.2">
      <c r="A691" s="88" t="s">
        <v>16282</v>
      </c>
      <c r="B691" s="88" t="e">
        <f>VLOOKUP(C691,#REF!,1,0)</f>
        <v>#REF!</v>
      </c>
      <c r="C691" s="1" t="s">
        <v>2533</v>
      </c>
      <c r="D691" s="1" t="s">
        <v>2534</v>
      </c>
      <c r="E691" s="1" t="s">
        <v>9010</v>
      </c>
      <c r="F691" s="1" t="s">
        <v>8957</v>
      </c>
      <c r="G691" t="s">
        <v>9183</v>
      </c>
      <c r="H691" s="1" t="s">
        <v>9100</v>
      </c>
      <c r="I691" s="1" t="s">
        <v>9121</v>
      </c>
      <c r="J691" s="2" t="s">
        <v>9036</v>
      </c>
      <c r="K691" s="1" t="s">
        <v>9036</v>
      </c>
      <c r="L691" s="1" t="s">
        <v>9292</v>
      </c>
      <c r="M691" s="1">
        <v>20</v>
      </c>
      <c r="N691" s="1" t="s">
        <v>9059</v>
      </c>
      <c r="O691" s="1" t="s">
        <v>8989</v>
      </c>
      <c r="P691" s="1" t="s">
        <v>8955</v>
      </c>
      <c r="Q691" s="1" t="s">
        <v>8956</v>
      </c>
      <c r="R691" s="1" t="s">
        <v>8975</v>
      </c>
      <c r="S691" s="1" t="s">
        <v>2535</v>
      </c>
      <c r="T691" s="1" t="s">
        <v>11</v>
      </c>
      <c r="U691" s="1" t="s">
        <v>61</v>
      </c>
    </row>
    <row r="692" spans="1:21" x14ac:dyDescent="0.2">
      <c r="A692" s="88" t="s">
        <v>16283</v>
      </c>
      <c r="B692" s="88" t="e">
        <f>VLOOKUP(C692,#REF!,1,0)</f>
        <v>#REF!</v>
      </c>
      <c r="C692" s="1" t="s">
        <v>2536</v>
      </c>
      <c r="D692" s="1" t="s">
        <v>2537</v>
      </c>
      <c r="E692" s="1" t="s">
        <v>9310</v>
      </c>
      <c r="F692" s="1" t="s">
        <v>8957</v>
      </c>
      <c r="G692" t="s">
        <v>9009</v>
      </c>
      <c r="H692" s="1" t="s">
        <v>8984</v>
      </c>
      <c r="I692" s="1" t="s">
        <v>9131</v>
      </c>
      <c r="J692" s="2" t="s">
        <v>21309</v>
      </c>
      <c r="K692" s="1" t="s">
        <v>21309</v>
      </c>
      <c r="L692" s="1" t="s">
        <v>20831</v>
      </c>
      <c r="M692" s="1">
        <v>6473</v>
      </c>
      <c r="N692" s="1" t="s">
        <v>8953</v>
      </c>
      <c r="O692" s="1" t="s">
        <v>8954</v>
      </c>
      <c r="P692" s="1" t="s">
        <v>8955</v>
      </c>
      <c r="Q692" s="1" t="s">
        <v>8956</v>
      </c>
      <c r="R692" s="1" t="s">
        <v>8975</v>
      </c>
      <c r="S692" s="1" t="s">
        <v>19025</v>
      </c>
      <c r="T692" s="1" t="s">
        <v>7</v>
      </c>
      <c r="U692" s="1" t="s">
        <v>1020</v>
      </c>
    </row>
    <row r="693" spans="1:21" x14ac:dyDescent="0.2">
      <c r="A693" s="88" t="s">
        <v>16284</v>
      </c>
      <c r="B693" s="88" t="e">
        <f>VLOOKUP(C693,#REF!,1,0)</f>
        <v>#REF!</v>
      </c>
      <c r="C693" s="1" t="s">
        <v>2538</v>
      </c>
      <c r="D693" s="1" t="s">
        <v>2539</v>
      </c>
      <c r="E693" s="1" t="s">
        <v>18502</v>
      </c>
      <c r="F693" s="1" t="s">
        <v>9060</v>
      </c>
      <c r="G693" t="s">
        <v>9061</v>
      </c>
      <c r="H693" s="1" t="s">
        <v>9605</v>
      </c>
      <c r="I693" s="1" t="s">
        <v>9101</v>
      </c>
      <c r="J693" s="2" t="s">
        <v>20779</v>
      </c>
      <c r="K693" s="1" t="s">
        <v>9036</v>
      </c>
      <c r="L693" s="1" t="s">
        <v>9076</v>
      </c>
      <c r="M693" s="1">
        <v>100</v>
      </c>
      <c r="N693" s="1" t="s">
        <v>8953</v>
      </c>
      <c r="O693" s="1" t="s">
        <v>8989</v>
      </c>
      <c r="P693" s="1" t="s">
        <v>8955</v>
      </c>
      <c r="Q693" s="1" t="s">
        <v>8956</v>
      </c>
      <c r="R693" s="1" t="s">
        <v>8975</v>
      </c>
      <c r="S693" s="1" t="s">
        <v>19026</v>
      </c>
      <c r="T693" s="1" t="s">
        <v>7</v>
      </c>
      <c r="U693" s="1" t="s">
        <v>2540</v>
      </c>
    </row>
    <row r="694" spans="1:21" x14ac:dyDescent="0.2">
      <c r="A694" s="88" t="s">
        <v>16286</v>
      </c>
      <c r="B694" s="88" t="e">
        <f>VLOOKUP(C694,#REF!,1,0)</f>
        <v>#REF!</v>
      </c>
      <c r="C694" s="1" t="s">
        <v>2546</v>
      </c>
      <c r="D694" s="1" t="s">
        <v>2547</v>
      </c>
      <c r="E694" s="1" t="s">
        <v>9010</v>
      </c>
      <c r="F694" s="1" t="s">
        <v>8959</v>
      </c>
      <c r="G694" t="s">
        <v>9061</v>
      </c>
      <c r="H694" s="1" t="s">
        <v>8984</v>
      </c>
      <c r="I694" s="1" t="s">
        <v>8998</v>
      </c>
      <c r="J694" s="2" t="s">
        <v>9212</v>
      </c>
      <c r="K694" s="1" t="s">
        <v>9212</v>
      </c>
      <c r="L694" s="1" t="s">
        <v>21600</v>
      </c>
      <c r="M694" s="1">
        <v>208</v>
      </c>
      <c r="N694" s="1" t="s">
        <v>8953</v>
      </c>
      <c r="O694" s="1" t="s">
        <v>8954</v>
      </c>
      <c r="P694" s="1" t="s">
        <v>8955</v>
      </c>
      <c r="Q694" s="1" t="s">
        <v>8956</v>
      </c>
      <c r="R694" s="1" t="s">
        <v>9103</v>
      </c>
      <c r="S694" s="1" t="s">
        <v>2548</v>
      </c>
      <c r="T694" s="1" t="s">
        <v>17</v>
      </c>
      <c r="U694" s="1" t="s">
        <v>93</v>
      </c>
    </row>
    <row r="695" spans="1:21" x14ac:dyDescent="0.2">
      <c r="A695" s="88" t="s">
        <v>16287</v>
      </c>
      <c r="B695" s="88" t="e">
        <f>VLOOKUP(C695,#REF!,1,0)</f>
        <v>#REF!</v>
      </c>
      <c r="C695" s="1" t="s">
        <v>2549</v>
      </c>
      <c r="D695" s="1" t="s">
        <v>2550</v>
      </c>
      <c r="E695" s="1" t="s">
        <v>9010</v>
      </c>
      <c r="F695" s="1" t="s">
        <v>8957</v>
      </c>
      <c r="G695" t="s">
        <v>9061</v>
      </c>
      <c r="H695" s="1" t="s">
        <v>9075</v>
      </c>
      <c r="I695" s="1" t="s">
        <v>8949</v>
      </c>
      <c r="J695" s="2" t="s">
        <v>21462</v>
      </c>
      <c r="K695" s="1" t="s">
        <v>21462</v>
      </c>
      <c r="L695" s="1" t="s">
        <v>21600</v>
      </c>
      <c r="M695" s="1">
        <v>66</v>
      </c>
      <c r="N695" s="1" t="s">
        <v>8953</v>
      </c>
      <c r="O695" s="1" t="s">
        <v>8989</v>
      </c>
      <c r="P695" s="1" t="s">
        <v>8955</v>
      </c>
      <c r="Q695" s="1" t="s">
        <v>8956</v>
      </c>
      <c r="R695" s="1" t="s">
        <v>9103</v>
      </c>
      <c r="S695" s="1" t="s">
        <v>2551</v>
      </c>
      <c r="T695" s="1" t="s">
        <v>242</v>
      </c>
      <c r="U695" s="1" t="s">
        <v>61</v>
      </c>
    </row>
    <row r="696" spans="1:21" x14ac:dyDescent="0.2">
      <c r="A696" s="88" t="s">
        <v>16288</v>
      </c>
      <c r="B696" s="88" t="e">
        <f>VLOOKUP(C696,#REF!,1,0)</f>
        <v>#REF!</v>
      </c>
      <c r="C696" s="1" t="s">
        <v>2552</v>
      </c>
      <c r="D696" s="1" t="s">
        <v>2553</v>
      </c>
      <c r="E696" s="1" t="s">
        <v>9010</v>
      </c>
      <c r="F696" s="1" t="s">
        <v>8957</v>
      </c>
      <c r="G696" t="s">
        <v>9061</v>
      </c>
      <c r="H696" s="1" t="s">
        <v>8948</v>
      </c>
      <c r="I696" s="1" t="s">
        <v>8949</v>
      </c>
      <c r="J696" s="2" t="s">
        <v>21462</v>
      </c>
      <c r="K696" s="1" t="s">
        <v>21462</v>
      </c>
      <c r="L696" s="1" t="s">
        <v>21600</v>
      </c>
      <c r="M696" s="1">
        <v>8320</v>
      </c>
      <c r="N696" s="1" t="s">
        <v>8953</v>
      </c>
      <c r="O696" s="1" t="s">
        <v>8989</v>
      </c>
      <c r="P696" s="1" t="s">
        <v>8955</v>
      </c>
      <c r="Q696" s="1" t="s">
        <v>8956</v>
      </c>
      <c r="R696" s="1" t="s">
        <v>8958</v>
      </c>
      <c r="S696" s="1" t="s">
        <v>2554</v>
      </c>
      <c r="T696" s="1" t="s">
        <v>929</v>
      </c>
      <c r="U696" s="1" t="s">
        <v>921</v>
      </c>
    </row>
    <row r="697" spans="1:21" x14ac:dyDescent="0.2">
      <c r="A697" s="88" t="s">
        <v>16289</v>
      </c>
      <c r="B697" s="88" t="e">
        <f>VLOOKUP(C697,#REF!,1,0)</f>
        <v>#REF!</v>
      </c>
      <c r="C697" s="1" t="s">
        <v>2555</v>
      </c>
      <c r="D697" s="1" t="s">
        <v>2556</v>
      </c>
      <c r="E697" s="1" t="s">
        <v>9310</v>
      </c>
      <c r="F697" s="1" t="s">
        <v>8957</v>
      </c>
      <c r="G697" t="s">
        <v>8959</v>
      </c>
      <c r="H697" s="1" t="s">
        <v>8948</v>
      </c>
      <c r="I697" s="1" t="s">
        <v>9725</v>
      </c>
      <c r="J697" s="2" t="s">
        <v>21324</v>
      </c>
      <c r="K697" s="1" t="s">
        <v>21324</v>
      </c>
      <c r="L697" s="1" t="s">
        <v>21600</v>
      </c>
      <c r="M697" s="1">
        <v>250</v>
      </c>
      <c r="N697" s="1" t="s">
        <v>9059</v>
      </c>
      <c r="O697" s="1" t="s">
        <v>8954</v>
      </c>
      <c r="P697" s="1" t="s">
        <v>8955</v>
      </c>
      <c r="Q697" s="1" t="s">
        <v>8956</v>
      </c>
      <c r="R697" s="1" t="s">
        <v>8958</v>
      </c>
      <c r="S697" s="1" t="s">
        <v>19029</v>
      </c>
      <c r="T697" s="1" t="s">
        <v>17</v>
      </c>
      <c r="U697" s="1" t="s">
        <v>378</v>
      </c>
    </row>
    <row r="698" spans="1:21" x14ac:dyDescent="0.2">
      <c r="A698" s="88" t="s">
        <v>16290</v>
      </c>
      <c r="B698" s="88" t="e">
        <f>VLOOKUP(C698,#REF!,1,0)</f>
        <v>#REF!</v>
      </c>
      <c r="C698" s="1" t="s">
        <v>2557</v>
      </c>
      <c r="D698" s="1" t="s">
        <v>2558</v>
      </c>
      <c r="E698" s="1" t="s">
        <v>9310</v>
      </c>
      <c r="F698" s="1" t="s">
        <v>8957</v>
      </c>
      <c r="G698" t="s">
        <v>8959</v>
      </c>
      <c r="H698" s="1" t="s">
        <v>9252</v>
      </c>
      <c r="I698" s="1" t="s">
        <v>8985</v>
      </c>
      <c r="J698" s="2" t="s">
        <v>9036</v>
      </c>
      <c r="K698" s="1" t="s">
        <v>9036</v>
      </c>
      <c r="L698" s="1" t="s">
        <v>21600</v>
      </c>
      <c r="M698" s="1">
        <v>400</v>
      </c>
      <c r="N698" s="1" t="s">
        <v>8953</v>
      </c>
      <c r="O698" s="1" t="s">
        <v>8954</v>
      </c>
      <c r="P698" s="1" t="s">
        <v>8955</v>
      </c>
      <c r="Q698" s="1" t="s">
        <v>8956</v>
      </c>
      <c r="R698" s="1" t="s">
        <v>8975</v>
      </c>
      <c r="S698" s="1" t="s">
        <v>2559</v>
      </c>
      <c r="T698" s="1" t="s">
        <v>17</v>
      </c>
      <c r="U698" s="1" t="s">
        <v>24</v>
      </c>
    </row>
    <row r="699" spans="1:21" x14ac:dyDescent="0.2">
      <c r="A699" s="88" t="s">
        <v>16291</v>
      </c>
      <c r="B699" s="88" t="e">
        <f>VLOOKUP(C699,#REF!,1,0)</f>
        <v>#REF!</v>
      </c>
      <c r="C699" s="1" t="s">
        <v>2563</v>
      </c>
      <c r="D699" s="1" t="s">
        <v>2564</v>
      </c>
      <c r="E699" s="1" t="s">
        <v>9465</v>
      </c>
      <c r="F699" s="1" t="s">
        <v>8957</v>
      </c>
      <c r="G699" t="s">
        <v>8959</v>
      </c>
      <c r="H699" s="1" t="s">
        <v>8984</v>
      </c>
      <c r="I699" s="1" t="s">
        <v>8998</v>
      </c>
      <c r="J699" s="2" t="s">
        <v>8972</v>
      </c>
      <c r="K699" s="1" t="s">
        <v>21768</v>
      </c>
      <c r="L699" s="1" t="s">
        <v>9076</v>
      </c>
      <c r="M699" s="1">
        <v>877</v>
      </c>
      <c r="N699" s="1" t="s">
        <v>8953</v>
      </c>
      <c r="O699" s="1" t="s">
        <v>8954</v>
      </c>
      <c r="P699" s="1" t="s">
        <v>8955</v>
      </c>
      <c r="Q699" s="1" t="s">
        <v>8956</v>
      </c>
      <c r="R699" s="1" t="s">
        <v>8958</v>
      </c>
      <c r="S699" s="1" t="s">
        <v>2565</v>
      </c>
      <c r="T699" s="1" t="s">
        <v>11</v>
      </c>
      <c r="U699" s="1" t="s">
        <v>61</v>
      </c>
    </row>
    <row r="700" spans="1:21" x14ac:dyDescent="0.2">
      <c r="A700" s="88" t="s">
        <v>16292</v>
      </c>
      <c r="B700" s="88" t="e">
        <f>VLOOKUP(C700,#REF!,1,0)</f>
        <v>#REF!</v>
      </c>
      <c r="C700" s="1" t="s">
        <v>2566</v>
      </c>
      <c r="D700" s="1" t="s">
        <v>2567</v>
      </c>
      <c r="E700" s="1" t="s">
        <v>10850</v>
      </c>
      <c r="F700" s="1" t="s">
        <v>8957</v>
      </c>
      <c r="G700" t="s">
        <v>8959</v>
      </c>
      <c r="H700" s="1" t="s">
        <v>9100</v>
      </c>
      <c r="I700" s="1" t="s">
        <v>8949</v>
      </c>
      <c r="J700" s="2" t="s">
        <v>20830</v>
      </c>
      <c r="K700" s="1" t="s">
        <v>9041</v>
      </c>
      <c r="L700" s="1" t="s">
        <v>8951</v>
      </c>
      <c r="M700" s="1">
        <v>249</v>
      </c>
      <c r="N700" s="1" t="s">
        <v>9059</v>
      </c>
      <c r="O700" s="1" t="s">
        <v>8954</v>
      </c>
      <c r="P700" s="1" t="s">
        <v>8955</v>
      </c>
      <c r="Q700" s="1" t="s">
        <v>8956</v>
      </c>
      <c r="R700" s="1" t="s">
        <v>9103</v>
      </c>
      <c r="S700" s="1" t="s">
        <v>19030</v>
      </c>
      <c r="T700" s="1" t="s">
        <v>7</v>
      </c>
      <c r="U700" s="1" t="s">
        <v>57</v>
      </c>
    </row>
    <row r="701" spans="1:21" x14ac:dyDescent="0.2">
      <c r="A701" s="88" t="s">
        <v>16294</v>
      </c>
      <c r="B701" s="88" t="e">
        <f>VLOOKUP(C701,#REF!,1,0)</f>
        <v>#REF!</v>
      </c>
      <c r="C701" s="1" t="s">
        <v>2570</v>
      </c>
      <c r="D701" s="1" t="s">
        <v>2571</v>
      </c>
      <c r="E701" s="1" t="s">
        <v>9010</v>
      </c>
      <c r="F701" s="1" t="s">
        <v>8957</v>
      </c>
      <c r="G701" t="s">
        <v>9061</v>
      </c>
      <c r="H701" s="1" t="s">
        <v>9100</v>
      </c>
      <c r="I701" s="1" t="s">
        <v>8949</v>
      </c>
      <c r="J701" s="2" t="s">
        <v>9036</v>
      </c>
      <c r="K701" s="1" t="s">
        <v>9036</v>
      </c>
      <c r="L701" s="1" t="s">
        <v>9292</v>
      </c>
      <c r="M701" s="1">
        <v>10298</v>
      </c>
      <c r="N701" s="1" t="s">
        <v>8953</v>
      </c>
      <c r="O701" s="1" t="s">
        <v>8954</v>
      </c>
      <c r="P701" s="1" t="s">
        <v>8955</v>
      </c>
      <c r="Q701" s="1" t="s">
        <v>8956</v>
      </c>
      <c r="R701" s="1" t="s">
        <v>8975</v>
      </c>
      <c r="S701" s="1" t="s">
        <v>2572</v>
      </c>
      <c r="T701" s="1" t="s">
        <v>11</v>
      </c>
      <c r="U701" s="1" t="s">
        <v>161</v>
      </c>
    </row>
    <row r="702" spans="1:21" x14ac:dyDescent="0.2">
      <c r="A702" s="88" t="s">
        <v>16295</v>
      </c>
      <c r="B702" s="88" t="e">
        <f>VLOOKUP(C702,#REF!,1,0)</f>
        <v>#REF!</v>
      </c>
      <c r="C702" s="1" t="s">
        <v>2573</v>
      </c>
      <c r="D702" s="1" t="s">
        <v>2574</v>
      </c>
      <c r="E702" s="1" t="s">
        <v>18502</v>
      </c>
      <c r="F702" s="1" t="s">
        <v>8957</v>
      </c>
      <c r="G702" t="s">
        <v>9061</v>
      </c>
      <c r="H702" s="1" t="s">
        <v>9100</v>
      </c>
      <c r="I702" s="1" t="s">
        <v>8949</v>
      </c>
      <c r="J702" s="2" t="s">
        <v>20779</v>
      </c>
      <c r="K702" s="1" t="s">
        <v>9036</v>
      </c>
      <c r="L702" s="1" t="s">
        <v>9076</v>
      </c>
      <c r="M702" s="1">
        <v>102005</v>
      </c>
      <c r="N702" s="1" t="s">
        <v>8953</v>
      </c>
      <c r="O702" s="1" t="s">
        <v>8989</v>
      </c>
      <c r="P702" s="1" t="s">
        <v>8955</v>
      </c>
      <c r="Q702" s="1" t="s">
        <v>8956</v>
      </c>
      <c r="R702" s="1" t="s">
        <v>8958</v>
      </c>
      <c r="S702" s="1" t="s">
        <v>19032</v>
      </c>
      <c r="T702" s="1" t="s">
        <v>17</v>
      </c>
      <c r="U702" s="1" t="s">
        <v>161</v>
      </c>
    </row>
    <row r="703" spans="1:21" x14ac:dyDescent="0.2">
      <c r="A703" s="88" t="s">
        <v>16296</v>
      </c>
      <c r="B703" s="88" t="e">
        <f>VLOOKUP(C703,#REF!,1,0)</f>
        <v>#REF!</v>
      </c>
      <c r="C703" s="1" t="s">
        <v>2575</v>
      </c>
      <c r="D703" s="1" t="s">
        <v>2576</v>
      </c>
      <c r="E703" s="1" t="s">
        <v>11671</v>
      </c>
      <c r="F703" s="1" t="s">
        <v>8957</v>
      </c>
      <c r="G703" t="s">
        <v>9061</v>
      </c>
      <c r="H703" s="1" t="s">
        <v>9075</v>
      </c>
      <c r="I703" s="1" t="s">
        <v>8949</v>
      </c>
      <c r="J703" s="2" t="s">
        <v>20779</v>
      </c>
      <c r="K703" s="1" t="s">
        <v>9036</v>
      </c>
      <c r="L703" s="1" t="s">
        <v>9292</v>
      </c>
      <c r="M703" s="1">
        <v>326</v>
      </c>
      <c r="N703" s="1" t="s">
        <v>9059</v>
      </c>
      <c r="O703" s="1" t="s">
        <v>8989</v>
      </c>
      <c r="P703" s="1" t="s">
        <v>8955</v>
      </c>
      <c r="Q703" s="1" t="s">
        <v>8956</v>
      </c>
      <c r="R703" s="1" t="s">
        <v>8958</v>
      </c>
      <c r="S703" s="1" t="s">
        <v>19033</v>
      </c>
      <c r="T703" s="1" t="s">
        <v>7</v>
      </c>
      <c r="U703" s="1" t="s">
        <v>378</v>
      </c>
    </row>
    <row r="704" spans="1:21" x14ac:dyDescent="0.2">
      <c r="A704" s="88" t="s">
        <v>16297</v>
      </c>
      <c r="B704" s="88" t="e">
        <f>VLOOKUP(C704,#REF!,1,0)</f>
        <v>#REF!</v>
      </c>
      <c r="C704" s="1" t="s">
        <v>2577</v>
      </c>
      <c r="D704" s="1" t="s">
        <v>2578</v>
      </c>
      <c r="E704" s="1" t="s">
        <v>9213</v>
      </c>
      <c r="F704" s="1" t="s">
        <v>8957</v>
      </c>
      <c r="G704" t="s">
        <v>9183</v>
      </c>
      <c r="H704" s="1" t="s">
        <v>20714</v>
      </c>
      <c r="I704" s="1" t="s">
        <v>8959</v>
      </c>
      <c r="J704" s="2" t="s">
        <v>21424</v>
      </c>
      <c r="K704" s="1" t="s">
        <v>21424</v>
      </c>
      <c r="L704" s="1" t="s">
        <v>9076</v>
      </c>
      <c r="M704" s="1">
        <v>100</v>
      </c>
      <c r="N704" s="1" t="s">
        <v>8953</v>
      </c>
      <c r="O704" s="1" t="s">
        <v>8989</v>
      </c>
      <c r="P704" s="1" t="s">
        <v>8955</v>
      </c>
      <c r="Q704" s="1" t="s">
        <v>8956</v>
      </c>
      <c r="R704" s="1" t="s">
        <v>8958</v>
      </c>
      <c r="S704" s="1" t="s">
        <v>19034</v>
      </c>
      <c r="T704" s="1" t="s">
        <v>7</v>
      </c>
      <c r="U704" s="1" t="s">
        <v>110</v>
      </c>
    </row>
    <row r="705" spans="1:21" x14ac:dyDescent="0.2">
      <c r="A705" s="88" t="s">
        <v>16298</v>
      </c>
      <c r="B705" s="88" t="e">
        <f>VLOOKUP(C705,#REF!,1,0)</f>
        <v>#REF!</v>
      </c>
      <c r="C705" s="1" t="s">
        <v>2579</v>
      </c>
      <c r="D705" s="1" t="s">
        <v>2580</v>
      </c>
      <c r="E705" s="1" t="s">
        <v>9317</v>
      </c>
      <c r="F705" s="1" t="s">
        <v>8957</v>
      </c>
      <c r="G705" t="s">
        <v>8959</v>
      </c>
      <c r="H705" s="1" t="s">
        <v>20712</v>
      </c>
      <c r="I705" s="1" t="s">
        <v>9155</v>
      </c>
      <c r="J705" s="2" t="s">
        <v>10492</v>
      </c>
      <c r="K705" s="1" t="s">
        <v>10492</v>
      </c>
      <c r="L705" s="1" t="s">
        <v>9464</v>
      </c>
      <c r="M705" s="1">
        <v>2430</v>
      </c>
      <c r="N705" s="1" t="s">
        <v>8953</v>
      </c>
      <c r="O705" s="1" t="s">
        <v>8954</v>
      </c>
      <c r="P705" s="1" t="s">
        <v>8955</v>
      </c>
      <c r="Q705" s="1" t="s">
        <v>8956</v>
      </c>
      <c r="R705" s="1" t="s">
        <v>9103</v>
      </c>
      <c r="S705" s="1" t="s">
        <v>19035</v>
      </c>
      <c r="T705" s="1" t="s">
        <v>7</v>
      </c>
      <c r="U705" s="1" t="s">
        <v>210</v>
      </c>
    </row>
    <row r="706" spans="1:21" x14ac:dyDescent="0.2">
      <c r="A706" s="88" t="s">
        <v>16299</v>
      </c>
      <c r="B706" s="88" t="e">
        <f>VLOOKUP(C706,#REF!,1,0)</f>
        <v>#REF!</v>
      </c>
      <c r="C706" s="1" t="s">
        <v>2581</v>
      </c>
      <c r="D706" s="1" t="s">
        <v>2582</v>
      </c>
      <c r="E706" s="1" t="s">
        <v>18502</v>
      </c>
      <c r="F706" s="1" t="s">
        <v>8959</v>
      </c>
      <c r="G706" t="s">
        <v>9061</v>
      </c>
      <c r="H706" s="1" t="s">
        <v>9252</v>
      </c>
      <c r="I706" s="1" t="s">
        <v>8949</v>
      </c>
      <c r="J706" s="2" t="s">
        <v>10525</v>
      </c>
      <c r="K706" s="1" t="s">
        <v>21650</v>
      </c>
      <c r="L706" s="1" t="s">
        <v>9157</v>
      </c>
      <c r="M706" s="1">
        <v>3107</v>
      </c>
      <c r="N706" s="1" t="s">
        <v>8953</v>
      </c>
      <c r="O706" s="1" t="s">
        <v>8989</v>
      </c>
      <c r="P706" s="1" t="s">
        <v>8955</v>
      </c>
      <c r="Q706" s="1" t="s">
        <v>8956</v>
      </c>
      <c r="R706" s="1" t="s">
        <v>8975</v>
      </c>
      <c r="S706" s="1" t="s">
        <v>19036</v>
      </c>
      <c r="T706" s="1" t="s">
        <v>17</v>
      </c>
      <c r="U706" s="1" t="s">
        <v>87</v>
      </c>
    </row>
    <row r="707" spans="1:21" x14ac:dyDescent="0.2">
      <c r="A707" s="88" t="s">
        <v>16300</v>
      </c>
      <c r="B707" s="88" t="e">
        <f>VLOOKUP(C707,#REF!,1,0)</f>
        <v>#REF!</v>
      </c>
      <c r="C707" s="1" t="s">
        <v>2586</v>
      </c>
      <c r="D707" s="1" t="s">
        <v>2587</v>
      </c>
      <c r="E707" s="1" t="s">
        <v>10032</v>
      </c>
      <c r="F707" s="1" t="s">
        <v>8959</v>
      </c>
      <c r="G707" t="s">
        <v>9183</v>
      </c>
      <c r="H707" s="1" t="s">
        <v>8948</v>
      </c>
      <c r="I707" s="1" t="s">
        <v>9308</v>
      </c>
      <c r="J707" s="2" t="s">
        <v>18489</v>
      </c>
      <c r="K707" s="1" t="s">
        <v>21673</v>
      </c>
      <c r="L707" s="1" t="s">
        <v>9292</v>
      </c>
      <c r="M707" s="1">
        <v>1206</v>
      </c>
      <c r="N707" s="1" t="s">
        <v>8953</v>
      </c>
      <c r="O707" s="1" t="s">
        <v>8989</v>
      </c>
      <c r="P707" s="1" t="s">
        <v>8955</v>
      </c>
      <c r="Q707" s="1" t="s">
        <v>8956</v>
      </c>
      <c r="R707" s="1" t="s">
        <v>9103</v>
      </c>
      <c r="S707" s="1" t="s">
        <v>19038</v>
      </c>
      <c r="T707" s="1" t="s">
        <v>7</v>
      </c>
      <c r="U707" s="1" t="s">
        <v>2588</v>
      </c>
    </row>
    <row r="708" spans="1:21" x14ac:dyDescent="0.2">
      <c r="A708" s="88" t="s">
        <v>2589</v>
      </c>
      <c r="B708" s="88" t="e">
        <f>VLOOKUP(C708,#REF!,1,0)</f>
        <v>#REF!</v>
      </c>
      <c r="C708" s="1" t="s">
        <v>2590</v>
      </c>
      <c r="D708" s="1" t="s">
        <v>2591</v>
      </c>
      <c r="E708" s="1" t="s">
        <v>9317</v>
      </c>
      <c r="F708" s="1" t="s">
        <v>8959</v>
      </c>
      <c r="G708" t="s">
        <v>9009</v>
      </c>
      <c r="H708" s="1" t="s">
        <v>9173</v>
      </c>
      <c r="I708" s="1" t="s">
        <v>9174</v>
      </c>
      <c r="J708" s="2" t="s">
        <v>21265</v>
      </c>
      <c r="K708" s="1" t="s">
        <v>21648</v>
      </c>
      <c r="L708" s="1" t="s">
        <v>9292</v>
      </c>
      <c r="M708" s="1">
        <v>400</v>
      </c>
      <c r="N708" s="1" t="s">
        <v>8953</v>
      </c>
      <c r="O708" s="1" t="s">
        <v>8989</v>
      </c>
      <c r="P708" s="1" t="s">
        <v>8955</v>
      </c>
      <c r="Q708" s="1" t="s">
        <v>8956</v>
      </c>
      <c r="R708" s="1" t="s">
        <v>8975</v>
      </c>
      <c r="S708" s="1" t="s">
        <v>19039</v>
      </c>
      <c r="T708" s="1" t="s">
        <v>11</v>
      </c>
      <c r="U708" s="1" t="s">
        <v>2592</v>
      </c>
    </row>
    <row r="709" spans="1:21" x14ac:dyDescent="0.2">
      <c r="A709" s="88" t="s">
        <v>16301</v>
      </c>
      <c r="B709" s="88" t="e">
        <f>VLOOKUP(C709,#REF!,1,0)</f>
        <v>#REF!</v>
      </c>
      <c r="C709" s="1" t="s">
        <v>2593</v>
      </c>
      <c r="D709" s="1" t="s">
        <v>2594</v>
      </c>
      <c r="E709" s="1" t="s">
        <v>9317</v>
      </c>
      <c r="F709" s="1" t="s">
        <v>8957</v>
      </c>
      <c r="G709" t="s">
        <v>9009</v>
      </c>
      <c r="H709" s="1" t="s">
        <v>9173</v>
      </c>
      <c r="I709" s="1" t="s">
        <v>9174</v>
      </c>
      <c r="J709" s="2" t="s">
        <v>21265</v>
      </c>
      <c r="K709" s="1" t="s">
        <v>21648</v>
      </c>
      <c r="L709" s="1" t="s">
        <v>8987</v>
      </c>
      <c r="M709" s="1">
        <v>2611</v>
      </c>
      <c r="N709" s="1" t="s">
        <v>8953</v>
      </c>
      <c r="O709" s="1" t="s">
        <v>8954</v>
      </c>
      <c r="P709" s="1" t="s">
        <v>8955</v>
      </c>
      <c r="Q709" s="1" t="s">
        <v>8956</v>
      </c>
      <c r="R709" s="1" t="s">
        <v>8975</v>
      </c>
      <c r="S709" s="1" t="s">
        <v>20597</v>
      </c>
      <c r="T709" s="1" t="s">
        <v>7</v>
      </c>
      <c r="U709" s="1" t="s">
        <v>2592</v>
      </c>
    </row>
    <row r="710" spans="1:21" x14ac:dyDescent="0.2">
      <c r="A710" s="88" t="s">
        <v>16302</v>
      </c>
      <c r="B710" s="88" t="e">
        <f>VLOOKUP(C710,#REF!,1,0)</f>
        <v>#REF!</v>
      </c>
      <c r="C710" s="1" t="s">
        <v>2595</v>
      </c>
      <c r="D710" s="1" t="s">
        <v>2596</v>
      </c>
      <c r="E710" s="1" t="s">
        <v>9317</v>
      </c>
      <c r="F710" s="1" t="s">
        <v>8957</v>
      </c>
      <c r="G710" t="s">
        <v>8959</v>
      </c>
      <c r="H710" s="1" t="s">
        <v>20712</v>
      </c>
      <c r="I710" s="1" t="s">
        <v>20800</v>
      </c>
      <c r="J710" s="2" t="s">
        <v>18489</v>
      </c>
      <c r="K710" s="1" t="s">
        <v>18489</v>
      </c>
      <c r="L710" s="1" t="s">
        <v>9133</v>
      </c>
      <c r="M710" s="1">
        <v>149</v>
      </c>
      <c r="N710" s="1" t="s">
        <v>9059</v>
      </c>
      <c r="O710" s="1" t="s">
        <v>8954</v>
      </c>
      <c r="P710" s="1" t="s">
        <v>8955</v>
      </c>
      <c r="Q710" s="1" t="s">
        <v>8956</v>
      </c>
      <c r="R710" s="1" t="s">
        <v>8975</v>
      </c>
      <c r="S710" s="1" t="s">
        <v>19040</v>
      </c>
      <c r="T710" s="1" t="s">
        <v>7</v>
      </c>
      <c r="U710" s="1" t="s">
        <v>24</v>
      </c>
    </row>
    <row r="711" spans="1:21" x14ac:dyDescent="0.2">
      <c r="A711" s="88" t="s">
        <v>16303</v>
      </c>
      <c r="B711" s="88" t="e">
        <f>VLOOKUP(C711,#REF!,1,0)</f>
        <v>#REF!</v>
      </c>
      <c r="C711" s="1" t="s">
        <v>2597</v>
      </c>
      <c r="D711" s="1" t="s">
        <v>2598</v>
      </c>
      <c r="E711" s="1" t="s">
        <v>18502</v>
      </c>
      <c r="F711" s="1" t="s">
        <v>8957</v>
      </c>
      <c r="G711" t="s">
        <v>8959</v>
      </c>
      <c r="H711" s="1" t="s">
        <v>9173</v>
      </c>
      <c r="I711" s="1" t="s">
        <v>9174</v>
      </c>
      <c r="J711" s="2" t="s">
        <v>18497</v>
      </c>
      <c r="K711" s="1" t="s">
        <v>18497</v>
      </c>
      <c r="L711" s="1" t="s">
        <v>9133</v>
      </c>
      <c r="M711" s="1">
        <v>11651</v>
      </c>
      <c r="N711" s="1" t="s">
        <v>8953</v>
      </c>
      <c r="O711" s="1" t="s">
        <v>8954</v>
      </c>
      <c r="P711" s="1" t="s">
        <v>8955</v>
      </c>
      <c r="Q711" s="1" t="s">
        <v>8956</v>
      </c>
      <c r="R711" s="1" t="s">
        <v>8975</v>
      </c>
      <c r="S711" s="1" t="s">
        <v>19041</v>
      </c>
      <c r="T711" s="1" t="s">
        <v>17</v>
      </c>
      <c r="U711" s="1" t="s">
        <v>27</v>
      </c>
    </row>
    <row r="712" spans="1:21" x14ac:dyDescent="0.2">
      <c r="A712" s="88" t="s">
        <v>16304</v>
      </c>
      <c r="B712" s="88" t="e">
        <f>VLOOKUP(C712,#REF!,1,0)</f>
        <v>#REF!</v>
      </c>
      <c r="C712" s="1" t="s">
        <v>2599</v>
      </c>
      <c r="D712" s="1" t="s">
        <v>2600</v>
      </c>
      <c r="E712" s="1" t="s">
        <v>18502</v>
      </c>
      <c r="F712" s="1" t="s">
        <v>8957</v>
      </c>
      <c r="G712" t="s">
        <v>8959</v>
      </c>
      <c r="H712" s="1" t="s">
        <v>9605</v>
      </c>
      <c r="I712" s="1" t="s">
        <v>9725</v>
      </c>
      <c r="J712" s="2" t="s">
        <v>10525</v>
      </c>
      <c r="K712" s="1" t="s">
        <v>10525</v>
      </c>
      <c r="L712" s="1" t="s">
        <v>9076</v>
      </c>
      <c r="M712" s="1">
        <v>29100</v>
      </c>
      <c r="N712" s="1" t="s">
        <v>8953</v>
      </c>
      <c r="O712" s="1" t="s">
        <v>8989</v>
      </c>
      <c r="P712" s="1" t="s">
        <v>8955</v>
      </c>
      <c r="Q712" s="1" t="s">
        <v>8956</v>
      </c>
      <c r="R712" s="1" t="s">
        <v>9103</v>
      </c>
      <c r="S712" s="1" t="s">
        <v>19042</v>
      </c>
      <c r="T712" s="1" t="s">
        <v>17</v>
      </c>
      <c r="U712" s="1" t="s">
        <v>126</v>
      </c>
    </row>
    <row r="713" spans="1:21" x14ac:dyDescent="0.2">
      <c r="A713" s="88" t="s">
        <v>16305</v>
      </c>
      <c r="B713" s="88" t="e">
        <f>VLOOKUP(C713,#REF!,1,0)</f>
        <v>#REF!</v>
      </c>
      <c r="C713" s="1" t="s">
        <v>2601</v>
      </c>
      <c r="D713" s="1" t="s">
        <v>2602</v>
      </c>
      <c r="E713" s="1" t="s">
        <v>9333</v>
      </c>
      <c r="F713" s="1" t="s">
        <v>8957</v>
      </c>
      <c r="G713" t="s">
        <v>9061</v>
      </c>
      <c r="H713" s="1" t="s">
        <v>9605</v>
      </c>
      <c r="I713" s="1" t="s">
        <v>8949</v>
      </c>
      <c r="J713" s="2" t="s">
        <v>20776</v>
      </c>
      <c r="K713" s="1" t="s">
        <v>20776</v>
      </c>
      <c r="L713" s="1" t="s">
        <v>9076</v>
      </c>
      <c r="M713" s="1">
        <v>40</v>
      </c>
      <c r="N713" s="1" t="s">
        <v>9059</v>
      </c>
      <c r="O713" s="1" t="s">
        <v>8989</v>
      </c>
      <c r="P713" s="1" t="s">
        <v>8955</v>
      </c>
      <c r="Q713" s="1" t="s">
        <v>8956</v>
      </c>
      <c r="R713" s="1" t="s">
        <v>8975</v>
      </c>
      <c r="S713" s="1" t="s">
        <v>20598</v>
      </c>
      <c r="T713" s="1" t="s">
        <v>17</v>
      </c>
      <c r="U713" s="1" t="s">
        <v>1202</v>
      </c>
    </row>
    <row r="714" spans="1:21" x14ac:dyDescent="0.2">
      <c r="A714" s="88" t="s">
        <v>16306</v>
      </c>
      <c r="B714" s="88" t="e">
        <f>VLOOKUP(C714,#REF!,1,0)</f>
        <v>#REF!</v>
      </c>
      <c r="C714" s="1" t="s">
        <v>2606</v>
      </c>
      <c r="D714" s="1" t="s">
        <v>2607</v>
      </c>
      <c r="E714" s="1" t="s">
        <v>9010</v>
      </c>
      <c r="F714" s="1" t="s">
        <v>8957</v>
      </c>
      <c r="G714" t="s">
        <v>9009</v>
      </c>
      <c r="H714" s="1" t="s">
        <v>8948</v>
      </c>
      <c r="I714" s="1" t="s">
        <v>8949</v>
      </c>
      <c r="J714" s="2" t="s">
        <v>9041</v>
      </c>
      <c r="K714" s="1" t="s">
        <v>9041</v>
      </c>
      <c r="L714" s="1" t="s">
        <v>9157</v>
      </c>
      <c r="M714" s="1">
        <v>119</v>
      </c>
      <c r="N714" s="1" t="s">
        <v>8953</v>
      </c>
      <c r="O714" s="1" t="s">
        <v>8954</v>
      </c>
      <c r="P714" s="1" t="s">
        <v>8955</v>
      </c>
      <c r="Q714" s="1" t="s">
        <v>8956</v>
      </c>
      <c r="R714" s="1" t="s">
        <v>8975</v>
      </c>
      <c r="S714" s="1" t="s">
        <v>2608</v>
      </c>
      <c r="T714" s="1" t="s">
        <v>17</v>
      </c>
      <c r="U714" s="1" t="s">
        <v>21</v>
      </c>
    </row>
    <row r="715" spans="1:21" x14ac:dyDescent="0.2">
      <c r="A715" s="88" t="s">
        <v>16307</v>
      </c>
      <c r="B715" s="88" t="e">
        <f>VLOOKUP(C715,#REF!,1,0)</f>
        <v>#REF!</v>
      </c>
      <c r="C715" s="1" t="s">
        <v>2609</v>
      </c>
      <c r="D715" s="1" t="s">
        <v>2610</v>
      </c>
      <c r="E715" s="1" t="s">
        <v>9387</v>
      </c>
      <c r="F715" s="1" t="s">
        <v>8974</v>
      </c>
      <c r="G715" t="s">
        <v>9009</v>
      </c>
      <c r="H715" s="1" t="s">
        <v>9605</v>
      </c>
      <c r="I715" s="1" t="s">
        <v>9121</v>
      </c>
      <c r="J715" s="2" t="s">
        <v>9036</v>
      </c>
      <c r="K715" s="1" t="s">
        <v>9036</v>
      </c>
      <c r="L715" s="1" t="s">
        <v>21600</v>
      </c>
      <c r="M715" s="1">
        <v>11802</v>
      </c>
      <c r="N715" s="1" t="s">
        <v>8953</v>
      </c>
      <c r="O715" s="1" t="s">
        <v>8989</v>
      </c>
      <c r="P715" s="1" t="s">
        <v>8955</v>
      </c>
      <c r="Q715" s="1" t="s">
        <v>8956</v>
      </c>
      <c r="R715" s="1" t="s">
        <v>8958</v>
      </c>
      <c r="S715" s="1" t="s">
        <v>2611</v>
      </c>
      <c r="T715" s="1" t="s">
        <v>11</v>
      </c>
      <c r="U715" s="1" t="s">
        <v>2612</v>
      </c>
    </row>
    <row r="716" spans="1:21" x14ac:dyDescent="0.2">
      <c r="A716" s="88" t="s">
        <v>16308</v>
      </c>
      <c r="B716" s="88" t="e">
        <f>VLOOKUP(C716,#REF!,1,0)</f>
        <v>#REF!</v>
      </c>
      <c r="C716" s="1" t="s">
        <v>2613</v>
      </c>
      <c r="D716" s="1" t="s">
        <v>2614</v>
      </c>
      <c r="E716" s="1" t="s">
        <v>18502</v>
      </c>
      <c r="F716" s="1" t="s">
        <v>8957</v>
      </c>
      <c r="G716" t="s">
        <v>8959</v>
      </c>
      <c r="H716" s="1" t="s">
        <v>8948</v>
      </c>
      <c r="I716" s="1" t="s">
        <v>20800</v>
      </c>
      <c r="J716" s="2" t="s">
        <v>20736</v>
      </c>
      <c r="K716" s="1" t="s">
        <v>21640</v>
      </c>
      <c r="L716" s="1" t="s">
        <v>8987</v>
      </c>
      <c r="M716" s="1">
        <v>63</v>
      </c>
      <c r="N716" s="1" t="s">
        <v>8953</v>
      </c>
      <c r="O716" s="1" t="s">
        <v>8989</v>
      </c>
      <c r="P716" s="1" t="s">
        <v>8955</v>
      </c>
      <c r="Q716" s="1" t="s">
        <v>8956</v>
      </c>
      <c r="R716" s="1" t="s">
        <v>8958</v>
      </c>
      <c r="S716" s="1" t="s">
        <v>19043</v>
      </c>
      <c r="T716" s="1" t="s">
        <v>17</v>
      </c>
      <c r="U716" s="1" t="s">
        <v>2287</v>
      </c>
    </row>
    <row r="717" spans="1:21" x14ac:dyDescent="0.2">
      <c r="A717" s="88" t="s">
        <v>16309</v>
      </c>
      <c r="B717" s="88" t="e">
        <f>VLOOKUP(C717,#REF!,1,0)</f>
        <v>#REF!</v>
      </c>
      <c r="C717" s="1" t="s">
        <v>2615</v>
      </c>
      <c r="D717" s="1" t="s">
        <v>2616</v>
      </c>
      <c r="E717" s="1" t="s">
        <v>9010</v>
      </c>
      <c r="F717" s="1" t="s">
        <v>8957</v>
      </c>
      <c r="G717" t="s">
        <v>9009</v>
      </c>
      <c r="H717" s="1" t="s">
        <v>8948</v>
      </c>
      <c r="I717" s="1" t="s">
        <v>9422</v>
      </c>
      <c r="J717" s="2" t="s">
        <v>9036</v>
      </c>
      <c r="K717" s="1" t="s">
        <v>9036</v>
      </c>
      <c r="L717" s="1" t="s">
        <v>8987</v>
      </c>
      <c r="M717" s="1">
        <v>50</v>
      </c>
      <c r="N717" s="1" t="s">
        <v>9059</v>
      </c>
      <c r="O717" s="1" t="s">
        <v>8989</v>
      </c>
      <c r="P717" s="1" t="s">
        <v>8955</v>
      </c>
      <c r="Q717" s="1" t="s">
        <v>8956</v>
      </c>
      <c r="R717" s="1" t="s">
        <v>8975</v>
      </c>
      <c r="S717" s="1" t="s">
        <v>2617</v>
      </c>
      <c r="T717" s="1" t="s">
        <v>4</v>
      </c>
      <c r="U717" s="1" t="s">
        <v>2287</v>
      </c>
    </row>
    <row r="718" spans="1:21" x14ac:dyDescent="0.2">
      <c r="A718" s="88" t="s">
        <v>16310</v>
      </c>
      <c r="B718" s="88" t="e">
        <f>VLOOKUP(C718,#REF!,1,0)</f>
        <v>#REF!</v>
      </c>
      <c r="C718" s="1" t="s">
        <v>2618</v>
      </c>
      <c r="D718" s="1" t="s">
        <v>2619</v>
      </c>
      <c r="E718" s="1" t="s">
        <v>9010</v>
      </c>
      <c r="F718" s="1" t="s">
        <v>8959</v>
      </c>
      <c r="G718" t="s">
        <v>9183</v>
      </c>
      <c r="H718" s="1" t="s">
        <v>8948</v>
      </c>
      <c r="I718" s="1" t="s">
        <v>9121</v>
      </c>
      <c r="J718" s="2" t="s">
        <v>10135</v>
      </c>
      <c r="K718" s="1" t="s">
        <v>21772</v>
      </c>
      <c r="L718" s="1" t="s">
        <v>9292</v>
      </c>
      <c r="M718" s="1">
        <v>671</v>
      </c>
      <c r="N718" s="1" t="s">
        <v>8953</v>
      </c>
      <c r="O718" s="1" t="s">
        <v>8989</v>
      </c>
      <c r="P718" s="1" t="s">
        <v>8955</v>
      </c>
      <c r="Q718" s="1" t="s">
        <v>8956</v>
      </c>
      <c r="R718" s="1" t="s">
        <v>8958</v>
      </c>
      <c r="S718" s="1" t="s">
        <v>2620</v>
      </c>
      <c r="T718" s="1" t="s">
        <v>17</v>
      </c>
      <c r="U718" s="1" t="s">
        <v>24</v>
      </c>
    </row>
    <row r="719" spans="1:21" x14ac:dyDescent="0.2">
      <c r="A719" s="88" t="s">
        <v>16311</v>
      </c>
      <c r="B719" s="88" t="e">
        <f>VLOOKUP(C719,#REF!,1,0)</f>
        <v>#REF!</v>
      </c>
      <c r="C719" s="1" t="s">
        <v>2621</v>
      </c>
      <c r="D719" s="1" t="s">
        <v>2622</v>
      </c>
      <c r="E719" s="1" t="s">
        <v>9176</v>
      </c>
      <c r="F719" s="1" t="s">
        <v>8959</v>
      </c>
      <c r="G719" t="s">
        <v>8959</v>
      </c>
      <c r="H719" s="1" t="s">
        <v>9049</v>
      </c>
      <c r="I719" s="1" t="s">
        <v>9325</v>
      </c>
      <c r="J719" s="2" t="s">
        <v>9386</v>
      </c>
      <c r="K719" s="1" t="s">
        <v>9386</v>
      </c>
      <c r="L719" s="1" t="s">
        <v>9076</v>
      </c>
      <c r="M719" s="1">
        <v>269</v>
      </c>
      <c r="N719" s="1" t="s">
        <v>9059</v>
      </c>
      <c r="O719" s="1" t="s">
        <v>8954</v>
      </c>
      <c r="P719" s="1" t="s">
        <v>8955</v>
      </c>
      <c r="Q719" s="1" t="s">
        <v>8956</v>
      </c>
      <c r="R719" s="1" t="s">
        <v>8975</v>
      </c>
      <c r="S719" s="1" t="s">
        <v>2623</v>
      </c>
      <c r="T719" s="1" t="s">
        <v>11</v>
      </c>
      <c r="U719" s="1" t="s">
        <v>1797</v>
      </c>
    </row>
    <row r="720" spans="1:21" x14ac:dyDescent="0.2">
      <c r="A720" s="88" t="s">
        <v>16312</v>
      </c>
      <c r="B720" s="88" t="e">
        <f>VLOOKUP(C720,#REF!,1,0)</f>
        <v>#REF!</v>
      </c>
      <c r="C720" s="1" t="s">
        <v>2624</v>
      </c>
      <c r="D720" s="1" t="s">
        <v>2625</v>
      </c>
      <c r="E720" s="1" t="s">
        <v>9010</v>
      </c>
      <c r="F720" s="1" t="s">
        <v>8959</v>
      </c>
      <c r="G720" t="s">
        <v>8959</v>
      </c>
      <c r="H720" s="1" t="s">
        <v>9092</v>
      </c>
      <c r="I720" s="1" t="s">
        <v>8971</v>
      </c>
      <c r="J720" s="2" t="s">
        <v>8972</v>
      </c>
      <c r="K720" s="1" t="s">
        <v>8972</v>
      </c>
      <c r="L720" s="1" t="s">
        <v>21600</v>
      </c>
      <c r="M720" s="1">
        <v>2050</v>
      </c>
      <c r="N720" s="1" t="s">
        <v>8953</v>
      </c>
      <c r="O720" s="1" t="s">
        <v>8954</v>
      </c>
      <c r="P720" s="1" t="s">
        <v>8955</v>
      </c>
      <c r="Q720" s="1" t="s">
        <v>8956</v>
      </c>
      <c r="R720" s="1" t="s">
        <v>9103</v>
      </c>
      <c r="S720" s="1" t="s">
        <v>2626</v>
      </c>
      <c r="T720" s="1" t="s">
        <v>17</v>
      </c>
      <c r="U720" s="1" t="s">
        <v>2627</v>
      </c>
    </row>
    <row r="721" spans="1:22" x14ac:dyDescent="0.2">
      <c r="A721" s="88" t="s">
        <v>16313</v>
      </c>
      <c r="B721" s="88" t="e">
        <f>VLOOKUP(C721,#REF!,1,0)</f>
        <v>#REF!</v>
      </c>
      <c r="C721" s="1" t="s">
        <v>2631</v>
      </c>
      <c r="D721" s="1" t="s">
        <v>2632</v>
      </c>
      <c r="E721" s="1" t="s">
        <v>18502</v>
      </c>
      <c r="F721" s="1" t="s">
        <v>9060</v>
      </c>
      <c r="G721" t="s">
        <v>8959</v>
      </c>
      <c r="H721" s="1" t="s">
        <v>9035</v>
      </c>
      <c r="I721" s="1" t="s">
        <v>8959</v>
      </c>
      <c r="J721" s="2" t="s">
        <v>10492</v>
      </c>
      <c r="K721" s="1" t="s">
        <v>21645</v>
      </c>
      <c r="L721" s="1" t="s">
        <v>20832</v>
      </c>
      <c r="M721" s="1">
        <v>19456</v>
      </c>
      <c r="N721" s="1" t="s">
        <v>8953</v>
      </c>
      <c r="O721" s="1" t="s">
        <v>8989</v>
      </c>
      <c r="P721" s="1" t="s">
        <v>8955</v>
      </c>
      <c r="Q721" s="1" t="s">
        <v>8956</v>
      </c>
      <c r="R721" s="1" t="s">
        <v>9103</v>
      </c>
      <c r="S721" s="1" t="s">
        <v>19045</v>
      </c>
      <c r="T721" s="1" t="s">
        <v>17</v>
      </c>
      <c r="U721" s="1" t="s">
        <v>2633</v>
      </c>
    </row>
    <row r="722" spans="1:22" x14ac:dyDescent="0.2">
      <c r="A722" s="88" t="s">
        <v>16314</v>
      </c>
      <c r="B722" s="88" t="e">
        <f>VLOOKUP(C722,#REF!,1,0)</f>
        <v>#REF!</v>
      </c>
      <c r="C722" s="1" t="s">
        <v>2634</v>
      </c>
      <c r="D722" s="1" t="s">
        <v>2635</v>
      </c>
      <c r="E722" s="1" t="s">
        <v>9010</v>
      </c>
      <c r="F722" s="1" t="s">
        <v>9060</v>
      </c>
      <c r="G722" t="s">
        <v>9061</v>
      </c>
      <c r="H722" s="1" t="s">
        <v>9100</v>
      </c>
      <c r="I722" s="1" t="s">
        <v>9121</v>
      </c>
      <c r="J722" s="2" t="s">
        <v>8972</v>
      </c>
      <c r="K722" s="1" t="s">
        <v>21768</v>
      </c>
      <c r="L722" s="1" t="s">
        <v>9464</v>
      </c>
      <c r="M722" s="1">
        <v>4096</v>
      </c>
      <c r="N722" s="1" t="s">
        <v>8953</v>
      </c>
      <c r="O722" s="1" t="s">
        <v>8954</v>
      </c>
      <c r="P722" s="1" t="s">
        <v>8955</v>
      </c>
      <c r="Q722" s="1" t="s">
        <v>8956</v>
      </c>
      <c r="R722" s="1" t="s">
        <v>9103</v>
      </c>
      <c r="S722" s="1" t="s">
        <v>2636</v>
      </c>
      <c r="T722" s="1" t="s">
        <v>11</v>
      </c>
      <c r="U722" s="1" t="s">
        <v>61</v>
      </c>
    </row>
    <row r="723" spans="1:22" x14ac:dyDescent="0.2">
      <c r="A723" s="88" t="s">
        <v>16315</v>
      </c>
      <c r="B723" s="88" t="e">
        <f>VLOOKUP(C723,#REF!,1,0)</f>
        <v>#REF!</v>
      </c>
      <c r="C723" s="1" t="s">
        <v>2640</v>
      </c>
      <c r="D723" s="1" t="s">
        <v>2641</v>
      </c>
      <c r="E723" s="1" t="s">
        <v>9010</v>
      </c>
      <c r="F723" s="1" t="s">
        <v>8957</v>
      </c>
      <c r="G723" t="s">
        <v>9061</v>
      </c>
      <c r="H723" s="1" t="s">
        <v>8984</v>
      </c>
      <c r="I723" s="1" t="s">
        <v>8949</v>
      </c>
      <c r="J723" s="2" t="s">
        <v>9036</v>
      </c>
      <c r="K723" s="1" t="s">
        <v>9036</v>
      </c>
      <c r="L723" s="1" t="s">
        <v>9133</v>
      </c>
      <c r="M723" s="1">
        <v>494</v>
      </c>
      <c r="N723" s="1" t="s">
        <v>8953</v>
      </c>
      <c r="O723" s="1" t="s">
        <v>8954</v>
      </c>
      <c r="P723" s="1" t="s">
        <v>8955</v>
      </c>
      <c r="Q723" s="1" t="s">
        <v>8956</v>
      </c>
      <c r="R723" s="1" t="s">
        <v>8975</v>
      </c>
      <c r="S723" s="1" t="s">
        <v>2642</v>
      </c>
      <c r="T723" s="1" t="s">
        <v>17</v>
      </c>
      <c r="U723" s="1" t="s">
        <v>147</v>
      </c>
    </row>
    <row r="724" spans="1:22" x14ac:dyDescent="0.2">
      <c r="A724" s="88" t="s">
        <v>16316</v>
      </c>
      <c r="B724" s="88" t="e">
        <f>VLOOKUP(C724,#REF!,1,0)</f>
        <v>#REF!</v>
      </c>
      <c r="C724" s="1" t="s">
        <v>2643</v>
      </c>
      <c r="D724" s="1" t="s">
        <v>2644</v>
      </c>
      <c r="E724" s="1" t="s">
        <v>9636</v>
      </c>
      <c r="F724" s="1" t="s">
        <v>8957</v>
      </c>
      <c r="G724" t="s">
        <v>8959</v>
      </c>
      <c r="H724" s="1" t="s">
        <v>9092</v>
      </c>
      <c r="I724" s="1" t="s">
        <v>8949</v>
      </c>
      <c r="J724" s="2" t="s">
        <v>18492</v>
      </c>
      <c r="K724" s="1" t="s">
        <v>18492</v>
      </c>
      <c r="L724" s="1" t="s">
        <v>9076</v>
      </c>
      <c r="M724" s="1">
        <v>20</v>
      </c>
      <c r="N724" s="1" t="s">
        <v>9059</v>
      </c>
      <c r="O724" s="1" t="s">
        <v>8954</v>
      </c>
      <c r="P724" s="1" t="s">
        <v>8955</v>
      </c>
      <c r="Q724" s="1" t="s">
        <v>8956</v>
      </c>
      <c r="R724" s="1" t="s">
        <v>8958</v>
      </c>
      <c r="S724" s="1" t="s">
        <v>2645</v>
      </c>
      <c r="T724" s="1" t="s">
        <v>11</v>
      </c>
      <c r="U724" s="1" t="s">
        <v>161</v>
      </c>
    </row>
    <row r="725" spans="1:22" x14ac:dyDescent="0.2">
      <c r="A725" s="88" t="s">
        <v>16317</v>
      </c>
      <c r="B725" s="88" t="e">
        <f>VLOOKUP(C725,#REF!,1,0)</f>
        <v>#REF!</v>
      </c>
      <c r="C725" s="1" t="s">
        <v>2646</v>
      </c>
      <c r="D725" s="1" t="s">
        <v>2647</v>
      </c>
      <c r="E725" s="1" t="s">
        <v>18502</v>
      </c>
      <c r="F725" s="1" t="s">
        <v>8957</v>
      </c>
      <c r="G725" t="s">
        <v>9061</v>
      </c>
      <c r="H725" s="1" t="s">
        <v>9154</v>
      </c>
      <c r="I725" s="1" t="s">
        <v>8949</v>
      </c>
      <c r="J725" s="2" t="s">
        <v>10492</v>
      </c>
      <c r="K725" s="1" t="s">
        <v>10492</v>
      </c>
      <c r="L725" s="1" t="s">
        <v>8987</v>
      </c>
      <c r="M725" s="1">
        <v>750</v>
      </c>
      <c r="N725" s="1" t="s">
        <v>8953</v>
      </c>
      <c r="O725" s="1" t="s">
        <v>8989</v>
      </c>
      <c r="P725" s="1" t="s">
        <v>8955</v>
      </c>
      <c r="Q725" s="1" t="s">
        <v>8956</v>
      </c>
      <c r="R725" s="1" t="s">
        <v>8975</v>
      </c>
      <c r="S725" s="1" t="s">
        <v>19047</v>
      </c>
      <c r="T725" s="1" t="s">
        <v>7</v>
      </c>
      <c r="U725" s="1" t="s">
        <v>24</v>
      </c>
    </row>
    <row r="726" spans="1:22" x14ac:dyDescent="0.2">
      <c r="A726" s="88" t="s">
        <v>16319</v>
      </c>
      <c r="B726" s="88" t="e">
        <f>VLOOKUP(C726,#REF!,1,0)</f>
        <v>#REF!</v>
      </c>
      <c r="C726" s="1" t="s">
        <v>2650</v>
      </c>
      <c r="D726" s="1" t="s">
        <v>2651</v>
      </c>
      <c r="E726" s="1" t="s">
        <v>18502</v>
      </c>
      <c r="F726" s="1" t="s">
        <v>8974</v>
      </c>
      <c r="G726" t="s">
        <v>8959</v>
      </c>
      <c r="H726" s="1" t="s">
        <v>8984</v>
      </c>
      <c r="I726" s="1" t="s">
        <v>8971</v>
      </c>
      <c r="J726" s="2" t="s">
        <v>20779</v>
      </c>
      <c r="K726" s="1" t="s">
        <v>9036</v>
      </c>
      <c r="L726" s="1" t="s">
        <v>8987</v>
      </c>
      <c r="M726" s="1">
        <v>204</v>
      </c>
      <c r="N726" s="1" t="s">
        <v>9059</v>
      </c>
      <c r="O726" s="1" t="s">
        <v>8989</v>
      </c>
      <c r="P726" s="1" t="s">
        <v>8955</v>
      </c>
      <c r="Q726" s="1" t="s">
        <v>8956</v>
      </c>
      <c r="R726" s="1" t="s">
        <v>8975</v>
      </c>
      <c r="S726" s="1" t="s">
        <v>20601</v>
      </c>
      <c r="T726" s="1" t="s">
        <v>7</v>
      </c>
      <c r="U726" s="1" t="s">
        <v>180</v>
      </c>
    </row>
    <row r="727" spans="1:22" x14ac:dyDescent="0.2">
      <c r="A727" s="88" t="s">
        <v>16320</v>
      </c>
      <c r="B727" s="88" t="e">
        <f>VLOOKUP(C727,#REF!,1,0)</f>
        <v>#REF!</v>
      </c>
      <c r="C727" s="1" t="s">
        <v>2652</v>
      </c>
      <c r="D727" s="1" t="s">
        <v>2653</v>
      </c>
      <c r="E727" s="1" t="s">
        <v>9310</v>
      </c>
      <c r="F727" s="1" t="s">
        <v>8957</v>
      </c>
      <c r="G727" t="s">
        <v>9183</v>
      </c>
      <c r="H727" s="1" t="s">
        <v>9035</v>
      </c>
      <c r="I727" s="1" t="s">
        <v>8998</v>
      </c>
      <c r="J727" s="2" t="s">
        <v>9036</v>
      </c>
      <c r="K727" s="1" t="s">
        <v>9036</v>
      </c>
      <c r="L727" s="1" t="s">
        <v>8951</v>
      </c>
      <c r="M727" s="1">
        <v>8120</v>
      </c>
      <c r="N727" s="1" t="s">
        <v>9059</v>
      </c>
      <c r="O727" s="1" t="s">
        <v>8989</v>
      </c>
      <c r="P727" s="1" t="s">
        <v>8955</v>
      </c>
      <c r="Q727" s="1" t="s">
        <v>8956</v>
      </c>
      <c r="R727" s="1" t="s">
        <v>8958</v>
      </c>
      <c r="S727" s="1" t="s">
        <v>2654</v>
      </c>
      <c r="T727" s="1" t="s">
        <v>11</v>
      </c>
      <c r="U727" s="1" t="s">
        <v>5</v>
      </c>
    </row>
    <row r="728" spans="1:22" x14ac:dyDescent="0.2">
      <c r="A728" s="88">
        <v>1</v>
      </c>
      <c r="B728" s="88" t="e">
        <f>VLOOKUP(C728,#REF!,1,0)</f>
        <v>#REF!</v>
      </c>
      <c r="C728" s="1" t="s">
        <v>2655</v>
      </c>
      <c r="D728" s="1" t="s">
        <v>2656</v>
      </c>
      <c r="E728" s="1" t="s">
        <v>18502</v>
      </c>
      <c r="F728" s="1" t="s">
        <v>8957</v>
      </c>
      <c r="G728" t="s">
        <v>8959</v>
      </c>
      <c r="H728" s="1" t="s">
        <v>9100</v>
      </c>
      <c r="I728" s="1" t="s">
        <v>8949</v>
      </c>
      <c r="J728" s="2" t="s">
        <v>20833</v>
      </c>
      <c r="K728" s="1" t="s">
        <v>9679</v>
      </c>
      <c r="L728" s="1" t="s">
        <v>8951</v>
      </c>
      <c r="M728" s="1">
        <v>85860</v>
      </c>
      <c r="N728" s="1" t="s">
        <v>8953</v>
      </c>
      <c r="O728" s="1" t="s">
        <v>8989</v>
      </c>
      <c r="P728" s="1" t="s">
        <v>8955</v>
      </c>
      <c r="Q728" s="1" t="s">
        <v>8956</v>
      </c>
      <c r="R728" s="1" t="s">
        <v>9103</v>
      </c>
      <c r="S728" s="1" t="s">
        <v>19048</v>
      </c>
      <c r="T728" s="1" t="s">
        <v>11</v>
      </c>
      <c r="U728" s="1" t="s">
        <v>2657</v>
      </c>
      <c r="V728" s="1"/>
    </row>
    <row r="729" spans="1:22" x14ac:dyDescent="0.2">
      <c r="A729" s="88" t="s">
        <v>16321</v>
      </c>
      <c r="B729" s="88" t="e">
        <f>VLOOKUP(C729,#REF!,1,0)</f>
        <v>#REF!</v>
      </c>
      <c r="C729" s="1" t="s">
        <v>2658</v>
      </c>
      <c r="D729" s="1" t="s">
        <v>2659</v>
      </c>
      <c r="E729" s="1" t="s">
        <v>9213</v>
      </c>
      <c r="F729" s="1" t="s">
        <v>8957</v>
      </c>
      <c r="G729" t="s">
        <v>8959</v>
      </c>
      <c r="H729" s="1" t="s">
        <v>9075</v>
      </c>
      <c r="I729" s="1" t="s">
        <v>8998</v>
      </c>
      <c r="J729" s="2" t="s">
        <v>18489</v>
      </c>
      <c r="K729" s="1" t="s">
        <v>18489</v>
      </c>
      <c r="L729" s="1" t="s">
        <v>8987</v>
      </c>
      <c r="M729" s="1">
        <v>169</v>
      </c>
      <c r="N729" s="1" t="s">
        <v>9059</v>
      </c>
      <c r="O729" s="1" t="s">
        <v>8989</v>
      </c>
      <c r="P729" s="1" t="s">
        <v>8955</v>
      </c>
      <c r="Q729" s="1" t="s">
        <v>8956</v>
      </c>
      <c r="R729" s="1" t="s">
        <v>9103</v>
      </c>
      <c r="S729" s="1" t="s">
        <v>19049</v>
      </c>
      <c r="T729" s="1" t="s">
        <v>17</v>
      </c>
      <c r="U729" s="1" t="s">
        <v>87</v>
      </c>
    </row>
    <row r="730" spans="1:22" x14ac:dyDescent="0.2">
      <c r="A730" s="88" t="s">
        <v>16322</v>
      </c>
      <c r="B730" s="88" t="e">
        <f>VLOOKUP(C730,#REF!,1,0)</f>
        <v>#REF!</v>
      </c>
      <c r="C730" s="1" t="s">
        <v>2660</v>
      </c>
      <c r="D730" s="1" t="s">
        <v>2661</v>
      </c>
      <c r="E730" s="1" t="s">
        <v>9213</v>
      </c>
      <c r="F730" s="1" t="s">
        <v>8959</v>
      </c>
      <c r="G730" t="s">
        <v>8959</v>
      </c>
      <c r="H730" s="1" t="s">
        <v>9252</v>
      </c>
      <c r="I730" s="1" t="s">
        <v>8971</v>
      </c>
      <c r="J730" s="2" t="s">
        <v>10135</v>
      </c>
      <c r="K730" s="1" t="s">
        <v>10135</v>
      </c>
      <c r="L730" s="1" t="s">
        <v>8987</v>
      </c>
      <c r="M730" s="1">
        <v>7408</v>
      </c>
      <c r="N730" s="1" t="s">
        <v>8953</v>
      </c>
      <c r="O730" s="1" t="s">
        <v>8989</v>
      </c>
      <c r="P730" s="1" t="s">
        <v>8955</v>
      </c>
      <c r="Q730" s="1" t="s">
        <v>8956</v>
      </c>
      <c r="R730" s="1" t="s">
        <v>8958</v>
      </c>
      <c r="S730" s="1" t="s">
        <v>2662</v>
      </c>
      <c r="T730" s="1" t="s">
        <v>4</v>
      </c>
      <c r="U730" s="1" t="s">
        <v>378</v>
      </c>
    </row>
    <row r="731" spans="1:22" x14ac:dyDescent="0.2">
      <c r="A731" s="88" t="s">
        <v>16323</v>
      </c>
      <c r="B731" s="88" t="e">
        <f>VLOOKUP(C731,#REF!,1,0)</f>
        <v>#REF!</v>
      </c>
      <c r="C731" s="1" t="s">
        <v>2663</v>
      </c>
      <c r="D731" s="1" t="s">
        <v>2664</v>
      </c>
      <c r="E731" s="1" t="s">
        <v>9213</v>
      </c>
      <c r="F731" s="1" t="s">
        <v>8974</v>
      </c>
      <c r="G731" t="s">
        <v>9009</v>
      </c>
      <c r="H731" s="1" t="s">
        <v>9173</v>
      </c>
      <c r="I731" s="1" t="s">
        <v>9174</v>
      </c>
      <c r="J731" s="2" t="s">
        <v>10099</v>
      </c>
      <c r="K731" s="1" t="s">
        <v>10099</v>
      </c>
      <c r="L731" s="1" t="s">
        <v>8987</v>
      </c>
      <c r="M731" s="1">
        <v>19398</v>
      </c>
      <c r="N731" s="1" t="s">
        <v>8953</v>
      </c>
      <c r="O731" s="1" t="s">
        <v>8989</v>
      </c>
      <c r="P731" s="1" t="s">
        <v>8955</v>
      </c>
      <c r="Q731" s="1" t="s">
        <v>8956</v>
      </c>
      <c r="R731" s="1" t="s">
        <v>8958</v>
      </c>
      <c r="S731" s="1" t="s">
        <v>2665</v>
      </c>
      <c r="T731" s="1" t="s">
        <v>11</v>
      </c>
      <c r="U731" s="1" t="s">
        <v>2666</v>
      </c>
    </row>
    <row r="732" spans="1:22" x14ac:dyDescent="0.2">
      <c r="A732" s="88" t="s">
        <v>16324</v>
      </c>
      <c r="B732" s="88" t="e">
        <f>VLOOKUP(C732,#REF!,1,0)</f>
        <v>#REF!</v>
      </c>
      <c r="C732" s="1" t="s">
        <v>2667</v>
      </c>
      <c r="D732" s="1" t="s">
        <v>2668</v>
      </c>
      <c r="E732" s="1" t="s">
        <v>9213</v>
      </c>
      <c r="F732" s="1" t="s">
        <v>8959</v>
      </c>
      <c r="G732" t="s">
        <v>9009</v>
      </c>
      <c r="H732" s="1" t="s">
        <v>9173</v>
      </c>
      <c r="I732" s="1" t="s">
        <v>8959</v>
      </c>
      <c r="J732" s="2" t="s">
        <v>21359</v>
      </c>
      <c r="K732" s="1" t="s">
        <v>21359</v>
      </c>
      <c r="L732" s="1" t="s">
        <v>8951</v>
      </c>
      <c r="M732" s="1">
        <v>182348</v>
      </c>
      <c r="N732" s="1" t="s">
        <v>8953</v>
      </c>
      <c r="O732" s="1" t="s">
        <v>8954</v>
      </c>
      <c r="P732" s="1" t="s">
        <v>8955</v>
      </c>
      <c r="Q732" s="1" t="s">
        <v>8956</v>
      </c>
      <c r="R732" s="1" t="s">
        <v>8975</v>
      </c>
      <c r="S732" s="1" t="s">
        <v>19050</v>
      </c>
      <c r="T732" s="1" t="s">
        <v>7</v>
      </c>
      <c r="U732" s="1" t="s">
        <v>2669</v>
      </c>
    </row>
    <row r="733" spans="1:22" x14ac:dyDescent="0.2">
      <c r="A733" s="88" t="s">
        <v>16325</v>
      </c>
      <c r="B733" s="88" t="e">
        <f>VLOOKUP(C733,#REF!,1,0)</f>
        <v>#REF!</v>
      </c>
      <c r="C733" s="1" t="s">
        <v>2670</v>
      </c>
      <c r="D733" s="1" t="s">
        <v>2671</v>
      </c>
      <c r="E733" s="1" t="s">
        <v>9213</v>
      </c>
      <c r="F733" s="1" t="s">
        <v>8957</v>
      </c>
      <c r="G733" t="s">
        <v>9009</v>
      </c>
      <c r="H733" s="1" t="s">
        <v>9173</v>
      </c>
      <c r="I733" s="1" t="s">
        <v>9174</v>
      </c>
      <c r="J733" s="2" t="s">
        <v>13085</v>
      </c>
      <c r="K733" s="1" t="s">
        <v>21901</v>
      </c>
      <c r="L733" s="1" t="s">
        <v>9133</v>
      </c>
      <c r="M733" s="1">
        <v>49567</v>
      </c>
      <c r="N733" s="1" t="s">
        <v>8953</v>
      </c>
      <c r="O733" s="1" t="s">
        <v>8989</v>
      </c>
      <c r="P733" s="1" t="s">
        <v>8955</v>
      </c>
      <c r="Q733" s="1" t="s">
        <v>8956</v>
      </c>
      <c r="R733" s="1" t="s">
        <v>8958</v>
      </c>
      <c r="S733" s="1" t="s">
        <v>2672</v>
      </c>
      <c r="T733" s="1" t="s">
        <v>11</v>
      </c>
      <c r="U733" s="1" t="s">
        <v>110</v>
      </c>
    </row>
    <row r="734" spans="1:22" x14ac:dyDescent="0.2">
      <c r="A734" s="88" t="s">
        <v>16326</v>
      </c>
      <c r="B734" s="88" t="e">
        <f>VLOOKUP(C734,#REF!,1,0)</f>
        <v>#REF!</v>
      </c>
      <c r="C734" s="1" t="s">
        <v>2673</v>
      </c>
      <c r="D734" s="1" t="s">
        <v>2674</v>
      </c>
      <c r="E734" s="1" t="s">
        <v>18502</v>
      </c>
      <c r="F734" s="1" t="s">
        <v>8957</v>
      </c>
      <c r="G734" t="s">
        <v>9061</v>
      </c>
      <c r="H734" s="1" t="s">
        <v>9100</v>
      </c>
      <c r="I734" s="1" t="s">
        <v>8949</v>
      </c>
      <c r="J734" s="2" t="s">
        <v>10525</v>
      </c>
      <c r="K734" s="1" t="s">
        <v>10525</v>
      </c>
      <c r="L734" s="1" t="s">
        <v>9157</v>
      </c>
      <c r="M734" s="1">
        <v>228</v>
      </c>
      <c r="N734" s="1" t="s">
        <v>9059</v>
      </c>
      <c r="O734" s="1" t="s">
        <v>8954</v>
      </c>
      <c r="P734" s="1" t="s">
        <v>8955</v>
      </c>
      <c r="Q734" s="1" t="s">
        <v>8956</v>
      </c>
      <c r="R734" s="1" t="s">
        <v>8975</v>
      </c>
      <c r="S734" s="1" t="s">
        <v>19051</v>
      </c>
      <c r="T734" s="1" t="s">
        <v>7</v>
      </c>
      <c r="U734" s="1" t="s">
        <v>1202</v>
      </c>
    </row>
    <row r="735" spans="1:22" x14ac:dyDescent="0.2">
      <c r="A735" s="88" t="s">
        <v>16327</v>
      </c>
      <c r="B735" s="88" t="e">
        <f>VLOOKUP(C735,#REF!,1,0)</f>
        <v>#REF!</v>
      </c>
      <c r="C735" s="1" t="s">
        <v>2675</v>
      </c>
      <c r="D735" s="1" t="s">
        <v>2676</v>
      </c>
      <c r="E735" s="1" t="s">
        <v>9010</v>
      </c>
      <c r="F735" s="1" t="s">
        <v>8959</v>
      </c>
      <c r="G735" t="s">
        <v>8959</v>
      </c>
      <c r="H735" s="1" t="s">
        <v>8948</v>
      </c>
      <c r="I735" s="1" t="s">
        <v>9155</v>
      </c>
      <c r="J735" s="2" t="s">
        <v>9036</v>
      </c>
      <c r="K735" s="1" t="s">
        <v>9036</v>
      </c>
      <c r="L735" s="1" t="s">
        <v>9464</v>
      </c>
      <c r="M735" s="1">
        <v>2400</v>
      </c>
      <c r="N735" s="1" t="s">
        <v>8953</v>
      </c>
      <c r="O735" s="1" t="s">
        <v>8989</v>
      </c>
      <c r="P735" s="1" t="s">
        <v>8955</v>
      </c>
      <c r="Q735" s="1" t="s">
        <v>8956</v>
      </c>
      <c r="R735" s="1" t="s">
        <v>9103</v>
      </c>
      <c r="S735" s="1" t="s">
        <v>2677</v>
      </c>
      <c r="T735" s="1" t="s">
        <v>4</v>
      </c>
      <c r="U735" s="1" t="s">
        <v>93</v>
      </c>
    </row>
    <row r="736" spans="1:22" x14ac:dyDescent="0.2">
      <c r="A736" s="88" t="s">
        <v>16328</v>
      </c>
      <c r="B736" s="88" t="e">
        <f>VLOOKUP(C736,#REF!,1,0)</f>
        <v>#REF!</v>
      </c>
      <c r="C736" s="1" t="s">
        <v>2678</v>
      </c>
      <c r="D736" s="1" t="s">
        <v>2679</v>
      </c>
      <c r="E736" s="1" t="s">
        <v>9010</v>
      </c>
      <c r="F736" s="1" t="s">
        <v>9060</v>
      </c>
      <c r="G736" t="s">
        <v>8959</v>
      </c>
      <c r="H736" s="1" t="s">
        <v>8948</v>
      </c>
      <c r="I736" s="1" t="s">
        <v>8949</v>
      </c>
      <c r="J736" s="2" t="s">
        <v>9036</v>
      </c>
      <c r="K736" s="1" t="s">
        <v>9036</v>
      </c>
      <c r="L736" s="1" t="s">
        <v>9076</v>
      </c>
      <c r="M736" s="1">
        <v>152</v>
      </c>
      <c r="N736" s="1" t="s">
        <v>8953</v>
      </c>
      <c r="O736" s="1" t="s">
        <v>8954</v>
      </c>
      <c r="P736" s="1" t="s">
        <v>8955</v>
      </c>
      <c r="Q736" s="1" t="s">
        <v>8956</v>
      </c>
      <c r="R736" s="1" t="s">
        <v>8975</v>
      </c>
      <c r="S736" s="1" t="s">
        <v>2680</v>
      </c>
      <c r="T736" s="1" t="s">
        <v>11</v>
      </c>
      <c r="U736" s="1" t="s">
        <v>392</v>
      </c>
    </row>
    <row r="737" spans="1:21" x14ac:dyDescent="0.2">
      <c r="A737" s="88" t="s">
        <v>16329</v>
      </c>
      <c r="B737" s="88" t="e">
        <f>VLOOKUP(C737,#REF!,1,0)</f>
        <v>#REF!</v>
      </c>
      <c r="C737" s="1" t="s">
        <v>2681</v>
      </c>
      <c r="D737" s="1" t="s">
        <v>2682</v>
      </c>
      <c r="E737" s="1" t="s">
        <v>9213</v>
      </c>
      <c r="F737" s="1" t="s">
        <v>8957</v>
      </c>
      <c r="G737" t="s">
        <v>8959</v>
      </c>
      <c r="H737" s="1" t="s">
        <v>9092</v>
      </c>
      <c r="I737" s="1" t="s">
        <v>8949</v>
      </c>
      <c r="J737" s="2" t="s">
        <v>10492</v>
      </c>
      <c r="K737" s="1" t="s">
        <v>10492</v>
      </c>
      <c r="L737" s="1" t="s">
        <v>9076</v>
      </c>
      <c r="M737" s="1">
        <v>320</v>
      </c>
      <c r="N737" s="1" t="s">
        <v>8953</v>
      </c>
      <c r="O737" s="1" t="s">
        <v>8989</v>
      </c>
      <c r="P737" s="1" t="s">
        <v>8955</v>
      </c>
      <c r="Q737" s="1" t="s">
        <v>8956</v>
      </c>
      <c r="R737" s="1" t="s">
        <v>9103</v>
      </c>
      <c r="S737" s="1" t="s">
        <v>19052</v>
      </c>
      <c r="T737" s="1" t="s">
        <v>7</v>
      </c>
      <c r="U737" s="1" t="s">
        <v>61</v>
      </c>
    </row>
    <row r="738" spans="1:21" x14ac:dyDescent="0.2">
      <c r="A738" s="88" t="s">
        <v>16330</v>
      </c>
      <c r="B738" s="88" t="e">
        <f>VLOOKUP(C738,#REF!,1,0)</f>
        <v>#REF!</v>
      </c>
      <c r="C738" s="1" t="s">
        <v>2683</v>
      </c>
      <c r="D738" s="1" t="s">
        <v>2684</v>
      </c>
      <c r="E738" s="1" t="s">
        <v>9213</v>
      </c>
      <c r="F738" s="1" t="s">
        <v>8957</v>
      </c>
      <c r="G738" t="s">
        <v>8959</v>
      </c>
      <c r="H738" s="1" t="s">
        <v>9605</v>
      </c>
      <c r="I738" s="1" t="s">
        <v>8998</v>
      </c>
      <c r="J738" s="2" t="s">
        <v>8972</v>
      </c>
      <c r="K738" s="1" t="s">
        <v>8972</v>
      </c>
      <c r="L738" s="1" t="s">
        <v>9464</v>
      </c>
      <c r="M738" s="1">
        <v>10</v>
      </c>
      <c r="N738" s="1" t="s">
        <v>9059</v>
      </c>
      <c r="O738" s="1" t="s">
        <v>8989</v>
      </c>
      <c r="P738" s="1" t="s">
        <v>8955</v>
      </c>
      <c r="Q738" s="1" t="s">
        <v>8956</v>
      </c>
      <c r="R738" s="1" t="s">
        <v>9103</v>
      </c>
      <c r="S738" s="1" t="s">
        <v>2685</v>
      </c>
      <c r="T738" s="1" t="s">
        <v>11</v>
      </c>
      <c r="U738" s="1" t="s">
        <v>61</v>
      </c>
    </row>
    <row r="739" spans="1:21" x14ac:dyDescent="0.2">
      <c r="A739" s="88" t="s">
        <v>16331</v>
      </c>
      <c r="B739" s="88" t="e">
        <f>VLOOKUP(C739,#REF!,1,0)</f>
        <v>#REF!</v>
      </c>
      <c r="C739" s="1" t="s">
        <v>2686</v>
      </c>
      <c r="D739" s="1" t="s">
        <v>2687</v>
      </c>
      <c r="E739" s="1" t="s">
        <v>9213</v>
      </c>
      <c r="F739" s="1" t="s">
        <v>8957</v>
      </c>
      <c r="G739" t="s">
        <v>9061</v>
      </c>
      <c r="H739" s="1" t="s">
        <v>9605</v>
      </c>
      <c r="I739" s="1" t="s">
        <v>8998</v>
      </c>
      <c r="J739" s="2" t="s">
        <v>10492</v>
      </c>
      <c r="K739" s="1" t="s">
        <v>10492</v>
      </c>
      <c r="L739" s="1" t="s">
        <v>9076</v>
      </c>
      <c r="M739" s="1">
        <v>4460</v>
      </c>
      <c r="N739" s="1" t="s">
        <v>8953</v>
      </c>
      <c r="O739" s="1" t="s">
        <v>8989</v>
      </c>
      <c r="P739" s="1" t="s">
        <v>8955</v>
      </c>
      <c r="Q739" s="1" t="s">
        <v>8956</v>
      </c>
      <c r="R739" s="1" t="s">
        <v>9103</v>
      </c>
      <c r="S739" s="1" t="s">
        <v>19053</v>
      </c>
      <c r="T739" s="1" t="s">
        <v>17</v>
      </c>
      <c r="U739" s="1" t="s">
        <v>93</v>
      </c>
    </row>
    <row r="740" spans="1:21" x14ac:dyDescent="0.2">
      <c r="A740" s="88" t="s">
        <v>16332</v>
      </c>
      <c r="B740" s="88" t="e">
        <f>VLOOKUP(C740,#REF!,1,0)</f>
        <v>#REF!</v>
      </c>
      <c r="C740" s="1" t="s">
        <v>2688</v>
      </c>
      <c r="D740" s="1" t="s">
        <v>2689</v>
      </c>
      <c r="E740" s="1" t="s">
        <v>9213</v>
      </c>
      <c r="F740" s="1" t="s">
        <v>8957</v>
      </c>
      <c r="G740" t="s">
        <v>9009</v>
      </c>
      <c r="H740" s="1" t="s">
        <v>8948</v>
      </c>
      <c r="I740" s="1" t="s">
        <v>9155</v>
      </c>
      <c r="J740" s="2" t="s">
        <v>8972</v>
      </c>
      <c r="K740" s="1" t="s">
        <v>8972</v>
      </c>
      <c r="L740" s="1" t="s">
        <v>9076</v>
      </c>
      <c r="M740" s="1">
        <v>3602</v>
      </c>
      <c r="N740" s="1" t="s">
        <v>8953</v>
      </c>
      <c r="O740" s="1" t="s">
        <v>8989</v>
      </c>
      <c r="P740" s="1" t="s">
        <v>8955</v>
      </c>
      <c r="Q740" s="1" t="s">
        <v>8956</v>
      </c>
      <c r="R740" s="1" t="s">
        <v>8958</v>
      </c>
      <c r="T740" s="1" t="s">
        <v>11</v>
      </c>
      <c r="U740" s="1" t="s">
        <v>161</v>
      </c>
    </row>
    <row r="741" spans="1:21" x14ac:dyDescent="0.2">
      <c r="A741" s="88" t="s">
        <v>16333</v>
      </c>
      <c r="B741" s="88" t="e">
        <f>VLOOKUP(C741,#REF!,1,0)</f>
        <v>#REF!</v>
      </c>
      <c r="C741" s="1" t="s">
        <v>2690</v>
      </c>
      <c r="D741" s="1" t="s">
        <v>2691</v>
      </c>
      <c r="E741" s="1" t="s">
        <v>9310</v>
      </c>
      <c r="F741" s="1" t="s">
        <v>8957</v>
      </c>
      <c r="G741" t="s">
        <v>9061</v>
      </c>
      <c r="H741" s="1" t="s">
        <v>9100</v>
      </c>
      <c r="I741" s="1" t="s">
        <v>9121</v>
      </c>
      <c r="J741" s="2" t="s">
        <v>9036</v>
      </c>
      <c r="K741" s="1" t="s">
        <v>9036</v>
      </c>
      <c r="L741" s="1" t="s">
        <v>9133</v>
      </c>
      <c r="M741" s="1" t="s">
        <v>9479</v>
      </c>
      <c r="N741" s="1" t="s">
        <v>8953</v>
      </c>
      <c r="O741" s="1" t="s">
        <v>8954</v>
      </c>
      <c r="P741" s="1" t="s">
        <v>8955</v>
      </c>
      <c r="Q741" s="1" t="s">
        <v>8956</v>
      </c>
      <c r="R741" s="1" t="s">
        <v>8958</v>
      </c>
      <c r="S741" s="1" t="s">
        <v>2692</v>
      </c>
      <c r="T741" s="1" t="s">
        <v>11</v>
      </c>
      <c r="U741" s="1" t="s">
        <v>625</v>
      </c>
    </row>
    <row r="742" spans="1:21" x14ac:dyDescent="0.2">
      <c r="A742" s="88" t="s">
        <v>16334</v>
      </c>
      <c r="B742" s="88" t="e">
        <f>VLOOKUP(C742,#REF!,1,0)</f>
        <v>#REF!</v>
      </c>
      <c r="C742" s="1" t="s">
        <v>2693</v>
      </c>
      <c r="D742" s="1" t="s">
        <v>2694</v>
      </c>
      <c r="E742" s="1" t="s">
        <v>9310</v>
      </c>
      <c r="F742" s="1" t="s">
        <v>8957</v>
      </c>
      <c r="G742" t="s">
        <v>8959</v>
      </c>
      <c r="H742" s="1" t="s">
        <v>9035</v>
      </c>
      <c r="I742" s="1" t="s">
        <v>8998</v>
      </c>
      <c r="J742" s="2" t="s">
        <v>20779</v>
      </c>
      <c r="K742" s="1" t="s">
        <v>9036</v>
      </c>
      <c r="L742" s="1" t="s">
        <v>8987</v>
      </c>
      <c r="M742" s="1">
        <v>460</v>
      </c>
      <c r="N742" s="1" t="s">
        <v>9059</v>
      </c>
      <c r="O742" s="1" t="s">
        <v>8954</v>
      </c>
      <c r="P742" s="1" t="s">
        <v>8955</v>
      </c>
      <c r="Q742" s="1" t="s">
        <v>8956</v>
      </c>
      <c r="R742" s="1" t="s">
        <v>8975</v>
      </c>
      <c r="S742" s="1" t="s">
        <v>19054</v>
      </c>
      <c r="T742" s="1" t="s">
        <v>7</v>
      </c>
      <c r="U742" s="1" t="s">
        <v>61</v>
      </c>
    </row>
    <row r="743" spans="1:21" x14ac:dyDescent="0.2">
      <c r="A743" s="88" t="s">
        <v>16335</v>
      </c>
      <c r="B743" s="88" t="e">
        <f>VLOOKUP(C743,#REF!,1,0)</f>
        <v>#REF!</v>
      </c>
      <c r="C743" s="1" t="s">
        <v>2695</v>
      </c>
      <c r="D743" s="1" t="s">
        <v>2696</v>
      </c>
      <c r="E743" s="1" t="s">
        <v>9317</v>
      </c>
      <c r="F743" s="1" t="s">
        <v>8957</v>
      </c>
      <c r="G743" t="s">
        <v>9061</v>
      </c>
      <c r="H743" s="1" t="s">
        <v>9092</v>
      </c>
      <c r="I743" s="1" t="s">
        <v>8998</v>
      </c>
      <c r="J743" s="2" t="s">
        <v>9036</v>
      </c>
      <c r="K743" s="1" t="s">
        <v>9036</v>
      </c>
      <c r="L743" s="1" t="s">
        <v>9464</v>
      </c>
      <c r="M743" s="1">
        <v>30</v>
      </c>
      <c r="N743" s="1" t="s">
        <v>9059</v>
      </c>
      <c r="O743" s="1" t="s">
        <v>8989</v>
      </c>
      <c r="P743" s="1" t="s">
        <v>8955</v>
      </c>
      <c r="Q743" s="1" t="s">
        <v>8956</v>
      </c>
      <c r="R743" s="1" t="s">
        <v>8958</v>
      </c>
      <c r="S743" s="1" t="s">
        <v>2697</v>
      </c>
      <c r="T743" s="1" t="s">
        <v>11</v>
      </c>
      <c r="U743" s="1" t="s">
        <v>93</v>
      </c>
    </row>
    <row r="744" spans="1:21" x14ac:dyDescent="0.2">
      <c r="A744" s="88" t="s">
        <v>16336</v>
      </c>
      <c r="B744" s="88" t="e">
        <f>VLOOKUP(C744,#REF!,1,0)</f>
        <v>#REF!</v>
      </c>
      <c r="C744" s="1" t="s">
        <v>2698</v>
      </c>
      <c r="D744" s="1" t="s">
        <v>2699</v>
      </c>
      <c r="E744" s="1" t="s">
        <v>9317</v>
      </c>
      <c r="F744" s="1" t="s">
        <v>8959</v>
      </c>
      <c r="G744" t="s">
        <v>8959</v>
      </c>
      <c r="H744" s="1" t="s">
        <v>9605</v>
      </c>
      <c r="I744" s="1" t="s">
        <v>8959</v>
      </c>
      <c r="J744" s="2" t="s">
        <v>21556</v>
      </c>
      <c r="K744" s="1" t="s">
        <v>21556</v>
      </c>
      <c r="L744" s="1" t="s">
        <v>8951</v>
      </c>
      <c r="M744" s="1">
        <v>732</v>
      </c>
      <c r="N744" s="1" t="s">
        <v>8953</v>
      </c>
      <c r="O744" s="1" t="s">
        <v>8989</v>
      </c>
      <c r="P744" s="1" t="s">
        <v>8955</v>
      </c>
      <c r="Q744" s="1" t="s">
        <v>8956</v>
      </c>
      <c r="R744" s="1" t="s">
        <v>9103</v>
      </c>
      <c r="S744" s="1" t="s">
        <v>19055</v>
      </c>
      <c r="T744" s="1" t="s">
        <v>17</v>
      </c>
      <c r="U744" s="1" t="s">
        <v>64</v>
      </c>
    </row>
    <row r="745" spans="1:21" x14ac:dyDescent="0.2">
      <c r="A745" s="88" t="s">
        <v>16337</v>
      </c>
      <c r="B745" s="88" t="e">
        <f>VLOOKUP(C745,#REF!,1,0)</f>
        <v>#REF!</v>
      </c>
      <c r="C745" s="1" t="s">
        <v>2700</v>
      </c>
      <c r="D745" s="1" t="s">
        <v>2701</v>
      </c>
      <c r="E745" s="1" t="s">
        <v>9310</v>
      </c>
      <c r="F745" s="1" t="s">
        <v>8957</v>
      </c>
      <c r="G745" t="s">
        <v>8959</v>
      </c>
      <c r="H745" s="1" t="s">
        <v>9154</v>
      </c>
      <c r="I745" s="1" t="s">
        <v>9308</v>
      </c>
      <c r="J745" s="2" t="s">
        <v>10492</v>
      </c>
      <c r="K745" s="1" t="s">
        <v>10492</v>
      </c>
      <c r="L745" s="1" t="s">
        <v>21600</v>
      </c>
      <c r="M745" s="1">
        <v>323</v>
      </c>
      <c r="N745" s="1" t="s">
        <v>8953</v>
      </c>
      <c r="O745" s="1" t="s">
        <v>8989</v>
      </c>
      <c r="P745" s="1" t="s">
        <v>8955</v>
      </c>
      <c r="Q745" s="1" t="s">
        <v>8956</v>
      </c>
      <c r="R745" s="1" t="s">
        <v>8958</v>
      </c>
      <c r="S745" s="1" t="s">
        <v>19056</v>
      </c>
      <c r="T745" s="1" t="s">
        <v>7</v>
      </c>
      <c r="U745" s="1" t="s">
        <v>342</v>
      </c>
    </row>
    <row r="746" spans="1:21" x14ac:dyDescent="0.2">
      <c r="A746" s="88" t="s">
        <v>16338</v>
      </c>
      <c r="B746" s="88" t="e">
        <f>VLOOKUP(C746,#REF!,1,0)</f>
        <v>#REF!</v>
      </c>
      <c r="C746" s="1" t="s">
        <v>2702</v>
      </c>
      <c r="D746" s="1" t="s">
        <v>2703</v>
      </c>
      <c r="E746" s="1" t="s">
        <v>9380</v>
      </c>
      <c r="F746" s="1" t="s">
        <v>8957</v>
      </c>
      <c r="G746" t="s">
        <v>9009</v>
      </c>
      <c r="H746" s="1" t="s">
        <v>8948</v>
      </c>
      <c r="I746" s="1" t="s">
        <v>9155</v>
      </c>
      <c r="J746" s="2" t="s">
        <v>10258</v>
      </c>
      <c r="K746" s="1" t="s">
        <v>10258</v>
      </c>
      <c r="L746" s="1" t="s">
        <v>8951</v>
      </c>
      <c r="M746" s="1">
        <v>445</v>
      </c>
      <c r="N746" s="1" t="s">
        <v>9059</v>
      </c>
      <c r="O746" s="1" t="s">
        <v>8989</v>
      </c>
      <c r="P746" s="1" t="s">
        <v>8955</v>
      </c>
      <c r="Q746" s="1" t="s">
        <v>8956</v>
      </c>
      <c r="R746" s="1" t="s">
        <v>8958</v>
      </c>
      <c r="S746" s="1" t="s">
        <v>2704</v>
      </c>
      <c r="T746" s="1" t="s">
        <v>11</v>
      </c>
      <c r="U746" s="1" t="s">
        <v>57</v>
      </c>
    </row>
    <row r="747" spans="1:21" x14ac:dyDescent="0.2">
      <c r="A747" s="88" t="s">
        <v>16339</v>
      </c>
      <c r="B747" s="88"/>
      <c r="C747" s="1" t="s">
        <v>2705</v>
      </c>
      <c r="D747" s="1" t="s">
        <v>2706</v>
      </c>
      <c r="E747" s="1" t="e">
        <v>#N/A</v>
      </c>
      <c r="F747" s="1" t="e">
        <v>#N/A</v>
      </c>
      <c r="G747" t="e">
        <v>#N/A</v>
      </c>
      <c r="H747" s="1" t="e">
        <v>#N/A</v>
      </c>
      <c r="I747" s="1" t="e">
        <v>#N/A</v>
      </c>
      <c r="J747" s="2" t="e">
        <v>#N/A</v>
      </c>
      <c r="K747" s="1" t="e">
        <v>#N/A</v>
      </c>
      <c r="L747" s="1" t="e">
        <v>#N/A</v>
      </c>
      <c r="M747" s="1" t="e">
        <v>#N/A</v>
      </c>
      <c r="N747" s="1" t="e">
        <v>#N/A</v>
      </c>
      <c r="O747" s="1" t="e">
        <v>#N/A</v>
      </c>
      <c r="P747" s="1" t="s">
        <v>8955</v>
      </c>
      <c r="Q747" s="1" t="s">
        <v>8956</v>
      </c>
      <c r="R747" s="1" t="s">
        <v>9103</v>
      </c>
      <c r="S747" s="1" t="s">
        <v>19057</v>
      </c>
      <c r="T747" s="1" t="s">
        <v>252</v>
      </c>
      <c r="U747" s="1" t="s">
        <v>126</v>
      </c>
    </row>
    <row r="748" spans="1:21" x14ac:dyDescent="0.2">
      <c r="A748" s="88" t="s">
        <v>2707</v>
      </c>
      <c r="B748" s="88" t="e">
        <f>VLOOKUP(C748,#REF!,1,0)</f>
        <v>#REF!</v>
      </c>
      <c r="C748" s="1" t="s">
        <v>2708</v>
      </c>
      <c r="D748" s="1" t="s">
        <v>2709</v>
      </c>
      <c r="E748" s="1" t="s">
        <v>20834</v>
      </c>
      <c r="F748" s="1" t="s">
        <v>8957</v>
      </c>
      <c r="G748" t="s">
        <v>8959</v>
      </c>
      <c r="H748" s="1" t="s">
        <v>9173</v>
      </c>
      <c r="I748" s="1" t="s">
        <v>9174</v>
      </c>
      <c r="J748" s="2" t="s">
        <v>21249</v>
      </c>
      <c r="K748" s="1" t="s">
        <v>21680</v>
      </c>
      <c r="L748" s="1" t="s">
        <v>8987</v>
      </c>
      <c r="M748" s="1">
        <v>14300</v>
      </c>
      <c r="N748" s="1" t="s">
        <v>8953</v>
      </c>
      <c r="O748" s="1" t="s">
        <v>8989</v>
      </c>
      <c r="P748" s="1" t="s">
        <v>8955</v>
      </c>
      <c r="Q748" s="1" t="s">
        <v>8956</v>
      </c>
      <c r="R748" s="1" t="s">
        <v>9103</v>
      </c>
      <c r="S748" s="1" t="s">
        <v>2710</v>
      </c>
      <c r="T748" s="1" t="s">
        <v>11</v>
      </c>
      <c r="U748" s="1" t="s">
        <v>598</v>
      </c>
    </row>
    <row r="749" spans="1:21" x14ac:dyDescent="0.2">
      <c r="A749" s="88" t="s">
        <v>16340</v>
      </c>
      <c r="B749" s="88" t="e">
        <f>VLOOKUP(C749,#REF!,1,0)</f>
        <v>#REF!</v>
      </c>
      <c r="C749" s="1" t="s">
        <v>20816</v>
      </c>
      <c r="D749" s="1" t="s">
        <v>2711</v>
      </c>
      <c r="E749" s="1" t="s">
        <v>18502</v>
      </c>
      <c r="F749" s="1" t="s">
        <v>8957</v>
      </c>
      <c r="G749" t="s">
        <v>9061</v>
      </c>
      <c r="H749" s="1" t="s">
        <v>9035</v>
      </c>
      <c r="I749" s="1" t="s">
        <v>8998</v>
      </c>
      <c r="J749" s="2" t="s">
        <v>20723</v>
      </c>
      <c r="K749" s="1" t="s">
        <v>20723</v>
      </c>
      <c r="L749" s="1" t="s">
        <v>8951</v>
      </c>
      <c r="M749" s="1">
        <v>2724</v>
      </c>
      <c r="N749" s="1" t="s">
        <v>8953</v>
      </c>
      <c r="O749" s="1" t="s">
        <v>8954</v>
      </c>
      <c r="P749" s="1" t="s">
        <v>8955</v>
      </c>
      <c r="Q749" s="1" t="s">
        <v>8956</v>
      </c>
      <c r="R749" s="1" t="s">
        <v>8975</v>
      </c>
      <c r="S749" s="1" t="s">
        <v>20602</v>
      </c>
      <c r="T749" s="1" t="s">
        <v>7</v>
      </c>
      <c r="U749" s="1" t="s">
        <v>580</v>
      </c>
    </row>
    <row r="750" spans="1:21" x14ac:dyDescent="0.2">
      <c r="A750" s="88" t="s">
        <v>16341</v>
      </c>
      <c r="B750" s="88" t="e">
        <f>VLOOKUP(C750,#REF!,1,0)</f>
        <v>#REF!</v>
      </c>
      <c r="C750" s="1" t="s">
        <v>2712</v>
      </c>
      <c r="D750" s="1" t="s">
        <v>2713</v>
      </c>
      <c r="E750" s="1" t="s">
        <v>18502</v>
      </c>
      <c r="F750" s="1" t="s">
        <v>8957</v>
      </c>
      <c r="G750" t="s">
        <v>9061</v>
      </c>
      <c r="H750" s="1" t="s">
        <v>20712</v>
      </c>
      <c r="I750" s="1" t="s">
        <v>8998</v>
      </c>
      <c r="J750" s="2" t="s">
        <v>20785</v>
      </c>
      <c r="K750" s="1" t="s">
        <v>18491</v>
      </c>
      <c r="L750" s="1" t="s">
        <v>9464</v>
      </c>
      <c r="M750" s="1">
        <v>44</v>
      </c>
      <c r="N750" s="1" t="s">
        <v>9059</v>
      </c>
      <c r="O750" s="1" t="s">
        <v>8989</v>
      </c>
      <c r="P750" s="1" t="s">
        <v>8955</v>
      </c>
      <c r="Q750" s="1" t="s">
        <v>8956</v>
      </c>
      <c r="R750" s="1" t="s">
        <v>8975</v>
      </c>
      <c r="S750" s="1" t="s">
        <v>19058</v>
      </c>
      <c r="T750" s="1" t="s">
        <v>17</v>
      </c>
      <c r="U750" s="1" t="s">
        <v>93</v>
      </c>
    </row>
    <row r="751" spans="1:21" x14ac:dyDescent="0.2">
      <c r="A751" s="88" t="s">
        <v>16343</v>
      </c>
      <c r="B751" s="88" t="e">
        <f>VLOOKUP(C751,#REF!,1,0)</f>
        <v>#REF!</v>
      </c>
      <c r="C751" s="1" t="s">
        <v>2716</v>
      </c>
      <c r="D751" s="1" t="s">
        <v>2717</v>
      </c>
      <c r="E751" s="1" t="s">
        <v>9010</v>
      </c>
      <c r="F751" s="1" t="s">
        <v>8959</v>
      </c>
      <c r="G751" t="s">
        <v>8959</v>
      </c>
      <c r="H751" s="1" t="s">
        <v>8948</v>
      </c>
      <c r="I751" s="1" t="s">
        <v>8949</v>
      </c>
      <c r="J751" s="2" t="s">
        <v>14642</v>
      </c>
      <c r="K751" s="1" t="s">
        <v>14642</v>
      </c>
      <c r="L751" s="1" t="s">
        <v>9464</v>
      </c>
      <c r="M751" s="1">
        <v>40</v>
      </c>
      <c r="N751" s="1" t="s">
        <v>8953</v>
      </c>
      <c r="O751" s="1" t="s">
        <v>8954</v>
      </c>
      <c r="P751" s="1" t="s">
        <v>8955</v>
      </c>
      <c r="Q751" s="1" t="s">
        <v>8956</v>
      </c>
      <c r="R751" s="1" t="s">
        <v>9103</v>
      </c>
      <c r="S751" s="1" t="s">
        <v>2718</v>
      </c>
      <c r="T751" s="1" t="s">
        <v>920</v>
      </c>
      <c r="U751" s="1" t="s">
        <v>1076</v>
      </c>
    </row>
    <row r="752" spans="1:21" x14ac:dyDescent="0.2">
      <c r="A752" s="88" t="s">
        <v>16344</v>
      </c>
      <c r="B752" s="88" t="e">
        <f>VLOOKUP(C752,#REF!,1,0)</f>
        <v>#REF!</v>
      </c>
      <c r="C752" s="1" t="s">
        <v>2719</v>
      </c>
      <c r="D752" s="1" t="s">
        <v>2720</v>
      </c>
      <c r="E752" s="1" t="s">
        <v>9317</v>
      </c>
      <c r="F752" s="1" t="s">
        <v>9060</v>
      </c>
      <c r="G752" t="s">
        <v>9061</v>
      </c>
      <c r="H752" s="1" t="s">
        <v>9075</v>
      </c>
      <c r="I752" s="1" t="s">
        <v>8998</v>
      </c>
      <c r="J752" s="2" t="s">
        <v>10525</v>
      </c>
      <c r="K752" s="1" t="s">
        <v>21650</v>
      </c>
      <c r="L752" s="1" t="s">
        <v>9133</v>
      </c>
      <c r="M752" s="1">
        <v>549</v>
      </c>
      <c r="N752" s="1" t="s">
        <v>9059</v>
      </c>
      <c r="O752" s="1" t="s">
        <v>8989</v>
      </c>
      <c r="P752" s="1" t="s">
        <v>8955</v>
      </c>
      <c r="Q752" s="1" t="s">
        <v>8956</v>
      </c>
      <c r="R752" s="1" t="s">
        <v>8975</v>
      </c>
      <c r="S752" s="1" t="s">
        <v>19060</v>
      </c>
      <c r="T752" s="1" t="s">
        <v>7</v>
      </c>
      <c r="U752" s="1" t="s">
        <v>24</v>
      </c>
    </row>
    <row r="753" spans="1:21" x14ac:dyDescent="0.2">
      <c r="A753" s="88" t="s">
        <v>16345</v>
      </c>
      <c r="B753" s="88" t="e">
        <f>VLOOKUP(C753,#REF!,1,0)</f>
        <v>#REF!</v>
      </c>
      <c r="C753" s="1" t="s">
        <v>2721</v>
      </c>
      <c r="D753" s="1" t="s">
        <v>2722</v>
      </c>
      <c r="E753" s="1" t="s">
        <v>20835</v>
      </c>
      <c r="F753" s="1" t="s">
        <v>8957</v>
      </c>
      <c r="G753" t="s">
        <v>8959</v>
      </c>
      <c r="H753" s="1" t="s">
        <v>9100</v>
      </c>
      <c r="I753" s="1" t="s">
        <v>8949</v>
      </c>
      <c r="J753" s="2" t="s">
        <v>21557</v>
      </c>
      <c r="K753" s="1" t="s">
        <v>21557</v>
      </c>
      <c r="L753" s="1" t="s">
        <v>8987</v>
      </c>
      <c r="M753" s="1">
        <v>154</v>
      </c>
      <c r="N753" s="1" t="s">
        <v>8953</v>
      </c>
      <c r="O753" s="1" t="s">
        <v>8989</v>
      </c>
      <c r="P753" s="1" t="s">
        <v>8955</v>
      </c>
      <c r="Q753" s="1" t="s">
        <v>8956</v>
      </c>
      <c r="R753" s="1" t="s">
        <v>8958</v>
      </c>
      <c r="S753" s="1" t="s">
        <v>19061</v>
      </c>
      <c r="T753" s="1" t="s">
        <v>7</v>
      </c>
      <c r="U753" s="1" t="s">
        <v>2723</v>
      </c>
    </row>
    <row r="754" spans="1:21" x14ac:dyDescent="0.2">
      <c r="A754" s="88" t="s">
        <v>16346</v>
      </c>
      <c r="B754" s="88" t="e">
        <f>VLOOKUP(C754,#REF!,1,0)</f>
        <v>#REF!</v>
      </c>
      <c r="C754" s="1" t="s">
        <v>2724</v>
      </c>
      <c r="D754" s="1" t="s">
        <v>2725</v>
      </c>
      <c r="E754" s="1" t="s">
        <v>9010</v>
      </c>
      <c r="F754" s="1" t="s">
        <v>8959</v>
      </c>
      <c r="G754" t="s">
        <v>8959</v>
      </c>
      <c r="H754" s="1" t="s">
        <v>8948</v>
      </c>
      <c r="I754" s="1" t="s">
        <v>8949</v>
      </c>
      <c r="J754" s="2" t="s">
        <v>8972</v>
      </c>
      <c r="K754" s="1" t="s">
        <v>21666</v>
      </c>
      <c r="L754" s="1" t="s">
        <v>21600</v>
      </c>
      <c r="M754" s="1">
        <v>431</v>
      </c>
      <c r="N754" s="1" t="s">
        <v>8953</v>
      </c>
      <c r="O754" s="1" t="s">
        <v>8954</v>
      </c>
      <c r="P754" s="1" t="s">
        <v>8955</v>
      </c>
      <c r="Q754" s="1" t="s">
        <v>8956</v>
      </c>
      <c r="R754" s="1" t="s">
        <v>9103</v>
      </c>
      <c r="S754" s="1" t="s">
        <v>2726</v>
      </c>
      <c r="T754" s="1" t="s">
        <v>11</v>
      </c>
      <c r="U754" s="1" t="s">
        <v>2727</v>
      </c>
    </row>
    <row r="755" spans="1:21" x14ac:dyDescent="0.2">
      <c r="A755" s="88" t="s">
        <v>16347</v>
      </c>
      <c r="B755" s="88" t="e">
        <f>VLOOKUP(C755,#REF!,1,0)</f>
        <v>#REF!</v>
      </c>
      <c r="C755" s="1" t="s">
        <v>2728</v>
      </c>
      <c r="D755" s="1" t="s">
        <v>2729</v>
      </c>
      <c r="E755" s="1" t="s">
        <v>9333</v>
      </c>
      <c r="F755" s="1" t="s">
        <v>8957</v>
      </c>
      <c r="G755" t="s">
        <v>9009</v>
      </c>
      <c r="H755" s="1" t="s">
        <v>9154</v>
      </c>
      <c r="I755" s="1" t="s">
        <v>8998</v>
      </c>
      <c r="J755" s="2" t="s">
        <v>9355</v>
      </c>
      <c r="K755" s="1" t="s">
        <v>9355</v>
      </c>
      <c r="L755" s="1" t="s">
        <v>8987</v>
      </c>
      <c r="M755" s="1">
        <v>1598</v>
      </c>
      <c r="N755" s="1" t="s">
        <v>8953</v>
      </c>
      <c r="O755" s="1" t="s">
        <v>8989</v>
      </c>
      <c r="P755" s="1" t="s">
        <v>8955</v>
      </c>
      <c r="Q755" s="1" t="s">
        <v>8956</v>
      </c>
      <c r="R755" s="1" t="s">
        <v>8958</v>
      </c>
      <c r="S755" s="1" t="s">
        <v>2730</v>
      </c>
      <c r="T755" s="1" t="s">
        <v>11</v>
      </c>
      <c r="U755" s="1" t="s">
        <v>1945</v>
      </c>
    </row>
    <row r="756" spans="1:21" x14ac:dyDescent="0.2">
      <c r="A756" s="88" t="s">
        <v>16348</v>
      </c>
      <c r="B756" s="88" t="e">
        <f>VLOOKUP(C756,#REF!,1,0)</f>
        <v>#REF!</v>
      </c>
      <c r="C756" s="1" t="s">
        <v>2731</v>
      </c>
      <c r="D756" s="1" t="s">
        <v>2732</v>
      </c>
      <c r="E756" s="1" t="s">
        <v>9010</v>
      </c>
      <c r="F756" s="1" t="s">
        <v>9060</v>
      </c>
      <c r="G756" t="s">
        <v>9061</v>
      </c>
      <c r="H756" s="1" t="s">
        <v>9100</v>
      </c>
      <c r="I756" s="1" t="s">
        <v>8949</v>
      </c>
      <c r="J756" s="2" t="s">
        <v>9199</v>
      </c>
      <c r="K756" s="1" t="s">
        <v>9199</v>
      </c>
      <c r="L756" s="1" t="s">
        <v>21600</v>
      </c>
      <c r="M756" s="1">
        <v>15</v>
      </c>
      <c r="N756" s="1" t="s">
        <v>9059</v>
      </c>
      <c r="O756" s="1" t="s">
        <v>8954</v>
      </c>
      <c r="P756" s="1" t="s">
        <v>8955</v>
      </c>
      <c r="Q756" s="1" t="s">
        <v>8956</v>
      </c>
      <c r="R756" s="1" t="s">
        <v>8958</v>
      </c>
      <c r="S756" s="1" t="s">
        <v>2733</v>
      </c>
      <c r="T756" s="1" t="s">
        <v>17</v>
      </c>
      <c r="U756" s="1" t="s">
        <v>1929</v>
      </c>
    </row>
    <row r="757" spans="1:21" x14ac:dyDescent="0.2">
      <c r="A757" s="88" t="s">
        <v>16349</v>
      </c>
      <c r="B757" s="88" t="e">
        <f>VLOOKUP(C757,#REF!,1,0)</f>
        <v>#REF!</v>
      </c>
      <c r="C757" s="1" t="s">
        <v>2734</v>
      </c>
      <c r="D757" s="1" t="s">
        <v>2735</v>
      </c>
      <c r="E757" s="1" t="s">
        <v>9333</v>
      </c>
      <c r="F757" s="1" t="s">
        <v>8959</v>
      </c>
      <c r="G757" t="s">
        <v>8959</v>
      </c>
      <c r="H757" s="1" t="s">
        <v>9092</v>
      </c>
      <c r="I757" s="1" t="s">
        <v>8998</v>
      </c>
      <c r="J757" s="2" t="s">
        <v>8972</v>
      </c>
      <c r="K757" s="1" t="s">
        <v>8972</v>
      </c>
      <c r="L757" s="1" t="s">
        <v>21600</v>
      </c>
      <c r="M757" s="1">
        <v>100</v>
      </c>
      <c r="N757" s="1" t="s">
        <v>8953</v>
      </c>
      <c r="O757" s="1" t="s">
        <v>8989</v>
      </c>
      <c r="P757" s="1" t="s">
        <v>8955</v>
      </c>
      <c r="Q757" s="1" t="s">
        <v>8956</v>
      </c>
      <c r="R757" s="1" t="s">
        <v>8958</v>
      </c>
      <c r="S757" s="1" t="s">
        <v>2736</v>
      </c>
      <c r="T757" s="1" t="s">
        <v>17</v>
      </c>
      <c r="U757" s="1" t="s">
        <v>2183</v>
      </c>
    </row>
    <row r="758" spans="1:21" x14ac:dyDescent="0.2">
      <c r="A758" s="88" t="s">
        <v>16350</v>
      </c>
      <c r="B758" s="88" t="e">
        <f>VLOOKUP(C758,#REF!,1,0)</f>
        <v>#REF!</v>
      </c>
      <c r="C758" s="1" t="s">
        <v>2737</v>
      </c>
      <c r="D758" s="1" t="s">
        <v>2738</v>
      </c>
      <c r="E758" s="1" t="s">
        <v>18502</v>
      </c>
      <c r="F758" s="1" t="s">
        <v>8957</v>
      </c>
      <c r="G758" t="s">
        <v>9061</v>
      </c>
      <c r="H758" s="1" t="s">
        <v>9100</v>
      </c>
      <c r="I758" s="1" t="s">
        <v>8949</v>
      </c>
      <c r="J758" s="2" t="s">
        <v>20779</v>
      </c>
      <c r="K758" s="1" t="s">
        <v>9036</v>
      </c>
      <c r="L758" s="1" t="s">
        <v>9076</v>
      </c>
      <c r="M758" s="1">
        <v>375000</v>
      </c>
      <c r="N758" s="1" t="s">
        <v>8953</v>
      </c>
      <c r="O758" s="1" t="s">
        <v>8989</v>
      </c>
      <c r="P758" s="1" t="s">
        <v>8955</v>
      </c>
      <c r="Q758" s="1" t="s">
        <v>8956</v>
      </c>
      <c r="R758" s="1" t="s">
        <v>8975</v>
      </c>
      <c r="S758" s="1" t="s">
        <v>19062</v>
      </c>
      <c r="T758" s="1" t="s">
        <v>17</v>
      </c>
      <c r="U758" s="1" t="s">
        <v>161</v>
      </c>
    </row>
    <row r="759" spans="1:21" x14ac:dyDescent="0.2">
      <c r="A759" s="88" t="s">
        <v>16351</v>
      </c>
      <c r="B759" s="88" t="e">
        <f>VLOOKUP(C759,#REF!,1,0)</f>
        <v>#REF!</v>
      </c>
      <c r="C759" s="1" t="s">
        <v>2739</v>
      </c>
      <c r="D759" s="1" t="s">
        <v>2740</v>
      </c>
      <c r="E759" s="1" t="s">
        <v>9010</v>
      </c>
      <c r="F759" s="1" t="s">
        <v>8957</v>
      </c>
      <c r="G759" t="s">
        <v>9183</v>
      </c>
      <c r="H759" s="1" t="s">
        <v>9075</v>
      </c>
      <c r="I759" s="1" t="s">
        <v>8949</v>
      </c>
      <c r="J759" s="2" t="s">
        <v>9036</v>
      </c>
      <c r="K759" s="1" t="s">
        <v>9036</v>
      </c>
      <c r="L759" s="1" t="s">
        <v>9292</v>
      </c>
      <c r="M759" s="1">
        <v>679</v>
      </c>
      <c r="N759" s="1" t="s">
        <v>8953</v>
      </c>
      <c r="O759" s="1" t="s">
        <v>8989</v>
      </c>
      <c r="P759" s="1" t="s">
        <v>8955</v>
      </c>
      <c r="Q759" s="1" t="s">
        <v>8956</v>
      </c>
      <c r="R759" s="1" t="s">
        <v>8975</v>
      </c>
      <c r="S759" s="1" t="s">
        <v>2741</v>
      </c>
      <c r="T759" s="1" t="s">
        <v>17</v>
      </c>
      <c r="U759" s="1" t="s">
        <v>64</v>
      </c>
    </row>
    <row r="760" spans="1:21" x14ac:dyDescent="0.2">
      <c r="A760" s="88" t="s">
        <v>16352</v>
      </c>
      <c r="B760" s="88" t="e">
        <f>VLOOKUP(C760,#REF!,1,0)</f>
        <v>#REF!</v>
      </c>
      <c r="C760" s="1" t="s">
        <v>2742</v>
      </c>
      <c r="D760" s="1" t="s">
        <v>2743</v>
      </c>
      <c r="E760" s="1" t="s">
        <v>9852</v>
      </c>
      <c r="F760" s="1" t="s">
        <v>8959</v>
      </c>
      <c r="G760" t="s">
        <v>8959</v>
      </c>
      <c r="H760" s="1" t="s">
        <v>9092</v>
      </c>
      <c r="I760" s="1" t="s">
        <v>9121</v>
      </c>
      <c r="J760" s="2" t="s">
        <v>21306</v>
      </c>
      <c r="K760" s="1" t="s">
        <v>21774</v>
      </c>
      <c r="L760" s="1" t="s">
        <v>21600</v>
      </c>
      <c r="M760" s="1">
        <v>1015</v>
      </c>
      <c r="N760" s="1" t="s">
        <v>8953</v>
      </c>
      <c r="O760" s="1" t="s">
        <v>8954</v>
      </c>
      <c r="P760" s="1" t="s">
        <v>8955</v>
      </c>
      <c r="Q760" s="1" t="s">
        <v>8956</v>
      </c>
      <c r="R760" s="1" t="s">
        <v>8958</v>
      </c>
      <c r="S760" s="1" t="s">
        <v>2744</v>
      </c>
      <c r="T760" s="1" t="s">
        <v>17</v>
      </c>
      <c r="U760" s="1" t="s">
        <v>87</v>
      </c>
    </row>
    <row r="761" spans="1:21" x14ac:dyDescent="0.2">
      <c r="A761" s="88" t="s">
        <v>16353</v>
      </c>
      <c r="B761" s="88" t="e">
        <f>VLOOKUP(C761,#REF!,1,0)</f>
        <v>#REF!</v>
      </c>
      <c r="C761" s="1" t="s">
        <v>2745</v>
      </c>
      <c r="D761" s="1" t="s">
        <v>2746</v>
      </c>
      <c r="E761" s="1" t="s">
        <v>9310</v>
      </c>
      <c r="F761" s="1" t="s">
        <v>8957</v>
      </c>
      <c r="G761" t="s">
        <v>8959</v>
      </c>
      <c r="H761" s="1" t="s">
        <v>9049</v>
      </c>
      <c r="I761" s="1" t="s">
        <v>9050</v>
      </c>
      <c r="J761" s="2" t="s">
        <v>10178</v>
      </c>
      <c r="K761" s="1" t="s">
        <v>21524</v>
      </c>
      <c r="L761" s="1" t="s">
        <v>8987</v>
      </c>
      <c r="M761" s="1">
        <v>78891</v>
      </c>
      <c r="N761" s="1" t="s">
        <v>8953</v>
      </c>
      <c r="O761" s="1" t="s">
        <v>8954</v>
      </c>
      <c r="P761" s="1" t="s">
        <v>8955</v>
      </c>
      <c r="Q761" s="1" t="s">
        <v>8956</v>
      </c>
      <c r="R761" s="1" t="s">
        <v>8958</v>
      </c>
      <c r="S761" s="1" t="s">
        <v>2747</v>
      </c>
      <c r="T761" s="1" t="s">
        <v>17</v>
      </c>
      <c r="U761" s="1" t="s">
        <v>210</v>
      </c>
    </row>
    <row r="762" spans="1:21" x14ac:dyDescent="0.2">
      <c r="A762" s="88" t="s">
        <v>16354</v>
      </c>
      <c r="B762" s="88" t="e">
        <f>VLOOKUP(C762,#REF!,1,0)</f>
        <v>#REF!</v>
      </c>
      <c r="C762" s="1" t="s">
        <v>2748</v>
      </c>
      <c r="D762" s="1" t="s">
        <v>2749</v>
      </c>
      <c r="E762" s="1" t="s">
        <v>9852</v>
      </c>
      <c r="F762" s="1" t="s">
        <v>8959</v>
      </c>
      <c r="G762" t="s">
        <v>8959</v>
      </c>
      <c r="H762" s="1" t="s">
        <v>9605</v>
      </c>
      <c r="I762" s="1" t="s">
        <v>9155</v>
      </c>
      <c r="J762" s="2" t="s">
        <v>18497</v>
      </c>
      <c r="K762" s="1" t="s">
        <v>18497</v>
      </c>
      <c r="L762" s="1" t="s">
        <v>8987</v>
      </c>
      <c r="M762" s="1">
        <v>1001</v>
      </c>
      <c r="N762" s="1" t="s">
        <v>8953</v>
      </c>
      <c r="O762" s="1" t="s">
        <v>8989</v>
      </c>
      <c r="P762" s="1" t="s">
        <v>8955</v>
      </c>
      <c r="Q762" s="1" t="s">
        <v>8956</v>
      </c>
      <c r="R762" s="1" t="s">
        <v>9103</v>
      </c>
      <c r="S762" s="1" t="s">
        <v>19063</v>
      </c>
      <c r="T762" s="1" t="s">
        <v>7</v>
      </c>
      <c r="U762" s="1" t="s">
        <v>24</v>
      </c>
    </row>
    <row r="763" spans="1:21" x14ac:dyDescent="0.2">
      <c r="A763" s="88" t="s">
        <v>16356</v>
      </c>
      <c r="B763" s="88" t="e">
        <f>VLOOKUP(C763,#REF!,1,0)</f>
        <v>#REF!</v>
      </c>
      <c r="C763" s="1" t="s">
        <v>2754</v>
      </c>
      <c r="D763" s="1" t="s">
        <v>2755</v>
      </c>
      <c r="E763" s="1" t="s">
        <v>9333</v>
      </c>
      <c r="F763" s="1" t="s">
        <v>8959</v>
      </c>
      <c r="G763" t="s">
        <v>8959</v>
      </c>
      <c r="H763" s="1" t="s">
        <v>9154</v>
      </c>
      <c r="I763" s="1" t="s">
        <v>11607</v>
      </c>
      <c r="J763" s="2" t="s">
        <v>10525</v>
      </c>
      <c r="K763" s="1" t="s">
        <v>21650</v>
      </c>
      <c r="L763" s="1" t="s">
        <v>8987</v>
      </c>
      <c r="M763" s="1">
        <v>45478</v>
      </c>
      <c r="N763" s="1" t="s">
        <v>8953</v>
      </c>
      <c r="O763" s="1" t="s">
        <v>8989</v>
      </c>
      <c r="P763" s="1" t="s">
        <v>8955</v>
      </c>
      <c r="Q763" s="1" t="s">
        <v>8956</v>
      </c>
      <c r="R763" s="1" t="s">
        <v>8958</v>
      </c>
      <c r="S763" s="1" t="s">
        <v>19066</v>
      </c>
      <c r="T763" s="1" t="s">
        <v>7</v>
      </c>
      <c r="U763" s="1" t="s">
        <v>46</v>
      </c>
    </row>
    <row r="764" spans="1:21" x14ac:dyDescent="0.2">
      <c r="A764" s="88" t="s">
        <v>16357</v>
      </c>
      <c r="B764" s="88" t="e">
        <f>VLOOKUP(C764,#REF!,1,0)</f>
        <v>#REF!</v>
      </c>
      <c r="C764" s="1" t="s">
        <v>2759</v>
      </c>
      <c r="D764" s="1" t="s">
        <v>2760</v>
      </c>
      <c r="E764" s="1" t="s">
        <v>10032</v>
      </c>
      <c r="F764" s="1" t="s">
        <v>8957</v>
      </c>
      <c r="G764" t="s">
        <v>8959</v>
      </c>
      <c r="H764" s="1" t="s">
        <v>8948</v>
      </c>
      <c r="I764" s="1" t="s">
        <v>8998</v>
      </c>
      <c r="J764" s="2" t="s">
        <v>20779</v>
      </c>
      <c r="K764" s="1" t="s">
        <v>9036</v>
      </c>
      <c r="L764" s="1" t="s">
        <v>9464</v>
      </c>
      <c r="M764" s="1">
        <v>13</v>
      </c>
      <c r="N764" s="1" t="s">
        <v>9059</v>
      </c>
      <c r="O764" s="1" t="s">
        <v>8989</v>
      </c>
      <c r="P764" s="1" t="s">
        <v>8955</v>
      </c>
      <c r="Q764" s="1" t="s">
        <v>8956</v>
      </c>
      <c r="R764" s="1" t="s">
        <v>8958</v>
      </c>
      <c r="S764" s="1" t="s">
        <v>19068</v>
      </c>
      <c r="T764" s="1" t="s">
        <v>17</v>
      </c>
      <c r="U764" s="1" t="s">
        <v>61</v>
      </c>
    </row>
    <row r="765" spans="1:21" x14ac:dyDescent="0.2">
      <c r="A765" s="88" t="s">
        <v>16358</v>
      </c>
      <c r="B765" s="88" t="e">
        <f>VLOOKUP(C765,#REF!,1,0)</f>
        <v>#REF!</v>
      </c>
      <c r="C765" s="1" t="s">
        <v>2761</v>
      </c>
      <c r="D765" s="1" t="s">
        <v>2762</v>
      </c>
      <c r="E765" s="1" t="s">
        <v>10873</v>
      </c>
      <c r="F765" s="1" t="s">
        <v>8957</v>
      </c>
      <c r="G765" t="s">
        <v>8959</v>
      </c>
      <c r="H765" s="1" t="s">
        <v>9154</v>
      </c>
      <c r="I765" s="1" t="s">
        <v>8949</v>
      </c>
      <c r="J765" s="2" t="s">
        <v>8972</v>
      </c>
      <c r="K765" s="1" t="s">
        <v>21768</v>
      </c>
      <c r="L765" s="1" t="s">
        <v>9076</v>
      </c>
      <c r="M765" s="1">
        <v>2276</v>
      </c>
      <c r="N765" s="1" t="s">
        <v>8953</v>
      </c>
      <c r="O765" s="1" t="s">
        <v>8954</v>
      </c>
      <c r="P765" s="1" t="s">
        <v>8955</v>
      </c>
      <c r="Q765" s="1" t="s">
        <v>8956</v>
      </c>
      <c r="R765" s="1" t="s">
        <v>8958</v>
      </c>
      <c r="S765" s="1" t="s">
        <v>2763</v>
      </c>
      <c r="T765" s="1" t="s">
        <v>17</v>
      </c>
      <c r="U765" s="1" t="s">
        <v>161</v>
      </c>
    </row>
    <row r="766" spans="1:21" x14ac:dyDescent="0.2">
      <c r="A766" s="88" t="s">
        <v>16359</v>
      </c>
      <c r="B766" s="88" t="e">
        <f>VLOOKUP(C766,#REF!,1,0)</f>
        <v>#REF!</v>
      </c>
      <c r="C766" s="1" t="s">
        <v>2764</v>
      </c>
      <c r="D766" s="1" t="s">
        <v>2765</v>
      </c>
      <c r="E766" s="1" t="s">
        <v>10873</v>
      </c>
      <c r="F766" s="1" t="s">
        <v>9060</v>
      </c>
      <c r="G766" t="s">
        <v>9183</v>
      </c>
      <c r="H766" s="1" t="s">
        <v>9035</v>
      </c>
      <c r="I766" s="1" t="s">
        <v>9155</v>
      </c>
      <c r="J766" s="2" t="s">
        <v>8972</v>
      </c>
      <c r="K766" s="1" t="s">
        <v>8972</v>
      </c>
      <c r="L766" s="1" t="s">
        <v>9076</v>
      </c>
      <c r="M766" s="1">
        <v>50</v>
      </c>
      <c r="N766" s="1" t="s">
        <v>8953</v>
      </c>
      <c r="O766" s="1" t="s">
        <v>8989</v>
      </c>
      <c r="P766" s="1" t="s">
        <v>8955</v>
      </c>
      <c r="Q766" s="1" t="s">
        <v>8956</v>
      </c>
      <c r="R766" s="1" t="s">
        <v>8975</v>
      </c>
      <c r="S766" s="1" t="s">
        <v>2766</v>
      </c>
      <c r="T766" s="1" t="s">
        <v>11</v>
      </c>
      <c r="U766" s="1" t="s">
        <v>61</v>
      </c>
    </row>
    <row r="767" spans="1:21" x14ac:dyDescent="0.2">
      <c r="A767" s="88" t="s">
        <v>16360</v>
      </c>
      <c r="B767" s="88" t="e">
        <f>VLOOKUP(C767,#REF!,1,0)</f>
        <v>#REF!</v>
      </c>
      <c r="C767" s="1" t="s">
        <v>2767</v>
      </c>
      <c r="D767" s="1" t="s">
        <v>2768</v>
      </c>
      <c r="E767" s="1" t="s">
        <v>18502</v>
      </c>
      <c r="F767" s="1" t="s">
        <v>8959</v>
      </c>
      <c r="G767" t="s">
        <v>9061</v>
      </c>
      <c r="H767" s="1" t="s">
        <v>9100</v>
      </c>
      <c r="I767" s="1" t="s">
        <v>8949</v>
      </c>
      <c r="J767" s="2" t="s">
        <v>21629</v>
      </c>
      <c r="K767" s="1" t="s">
        <v>21629</v>
      </c>
      <c r="L767" s="1" t="s">
        <v>8987</v>
      </c>
      <c r="M767" s="1">
        <v>100</v>
      </c>
      <c r="N767" s="1" t="s">
        <v>9059</v>
      </c>
      <c r="O767" s="1" t="s">
        <v>8954</v>
      </c>
      <c r="P767" s="1" t="s">
        <v>8955</v>
      </c>
      <c r="Q767" s="1" t="s">
        <v>8956</v>
      </c>
      <c r="R767" s="1" t="s">
        <v>8975</v>
      </c>
      <c r="S767" s="1" t="s">
        <v>19069</v>
      </c>
      <c r="T767" s="1" t="s">
        <v>7</v>
      </c>
      <c r="U767" s="1" t="s">
        <v>93</v>
      </c>
    </row>
    <row r="768" spans="1:21" x14ac:dyDescent="0.2">
      <c r="A768" s="88" t="s">
        <v>16361</v>
      </c>
      <c r="B768" s="88" t="e">
        <f>VLOOKUP(C768,#REF!,1,0)</f>
        <v>#REF!</v>
      </c>
      <c r="C768" s="1" t="s">
        <v>2772</v>
      </c>
      <c r="D768" s="1" t="s">
        <v>2773</v>
      </c>
      <c r="E768" s="1" t="s">
        <v>9333</v>
      </c>
      <c r="F768" s="1" t="s">
        <v>8959</v>
      </c>
      <c r="G768" t="s">
        <v>9061</v>
      </c>
      <c r="H768" s="1" t="s">
        <v>9605</v>
      </c>
      <c r="I768" s="1" t="s">
        <v>8998</v>
      </c>
      <c r="J768" s="2" t="s">
        <v>9658</v>
      </c>
      <c r="K768" s="1" t="s">
        <v>9658</v>
      </c>
      <c r="L768" s="1" t="s">
        <v>8987</v>
      </c>
      <c r="M768" s="1">
        <v>90</v>
      </c>
      <c r="N768" s="1" t="s">
        <v>8953</v>
      </c>
      <c r="O768" s="1" t="s">
        <v>8989</v>
      </c>
      <c r="P768" s="1" t="s">
        <v>8955</v>
      </c>
      <c r="Q768" s="1" t="s">
        <v>8956</v>
      </c>
      <c r="R768" s="1" t="s">
        <v>8958</v>
      </c>
      <c r="S768" s="1" t="s">
        <v>2774</v>
      </c>
      <c r="T768" s="1" t="s">
        <v>7</v>
      </c>
      <c r="U768" s="1" t="s">
        <v>2775</v>
      </c>
    </row>
    <row r="769" spans="1:21" x14ac:dyDescent="0.2">
      <c r="A769" s="88" t="s">
        <v>16362</v>
      </c>
      <c r="B769" s="88" t="e">
        <f>VLOOKUP(C769,#REF!,1,0)</f>
        <v>#REF!</v>
      </c>
      <c r="C769" s="1" t="s">
        <v>2776</v>
      </c>
      <c r="D769" s="1" t="s">
        <v>2777</v>
      </c>
      <c r="E769" s="1" t="s">
        <v>9333</v>
      </c>
      <c r="F769" s="1" t="s">
        <v>8959</v>
      </c>
      <c r="G769" t="s">
        <v>9183</v>
      </c>
      <c r="H769" s="1" t="s">
        <v>20714</v>
      </c>
      <c r="I769" s="1" t="s">
        <v>20725</v>
      </c>
      <c r="J769" s="2" t="s">
        <v>21293</v>
      </c>
      <c r="K769" s="1" t="s">
        <v>21293</v>
      </c>
      <c r="L769" s="1" t="s">
        <v>8987</v>
      </c>
      <c r="M769" s="1">
        <v>992</v>
      </c>
      <c r="N769" s="1" t="s">
        <v>8953</v>
      </c>
      <c r="O769" s="1" t="s">
        <v>8989</v>
      </c>
      <c r="P769" s="1" t="s">
        <v>8955</v>
      </c>
      <c r="Q769" s="1" t="s">
        <v>8956</v>
      </c>
      <c r="R769" s="1" t="s">
        <v>8975</v>
      </c>
      <c r="S769" s="1" t="s">
        <v>19071</v>
      </c>
      <c r="T769" s="1" t="s">
        <v>7</v>
      </c>
      <c r="U769" s="1" t="s">
        <v>2778</v>
      </c>
    </row>
    <row r="770" spans="1:21" x14ac:dyDescent="0.2">
      <c r="A770" s="88" t="s">
        <v>16363</v>
      </c>
      <c r="B770" s="88" t="e">
        <f>VLOOKUP(C770,#REF!,1,0)</f>
        <v>#REF!</v>
      </c>
      <c r="C770" s="1" t="s">
        <v>2779</v>
      </c>
      <c r="D770" s="1" t="s">
        <v>2780</v>
      </c>
      <c r="E770" s="1" t="s">
        <v>9010</v>
      </c>
      <c r="F770" s="1" t="s">
        <v>8957</v>
      </c>
      <c r="G770" t="s">
        <v>9009</v>
      </c>
      <c r="H770" s="1" t="s">
        <v>8948</v>
      </c>
      <c r="I770" s="1" t="s">
        <v>8949</v>
      </c>
      <c r="J770" s="2" t="s">
        <v>13374</v>
      </c>
      <c r="K770" s="1" t="s">
        <v>13374</v>
      </c>
      <c r="L770" s="1" t="s">
        <v>8987</v>
      </c>
      <c r="M770" s="1">
        <v>435</v>
      </c>
      <c r="N770" s="1" t="s">
        <v>9059</v>
      </c>
      <c r="O770" s="1" t="s">
        <v>8954</v>
      </c>
      <c r="P770" s="1" t="s">
        <v>8955</v>
      </c>
      <c r="Q770" s="1" t="s">
        <v>8956</v>
      </c>
      <c r="R770" s="1" t="s">
        <v>8975</v>
      </c>
      <c r="S770" s="1" t="s">
        <v>2781</v>
      </c>
      <c r="T770" s="1" t="s">
        <v>4</v>
      </c>
      <c r="U770" s="1" t="s">
        <v>2782</v>
      </c>
    </row>
    <row r="771" spans="1:21" x14ac:dyDescent="0.2">
      <c r="A771" s="88" t="s">
        <v>16364</v>
      </c>
      <c r="B771" s="88" t="e">
        <f>VLOOKUP(C771,#REF!,1,0)</f>
        <v>#REF!</v>
      </c>
      <c r="C771" s="1" t="s">
        <v>2783</v>
      </c>
      <c r="D771" s="1" t="s">
        <v>2784</v>
      </c>
      <c r="E771" s="1" t="s">
        <v>9310</v>
      </c>
      <c r="F771" s="1" t="s">
        <v>8957</v>
      </c>
      <c r="G771" t="s">
        <v>8959</v>
      </c>
      <c r="H771" s="1" t="s">
        <v>9605</v>
      </c>
      <c r="I771" s="1" t="s">
        <v>9101</v>
      </c>
      <c r="J771" s="2" t="s">
        <v>20736</v>
      </c>
      <c r="K771" s="1" t="s">
        <v>20736</v>
      </c>
      <c r="L771" s="1" t="s">
        <v>9292</v>
      </c>
      <c r="M771" s="1">
        <v>600</v>
      </c>
      <c r="N771" s="1" t="s">
        <v>9059</v>
      </c>
      <c r="O771" s="1" t="s">
        <v>8989</v>
      </c>
      <c r="P771" s="1" t="s">
        <v>8955</v>
      </c>
      <c r="Q771" s="1" t="s">
        <v>8956</v>
      </c>
      <c r="R771" s="1" t="s">
        <v>8975</v>
      </c>
      <c r="S771" s="1" t="s">
        <v>19072</v>
      </c>
      <c r="T771" s="1" t="s">
        <v>7</v>
      </c>
      <c r="U771" s="1" t="s">
        <v>2785</v>
      </c>
    </row>
    <row r="772" spans="1:21" x14ac:dyDescent="0.2">
      <c r="A772" s="88" t="s">
        <v>16365</v>
      </c>
      <c r="B772" s="88" t="e">
        <f>VLOOKUP(C772,#REF!,1,0)</f>
        <v>#REF!</v>
      </c>
      <c r="C772" s="1" t="s">
        <v>2786</v>
      </c>
      <c r="D772" s="1" t="s">
        <v>2787</v>
      </c>
      <c r="E772" s="1" t="s">
        <v>9310</v>
      </c>
      <c r="F772" s="1" t="s">
        <v>20818</v>
      </c>
      <c r="G772" t="s">
        <v>8959</v>
      </c>
      <c r="H772" s="1" t="s">
        <v>9154</v>
      </c>
      <c r="I772" s="1" t="s">
        <v>20725</v>
      </c>
      <c r="J772" s="2" t="s">
        <v>18497</v>
      </c>
      <c r="K772" s="1" t="s">
        <v>21658</v>
      </c>
      <c r="L772" s="1" t="s">
        <v>8987</v>
      </c>
      <c r="M772" s="1">
        <v>4860</v>
      </c>
      <c r="N772" s="1" t="s">
        <v>8953</v>
      </c>
      <c r="O772" s="1" t="s">
        <v>8989</v>
      </c>
      <c r="P772" s="1" t="s">
        <v>8955</v>
      </c>
      <c r="Q772" s="1" t="s">
        <v>8956</v>
      </c>
      <c r="R772" s="1" t="s">
        <v>9103</v>
      </c>
      <c r="S772" s="1" t="s">
        <v>19073</v>
      </c>
      <c r="T772" s="1" t="s">
        <v>7</v>
      </c>
      <c r="U772" s="1" t="s">
        <v>2287</v>
      </c>
    </row>
    <row r="773" spans="1:21" x14ac:dyDescent="0.2">
      <c r="A773" s="88" t="s">
        <v>16366</v>
      </c>
      <c r="B773" s="88" t="e">
        <f>VLOOKUP(C773,#REF!,1,0)</f>
        <v>#REF!</v>
      </c>
      <c r="C773" s="1" t="s">
        <v>2788</v>
      </c>
      <c r="D773" s="1" t="s">
        <v>2789</v>
      </c>
      <c r="E773" s="1" t="s">
        <v>9310</v>
      </c>
      <c r="F773" s="1" t="s">
        <v>20818</v>
      </c>
      <c r="G773" t="s">
        <v>8959</v>
      </c>
      <c r="H773" s="1" t="s">
        <v>20712</v>
      </c>
      <c r="I773" s="1" t="s">
        <v>8998</v>
      </c>
      <c r="J773" s="2" t="s">
        <v>20836</v>
      </c>
      <c r="K773" s="1" t="s">
        <v>21459</v>
      </c>
      <c r="L773" s="1" t="s">
        <v>9076</v>
      </c>
      <c r="M773" s="1">
        <v>2304</v>
      </c>
      <c r="N773" s="1" t="s">
        <v>8953</v>
      </c>
      <c r="O773" s="1" t="s">
        <v>8989</v>
      </c>
      <c r="P773" s="1" t="s">
        <v>8955</v>
      </c>
      <c r="Q773" s="1" t="s">
        <v>8956</v>
      </c>
      <c r="R773" s="1" t="s">
        <v>8975</v>
      </c>
      <c r="S773" s="1" t="s">
        <v>19074</v>
      </c>
      <c r="T773" s="1" t="s">
        <v>17</v>
      </c>
      <c r="U773" s="1" t="s">
        <v>61</v>
      </c>
    </row>
    <row r="774" spans="1:21" x14ac:dyDescent="0.2">
      <c r="A774" s="88" t="s">
        <v>16367</v>
      </c>
      <c r="B774" s="88" t="e">
        <f>VLOOKUP(C774,#REF!,1,0)</f>
        <v>#REF!</v>
      </c>
      <c r="C774" s="1" t="s">
        <v>2790</v>
      </c>
      <c r="D774" s="1" t="s">
        <v>2791</v>
      </c>
      <c r="E774" s="1" t="s">
        <v>9310</v>
      </c>
      <c r="F774" s="1" t="s">
        <v>8957</v>
      </c>
      <c r="G774" t="s">
        <v>8959</v>
      </c>
      <c r="H774" s="1" t="s">
        <v>8984</v>
      </c>
      <c r="I774" s="1" t="s">
        <v>9131</v>
      </c>
      <c r="J774" s="2" t="s">
        <v>9036</v>
      </c>
      <c r="K774" s="1" t="s">
        <v>9036</v>
      </c>
      <c r="L774" s="1" t="s">
        <v>8951</v>
      </c>
      <c r="M774" s="1">
        <v>50000</v>
      </c>
      <c r="N774" s="1" t="s">
        <v>8953</v>
      </c>
      <c r="O774" s="1" t="s">
        <v>8989</v>
      </c>
      <c r="P774" s="1" t="s">
        <v>8955</v>
      </c>
      <c r="Q774" s="1" t="s">
        <v>8956</v>
      </c>
      <c r="R774" s="1" t="s">
        <v>8958</v>
      </c>
      <c r="S774" s="1" t="s">
        <v>2792</v>
      </c>
      <c r="T774" s="1" t="s">
        <v>11</v>
      </c>
      <c r="U774" s="1" t="s">
        <v>625</v>
      </c>
    </row>
    <row r="775" spans="1:21" x14ac:dyDescent="0.2">
      <c r="A775" s="88" t="s">
        <v>16368</v>
      </c>
      <c r="B775" s="88" t="e">
        <f>VLOOKUP(C775,#REF!,1,0)</f>
        <v>#REF!</v>
      </c>
      <c r="C775" s="1" t="s">
        <v>2793</v>
      </c>
      <c r="D775" s="1" t="s">
        <v>2794</v>
      </c>
      <c r="E775" s="1" t="s">
        <v>9010</v>
      </c>
      <c r="F775" s="1" t="s">
        <v>8957</v>
      </c>
      <c r="G775" t="s">
        <v>8959</v>
      </c>
      <c r="H775" s="1" t="s">
        <v>9075</v>
      </c>
      <c r="I775" s="1" t="s">
        <v>8998</v>
      </c>
      <c r="J775" s="2" t="s">
        <v>8972</v>
      </c>
      <c r="K775" s="1" t="s">
        <v>8972</v>
      </c>
      <c r="L775" s="1" t="s">
        <v>21600</v>
      </c>
      <c r="M775" s="1">
        <v>313</v>
      </c>
      <c r="N775" s="1" t="s">
        <v>8953</v>
      </c>
      <c r="O775" s="1" t="s">
        <v>8989</v>
      </c>
      <c r="P775" s="1" t="s">
        <v>8955</v>
      </c>
      <c r="Q775" s="1" t="s">
        <v>8956</v>
      </c>
      <c r="R775" s="1" t="s">
        <v>8958</v>
      </c>
      <c r="S775" s="1" t="s">
        <v>2795</v>
      </c>
      <c r="T775" s="1" t="s">
        <v>17</v>
      </c>
      <c r="U775" s="1" t="s">
        <v>61</v>
      </c>
    </row>
    <row r="776" spans="1:21" x14ac:dyDescent="0.2">
      <c r="A776" s="88" t="s">
        <v>16369</v>
      </c>
      <c r="B776" s="88" t="e">
        <f>VLOOKUP(C776,#REF!,1,0)</f>
        <v>#REF!</v>
      </c>
      <c r="C776" s="1" t="s">
        <v>2796</v>
      </c>
      <c r="D776" s="1" t="s">
        <v>2797</v>
      </c>
      <c r="E776" s="1" t="s">
        <v>9310</v>
      </c>
      <c r="F776" s="1" t="s">
        <v>8957</v>
      </c>
      <c r="G776" t="s">
        <v>9061</v>
      </c>
      <c r="H776" s="1" t="s">
        <v>8984</v>
      </c>
      <c r="I776" s="1" t="s">
        <v>8998</v>
      </c>
      <c r="J776" s="2" t="s">
        <v>18497</v>
      </c>
      <c r="K776" s="1" t="s">
        <v>18497</v>
      </c>
      <c r="L776" s="1" t="s">
        <v>8951</v>
      </c>
      <c r="M776" s="1">
        <v>157</v>
      </c>
      <c r="N776" s="1" t="s">
        <v>9059</v>
      </c>
      <c r="O776" s="1" t="s">
        <v>8989</v>
      </c>
      <c r="P776" s="1" t="s">
        <v>8955</v>
      </c>
      <c r="Q776" s="1" t="s">
        <v>8956</v>
      </c>
      <c r="R776" s="1" t="s">
        <v>8958</v>
      </c>
      <c r="S776" s="1" t="s">
        <v>19075</v>
      </c>
      <c r="T776" s="1" t="s">
        <v>7</v>
      </c>
      <c r="U776" s="1" t="s">
        <v>1017</v>
      </c>
    </row>
    <row r="777" spans="1:21" x14ac:dyDescent="0.2">
      <c r="A777" s="88" t="s">
        <v>16370</v>
      </c>
      <c r="B777" s="88" t="e">
        <f>VLOOKUP(C777,#REF!,1,0)</f>
        <v>#REF!</v>
      </c>
      <c r="C777" s="1" t="s">
        <v>2798</v>
      </c>
      <c r="D777" s="1" t="s">
        <v>2799</v>
      </c>
      <c r="E777" s="1" t="s">
        <v>10850</v>
      </c>
      <c r="F777" s="1" t="s">
        <v>8957</v>
      </c>
      <c r="G777" t="s">
        <v>9061</v>
      </c>
      <c r="H777" s="1" t="s">
        <v>9100</v>
      </c>
      <c r="I777" s="1" t="s">
        <v>8949</v>
      </c>
      <c r="J777" s="2" t="s">
        <v>21626</v>
      </c>
      <c r="K777" s="1" t="s">
        <v>21849</v>
      </c>
      <c r="L777" s="1" t="s">
        <v>9076</v>
      </c>
      <c r="M777" s="1">
        <v>11094</v>
      </c>
      <c r="N777" s="1" t="s">
        <v>8953</v>
      </c>
      <c r="O777" s="1" t="s">
        <v>8954</v>
      </c>
      <c r="P777" s="1" t="s">
        <v>8955</v>
      </c>
      <c r="Q777" s="1" t="s">
        <v>8956</v>
      </c>
      <c r="R777" s="1" t="s">
        <v>8975</v>
      </c>
      <c r="S777" s="1" t="s">
        <v>19076</v>
      </c>
      <c r="T777" s="1" t="s">
        <v>7</v>
      </c>
      <c r="U777" s="1" t="s">
        <v>392</v>
      </c>
    </row>
    <row r="778" spans="1:21" x14ac:dyDescent="0.2">
      <c r="A778" s="88" t="s">
        <v>16371</v>
      </c>
      <c r="B778" s="88" t="e">
        <f>VLOOKUP(C778,#REF!,1,0)</f>
        <v>#REF!</v>
      </c>
      <c r="C778" s="1" t="s">
        <v>2800</v>
      </c>
      <c r="D778" s="1" t="s">
        <v>2801</v>
      </c>
      <c r="E778" s="1" t="s">
        <v>18502</v>
      </c>
      <c r="F778" s="1" t="s">
        <v>8959</v>
      </c>
      <c r="G778" t="s">
        <v>8959</v>
      </c>
      <c r="H778" s="1" t="s">
        <v>9252</v>
      </c>
      <c r="I778" s="1" t="s">
        <v>18504</v>
      </c>
      <c r="J778" s="2" t="s">
        <v>20837</v>
      </c>
      <c r="K778" s="1" t="s">
        <v>21850</v>
      </c>
      <c r="L778" s="1" t="s">
        <v>9133</v>
      </c>
      <c r="M778" s="1">
        <v>1247</v>
      </c>
      <c r="N778" s="1" t="s">
        <v>9059</v>
      </c>
      <c r="O778" s="1" t="s">
        <v>8989</v>
      </c>
      <c r="P778" s="1" t="s">
        <v>8955</v>
      </c>
      <c r="Q778" s="1" t="s">
        <v>8956</v>
      </c>
      <c r="R778" s="1" t="s">
        <v>8975</v>
      </c>
      <c r="S778" s="1" t="s">
        <v>19077</v>
      </c>
      <c r="T778" s="1" t="s">
        <v>17</v>
      </c>
      <c r="U778" s="1" t="s">
        <v>1122</v>
      </c>
    </row>
    <row r="779" spans="1:21" x14ac:dyDescent="0.2">
      <c r="A779" s="88" t="s">
        <v>16372</v>
      </c>
      <c r="B779" s="88" t="e">
        <f>VLOOKUP(C779,#REF!,1,0)</f>
        <v>#REF!</v>
      </c>
      <c r="C779" s="1" t="s">
        <v>2802</v>
      </c>
      <c r="D779" s="1" t="s">
        <v>2803</v>
      </c>
      <c r="E779" s="1" t="s">
        <v>18502</v>
      </c>
      <c r="F779" s="1" t="s">
        <v>8959</v>
      </c>
      <c r="G779" t="s">
        <v>9061</v>
      </c>
      <c r="H779" s="1" t="s">
        <v>9154</v>
      </c>
      <c r="I779" s="1" t="s">
        <v>8998</v>
      </c>
      <c r="J779" s="2" t="s">
        <v>21439</v>
      </c>
      <c r="K779" s="1" t="s">
        <v>21439</v>
      </c>
      <c r="L779" s="1" t="s">
        <v>21600</v>
      </c>
      <c r="M779" s="1">
        <v>200</v>
      </c>
      <c r="N779" s="1" t="s">
        <v>9059</v>
      </c>
      <c r="O779" s="1" t="s">
        <v>8989</v>
      </c>
      <c r="P779" s="1" t="s">
        <v>8955</v>
      </c>
      <c r="Q779" s="1" t="s">
        <v>8956</v>
      </c>
      <c r="R779" s="1" t="s">
        <v>8975</v>
      </c>
      <c r="S779" s="1" t="s">
        <v>19078</v>
      </c>
      <c r="T779" s="1" t="s">
        <v>7</v>
      </c>
      <c r="U779" s="1" t="s">
        <v>378</v>
      </c>
    </row>
    <row r="780" spans="1:21" x14ac:dyDescent="0.2">
      <c r="A780" s="88" t="s">
        <v>16373</v>
      </c>
      <c r="B780" s="88" t="e">
        <f>VLOOKUP(C780,#REF!,1,0)</f>
        <v>#REF!</v>
      </c>
      <c r="C780" s="1" t="s">
        <v>2804</v>
      </c>
      <c r="D780" s="1" t="s">
        <v>2805</v>
      </c>
      <c r="E780" s="1" t="s">
        <v>9310</v>
      </c>
      <c r="F780" s="1" t="s">
        <v>8957</v>
      </c>
      <c r="G780" t="s">
        <v>9061</v>
      </c>
      <c r="H780" s="1" t="s">
        <v>9154</v>
      </c>
      <c r="I780" s="1" t="s">
        <v>8949</v>
      </c>
      <c r="J780" s="2" t="s">
        <v>10492</v>
      </c>
      <c r="K780" s="1" t="s">
        <v>10492</v>
      </c>
      <c r="L780" s="1" t="s">
        <v>21600</v>
      </c>
      <c r="M780" s="1">
        <v>1720</v>
      </c>
      <c r="N780" s="1" t="s">
        <v>8953</v>
      </c>
      <c r="O780" s="1" t="s">
        <v>8989</v>
      </c>
      <c r="P780" s="1" t="s">
        <v>8955</v>
      </c>
      <c r="Q780" s="1" t="s">
        <v>8956</v>
      </c>
      <c r="R780" s="1" t="s">
        <v>8975</v>
      </c>
      <c r="S780" s="1" t="s">
        <v>19079</v>
      </c>
      <c r="T780" s="1" t="s">
        <v>7</v>
      </c>
      <c r="U780" s="1" t="s">
        <v>234</v>
      </c>
    </row>
    <row r="781" spans="1:21" x14ac:dyDescent="0.2">
      <c r="A781" s="88" t="s">
        <v>16374</v>
      </c>
      <c r="B781" s="88" t="e">
        <f>VLOOKUP(C781,#REF!,1,0)</f>
        <v>#REF!</v>
      </c>
      <c r="C781" s="1" t="s">
        <v>2806</v>
      </c>
      <c r="D781" s="1" t="s">
        <v>2807</v>
      </c>
      <c r="E781" s="1" t="s">
        <v>9310</v>
      </c>
      <c r="F781" s="1" t="s">
        <v>8974</v>
      </c>
      <c r="G781" t="s">
        <v>8959</v>
      </c>
      <c r="H781" s="1" t="s">
        <v>9154</v>
      </c>
      <c r="I781" s="1" t="s">
        <v>11607</v>
      </c>
      <c r="J781" s="2" t="s">
        <v>12604</v>
      </c>
      <c r="K781" s="1" t="s">
        <v>12604</v>
      </c>
      <c r="L781" s="1" t="s">
        <v>8951</v>
      </c>
      <c r="M781" s="1">
        <v>109449</v>
      </c>
      <c r="N781" s="1" t="s">
        <v>8953</v>
      </c>
      <c r="O781" s="1" t="s">
        <v>8989</v>
      </c>
      <c r="P781" s="1" t="s">
        <v>8955</v>
      </c>
      <c r="Q781" s="1" t="s">
        <v>8956</v>
      </c>
      <c r="R781" s="1" t="s">
        <v>8958</v>
      </c>
      <c r="S781" s="1" t="s">
        <v>2808</v>
      </c>
      <c r="T781" s="1" t="s">
        <v>11</v>
      </c>
      <c r="U781" s="1" t="s">
        <v>210</v>
      </c>
    </row>
    <row r="782" spans="1:21" x14ac:dyDescent="0.2">
      <c r="A782" s="88" t="s">
        <v>16375</v>
      </c>
      <c r="B782" s="88" t="e">
        <f>VLOOKUP(C782,#REF!,1,0)</f>
        <v>#REF!</v>
      </c>
      <c r="C782" s="1" t="s">
        <v>2813</v>
      </c>
      <c r="D782" s="1" t="s">
        <v>2814</v>
      </c>
      <c r="E782" s="1" t="s">
        <v>18502</v>
      </c>
      <c r="F782" s="1" t="s">
        <v>8957</v>
      </c>
      <c r="G782" t="s">
        <v>9009</v>
      </c>
      <c r="H782" s="1" t="s">
        <v>9252</v>
      </c>
      <c r="I782" s="1" t="s">
        <v>18504</v>
      </c>
      <c r="J782" s="2" t="s">
        <v>20838</v>
      </c>
      <c r="K782" s="1" t="s">
        <v>20755</v>
      </c>
      <c r="L782" s="1" t="s">
        <v>8951</v>
      </c>
      <c r="M782" s="1">
        <v>948</v>
      </c>
      <c r="N782" s="1" t="s">
        <v>8953</v>
      </c>
      <c r="O782" s="1" t="s">
        <v>8954</v>
      </c>
      <c r="P782" s="1" t="s">
        <v>8955</v>
      </c>
      <c r="Q782" s="1" t="s">
        <v>8956</v>
      </c>
      <c r="R782" s="1" t="s">
        <v>9103</v>
      </c>
      <c r="S782" s="1" t="s">
        <v>2815</v>
      </c>
      <c r="T782" s="1" t="s">
        <v>7</v>
      </c>
      <c r="U782" s="1" t="s">
        <v>286</v>
      </c>
    </row>
    <row r="783" spans="1:21" x14ac:dyDescent="0.2">
      <c r="A783" s="88" t="s">
        <v>16376</v>
      </c>
      <c r="B783" s="88" t="e">
        <f>VLOOKUP(C783,#REF!,1,0)</f>
        <v>#REF!</v>
      </c>
      <c r="C783" s="1" t="s">
        <v>2816</v>
      </c>
      <c r="D783" s="1" t="s">
        <v>2817</v>
      </c>
      <c r="E783" s="1" t="s">
        <v>9010</v>
      </c>
      <c r="F783" s="1" t="s">
        <v>8974</v>
      </c>
      <c r="G783" t="s">
        <v>8959</v>
      </c>
      <c r="H783" s="1" t="s">
        <v>9421</v>
      </c>
      <c r="I783" s="1" t="s">
        <v>9422</v>
      </c>
      <c r="J783" s="2" t="s">
        <v>9036</v>
      </c>
      <c r="K783" s="1" t="s">
        <v>9036</v>
      </c>
      <c r="L783" s="1" t="s">
        <v>9076</v>
      </c>
      <c r="M783" s="1">
        <f>127000+22500</f>
        <v>149500</v>
      </c>
      <c r="N783" t="s">
        <v>20915</v>
      </c>
      <c r="O783" s="1" t="s">
        <v>8989</v>
      </c>
      <c r="P783" s="1" t="s">
        <v>8955</v>
      </c>
      <c r="Q783" s="1" t="s">
        <v>8956</v>
      </c>
      <c r="R783" s="1" t="s">
        <v>8975</v>
      </c>
      <c r="S783" s="1" t="s">
        <v>2818</v>
      </c>
      <c r="T783" s="1" t="s">
        <v>17</v>
      </c>
      <c r="U783" s="1" t="s">
        <v>2819</v>
      </c>
    </row>
    <row r="784" spans="1:21" x14ac:dyDescent="0.2">
      <c r="A784" s="88" t="s">
        <v>16377</v>
      </c>
      <c r="B784" s="88" t="e">
        <f>VLOOKUP(C784,#REF!,1,0)</f>
        <v>#REF!</v>
      </c>
      <c r="C784" s="1" t="s">
        <v>2820</v>
      </c>
      <c r="D784" s="1" t="s">
        <v>2821</v>
      </c>
      <c r="E784" s="1" t="s">
        <v>18502</v>
      </c>
      <c r="F784" s="1" t="s">
        <v>8957</v>
      </c>
      <c r="G784" t="s">
        <v>8959</v>
      </c>
      <c r="H784" s="1" t="s">
        <v>9035</v>
      </c>
      <c r="I784" s="1" t="s">
        <v>9308</v>
      </c>
      <c r="J784" s="2" t="s">
        <v>10525</v>
      </c>
      <c r="K784" s="1" t="s">
        <v>21650</v>
      </c>
      <c r="L784" s="1" t="s">
        <v>8951</v>
      </c>
      <c r="M784" s="1">
        <v>8474</v>
      </c>
      <c r="N784" s="1" t="s">
        <v>8953</v>
      </c>
      <c r="O784" s="1" t="s">
        <v>8954</v>
      </c>
      <c r="P784" s="1" t="s">
        <v>8955</v>
      </c>
      <c r="Q784" s="1" t="s">
        <v>8956</v>
      </c>
      <c r="R784" s="1" t="s">
        <v>8958</v>
      </c>
      <c r="S784" s="1" t="s">
        <v>20603</v>
      </c>
      <c r="T784" s="1" t="s">
        <v>7</v>
      </c>
      <c r="U784" s="1" t="s">
        <v>200</v>
      </c>
    </row>
    <row r="785" spans="1:21" x14ac:dyDescent="0.2">
      <c r="A785" s="88" t="s">
        <v>16378</v>
      </c>
      <c r="B785" s="88" t="e">
        <f>VLOOKUP(C785,#REF!,1,0)</f>
        <v>#REF!</v>
      </c>
      <c r="C785" s="1" t="s">
        <v>2822</v>
      </c>
      <c r="D785" s="1" t="s">
        <v>2823</v>
      </c>
      <c r="E785" s="1" t="s">
        <v>9317</v>
      </c>
      <c r="F785" s="1" t="s">
        <v>8957</v>
      </c>
      <c r="G785" t="s">
        <v>9183</v>
      </c>
      <c r="H785" s="1" t="s">
        <v>9035</v>
      </c>
      <c r="I785" s="1" t="s">
        <v>8998</v>
      </c>
      <c r="J785" s="2" t="s">
        <v>9036</v>
      </c>
      <c r="K785" s="1" t="s">
        <v>9036</v>
      </c>
      <c r="L785" s="1" t="s">
        <v>8951</v>
      </c>
      <c r="M785" s="1">
        <v>3500</v>
      </c>
      <c r="N785" s="1" t="s">
        <v>8953</v>
      </c>
      <c r="O785" s="1" t="s">
        <v>8954</v>
      </c>
      <c r="P785" s="1" t="s">
        <v>8955</v>
      </c>
      <c r="Q785" s="1" t="s">
        <v>8956</v>
      </c>
      <c r="R785" s="1" t="s">
        <v>8958</v>
      </c>
      <c r="S785" s="1" t="s">
        <v>2824</v>
      </c>
      <c r="T785" s="1" t="s">
        <v>11</v>
      </c>
      <c r="U785" s="1" t="s">
        <v>110</v>
      </c>
    </row>
    <row r="786" spans="1:21" x14ac:dyDescent="0.2">
      <c r="A786" s="88" t="s">
        <v>16379</v>
      </c>
      <c r="B786" s="88" t="e">
        <f>VLOOKUP(C786,#REF!,1,0)</f>
        <v>#REF!</v>
      </c>
      <c r="C786" s="1" t="s">
        <v>2825</v>
      </c>
      <c r="D786" s="1" t="s">
        <v>2826</v>
      </c>
      <c r="E786" s="1" t="s">
        <v>9317</v>
      </c>
      <c r="F786" s="1" t="s">
        <v>8974</v>
      </c>
      <c r="G786" t="s">
        <v>8959</v>
      </c>
      <c r="H786" s="1" t="s">
        <v>8984</v>
      </c>
      <c r="I786" s="1" t="s">
        <v>8985</v>
      </c>
      <c r="J786" s="2" t="s">
        <v>18489</v>
      </c>
      <c r="K786" s="1" t="s">
        <v>21673</v>
      </c>
      <c r="L786" s="1" t="s">
        <v>8987</v>
      </c>
      <c r="M786" s="1">
        <v>36456</v>
      </c>
      <c r="N786" s="1" t="s">
        <v>8953</v>
      </c>
      <c r="O786" s="1" t="s">
        <v>8989</v>
      </c>
      <c r="P786" s="1" t="s">
        <v>8955</v>
      </c>
      <c r="Q786" s="1" t="s">
        <v>8956</v>
      </c>
      <c r="R786" s="1" t="s">
        <v>9103</v>
      </c>
      <c r="S786" s="1" t="s">
        <v>19081</v>
      </c>
      <c r="T786" s="1" t="s">
        <v>17</v>
      </c>
      <c r="U786" s="1" t="s">
        <v>24</v>
      </c>
    </row>
    <row r="787" spans="1:21" x14ac:dyDescent="0.2">
      <c r="A787" s="88" t="s">
        <v>16380</v>
      </c>
      <c r="B787" s="88" t="e">
        <f>VLOOKUP(C787,#REF!,1,0)</f>
        <v>#REF!</v>
      </c>
      <c r="C787" s="1" t="s">
        <v>2827</v>
      </c>
      <c r="D787" s="1" t="s">
        <v>2828</v>
      </c>
      <c r="E787" s="1" t="s">
        <v>9317</v>
      </c>
      <c r="F787" s="1" t="s">
        <v>8957</v>
      </c>
      <c r="G787" t="s">
        <v>8959</v>
      </c>
      <c r="H787" s="1" t="s">
        <v>9100</v>
      </c>
      <c r="I787" s="1" t="s">
        <v>8998</v>
      </c>
      <c r="J787" s="2" t="s">
        <v>12347</v>
      </c>
      <c r="K787" s="1" t="s">
        <v>21775</v>
      </c>
      <c r="L787" s="1" t="s">
        <v>21600</v>
      </c>
      <c r="M787" s="1">
        <v>80</v>
      </c>
      <c r="N787" s="1" t="s">
        <v>8953</v>
      </c>
      <c r="O787" s="1" t="s">
        <v>8989</v>
      </c>
      <c r="P787" s="1" t="s">
        <v>8955</v>
      </c>
      <c r="Q787" s="1" t="s">
        <v>8956</v>
      </c>
      <c r="R787" s="1" t="s">
        <v>9103</v>
      </c>
      <c r="S787" s="1" t="s">
        <v>2829</v>
      </c>
      <c r="T787" s="1" t="s">
        <v>11</v>
      </c>
      <c r="U787" s="1" t="s">
        <v>64</v>
      </c>
    </row>
    <row r="788" spans="1:21" x14ac:dyDescent="0.2">
      <c r="A788" s="88" t="s">
        <v>16381</v>
      </c>
      <c r="B788" s="88" t="e">
        <f>VLOOKUP(C788,#REF!,1,0)</f>
        <v>#REF!</v>
      </c>
      <c r="C788" s="1" t="s">
        <v>2830</v>
      </c>
      <c r="D788" s="1" t="s">
        <v>2831</v>
      </c>
      <c r="E788" s="1" t="s">
        <v>9317</v>
      </c>
      <c r="F788" s="1" t="s">
        <v>8974</v>
      </c>
      <c r="G788" t="s">
        <v>8959</v>
      </c>
      <c r="H788" s="1" t="s">
        <v>9605</v>
      </c>
      <c r="I788" s="1" t="s">
        <v>8998</v>
      </c>
      <c r="J788" s="2" t="s">
        <v>8972</v>
      </c>
      <c r="K788" s="1" t="s">
        <v>21768</v>
      </c>
      <c r="L788" s="1" t="s">
        <v>21600</v>
      </c>
      <c r="M788" s="1">
        <v>53</v>
      </c>
      <c r="N788" s="1" t="s">
        <v>8953</v>
      </c>
      <c r="O788" s="1" t="s">
        <v>8954</v>
      </c>
      <c r="P788" s="1" t="s">
        <v>8955</v>
      </c>
      <c r="Q788" s="1" t="s">
        <v>8956</v>
      </c>
      <c r="R788" s="1" t="s">
        <v>9103</v>
      </c>
      <c r="S788" s="1" t="s">
        <v>2832</v>
      </c>
      <c r="T788" s="1" t="s">
        <v>17</v>
      </c>
      <c r="U788" s="1" t="s">
        <v>126</v>
      </c>
    </row>
    <row r="789" spans="1:21" x14ac:dyDescent="0.2">
      <c r="A789" s="88" t="s">
        <v>16382</v>
      </c>
      <c r="B789" s="88" t="e">
        <f>VLOOKUP(C789,#REF!,1,0)</f>
        <v>#REF!</v>
      </c>
      <c r="C789" s="1" t="s">
        <v>2833</v>
      </c>
      <c r="D789" s="1" t="s">
        <v>2834</v>
      </c>
      <c r="E789" s="1" t="s">
        <v>12547</v>
      </c>
      <c r="F789" s="1" t="s">
        <v>8957</v>
      </c>
      <c r="G789" t="s">
        <v>8959</v>
      </c>
      <c r="H789" s="1" t="s">
        <v>8948</v>
      </c>
      <c r="I789" s="1" t="s">
        <v>8949</v>
      </c>
      <c r="J789" s="2" t="s">
        <v>12818</v>
      </c>
      <c r="K789" s="1" t="s">
        <v>12818</v>
      </c>
      <c r="L789" s="1" t="s">
        <v>9292</v>
      </c>
      <c r="M789" s="1">
        <v>68</v>
      </c>
      <c r="N789" s="1" t="s">
        <v>8953</v>
      </c>
      <c r="O789" s="1" t="s">
        <v>8989</v>
      </c>
      <c r="P789" s="1" t="s">
        <v>8955</v>
      </c>
      <c r="Q789" s="1" t="s">
        <v>8956</v>
      </c>
      <c r="R789" s="1" t="s">
        <v>8958</v>
      </c>
      <c r="S789" s="1" t="s">
        <v>2835</v>
      </c>
      <c r="T789" s="1" t="s">
        <v>11</v>
      </c>
      <c r="U789" s="1" t="s">
        <v>57</v>
      </c>
    </row>
    <row r="790" spans="1:21" x14ac:dyDescent="0.2">
      <c r="A790" s="88" t="s">
        <v>16383</v>
      </c>
      <c r="B790" s="88" t="e">
        <f>VLOOKUP(C790,#REF!,1,0)</f>
        <v>#REF!</v>
      </c>
      <c r="C790" s="1" t="s">
        <v>2836</v>
      </c>
      <c r="D790" s="1" t="s">
        <v>2837</v>
      </c>
      <c r="E790" s="1" t="s">
        <v>9317</v>
      </c>
      <c r="F790" s="1" t="s">
        <v>8959</v>
      </c>
      <c r="G790" t="s">
        <v>8959</v>
      </c>
      <c r="H790" s="1" t="s">
        <v>9173</v>
      </c>
      <c r="I790" s="1" t="s">
        <v>20800</v>
      </c>
      <c r="J790" s="2" t="s">
        <v>18497</v>
      </c>
      <c r="K790" s="1" t="s">
        <v>21658</v>
      </c>
      <c r="L790" s="1" t="s">
        <v>8987</v>
      </c>
      <c r="M790" s="1">
        <v>695</v>
      </c>
      <c r="N790" s="1" t="s">
        <v>8953</v>
      </c>
      <c r="O790" s="1" t="s">
        <v>8989</v>
      </c>
      <c r="P790" s="1" t="s">
        <v>8955</v>
      </c>
      <c r="Q790" s="1" t="s">
        <v>8956</v>
      </c>
      <c r="R790" s="1" t="s">
        <v>8975</v>
      </c>
      <c r="S790" s="1" t="s">
        <v>20604</v>
      </c>
      <c r="T790" s="1" t="s">
        <v>17</v>
      </c>
      <c r="U790" s="1" t="s">
        <v>910</v>
      </c>
    </row>
    <row r="791" spans="1:21" x14ac:dyDescent="0.2">
      <c r="A791" s="88" t="s">
        <v>16384</v>
      </c>
      <c r="B791" s="88" t="e">
        <f>VLOOKUP(C791,#REF!,1,0)</f>
        <v>#REF!</v>
      </c>
      <c r="C791" s="1" t="s">
        <v>2838</v>
      </c>
      <c r="D791" s="1" t="s">
        <v>2839</v>
      </c>
      <c r="E791" s="1" t="s">
        <v>9317</v>
      </c>
      <c r="F791" s="1" t="s">
        <v>8957</v>
      </c>
      <c r="G791" t="s">
        <v>8959</v>
      </c>
      <c r="H791" s="1" t="s">
        <v>9173</v>
      </c>
      <c r="I791" s="1" t="s">
        <v>9174</v>
      </c>
      <c r="J791" s="2" t="s">
        <v>18497</v>
      </c>
      <c r="K791" s="1" t="s">
        <v>21658</v>
      </c>
      <c r="L791" s="1" t="s">
        <v>8987</v>
      </c>
      <c r="M791" s="1">
        <v>11444</v>
      </c>
      <c r="N791" s="1" t="s">
        <v>8953</v>
      </c>
      <c r="O791" s="1" t="s">
        <v>8954</v>
      </c>
      <c r="P791" s="1" t="s">
        <v>8955</v>
      </c>
      <c r="Q791" s="1" t="s">
        <v>8956</v>
      </c>
      <c r="R791" s="1" t="s">
        <v>8975</v>
      </c>
      <c r="S791" s="1" t="s">
        <v>20605</v>
      </c>
      <c r="T791" s="1" t="s">
        <v>17</v>
      </c>
      <c r="U791" s="1" t="s">
        <v>910</v>
      </c>
    </row>
    <row r="792" spans="1:21" x14ac:dyDescent="0.2">
      <c r="A792" s="88" t="s">
        <v>16385</v>
      </c>
      <c r="B792" s="88" t="e">
        <f>VLOOKUP(C792,#REF!,1,0)</f>
        <v>#REF!</v>
      </c>
      <c r="C792" s="1" t="s">
        <v>2840</v>
      </c>
      <c r="D792" s="1" t="s">
        <v>2841</v>
      </c>
      <c r="E792" s="1" t="s">
        <v>9317</v>
      </c>
      <c r="F792" s="1" t="s">
        <v>8959</v>
      </c>
      <c r="G792" t="s">
        <v>8959</v>
      </c>
      <c r="H792" s="1" t="s">
        <v>9173</v>
      </c>
      <c r="I792" s="1" t="s">
        <v>20800</v>
      </c>
      <c r="J792" s="2" t="s">
        <v>18497</v>
      </c>
      <c r="K792" s="1" t="s">
        <v>21658</v>
      </c>
      <c r="L792" s="1" t="s">
        <v>8987</v>
      </c>
      <c r="M792" s="1">
        <v>695</v>
      </c>
      <c r="N792" s="1" t="s">
        <v>8953</v>
      </c>
      <c r="O792" s="1" t="s">
        <v>8989</v>
      </c>
      <c r="P792" s="1" t="s">
        <v>8955</v>
      </c>
      <c r="Q792" s="1" t="s">
        <v>8956</v>
      </c>
      <c r="R792" s="1" t="s">
        <v>8975</v>
      </c>
      <c r="S792" s="1" t="s">
        <v>19082</v>
      </c>
      <c r="T792" s="1" t="s">
        <v>17</v>
      </c>
      <c r="U792" s="1" t="s">
        <v>910</v>
      </c>
    </row>
    <row r="793" spans="1:21" x14ac:dyDescent="0.2">
      <c r="A793" s="88" t="s">
        <v>16386</v>
      </c>
      <c r="B793" s="88"/>
      <c r="C793" s="1" t="s">
        <v>2842</v>
      </c>
      <c r="D793" s="1" t="s">
        <v>2843</v>
      </c>
      <c r="E793" s="1" t="e">
        <v>#N/A</v>
      </c>
      <c r="F793" s="1" t="e">
        <v>#N/A</v>
      </c>
      <c r="G793" t="e">
        <v>#N/A</v>
      </c>
      <c r="H793" s="1" t="e">
        <v>#N/A</v>
      </c>
      <c r="I793" s="1" t="e">
        <v>#N/A</v>
      </c>
      <c r="J793" s="2" t="e">
        <v>#N/A</v>
      </c>
      <c r="K793" s="1" t="e">
        <v>#N/A</v>
      </c>
      <c r="L793" s="1" t="e">
        <v>#N/A</v>
      </c>
      <c r="M793" s="1" t="e">
        <v>#N/A</v>
      </c>
      <c r="N793" s="1" t="e">
        <v>#N/A</v>
      </c>
      <c r="O793" s="1" t="e">
        <v>#N/A</v>
      </c>
      <c r="P793" s="1" t="s">
        <v>8955</v>
      </c>
      <c r="Q793" s="1" t="s">
        <v>8956</v>
      </c>
      <c r="R793" s="1" t="s">
        <v>8975</v>
      </c>
      <c r="S793" s="1" t="s">
        <v>19083</v>
      </c>
      <c r="T793" s="1" t="s">
        <v>252</v>
      </c>
      <c r="U793" s="1" t="s">
        <v>126</v>
      </c>
    </row>
    <row r="794" spans="1:21" x14ac:dyDescent="0.2">
      <c r="A794" s="88" t="s">
        <v>16387</v>
      </c>
      <c r="B794" s="88" t="e">
        <f>VLOOKUP(C794,#REF!,1,0)</f>
        <v>#REF!</v>
      </c>
      <c r="C794" s="1" t="s">
        <v>2844</v>
      </c>
      <c r="D794" s="1" t="s">
        <v>2845</v>
      </c>
      <c r="E794" s="1" t="s">
        <v>9815</v>
      </c>
      <c r="F794" s="1" t="s">
        <v>8959</v>
      </c>
      <c r="G794" t="s">
        <v>8959</v>
      </c>
      <c r="H794" s="1" t="s">
        <v>9092</v>
      </c>
      <c r="I794" s="1" t="s">
        <v>8971</v>
      </c>
      <c r="J794" s="2" t="s">
        <v>9036</v>
      </c>
      <c r="K794" s="1" t="s">
        <v>9036</v>
      </c>
      <c r="L794" s="1" t="s">
        <v>8951</v>
      </c>
      <c r="M794" s="1">
        <v>276</v>
      </c>
      <c r="N794" s="1" t="s">
        <v>8953</v>
      </c>
      <c r="O794" s="1" t="s">
        <v>8989</v>
      </c>
      <c r="P794" s="1" t="s">
        <v>8955</v>
      </c>
      <c r="Q794" s="1" t="s">
        <v>8956</v>
      </c>
      <c r="R794" s="1" t="s">
        <v>9103</v>
      </c>
      <c r="S794" s="1" t="s">
        <v>2846</v>
      </c>
      <c r="T794" s="1" t="s">
        <v>17</v>
      </c>
      <c r="U794" s="1" t="s">
        <v>1241</v>
      </c>
    </row>
    <row r="795" spans="1:21" x14ac:dyDescent="0.2">
      <c r="A795" s="88" t="s">
        <v>16388</v>
      </c>
      <c r="B795" s="88" t="e">
        <f>VLOOKUP(C795,#REF!,1,0)</f>
        <v>#REF!</v>
      </c>
      <c r="C795" s="1" t="s">
        <v>2847</v>
      </c>
      <c r="D795" s="1" t="s">
        <v>2848</v>
      </c>
      <c r="E795" s="1" t="s">
        <v>9642</v>
      </c>
      <c r="F795" s="1" t="s">
        <v>8959</v>
      </c>
      <c r="G795" t="s">
        <v>8959</v>
      </c>
      <c r="H795" s="1" t="s">
        <v>20714</v>
      </c>
      <c r="I795" s="1" t="s">
        <v>9050</v>
      </c>
      <c r="J795" s="2" t="s">
        <v>10492</v>
      </c>
      <c r="K795" s="1" t="s">
        <v>10492</v>
      </c>
      <c r="L795" s="1" t="s">
        <v>21600</v>
      </c>
      <c r="M795" s="1">
        <v>95</v>
      </c>
      <c r="N795" s="1" t="s">
        <v>8953</v>
      </c>
      <c r="O795" s="1" t="s">
        <v>8954</v>
      </c>
      <c r="P795" s="1" t="s">
        <v>8955</v>
      </c>
      <c r="Q795" s="1" t="s">
        <v>8956</v>
      </c>
      <c r="R795" s="1" t="s">
        <v>8958</v>
      </c>
      <c r="S795" s="1" t="s">
        <v>19084</v>
      </c>
      <c r="T795" s="1" t="s">
        <v>17</v>
      </c>
      <c r="U795" s="1" t="s">
        <v>43</v>
      </c>
    </row>
    <row r="796" spans="1:21" x14ac:dyDescent="0.2">
      <c r="A796" s="88" t="s">
        <v>16389</v>
      </c>
      <c r="B796" s="88" t="e">
        <f>VLOOKUP(C796,#REF!,1,0)</f>
        <v>#REF!</v>
      </c>
      <c r="C796" s="1" t="s">
        <v>2849</v>
      </c>
      <c r="D796" s="1" t="s">
        <v>2850</v>
      </c>
      <c r="E796" s="1" t="s">
        <v>18502</v>
      </c>
      <c r="F796" s="1" t="s">
        <v>8957</v>
      </c>
      <c r="G796" t="s">
        <v>9061</v>
      </c>
      <c r="H796" s="1" t="s">
        <v>9092</v>
      </c>
      <c r="I796" s="1" t="s">
        <v>8998</v>
      </c>
      <c r="J796" s="2" t="s">
        <v>10492</v>
      </c>
      <c r="K796" s="1" t="s">
        <v>21645</v>
      </c>
      <c r="L796" s="1" t="s">
        <v>21600</v>
      </c>
      <c r="M796" s="1">
        <v>3000</v>
      </c>
      <c r="N796" s="1" t="s">
        <v>8953</v>
      </c>
      <c r="O796" s="1" t="s">
        <v>8989</v>
      </c>
      <c r="P796" s="1" t="s">
        <v>8955</v>
      </c>
      <c r="Q796" s="1" t="s">
        <v>8956</v>
      </c>
      <c r="R796" s="1" t="s">
        <v>8958</v>
      </c>
      <c r="S796" s="1" t="s">
        <v>19085</v>
      </c>
      <c r="T796" s="1" t="s">
        <v>7</v>
      </c>
      <c r="U796" s="1" t="s">
        <v>1238</v>
      </c>
    </row>
    <row r="797" spans="1:21" x14ac:dyDescent="0.2">
      <c r="A797" s="88" t="s">
        <v>16390</v>
      </c>
      <c r="B797" s="88" t="e">
        <f>VLOOKUP(C797,#REF!,1,0)</f>
        <v>#REF!</v>
      </c>
      <c r="C797" s="1" t="s">
        <v>2854</v>
      </c>
      <c r="D797" s="1" t="s">
        <v>2855</v>
      </c>
      <c r="E797" s="1" t="s">
        <v>9317</v>
      </c>
      <c r="F797" s="1" t="s">
        <v>8959</v>
      </c>
      <c r="G797" t="s">
        <v>8959</v>
      </c>
      <c r="H797" s="1" t="s">
        <v>8948</v>
      </c>
      <c r="I797" s="1" t="s">
        <v>12453</v>
      </c>
      <c r="J797" s="2" t="s">
        <v>14469</v>
      </c>
      <c r="K797" s="1" t="s">
        <v>14469</v>
      </c>
      <c r="L797" s="1" t="s">
        <v>8987</v>
      </c>
      <c r="M797" s="1">
        <v>3000</v>
      </c>
      <c r="N797" s="1" t="s">
        <v>8953</v>
      </c>
      <c r="O797" s="1" t="s">
        <v>8989</v>
      </c>
      <c r="P797" s="1" t="s">
        <v>8955</v>
      </c>
      <c r="Q797" s="1" t="s">
        <v>8956</v>
      </c>
      <c r="R797" s="1" t="s">
        <v>8958</v>
      </c>
      <c r="S797" s="1" t="s">
        <v>2856</v>
      </c>
      <c r="T797" s="1" t="s">
        <v>924</v>
      </c>
      <c r="U797" s="1" t="s">
        <v>46</v>
      </c>
    </row>
    <row r="798" spans="1:21" x14ac:dyDescent="0.2">
      <c r="A798" s="88" t="s">
        <v>16391</v>
      </c>
      <c r="B798" s="88" t="e">
        <f>VLOOKUP(C798,#REF!,1,0)</f>
        <v>#REF!</v>
      </c>
      <c r="C798" s="1" t="s">
        <v>2857</v>
      </c>
      <c r="D798" s="1" t="s">
        <v>2858</v>
      </c>
      <c r="E798" s="1" t="s">
        <v>9213</v>
      </c>
      <c r="F798" s="1" t="s">
        <v>8957</v>
      </c>
      <c r="G798" t="s">
        <v>8959</v>
      </c>
      <c r="H798" s="1" t="s">
        <v>9035</v>
      </c>
      <c r="I798" s="1" t="s">
        <v>9308</v>
      </c>
      <c r="J798" s="2" t="s">
        <v>10453</v>
      </c>
      <c r="K798" s="1" t="s">
        <v>21776</v>
      </c>
      <c r="L798" s="1" t="s">
        <v>8951</v>
      </c>
      <c r="M798" s="1">
        <v>39677</v>
      </c>
      <c r="N798" s="1" t="s">
        <v>9059</v>
      </c>
      <c r="O798" s="1" t="s">
        <v>8989</v>
      </c>
      <c r="P798" s="1" t="s">
        <v>8955</v>
      </c>
      <c r="Q798" s="1" t="s">
        <v>8956</v>
      </c>
      <c r="R798" s="1" t="s">
        <v>8975</v>
      </c>
      <c r="S798" s="1" t="s">
        <v>2859</v>
      </c>
      <c r="T798" s="1" t="s">
        <v>17</v>
      </c>
      <c r="U798" s="1" t="s">
        <v>1381</v>
      </c>
    </row>
    <row r="799" spans="1:21" x14ac:dyDescent="0.2">
      <c r="A799" s="88" t="s">
        <v>16392</v>
      </c>
      <c r="B799" s="88" t="e">
        <f>VLOOKUP(C799,#REF!,1,0)</f>
        <v>#REF!</v>
      </c>
      <c r="C799" s="1" t="s">
        <v>2860</v>
      </c>
      <c r="D799" s="1" t="s">
        <v>2861</v>
      </c>
      <c r="E799" s="1" t="s">
        <v>9333</v>
      </c>
      <c r="F799" s="1" t="s">
        <v>8957</v>
      </c>
      <c r="G799" t="s">
        <v>8959</v>
      </c>
      <c r="H799" s="1" t="s">
        <v>8948</v>
      </c>
      <c r="I799" s="1" t="s">
        <v>9131</v>
      </c>
      <c r="J799" s="2" t="s">
        <v>10492</v>
      </c>
      <c r="K799" s="1" t="s">
        <v>10492</v>
      </c>
      <c r="L799" s="1" t="s">
        <v>21600</v>
      </c>
      <c r="M799" s="1">
        <v>160</v>
      </c>
      <c r="N799" s="1" t="s">
        <v>8953</v>
      </c>
      <c r="O799" s="1" t="s">
        <v>8989</v>
      </c>
      <c r="P799" s="1" t="s">
        <v>8955</v>
      </c>
      <c r="Q799" s="1" t="s">
        <v>8956</v>
      </c>
      <c r="R799" s="1" t="s">
        <v>9103</v>
      </c>
      <c r="S799" s="1" t="s">
        <v>19087</v>
      </c>
      <c r="T799" s="1" t="s">
        <v>7</v>
      </c>
      <c r="U799" s="1" t="s">
        <v>64</v>
      </c>
    </row>
    <row r="800" spans="1:21" x14ac:dyDescent="0.2">
      <c r="A800" s="88" t="s">
        <v>16393</v>
      </c>
      <c r="B800" s="88" t="e">
        <f>VLOOKUP(C800,#REF!,1,0)</f>
        <v>#REF!</v>
      </c>
      <c r="C800" s="1" t="s">
        <v>2862</v>
      </c>
      <c r="D800" s="1" t="s">
        <v>2863</v>
      </c>
      <c r="E800" s="1" t="s">
        <v>10032</v>
      </c>
      <c r="F800" s="1" t="s">
        <v>8959</v>
      </c>
      <c r="G800" t="s">
        <v>8959</v>
      </c>
      <c r="H800" s="1" t="s">
        <v>9252</v>
      </c>
      <c r="I800" s="1" t="s">
        <v>8949</v>
      </c>
      <c r="J800" s="2" t="s">
        <v>10258</v>
      </c>
      <c r="K800" s="1" t="s">
        <v>10258</v>
      </c>
      <c r="L800" s="1" t="s">
        <v>8951</v>
      </c>
      <c r="M800" s="1">
        <v>335</v>
      </c>
      <c r="N800" s="1" t="s">
        <v>8953</v>
      </c>
      <c r="O800" s="1" t="s">
        <v>8989</v>
      </c>
      <c r="P800" s="1" t="s">
        <v>8955</v>
      </c>
      <c r="Q800" s="1" t="s">
        <v>8956</v>
      </c>
      <c r="R800" s="1" t="s">
        <v>8975</v>
      </c>
      <c r="S800" s="1" t="s">
        <v>2864</v>
      </c>
      <c r="T800" s="1" t="s">
        <v>17</v>
      </c>
      <c r="U800" s="1" t="s">
        <v>2865</v>
      </c>
    </row>
    <row r="801" spans="1:21" x14ac:dyDescent="0.2">
      <c r="A801" s="88" t="s">
        <v>16394</v>
      </c>
      <c r="B801" s="88" t="e">
        <f>VLOOKUP(C801,#REF!,1,0)</f>
        <v>#REF!</v>
      </c>
      <c r="C801" s="1" t="s">
        <v>15478</v>
      </c>
      <c r="D801" s="1" t="s">
        <v>2866</v>
      </c>
      <c r="E801" s="1" t="s">
        <v>9317</v>
      </c>
      <c r="F801" s="1" t="s">
        <v>8957</v>
      </c>
      <c r="G801" t="s">
        <v>8959</v>
      </c>
      <c r="H801" s="1" t="s">
        <v>9154</v>
      </c>
      <c r="I801" s="1" t="s">
        <v>9155</v>
      </c>
      <c r="J801" s="2" t="s">
        <v>10492</v>
      </c>
      <c r="K801" s="1" t="s">
        <v>10492</v>
      </c>
      <c r="L801" s="1" t="s">
        <v>9464</v>
      </c>
      <c r="M801" s="1">
        <v>40</v>
      </c>
      <c r="N801" s="1" t="s">
        <v>8953</v>
      </c>
      <c r="O801" s="1" t="s">
        <v>8989</v>
      </c>
      <c r="P801" s="1" t="s">
        <v>8955</v>
      </c>
      <c r="Q801" s="1" t="s">
        <v>8956</v>
      </c>
      <c r="R801" s="1" t="s">
        <v>9103</v>
      </c>
      <c r="S801" s="1" t="s">
        <v>19088</v>
      </c>
      <c r="T801" s="1" t="s">
        <v>17</v>
      </c>
      <c r="U801" s="1" t="s">
        <v>64</v>
      </c>
    </row>
    <row r="802" spans="1:21" x14ac:dyDescent="0.2">
      <c r="A802" s="88" t="s">
        <v>16395</v>
      </c>
      <c r="B802" s="88" t="e">
        <f>VLOOKUP(C802,#REF!,1,0)</f>
        <v>#REF!</v>
      </c>
      <c r="C802" s="1" t="s">
        <v>2871</v>
      </c>
      <c r="D802" s="1" t="s">
        <v>2872</v>
      </c>
      <c r="E802" s="1" t="s">
        <v>9650</v>
      </c>
      <c r="F802" s="1" t="s">
        <v>8957</v>
      </c>
      <c r="G802" t="s">
        <v>8959</v>
      </c>
      <c r="H802" s="1" t="s">
        <v>20714</v>
      </c>
      <c r="I802" s="1" t="s">
        <v>9155</v>
      </c>
      <c r="J802" s="2" t="s">
        <v>10492</v>
      </c>
      <c r="K802" s="1" t="s">
        <v>10492</v>
      </c>
      <c r="L802" s="1" t="s">
        <v>8951</v>
      </c>
      <c r="M802" s="1">
        <v>64</v>
      </c>
      <c r="N802" s="1" t="s">
        <v>8953</v>
      </c>
      <c r="O802" s="1" t="s">
        <v>8954</v>
      </c>
      <c r="P802" s="1" t="s">
        <v>8955</v>
      </c>
      <c r="Q802" s="1" t="s">
        <v>8956</v>
      </c>
      <c r="R802" s="1" t="s">
        <v>8958</v>
      </c>
      <c r="S802" s="1" t="s">
        <v>19090</v>
      </c>
      <c r="T802" s="1" t="s">
        <v>7</v>
      </c>
      <c r="U802" s="1" t="s">
        <v>184</v>
      </c>
    </row>
    <row r="803" spans="1:21" x14ac:dyDescent="0.2">
      <c r="A803" s="88" t="s">
        <v>16397</v>
      </c>
      <c r="B803" s="88" t="e">
        <f>VLOOKUP(C803,#REF!,1,0)</f>
        <v>#REF!</v>
      </c>
      <c r="C803" s="1" t="s">
        <v>2879</v>
      </c>
      <c r="D803" s="1" t="s">
        <v>2880</v>
      </c>
      <c r="E803" s="1" t="s">
        <v>9630</v>
      </c>
      <c r="F803" s="1" t="s">
        <v>8959</v>
      </c>
      <c r="G803" t="s">
        <v>8959</v>
      </c>
      <c r="H803" s="1" t="s">
        <v>9075</v>
      </c>
      <c r="I803" s="1" t="s">
        <v>9101</v>
      </c>
      <c r="J803" s="2" t="s">
        <v>18497</v>
      </c>
      <c r="K803" s="1" t="s">
        <v>18497</v>
      </c>
      <c r="L803" s="1" t="s">
        <v>8987</v>
      </c>
      <c r="M803" s="1">
        <v>21250</v>
      </c>
      <c r="N803" s="1" t="s">
        <v>8953</v>
      </c>
      <c r="O803" s="1" t="s">
        <v>8989</v>
      </c>
      <c r="P803" s="1" t="s">
        <v>8955</v>
      </c>
      <c r="Q803" s="1" t="s">
        <v>8956</v>
      </c>
      <c r="R803" s="1" t="s">
        <v>8975</v>
      </c>
      <c r="S803" s="1" t="s">
        <v>20606</v>
      </c>
      <c r="T803" s="1" t="s">
        <v>17</v>
      </c>
      <c r="U803" s="1" t="s">
        <v>24</v>
      </c>
    </row>
    <row r="804" spans="1:21" x14ac:dyDescent="0.2">
      <c r="A804" s="88" t="s">
        <v>16398</v>
      </c>
      <c r="B804" s="88" t="e">
        <f>VLOOKUP(C804,#REF!,1,0)</f>
        <v>#REF!</v>
      </c>
      <c r="C804" s="1" t="s">
        <v>2885</v>
      </c>
      <c r="D804" s="1" t="s">
        <v>2886</v>
      </c>
      <c r="E804" s="1" t="s">
        <v>9333</v>
      </c>
      <c r="F804" s="1" t="s">
        <v>8959</v>
      </c>
      <c r="G804" t="s">
        <v>9061</v>
      </c>
      <c r="H804" s="1" t="e">
        <v>#N/A</v>
      </c>
      <c r="I804" s="1" t="s">
        <v>8998</v>
      </c>
      <c r="J804" s="2" t="s">
        <v>20779</v>
      </c>
      <c r="K804" s="1" t="s">
        <v>9036</v>
      </c>
      <c r="L804" s="1" t="s">
        <v>9076</v>
      </c>
      <c r="M804" s="1">
        <v>4</v>
      </c>
      <c r="N804" s="1" t="s">
        <v>8953</v>
      </c>
      <c r="O804" s="1" t="s">
        <v>8989</v>
      </c>
      <c r="P804" s="1" t="s">
        <v>8955</v>
      </c>
      <c r="Q804" s="1" t="s">
        <v>8956</v>
      </c>
      <c r="R804" s="1" t="s">
        <v>8958</v>
      </c>
      <c r="S804" s="1" t="s">
        <v>19091</v>
      </c>
      <c r="T804" s="1" t="s">
        <v>7</v>
      </c>
      <c r="U804" s="1" t="s">
        <v>562</v>
      </c>
    </row>
    <row r="805" spans="1:21" x14ac:dyDescent="0.2">
      <c r="A805" s="88" t="s">
        <v>16399</v>
      </c>
      <c r="B805" s="88" t="e">
        <f>VLOOKUP(C805,#REF!,1,0)</f>
        <v>#REF!</v>
      </c>
      <c r="C805" s="1" t="s">
        <v>2887</v>
      </c>
      <c r="D805" s="1" t="s">
        <v>2888</v>
      </c>
      <c r="E805" s="1" t="s">
        <v>9246</v>
      </c>
      <c r="F805" s="1" t="s">
        <v>8957</v>
      </c>
      <c r="G805" t="s">
        <v>8959</v>
      </c>
      <c r="H805" s="1" t="s">
        <v>9100</v>
      </c>
      <c r="I805" s="1" t="s">
        <v>8998</v>
      </c>
      <c r="J805" s="2" t="s">
        <v>21413</v>
      </c>
      <c r="K805" s="1" t="s">
        <v>21413</v>
      </c>
      <c r="L805" s="1" t="s">
        <v>9157</v>
      </c>
      <c r="M805" s="1">
        <v>1526</v>
      </c>
      <c r="N805" s="1" t="s">
        <v>9059</v>
      </c>
      <c r="O805" s="1" t="s">
        <v>8954</v>
      </c>
      <c r="P805" s="1" t="s">
        <v>8955</v>
      </c>
      <c r="Q805" s="1" t="s">
        <v>8956</v>
      </c>
      <c r="R805" s="1" t="s">
        <v>8975</v>
      </c>
      <c r="S805" s="1" t="s">
        <v>19092</v>
      </c>
      <c r="T805" s="1" t="s">
        <v>17</v>
      </c>
      <c r="U805" s="1" t="s">
        <v>74</v>
      </c>
    </row>
    <row r="806" spans="1:21" x14ac:dyDescent="0.2">
      <c r="A806" s="88" t="s">
        <v>16400</v>
      </c>
      <c r="B806" s="88" t="e">
        <f>VLOOKUP(C806,#REF!,1,0)</f>
        <v>#REF!</v>
      </c>
      <c r="C806" s="1" t="s">
        <v>2889</v>
      </c>
      <c r="D806" s="1" t="s">
        <v>2890</v>
      </c>
      <c r="E806" s="1" t="s">
        <v>9010</v>
      </c>
      <c r="F806" s="1" t="s">
        <v>8957</v>
      </c>
      <c r="G806" t="s">
        <v>8959</v>
      </c>
      <c r="H806" s="1" t="s">
        <v>9252</v>
      </c>
      <c r="I806" s="1" t="s">
        <v>9253</v>
      </c>
      <c r="J806" s="2" t="s">
        <v>10258</v>
      </c>
      <c r="K806" s="1" t="s">
        <v>10258</v>
      </c>
      <c r="L806" s="1" t="s">
        <v>8951</v>
      </c>
      <c r="M806" s="1">
        <v>316001</v>
      </c>
      <c r="N806" s="1" t="s">
        <v>8953</v>
      </c>
      <c r="O806" s="1" t="s">
        <v>8954</v>
      </c>
      <c r="P806" s="1" t="s">
        <v>8955</v>
      </c>
      <c r="Q806" s="1" t="s">
        <v>8956</v>
      </c>
      <c r="R806" s="1" t="s">
        <v>8975</v>
      </c>
      <c r="S806" s="1" t="s">
        <v>2891</v>
      </c>
      <c r="T806" s="1" t="s">
        <v>17</v>
      </c>
      <c r="U806" s="1" t="s">
        <v>1790</v>
      </c>
    </row>
    <row r="807" spans="1:21" x14ac:dyDescent="0.2">
      <c r="A807" s="88" t="s">
        <v>16401</v>
      </c>
      <c r="B807" s="88" t="e">
        <f>VLOOKUP(C807,#REF!,1,0)</f>
        <v>#REF!</v>
      </c>
      <c r="C807" s="1" t="s">
        <v>2892</v>
      </c>
      <c r="D807" s="1" t="s">
        <v>2893</v>
      </c>
      <c r="E807" s="1" t="s">
        <v>9333</v>
      </c>
      <c r="F807" s="1" t="s">
        <v>8959</v>
      </c>
      <c r="G807" t="s">
        <v>9061</v>
      </c>
      <c r="H807" s="1" t="s">
        <v>9092</v>
      </c>
      <c r="I807" s="1" t="s">
        <v>9308</v>
      </c>
      <c r="J807" s="2" t="s">
        <v>9355</v>
      </c>
      <c r="K807" s="1" t="s">
        <v>9355</v>
      </c>
      <c r="L807" s="1" t="s">
        <v>9292</v>
      </c>
      <c r="M807" s="1">
        <v>760</v>
      </c>
      <c r="N807" s="1" t="s">
        <v>8953</v>
      </c>
      <c r="O807" s="1" t="s">
        <v>8989</v>
      </c>
      <c r="P807" s="1" t="s">
        <v>8955</v>
      </c>
      <c r="Q807" s="1" t="s">
        <v>8956</v>
      </c>
      <c r="R807" s="1" t="s">
        <v>8975</v>
      </c>
      <c r="S807" s="1" t="s">
        <v>2894</v>
      </c>
      <c r="T807" s="1" t="s">
        <v>17</v>
      </c>
      <c r="U807" s="1" t="s">
        <v>2895</v>
      </c>
    </row>
    <row r="808" spans="1:21" x14ac:dyDescent="0.2">
      <c r="A808" s="88" t="s">
        <v>16402</v>
      </c>
      <c r="B808" s="88" t="e">
        <f>VLOOKUP(C808,#REF!,1,0)</f>
        <v>#REF!</v>
      </c>
      <c r="C808" s="1" t="s">
        <v>2896</v>
      </c>
      <c r="D808" s="1" t="s">
        <v>2897</v>
      </c>
      <c r="E808" s="1" t="s">
        <v>9333</v>
      </c>
      <c r="F808" s="1" t="s">
        <v>8974</v>
      </c>
      <c r="G808" t="s">
        <v>9009</v>
      </c>
      <c r="H808" s="1" t="s">
        <v>8984</v>
      </c>
      <c r="I808" s="1" t="s">
        <v>9131</v>
      </c>
      <c r="J808" s="2" t="s">
        <v>9036</v>
      </c>
      <c r="K808" s="1" t="s">
        <v>9036</v>
      </c>
      <c r="L808" s="1" t="s">
        <v>8951</v>
      </c>
      <c r="M808" s="1">
        <v>2296</v>
      </c>
      <c r="N808" s="1" t="s">
        <v>8953</v>
      </c>
      <c r="O808" s="1" t="s">
        <v>8989</v>
      </c>
      <c r="P808" s="1" t="s">
        <v>8955</v>
      </c>
      <c r="Q808" s="1" t="s">
        <v>8956</v>
      </c>
      <c r="R808" s="1" t="s">
        <v>8975</v>
      </c>
      <c r="S808" s="1" t="s">
        <v>2898</v>
      </c>
      <c r="T808" s="1" t="s">
        <v>11</v>
      </c>
      <c r="U808" s="1" t="s">
        <v>2899</v>
      </c>
    </row>
    <row r="809" spans="1:21" x14ac:dyDescent="0.2">
      <c r="A809" s="88">
        <v>1</v>
      </c>
      <c r="B809" s="88" t="e">
        <f>VLOOKUP(C809,#REF!,1,0)</f>
        <v>#REF!</v>
      </c>
      <c r="C809" s="1" t="s">
        <v>2904</v>
      </c>
      <c r="D809" s="1" t="s">
        <v>2905</v>
      </c>
      <c r="E809" s="1" t="s">
        <v>18502</v>
      </c>
      <c r="F809" s="1" t="s">
        <v>8957</v>
      </c>
      <c r="G809" t="s">
        <v>8959</v>
      </c>
      <c r="H809" s="1" t="s">
        <v>9100</v>
      </c>
      <c r="I809" s="1" t="s">
        <v>8949</v>
      </c>
      <c r="J809" s="2" t="s">
        <v>21205</v>
      </c>
      <c r="K809" s="1" t="s">
        <v>21205</v>
      </c>
      <c r="L809" s="1" t="s">
        <v>8987</v>
      </c>
      <c r="M809" s="1">
        <v>1059</v>
      </c>
      <c r="N809" s="1" t="s">
        <v>9059</v>
      </c>
      <c r="O809" s="1" t="s">
        <v>8989</v>
      </c>
      <c r="P809" s="1" t="s">
        <v>8955</v>
      </c>
      <c r="Q809" s="1" t="s">
        <v>8956</v>
      </c>
      <c r="R809" s="1" t="s">
        <v>9103</v>
      </c>
      <c r="S809" s="1" t="s">
        <v>19094</v>
      </c>
      <c r="T809" s="1" t="s">
        <v>4</v>
      </c>
      <c r="U809" s="1" t="s">
        <v>2906</v>
      </c>
    </row>
    <row r="810" spans="1:21" x14ac:dyDescent="0.2">
      <c r="A810" s="88" t="s">
        <v>16403</v>
      </c>
      <c r="B810" s="88" t="e">
        <f>VLOOKUP(C810,#REF!,1,0)</f>
        <v>#REF!</v>
      </c>
      <c r="C810" s="1" t="s">
        <v>2907</v>
      </c>
      <c r="D810" s="1" t="s">
        <v>2908</v>
      </c>
      <c r="E810" s="1" t="s">
        <v>18502</v>
      </c>
      <c r="F810" s="1" t="s">
        <v>8957</v>
      </c>
      <c r="G810" t="s">
        <v>9061</v>
      </c>
      <c r="H810" s="1" t="s">
        <v>9100</v>
      </c>
      <c r="I810" s="1" t="s">
        <v>8949</v>
      </c>
      <c r="J810" s="2" t="s">
        <v>21205</v>
      </c>
      <c r="K810" s="1" t="s">
        <v>21205</v>
      </c>
      <c r="L810" s="1" t="s">
        <v>8987</v>
      </c>
      <c r="M810" s="1">
        <v>181</v>
      </c>
      <c r="N810" s="1" t="s">
        <v>9059</v>
      </c>
      <c r="O810" s="1" t="s">
        <v>8989</v>
      </c>
      <c r="P810" s="1" t="s">
        <v>8955</v>
      </c>
      <c r="Q810" s="1" t="s">
        <v>8956</v>
      </c>
      <c r="R810" s="1" t="s">
        <v>8958</v>
      </c>
      <c r="S810" s="1" t="s">
        <v>19095</v>
      </c>
      <c r="T810" s="1" t="s">
        <v>17</v>
      </c>
      <c r="U810" s="1" t="s">
        <v>61</v>
      </c>
    </row>
    <row r="811" spans="1:21" x14ac:dyDescent="0.2">
      <c r="A811" s="88" t="s">
        <v>16404</v>
      </c>
      <c r="B811" s="88" t="e">
        <f>VLOOKUP(C811,#REF!,1,0)</f>
        <v>#REF!</v>
      </c>
      <c r="C811" s="1" t="s">
        <v>2909</v>
      </c>
      <c r="D811" s="1" t="s">
        <v>2910</v>
      </c>
      <c r="E811" s="1" t="s">
        <v>9317</v>
      </c>
      <c r="F811" s="1" t="s">
        <v>8957</v>
      </c>
      <c r="G811" t="s">
        <v>8959</v>
      </c>
      <c r="H811" s="1" t="s">
        <v>9605</v>
      </c>
      <c r="I811" s="1" t="s">
        <v>9269</v>
      </c>
      <c r="J811" s="2" t="s">
        <v>9436</v>
      </c>
      <c r="K811" s="1" t="s">
        <v>9436</v>
      </c>
      <c r="L811" s="1" t="s">
        <v>8951</v>
      </c>
      <c r="M811" s="1">
        <v>148</v>
      </c>
      <c r="N811" s="1" t="s">
        <v>8953</v>
      </c>
      <c r="O811" s="1" t="s">
        <v>8954</v>
      </c>
      <c r="P811" s="1" t="s">
        <v>8955</v>
      </c>
      <c r="Q811" s="1" t="s">
        <v>8956</v>
      </c>
      <c r="R811" s="1" t="s">
        <v>8958</v>
      </c>
      <c r="S811" s="1" t="s">
        <v>2911</v>
      </c>
      <c r="T811" s="1" t="s">
        <v>11</v>
      </c>
      <c r="U811" s="1" t="s">
        <v>43</v>
      </c>
    </row>
    <row r="812" spans="1:21" x14ac:dyDescent="0.2">
      <c r="A812" s="88" t="s">
        <v>16406</v>
      </c>
      <c r="B812" s="88" t="e">
        <f>VLOOKUP(C812,#REF!,1,0)</f>
        <v>#REF!</v>
      </c>
      <c r="C812" s="1" t="s">
        <v>2914</v>
      </c>
      <c r="D812" s="1" t="s">
        <v>2915</v>
      </c>
      <c r="E812" s="1" t="s">
        <v>12908</v>
      </c>
      <c r="F812" s="1" t="s">
        <v>8957</v>
      </c>
      <c r="G812" t="s">
        <v>8959</v>
      </c>
      <c r="H812" s="1" t="s">
        <v>9605</v>
      </c>
      <c r="I812" s="1" t="s">
        <v>9101</v>
      </c>
      <c r="J812" s="2" t="s">
        <v>20838</v>
      </c>
      <c r="K812" s="1" t="s">
        <v>20755</v>
      </c>
      <c r="L812" s="1" t="s">
        <v>8951</v>
      </c>
      <c r="M812" s="1">
        <v>7835</v>
      </c>
      <c r="N812" s="1" t="s">
        <v>8953</v>
      </c>
      <c r="O812" s="1" t="s">
        <v>8989</v>
      </c>
      <c r="P812" s="1" t="s">
        <v>8955</v>
      </c>
      <c r="Q812" s="1" t="s">
        <v>8956</v>
      </c>
      <c r="R812" s="1" t="s">
        <v>8975</v>
      </c>
      <c r="S812" s="1" t="s">
        <v>19097</v>
      </c>
      <c r="T812" s="1" t="s">
        <v>4</v>
      </c>
      <c r="U812" s="1" t="s">
        <v>2916</v>
      </c>
    </row>
    <row r="813" spans="1:21" x14ac:dyDescent="0.2">
      <c r="A813" s="88" t="s">
        <v>16407</v>
      </c>
      <c r="B813" s="88" t="e">
        <f>VLOOKUP(C813,#REF!,1,0)</f>
        <v>#REF!</v>
      </c>
      <c r="C813" s="1" t="s">
        <v>2917</v>
      </c>
      <c r="D813" s="1" t="s">
        <v>2918</v>
      </c>
      <c r="E813" s="1" t="s">
        <v>12908</v>
      </c>
      <c r="F813" s="1" t="s">
        <v>8957</v>
      </c>
      <c r="G813" t="s">
        <v>8959</v>
      </c>
      <c r="H813" s="1" t="s">
        <v>9605</v>
      </c>
      <c r="I813" s="1" t="s">
        <v>9101</v>
      </c>
      <c r="J813" s="2" t="s">
        <v>20735</v>
      </c>
      <c r="K813" s="1" t="s">
        <v>20735</v>
      </c>
      <c r="L813" s="1" t="s">
        <v>8951</v>
      </c>
      <c r="M813" s="1">
        <v>1176</v>
      </c>
      <c r="N813" s="1" t="s">
        <v>8953</v>
      </c>
      <c r="O813" s="1" t="s">
        <v>8989</v>
      </c>
      <c r="P813" s="1" t="s">
        <v>8955</v>
      </c>
      <c r="Q813" s="1" t="s">
        <v>8956</v>
      </c>
      <c r="R813" s="1" t="s">
        <v>8975</v>
      </c>
      <c r="S813" s="1" t="s">
        <v>19098</v>
      </c>
      <c r="T813" s="1" t="s">
        <v>7</v>
      </c>
      <c r="U813" s="1" t="s">
        <v>110</v>
      </c>
    </row>
    <row r="814" spans="1:21" x14ac:dyDescent="0.2">
      <c r="A814" s="88" t="s">
        <v>16408</v>
      </c>
      <c r="B814" s="88" t="e">
        <f>VLOOKUP(C814,#REF!,1,0)</f>
        <v>#REF!</v>
      </c>
      <c r="C814" s="1" t="s">
        <v>2922</v>
      </c>
      <c r="D814" s="1" t="s">
        <v>2923</v>
      </c>
      <c r="E814" s="1" t="s">
        <v>9333</v>
      </c>
      <c r="F814" s="1" t="s">
        <v>8957</v>
      </c>
      <c r="G814" t="s">
        <v>8959</v>
      </c>
      <c r="H814" s="1" t="s">
        <v>9035</v>
      </c>
      <c r="I814" s="1" t="s">
        <v>8998</v>
      </c>
      <c r="J814" s="2" t="s">
        <v>20779</v>
      </c>
      <c r="K814" s="1" t="s">
        <v>9036</v>
      </c>
      <c r="L814" s="1" t="s">
        <v>9133</v>
      </c>
      <c r="M814" s="1">
        <v>7648</v>
      </c>
      <c r="N814" s="1" t="s">
        <v>8953</v>
      </c>
      <c r="O814" s="1" t="s">
        <v>8989</v>
      </c>
      <c r="P814" s="1" t="s">
        <v>8955</v>
      </c>
      <c r="Q814" s="1" t="s">
        <v>8956</v>
      </c>
      <c r="R814" s="1" t="s">
        <v>8975</v>
      </c>
      <c r="S814" s="1" t="s">
        <v>19100</v>
      </c>
      <c r="T814" s="1" t="s">
        <v>7</v>
      </c>
      <c r="U814" s="1" t="s">
        <v>46</v>
      </c>
    </row>
    <row r="815" spans="1:21" x14ac:dyDescent="0.2">
      <c r="A815" s="88" t="s">
        <v>16409</v>
      </c>
      <c r="B815" s="88" t="e">
        <f>VLOOKUP(C815,#REF!,1,0)</f>
        <v>#REF!</v>
      </c>
      <c r="C815" s="1" t="s">
        <v>2924</v>
      </c>
      <c r="D815" s="1" t="s">
        <v>2925</v>
      </c>
      <c r="E815" s="1" t="s">
        <v>9213</v>
      </c>
      <c r="F815" s="1" t="s">
        <v>8957</v>
      </c>
      <c r="G815" t="s">
        <v>8959</v>
      </c>
      <c r="H815" s="1" t="s">
        <v>9100</v>
      </c>
      <c r="I815" s="1" t="s">
        <v>8949</v>
      </c>
      <c r="J815" s="2" t="s">
        <v>10492</v>
      </c>
      <c r="K815" s="1" t="s">
        <v>10492</v>
      </c>
      <c r="L815" s="1" t="s">
        <v>21600</v>
      </c>
      <c r="M815" s="1">
        <v>148</v>
      </c>
      <c r="N815" s="1" t="s">
        <v>9059</v>
      </c>
      <c r="O815" s="1" t="s">
        <v>8989</v>
      </c>
      <c r="P815" s="1" t="s">
        <v>8955</v>
      </c>
      <c r="Q815" s="1" t="s">
        <v>8956</v>
      </c>
      <c r="R815" s="1" t="s">
        <v>8958</v>
      </c>
      <c r="S815" s="1" t="s">
        <v>19101</v>
      </c>
      <c r="T815" s="1" t="s">
        <v>7</v>
      </c>
      <c r="U815" s="1" t="s">
        <v>184</v>
      </c>
    </row>
    <row r="816" spans="1:21" x14ac:dyDescent="0.2">
      <c r="A816" s="88" t="s">
        <v>16410</v>
      </c>
      <c r="B816" s="88" t="e">
        <f>VLOOKUP(C816,#REF!,1,0)</f>
        <v>#REF!</v>
      </c>
      <c r="C816" s="1" t="s">
        <v>2926</v>
      </c>
      <c r="D816" s="1" t="s">
        <v>2927</v>
      </c>
      <c r="E816" s="1" t="s">
        <v>9310</v>
      </c>
      <c r="F816" s="1" t="s">
        <v>8957</v>
      </c>
      <c r="G816" t="s">
        <v>9183</v>
      </c>
      <c r="H816" s="1" t="s">
        <v>9100</v>
      </c>
      <c r="I816" s="1" t="s">
        <v>9725</v>
      </c>
      <c r="J816" s="2" t="s">
        <v>9036</v>
      </c>
      <c r="K816" s="1" t="s">
        <v>9036</v>
      </c>
      <c r="L816" s="1" t="s">
        <v>9292</v>
      </c>
      <c r="M816" s="1">
        <v>983</v>
      </c>
      <c r="N816" s="1" t="s">
        <v>8953</v>
      </c>
      <c r="O816" s="1" t="s">
        <v>8954</v>
      </c>
      <c r="P816" s="1" t="s">
        <v>8955</v>
      </c>
      <c r="Q816" s="1" t="s">
        <v>8956</v>
      </c>
      <c r="R816" s="1" t="s">
        <v>8958</v>
      </c>
      <c r="S816" s="1" t="s">
        <v>2928</v>
      </c>
      <c r="T816" s="1" t="s">
        <v>11</v>
      </c>
      <c r="U816" s="1" t="s">
        <v>61</v>
      </c>
    </row>
    <row r="817" spans="1:21" x14ac:dyDescent="0.2">
      <c r="A817" s="88" t="s">
        <v>16412</v>
      </c>
      <c r="B817" s="88" t="e">
        <f>VLOOKUP(C817,#REF!,1,0)</f>
        <v>#REF!</v>
      </c>
      <c r="C817" s="1" t="s">
        <v>2933</v>
      </c>
      <c r="D817" s="1" t="s">
        <v>2934</v>
      </c>
      <c r="E817" s="1" t="s">
        <v>10446</v>
      </c>
      <c r="F817" s="1" t="s">
        <v>8957</v>
      </c>
      <c r="G817" t="s">
        <v>8959</v>
      </c>
      <c r="H817" s="1" t="s">
        <v>9092</v>
      </c>
      <c r="I817" s="1" t="s">
        <v>9308</v>
      </c>
      <c r="J817" s="2" t="s">
        <v>8972</v>
      </c>
      <c r="K817" s="1" t="s">
        <v>21768</v>
      </c>
      <c r="L817" s="1" t="s">
        <v>21600</v>
      </c>
      <c r="M817" s="1">
        <v>35</v>
      </c>
      <c r="N817" s="1" t="s">
        <v>8953</v>
      </c>
      <c r="O817" s="1" t="s">
        <v>8989</v>
      </c>
      <c r="P817" s="1" t="s">
        <v>8955</v>
      </c>
      <c r="Q817" s="1" t="s">
        <v>8956</v>
      </c>
      <c r="R817" s="1" t="s">
        <v>8958</v>
      </c>
      <c r="S817" s="1" t="s">
        <v>2935</v>
      </c>
      <c r="T817" s="1" t="s">
        <v>17</v>
      </c>
      <c r="U817" s="1" t="s">
        <v>1010</v>
      </c>
    </row>
    <row r="818" spans="1:21" x14ac:dyDescent="0.2">
      <c r="A818" s="88" t="s">
        <v>16413</v>
      </c>
      <c r="B818" s="88" t="e">
        <f>VLOOKUP(C818,#REF!,1,0)</f>
        <v>#REF!</v>
      </c>
      <c r="C818" s="1" t="s">
        <v>2936</v>
      </c>
      <c r="D818" s="1" t="s">
        <v>2937</v>
      </c>
      <c r="E818" s="1" t="s">
        <v>9968</v>
      </c>
      <c r="F818" s="1" t="s">
        <v>8959</v>
      </c>
      <c r="G818" t="s">
        <v>8959</v>
      </c>
      <c r="H818" s="1" t="s">
        <v>8948</v>
      </c>
      <c r="I818" s="1" t="s">
        <v>8949</v>
      </c>
      <c r="J818" s="2" t="s">
        <v>9599</v>
      </c>
      <c r="K818" s="1" t="s">
        <v>21524</v>
      </c>
      <c r="L818" s="1" t="s">
        <v>21600</v>
      </c>
      <c r="M818" s="1">
        <v>230</v>
      </c>
      <c r="N818" s="1" t="s">
        <v>8953</v>
      </c>
      <c r="O818" s="1" t="s">
        <v>8989</v>
      </c>
      <c r="P818" s="1" t="s">
        <v>8955</v>
      </c>
      <c r="Q818" s="1" t="s">
        <v>8956</v>
      </c>
      <c r="R818" s="1" t="s">
        <v>9103</v>
      </c>
      <c r="S818" s="1" t="s">
        <v>2938</v>
      </c>
      <c r="T818" s="1" t="s">
        <v>11</v>
      </c>
      <c r="U818" s="1" t="s">
        <v>87</v>
      </c>
    </row>
    <row r="819" spans="1:21" x14ac:dyDescent="0.2">
      <c r="A819" s="88" t="s">
        <v>16414</v>
      </c>
      <c r="B819" s="88" t="e">
        <f>VLOOKUP(C819,#REF!,1,0)</f>
        <v>#REF!</v>
      </c>
      <c r="C819" s="1" t="s">
        <v>2939</v>
      </c>
      <c r="D819" s="1" t="s">
        <v>2940</v>
      </c>
      <c r="E819" s="1" t="s">
        <v>9968</v>
      </c>
      <c r="F819" s="1" t="s">
        <v>8959</v>
      </c>
      <c r="G819" t="s">
        <v>8959</v>
      </c>
      <c r="H819" s="1" t="s">
        <v>9100</v>
      </c>
      <c r="I819" s="1" t="s">
        <v>8949</v>
      </c>
      <c r="J819" s="2" t="s">
        <v>20779</v>
      </c>
      <c r="K819" s="1" t="s">
        <v>9036</v>
      </c>
      <c r="L819" s="1" t="s">
        <v>21600</v>
      </c>
      <c r="M819" s="1">
        <v>880000</v>
      </c>
      <c r="N819" s="1" t="s">
        <v>8953</v>
      </c>
      <c r="O819" s="1" t="s">
        <v>8954</v>
      </c>
      <c r="P819" s="1" t="s">
        <v>8955</v>
      </c>
      <c r="Q819" s="1" t="s">
        <v>8956</v>
      </c>
      <c r="R819" s="1" t="s">
        <v>9103</v>
      </c>
      <c r="S819" s="1" t="s">
        <v>19104</v>
      </c>
      <c r="T819" s="1" t="s">
        <v>17</v>
      </c>
      <c r="U819" s="1" t="s">
        <v>87</v>
      </c>
    </row>
    <row r="820" spans="1:21" x14ac:dyDescent="0.2">
      <c r="A820" s="88" t="s">
        <v>16415</v>
      </c>
      <c r="B820" s="88" t="e">
        <f>VLOOKUP(C820,#REF!,1,0)</f>
        <v>#REF!</v>
      </c>
      <c r="C820" s="1" t="s">
        <v>2941</v>
      </c>
      <c r="D820" s="1" t="s">
        <v>2942</v>
      </c>
      <c r="E820" s="1" t="s">
        <v>9010</v>
      </c>
      <c r="F820" s="1" t="s">
        <v>8957</v>
      </c>
      <c r="G820" t="s">
        <v>9061</v>
      </c>
      <c r="H820" s="1" t="s">
        <v>9035</v>
      </c>
      <c r="I820" s="1" t="s">
        <v>8998</v>
      </c>
      <c r="J820" s="2" t="s">
        <v>9036</v>
      </c>
      <c r="K820" s="1" t="s">
        <v>9036</v>
      </c>
      <c r="L820" s="1" t="s">
        <v>9157</v>
      </c>
      <c r="M820" s="1">
        <v>1194</v>
      </c>
      <c r="N820" s="1" t="s">
        <v>9059</v>
      </c>
      <c r="O820" s="1" t="s">
        <v>8954</v>
      </c>
      <c r="P820" s="1" t="s">
        <v>8955</v>
      </c>
      <c r="Q820" s="1" t="s">
        <v>8956</v>
      </c>
      <c r="R820" s="1" t="s">
        <v>8975</v>
      </c>
      <c r="S820" s="1" t="s">
        <v>2943</v>
      </c>
      <c r="T820" s="1" t="s">
        <v>11</v>
      </c>
      <c r="U820" s="1" t="s">
        <v>771</v>
      </c>
    </row>
    <row r="821" spans="1:21" x14ac:dyDescent="0.2">
      <c r="A821" s="88" t="s">
        <v>16416</v>
      </c>
      <c r="B821" s="88" t="e">
        <f>VLOOKUP(C821,#REF!,1,0)</f>
        <v>#REF!</v>
      </c>
      <c r="C821" s="1" t="s">
        <v>2948</v>
      </c>
      <c r="D821" s="1" t="s">
        <v>2949</v>
      </c>
      <c r="E821" s="1" t="s">
        <v>18502</v>
      </c>
      <c r="F821" s="1" t="s">
        <v>8957</v>
      </c>
      <c r="G821" t="s">
        <v>8959</v>
      </c>
      <c r="H821" s="1" t="s">
        <v>9092</v>
      </c>
      <c r="I821" s="1" t="s">
        <v>8949</v>
      </c>
      <c r="J821" s="2" t="s">
        <v>18497</v>
      </c>
      <c r="K821" s="1" t="s">
        <v>18497</v>
      </c>
      <c r="L821" s="1" t="s">
        <v>9076</v>
      </c>
      <c r="M821" s="1">
        <v>300</v>
      </c>
      <c r="N821" s="1" t="s">
        <v>8953</v>
      </c>
      <c r="O821" s="1" t="s">
        <v>8989</v>
      </c>
      <c r="P821" s="1" t="s">
        <v>8955</v>
      </c>
      <c r="Q821" s="1" t="s">
        <v>8956</v>
      </c>
      <c r="R821" s="1" t="s">
        <v>9103</v>
      </c>
      <c r="S821" s="1" t="s">
        <v>19106</v>
      </c>
      <c r="T821" s="1" t="s">
        <v>7</v>
      </c>
      <c r="U821" s="1" t="s">
        <v>46</v>
      </c>
    </row>
    <row r="822" spans="1:21" x14ac:dyDescent="0.2">
      <c r="A822" s="88" t="s">
        <v>16417</v>
      </c>
      <c r="B822" s="88" t="e">
        <f>VLOOKUP(C822,#REF!,1,0)</f>
        <v>#REF!</v>
      </c>
      <c r="C822" s="1" t="s">
        <v>2950</v>
      </c>
      <c r="D822" s="1" t="s">
        <v>2951</v>
      </c>
      <c r="E822" s="1" t="s">
        <v>9380</v>
      </c>
      <c r="F822" s="1" t="s">
        <v>8959</v>
      </c>
      <c r="G822" t="s">
        <v>8959</v>
      </c>
      <c r="H822" s="1" t="s">
        <v>9173</v>
      </c>
      <c r="I822" s="1" t="s">
        <v>9174</v>
      </c>
      <c r="J822" s="2" t="s">
        <v>21361</v>
      </c>
      <c r="K822" s="1" t="s">
        <v>21361</v>
      </c>
      <c r="L822" s="1" t="s">
        <v>8951</v>
      </c>
      <c r="M822" s="1">
        <v>10015</v>
      </c>
      <c r="N822" s="1" t="s">
        <v>8953</v>
      </c>
      <c r="O822" s="1" t="s">
        <v>8954</v>
      </c>
      <c r="P822" s="1" t="s">
        <v>8955</v>
      </c>
      <c r="Q822" s="1" t="s">
        <v>8956</v>
      </c>
      <c r="R822" s="1" t="s">
        <v>9103</v>
      </c>
      <c r="S822" s="1" t="s">
        <v>2952</v>
      </c>
      <c r="T822" s="1" t="s">
        <v>17</v>
      </c>
      <c r="U822" s="1" t="s">
        <v>2953</v>
      </c>
    </row>
    <row r="823" spans="1:21" x14ac:dyDescent="0.2">
      <c r="A823" s="88" t="s">
        <v>16418</v>
      </c>
      <c r="B823" s="88" t="e">
        <f>VLOOKUP(C823,#REF!,1,0)</f>
        <v>#REF!</v>
      </c>
      <c r="C823" s="1" t="s">
        <v>2954</v>
      </c>
      <c r="D823" s="1" t="s">
        <v>2955</v>
      </c>
      <c r="E823" s="1" t="s">
        <v>9310</v>
      </c>
      <c r="F823" s="1" t="s">
        <v>8957</v>
      </c>
      <c r="G823" t="s">
        <v>8959</v>
      </c>
      <c r="H823" s="1" t="s">
        <v>9605</v>
      </c>
      <c r="I823" s="1" t="s">
        <v>9155</v>
      </c>
      <c r="J823" s="2" t="s">
        <v>12500</v>
      </c>
      <c r="K823" s="1" t="s">
        <v>12500</v>
      </c>
      <c r="L823" s="1" t="s">
        <v>8987</v>
      </c>
      <c r="M823" s="1">
        <v>1125</v>
      </c>
      <c r="N823" s="1" t="s">
        <v>8953</v>
      </c>
      <c r="O823" s="1" t="s">
        <v>8954</v>
      </c>
      <c r="P823" s="1" t="s">
        <v>8955</v>
      </c>
      <c r="Q823" s="1" t="s">
        <v>8956</v>
      </c>
      <c r="R823" s="1" t="s">
        <v>8958</v>
      </c>
      <c r="S823" s="1" t="s">
        <v>2956</v>
      </c>
      <c r="T823" s="1" t="s">
        <v>924</v>
      </c>
      <c r="U823" s="1" t="s">
        <v>2204</v>
      </c>
    </row>
    <row r="824" spans="1:21" x14ac:dyDescent="0.2">
      <c r="A824" s="88" t="s">
        <v>16419</v>
      </c>
      <c r="B824" s="88" t="e">
        <f>VLOOKUP(C824,#REF!,1,0)</f>
        <v>#REF!</v>
      </c>
      <c r="C824" s="1" t="s">
        <v>2957</v>
      </c>
      <c r="D824" s="1" t="s">
        <v>2958</v>
      </c>
      <c r="E824" s="1" t="s">
        <v>9310</v>
      </c>
      <c r="F824" s="1" t="s">
        <v>8957</v>
      </c>
      <c r="G824" t="s">
        <v>8959</v>
      </c>
      <c r="H824" s="1" t="s">
        <v>9035</v>
      </c>
      <c r="I824" s="1" t="s">
        <v>8998</v>
      </c>
      <c r="J824" s="2" t="s">
        <v>20785</v>
      </c>
      <c r="K824" s="1" t="s">
        <v>18491</v>
      </c>
      <c r="L824" s="1" t="s">
        <v>9076</v>
      </c>
      <c r="M824" s="1">
        <v>73372</v>
      </c>
      <c r="N824" s="1" t="s">
        <v>8953</v>
      </c>
      <c r="O824" s="1" t="s">
        <v>8954</v>
      </c>
      <c r="P824" s="1" t="s">
        <v>8955</v>
      </c>
      <c r="Q824" s="1" t="s">
        <v>8956</v>
      </c>
      <c r="R824" s="1" t="s">
        <v>9103</v>
      </c>
      <c r="S824" s="1" t="s">
        <v>19107</v>
      </c>
      <c r="T824" s="1" t="s">
        <v>7</v>
      </c>
      <c r="U824" s="1" t="s">
        <v>46</v>
      </c>
    </row>
    <row r="825" spans="1:21" x14ac:dyDescent="0.2">
      <c r="A825" s="88" t="s">
        <v>16420</v>
      </c>
      <c r="B825" s="88" t="e">
        <f>VLOOKUP(C825,#REF!,1,0)</f>
        <v>#REF!</v>
      </c>
      <c r="C825" s="1" t="s">
        <v>2963</v>
      </c>
      <c r="D825" s="1" t="s">
        <v>2964</v>
      </c>
      <c r="E825" s="1" t="s">
        <v>10446</v>
      </c>
      <c r="F825" s="1" t="s">
        <v>8957</v>
      </c>
      <c r="G825" t="s">
        <v>8959</v>
      </c>
      <c r="H825" s="1" t="s">
        <v>8948</v>
      </c>
      <c r="I825" s="1" t="s">
        <v>8949</v>
      </c>
      <c r="J825" s="2" t="s">
        <v>9036</v>
      </c>
      <c r="K825" s="1" t="s">
        <v>9036</v>
      </c>
      <c r="L825" s="1" t="s">
        <v>8951</v>
      </c>
      <c r="M825" s="1">
        <v>616</v>
      </c>
      <c r="N825" s="1" t="s">
        <v>8953</v>
      </c>
      <c r="O825" s="1" t="s">
        <v>8989</v>
      </c>
      <c r="P825" s="1" t="s">
        <v>8955</v>
      </c>
      <c r="Q825" s="1" t="s">
        <v>8956</v>
      </c>
      <c r="R825" s="1" t="s">
        <v>8958</v>
      </c>
      <c r="S825" s="1" t="s">
        <v>2965</v>
      </c>
      <c r="T825" s="1" t="s">
        <v>17</v>
      </c>
      <c r="U825" s="1" t="s">
        <v>210</v>
      </c>
    </row>
    <row r="826" spans="1:21" x14ac:dyDescent="0.2">
      <c r="A826" s="88" t="s">
        <v>16421</v>
      </c>
      <c r="B826" s="88" t="e">
        <f>VLOOKUP(C826,#REF!,1,0)</f>
        <v>#REF!</v>
      </c>
      <c r="C826" s="1" t="s">
        <v>2966</v>
      </c>
      <c r="D826" s="1" t="s">
        <v>2967</v>
      </c>
      <c r="E826" s="1" t="s">
        <v>9310</v>
      </c>
      <c r="F826" s="1" t="s">
        <v>8957</v>
      </c>
      <c r="G826" t="s">
        <v>8959</v>
      </c>
      <c r="H826" s="1" t="s">
        <v>8948</v>
      </c>
      <c r="I826" s="1" t="s">
        <v>8949</v>
      </c>
      <c r="J826" s="2" t="s">
        <v>20779</v>
      </c>
      <c r="K826" s="1" t="s">
        <v>9036</v>
      </c>
      <c r="L826" s="1" t="s">
        <v>8987</v>
      </c>
      <c r="M826" s="1">
        <v>9950</v>
      </c>
      <c r="N826" s="1" t="s">
        <v>8953</v>
      </c>
      <c r="O826" s="1" t="s">
        <v>8989</v>
      </c>
      <c r="P826" s="1" t="s">
        <v>8955</v>
      </c>
      <c r="Q826" s="1" t="s">
        <v>8956</v>
      </c>
      <c r="R826" s="1" t="s">
        <v>8958</v>
      </c>
      <c r="S826" s="1" t="s">
        <v>19109</v>
      </c>
      <c r="T826" s="1" t="s">
        <v>17</v>
      </c>
      <c r="U826" s="1" t="s">
        <v>1651</v>
      </c>
    </row>
    <row r="827" spans="1:21" x14ac:dyDescent="0.2">
      <c r="A827" s="88" t="s">
        <v>16422</v>
      </c>
      <c r="B827" s="88" t="e">
        <f>VLOOKUP(C827,#REF!,1,0)</f>
        <v>#REF!</v>
      </c>
      <c r="C827" s="1" t="s">
        <v>2968</v>
      </c>
      <c r="D827" s="1" t="s">
        <v>2969</v>
      </c>
      <c r="E827" s="1" t="s">
        <v>9310</v>
      </c>
      <c r="F827" s="1" t="s">
        <v>8957</v>
      </c>
      <c r="G827" t="s">
        <v>8959</v>
      </c>
      <c r="H827" s="1" t="s">
        <v>8984</v>
      </c>
      <c r="I827" s="1" t="s">
        <v>8998</v>
      </c>
      <c r="J827" s="2" t="s">
        <v>9036</v>
      </c>
      <c r="K827" s="1" t="s">
        <v>9036</v>
      </c>
      <c r="L827" s="1" t="s">
        <v>21600</v>
      </c>
      <c r="M827" s="1">
        <v>9664</v>
      </c>
      <c r="N827" s="1" t="s">
        <v>8953</v>
      </c>
      <c r="O827" s="1" t="s">
        <v>8954</v>
      </c>
      <c r="P827" s="1" t="s">
        <v>8955</v>
      </c>
      <c r="Q827" s="1" t="s">
        <v>8956</v>
      </c>
      <c r="R827" s="1" t="s">
        <v>8958</v>
      </c>
      <c r="S827" s="1" t="s">
        <v>2970</v>
      </c>
      <c r="T827" s="1" t="s">
        <v>242</v>
      </c>
      <c r="U827" s="1" t="s">
        <v>378</v>
      </c>
    </row>
    <row r="828" spans="1:21" x14ac:dyDescent="0.2">
      <c r="A828" s="88" t="s">
        <v>16423</v>
      </c>
      <c r="B828" s="88" t="e">
        <f>VLOOKUP(C828,#REF!,1,0)</f>
        <v>#REF!</v>
      </c>
      <c r="C828" s="1" t="s">
        <v>2971</v>
      </c>
      <c r="D828" s="1" t="s">
        <v>2972</v>
      </c>
      <c r="E828" s="1" t="s">
        <v>18502</v>
      </c>
      <c r="F828" s="1" t="s">
        <v>8957</v>
      </c>
      <c r="G828" t="s">
        <v>9061</v>
      </c>
      <c r="H828" s="1" t="s">
        <v>9252</v>
      </c>
      <c r="I828" s="1" t="s">
        <v>8949</v>
      </c>
      <c r="J828" s="2" t="s">
        <v>10525</v>
      </c>
      <c r="K828" s="1" t="s">
        <v>21650</v>
      </c>
      <c r="L828" s="1" t="s">
        <v>9133</v>
      </c>
      <c r="M828" s="1">
        <v>927</v>
      </c>
      <c r="N828" s="1" t="s">
        <v>8953</v>
      </c>
      <c r="O828" s="1" t="s">
        <v>8954</v>
      </c>
      <c r="P828" s="1" t="s">
        <v>8955</v>
      </c>
      <c r="Q828" s="1" t="s">
        <v>8956</v>
      </c>
      <c r="R828" s="1" t="s">
        <v>9103</v>
      </c>
      <c r="S828" s="1" t="s">
        <v>19110</v>
      </c>
      <c r="T828" s="1" t="s">
        <v>7</v>
      </c>
      <c r="U828" s="1" t="s">
        <v>24</v>
      </c>
    </row>
    <row r="829" spans="1:21" x14ac:dyDescent="0.2">
      <c r="A829" s="88" t="s">
        <v>16424</v>
      </c>
      <c r="B829" s="88" t="e">
        <f>VLOOKUP(C829,#REF!,1,0)</f>
        <v>#REF!</v>
      </c>
      <c r="C829" s="1" t="s">
        <v>2973</v>
      </c>
      <c r="D829" s="1" t="s">
        <v>2974</v>
      </c>
      <c r="E829" s="1" t="s">
        <v>9310</v>
      </c>
      <c r="F829" s="1" t="s">
        <v>8957</v>
      </c>
      <c r="G829" t="s">
        <v>8959</v>
      </c>
      <c r="H829" s="1" t="s">
        <v>9035</v>
      </c>
      <c r="I829" s="1" t="s">
        <v>8998</v>
      </c>
      <c r="J829" s="2" t="s">
        <v>10492</v>
      </c>
      <c r="K829" s="1" t="s">
        <v>21645</v>
      </c>
      <c r="L829" s="1" t="s">
        <v>9464</v>
      </c>
      <c r="M829" s="1">
        <v>40</v>
      </c>
      <c r="N829" s="1" t="s">
        <v>8953</v>
      </c>
      <c r="O829" s="1" t="s">
        <v>8989</v>
      </c>
      <c r="P829" s="1" t="s">
        <v>8955</v>
      </c>
      <c r="Q829" s="1" t="s">
        <v>8956</v>
      </c>
      <c r="R829" s="1" t="s">
        <v>8958</v>
      </c>
      <c r="S829" s="1" t="s">
        <v>19111</v>
      </c>
      <c r="T829" s="1" t="s">
        <v>7</v>
      </c>
      <c r="U829" s="1" t="s">
        <v>46</v>
      </c>
    </row>
    <row r="830" spans="1:21" x14ac:dyDescent="0.2">
      <c r="A830" s="88" t="s">
        <v>16425</v>
      </c>
      <c r="B830" s="88" t="e">
        <f>VLOOKUP(C830,#REF!,1,0)</f>
        <v>#REF!</v>
      </c>
      <c r="C830" s="1" t="s">
        <v>2975</v>
      </c>
      <c r="D830" s="1" t="s">
        <v>2976</v>
      </c>
      <c r="E830" s="1" t="s">
        <v>18502</v>
      </c>
      <c r="F830" s="1" t="s">
        <v>8957</v>
      </c>
      <c r="G830" t="s">
        <v>9061</v>
      </c>
      <c r="H830" s="1" t="s">
        <v>9075</v>
      </c>
      <c r="I830" s="1" t="s">
        <v>8971</v>
      </c>
      <c r="J830" s="2" t="s">
        <v>20765</v>
      </c>
      <c r="K830" s="1" t="s">
        <v>20765</v>
      </c>
      <c r="L830" s="1" t="s">
        <v>21600</v>
      </c>
      <c r="M830" s="1">
        <v>1517</v>
      </c>
      <c r="N830" s="1" t="s">
        <v>8953</v>
      </c>
      <c r="O830" s="1" t="s">
        <v>8989</v>
      </c>
      <c r="P830" s="1" t="s">
        <v>8955</v>
      </c>
      <c r="Q830" s="1" t="s">
        <v>8956</v>
      </c>
      <c r="R830" s="1" t="s">
        <v>8958</v>
      </c>
      <c r="S830" s="1" t="s">
        <v>19112</v>
      </c>
      <c r="T830" s="1" t="s">
        <v>17</v>
      </c>
      <c r="U830" s="1" t="s">
        <v>46</v>
      </c>
    </row>
    <row r="831" spans="1:21" x14ac:dyDescent="0.2">
      <c r="A831" s="88" t="s">
        <v>16426</v>
      </c>
      <c r="B831" s="88" t="e">
        <f>VLOOKUP(C831,#REF!,1,0)</f>
        <v>#REF!</v>
      </c>
      <c r="C831" s="1" t="s">
        <v>2977</v>
      </c>
      <c r="D831" s="1" t="s">
        <v>2978</v>
      </c>
      <c r="E831" s="1" t="s">
        <v>9310</v>
      </c>
      <c r="F831" s="1" t="s">
        <v>8957</v>
      </c>
      <c r="G831" t="s">
        <v>9009</v>
      </c>
      <c r="H831" s="1" t="s">
        <v>9092</v>
      </c>
      <c r="I831" s="1" t="s">
        <v>9308</v>
      </c>
      <c r="J831" s="2" t="s">
        <v>9658</v>
      </c>
      <c r="K831" s="1" t="s">
        <v>9658</v>
      </c>
      <c r="L831" s="1" t="s">
        <v>9292</v>
      </c>
      <c r="M831" s="1">
        <v>472</v>
      </c>
      <c r="N831" s="1" t="s">
        <v>9059</v>
      </c>
      <c r="O831" s="1" t="s">
        <v>8989</v>
      </c>
      <c r="P831" s="1" t="s">
        <v>8955</v>
      </c>
      <c r="Q831" s="1" t="s">
        <v>8956</v>
      </c>
      <c r="R831" s="1" t="s">
        <v>8975</v>
      </c>
      <c r="S831" s="1" t="s">
        <v>2979</v>
      </c>
      <c r="T831" s="1" t="s">
        <v>11</v>
      </c>
      <c r="U831" s="1" t="s">
        <v>2980</v>
      </c>
    </row>
    <row r="832" spans="1:21" x14ac:dyDescent="0.2">
      <c r="A832" s="95" t="s">
        <v>21155</v>
      </c>
      <c r="B832" s="88" t="e">
        <f>VLOOKUP(C832,#REF!,1,0)</f>
        <v>#REF!</v>
      </c>
      <c r="C832" s="1" t="s">
        <v>2981</v>
      </c>
      <c r="D832" s="1" t="s">
        <v>2982</v>
      </c>
      <c r="E832" s="1" t="s">
        <v>18502</v>
      </c>
      <c r="F832" s="1" t="s">
        <v>8957</v>
      </c>
      <c r="G832" t="s">
        <v>20843</v>
      </c>
      <c r="H832" s="1" t="s">
        <v>9100</v>
      </c>
      <c r="I832" s="1" t="s">
        <v>8949</v>
      </c>
      <c r="J832" s="2" t="s">
        <v>20830</v>
      </c>
      <c r="K832" s="1" t="s">
        <v>9041</v>
      </c>
      <c r="L832" s="1" t="s">
        <v>8987</v>
      </c>
      <c r="M832" s="1">
        <v>857</v>
      </c>
      <c r="N832" s="1" t="s">
        <v>9059</v>
      </c>
      <c r="O832" s="1" t="s">
        <v>8954</v>
      </c>
      <c r="P832" s="1" t="s">
        <v>8955</v>
      </c>
      <c r="Q832" s="1" t="s">
        <v>8956</v>
      </c>
      <c r="R832" s="1" t="s">
        <v>8958</v>
      </c>
      <c r="S832" s="1" t="s">
        <v>19113</v>
      </c>
      <c r="T832" s="1" t="s">
        <v>17</v>
      </c>
      <c r="U832" s="1" t="s">
        <v>1076</v>
      </c>
    </row>
    <row r="833" spans="1:21" x14ac:dyDescent="0.2">
      <c r="A833" s="88" t="s">
        <v>16427</v>
      </c>
      <c r="B833" s="88" t="e">
        <f>VLOOKUP(C833,#REF!,1,0)</f>
        <v>#REF!</v>
      </c>
      <c r="C833" s="1" t="s">
        <v>2983</v>
      </c>
      <c r="D833" s="1" t="s">
        <v>2984</v>
      </c>
      <c r="E833" s="1" t="s">
        <v>9317</v>
      </c>
      <c r="F833" s="1" t="s">
        <v>8957</v>
      </c>
      <c r="G833" t="s">
        <v>8959</v>
      </c>
      <c r="H833" s="1" t="s">
        <v>9605</v>
      </c>
      <c r="I833" s="1" t="s">
        <v>9155</v>
      </c>
      <c r="J833" s="2" t="s">
        <v>10492</v>
      </c>
      <c r="K833" s="1" t="s">
        <v>10492</v>
      </c>
      <c r="L833" s="1" t="s">
        <v>21600</v>
      </c>
      <c r="M833" s="1">
        <v>83</v>
      </c>
      <c r="N833" s="1" t="s">
        <v>9059</v>
      </c>
      <c r="O833" s="1" t="s">
        <v>8989</v>
      </c>
      <c r="P833" s="1" t="s">
        <v>8955</v>
      </c>
      <c r="Q833" s="1" t="s">
        <v>8956</v>
      </c>
      <c r="R833" s="1" t="s">
        <v>8975</v>
      </c>
      <c r="S833" s="1" t="s">
        <v>19114</v>
      </c>
      <c r="T833" s="1" t="s">
        <v>7</v>
      </c>
      <c r="U833" s="1" t="s">
        <v>27</v>
      </c>
    </row>
    <row r="834" spans="1:21" x14ac:dyDescent="0.2">
      <c r="A834" s="88" t="s">
        <v>16428</v>
      </c>
      <c r="B834" s="88" t="e">
        <f>VLOOKUP(C834,#REF!,1,0)</f>
        <v>#REF!</v>
      </c>
      <c r="C834" s="1" t="s">
        <v>2985</v>
      </c>
      <c r="D834" s="1" t="s">
        <v>2986</v>
      </c>
      <c r="E834" s="1" t="s">
        <v>9310</v>
      </c>
      <c r="F834" s="1" t="s">
        <v>9060</v>
      </c>
      <c r="G834" t="s">
        <v>8959</v>
      </c>
      <c r="H834" s="1" t="s">
        <v>8948</v>
      </c>
      <c r="I834" s="1" t="s">
        <v>8949</v>
      </c>
      <c r="J834" s="2" t="s">
        <v>13541</v>
      </c>
      <c r="K834" s="1" t="s">
        <v>13541</v>
      </c>
      <c r="L834" s="1" t="s">
        <v>9076</v>
      </c>
      <c r="M834" s="1">
        <v>228453</v>
      </c>
      <c r="N834" s="1" t="s">
        <v>8953</v>
      </c>
      <c r="O834" s="1" t="s">
        <v>8989</v>
      </c>
      <c r="P834" s="1" t="s">
        <v>8955</v>
      </c>
      <c r="Q834" s="1" t="s">
        <v>8956</v>
      </c>
      <c r="R834" s="1" t="s">
        <v>8975</v>
      </c>
      <c r="S834" s="1" t="s">
        <v>2987</v>
      </c>
      <c r="T834" s="1" t="s">
        <v>11</v>
      </c>
      <c r="U834" s="1" t="s">
        <v>2988</v>
      </c>
    </row>
    <row r="835" spans="1:21" x14ac:dyDescent="0.2">
      <c r="A835" s="88" t="s">
        <v>16429</v>
      </c>
      <c r="B835" s="88" t="e">
        <f>VLOOKUP(C835,#REF!,1,0)</f>
        <v>#REF!</v>
      </c>
      <c r="C835" s="1" t="s">
        <v>2989</v>
      </c>
      <c r="D835" s="1" t="s">
        <v>2990</v>
      </c>
      <c r="E835" s="1" t="s">
        <v>9310</v>
      </c>
      <c r="F835" s="1" t="s">
        <v>8957</v>
      </c>
      <c r="G835" t="s">
        <v>9061</v>
      </c>
      <c r="H835" s="1" t="s">
        <v>9154</v>
      </c>
      <c r="I835" s="1" t="s">
        <v>11607</v>
      </c>
      <c r="J835" s="2" t="s">
        <v>21362</v>
      </c>
      <c r="K835" s="1" t="s">
        <v>21362</v>
      </c>
      <c r="L835" s="1" t="s">
        <v>21600</v>
      </c>
      <c r="M835" s="1">
        <v>2216</v>
      </c>
      <c r="N835" s="1" t="s">
        <v>8953</v>
      </c>
      <c r="O835" s="1" t="s">
        <v>8989</v>
      </c>
      <c r="P835" s="1" t="s">
        <v>8955</v>
      </c>
      <c r="Q835" s="1" t="s">
        <v>8956</v>
      </c>
      <c r="R835" s="1" t="s">
        <v>8975</v>
      </c>
      <c r="S835" s="1" t="s">
        <v>19115</v>
      </c>
      <c r="T835" s="1" t="s">
        <v>17</v>
      </c>
      <c r="U835" s="1" t="s">
        <v>46</v>
      </c>
    </row>
    <row r="836" spans="1:21" x14ac:dyDescent="0.2">
      <c r="A836" s="88" t="s">
        <v>16430</v>
      </c>
      <c r="B836" s="88" t="e">
        <f>VLOOKUP(C836,#REF!,1,0)</f>
        <v>#REF!</v>
      </c>
      <c r="C836" s="1" t="s">
        <v>2991</v>
      </c>
      <c r="D836" s="1" t="s">
        <v>2992</v>
      </c>
      <c r="E836" s="1" t="s">
        <v>9310</v>
      </c>
      <c r="F836" s="1" t="s">
        <v>8957</v>
      </c>
      <c r="G836" t="s">
        <v>9183</v>
      </c>
      <c r="H836" s="1" t="s">
        <v>9252</v>
      </c>
      <c r="I836" s="1" t="s">
        <v>8971</v>
      </c>
      <c r="J836" s="2" t="s">
        <v>9918</v>
      </c>
      <c r="K836" s="1" t="s">
        <v>9918</v>
      </c>
      <c r="L836" s="1" t="s">
        <v>21600</v>
      </c>
      <c r="M836" s="1">
        <v>1570</v>
      </c>
      <c r="N836" s="1" t="s">
        <v>8953</v>
      </c>
      <c r="O836" s="1" t="s">
        <v>8989</v>
      </c>
      <c r="P836" s="1" t="s">
        <v>8955</v>
      </c>
      <c r="Q836" s="1" t="s">
        <v>8956</v>
      </c>
      <c r="R836" s="1" t="s">
        <v>8958</v>
      </c>
      <c r="S836" s="1" t="s">
        <v>2993</v>
      </c>
      <c r="T836" s="1" t="s">
        <v>17</v>
      </c>
      <c r="U836" s="1" t="s">
        <v>93</v>
      </c>
    </row>
    <row r="837" spans="1:21" x14ac:dyDescent="0.2">
      <c r="A837" s="88" t="s">
        <v>16431</v>
      </c>
      <c r="B837" s="88" t="e">
        <f>VLOOKUP(C837,#REF!,1,0)</f>
        <v>#REF!</v>
      </c>
      <c r="C837" s="1" t="s">
        <v>2994</v>
      </c>
      <c r="D837" s="1" t="s">
        <v>2995</v>
      </c>
      <c r="E837" s="1" t="s">
        <v>9310</v>
      </c>
      <c r="F837" s="1" t="s">
        <v>8957</v>
      </c>
      <c r="G837" t="s">
        <v>8959</v>
      </c>
      <c r="H837" s="1" t="s">
        <v>8948</v>
      </c>
      <c r="I837" s="1" t="s">
        <v>8998</v>
      </c>
      <c r="J837" s="2" t="s">
        <v>9386</v>
      </c>
      <c r="K837" s="1" t="s">
        <v>9386</v>
      </c>
      <c r="L837" s="1" t="s">
        <v>9464</v>
      </c>
      <c r="M837" s="1">
        <v>300</v>
      </c>
      <c r="N837" s="1" t="s">
        <v>8953</v>
      </c>
      <c r="O837" s="1" t="s">
        <v>8954</v>
      </c>
      <c r="P837" s="1" t="s">
        <v>8955</v>
      </c>
      <c r="Q837" s="1" t="s">
        <v>8956</v>
      </c>
      <c r="R837" s="1" t="s">
        <v>8975</v>
      </c>
      <c r="S837" s="1" t="s">
        <v>2996</v>
      </c>
      <c r="T837" s="1" t="s">
        <v>17</v>
      </c>
      <c r="U837" s="1" t="s">
        <v>93</v>
      </c>
    </row>
    <row r="838" spans="1:21" x14ac:dyDescent="0.2">
      <c r="A838" s="88" t="s">
        <v>16432</v>
      </c>
      <c r="B838" s="88" t="e">
        <f>VLOOKUP(C838,#REF!,1,0)</f>
        <v>#REF!</v>
      </c>
      <c r="C838" s="1" t="s">
        <v>2997</v>
      </c>
      <c r="D838" s="1" t="s">
        <v>2998</v>
      </c>
      <c r="E838" s="1" t="s">
        <v>9310</v>
      </c>
      <c r="F838" s="1" t="s">
        <v>8957</v>
      </c>
      <c r="G838" t="s">
        <v>9061</v>
      </c>
      <c r="H838" s="1" t="s">
        <v>9605</v>
      </c>
      <c r="I838" s="1" t="s">
        <v>9155</v>
      </c>
      <c r="J838" s="2" t="s">
        <v>10629</v>
      </c>
      <c r="K838" s="1" t="s">
        <v>10629</v>
      </c>
      <c r="L838" s="1" t="s">
        <v>9076</v>
      </c>
      <c r="M838" s="1">
        <v>23132</v>
      </c>
      <c r="N838" s="1" t="s">
        <v>8953</v>
      </c>
      <c r="O838" s="1" t="s">
        <v>8989</v>
      </c>
      <c r="P838" s="1" t="s">
        <v>8955</v>
      </c>
      <c r="Q838" s="1" t="s">
        <v>8956</v>
      </c>
      <c r="R838" s="1" t="s">
        <v>8975</v>
      </c>
      <c r="S838" s="1" t="s">
        <v>19116</v>
      </c>
      <c r="T838" s="1" t="s">
        <v>7</v>
      </c>
      <c r="U838" s="1" t="s">
        <v>378</v>
      </c>
    </row>
    <row r="839" spans="1:21" x14ac:dyDescent="0.2">
      <c r="A839" s="88" t="s">
        <v>16433</v>
      </c>
      <c r="B839" s="88" t="e">
        <f>VLOOKUP(C839,#REF!,1,0)</f>
        <v>#REF!</v>
      </c>
      <c r="C839" s="1" t="s">
        <v>2999</v>
      </c>
      <c r="D839" s="1" t="s">
        <v>3000</v>
      </c>
      <c r="E839" s="1" t="s">
        <v>9310</v>
      </c>
      <c r="F839" s="1" t="s">
        <v>9060</v>
      </c>
      <c r="G839" t="s">
        <v>8959</v>
      </c>
      <c r="H839" s="1" t="s">
        <v>8948</v>
      </c>
      <c r="I839" s="1" t="s">
        <v>12453</v>
      </c>
      <c r="J839" s="2" t="s">
        <v>21462</v>
      </c>
      <c r="K839" s="1" t="s">
        <v>21462</v>
      </c>
      <c r="L839" s="1" t="s">
        <v>8951</v>
      </c>
      <c r="M839" s="1">
        <v>20</v>
      </c>
      <c r="N839" s="1" t="s">
        <v>9059</v>
      </c>
      <c r="O839" s="1" t="s">
        <v>8989</v>
      </c>
      <c r="P839" s="1" t="s">
        <v>8955</v>
      </c>
      <c r="Q839" s="1" t="s">
        <v>8956</v>
      </c>
      <c r="R839" s="1" t="s">
        <v>8958</v>
      </c>
      <c r="S839" s="1" t="s">
        <v>3001</v>
      </c>
      <c r="T839" s="1" t="s">
        <v>17</v>
      </c>
      <c r="U839" s="1" t="s">
        <v>359</v>
      </c>
    </row>
    <row r="840" spans="1:21" x14ac:dyDescent="0.2">
      <c r="A840" s="88" t="s">
        <v>16434</v>
      </c>
      <c r="B840" s="88" t="e">
        <f>VLOOKUP(C840,#REF!,1,0)</f>
        <v>#REF!</v>
      </c>
      <c r="C840" s="1" t="s">
        <v>3002</v>
      </c>
      <c r="D840" s="1" t="s">
        <v>3003</v>
      </c>
      <c r="E840" s="1" t="s">
        <v>9213</v>
      </c>
      <c r="F840" s="1" t="s">
        <v>8957</v>
      </c>
      <c r="G840" t="s">
        <v>8959</v>
      </c>
      <c r="H840" s="1" t="s">
        <v>20714</v>
      </c>
      <c r="I840" s="1" t="s">
        <v>9050</v>
      </c>
      <c r="J840" s="2" t="s">
        <v>18497</v>
      </c>
      <c r="K840" s="1" t="s">
        <v>18497</v>
      </c>
      <c r="L840" s="1" t="s">
        <v>21600</v>
      </c>
      <c r="M840" s="1">
        <v>40</v>
      </c>
      <c r="N840" s="1" t="s">
        <v>8953</v>
      </c>
      <c r="O840" s="1" t="s">
        <v>8989</v>
      </c>
      <c r="P840" s="1" t="s">
        <v>8955</v>
      </c>
      <c r="Q840" s="1" t="s">
        <v>8956</v>
      </c>
      <c r="R840" s="1" t="s">
        <v>9103</v>
      </c>
      <c r="S840" s="1" t="s">
        <v>19117</v>
      </c>
      <c r="T840" s="1" t="s">
        <v>17</v>
      </c>
      <c r="U840" s="1" t="s">
        <v>46</v>
      </c>
    </row>
    <row r="841" spans="1:21" x14ac:dyDescent="0.2">
      <c r="A841" s="88" t="s">
        <v>16435</v>
      </c>
      <c r="B841" s="88" t="e">
        <f>VLOOKUP(C841,#REF!,1,0)</f>
        <v>#REF!</v>
      </c>
      <c r="C841" s="1" t="s">
        <v>3004</v>
      </c>
      <c r="D841" s="1" t="s">
        <v>3005</v>
      </c>
      <c r="E841" s="1" t="s">
        <v>9310</v>
      </c>
      <c r="F841" s="1" t="s">
        <v>8957</v>
      </c>
      <c r="G841" t="s">
        <v>8959</v>
      </c>
      <c r="H841" s="1" t="s">
        <v>9100</v>
      </c>
      <c r="I841" s="1" t="s">
        <v>8998</v>
      </c>
      <c r="J841" s="2" t="s">
        <v>10492</v>
      </c>
      <c r="K841" s="1" t="s">
        <v>21645</v>
      </c>
      <c r="L841" s="1" t="s">
        <v>21600</v>
      </c>
      <c r="M841" s="1">
        <v>40</v>
      </c>
      <c r="N841" s="1" t="s">
        <v>8953</v>
      </c>
      <c r="O841" s="1" t="s">
        <v>8989</v>
      </c>
      <c r="P841" s="1" t="s">
        <v>8955</v>
      </c>
      <c r="Q841" s="1" t="s">
        <v>8956</v>
      </c>
      <c r="R841" s="1" t="s">
        <v>8958</v>
      </c>
      <c r="S841" s="1" t="s">
        <v>19118</v>
      </c>
      <c r="T841" s="1" t="s">
        <v>7</v>
      </c>
      <c r="U841" s="1" t="s">
        <v>46</v>
      </c>
    </row>
    <row r="842" spans="1:21" x14ac:dyDescent="0.2">
      <c r="A842" s="88" t="s">
        <v>16436</v>
      </c>
      <c r="B842" s="88" t="e">
        <f>VLOOKUP(C842,#REF!,1,0)</f>
        <v>#REF!</v>
      </c>
      <c r="C842" s="1" t="s">
        <v>3006</v>
      </c>
      <c r="D842" s="1" t="s">
        <v>3007</v>
      </c>
      <c r="E842" s="1" t="s">
        <v>9310</v>
      </c>
      <c r="F842" s="1" t="s">
        <v>8957</v>
      </c>
      <c r="G842" t="s">
        <v>8959</v>
      </c>
      <c r="H842" s="1" t="s">
        <v>8948</v>
      </c>
      <c r="I842" s="1" t="s">
        <v>9155</v>
      </c>
      <c r="J842" s="2" t="s">
        <v>9036</v>
      </c>
      <c r="K842" s="1" t="s">
        <v>9036</v>
      </c>
      <c r="L842" s="1" t="s">
        <v>9076</v>
      </c>
      <c r="M842" s="1">
        <v>22</v>
      </c>
      <c r="N842" s="1" t="s">
        <v>8953</v>
      </c>
      <c r="O842" s="1" t="s">
        <v>8954</v>
      </c>
      <c r="P842" s="1" t="s">
        <v>8955</v>
      </c>
      <c r="Q842" s="1" t="s">
        <v>8956</v>
      </c>
      <c r="R842" s="1" t="s">
        <v>8975</v>
      </c>
      <c r="S842" s="1" t="s">
        <v>3008</v>
      </c>
      <c r="T842" s="1" t="s">
        <v>11</v>
      </c>
      <c r="U842" s="1" t="s">
        <v>1848</v>
      </c>
    </row>
    <row r="843" spans="1:21" x14ac:dyDescent="0.2">
      <c r="A843" s="88" t="s">
        <v>16437</v>
      </c>
      <c r="B843" s="88" t="e">
        <f>VLOOKUP(C843,#REF!,1,0)</f>
        <v>#REF!</v>
      </c>
      <c r="C843" s="1" t="s">
        <v>3009</v>
      </c>
      <c r="D843" s="1" t="s">
        <v>3010</v>
      </c>
      <c r="E843" s="1" t="s">
        <v>9310</v>
      </c>
      <c r="F843" s="1" t="s">
        <v>8957</v>
      </c>
      <c r="G843" t="s">
        <v>8959</v>
      </c>
      <c r="H843" s="1" t="s">
        <v>8984</v>
      </c>
      <c r="I843" s="1" t="s">
        <v>8949</v>
      </c>
      <c r="J843" s="2" t="s">
        <v>20779</v>
      </c>
      <c r="K843" s="1" t="s">
        <v>9036</v>
      </c>
      <c r="L843" s="1" t="s">
        <v>8987</v>
      </c>
      <c r="M843" s="1">
        <v>103</v>
      </c>
      <c r="N843" s="1" t="s">
        <v>9059</v>
      </c>
      <c r="O843" s="1" t="s">
        <v>8989</v>
      </c>
      <c r="P843" s="1" t="s">
        <v>8955</v>
      </c>
      <c r="Q843" s="1" t="s">
        <v>8956</v>
      </c>
      <c r="R843" s="1" t="s">
        <v>8975</v>
      </c>
      <c r="S843" s="1" t="s">
        <v>19119</v>
      </c>
      <c r="T843" s="1" t="s">
        <v>7</v>
      </c>
      <c r="U843" s="1" t="s">
        <v>27</v>
      </c>
    </row>
    <row r="844" spans="1:21" x14ac:dyDescent="0.2">
      <c r="A844" s="88" t="s">
        <v>16439</v>
      </c>
      <c r="B844" s="88" t="e">
        <f>VLOOKUP(C844,#REF!,1,0)</f>
        <v>#REF!</v>
      </c>
      <c r="C844" s="1" t="s">
        <v>3016</v>
      </c>
      <c r="D844" s="1" t="s">
        <v>3017</v>
      </c>
      <c r="E844" s="1" t="s">
        <v>9310</v>
      </c>
      <c r="F844" s="1" t="s">
        <v>8957</v>
      </c>
      <c r="G844" t="s">
        <v>8959</v>
      </c>
      <c r="H844" s="1" t="s">
        <v>8948</v>
      </c>
      <c r="I844" s="1" t="s">
        <v>8949</v>
      </c>
      <c r="J844" s="2" t="s">
        <v>21414</v>
      </c>
      <c r="K844" s="1" t="s">
        <v>21777</v>
      </c>
      <c r="L844" s="1" t="s">
        <v>8987</v>
      </c>
      <c r="M844" s="1">
        <v>68</v>
      </c>
      <c r="N844" s="1" t="s">
        <v>9059</v>
      </c>
      <c r="O844" s="1" t="s">
        <v>8989</v>
      </c>
      <c r="P844" s="1" t="s">
        <v>8955</v>
      </c>
      <c r="Q844" s="1" t="s">
        <v>8956</v>
      </c>
      <c r="R844" s="1" t="s">
        <v>8975</v>
      </c>
      <c r="S844" s="1" t="s">
        <v>3018</v>
      </c>
      <c r="T844" s="1" t="s">
        <v>11</v>
      </c>
      <c r="U844" s="1" t="s">
        <v>61</v>
      </c>
    </row>
    <row r="845" spans="1:21" x14ac:dyDescent="0.2">
      <c r="A845" s="88" t="s">
        <v>16440</v>
      </c>
      <c r="B845" s="88" t="e">
        <f>VLOOKUP(C845,#REF!,1,0)</f>
        <v>#REF!</v>
      </c>
      <c r="C845" s="1" t="s">
        <v>3019</v>
      </c>
      <c r="D845" s="1" t="s">
        <v>3020</v>
      </c>
      <c r="E845" s="1" t="s">
        <v>9176</v>
      </c>
      <c r="F845" s="1" t="s">
        <v>8959</v>
      </c>
      <c r="G845" t="s">
        <v>9183</v>
      </c>
      <c r="H845" s="1" t="s">
        <v>8948</v>
      </c>
      <c r="I845" s="1" t="s">
        <v>8998</v>
      </c>
      <c r="J845" s="2" t="s">
        <v>18489</v>
      </c>
      <c r="K845" s="1" t="s">
        <v>18489</v>
      </c>
      <c r="L845" s="1" t="s">
        <v>9292</v>
      </c>
      <c r="M845" s="1">
        <v>675</v>
      </c>
      <c r="N845" s="1" t="s">
        <v>8953</v>
      </c>
      <c r="O845" s="1" t="s">
        <v>8989</v>
      </c>
      <c r="P845" s="1" t="s">
        <v>8955</v>
      </c>
      <c r="Q845" s="1" t="s">
        <v>8956</v>
      </c>
      <c r="R845" s="1" t="s">
        <v>8975</v>
      </c>
      <c r="S845" s="1" t="s">
        <v>19122</v>
      </c>
      <c r="T845" s="1" t="s">
        <v>7</v>
      </c>
      <c r="U845" s="1" t="s">
        <v>3021</v>
      </c>
    </row>
    <row r="846" spans="1:21" x14ac:dyDescent="0.2">
      <c r="A846" s="88" t="s">
        <v>16441</v>
      </c>
      <c r="B846" s="88" t="e">
        <f>VLOOKUP(C846,#REF!,1,0)</f>
        <v>#REF!</v>
      </c>
      <c r="C846" s="1" t="s">
        <v>3022</v>
      </c>
      <c r="D846" s="1" t="s">
        <v>3023</v>
      </c>
      <c r="E846" s="1" t="s">
        <v>9310</v>
      </c>
      <c r="F846" s="1" t="s">
        <v>8957</v>
      </c>
      <c r="G846" t="s">
        <v>8959</v>
      </c>
      <c r="H846" s="1" t="s">
        <v>9605</v>
      </c>
      <c r="I846" s="1" t="s">
        <v>8959</v>
      </c>
      <c r="J846" s="2" t="s">
        <v>18497</v>
      </c>
      <c r="K846" s="1" t="s">
        <v>18497</v>
      </c>
      <c r="L846" s="1" t="s">
        <v>8951</v>
      </c>
      <c r="M846" s="1">
        <v>365</v>
      </c>
      <c r="N846" s="1" t="s">
        <v>8953</v>
      </c>
      <c r="O846" s="1" t="s">
        <v>8989</v>
      </c>
      <c r="P846" s="1" t="s">
        <v>8955</v>
      </c>
      <c r="Q846" s="1" t="s">
        <v>8956</v>
      </c>
      <c r="R846" s="1" t="s">
        <v>8958</v>
      </c>
      <c r="S846" s="1" t="s">
        <v>19123</v>
      </c>
      <c r="T846" s="1" t="s">
        <v>17</v>
      </c>
      <c r="U846" s="1" t="s">
        <v>2248</v>
      </c>
    </row>
    <row r="847" spans="1:21" x14ac:dyDescent="0.2">
      <c r="A847" s="88" t="s">
        <v>16442</v>
      </c>
      <c r="B847" s="88" t="e">
        <f>VLOOKUP(C847,#REF!,1,0)</f>
        <v>#REF!</v>
      </c>
      <c r="C847" s="1" t="s">
        <v>3024</v>
      </c>
      <c r="D847" s="1" t="s">
        <v>3025</v>
      </c>
      <c r="E847" s="1" t="s">
        <v>18502</v>
      </c>
      <c r="F847" s="1" t="s">
        <v>8957</v>
      </c>
      <c r="G847" t="s">
        <v>8959</v>
      </c>
      <c r="H847" s="1" t="s">
        <v>9035</v>
      </c>
      <c r="I847" s="1" t="s">
        <v>8998</v>
      </c>
      <c r="J847" s="2" t="s">
        <v>20811</v>
      </c>
      <c r="K847" s="1" t="s">
        <v>13923</v>
      </c>
      <c r="L847" s="1" t="s">
        <v>8951</v>
      </c>
      <c r="M847" s="1">
        <v>27391</v>
      </c>
      <c r="N847" s="1" t="s">
        <v>9059</v>
      </c>
      <c r="O847" s="1" t="s">
        <v>8954</v>
      </c>
      <c r="P847" s="1" t="s">
        <v>8955</v>
      </c>
      <c r="Q847" s="1" t="s">
        <v>8956</v>
      </c>
      <c r="R847" s="1" t="s">
        <v>8975</v>
      </c>
      <c r="S847" s="1" t="s">
        <v>19124</v>
      </c>
      <c r="T847" s="1" t="s">
        <v>17</v>
      </c>
      <c r="U847" s="1" t="s">
        <v>686</v>
      </c>
    </row>
    <row r="848" spans="1:21" x14ac:dyDescent="0.2">
      <c r="A848" s="88" t="s">
        <v>16443</v>
      </c>
      <c r="B848" s="88" t="e">
        <f>VLOOKUP(C848,#REF!,1,0)</f>
        <v>#REF!</v>
      </c>
      <c r="C848" s="1" t="s">
        <v>3026</v>
      </c>
      <c r="D848" s="1" t="s">
        <v>3027</v>
      </c>
      <c r="E848" s="1" t="s">
        <v>9310</v>
      </c>
      <c r="F848" s="1" t="s">
        <v>8957</v>
      </c>
      <c r="G848" t="s">
        <v>8959</v>
      </c>
      <c r="H848" s="1" t="s">
        <v>8984</v>
      </c>
      <c r="I848" s="1" t="s">
        <v>8971</v>
      </c>
      <c r="J848" s="2" t="s">
        <v>10057</v>
      </c>
      <c r="K848" s="1" t="s">
        <v>21778</v>
      </c>
      <c r="L848" s="1" t="s">
        <v>9157</v>
      </c>
      <c r="M848" s="1">
        <v>39</v>
      </c>
      <c r="N848" s="1" t="s">
        <v>8953</v>
      </c>
      <c r="O848" s="1" t="s">
        <v>8989</v>
      </c>
      <c r="P848" s="1" t="s">
        <v>8955</v>
      </c>
      <c r="Q848" s="1" t="s">
        <v>8956</v>
      </c>
      <c r="R848" s="1" t="s">
        <v>8975</v>
      </c>
      <c r="S848" s="1" t="s">
        <v>3028</v>
      </c>
      <c r="T848" s="1" t="s">
        <v>17</v>
      </c>
      <c r="U848" s="1" t="s">
        <v>93</v>
      </c>
    </row>
    <row r="849" spans="1:21" x14ac:dyDescent="0.2">
      <c r="A849" s="88" t="s">
        <v>16444</v>
      </c>
      <c r="B849" s="88" t="e">
        <f>VLOOKUP(C849,#REF!,1,0)</f>
        <v>#REF!</v>
      </c>
      <c r="C849" s="1" t="s">
        <v>3035</v>
      </c>
      <c r="D849" s="1" t="s">
        <v>3036</v>
      </c>
      <c r="E849" s="1" t="s">
        <v>18502</v>
      </c>
      <c r="F849" s="1" t="s">
        <v>8957</v>
      </c>
      <c r="G849" t="s">
        <v>8959</v>
      </c>
      <c r="H849" s="1" t="s">
        <v>9035</v>
      </c>
      <c r="I849" s="1" t="s">
        <v>8998</v>
      </c>
      <c r="J849" s="2" t="s">
        <v>20779</v>
      </c>
      <c r="K849" s="1" t="s">
        <v>9036</v>
      </c>
      <c r="L849" s="1" t="s">
        <v>8987</v>
      </c>
      <c r="M849" s="1">
        <v>1794</v>
      </c>
      <c r="N849" s="1" t="s">
        <v>9059</v>
      </c>
      <c r="O849" s="1" t="s">
        <v>8989</v>
      </c>
      <c r="P849" s="1" t="s">
        <v>8955</v>
      </c>
      <c r="Q849" s="1" t="s">
        <v>8956</v>
      </c>
      <c r="R849" s="1" t="s">
        <v>8958</v>
      </c>
      <c r="S849" s="1" t="s">
        <v>19127</v>
      </c>
      <c r="T849" s="1" t="s">
        <v>7</v>
      </c>
      <c r="U849" s="1" t="s">
        <v>24</v>
      </c>
    </row>
    <row r="850" spans="1:21" x14ac:dyDescent="0.2">
      <c r="A850" s="88" t="s">
        <v>16445</v>
      </c>
      <c r="B850" s="88" t="e">
        <f>VLOOKUP(C850,#REF!,1,0)</f>
        <v>#REF!</v>
      </c>
      <c r="C850" s="1" t="s">
        <v>3037</v>
      </c>
      <c r="D850" s="1" t="s">
        <v>3038</v>
      </c>
      <c r="E850" s="1" t="s">
        <v>9815</v>
      </c>
      <c r="F850" s="1" t="s">
        <v>8959</v>
      </c>
      <c r="G850" t="s">
        <v>8959</v>
      </c>
      <c r="H850" s="1" t="s">
        <v>9154</v>
      </c>
      <c r="I850" s="1" t="s">
        <v>8998</v>
      </c>
      <c r="J850" s="2" t="s">
        <v>9036</v>
      </c>
      <c r="K850" s="1" t="s">
        <v>9036</v>
      </c>
      <c r="L850" s="1" t="s">
        <v>21600</v>
      </c>
      <c r="M850" s="1">
        <v>78</v>
      </c>
      <c r="N850" s="1" t="s">
        <v>8953</v>
      </c>
      <c r="O850" s="1" t="s">
        <v>8989</v>
      </c>
      <c r="P850" s="1" t="s">
        <v>8955</v>
      </c>
      <c r="Q850" s="1" t="s">
        <v>8956</v>
      </c>
      <c r="R850" s="1" t="s">
        <v>8975</v>
      </c>
      <c r="S850" s="1" t="s">
        <v>3039</v>
      </c>
      <c r="T850" s="1" t="s">
        <v>11</v>
      </c>
      <c r="U850" s="1" t="s">
        <v>46</v>
      </c>
    </row>
    <row r="851" spans="1:21" x14ac:dyDescent="0.2">
      <c r="A851" s="88" t="s">
        <v>16446</v>
      </c>
      <c r="B851" s="88" t="e">
        <f>VLOOKUP(C851,#REF!,1,0)</f>
        <v>#REF!</v>
      </c>
      <c r="C851" s="1" t="s">
        <v>3040</v>
      </c>
      <c r="D851" s="1" t="s">
        <v>3041</v>
      </c>
      <c r="E851" s="1" t="s">
        <v>10446</v>
      </c>
      <c r="F851" s="1" t="s">
        <v>8959</v>
      </c>
      <c r="G851" t="s">
        <v>8959</v>
      </c>
      <c r="H851" s="1" t="s">
        <v>8948</v>
      </c>
      <c r="I851" s="1" t="s">
        <v>8949</v>
      </c>
      <c r="J851" s="2" t="s">
        <v>10080</v>
      </c>
      <c r="K851" s="1" t="s">
        <v>10080</v>
      </c>
      <c r="L851" s="1" t="s">
        <v>9076</v>
      </c>
      <c r="M851" s="1">
        <v>355</v>
      </c>
      <c r="N851" s="1" t="s">
        <v>8953</v>
      </c>
      <c r="O851" s="1" t="s">
        <v>8989</v>
      </c>
      <c r="P851" s="1" t="s">
        <v>8955</v>
      </c>
      <c r="Q851" s="1" t="s">
        <v>8956</v>
      </c>
      <c r="R851" s="1" t="s">
        <v>8958</v>
      </c>
      <c r="S851" s="1" t="s">
        <v>3042</v>
      </c>
      <c r="T851" s="1" t="s">
        <v>17</v>
      </c>
      <c r="U851" s="1" t="s">
        <v>61</v>
      </c>
    </row>
    <row r="852" spans="1:21" x14ac:dyDescent="0.2">
      <c r="A852" s="88" t="s">
        <v>16447</v>
      </c>
      <c r="B852" s="88" t="e">
        <f>VLOOKUP(C852,#REF!,1,0)</f>
        <v>#REF!</v>
      </c>
      <c r="C852" s="1" t="s">
        <v>3043</v>
      </c>
      <c r="D852" s="1" t="s">
        <v>3044</v>
      </c>
      <c r="E852" s="1" t="s">
        <v>10446</v>
      </c>
      <c r="F852" s="1" t="s">
        <v>8957</v>
      </c>
      <c r="G852" t="s">
        <v>8959</v>
      </c>
      <c r="H852" s="1" t="s">
        <v>9035</v>
      </c>
      <c r="I852" s="1" t="s">
        <v>8998</v>
      </c>
      <c r="J852" s="2" t="s">
        <v>21425</v>
      </c>
      <c r="K852" s="1" t="s">
        <v>21902</v>
      </c>
      <c r="L852" s="1" t="s">
        <v>20839</v>
      </c>
      <c r="M852" s="1">
        <v>1018</v>
      </c>
      <c r="N852" s="1" t="s">
        <v>8953</v>
      </c>
      <c r="O852" s="1" t="s">
        <v>8954</v>
      </c>
      <c r="P852" s="1" t="s">
        <v>8955</v>
      </c>
      <c r="Q852" s="1" t="s">
        <v>8956</v>
      </c>
      <c r="R852" s="1" t="s">
        <v>8958</v>
      </c>
      <c r="S852" s="1" t="s">
        <v>19128</v>
      </c>
      <c r="T852" s="1" t="s">
        <v>17</v>
      </c>
      <c r="U852" s="1" t="s">
        <v>43</v>
      </c>
    </row>
    <row r="853" spans="1:21" x14ac:dyDescent="0.2">
      <c r="A853" s="88" t="s">
        <v>16448</v>
      </c>
      <c r="B853" s="88" t="e">
        <f>VLOOKUP(C853,#REF!,1,0)</f>
        <v>#REF!</v>
      </c>
      <c r="C853" s="1" t="s">
        <v>3045</v>
      </c>
      <c r="D853" s="1" t="s">
        <v>3046</v>
      </c>
      <c r="E853" s="1" t="s">
        <v>9310</v>
      </c>
      <c r="F853" s="1" t="s">
        <v>8957</v>
      </c>
      <c r="G853" t="s">
        <v>8959</v>
      </c>
      <c r="H853" s="1" t="s">
        <v>9075</v>
      </c>
      <c r="I853" s="1" t="s">
        <v>8998</v>
      </c>
      <c r="J853" s="2" t="s">
        <v>9036</v>
      </c>
      <c r="K853" s="1" t="s">
        <v>9036</v>
      </c>
      <c r="L853" s="1" t="s">
        <v>9464</v>
      </c>
      <c r="M853" s="1">
        <v>600</v>
      </c>
      <c r="N853" s="1" t="s">
        <v>8953</v>
      </c>
      <c r="O853" s="1" t="s">
        <v>8989</v>
      </c>
      <c r="P853" s="1" t="s">
        <v>8955</v>
      </c>
      <c r="Q853" s="1" t="s">
        <v>8956</v>
      </c>
      <c r="R853" s="1" t="s">
        <v>8958</v>
      </c>
      <c r="S853" s="1" t="s">
        <v>3047</v>
      </c>
      <c r="T853" s="1" t="s">
        <v>11</v>
      </c>
      <c r="U853" s="1" t="s">
        <v>1598</v>
      </c>
    </row>
    <row r="854" spans="1:21" x14ac:dyDescent="0.2">
      <c r="A854" s="88" t="s">
        <v>16449</v>
      </c>
      <c r="B854" s="88" t="e">
        <f>VLOOKUP(C854,#REF!,1,0)</f>
        <v>#REF!</v>
      </c>
      <c r="C854" s="1" t="s">
        <v>3048</v>
      </c>
      <c r="D854" s="1" t="s">
        <v>3049</v>
      </c>
      <c r="E854" s="1" t="s">
        <v>9317</v>
      </c>
      <c r="F854" s="1" t="s">
        <v>8957</v>
      </c>
      <c r="G854" t="s">
        <v>8959</v>
      </c>
      <c r="H854" s="1" t="s">
        <v>9605</v>
      </c>
      <c r="I854" s="1" t="s">
        <v>9101</v>
      </c>
      <c r="J854" s="2" t="s">
        <v>10492</v>
      </c>
      <c r="K854" s="1" t="s">
        <v>10492</v>
      </c>
      <c r="L854" s="1" t="s">
        <v>9076</v>
      </c>
      <c r="M854" s="1">
        <v>2400</v>
      </c>
      <c r="N854" s="1" t="s">
        <v>8953</v>
      </c>
      <c r="O854" s="1" t="s">
        <v>8989</v>
      </c>
      <c r="P854" s="1" t="s">
        <v>8955</v>
      </c>
      <c r="Q854" s="1" t="s">
        <v>8956</v>
      </c>
      <c r="R854" s="1" t="s">
        <v>9103</v>
      </c>
      <c r="S854" s="1" t="s">
        <v>19129</v>
      </c>
      <c r="T854" s="1" t="s">
        <v>7</v>
      </c>
      <c r="U854" s="1" t="s">
        <v>3050</v>
      </c>
    </row>
    <row r="855" spans="1:21" x14ac:dyDescent="0.2">
      <c r="A855" s="88" t="s">
        <v>16450</v>
      </c>
      <c r="B855" s="88" t="e">
        <f>VLOOKUP(C855,#REF!,1,0)</f>
        <v>#REF!</v>
      </c>
      <c r="C855" s="1" t="s">
        <v>3055</v>
      </c>
      <c r="D855" s="1" t="s">
        <v>3056</v>
      </c>
      <c r="E855" s="1" t="s">
        <v>9310</v>
      </c>
      <c r="F855" s="1" t="s">
        <v>8957</v>
      </c>
      <c r="G855" t="s">
        <v>9061</v>
      </c>
      <c r="H855" s="1" t="s">
        <v>8984</v>
      </c>
      <c r="I855" s="1" t="s">
        <v>8998</v>
      </c>
      <c r="J855" s="2" t="s">
        <v>20779</v>
      </c>
      <c r="K855" s="1" t="s">
        <v>9036</v>
      </c>
      <c r="L855" s="1" t="s">
        <v>8951</v>
      </c>
      <c r="M855" s="1">
        <v>109</v>
      </c>
      <c r="N855" s="1" t="s">
        <v>9059</v>
      </c>
      <c r="O855" s="1" t="s">
        <v>8989</v>
      </c>
      <c r="P855" s="1" t="s">
        <v>8955</v>
      </c>
      <c r="Q855" s="1" t="s">
        <v>8956</v>
      </c>
      <c r="R855" s="1" t="s">
        <v>8975</v>
      </c>
      <c r="S855" s="1" t="s">
        <v>19131</v>
      </c>
      <c r="T855" s="1" t="s">
        <v>7</v>
      </c>
      <c r="U855" s="1" t="s">
        <v>267</v>
      </c>
    </row>
    <row r="856" spans="1:21" x14ac:dyDescent="0.2">
      <c r="A856" s="88" t="s">
        <v>16451</v>
      </c>
      <c r="B856" s="88" t="e">
        <f>VLOOKUP(C856,#REF!,1,0)</f>
        <v>#REF!</v>
      </c>
      <c r="C856" s="1" t="s">
        <v>3057</v>
      </c>
      <c r="D856" s="1" t="s">
        <v>3058</v>
      </c>
      <c r="E856" s="1" t="s">
        <v>9310</v>
      </c>
      <c r="F856" s="1" t="s">
        <v>8957</v>
      </c>
      <c r="G856" t="s">
        <v>9061</v>
      </c>
      <c r="H856" s="1" t="s">
        <v>20712</v>
      </c>
      <c r="I856" s="1" t="s">
        <v>9155</v>
      </c>
      <c r="J856" s="2" t="s">
        <v>10492</v>
      </c>
      <c r="K856" s="1" t="s">
        <v>10492</v>
      </c>
      <c r="L856" s="1" t="s">
        <v>8951</v>
      </c>
      <c r="M856" s="1">
        <v>213</v>
      </c>
      <c r="N856" s="1" t="s">
        <v>9059</v>
      </c>
      <c r="O856" s="1" t="s">
        <v>8989</v>
      </c>
      <c r="P856" s="1" t="s">
        <v>8955</v>
      </c>
      <c r="Q856" s="1" t="s">
        <v>8956</v>
      </c>
      <c r="R856" s="1" t="s">
        <v>8975</v>
      </c>
      <c r="S856" s="1" t="s">
        <v>19132</v>
      </c>
      <c r="T856" s="1" t="s">
        <v>7</v>
      </c>
      <c r="U856" s="1" t="s">
        <v>24</v>
      </c>
    </row>
    <row r="857" spans="1:21" x14ac:dyDescent="0.2">
      <c r="A857" s="88" t="s">
        <v>16453</v>
      </c>
      <c r="B857" s="88" t="e">
        <f>VLOOKUP(C857,#REF!,1,0)</f>
        <v>#REF!</v>
      </c>
      <c r="C857" s="1" t="s">
        <v>15479</v>
      </c>
      <c r="D857" s="1" t="s">
        <v>3061</v>
      </c>
      <c r="E857" s="1" t="s">
        <v>9010</v>
      </c>
      <c r="F857" s="1" t="s">
        <v>8957</v>
      </c>
      <c r="G857" t="s">
        <v>8959</v>
      </c>
      <c r="H857" s="1" t="s">
        <v>11318</v>
      </c>
      <c r="I857" s="1" t="s">
        <v>9155</v>
      </c>
      <c r="J857" s="2" t="s">
        <v>9036</v>
      </c>
      <c r="K857" s="1" t="s">
        <v>9036</v>
      </c>
      <c r="L857" s="1" t="s">
        <v>9133</v>
      </c>
      <c r="M857" s="1">
        <v>20</v>
      </c>
      <c r="N857" s="1" t="s">
        <v>8953</v>
      </c>
      <c r="O857" s="1" t="s">
        <v>8954</v>
      </c>
      <c r="P857" s="1" t="s">
        <v>8955</v>
      </c>
      <c r="Q857" s="1" t="s">
        <v>8956</v>
      </c>
      <c r="R857" s="1" t="s">
        <v>8975</v>
      </c>
      <c r="S857" s="1" t="s">
        <v>3062</v>
      </c>
      <c r="T857" s="1" t="s">
        <v>11</v>
      </c>
      <c r="U857" s="1" t="s">
        <v>700</v>
      </c>
    </row>
    <row r="858" spans="1:21" x14ac:dyDescent="0.2">
      <c r="A858" s="88" t="s">
        <v>16454</v>
      </c>
      <c r="B858" s="88" t="e">
        <f>VLOOKUP(C858,#REF!,1,0)</f>
        <v>#REF!</v>
      </c>
      <c r="C858" s="1" t="s">
        <v>3067</v>
      </c>
      <c r="D858" s="1" t="s">
        <v>3068</v>
      </c>
      <c r="E858" s="1" t="s">
        <v>9246</v>
      </c>
      <c r="F858" s="1" t="s">
        <v>8959</v>
      </c>
      <c r="G858" t="s">
        <v>8959</v>
      </c>
      <c r="H858" s="1" t="s">
        <v>9154</v>
      </c>
      <c r="I858" s="1" t="s">
        <v>8971</v>
      </c>
      <c r="J858" s="2" t="s">
        <v>20779</v>
      </c>
      <c r="K858" s="1" t="s">
        <v>9036</v>
      </c>
      <c r="L858" s="1" t="s">
        <v>9076</v>
      </c>
      <c r="M858" s="1">
        <v>1675</v>
      </c>
      <c r="N858" s="1" t="s">
        <v>8953</v>
      </c>
      <c r="O858" s="1" t="s">
        <v>8989</v>
      </c>
      <c r="P858" s="1" t="s">
        <v>8955</v>
      </c>
      <c r="Q858" s="1" t="s">
        <v>8956</v>
      </c>
      <c r="R858" s="1" t="s">
        <v>8958</v>
      </c>
      <c r="S858" s="1" t="s">
        <v>19135</v>
      </c>
      <c r="T858" s="1" t="s">
        <v>7</v>
      </c>
      <c r="U858" s="1" t="s">
        <v>61</v>
      </c>
    </row>
    <row r="859" spans="1:21" x14ac:dyDescent="0.2">
      <c r="A859" s="88" t="s">
        <v>16456</v>
      </c>
      <c r="B859" s="88" t="e">
        <f>VLOOKUP(C859,#REF!,1,0)</f>
        <v>#REF!</v>
      </c>
      <c r="C859" s="1" t="s">
        <v>3072</v>
      </c>
      <c r="D859" s="1" t="s">
        <v>3073</v>
      </c>
      <c r="E859" s="1" t="s">
        <v>18502</v>
      </c>
      <c r="F859" s="1" t="s">
        <v>9060</v>
      </c>
      <c r="G859" t="s">
        <v>9061</v>
      </c>
      <c r="H859" s="1" t="s">
        <v>9035</v>
      </c>
      <c r="I859" s="1" t="s">
        <v>8998</v>
      </c>
      <c r="J859" s="2" t="s">
        <v>20840</v>
      </c>
      <c r="K859" s="1" t="s">
        <v>21851</v>
      </c>
      <c r="L859" s="1" t="s">
        <v>8987</v>
      </c>
      <c r="M859" s="1">
        <v>7143</v>
      </c>
      <c r="N859" s="1" t="s">
        <v>9059</v>
      </c>
      <c r="O859" s="1" t="s">
        <v>8954</v>
      </c>
      <c r="P859" s="1" t="s">
        <v>8955</v>
      </c>
      <c r="Q859" s="1" t="s">
        <v>8956</v>
      </c>
      <c r="R859" s="1" t="s">
        <v>8958</v>
      </c>
      <c r="S859" s="1" t="s">
        <v>20607</v>
      </c>
      <c r="T859" s="1" t="s">
        <v>7</v>
      </c>
      <c r="U859" s="1" t="s">
        <v>180</v>
      </c>
    </row>
    <row r="860" spans="1:21" x14ac:dyDescent="0.2">
      <c r="A860" s="88" t="s">
        <v>16459</v>
      </c>
      <c r="B860" s="88" t="e">
        <f>VLOOKUP(C860,#REF!,1,0)</f>
        <v>#REF!</v>
      </c>
      <c r="C860" s="1" t="s">
        <v>3081</v>
      </c>
      <c r="D860" s="1" t="s">
        <v>3082</v>
      </c>
      <c r="E860" s="1" t="s">
        <v>18502</v>
      </c>
      <c r="F860" s="1" t="s">
        <v>8957</v>
      </c>
      <c r="G860" t="s">
        <v>8959</v>
      </c>
      <c r="H860" s="1" t="s">
        <v>8984</v>
      </c>
      <c r="I860" s="1" t="s">
        <v>8998</v>
      </c>
      <c r="J860" s="2" t="s">
        <v>18497</v>
      </c>
      <c r="K860" s="1" t="s">
        <v>21658</v>
      </c>
      <c r="L860" s="1" t="s">
        <v>21600</v>
      </c>
      <c r="M860" s="1">
        <v>738</v>
      </c>
      <c r="N860" s="1" t="s">
        <v>8953</v>
      </c>
      <c r="O860" s="1" t="s">
        <v>8954</v>
      </c>
      <c r="P860" s="1" t="s">
        <v>8955</v>
      </c>
      <c r="Q860" s="1" t="s">
        <v>8956</v>
      </c>
      <c r="R860" s="1" t="s">
        <v>8975</v>
      </c>
      <c r="S860" s="1" t="s">
        <v>20608</v>
      </c>
      <c r="T860" s="1" t="s">
        <v>17</v>
      </c>
      <c r="U860" s="1" t="s">
        <v>93</v>
      </c>
    </row>
    <row r="861" spans="1:21" x14ac:dyDescent="0.2">
      <c r="A861" s="88" t="s">
        <v>16460</v>
      </c>
      <c r="B861" s="88" t="e">
        <f>VLOOKUP(C861,#REF!,1,0)</f>
        <v>#REF!</v>
      </c>
      <c r="C861" s="1" t="s">
        <v>3083</v>
      </c>
      <c r="D861" s="1" t="s">
        <v>3084</v>
      </c>
      <c r="E861" s="1" t="s">
        <v>9010</v>
      </c>
      <c r="F861" s="1" t="s">
        <v>8957</v>
      </c>
      <c r="G861" t="s">
        <v>8959</v>
      </c>
      <c r="H861" s="1" t="s">
        <v>8948</v>
      </c>
      <c r="I861" s="1" t="s">
        <v>8949</v>
      </c>
      <c r="J861" s="2" t="s">
        <v>9036</v>
      </c>
      <c r="K861" s="1" t="s">
        <v>9036</v>
      </c>
      <c r="L861" s="1" t="s">
        <v>21600</v>
      </c>
      <c r="M861" s="1">
        <v>77</v>
      </c>
      <c r="N861" s="1" t="s">
        <v>8953</v>
      </c>
      <c r="O861" s="1" t="s">
        <v>8989</v>
      </c>
      <c r="P861" s="1" t="s">
        <v>8955</v>
      </c>
      <c r="Q861" s="1" t="s">
        <v>8956</v>
      </c>
      <c r="R861" s="1" t="s">
        <v>8975</v>
      </c>
      <c r="S861" s="1" t="s">
        <v>3085</v>
      </c>
      <c r="T861" s="1" t="s">
        <v>17</v>
      </c>
      <c r="U861" s="1" t="s">
        <v>392</v>
      </c>
    </row>
    <row r="862" spans="1:21" x14ac:dyDescent="0.2">
      <c r="A862" s="88" t="s">
        <v>16462</v>
      </c>
      <c r="B862" s="88" t="e">
        <f>VLOOKUP(C862,#REF!,1,0)</f>
        <v>#REF!</v>
      </c>
      <c r="C862" s="1" t="s">
        <v>3091</v>
      </c>
      <c r="D862" s="1" t="s">
        <v>3092</v>
      </c>
      <c r="E862" s="1" t="s">
        <v>9852</v>
      </c>
      <c r="F862" s="1" t="s">
        <v>8959</v>
      </c>
      <c r="G862" t="s">
        <v>8959</v>
      </c>
      <c r="H862" s="1" t="s">
        <v>9035</v>
      </c>
      <c r="I862" s="1" t="s">
        <v>9308</v>
      </c>
      <c r="J862" s="2" t="s">
        <v>20779</v>
      </c>
      <c r="K862" s="1" t="s">
        <v>9036</v>
      </c>
      <c r="L862" s="1" t="s">
        <v>8987</v>
      </c>
      <c r="M862" s="1">
        <v>558</v>
      </c>
      <c r="N862" s="1" t="s">
        <v>8953</v>
      </c>
      <c r="O862" s="1" t="s">
        <v>8954</v>
      </c>
      <c r="P862" s="1" t="s">
        <v>8955</v>
      </c>
      <c r="Q862" s="1" t="s">
        <v>8956</v>
      </c>
      <c r="R862" s="1" t="s">
        <v>8975</v>
      </c>
      <c r="S862" s="1" t="s">
        <v>19137</v>
      </c>
      <c r="T862" s="1" t="s">
        <v>7</v>
      </c>
      <c r="U862" s="1" t="s">
        <v>1598</v>
      </c>
    </row>
    <row r="863" spans="1:21" x14ac:dyDescent="0.2">
      <c r="A863" s="88">
        <v>1</v>
      </c>
      <c r="B863" s="88" t="e">
        <f>VLOOKUP(C863,#REF!,1,0)</f>
        <v>#REF!</v>
      </c>
      <c r="C863" s="1" t="s">
        <v>3093</v>
      </c>
      <c r="D863" s="1" t="s">
        <v>3094</v>
      </c>
      <c r="E863" s="1" t="s">
        <v>18502</v>
      </c>
      <c r="F863" s="1" t="s">
        <v>8959</v>
      </c>
      <c r="G863" t="s">
        <v>8959</v>
      </c>
      <c r="H863" s="1" t="s">
        <v>9252</v>
      </c>
      <c r="I863" s="1" t="s">
        <v>18504</v>
      </c>
      <c r="J863" s="2" t="s">
        <v>10525</v>
      </c>
      <c r="K863" s="1" t="s">
        <v>21650</v>
      </c>
      <c r="L863" s="1" t="s">
        <v>8987</v>
      </c>
      <c r="M863" s="1">
        <v>15673</v>
      </c>
      <c r="N863" s="1" t="s">
        <v>8953</v>
      </c>
      <c r="O863" s="1" t="s">
        <v>8954</v>
      </c>
      <c r="P863" s="1" t="s">
        <v>8955</v>
      </c>
      <c r="Q863" s="1" t="s">
        <v>8956</v>
      </c>
      <c r="R863" s="1" t="s">
        <v>9103</v>
      </c>
      <c r="S863" s="1" t="s">
        <v>19138</v>
      </c>
      <c r="T863" s="1" t="s">
        <v>4</v>
      </c>
      <c r="U863" s="1"/>
    </row>
    <row r="864" spans="1:21" x14ac:dyDescent="0.2">
      <c r="A864" s="88" t="s">
        <v>16463</v>
      </c>
      <c r="B864" s="88" t="e">
        <f>VLOOKUP(C864,#REF!,1,0)</f>
        <v>#REF!</v>
      </c>
      <c r="C864" s="1" t="s">
        <v>3095</v>
      </c>
      <c r="D864" s="1" t="s">
        <v>3096</v>
      </c>
      <c r="E864" s="1" t="s">
        <v>9317</v>
      </c>
      <c r="F864" s="1" t="s">
        <v>8959</v>
      </c>
      <c r="G864" t="s">
        <v>9009</v>
      </c>
      <c r="H864" s="1" t="s">
        <v>9278</v>
      </c>
      <c r="I864" s="1" t="s">
        <v>9155</v>
      </c>
      <c r="J864" s="2" t="s">
        <v>9036</v>
      </c>
      <c r="K864" s="1" t="s">
        <v>9036</v>
      </c>
      <c r="L864" s="1" t="s">
        <v>8987</v>
      </c>
      <c r="M864" s="1">
        <v>1189</v>
      </c>
      <c r="N864" s="1" t="s">
        <v>8953</v>
      </c>
      <c r="O864" s="1" t="s">
        <v>8954</v>
      </c>
      <c r="P864" s="1" t="s">
        <v>8955</v>
      </c>
      <c r="Q864" s="1" t="s">
        <v>8956</v>
      </c>
      <c r="R864" s="1" t="s">
        <v>8958</v>
      </c>
      <c r="S864" s="1" t="s">
        <v>3097</v>
      </c>
      <c r="T864" s="1" t="s">
        <v>17</v>
      </c>
      <c r="U864" s="1" t="s">
        <v>61</v>
      </c>
    </row>
    <row r="865" spans="1:21" x14ac:dyDescent="0.2">
      <c r="A865" s="88" t="s">
        <v>16464</v>
      </c>
      <c r="B865" s="88" t="e">
        <f>VLOOKUP(C865,#REF!,1,0)</f>
        <v>#REF!</v>
      </c>
      <c r="C865" s="1" t="s">
        <v>3098</v>
      </c>
      <c r="D865" s="1" t="s">
        <v>3099</v>
      </c>
      <c r="E865" s="1" t="s">
        <v>9380</v>
      </c>
      <c r="F865" s="1" t="s">
        <v>8957</v>
      </c>
      <c r="G865" t="s">
        <v>8959</v>
      </c>
      <c r="H865" s="1" t="s">
        <v>9075</v>
      </c>
      <c r="I865" s="1" t="s">
        <v>9101</v>
      </c>
      <c r="J865" s="2" t="s">
        <v>21227</v>
      </c>
      <c r="K865" s="1" t="s">
        <v>21227</v>
      </c>
      <c r="L865" s="1" t="s">
        <v>8987</v>
      </c>
      <c r="M865" s="1">
        <v>200</v>
      </c>
      <c r="N865" s="1" t="s">
        <v>8953</v>
      </c>
      <c r="O865" s="1" t="s">
        <v>8989</v>
      </c>
      <c r="P865" s="1" t="s">
        <v>8955</v>
      </c>
      <c r="Q865" s="1" t="s">
        <v>8956</v>
      </c>
      <c r="R865" s="1" t="s">
        <v>8975</v>
      </c>
      <c r="S865" s="1" t="s">
        <v>20610</v>
      </c>
      <c r="T865" s="1" t="s">
        <v>11</v>
      </c>
      <c r="U865" s="1" t="s">
        <v>2287</v>
      </c>
    </row>
    <row r="866" spans="1:21" x14ac:dyDescent="0.2">
      <c r="A866" s="88" t="s">
        <v>16465</v>
      </c>
      <c r="B866" s="88" t="e">
        <f>VLOOKUP(C866,#REF!,1,0)</f>
        <v>#REF!</v>
      </c>
      <c r="C866" s="1" t="s">
        <v>3100</v>
      </c>
      <c r="D866" s="1" t="s">
        <v>3101</v>
      </c>
      <c r="E866" s="1" t="s">
        <v>9010</v>
      </c>
      <c r="F866" s="1" t="s">
        <v>8957</v>
      </c>
      <c r="G866" t="s">
        <v>9061</v>
      </c>
      <c r="H866" s="1" t="s">
        <v>9252</v>
      </c>
      <c r="I866" s="1" t="s">
        <v>9253</v>
      </c>
      <c r="J866" s="2" t="s">
        <v>9658</v>
      </c>
      <c r="K866" s="1" t="s">
        <v>21771</v>
      </c>
      <c r="L866" s="1" t="s">
        <v>8987</v>
      </c>
      <c r="M866" s="1">
        <v>219</v>
      </c>
      <c r="N866" s="1" t="s">
        <v>8953</v>
      </c>
      <c r="O866" s="1" t="s">
        <v>8989</v>
      </c>
      <c r="P866" s="1" t="s">
        <v>8955</v>
      </c>
      <c r="Q866" s="1" t="s">
        <v>8956</v>
      </c>
      <c r="R866" s="1" t="s">
        <v>9103</v>
      </c>
      <c r="S866" s="1" t="s">
        <v>3102</v>
      </c>
      <c r="T866" s="1" t="s">
        <v>242</v>
      </c>
      <c r="U866" s="1" t="s">
        <v>286</v>
      </c>
    </row>
    <row r="867" spans="1:21" x14ac:dyDescent="0.2">
      <c r="A867" s="88" t="s">
        <v>16466</v>
      </c>
      <c r="B867" s="88" t="e">
        <f>VLOOKUP(C867,#REF!,1,0)</f>
        <v>#REF!</v>
      </c>
      <c r="C867" s="1" t="s">
        <v>3103</v>
      </c>
      <c r="D867" s="1" t="s">
        <v>3104</v>
      </c>
      <c r="E867" s="1" t="s">
        <v>9213</v>
      </c>
      <c r="F867" s="1" t="s">
        <v>8957</v>
      </c>
      <c r="G867" t="s">
        <v>8959</v>
      </c>
      <c r="H867" s="1" t="s">
        <v>20712</v>
      </c>
      <c r="I867" s="1" t="s">
        <v>9155</v>
      </c>
      <c r="J867" s="2" t="s">
        <v>10492</v>
      </c>
      <c r="K867" s="1" t="s">
        <v>21645</v>
      </c>
      <c r="L867" s="1" t="s">
        <v>9076</v>
      </c>
      <c r="M867" s="1">
        <v>1300000</v>
      </c>
      <c r="N867" t="s">
        <v>20915</v>
      </c>
      <c r="O867" s="1" t="s">
        <v>8989</v>
      </c>
      <c r="P867" s="1" t="s">
        <v>8955</v>
      </c>
      <c r="Q867" s="1" t="s">
        <v>8956</v>
      </c>
      <c r="R867" s="1" t="s">
        <v>8958</v>
      </c>
      <c r="S867" s="1" t="s">
        <v>19139</v>
      </c>
      <c r="T867" s="1" t="s">
        <v>17</v>
      </c>
      <c r="U867" s="1" t="s">
        <v>733</v>
      </c>
    </row>
    <row r="868" spans="1:21" x14ac:dyDescent="0.2">
      <c r="A868" s="88" t="s">
        <v>16467</v>
      </c>
      <c r="B868" s="88" t="e">
        <f>VLOOKUP(C868,#REF!,1,0)</f>
        <v>#REF!</v>
      </c>
      <c r="C868" s="1" t="s">
        <v>3105</v>
      </c>
      <c r="D868" s="1" t="s">
        <v>3106</v>
      </c>
      <c r="E868" s="1" t="s">
        <v>9213</v>
      </c>
      <c r="F868" s="1" t="s">
        <v>8957</v>
      </c>
      <c r="G868" t="s">
        <v>9061</v>
      </c>
      <c r="H868" s="1" t="s">
        <v>8948</v>
      </c>
      <c r="I868" s="1" t="s">
        <v>9725</v>
      </c>
      <c r="J868" s="2" t="s">
        <v>9036</v>
      </c>
      <c r="K868" s="1" t="s">
        <v>9036</v>
      </c>
      <c r="L868" s="1" t="s">
        <v>9076</v>
      </c>
      <c r="M868" s="1">
        <v>800000</v>
      </c>
      <c r="N868" s="1" t="s">
        <v>8953</v>
      </c>
      <c r="O868" s="1" t="s">
        <v>8989</v>
      </c>
      <c r="P868" s="1" t="s">
        <v>8955</v>
      </c>
      <c r="Q868" s="1" t="s">
        <v>8956</v>
      </c>
      <c r="R868" s="1" t="s">
        <v>8958</v>
      </c>
      <c r="S868" s="1" t="s">
        <v>3107</v>
      </c>
      <c r="T868" s="1" t="s">
        <v>11</v>
      </c>
      <c r="U868" s="1" t="s">
        <v>733</v>
      </c>
    </row>
    <row r="869" spans="1:21" x14ac:dyDescent="0.2">
      <c r="A869" s="88" t="s">
        <v>16468</v>
      </c>
      <c r="B869" s="88" t="e">
        <f>VLOOKUP(C869,#REF!,1,0)</f>
        <v>#REF!</v>
      </c>
      <c r="C869" s="1" t="s">
        <v>3108</v>
      </c>
      <c r="D869" s="1" t="s">
        <v>3109</v>
      </c>
      <c r="E869" s="1" t="s">
        <v>10446</v>
      </c>
      <c r="F869" s="1" t="s">
        <v>8957</v>
      </c>
      <c r="G869" t="s">
        <v>9183</v>
      </c>
      <c r="H869" s="1" t="s">
        <v>8948</v>
      </c>
      <c r="I869" s="1" t="s">
        <v>9325</v>
      </c>
      <c r="J869" s="2" t="s">
        <v>10445</v>
      </c>
      <c r="K869" s="1" t="s">
        <v>21779</v>
      </c>
      <c r="L869" s="1" t="s">
        <v>9133</v>
      </c>
      <c r="M869" s="1">
        <v>3872</v>
      </c>
      <c r="N869" s="1" t="s">
        <v>8953</v>
      </c>
      <c r="O869" s="1" t="s">
        <v>8989</v>
      </c>
      <c r="P869" s="1" t="s">
        <v>8955</v>
      </c>
      <c r="Q869" s="1" t="s">
        <v>8956</v>
      </c>
      <c r="R869" s="1" t="s">
        <v>8975</v>
      </c>
      <c r="S869" s="1" t="s">
        <v>3110</v>
      </c>
      <c r="T869" s="1" t="s">
        <v>17</v>
      </c>
      <c r="U869" s="1" t="s">
        <v>3111</v>
      </c>
    </row>
    <row r="870" spans="1:21" x14ac:dyDescent="0.2">
      <c r="A870" s="88" t="s">
        <v>16469</v>
      </c>
      <c r="B870" s="88" t="e">
        <f>VLOOKUP(C870,#REF!,1,0)</f>
        <v>#REF!</v>
      </c>
      <c r="C870" s="1" t="s">
        <v>3112</v>
      </c>
      <c r="D870" s="1" t="s">
        <v>3113</v>
      </c>
      <c r="E870" s="1" t="s">
        <v>9213</v>
      </c>
      <c r="F870" s="1" t="s">
        <v>8957</v>
      </c>
      <c r="G870" t="s">
        <v>9061</v>
      </c>
      <c r="H870" s="1" t="s">
        <v>9035</v>
      </c>
      <c r="I870" s="1" t="s">
        <v>9308</v>
      </c>
      <c r="J870" s="2" t="s">
        <v>20838</v>
      </c>
      <c r="K870" s="1" t="s">
        <v>20755</v>
      </c>
      <c r="L870" s="1" t="s">
        <v>9292</v>
      </c>
      <c r="M870" s="1">
        <v>1757</v>
      </c>
      <c r="N870" s="1" t="s">
        <v>9059</v>
      </c>
      <c r="O870" s="1" t="s">
        <v>8954</v>
      </c>
      <c r="P870" s="1" t="s">
        <v>8955</v>
      </c>
      <c r="Q870" s="1" t="s">
        <v>8956</v>
      </c>
      <c r="R870" s="1" t="s">
        <v>8975</v>
      </c>
      <c r="S870" s="1" t="s">
        <v>19140</v>
      </c>
      <c r="T870" s="1" t="s">
        <v>7</v>
      </c>
      <c r="U870" s="1" t="s">
        <v>147</v>
      </c>
    </row>
    <row r="871" spans="1:21" x14ac:dyDescent="0.2">
      <c r="A871" s="88" t="s">
        <v>16470</v>
      </c>
      <c r="B871" s="88" t="e">
        <f>VLOOKUP(C871,#REF!,1,0)</f>
        <v>#REF!</v>
      </c>
      <c r="C871" s="1" t="s">
        <v>3114</v>
      </c>
      <c r="D871" s="1" t="s">
        <v>3115</v>
      </c>
      <c r="E871" s="1" t="s">
        <v>9213</v>
      </c>
      <c r="F871" s="1" t="s">
        <v>8957</v>
      </c>
      <c r="G871" t="s">
        <v>9061</v>
      </c>
      <c r="H871" s="1" t="s">
        <v>9035</v>
      </c>
      <c r="I871" s="1" t="s">
        <v>9308</v>
      </c>
      <c r="J871" s="2" t="s">
        <v>20838</v>
      </c>
      <c r="K871" s="1" t="s">
        <v>20755</v>
      </c>
      <c r="L871" s="1" t="s">
        <v>8951</v>
      </c>
      <c r="M871" s="1">
        <v>395</v>
      </c>
      <c r="N871" s="1" t="s">
        <v>9059</v>
      </c>
      <c r="O871" s="1" t="s">
        <v>8989</v>
      </c>
      <c r="P871" s="1" t="s">
        <v>8955</v>
      </c>
      <c r="Q871" s="1" t="s">
        <v>8956</v>
      </c>
      <c r="R871" s="1" t="s">
        <v>8958</v>
      </c>
      <c r="S871" s="1" t="s">
        <v>19141</v>
      </c>
      <c r="T871" s="1" t="s">
        <v>7</v>
      </c>
      <c r="U871" s="1" t="s">
        <v>138</v>
      </c>
    </row>
    <row r="872" spans="1:21" x14ac:dyDescent="0.2">
      <c r="A872" s="88" t="s">
        <v>16471</v>
      </c>
      <c r="B872" s="88" t="e">
        <f>VLOOKUP(C872,#REF!,1,0)</f>
        <v>#REF!</v>
      </c>
      <c r="C872" s="1" t="s">
        <v>3116</v>
      </c>
      <c r="D872" s="1" t="s">
        <v>3117</v>
      </c>
      <c r="E872" s="1" t="s">
        <v>9213</v>
      </c>
      <c r="F872" s="1" t="s">
        <v>8957</v>
      </c>
      <c r="G872" t="s">
        <v>9061</v>
      </c>
      <c r="H872" s="1" t="s">
        <v>9035</v>
      </c>
      <c r="I872" s="1" t="s">
        <v>9308</v>
      </c>
      <c r="J872" s="2" t="s">
        <v>20838</v>
      </c>
      <c r="K872" s="1" t="s">
        <v>20755</v>
      </c>
      <c r="L872" s="1" t="s">
        <v>9133</v>
      </c>
      <c r="M872" s="1">
        <v>1135</v>
      </c>
      <c r="N872" s="1" t="s">
        <v>8953</v>
      </c>
      <c r="O872" s="1" t="s">
        <v>8989</v>
      </c>
      <c r="P872" s="1" t="s">
        <v>8955</v>
      </c>
      <c r="Q872" s="1" t="s">
        <v>8956</v>
      </c>
      <c r="R872" s="1" t="s">
        <v>8975</v>
      </c>
      <c r="S872" s="1" t="s">
        <v>19142</v>
      </c>
      <c r="T872" s="1" t="s">
        <v>17</v>
      </c>
      <c r="U872" s="1" t="s">
        <v>180</v>
      </c>
    </row>
    <row r="873" spans="1:21" x14ac:dyDescent="0.2">
      <c r="A873" s="88" t="s">
        <v>16472</v>
      </c>
      <c r="B873" s="88" t="e">
        <f>VLOOKUP(C873,#REF!,1,0)</f>
        <v>#REF!</v>
      </c>
      <c r="C873" s="1" t="s">
        <v>3121</v>
      </c>
      <c r="D873" s="1" t="s">
        <v>3122</v>
      </c>
      <c r="E873" s="1" t="s">
        <v>9213</v>
      </c>
      <c r="F873" s="1" t="s">
        <v>8957</v>
      </c>
      <c r="G873" t="s">
        <v>9061</v>
      </c>
      <c r="H873" s="1" t="s">
        <v>9035</v>
      </c>
      <c r="I873" s="1" t="s">
        <v>9308</v>
      </c>
      <c r="J873" s="2" t="s">
        <v>9036</v>
      </c>
      <c r="K873" s="1" t="s">
        <v>9036</v>
      </c>
      <c r="L873" s="1" t="s">
        <v>8951</v>
      </c>
      <c r="M873" s="1">
        <v>57481</v>
      </c>
      <c r="N873" s="1" t="s">
        <v>8953</v>
      </c>
      <c r="O873" s="1" t="s">
        <v>8954</v>
      </c>
      <c r="P873" s="1" t="s">
        <v>8955</v>
      </c>
      <c r="Q873" s="1" t="s">
        <v>8956</v>
      </c>
      <c r="R873" s="1" t="s">
        <v>8975</v>
      </c>
      <c r="S873" s="1" t="s">
        <v>3123</v>
      </c>
      <c r="T873" s="1" t="s">
        <v>17</v>
      </c>
      <c r="U873" s="1" t="s">
        <v>1918</v>
      </c>
    </row>
    <row r="874" spans="1:21" x14ac:dyDescent="0.2">
      <c r="A874" s="88" t="s">
        <v>16473</v>
      </c>
      <c r="B874" s="88" t="e">
        <f>VLOOKUP(C874,#REF!,1,0)</f>
        <v>#REF!</v>
      </c>
      <c r="C874" s="1" t="s">
        <v>3124</v>
      </c>
      <c r="D874" s="1" t="s">
        <v>3125</v>
      </c>
      <c r="E874" s="1" t="s">
        <v>9213</v>
      </c>
      <c r="F874" s="1" t="s">
        <v>8957</v>
      </c>
      <c r="G874" t="s">
        <v>9061</v>
      </c>
      <c r="H874" s="1" t="s">
        <v>9035</v>
      </c>
      <c r="I874" s="1" t="s">
        <v>9308</v>
      </c>
      <c r="J874" s="2" t="s">
        <v>20779</v>
      </c>
      <c r="K874" s="1" t="s">
        <v>9036</v>
      </c>
      <c r="L874" s="1" t="s">
        <v>8987</v>
      </c>
      <c r="M874" s="1">
        <v>6768</v>
      </c>
      <c r="N874" s="1" t="s">
        <v>8953</v>
      </c>
      <c r="O874" s="1" t="s">
        <v>8954</v>
      </c>
      <c r="P874" s="1" t="s">
        <v>8955</v>
      </c>
      <c r="Q874" s="1" t="s">
        <v>8956</v>
      </c>
      <c r="R874" s="1" t="s">
        <v>8975</v>
      </c>
      <c r="S874" s="1" t="s">
        <v>19144</v>
      </c>
      <c r="T874" s="1" t="s">
        <v>17</v>
      </c>
      <c r="U874" s="1" t="s">
        <v>3126</v>
      </c>
    </row>
    <row r="875" spans="1:21" x14ac:dyDescent="0.2">
      <c r="A875" s="88" t="s">
        <v>16474</v>
      </c>
      <c r="B875" s="88" t="e">
        <f>VLOOKUP(C875,#REF!,1,0)</f>
        <v>#REF!</v>
      </c>
      <c r="C875" s="1" t="s">
        <v>3127</v>
      </c>
      <c r="D875" s="1" t="s">
        <v>3128</v>
      </c>
      <c r="E875" s="1" t="s">
        <v>9213</v>
      </c>
      <c r="F875" s="1" t="s">
        <v>8957</v>
      </c>
      <c r="G875" t="s">
        <v>8959</v>
      </c>
      <c r="H875" s="1" t="s">
        <v>8948</v>
      </c>
      <c r="I875" s="1" t="s">
        <v>9308</v>
      </c>
      <c r="J875" s="2" t="s">
        <v>20841</v>
      </c>
      <c r="K875" s="1" t="s">
        <v>20724</v>
      </c>
      <c r="L875" s="1" t="s">
        <v>9292</v>
      </c>
      <c r="M875" s="1">
        <v>1311</v>
      </c>
      <c r="N875" s="1" t="s">
        <v>8953</v>
      </c>
      <c r="O875" s="1" t="s">
        <v>8989</v>
      </c>
      <c r="P875" s="1" t="s">
        <v>8955</v>
      </c>
      <c r="Q875" s="1" t="s">
        <v>8956</v>
      </c>
      <c r="R875" s="1" t="s">
        <v>8975</v>
      </c>
      <c r="S875" s="1" t="s">
        <v>19145</v>
      </c>
      <c r="T875" s="1" t="s">
        <v>7</v>
      </c>
      <c r="U875" s="1" t="s">
        <v>3129</v>
      </c>
    </row>
    <row r="876" spans="1:21" x14ac:dyDescent="0.2">
      <c r="A876" s="88" t="s">
        <v>16475</v>
      </c>
      <c r="B876" s="88" t="e">
        <f>VLOOKUP(C876,#REF!,1,0)</f>
        <v>#REF!</v>
      </c>
      <c r="C876" s="1" t="s">
        <v>3130</v>
      </c>
      <c r="D876" s="1" t="s">
        <v>3131</v>
      </c>
      <c r="E876" s="1" t="s">
        <v>9310</v>
      </c>
      <c r="F876" s="1" t="s">
        <v>8957</v>
      </c>
      <c r="G876" t="s">
        <v>9183</v>
      </c>
      <c r="H876" s="1" t="s">
        <v>8984</v>
      </c>
      <c r="I876" s="1" t="s">
        <v>9131</v>
      </c>
      <c r="J876" s="2" t="s">
        <v>21312</v>
      </c>
      <c r="K876" s="1" t="s">
        <v>21681</v>
      </c>
      <c r="L876" s="1" t="s">
        <v>8951</v>
      </c>
      <c r="M876" s="1">
        <v>1000</v>
      </c>
      <c r="N876" s="1" t="s">
        <v>8953</v>
      </c>
      <c r="O876" s="1" t="s">
        <v>8954</v>
      </c>
      <c r="P876" s="1" t="s">
        <v>8955</v>
      </c>
      <c r="Q876" s="1" t="s">
        <v>8956</v>
      </c>
      <c r="R876" s="1" t="s">
        <v>8975</v>
      </c>
      <c r="S876" s="1" t="s">
        <v>19146</v>
      </c>
      <c r="T876" s="1" t="s">
        <v>7</v>
      </c>
      <c r="U876" s="1" t="s">
        <v>43</v>
      </c>
    </row>
    <row r="877" spans="1:21" x14ac:dyDescent="0.2">
      <c r="A877" s="88" t="s">
        <v>16476</v>
      </c>
      <c r="B877" s="88" t="e">
        <f>VLOOKUP(C877,#REF!,1,0)</f>
        <v>#REF!</v>
      </c>
      <c r="C877" s="1" t="s">
        <v>3132</v>
      </c>
      <c r="D877" s="1" t="s">
        <v>3133</v>
      </c>
      <c r="E877" s="1" t="s">
        <v>9213</v>
      </c>
      <c r="F877" s="1" t="s">
        <v>9060</v>
      </c>
      <c r="G877" t="s">
        <v>9061</v>
      </c>
      <c r="H877" s="1" t="s">
        <v>9100</v>
      </c>
      <c r="I877" s="1" t="s">
        <v>8949</v>
      </c>
      <c r="J877" s="2" t="s">
        <v>8972</v>
      </c>
      <c r="K877" s="1" t="s">
        <v>8972</v>
      </c>
      <c r="L877" s="1" t="s">
        <v>9076</v>
      </c>
      <c r="M877" s="1">
        <v>1400</v>
      </c>
      <c r="N877" s="1" t="s">
        <v>8953</v>
      </c>
      <c r="O877" s="1" t="s">
        <v>8989</v>
      </c>
      <c r="P877" s="1" t="s">
        <v>8955</v>
      </c>
      <c r="Q877" s="1" t="s">
        <v>8956</v>
      </c>
      <c r="R877" s="1" t="s">
        <v>8958</v>
      </c>
      <c r="S877" s="1" t="s">
        <v>3134</v>
      </c>
      <c r="T877" s="1" t="s">
        <v>11</v>
      </c>
      <c r="U877" s="1" t="s">
        <v>378</v>
      </c>
    </row>
    <row r="878" spans="1:21" x14ac:dyDescent="0.2">
      <c r="A878" s="88" t="s">
        <v>16477</v>
      </c>
      <c r="B878" s="88" t="e">
        <f>VLOOKUP(C878,#REF!,1,0)</f>
        <v>#REF!</v>
      </c>
      <c r="C878" s="1" t="s">
        <v>3135</v>
      </c>
      <c r="D878" s="1" t="s">
        <v>3136</v>
      </c>
      <c r="E878" s="1" t="s">
        <v>10008</v>
      </c>
      <c r="F878" s="1" t="s">
        <v>8957</v>
      </c>
      <c r="G878" t="s">
        <v>9183</v>
      </c>
      <c r="H878" s="1" t="s">
        <v>8984</v>
      </c>
      <c r="I878" s="1" t="s">
        <v>9131</v>
      </c>
      <c r="J878" s="2" t="s">
        <v>9036</v>
      </c>
      <c r="K878" s="1" t="s">
        <v>9036</v>
      </c>
      <c r="L878" s="1" t="s">
        <v>8951</v>
      </c>
      <c r="M878" s="1">
        <v>10000</v>
      </c>
      <c r="N878" s="1" t="s">
        <v>8953</v>
      </c>
      <c r="O878" s="1" t="s">
        <v>8954</v>
      </c>
      <c r="P878" s="1" t="s">
        <v>8955</v>
      </c>
      <c r="Q878" s="1" t="s">
        <v>8956</v>
      </c>
      <c r="R878" s="1" t="s">
        <v>8958</v>
      </c>
      <c r="S878" s="1" t="s">
        <v>3137</v>
      </c>
      <c r="T878" s="1" t="s">
        <v>11</v>
      </c>
      <c r="U878" s="1" t="s">
        <v>61</v>
      </c>
    </row>
    <row r="879" spans="1:21" x14ac:dyDescent="0.2">
      <c r="A879" s="88" t="s">
        <v>16478</v>
      </c>
      <c r="B879" s="88" t="e">
        <f>VLOOKUP(C879,#REF!,1,0)</f>
        <v>#REF!</v>
      </c>
      <c r="C879" s="1" t="s">
        <v>3138</v>
      </c>
      <c r="D879" s="1" t="s">
        <v>3139</v>
      </c>
      <c r="E879" s="1" t="s">
        <v>18502</v>
      </c>
      <c r="F879" s="1" t="s">
        <v>8974</v>
      </c>
      <c r="G879" t="s">
        <v>8959</v>
      </c>
      <c r="H879" s="1" t="s">
        <v>9173</v>
      </c>
      <c r="I879" s="1" t="s">
        <v>8985</v>
      </c>
      <c r="J879" s="2" t="s">
        <v>20779</v>
      </c>
      <c r="K879" s="1" t="s">
        <v>9036</v>
      </c>
      <c r="L879" s="1" t="s">
        <v>8987</v>
      </c>
      <c r="M879" s="1">
        <v>18607</v>
      </c>
      <c r="N879" s="1" t="s">
        <v>8953</v>
      </c>
      <c r="O879" s="1" t="s">
        <v>8954</v>
      </c>
      <c r="P879" s="1" t="s">
        <v>8955</v>
      </c>
      <c r="Q879" s="1" t="s">
        <v>8956</v>
      </c>
      <c r="R879" s="1" t="s">
        <v>8975</v>
      </c>
      <c r="S879" s="1" t="s">
        <v>20611</v>
      </c>
      <c r="T879" s="1" t="s">
        <v>7</v>
      </c>
      <c r="U879" s="1" t="s">
        <v>24</v>
      </c>
    </row>
    <row r="880" spans="1:21" x14ac:dyDescent="0.2">
      <c r="A880" s="88" t="s">
        <v>16479</v>
      </c>
      <c r="B880" s="88" t="e">
        <f>VLOOKUP(C880,#REF!,1,0)</f>
        <v>#REF!</v>
      </c>
      <c r="C880" s="1" t="s">
        <v>3140</v>
      </c>
      <c r="D880" s="1" t="s">
        <v>3141</v>
      </c>
      <c r="E880" s="1" t="s">
        <v>9010</v>
      </c>
      <c r="F880" s="1" t="s">
        <v>9060</v>
      </c>
      <c r="G880" t="s">
        <v>9061</v>
      </c>
      <c r="H880" s="1" t="s">
        <v>8984</v>
      </c>
      <c r="I880" s="1" t="s">
        <v>8998</v>
      </c>
      <c r="J880" s="2" t="s">
        <v>9036</v>
      </c>
      <c r="K880" s="1" t="s">
        <v>9036</v>
      </c>
      <c r="L880" s="1" t="s">
        <v>21600</v>
      </c>
      <c r="M880" s="1">
        <v>72</v>
      </c>
      <c r="N880" s="1" t="s">
        <v>8953</v>
      </c>
      <c r="O880" s="1" t="s">
        <v>8954</v>
      </c>
      <c r="P880" s="1" t="s">
        <v>8955</v>
      </c>
      <c r="Q880" s="1" t="s">
        <v>8956</v>
      </c>
      <c r="R880" s="1" t="s">
        <v>8958</v>
      </c>
      <c r="S880" s="1" t="s">
        <v>3142</v>
      </c>
      <c r="T880" s="1" t="s">
        <v>4</v>
      </c>
      <c r="U880" s="1" t="s">
        <v>378</v>
      </c>
    </row>
    <row r="881" spans="1:21" x14ac:dyDescent="0.2">
      <c r="A881" s="88" t="s">
        <v>16480</v>
      </c>
      <c r="B881" s="88" t="e">
        <f>VLOOKUP(C881,#REF!,1,0)</f>
        <v>#REF!</v>
      </c>
      <c r="C881" s="1" t="s">
        <v>3143</v>
      </c>
      <c r="D881" s="1" t="s">
        <v>3144</v>
      </c>
      <c r="E881" s="1" t="s">
        <v>9010</v>
      </c>
      <c r="F881" s="1" t="s">
        <v>9060</v>
      </c>
      <c r="G881" t="s">
        <v>9061</v>
      </c>
      <c r="H881" s="1" t="s">
        <v>8948</v>
      </c>
      <c r="I881" s="1" t="s">
        <v>8998</v>
      </c>
      <c r="J881" s="2" t="s">
        <v>9036</v>
      </c>
      <c r="K881" s="1" t="s">
        <v>9036</v>
      </c>
      <c r="L881" s="1" t="s">
        <v>21600</v>
      </c>
      <c r="M881" s="1">
        <v>208</v>
      </c>
      <c r="N881" s="1" t="s">
        <v>8953</v>
      </c>
      <c r="O881" s="1" t="s">
        <v>8989</v>
      </c>
      <c r="P881" s="1" t="s">
        <v>8955</v>
      </c>
      <c r="Q881" s="1" t="s">
        <v>8956</v>
      </c>
      <c r="R881" s="1" t="s">
        <v>9103</v>
      </c>
      <c r="S881" s="1" t="s">
        <v>3145</v>
      </c>
      <c r="T881" s="1" t="s">
        <v>4</v>
      </c>
      <c r="U881" s="1" t="s">
        <v>93</v>
      </c>
    </row>
    <row r="882" spans="1:21" x14ac:dyDescent="0.2">
      <c r="A882" s="88" t="s">
        <v>16481</v>
      </c>
      <c r="B882" s="88" t="e">
        <f>VLOOKUP(C882,#REF!,1,0)</f>
        <v>#REF!</v>
      </c>
      <c r="C882" s="1" t="s">
        <v>3153</v>
      </c>
      <c r="D882" s="1" t="s">
        <v>3154</v>
      </c>
      <c r="E882" s="1" t="s">
        <v>18493</v>
      </c>
      <c r="F882" s="1" t="s">
        <v>9060</v>
      </c>
      <c r="G882" t="s">
        <v>8959</v>
      </c>
      <c r="H882" s="1" t="s">
        <v>9191</v>
      </c>
      <c r="I882" s="1" t="s">
        <v>9155</v>
      </c>
      <c r="J882" s="2" t="s">
        <v>9192</v>
      </c>
      <c r="K882" s="1" t="s">
        <v>9192</v>
      </c>
      <c r="L882" s="1" t="s">
        <v>21600</v>
      </c>
      <c r="M882" s="1">
        <v>3618</v>
      </c>
      <c r="N882" s="1" t="s">
        <v>8953</v>
      </c>
      <c r="O882" s="1" t="s">
        <v>8954</v>
      </c>
      <c r="P882" s="1" t="s">
        <v>8955</v>
      </c>
      <c r="Q882" s="1" t="s">
        <v>8956</v>
      </c>
      <c r="R882" s="1" t="s">
        <v>9103</v>
      </c>
      <c r="S882" s="1" t="s">
        <v>3155</v>
      </c>
      <c r="T882" s="1" t="s">
        <v>7</v>
      </c>
      <c r="U882" s="1" t="s">
        <v>342</v>
      </c>
    </row>
    <row r="883" spans="1:21" x14ac:dyDescent="0.2">
      <c r="A883" s="88" t="s">
        <v>16482</v>
      </c>
      <c r="B883" s="88" t="e">
        <f>VLOOKUP(C883,#REF!,1,0)</f>
        <v>#REF!</v>
      </c>
      <c r="C883" s="1" t="s">
        <v>3156</v>
      </c>
      <c r="D883" s="1" t="s">
        <v>3157</v>
      </c>
      <c r="E883" s="1" t="s">
        <v>9333</v>
      </c>
      <c r="F883" s="1" t="s">
        <v>8959</v>
      </c>
      <c r="G883" t="s">
        <v>8959</v>
      </c>
      <c r="H883" s="1" t="s">
        <v>8984</v>
      </c>
      <c r="I883" s="1" t="s">
        <v>8985</v>
      </c>
      <c r="J883" s="2" t="s">
        <v>21271</v>
      </c>
      <c r="K883" s="1" t="s">
        <v>21682</v>
      </c>
      <c r="L883" s="1" t="s">
        <v>8987</v>
      </c>
      <c r="M883" s="1">
        <v>18164</v>
      </c>
      <c r="N883" s="1" t="s">
        <v>8953</v>
      </c>
      <c r="O883" s="1" t="s">
        <v>8954</v>
      </c>
      <c r="P883" s="1" t="s">
        <v>8955</v>
      </c>
      <c r="Q883" s="1" t="s">
        <v>8956</v>
      </c>
      <c r="R883" s="1" t="s">
        <v>8958</v>
      </c>
      <c r="S883" s="1" t="s">
        <v>19149</v>
      </c>
      <c r="T883" s="1" t="s">
        <v>7</v>
      </c>
      <c r="U883" s="1" t="s">
        <v>24</v>
      </c>
    </row>
    <row r="884" spans="1:21" x14ac:dyDescent="0.2">
      <c r="A884" s="88" t="s">
        <v>16483</v>
      </c>
      <c r="B884" s="88" t="e">
        <f>VLOOKUP(C884,#REF!,1,0)</f>
        <v>#REF!</v>
      </c>
      <c r="C884" s="1" t="s">
        <v>3158</v>
      </c>
      <c r="D884" s="1" t="s">
        <v>3159</v>
      </c>
      <c r="E884" s="1" t="s">
        <v>9333</v>
      </c>
      <c r="F884" s="1" t="s">
        <v>8957</v>
      </c>
      <c r="G884" t="s">
        <v>9009</v>
      </c>
      <c r="H884" s="1" t="s">
        <v>9100</v>
      </c>
      <c r="I884" s="1" t="s">
        <v>8959</v>
      </c>
      <c r="J884" s="2" t="s">
        <v>20779</v>
      </c>
      <c r="K884" s="1" t="s">
        <v>9036</v>
      </c>
      <c r="L884" s="1" t="s">
        <v>8987</v>
      </c>
      <c r="M884" s="1">
        <v>160</v>
      </c>
      <c r="N884" s="1" t="s">
        <v>8953</v>
      </c>
      <c r="O884" s="1" t="s">
        <v>8989</v>
      </c>
      <c r="P884" s="1" t="s">
        <v>8955</v>
      </c>
      <c r="Q884" s="1" t="s">
        <v>8956</v>
      </c>
      <c r="R884" s="1" t="s">
        <v>9103</v>
      </c>
      <c r="S884" s="1" t="s">
        <v>19150</v>
      </c>
      <c r="T884" s="1" t="s">
        <v>17</v>
      </c>
      <c r="U884" s="1" t="s">
        <v>24</v>
      </c>
    </row>
    <row r="885" spans="1:21" x14ac:dyDescent="0.2">
      <c r="A885" s="88" t="s">
        <v>16484</v>
      </c>
      <c r="B885" s="88" t="e">
        <f>VLOOKUP(C885,#REF!,1,0)</f>
        <v>#REF!</v>
      </c>
      <c r="C885" s="1" t="s">
        <v>3160</v>
      </c>
      <c r="D885" s="1" t="s">
        <v>3161</v>
      </c>
      <c r="E885" s="1" t="s">
        <v>14748</v>
      </c>
      <c r="F885" s="1" t="s">
        <v>8957</v>
      </c>
      <c r="G885" t="s">
        <v>8959</v>
      </c>
      <c r="H885" s="1" t="s">
        <v>9075</v>
      </c>
      <c r="I885" s="1" t="s">
        <v>8985</v>
      </c>
      <c r="J885" s="2" t="s">
        <v>20783</v>
      </c>
      <c r="K885" s="1" t="s">
        <v>21752</v>
      </c>
      <c r="L885" s="1" t="s">
        <v>8987</v>
      </c>
      <c r="M885" s="1">
        <v>10500</v>
      </c>
      <c r="N885" s="1" t="s">
        <v>8953</v>
      </c>
      <c r="O885" s="1" t="s">
        <v>8989</v>
      </c>
      <c r="P885" s="1" t="s">
        <v>8955</v>
      </c>
      <c r="Q885" s="1" t="s">
        <v>8956</v>
      </c>
      <c r="R885" s="1" t="s">
        <v>9103</v>
      </c>
      <c r="S885" s="1" t="s">
        <v>19151</v>
      </c>
      <c r="T885" s="1" t="s">
        <v>17</v>
      </c>
      <c r="U885" s="1" t="s">
        <v>74</v>
      </c>
    </row>
    <row r="886" spans="1:21" x14ac:dyDescent="0.2">
      <c r="A886" s="88" t="s">
        <v>16485</v>
      </c>
      <c r="B886" s="88" t="e">
        <f>VLOOKUP(C886,#REF!,1,0)</f>
        <v>#REF!</v>
      </c>
      <c r="C886" s="1" t="s">
        <v>3162</v>
      </c>
      <c r="D886" s="1" t="s">
        <v>3163</v>
      </c>
      <c r="E886" s="1" t="s">
        <v>9465</v>
      </c>
      <c r="F886" s="1" t="s">
        <v>8957</v>
      </c>
      <c r="G886" t="s">
        <v>9009</v>
      </c>
      <c r="H886" s="1" t="s">
        <v>9100</v>
      </c>
      <c r="I886" s="1" t="s">
        <v>8959</v>
      </c>
      <c r="J886" s="2" t="s">
        <v>20783</v>
      </c>
      <c r="K886" s="1" t="s">
        <v>10381</v>
      </c>
      <c r="L886" s="1" t="s">
        <v>8951</v>
      </c>
      <c r="M886" s="1">
        <v>220</v>
      </c>
      <c r="N886" s="1" t="s">
        <v>8953</v>
      </c>
      <c r="O886" s="1" t="s">
        <v>8954</v>
      </c>
      <c r="P886" s="1" t="s">
        <v>8955</v>
      </c>
      <c r="Q886" s="1" t="s">
        <v>8956</v>
      </c>
      <c r="R886" s="1" t="s">
        <v>9103</v>
      </c>
      <c r="S886" s="1" t="s">
        <v>19152</v>
      </c>
      <c r="T886" s="1" t="s">
        <v>17</v>
      </c>
      <c r="U886" s="1" t="s">
        <v>24</v>
      </c>
    </row>
    <row r="887" spans="1:21" x14ac:dyDescent="0.2">
      <c r="A887" s="88" t="s">
        <v>16486</v>
      </c>
      <c r="B887" s="88" t="e">
        <f>VLOOKUP(C887,#REF!,1,0)</f>
        <v>#REF!</v>
      </c>
      <c r="C887" s="1" t="s">
        <v>3164</v>
      </c>
      <c r="D887" s="1" t="s">
        <v>3165</v>
      </c>
      <c r="E887" s="1" t="s">
        <v>9852</v>
      </c>
      <c r="F887" s="1" t="s">
        <v>8957</v>
      </c>
      <c r="G887" t="s">
        <v>8959</v>
      </c>
      <c r="H887" s="1" t="s">
        <v>8948</v>
      </c>
      <c r="I887" s="1" t="s">
        <v>8949</v>
      </c>
      <c r="J887" s="2" t="s">
        <v>9851</v>
      </c>
      <c r="K887" s="1" t="s">
        <v>9851</v>
      </c>
      <c r="L887" s="1" t="s">
        <v>21600</v>
      </c>
      <c r="M887" s="1">
        <v>384</v>
      </c>
      <c r="N887" s="1" t="s">
        <v>8953</v>
      </c>
      <c r="O887" s="1" t="s">
        <v>8989</v>
      </c>
      <c r="P887" s="1" t="s">
        <v>8955</v>
      </c>
      <c r="Q887" s="1" t="s">
        <v>8956</v>
      </c>
      <c r="R887" s="1" t="s">
        <v>8958</v>
      </c>
      <c r="S887" s="1" t="s">
        <v>3166</v>
      </c>
      <c r="T887" s="1" t="s">
        <v>17</v>
      </c>
      <c r="U887" s="1" t="s">
        <v>3167</v>
      </c>
    </row>
    <row r="888" spans="1:21" x14ac:dyDescent="0.2">
      <c r="A888" s="88" t="s">
        <v>16487</v>
      </c>
      <c r="B888" s="88" t="e">
        <f>VLOOKUP(C888,#REF!,1,0)</f>
        <v>#REF!</v>
      </c>
      <c r="C888" s="1" t="s">
        <v>3168</v>
      </c>
      <c r="D888" s="1" t="s">
        <v>3169</v>
      </c>
      <c r="E888" s="1" t="s">
        <v>9852</v>
      </c>
      <c r="F888" s="1" t="s">
        <v>8974</v>
      </c>
      <c r="G888" t="s">
        <v>9183</v>
      </c>
      <c r="H888" s="1" t="s">
        <v>8948</v>
      </c>
      <c r="I888" s="1" t="s">
        <v>8949</v>
      </c>
      <c r="J888" s="2" t="s">
        <v>9018</v>
      </c>
      <c r="K888" s="1" t="s">
        <v>21762</v>
      </c>
      <c r="L888" s="1" t="s">
        <v>21600</v>
      </c>
      <c r="M888" s="1">
        <v>274</v>
      </c>
      <c r="N888" s="1" t="s">
        <v>8953</v>
      </c>
      <c r="O888" s="1" t="s">
        <v>8954</v>
      </c>
      <c r="P888" s="1" t="s">
        <v>8955</v>
      </c>
      <c r="Q888" s="1" t="s">
        <v>8956</v>
      </c>
      <c r="R888" s="1" t="s">
        <v>8958</v>
      </c>
      <c r="S888" s="1" t="s">
        <v>3170</v>
      </c>
      <c r="T888" s="1" t="s">
        <v>11</v>
      </c>
      <c r="U888" s="1" t="s">
        <v>3167</v>
      </c>
    </row>
    <row r="889" spans="1:21" x14ac:dyDescent="0.2">
      <c r="A889" s="88" t="s">
        <v>16488</v>
      </c>
      <c r="B889" s="88" t="e">
        <f>VLOOKUP(C889,#REF!,1,0)</f>
        <v>#REF!</v>
      </c>
      <c r="C889" s="1" t="s">
        <v>3171</v>
      </c>
      <c r="D889" s="1" t="s">
        <v>3172</v>
      </c>
      <c r="E889" s="1" t="s">
        <v>9852</v>
      </c>
      <c r="F889" s="1" t="s">
        <v>8959</v>
      </c>
      <c r="G889" t="s">
        <v>9183</v>
      </c>
      <c r="H889" s="1" t="s">
        <v>9049</v>
      </c>
      <c r="I889" s="1" t="s">
        <v>8949</v>
      </c>
      <c r="J889" s="2" t="s">
        <v>18491</v>
      </c>
      <c r="K889" s="1" t="s">
        <v>18491</v>
      </c>
      <c r="L889" s="1" t="s">
        <v>21600</v>
      </c>
      <c r="M889" s="1">
        <v>30</v>
      </c>
      <c r="N889" s="1" t="s">
        <v>8953</v>
      </c>
      <c r="O889" s="1" t="s">
        <v>8954</v>
      </c>
      <c r="P889" s="1" t="s">
        <v>8955</v>
      </c>
      <c r="Q889" s="1" t="s">
        <v>8956</v>
      </c>
      <c r="R889" s="1" t="s">
        <v>9103</v>
      </c>
      <c r="S889" s="1" t="s">
        <v>3173</v>
      </c>
      <c r="T889" s="1" t="s">
        <v>11</v>
      </c>
      <c r="U889" s="1" t="s">
        <v>97</v>
      </c>
    </row>
    <row r="890" spans="1:21" x14ac:dyDescent="0.2">
      <c r="A890" s="88" t="s">
        <v>16489</v>
      </c>
      <c r="B890" s="88" t="e">
        <f>VLOOKUP(C890,#REF!,1,0)</f>
        <v>#REF!</v>
      </c>
      <c r="C890" s="1" t="s">
        <v>3174</v>
      </c>
      <c r="D890" s="1" t="s">
        <v>3175</v>
      </c>
      <c r="E890" s="1" t="s">
        <v>9380</v>
      </c>
      <c r="F890" s="1" t="s">
        <v>8957</v>
      </c>
      <c r="G890" t="s">
        <v>8959</v>
      </c>
      <c r="H890" s="1" t="s">
        <v>9035</v>
      </c>
      <c r="I890" s="1" t="s">
        <v>9308</v>
      </c>
      <c r="J890" s="2" t="s">
        <v>21272</v>
      </c>
      <c r="K890" s="1" t="s">
        <v>21272</v>
      </c>
      <c r="L890" s="1" t="s">
        <v>8987</v>
      </c>
      <c r="M890" s="1">
        <v>112323</v>
      </c>
      <c r="N890" s="1" t="s">
        <v>8953</v>
      </c>
      <c r="O890" s="1" t="s">
        <v>8954</v>
      </c>
      <c r="P890" s="1" t="s">
        <v>8955</v>
      </c>
      <c r="Q890" s="1" t="s">
        <v>8956</v>
      </c>
      <c r="R890" s="1" t="s">
        <v>8958</v>
      </c>
      <c r="S890" s="1" t="s">
        <v>19153</v>
      </c>
      <c r="T890" s="1" t="s">
        <v>7</v>
      </c>
      <c r="U890" s="1" t="s">
        <v>46</v>
      </c>
    </row>
    <row r="891" spans="1:21" x14ac:dyDescent="0.2">
      <c r="A891" s="88" t="s">
        <v>16490</v>
      </c>
      <c r="B891" s="88" t="e">
        <f>VLOOKUP(C891,#REF!,1,0)</f>
        <v>#REF!</v>
      </c>
      <c r="C891" s="1" t="s">
        <v>3176</v>
      </c>
      <c r="D891" s="1" t="s">
        <v>3177</v>
      </c>
      <c r="E891" s="1" t="s">
        <v>14748</v>
      </c>
      <c r="F891" s="1" t="s">
        <v>8959</v>
      </c>
      <c r="G891" t="s">
        <v>8959</v>
      </c>
      <c r="H891" s="1" t="s">
        <v>9035</v>
      </c>
      <c r="I891" s="1" t="s">
        <v>9308</v>
      </c>
      <c r="J891" s="2" t="s">
        <v>20779</v>
      </c>
      <c r="K891" s="1" t="s">
        <v>9036</v>
      </c>
      <c r="L891" s="1" t="s">
        <v>8951</v>
      </c>
      <c r="M891" s="1">
        <v>4575</v>
      </c>
      <c r="N891" s="1" t="s">
        <v>8953</v>
      </c>
      <c r="O891" s="1" t="s">
        <v>8954</v>
      </c>
      <c r="P891" s="1" t="s">
        <v>8955</v>
      </c>
      <c r="Q891" s="1" t="s">
        <v>8956</v>
      </c>
      <c r="R891" s="1" t="s">
        <v>9103</v>
      </c>
      <c r="S891" s="1" t="s">
        <v>3178</v>
      </c>
      <c r="T891" s="1" t="s">
        <v>7</v>
      </c>
      <c r="U891" s="1" t="s">
        <v>3179</v>
      </c>
    </row>
    <row r="892" spans="1:21" x14ac:dyDescent="0.2">
      <c r="A892" s="88" t="s">
        <v>16491</v>
      </c>
      <c r="B892" s="88" t="e">
        <f>VLOOKUP(C892,#REF!,1,0)</f>
        <v>#REF!</v>
      </c>
      <c r="C892" s="1" t="s">
        <v>3180</v>
      </c>
      <c r="D892" s="1" t="s">
        <v>3181</v>
      </c>
      <c r="E892" s="1" t="s">
        <v>18502</v>
      </c>
      <c r="F892" s="1" t="s">
        <v>8959</v>
      </c>
      <c r="G892" t="s">
        <v>9183</v>
      </c>
      <c r="H892" s="1" t="s">
        <v>9100</v>
      </c>
      <c r="I892" s="1" t="s">
        <v>8998</v>
      </c>
      <c r="J892" s="2" t="s">
        <v>10492</v>
      </c>
      <c r="K892" s="1" t="s">
        <v>10492</v>
      </c>
      <c r="L892" s="1" t="s">
        <v>21600</v>
      </c>
      <c r="M892" s="1">
        <v>12968</v>
      </c>
      <c r="N892" s="1" t="s">
        <v>8953</v>
      </c>
      <c r="O892" s="1" t="s">
        <v>8989</v>
      </c>
      <c r="P892" s="1" t="s">
        <v>8955</v>
      </c>
      <c r="Q892" s="1" t="s">
        <v>8956</v>
      </c>
      <c r="R892" s="1" t="s">
        <v>8975</v>
      </c>
      <c r="S892" s="1" t="s">
        <v>19154</v>
      </c>
      <c r="T892" s="1" t="s">
        <v>17</v>
      </c>
      <c r="U892" s="1" t="s">
        <v>544</v>
      </c>
    </row>
    <row r="893" spans="1:21" x14ac:dyDescent="0.2">
      <c r="A893" s="88" t="s">
        <v>16492</v>
      </c>
      <c r="B893" s="88" t="e">
        <f>VLOOKUP(C893,#REF!,1,0)</f>
        <v>#REF!</v>
      </c>
      <c r="C893" s="1" t="s">
        <v>3182</v>
      </c>
      <c r="D893" s="1" t="s">
        <v>3183</v>
      </c>
      <c r="E893" s="1" t="s">
        <v>9317</v>
      </c>
      <c r="F893" s="1" t="s">
        <v>8957</v>
      </c>
      <c r="G893" t="s">
        <v>8959</v>
      </c>
      <c r="H893" s="1" t="s">
        <v>9100</v>
      </c>
      <c r="I893" s="1" t="s">
        <v>8949</v>
      </c>
      <c r="J893" s="2" t="s">
        <v>10492</v>
      </c>
      <c r="K893" s="1" t="s">
        <v>10492</v>
      </c>
      <c r="L893" s="1" t="s">
        <v>21600</v>
      </c>
      <c r="M893" s="1">
        <v>10005</v>
      </c>
      <c r="N893" s="1" t="s">
        <v>8953</v>
      </c>
      <c r="O893" s="1" t="s">
        <v>8954</v>
      </c>
      <c r="P893" s="1" t="s">
        <v>8955</v>
      </c>
      <c r="Q893" s="1" t="s">
        <v>8956</v>
      </c>
      <c r="R893" s="1" t="s">
        <v>8975</v>
      </c>
      <c r="S893" s="1" t="s">
        <v>20612</v>
      </c>
      <c r="T893" s="1" t="s">
        <v>17</v>
      </c>
      <c r="U893" s="1" t="s">
        <v>2988</v>
      </c>
    </row>
    <row r="894" spans="1:21" x14ac:dyDescent="0.2">
      <c r="A894" s="88" t="s">
        <v>16493</v>
      </c>
      <c r="B894" s="88" t="e">
        <f>VLOOKUP(C894,#REF!,1,0)</f>
        <v>#REF!</v>
      </c>
      <c r="C894" s="1" t="s">
        <v>3188</v>
      </c>
      <c r="D894" s="1" t="s">
        <v>3189</v>
      </c>
      <c r="E894" s="1" t="s">
        <v>9333</v>
      </c>
      <c r="F894" s="1" t="s">
        <v>8959</v>
      </c>
      <c r="G894" t="s">
        <v>9009</v>
      </c>
      <c r="H894" s="1" t="s">
        <v>9075</v>
      </c>
      <c r="I894" s="1" t="s">
        <v>8949</v>
      </c>
      <c r="J894" s="2" t="s">
        <v>9036</v>
      </c>
      <c r="K894" s="1" t="s">
        <v>9036</v>
      </c>
      <c r="L894" s="1" t="s">
        <v>8951</v>
      </c>
      <c r="M894" s="1">
        <v>4000</v>
      </c>
      <c r="N894" s="1" t="s">
        <v>8953</v>
      </c>
      <c r="O894" s="1" t="s">
        <v>8954</v>
      </c>
      <c r="P894" s="1" t="s">
        <v>8955</v>
      </c>
      <c r="Q894" s="1" t="s">
        <v>8956</v>
      </c>
      <c r="R894" s="1" t="s">
        <v>8975</v>
      </c>
      <c r="S894" s="1" t="s">
        <v>3190</v>
      </c>
      <c r="T894" s="1" t="s">
        <v>11</v>
      </c>
      <c r="U894" s="1" t="s">
        <v>559</v>
      </c>
    </row>
    <row r="895" spans="1:21" x14ac:dyDescent="0.2">
      <c r="A895" s="88" t="s">
        <v>16494</v>
      </c>
      <c r="B895" s="88" t="e">
        <f>VLOOKUP(C895,#REF!,1,0)</f>
        <v>#REF!</v>
      </c>
      <c r="C895" s="1" t="s">
        <v>3191</v>
      </c>
      <c r="D895" s="1" t="s">
        <v>3192</v>
      </c>
      <c r="E895" s="1" t="s">
        <v>9010</v>
      </c>
      <c r="F895" s="1" t="s">
        <v>8957</v>
      </c>
      <c r="G895" t="s">
        <v>9009</v>
      </c>
      <c r="H895" s="1" t="s">
        <v>9100</v>
      </c>
      <c r="I895" s="1" t="s">
        <v>8949</v>
      </c>
      <c r="J895" s="2" t="s">
        <v>10178</v>
      </c>
      <c r="K895" s="1" t="s">
        <v>10178</v>
      </c>
      <c r="L895" s="1" t="s">
        <v>9133</v>
      </c>
      <c r="M895" s="1">
        <v>416</v>
      </c>
      <c r="N895" s="1" t="s">
        <v>9059</v>
      </c>
      <c r="O895" s="1" t="s">
        <v>8989</v>
      </c>
      <c r="P895" s="1" t="s">
        <v>8955</v>
      </c>
      <c r="Q895" s="1" t="s">
        <v>8956</v>
      </c>
      <c r="R895" s="1" t="s">
        <v>9103</v>
      </c>
      <c r="S895" s="1" t="s">
        <v>3193</v>
      </c>
      <c r="T895" s="1" t="s">
        <v>11</v>
      </c>
      <c r="U895" s="1" t="s">
        <v>3194</v>
      </c>
    </row>
    <row r="896" spans="1:21" x14ac:dyDescent="0.2">
      <c r="A896" s="88" t="s">
        <v>16495</v>
      </c>
      <c r="B896" s="88" t="e">
        <f>VLOOKUP(C896,#REF!,1,0)</f>
        <v>#REF!</v>
      </c>
      <c r="C896" s="1" t="s">
        <v>3195</v>
      </c>
      <c r="D896" s="1" t="s">
        <v>3196</v>
      </c>
      <c r="E896" s="1" t="s">
        <v>18502</v>
      </c>
      <c r="F896" s="1" t="s">
        <v>8957</v>
      </c>
      <c r="G896" t="s">
        <v>8959</v>
      </c>
      <c r="H896" s="1" t="s">
        <v>9100</v>
      </c>
      <c r="I896" s="1" t="s">
        <v>9725</v>
      </c>
      <c r="J896" s="2" t="s">
        <v>20785</v>
      </c>
      <c r="K896" s="1" t="s">
        <v>18491</v>
      </c>
      <c r="L896" s="1" t="s">
        <v>9076</v>
      </c>
      <c r="M896" s="1">
        <v>411</v>
      </c>
      <c r="N896" s="1" t="s">
        <v>8953</v>
      </c>
      <c r="O896" s="1" t="s">
        <v>8954</v>
      </c>
      <c r="P896" s="1" t="s">
        <v>8955</v>
      </c>
      <c r="Q896" s="1" t="s">
        <v>8956</v>
      </c>
      <c r="R896" s="1" t="s">
        <v>9103</v>
      </c>
      <c r="S896" s="1" t="s">
        <v>19156</v>
      </c>
      <c r="T896" s="1" t="s">
        <v>7</v>
      </c>
      <c r="U896" s="1" t="s">
        <v>3194</v>
      </c>
    </row>
    <row r="897" spans="1:21" x14ac:dyDescent="0.2">
      <c r="A897" s="88" t="s">
        <v>16496</v>
      </c>
      <c r="B897" s="88" t="e">
        <f>VLOOKUP(C897,#REF!,1,0)</f>
        <v>#REF!</v>
      </c>
      <c r="C897" s="1" t="s">
        <v>3197</v>
      </c>
      <c r="D897" s="1" t="s">
        <v>3198</v>
      </c>
      <c r="E897" s="1" t="s">
        <v>9010</v>
      </c>
      <c r="F897" s="1" t="s">
        <v>8957</v>
      </c>
      <c r="G897" t="s">
        <v>8959</v>
      </c>
      <c r="H897" s="1" t="s">
        <v>8948</v>
      </c>
      <c r="I897" s="1" t="s">
        <v>8949</v>
      </c>
      <c r="J897" s="2" t="s">
        <v>21462</v>
      </c>
      <c r="K897" s="1" t="s">
        <v>21462</v>
      </c>
      <c r="L897" s="1" t="s">
        <v>9292</v>
      </c>
      <c r="M897" s="1">
        <v>516</v>
      </c>
      <c r="N897" s="1" t="s">
        <v>9059</v>
      </c>
      <c r="O897" s="1" t="s">
        <v>8989</v>
      </c>
      <c r="P897" s="1" t="s">
        <v>8955</v>
      </c>
      <c r="Q897" s="1" t="s">
        <v>8956</v>
      </c>
      <c r="R897" s="1" t="s">
        <v>8958</v>
      </c>
      <c r="S897" s="1" t="s">
        <v>3199</v>
      </c>
      <c r="T897" s="1" t="s">
        <v>924</v>
      </c>
      <c r="U897" s="1" t="s">
        <v>3200</v>
      </c>
    </row>
    <row r="898" spans="1:21" x14ac:dyDescent="0.2">
      <c r="A898" s="88" t="s">
        <v>16497</v>
      </c>
      <c r="B898" s="88" t="e">
        <f>VLOOKUP(C898,#REF!,1,0)</f>
        <v>#REF!</v>
      </c>
      <c r="C898" s="1" t="s">
        <v>3201</v>
      </c>
      <c r="D898" s="1" t="s">
        <v>3202</v>
      </c>
      <c r="E898" s="1" t="s">
        <v>9010</v>
      </c>
      <c r="F898" s="1" t="s">
        <v>8957</v>
      </c>
      <c r="G898" t="s">
        <v>8959</v>
      </c>
      <c r="H898" s="1" t="s">
        <v>8948</v>
      </c>
      <c r="I898" s="1" t="s">
        <v>9155</v>
      </c>
      <c r="J898" s="2" t="s">
        <v>21464</v>
      </c>
      <c r="K898" s="1" t="s">
        <v>21464</v>
      </c>
      <c r="L898" s="1" t="s">
        <v>9292</v>
      </c>
      <c r="M898" s="1">
        <v>447</v>
      </c>
      <c r="N898" s="1" t="s">
        <v>9059</v>
      </c>
      <c r="O898" s="1" t="s">
        <v>8989</v>
      </c>
      <c r="P898" s="1" t="s">
        <v>8955</v>
      </c>
      <c r="Q898" s="1" t="s">
        <v>8956</v>
      </c>
      <c r="R898" s="1" t="s">
        <v>8958</v>
      </c>
      <c r="S898" s="1" t="s">
        <v>3203</v>
      </c>
      <c r="T898" s="1" t="s">
        <v>929</v>
      </c>
      <c r="U898" s="1" t="s">
        <v>921</v>
      </c>
    </row>
    <row r="899" spans="1:21" x14ac:dyDescent="0.2">
      <c r="A899" s="88" t="s">
        <v>16498</v>
      </c>
      <c r="B899" s="88" t="e">
        <f>VLOOKUP(C899,#REF!,1,0)</f>
        <v>#REF!</v>
      </c>
      <c r="C899" s="1" t="s">
        <v>3204</v>
      </c>
      <c r="D899" s="1" t="s">
        <v>3205</v>
      </c>
      <c r="E899" s="1" t="s">
        <v>9333</v>
      </c>
      <c r="F899" s="1" t="s">
        <v>8957</v>
      </c>
      <c r="G899" t="s">
        <v>8959</v>
      </c>
      <c r="H899" s="1" t="s">
        <v>8948</v>
      </c>
      <c r="I899" s="1" t="s">
        <v>9155</v>
      </c>
      <c r="J899" s="2" t="s">
        <v>9937</v>
      </c>
      <c r="K899" s="1" t="s">
        <v>9937</v>
      </c>
      <c r="L899" s="1" t="s">
        <v>21600</v>
      </c>
      <c r="M899" s="1">
        <v>21</v>
      </c>
      <c r="N899" s="1" t="s">
        <v>8953</v>
      </c>
      <c r="O899" s="1" t="s">
        <v>8954</v>
      </c>
      <c r="P899" s="1" t="s">
        <v>8955</v>
      </c>
      <c r="Q899" s="1" t="s">
        <v>8956</v>
      </c>
      <c r="R899" s="1" t="s">
        <v>8958</v>
      </c>
      <c r="S899" s="1" t="s">
        <v>3206</v>
      </c>
      <c r="T899" s="1" t="s">
        <v>17</v>
      </c>
      <c r="U899" s="1" t="s">
        <v>342</v>
      </c>
    </row>
    <row r="900" spans="1:21" x14ac:dyDescent="0.2">
      <c r="A900" s="88" t="s">
        <v>16499</v>
      </c>
      <c r="B900" s="88" t="e">
        <f>VLOOKUP(C900,#REF!,1,0)</f>
        <v>#REF!</v>
      </c>
      <c r="C900" s="1" t="s">
        <v>3207</v>
      </c>
      <c r="D900" s="1" t="s">
        <v>3208</v>
      </c>
      <c r="E900" s="1" t="s">
        <v>9317</v>
      </c>
      <c r="F900" s="1" t="s">
        <v>8957</v>
      </c>
      <c r="G900" t="s">
        <v>8959</v>
      </c>
      <c r="H900" s="1" t="s">
        <v>20712</v>
      </c>
      <c r="I900" s="1" t="s">
        <v>8949</v>
      </c>
      <c r="J900" s="2" t="s">
        <v>10492</v>
      </c>
      <c r="K900" s="1" t="s">
        <v>10492</v>
      </c>
      <c r="L900" s="1" t="s">
        <v>21600</v>
      </c>
      <c r="M900" s="1">
        <v>40</v>
      </c>
      <c r="N900" s="1" t="s">
        <v>8953</v>
      </c>
      <c r="O900" s="1" t="s">
        <v>8989</v>
      </c>
      <c r="P900" s="1" t="s">
        <v>8955</v>
      </c>
      <c r="Q900" s="1" t="s">
        <v>8956</v>
      </c>
      <c r="R900" s="1" t="s">
        <v>8958</v>
      </c>
      <c r="S900" s="1" t="s">
        <v>19157</v>
      </c>
      <c r="T900" s="1" t="s">
        <v>17</v>
      </c>
      <c r="U900" s="1" t="s">
        <v>64</v>
      </c>
    </row>
    <row r="901" spans="1:21" x14ac:dyDescent="0.2">
      <c r="A901" s="88" t="s">
        <v>16502</v>
      </c>
      <c r="B901" s="88" t="e">
        <f>VLOOKUP(C901,#REF!,1,0)</f>
        <v>#REF!</v>
      </c>
      <c r="C901" s="1" t="s">
        <v>3214</v>
      </c>
      <c r="D901" s="1" t="s">
        <v>3215</v>
      </c>
      <c r="E901" s="1" t="s">
        <v>9176</v>
      </c>
      <c r="F901" s="1" t="s">
        <v>8957</v>
      </c>
      <c r="G901" t="s">
        <v>9183</v>
      </c>
      <c r="H901" s="1" t="s">
        <v>9075</v>
      </c>
      <c r="I901" s="1" t="s">
        <v>8998</v>
      </c>
      <c r="J901" s="2" t="s">
        <v>8972</v>
      </c>
      <c r="K901" s="1" t="s">
        <v>21768</v>
      </c>
      <c r="L901" s="1" t="s">
        <v>21600</v>
      </c>
      <c r="M901" s="1">
        <v>89</v>
      </c>
      <c r="N901" s="1" t="s">
        <v>9059</v>
      </c>
      <c r="O901" s="1" t="s">
        <v>8989</v>
      </c>
      <c r="P901" s="1" t="s">
        <v>8955</v>
      </c>
      <c r="Q901" s="1" t="s">
        <v>8956</v>
      </c>
      <c r="R901" s="1" t="s">
        <v>8958</v>
      </c>
      <c r="S901" s="1" t="s">
        <v>3216</v>
      </c>
      <c r="T901" s="1" t="s">
        <v>11</v>
      </c>
      <c r="U901" s="1" t="s">
        <v>2377</v>
      </c>
    </row>
    <row r="902" spans="1:21" x14ac:dyDescent="0.2">
      <c r="A902" s="88" t="s">
        <v>16504</v>
      </c>
      <c r="B902" s="88" t="e">
        <f>VLOOKUP(C902,#REF!,1,0)</f>
        <v>#REF!</v>
      </c>
      <c r="C902" s="1" t="s">
        <v>3220</v>
      </c>
      <c r="D902" s="1" t="s">
        <v>3221</v>
      </c>
      <c r="E902" s="1" t="s">
        <v>9317</v>
      </c>
      <c r="F902" s="1" t="s">
        <v>8957</v>
      </c>
      <c r="G902" t="s">
        <v>9061</v>
      </c>
      <c r="H902" s="1" t="s">
        <v>8948</v>
      </c>
      <c r="I902" s="1" t="s">
        <v>8949</v>
      </c>
      <c r="J902" s="2" t="s">
        <v>9036</v>
      </c>
      <c r="K902" s="1" t="s">
        <v>9036</v>
      </c>
      <c r="L902" s="1" t="s">
        <v>21600</v>
      </c>
      <c r="M902" s="1">
        <v>218</v>
      </c>
      <c r="N902" s="1" t="s">
        <v>8953</v>
      </c>
      <c r="O902" s="1" t="s">
        <v>8954</v>
      </c>
      <c r="P902" s="1" t="s">
        <v>8955</v>
      </c>
      <c r="Q902" s="1" t="s">
        <v>8956</v>
      </c>
      <c r="R902" s="1" t="s">
        <v>8958</v>
      </c>
      <c r="S902" s="1" t="s">
        <v>3222</v>
      </c>
      <c r="T902" s="1" t="s">
        <v>17</v>
      </c>
      <c r="U902" s="1" t="s">
        <v>857</v>
      </c>
    </row>
    <row r="903" spans="1:21" x14ac:dyDescent="0.2">
      <c r="A903" s="88" t="s">
        <v>16505</v>
      </c>
      <c r="B903" s="88" t="e">
        <f>VLOOKUP(C903,#REF!,1,0)</f>
        <v>#REF!</v>
      </c>
      <c r="C903" s="1" t="s">
        <v>3223</v>
      </c>
      <c r="D903" s="1" t="s">
        <v>3224</v>
      </c>
      <c r="E903" s="1" t="s">
        <v>9852</v>
      </c>
      <c r="F903" s="1" t="s">
        <v>8959</v>
      </c>
      <c r="G903" t="s">
        <v>8959</v>
      </c>
      <c r="H903" s="1" t="s">
        <v>9252</v>
      </c>
      <c r="I903" s="1" t="s">
        <v>9253</v>
      </c>
      <c r="J903" s="2" t="s">
        <v>9036</v>
      </c>
      <c r="K903" s="1" t="s">
        <v>9036</v>
      </c>
      <c r="L903" s="1" t="s">
        <v>8987</v>
      </c>
      <c r="M903" s="1">
        <v>2796</v>
      </c>
      <c r="N903" s="1" t="s">
        <v>8953</v>
      </c>
      <c r="O903" s="1" t="s">
        <v>8954</v>
      </c>
      <c r="P903" s="1" t="s">
        <v>8955</v>
      </c>
      <c r="Q903" s="1" t="s">
        <v>8956</v>
      </c>
      <c r="R903" s="1" t="s">
        <v>8958</v>
      </c>
      <c r="S903" s="1" t="s">
        <v>3225</v>
      </c>
      <c r="T903" s="1" t="s">
        <v>4</v>
      </c>
      <c r="U903" s="1" t="s">
        <v>1343</v>
      </c>
    </row>
    <row r="904" spans="1:21" x14ac:dyDescent="0.2">
      <c r="A904" s="88" t="s">
        <v>16506</v>
      </c>
      <c r="B904" s="88" t="e">
        <f>VLOOKUP(C904,#REF!,1,0)</f>
        <v>#REF!</v>
      </c>
      <c r="C904" s="1" t="s">
        <v>3226</v>
      </c>
      <c r="D904" s="1" t="s">
        <v>3227</v>
      </c>
      <c r="E904" s="1" t="s">
        <v>9380</v>
      </c>
      <c r="F904" s="1" t="s">
        <v>8957</v>
      </c>
      <c r="G904" t="s">
        <v>8959</v>
      </c>
      <c r="H904" s="1" t="s">
        <v>9154</v>
      </c>
      <c r="I904" s="1" t="s">
        <v>8971</v>
      </c>
      <c r="J904" s="2" t="s">
        <v>8972</v>
      </c>
      <c r="K904" s="1" t="s">
        <v>8972</v>
      </c>
      <c r="L904" s="1" t="s">
        <v>21600</v>
      </c>
      <c r="M904" s="1">
        <v>854</v>
      </c>
      <c r="N904" s="1" t="s">
        <v>8953</v>
      </c>
      <c r="O904" s="1" t="s">
        <v>8989</v>
      </c>
      <c r="P904" s="1" t="s">
        <v>8955</v>
      </c>
      <c r="Q904" s="1" t="s">
        <v>8956</v>
      </c>
      <c r="R904" s="1" t="s">
        <v>8975</v>
      </c>
      <c r="S904" s="1" t="s">
        <v>3228</v>
      </c>
      <c r="T904" s="1" t="s">
        <v>17</v>
      </c>
      <c r="U904" s="1" t="s">
        <v>64</v>
      </c>
    </row>
    <row r="905" spans="1:21" x14ac:dyDescent="0.2">
      <c r="A905" s="88" t="s">
        <v>16508</v>
      </c>
      <c r="B905" s="88" t="e">
        <f>VLOOKUP(C905,#REF!,1,0)</f>
        <v>#REF!</v>
      </c>
      <c r="C905" s="1" t="s">
        <v>3231</v>
      </c>
      <c r="D905" s="1" t="s">
        <v>3232</v>
      </c>
      <c r="E905" s="1" t="s">
        <v>9968</v>
      </c>
      <c r="F905" s="1" t="s">
        <v>8959</v>
      </c>
      <c r="G905" t="s">
        <v>8959</v>
      </c>
      <c r="H905" s="1" t="s">
        <v>9173</v>
      </c>
      <c r="I905" s="1" t="s">
        <v>9174</v>
      </c>
      <c r="J905" s="2" t="s">
        <v>9036</v>
      </c>
      <c r="K905" s="1" t="s">
        <v>9036</v>
      </c>
      <c r="L905" s="1" t="s">
        <v>21600</v>
      </c>
      <c r="M905" s="1">
        <v>126</v>
      </c>
      <c r="N905" s="1" t="s">
        <v>8953</v>
      </c>
      <c r="O905" s="1" t="s">
        <v>8989</v>
      </c>
      <c r="P905" s="1" t="s">
        <v>8955</v>
      </c>
      <c r="Q905" s="1" t="s">
        <v>8956</v>
      </c>
      <c r="R905" s="1" t="s">
        <v>8958</v>
      </c>
      <c r="S905" s="1" t="s">
        <v>3233</v>
      </c>
      <c r="T905" s="1" t="s">
        <v>4</v>
      </c>
      <c r="U905" s="1" t="s">
        <v>64</v>
      </c>
    </row>
    <row r="906" spans="1:21" x14ac:dyDescent="0.2">
      <c r="A906" s="88" t="s">
        <v>16509</v>
      </c>
      <c r="B906" s="88" t="e">
        <f>VLOOKUP(C906,#REF!,1,0)</f>
        <v>#REF!</v>
      </c>
      <c r="C906" s="1" t="s">
        <v>3234</v>
      </c>
      <c r="D906" s="1" t="s">
        <v>3235</v>
      </c>
      <c r="E906" s="1" t="s">
        <v>9815</v>
      </c>
      <c r="F906" s="1" t="s">
        <v>8959</v>
      </c>
      <c r="G906" t="s">
        <v>8959</v>
      </c>
      <c r="H906" s="1" t="s">
        <v>8948</v>
      </c>
      <c r="I906" s="1" t="s">
        <v>8971</v>
      </c>
      <c r="J906" s="2" t="s">
        <v>20783</v>
      </c>
      <c r="K906" s="1" t="s">
        <v>21752</v>
      </c>
      <c r="L906" s="1" t="s">
        <v>8951</v>
      </c>
      <c r="M906" s="1">
        <v>1254</v>
      </c>
      <c r="N906" s="1" t="s">
        <v>8953</v>
      </c>
      <c r="O906" s="1" t="s">
        <v>8989</v>
      </c>
      <c r="P906" s="1" t="s">
        <v>8955</v>
      </c>
      <c r="Q906" s="1" t="s">
        <v>8956</v>
      </c>
      <c r="R906" s="1" t="s">
        <v>8958</v>
      </c>
      <c r="S906" s="1" t="s">
        <v>19161</v>
      </c>
      <c r="T906" s="1" t="s">
        <v>7</v>
      </c>
      <c r="U906" s="1" t="s">
        <v>5</v>
      </c>
    </row>
    <row r="907" spans="1:21" x14ac:dyDescent="0.2">
      <c r="A907" s="88" t="s">
        <v>16510</v>
      </c>
      <c r="B907" s="88" t="e">
        <f>VLOOKUP(C907,#REF!,1,0)</f>
        <v>#REF!</v>
      </c>
      <c r="C907" s="1" t="s">
        <v>3236</v>
      </c>
      <c r="D907" s="1" t="s">
        <v>3237</v>
      </c>
      <c r="E907" s="1" t="s">
        <v>9642</v>
      </c>
      <c r="F907" s="1" t="s">
        <v>9060</v>
      </c>
      <c r="G907" t="s">
        <v>8959</v>
      </c>
      <c r="H907" s="1" t="s">
        <v>8948</v>
      </c>
      <c r="I907" s="1" t="s">
        <v>8998</v>
      </c>
      <c r="J907" s="2" t="s">
        <v>10492</v>
      </c>
      <c r="K907" s="1" t="s">
        <v>10492</v>
      </c>
      <c r="L907" s="1" t="s">
        <v>8951</v>
      </c>
      <c r="M907" s="1">
        <v>213</v>
      </c>
      <c r="N907" s="1" t="s">
        <v>9059</v>
      </c>
      <c r="O907" s="1" t="s">
        <v>8954</v>
      </c>
      <c r="P907" s="1" t="s">
        <v>8955</v>
      </c>
      <c r="Q907" s="1" t="s">
        <v>8956</v>
      </c>
      <c r="R907" s="1" t="s">
        <v>8975</v>
      </c>
      <c r="S907" s="1" t="s">
        <v>19162</v>
      </c>
      <c r="T907" s="1" t="s">
        <v>17</v>
      </c>
      <c r="U907" s="1" t="s">
        <v>3238</v>
      </c>
    </row>
    <row r="908" spans="1:21" x14ac:dyDescent="0.2">
      <c r="A908" s="88" t="s">
        <v>16511</v>
      </c>
      <c r="B908" s="88" t="e">
        <f>VLOOKUP(C908,#REF!,1,0)</f>
        <v>#REF!</v>
      </c>
      <c r="C908" s="1" t="s">
        <v>3239</v>
      </c>
      <c r="D908" s="1" t="s">
        <v>3240</v>
      </c>
      <c r="E908" s="1" t="s">
        <v>20842</v>
      </c>
      <c r="F908" s="1" t="s">
        <v>8974</v>
      </c>
      <c r="G908" t="s">
        <v>8959</v>
      </c>
      <c r="H908" s="1" t="s">
        <v>9092</v>
      </c>
      <c r="I908" s="1" t="s">
        <v>8998</v>
      </c>
      <c r="J908" s="2" t="s">
        <v>20736</v>
      </c>
      <c r="K908" s="1" t="s">
        <v>21640</v>
      </c>
      <c r="L908" s="1" t="s">
        <v>8951</v>
      </c>
      <c r="M908" s="1">
        <v>392</v>
      </c>
      <c r="N908" s="1" t="s">
        <v>8953</v>
      </c>
      <c r="O908" s="1" t="s">
        <v>8954</v>
      </c>
      <c r="P908" s="1" t="s">
        <v>8955</v>
      </c>
      <c r="Q908" s="1" t="s">
        <v>8956</v>
      </c>
      <c r="R908" s="1" t="s">
        <v>9103</v>
      </c>
      <c r="S908" s="1" t="s">
        <v>19163</v>
      </c>
      <c r="T908" s="1" t="s">
        <v>17</v>
      </c>
      <c r="U908" s="1" t="s">
        <v>46</v>
      </c>
    </row>
    <row r="909" spans="1:21" x14ac:dyDescent="0.2">
      <c r="A909" s="88" t="s">
        <v>16512</v>
      </c>
      <c r="B909" s="88"/>
      <c r="C909" s="1" t="s">
        <v>3241</v>
      </c>
      <c r="D909" s="1" t="s">
        <v>3242</v>
      </c>
      <c r="E909" s="1" t="e">
        <v>#N/A</v>
      </c>
      <c r="F909" s="1" t="e">
        <v>#N/A</v>
      </c>
      <c r="G909" t="e">
        <v>#N/A</v>
      </c>
      <c r="H909" s="1" t="e">
        <v>#N/A</v>
      </c>
      <c r="I909" s="1" t="e">
        <v>#N/A</v>
      </c>
      <c r="J909" s="2" t="e">
        <v>#N/A</v>
      </c>
      <c r="K909" s="1" t="e">
        <v>#N/A</v>
      </c>
      <c r="L909" s="1" t="e">
        <v>#N/A</v>
      </c>
      <c r="M909" s="1" t="e">
        <v>#N/A</v>
      </c>
      <c r="N909" s="1" t="e">
        <v>#N/A</v>
      </c>
      <c r="O909" s="1" t="e">
        <v>#N/A</v>
      </c>
      <c r="P909" s="1" t="s">
        <v>8955</v>
      </c>
      <c r="Q909" s="1" t="s">
        <v>8956</v>
      </c>
      <c r="R909" s="1" t="s">
        <v>9103</v>
      </c>
      <c r="S909" s="1" t="s">
        <v>19164</v>
      </c>
      <c r="T909" s="1" t="s">
        <v>252</v>
      </c>
      <c r="U909" s="1" t="s">
        <v>3243</v>
      </c>
    </row>
    <row r="910" spans="1:21" x14ac:dyDescent="0.2">
      <c r="A910" s="88" t="s">
        <v>16513</v>
      </c>
      <c r="B910" s="88" t="e">
        <f>VLOOKUP(C910,#REF!,1,0)</f>
        <v>#REF!</v>
      </c>
      <c r="C910" s="1" t="s">
        <v>3244</v>
      </c>
      <c r="D910" s="1" t="s">
        <v>3245</v>
      </c>
      <c r="E910" s="1" t="s">
        <v>9380</v>
      </c>
      <c r="F910" s="1" t="s">
        <v>8957</v>
      </c>
      <c r="G910" t="s">
        <v>20843</v>
      </c>
      <c r="H910" s="1" t="s">
        <v>9100</v>
      </c>
      <c r="I910" s="1" t="s">
        <v>8949</v>
      </c>
      <c r="J910" s="2" t="s">
        <v>10492</v>
      </c>
      <c r="K910" s="1" t="s">
        <v>10492</v>
      </c>
      <c r="L910" s="1" t="s">
        <v>21600</v>
      </c>
      <c r="M910" s="1">
        <v>106</v>
      </c>
      <c r="N910" s="1" t="s">
        <v>9059</v>
      </c>
      <c r="O910" s="1" t="s">
        <v>8989</v>
      </c>
      <c r="P910" s="1" t="s">
        <v>8955</v>
      </c>
      <c r="Q910" s="1" t="s">
        <v>8956</v>
      </c>
      <c r="R910" s="1" t="s">
        <v>9103</v>
      </c>
      <c r="S910" s="1" t="s">
        <v>19165</v>
      </c>
      <c r="T910" s="1" t="s">
        <v>7</v>
      </c>
      <c r="U910" s="1" t="s">
        <v>46</v>
      </c>
    </row>
    <row r="911" spans="1:21" x14ac:dyDescent="0.2">
      <c r="A911" s="88" t="s">
        <v>16514</v>
      </c>
      <c r="B911" s="88" t="e">
        <f>VLOOKUP(C911,#REF!,1,0)</f>
        <v>#REF!</v>
      </c>
      <c r="C911" s="1" t="s">
        <v>3246</v>
      </c>
      <c r="D911" s="1" t="s">
        <v>3247</v>
      </c>
      <c r="E911" s="1" t="s">
        <v>10873</v>
      </c>
      <c r="F911" s="1" t="s">
        <v>8957</v>
      </c>
      <c r="G911" t="s">
        <v>8959</v>
      </c>
      <c r="H911" s="1" t="s">
        <v>9092</v>
      </c>
      <c r="I911" s="1" t="s">
        <v>8949</v>
      </c>
      <c r="J911" s="2" t="s">
        <v>9036</v>
      </c>
      <c r="K911" s="1" t="s">
        <v>9036</v>
      </c>
      <c r="L911" s="1" t="s">
        <v>8987</v>
      </c>
      <c r="M911" s="1">
        <v>12018</v>
      </c>
      <c r="N911" s="1" t="s">
        <v>9059</v>
      </c>
      <c r="O911" s="1" t="s">
        <v>8954</v>
      </c>
      <c r="P911" s="1" t="s">
        <v>8955</v>
      </c>
      <c r="Q911" s="1" t="s">
        <v>8956</v>
      </c>
      <c r="R911" s="1" t="s">
        <v>8975</v>
      </c>
      <c r="S911" s="1" t="s">
        <v>3248</v>
      </c>
      <c r="T911" s="1" t="s">
        <v>4</v>
      </c>
      <c r="U911" s="1" t="s">
        <v>2211</v>
      </c>
    </row>
    <row r="912" spans="1:21" x14ac:dyDescent="0.2">
      <c r="A912" s="88" t="s">
        <v>16515</v>
      </c>
      <c r="B912" s="88" t="e">
        <f>VLOOKUP(C912,#REF!,1,0)</f>
        <v>#REF!</v>
      </c>
      <c r="C912" s="1" t="s">
        <v>3253</v>
      </c>
      <c r="D912" s="1" t="s">
        <v>3254</v>
      </c>
      <c r="E912" s="1" t="s">
        <v>18502</v>
      </c>
      <c r="F912" s="1" t="s">
        <v>9060</v>
      </c>
      <c r="G912" t="s">
        <v>9061</v>
      </c>
      <c r="H912" s="1" t="s">
        <v>20714</v>
      </c>
      <c r="I912" s="1" t="s">
        <v>20725</v>
      </c>
      <c r="J912" s="2" t="s">
        <v>18497</v>
      </c>
      <c r="K912" s="1" t="s">
        <v>18497</v>
      </c>
      <c r="L912" s="1" t="s">
        <v>8951</v>
      </c>
      <c r="M912" s="1">
        <v>490</v>
      </c>
      <c r="N912" s="1" t="s">
        <v>8953</v>
      </c>
      <c r="O912" s="1" t="s">
        <v>8989</v>
      </c>
      <c r="P912" s="1" t="s">
        <v>8955</v>
      </c>
      <c r="Q912" s="1" t="s">
        <v>8956</v>
      </c>
      <c r="R912" s="1" t="s">
        <v>8975</v>
      </c>
      <c r="S912" s="1" t="s">
        <v>19167</v>
      </c>
      <c r="T912" s="1" t="s">
        <v>7</v>
      </c>
      <c r="U912" s="1" t="s">
        <v>443</v>
      </c>
    </row>
    <row r="913" spans="1:21" x14ac:dyDescent="0.2">
      <c r="A913" s="88" t="s">
        <v>16516</v>
      </c>
      <c r="B913" s="88" t="e">
        <f>VLOOKUP(C913,#REF!,1,0)</f>
        <v>#REF!</v>
      </c>
      <c r="C913" s="1" t="s">
        <v>3255</v>
      </c>
      <c r="D913" s="1" t="s">
        <v>3256</v>
      </c>
      <c r="E913" s="1" t="s">
        <v>18502</v>
      </c>
      <c r="F913" s="1" t="s">
        <v>8957</v>
      </c>
      <c r="G913" t="s">
        <v>9061</v>
      </c>
      <c r="H913" s="1" t="s">
        <v>20714</v>
      </c>
      <c r="I913" s="1" t="s">
        <v>20725</v>
      </c>
      <c r="J913" s="2" t="s">
        <v>18497</v>
      </c>
      <c r="K913" s="1" t="s">
        <v>18497</v>
      </c>
      <c r="L913" s="1" t="s">
        <v>21600</v>
      </c>
      <c r="M913" s="1">
        <v>25250</v>
      </c>
      <c r="N913" s="1" t="s">
        <v>8953</v>
      </c>
      <c r="O913" s="1" t="s">
        <v>8989</v>
      </c>
      <c r="P913" s="1" t="s">
        <v>8955</v>
      </c>
      <c r="Q913" s="1" t="s">
        <v>8956</v>
      </c>
      <c r="R913" s="1" t="s">
        <v>8958</v>
      </c>
      <c r="S913" s="1" t="s">
        <v>19168</v>
      </c>
      <c r="T913" s="1" t="s">
        <v>17</v>
      </c>
      <c r="U913" s="1" t="s">
        <v>24</v>
      </c>
    </row>
    <row r="914" spans="1:21" x14ac:dyDescent="0.2">
      <c r="A914" s="88" t="s">
        <v>16517</v>
      </c>
      <c r="B914" s="88" t="e">
        <f>VLOOKUP(C914,#REF!,1,0)</f>
        <v>#REF!</v>
      </c>
      <c r="C914" s="1" t="s">
        <v>3264</v>
      </c>
      <c r="D914" s="1" t="s">
        <v>3265</v>
      </c>
      <c r="E914" s="1" t="s">
        <v>9213</v>
      </c>
      <c r="F914" s="1" t="s">
        <v>8957</v>
      </c>
      <c r="G914" t="s">
        <v>9061</v>
      </c>
      <c r="H914" s="1" t="s">
        <v>9035</v>
      </c>
      <c r="I914" s="1" t="s">
        <v>9308</v>
      </c>
      <c r="J914" s="2" t="s">
        <v>20779</v>
      </c>
      <c r="K914" s="1" t="s">
        <v>9036</v>
      </c>
      <c r="L914" s="1" t="s">
        <v>8951</v>
      </c>
      <c r="M914" s="1">
        <v>381</v>
      </c>
      <c r="N914" s="1" t="s">
        <v>8953</v>
      </c>
      <c r="O914" s="1" t="s">
        <v>8989</v>
      </c>
      <c r="P914" s="1" t="s">
        <v>8955</v>
      </c>
      <c r="Q914" s="1" t="s">
        <v>8956</v>
      </c>
      <c r="R914" s="1" t="s">
        <v>8975</v>
      </c>
      <c r="S914" s="1" t="s">
        <v>19171</v>
      </c>
      <c r="T914" s="1" t="s">
        <v>7</v>
      </c>
      <c r="U914" s="1" t="s">
        <v>180</v>
      </c>
    </row>
    <row r="915" spans="1:21" x14ac:dyDescent="0.2">
      <c r="A915" s="88" t="s">
        <v>16518</v>
      </c>
      <c r="B915" s="88" t="e">
        <f>VLOOKUP(C915,#REF!,1,0)</f>
        <v>#REF!</v>
      </c>
      <c r="C915" s="1" t="s">
        <v>3266</v>
      </c>
      <c r="D915" s="1" t="s">
        <v>3267</v>
      </c>
      <c r="E915" s="1" t="s">
        <v>9213</v>
      </c>
      <c r="F915" s="1" t="s">
        <v>8957</v>
      </c>
      <c r="G915" t="s">
        <v>8959</v>
      </c>
      <c r="H915" s="1" t="s">
        <v>9035</v>
      </c>
      <c r="I915" s="1" t="s">
        <v>9308</v>
      </c>
      <c r="J915" s="2" t="s">
        <v>20838</v>
      </c>
      <c r="K915" s="1" t="s">
        <v>20755</v>
      </c>
      <c r="L915" s="1" t="s">
        <v>8987</v>
      </c>
      <c r="M915" s="1">
        <v>279</v>
      </c>
      <c r="N915" s="1" t="s">
        <v>9059</v>
      </c>
      <c r="O915" s="1" t="s">
        <v>8954</v>
      </c>
      <c r="P915" s="1" t="s">
        <v>8955</v>
      </c>
      <c r="Q915" s="1" t="s">
        <v>8956</v>
      </c>
      <c r="R915" s="1" t="s">
        <v>8975</v>
      </c>
      <c r="S915" s="1" t="s">
        <v>19172</v>
      </c>
      <c r="T915" s="1" t="s">
        <v>7</v>
      </c>
      <c r="U915" s="1" t="s">
        <v>110</v>
      </c>
    </row>
    <row r="916" spans="1:21" x14ac:dyDescent="0.2">
      <c r="A916" s="88" t="s">
        <v>16519</v>
      </c>
      <c r="B916" s="88" t="e">
        <f>VLOOKUP(C916,#REF!,1,0)</f>
        <v>#REF!</v>
      </c>
      <c r="C916" s="1" t="s">
        <v>3268</v>
      </c>
      <c r="D916" s="1" t="s">
        <v>3269</v>
      </c>
      <c r="E916" s="1" t="s">
        <v>18502</v>
      </c>
      <c r="F916" s="1" t="s">
        <v>8957</v>
      </c>
      <c r="G916" t="s">
        <v>8959</v>
      </c>
      <c r="H916" s="1" t="s">
        <v>9100</v>
      </c>
      <c r="I916" s="1" t="s">
        <v>9101</v>
      </c>
      <c r="J916" s="2" t="s">
        <v>21208</v>
      </c>
      <c r="K916" s="1" t="s">
        <v>21208</v>
      </c>
      <c r="L916" s="1" t="s">
        <v>21600</v>
      </c>
      <c r="M916" s="1">
        <v>30</v>
      </c>
      <c r="N916" s="1" t="s">
        <v>8953</v>
      </c>
      <c r="O916" s="1" t="s">
        <v>8989</v>
      </c>
      <c r="P916" s="1" t="s">
        <v>8955</v>
      </c>
      <c r="Q916" s="1" t="s">
        <v>8956</v>
      </c>
      <c r="R916" s="1" t="s">
        <v>8975</v>
      </c>
      <c r="S916" s="1" t="s">
        <v>19173</v>
      </c>
      <c r="T916" s="1" t="s">
        <v>17</v>
      </c>
      <c r="U916" s="1" t="s">
        <v>322</v>
      </c>
    </row>
    <row r="917" spans="1:21" x14ac:dyDescent="0.2">
      <c r="A917" s="88" t="s">
        <v>16520</v>
      </c>
      <c r="B917" s="88" t="e">
        <f>VLOOKUP(C917,#REF!,1,0)</f>
        <v>#REF!</v>
      </c>
      <c r="C917" s="1" t="s">
        <v>3270</v>
      </c>
      <c r="D917" s="1" t="s">
        <v>3271</v>
      </c>
      <c r="E917" s="1" t="s">
        <v>12908</v>
      </c>
      <c r="F917" s="1" t="s">
        <v>8959</v>
      </c>
      <c r="G917" t="s">
        <v>8959</v>
      </c>
      <c r="H917" s="1" t="s">
        <v>8948</v>
      </c>
      <c r="I917" s="1" t="s">
        <v>8998</v>
      </c>
      <c r="J917" s="2" t="s">
        <v>10492</v>
      </c>
      <c r="K917" s="1" t="s">
        <v>10492</v>
      </c>
      <c r="L917" s="1" t="s">
        <v>21600</v>
      </c>
      <c r="M917" s="1">
        <v>637</v>
      </c>
      <c r="N917" s="1" t="s">
        <v>8953</v>
      </c>
      <c r="O917" s="1" t="s">
        <v>8989</v>
      </c>
      <c r="P917" s="1" t="s">
        <v>8955</v>
      </c>
      <c r="Q917" s="1" t="s">
        <v>8956</v>
      </c>
      <c r="R917" s="1" t="s">
        <v>8975</v>
      </c>
      <c r="S917" s="1" t="s">
        <v>19174</v>
      </c>
      <c r="T917" s="1" t="s">
        <v>7</v>
      </c>
      <c r="U917" s="1" t="s">
        <v>24</v>
      </c>
    </row>
    <row r="918" spans="1:21" x14ac:dyDescent="0.2">
      <c r="A918" s="88" t="s">
        <v>16521</v>
      </c>
      <c r="B918" s="88" t="e">
        <f>VLOOKUP(C918,#REF!,1,0)</f>
        <v>#REF!</v>
      </c>
      <c r="C918" s="1" t="s">
        <v>3272</v>
      </c>
      <c r="D918" s="1" t="s">
        <v>3273</v>
      </c>
      <c r="E918" s="1" t="s">
        <v>9968</v>
      </c>
      <c r="F918" s="1" t="s">
        <v>8959</v>
      </c>
      <c r="G918" t="s">
        <v>8959</v>
      </c>
      <c r="H918" s="1" t="s">
        <v>9075</v>
      </c>
      <c r="I918" s="1" t="s">
        <v>9101</v>
      </c>
      <c r="J918" s="2" t="s">
        <v>10525</v>
      </c>
      <c r="K918" s="1" t="s">
        <v>10525</v>
      </c>
      <c r="L918" s="1" t="s">
        <v>8951</v>
      </c>
      <c r="M918" s="1">
        <v>1540</v>
      </c>
      <c r="N918" s="1" t="s">
        <v>8953</v>
      </c>
      <c r="O918" s="1" t="s">
        <v>8989</v>
      </c>
      <c r="P918" s="1" t="s">
        <v>8955</v>
      </c>
      <c r="Q918" s="1" t="s">
        <v>8956</v>
      </c>
      <c r="R918" s="1" t="s">
        <v>9103</v>
      </c>
      <c r="S918" s="1" t="s">
        <v>20613</v>
      </c>
      <c r="T918" s="1" t="s">
        <v>17</v>
      </c>
      <c r="U918" s="1" t="s">
        <v>74</v>
      </c>
    </row>
    <row r="919" spans="1:21" x14ac:dyDescent="0.2">
      <c r="A919" s="88" t="s">
        <v>16522</v>
      </c>
      <c r="B919" s="88" t="e">
        <f>VLOOKUP(C919,#REF!,1,0)</f>
        <v>#REF!</v>
      </c>
      <c r="C919" s="1" t="s">
        <v>3274</v>
      </c>
      <c r="D919" s="1" t="s">
        <v>3275</v>
      </c>
      <c r="E919" s="1" t="s">
        <v>9968</v>
      </c>
      <c r="F919" s="1" t="s">
        <v>8959</v>
      </c>
      <c r="G919" t="s">
        <v>8959</v>
      </c>
      <c r="H919" s="1" t="s">
        <v>20714</v>
      </c>
      <c r="I919" s="1" t="s">
        <v>9050</v>
      </c>
      <c r="J919" s="2" t="s">
        <v>20779</v>
      </c>
      <c r="K919" s="1" t="s">
        <v>9036</v>
      </c>
      <c r="L919" s="1" t="s">
        <v>21600</v>
      </c>
      <c r="M919" s="1">
        <v>176</v>
      </c>
      <c r="N919" s="1" t="s">
        <v>8953</v>
      </c>
      <c r="O919" s="1" t="s">
        <v>8954</v>
      </c>
      <c r="P919" s="1" t="s">
        <v>8955</v>
      </c>
      <c r="Q919" s="1" t="s">
        <v>8956</v>
      </c>
      <c r="R919" s="1" t="s">
        <v>9103</v>
      </c>
      <c r="S919" s="1" t="s">
        <v>19175</v>
      </c>
      <c r="T919" s="1" t="s">
        <v>17</v>
      </c>
      <c r="U919" s="1" t="s">
        <v>8</v>
      </c>
    </row>
    <row r="920" spans="1:21" x14ac:dyDescent="0.2">
      <c r="A920" s="88" t="s">
        <v>16523</v>
      </c>
      <c r="B920" s="88" t="e">
        <f>VLOOKUP(C920,#REF!,1,0)</f>
        <v>#REF!</v>
      </c>
      <c r="C920" s="1" t="s">
        <v>3276</v>
      </c>
      <c r="D920" s="1" t="s">
        <v>3277</v>
      </c>
      <c r="E920" s="1" t="s">
        <v>9636</v>
      </c>
      <c r="F920" s="1" t="s">
        <v>8959</v>
      </c>
      <c r="G920" t="s">
        <v>9061</v>
      </c>
      <c r="H920" s="1" t="s">
        <v>9035</v>
      </c>
      <c r="I920" s="1" t="s">
        <v>8998</v>
      </c>
      <c r="J920" s="2" t="s">
        <v>18497</v>
      </c>
      <c r="K920" s="1" t="s">
        <v>18497</v>
      </c>
      <c r="L920" s="1" t="s">
        <v>9133</v>
      </c>
      <c r="M920" s="1">
        <v>6868</v>
      </c>
      <c r="N920" s="1" t="s">
        <v>8953</v>
      </c>
      <c r="O920" s="1" t="s">
        <v>8954</v>
      </c>
      <c r="P920" s="1" t="s">
        <v>8955</v>
      </c>
      <c r="Q920" s="1" t="s">
        <v>8956</v>
      </c>
      <c r="R920" s="1" t="s">
        <v>8958</v>
      </c>
      <c r="S920" s="1" t="s">
        <v>19176</v>
      </c>
      <c r="T920" s="1" t="s">
        <v>7</v>
      </c>
      <c r="U920" s="1" t="s">
        <v>831</v>
      </c>
    </row>
    <row r="921" spans="1:21" x14ac:dyDescent="0.2">
      <c r="A921" s="88" t="s">
        <v>16524</v>
      </c>
      <c r="B921" s="88" t="e">
        <f>VLOOKUP(C921,#REF!,1,0)</f>
        <v>#REF!</v>
      </c>
      <c r="C921" s="1" t="s">
        <v>3278</v>
      </c>
      <c r="D921" s="1" t="s">
        <v>3279</v>
      </c>
      <c r="E921" s="1" t="s">
        <v>10687</v>
      </c>
      <c r="F921" s="1" t="s">
        <v>8957</v>
      </c>
      <c r="G921" t="s">
        <v>8959</v>
      </c>
      <c r="H921" s="1" t="s">
        <v>9173</v>
      </c>
      <c r="I921" s="1" t="s">
        <v>9174</v>
      </c>
      <c r="J921" s="2" t="s">
        <v>8972</v>
      </c>
      <c r="K921" s="1" t="s">
        <v>8972</v>
      </c>
      <c r="L921" s="1" t="s">
        <v>21600</v>
      </c>
      <c r="M921" s="1">
        <v>146590</v>
      </c>
      <c r="N921" t="s">
        <v>20915</v>
      </c>
      <c r="O921" s="1" t="s">
        <v>8954</v>
      </c>
      <c r="P921" s="1" t="s">
        <v>8955</v>
      </c>
      <c r="Q921" s="1" t="s">
        <v>8956</v>
      </c>
      <c r="R921" s="1" t="s">
        <v>9103</v>
      </c>
      <c r="S921" s="1" t="s">
        <v>3280</v>
      </c>
      <c r="T921" s="1" t="s">
        <v>11</v>
      </c>
      <c r="U921" s="1" t="s">
        <v>1343</v>
      </c>
    </row>
    <row r="922" spans="1:21" x14ac:dyDescent="0.2">
      <c r="A922" s="88" t="s">
        <v>16525</v>
      </c>
      <c r="B922" s="88" t="e">
        <f>VLOOKUP(C922,#REF!,1,0)</f>
        <v>#REF!</v>
      </c>
      <c r="C922" s="1" t="s">
        <v>3281</v>
      </c>
      <c r="D922" s="1" t="s">
        <v>3282</v>
      </c>
      <c r="E922" s="1" t="s">
        <v>9815</v>
      </c>
      <c r="F922" s="1" t="s">
        <v>8959</v>
      </c>
      <c r="G922" t="s">
        <v>8959</v>
      </c>
      <c r="H922" s="1" t="s">
        <v>8948</v>
      </c>
      <c r="I922" s="1" t="s">
        <v>8949</v>
      </c>
      <c r="J922" s="2" t="s">
        <v>21363</v>
      </c>
      <c r="K922" s="1" t="s">
        <v>21683</v>
      </c>
      <c r="L922" s="1" t="s">
        <v>21602</v>
      </c>
      <c r="M922" s="1">
        <v>50</v>
      </c>
      <c r="N922" s="1" t="s">
        <v>9059</v>
      </c>
      <c r="O922" s="1" t="s">
        <v>8989</v>
      </c>
      <c r="P922" s="1" t="s">
        <v>8955</v>
      </c>
      <c r="Q922" s="1" t="s">
        <v>8956</v>
      </c>
      <c r="R922" s="1" t="s">
        <v>8958</v>
      </c>
      <c r="S922" s="1" t="s">
        <v>19177</v>
      </c>
      <c r="T922" s="1" t="s">
        <v>7</v>
      </c>
      <c r="U922" s="1" t="s">
        <v>64</v>
      </c>
    </row>
    <row r="923" spans="1:21" x14ac:dyDescent="0.2">
      <c r="A923" s="88" t="s">
        <v>16526</v>
      </c>
      <c r="B923" s="88" t="e">
        <f>VLOOKUP(C923,#REF!,1,0)</f>
        <v>#REF!</v>
      </c>
      <c r="C923" s="1" t="s">
        <v>3283</v>
      </c>
      <c r="D923" s="1" t="s">
        <v>3284</v>
      </c>
      <c r="E923" s="1" t="s">
        <v>18502</v>
      </c>
      <c r="F923" s="1" t="s">
        <v>8957</v>
      </c>
      <c r="G923" t="s">
        <v>9061</v>
      </c>
      <c r="H923" s="1" t="s">
        <v>8984</v>
      </c>
      <c r="I923" s="1" t="s">
        <v>8998</v>
      </c>
      <c r="J923" s="2" t="s">
        <v>20779</v>
      </c>
      <c r="K923" s="1" t="s">
        <v>9036</v>
      </c>
      <c r="L923" s="1" t="s">
        <v>9076</v>
      </c>
      <c r="M923" s="1">
        <v>40</v>
      </c>
      <c r="N923" s="1" t="s">
        <v>9059</v>
      </c>
      <c r="O923" s="1" t="s">
        <v>8989</v>
      </c>
      <c r="P923" s="1" t="s">
        <v>8955</v>
      </c>
      <c r="Q923" s="1" t="s">
        <v>8956</v>
      </c>
      <c r="R923" s="1" t="s">
        <v>8975</v>
      </c>
      <c r="S923" s="1" t="s">
        <v>20614</v>
      </c>
      <c r="T923" s="1" t="s">
        <v>7</v>
      </c>
      <c r="U923" s="1" t="s">
        <v>496</v>
      </c>
    </row>
    <row r="924" spans="1:21" x14ac:dyDescent="0.2">
      <c r="A924" s="88" t="s">
        <v>16527</v>
      </c>
      <c r="B924" s="88" t="e">
        <f>VLOOKUP(C924,#REF!,1,0)</f>
        <v>#REF!</v>
      </c>
      <c r="C924" s="1" t="s">
        <v>3285</v>
      </c>
      <c r="D924" s="1" t="s">
        <v>3286</v>
      </c>
      <c r="E924" s="1" t="s">
        <v>9213</v>
      </c>
      <c r="F924" s="1" t="s">
        <v>8957</v>
      </c>
      <c r="G924" t="s">
        <v>8959</v>
      </c>
      <c r="H924" s="1" t="s">
        <v>8948</v>
      </c>
      <c r="I924" s="1" t="s">
        <v>9308</v>
      </c>
      <c r="J924" s="2" t="s">
        <v>10525</v>
      </c>
      <c r="K924" s="1" t="s">
        <v>21650</v>
      </c>
      <c r="L924" s="1" t="s">
        <v>9292</v>
      </c>
      <c r="M924" s="1">
        <v>822</v>
      </c>
      <c r="N924" s="1" t="s">
        <v>9059</v>
      </c>
      <c r="O924" s="1" t="s">
        <v>8989</v>
      </c>
      <c r="P924" s="1" t="s">
        <v>8955</v>
      </c>
      <c r="Q924" s="1" t="s">
        <v>8956</v>
      </c>
      <c r="R924" s="1" t="s">
        <v>8958</v>
      </c>
      <c r="S924" s="1" t="s">
        <v>19178</v>
      </c>
      <c r="T924" s="1" t="s">
        <v>7</v>
      </c>
      <c r="U924" s="1" t="s">
        <v>24</v>
      </c>
    </row>
    <row r="925" spans="1:21" x14ac:dyDescent="0.2">
      <c r="A925" s="88" t="s">
        <v>20845</v>
      </c>
      <c r="B925" s="88" t="e">
        <f>VLOOKUP(C925,#REF!,1,0)</f>
        <v>#REF!</v>
      </c>
      <c r="C925" s="1" t="s">
        <v>3287</v>
      </c>
      <c r="D925" s="1" t="s">
        <v>3288</v>
      </c>
      <c r="E925" s="1" t="s">
        <v>9213</v>
      </c>
      <c r="F925" s="1" t="s">
        <v>8957</v>
      </c>
      <c r="G925" t="s">
        <v>9061</v>
      </c>
      <c r="H925" s="1" t="s">
        <v>8984</v>
      </c>
      <c r="I925" s="1" t="s">
        <v>8971</v>
      </c>
      <c r="J925" s="2" t="s">
        <v>20735</v>
      </c>
      <c r="K925" s="1" t="s">
        <v>20735</v>
      </c>
      <c r="L925" s="1" t="s">
        <v>9133</v>
      </c>
      <c r="M925" s="1">
        <v>6056</v>
      </c>
      <c r="N925" s="1" t="s">
        <v>8953</v>
      </c>
      <c r="O925" s="1" t="s">
        <v>8989</v>
      </c>
      <c r="P925" s="1" t="s">
        <v>8955</v>
      </c>
      <c r="Q925" s="1" t="s">
        <v>8956</v>
      </c>
      <c r="R925" s="1" t="s">
        <v>8958</v>
      </c>
      <c r="S925" s="1" t="s">
        <v>19179</v>
      </c>
      <c r="T925" s="1" t="s">
        <v>7</v>
      </c>
      <c r="U925" s="1" t="s">
        <v>24</v>
      </c>
    </row>
    <row r="926" spans="1:21" x14ac:dyDescent="0.2">
      <c r="A926" s="88" t="s">
        <v>16528</v>
      </c>
      <c r="B926" s="88" t="e">
        <f>VLOOKUP(C926,#REF!,1,0)</f>
        <v>#REF!</v>
      </c>
      <c r="C926" s="1" t="s">
        <v>3289</v>
      </c>
      <c r="D926" s="1" t="s">
        <v>3290</v>
      </c>
      <c r="E926" s="1" t="s">
        <v>9213</v>
      </c>
      <c r="F926" s="1" t="s">
        <v>8957</v>
      </c>
      <c r="G926" t="s">
        <v>8959</v>
      </c>
      <c r="H926" s="1" t="s">
        <v>8948</v>
      </c>
      <c r="I926" s="1" t="s">
        <v>8949</v>
      </c>
      <c r="J926" s="2" t="s">
        <v>10492</v>
      </c>
      <c r="K926" s="1" t="s">
        <v>10492</v>
      </c>
      <c r="L926" s="1" t="s">
        <v>9292</v>
      </c>
      <c r="M926" s="1">
        <v>720</v>
      </c>
      <c r="N926" s="1" t="s">
        <v>8953</v>
      </c>
      <c r="O926" s="1" t="s">
        <v>8954</v>
      </c>
      <c r="P926" s="1" t="s">
        <v>8955</v>
      </c>
      <c r="Q926" s="1" t="s">
        <v>8956</v>
      </c>
      <c r="R926" s="1" t="s">
        <v>9103</v>
      </c>
      <c r="S926" s="1" t="s">
        <v>19180</v>
      </c>
      <c r="T926" s="1" t="s">
        <v>7</v>
      </c>
      <c r="U926" s="1" t="s">
        <v>2284</v>
      </c>
    </row>
    <row r="927" spans="1:21" x14ac:dyDescent="0.2">
      <c r="A927" s="88" t="s">
        <v>16529</v>
      </c>
      <c r="B927" s="88" t="e">
        <f>VLOOKUP(C927,#REF!,1,0)</f>
        <v>#REF!</v>
      </c>
      <c r="C927" s="1" t="s">
        <v>3291</v>
      </c>
      <c r="D927" s="1" t="s">
        <v>3292</v>
      </c>
      <c r="E927" s="1" t="s">
        <v>9815</v>
      </c>
      <c r="F927" s="1" t="s">
        <v>8959</v>
      </c>
      <c r="G927" t="s">
        <v>8959</v>
      </c>
      <c r="H927" s="1" t="s">
        <v>8948</v>
      </c>
      <c r="I927" s="1" t="s">
        <v>9121</v>
      </c>
      <c r="J927" s="2" t="s">
        <v>21222</v>
      </c>
      <c r="K927" s="1" t="s">
        <v>21780</v>
      </c>
      <c r="L927" s="1" t="s">
        <v>8987</v>
      </c>
      <c r="M927" s="1">
        <v>100</v>
      </c>
      <c r="N927" s="1" t="s">
        <v>8953</v>
      </c>
      <c r="O927" s="1" t="s">
        <v>8989</v>
      </c>
      <c r="P927" s="1" t="s">
        <v>8955</v>
      </c>
      <c r="Q927" s="1" t="s">
        <v>8956</v>
      </c>
      <c r="R927" s="1" t="s">
        <v>9103</v>
      </c>
      <c r="S927" s="1" t="s">
        <v>3293</v>
      </c>
      <c r="T927" s="1" t="s">
        <v>17</v>
      </c>
      <c r="U927" s="1" t="s">
        <v>3294</v>
      </c>
    </row>
    <row r="928" spans="1:21" x14ac:dyDescent="0.2">
      <c r="A928" s="88" t="s">
        <v>16530</v>
      </c>
      <c r="B928" s="88" t="e">
        <f>VLOOKUP(C928,#REF!,1,0)</f>
        <v>#REF!</v>
      </c>
      <c r="C928" s="1" t="s">
        <v>3295</v>
      </c>
      <c r="D928" s="1" t="s">
        <v>3296</v>
      </c>
      <c r="E928" s="1" t="s">
        <v>9815</v>
      </c>
      <c r="F928" s="1" t="s">
        <v>8957</v>
      </c>
      <c r="G928" t="s">
        <v>8959</v>
      </c>
      <c r="H928" s="1" t="s">
        <v>9605</v>
      </c>
      <c r="I928" s="1" t="s">
        <v>9101</v>
      </c>
      <c r="J928" s="2" t="s">
        <v>20779</v>
      </c>
      <c r="K928" s="1" t="s">
        <v>9036</v>
      </c>
      <c r="L928" s="1" t="s">
        <v>8951</v>
      </c>
      <c r="M928" s="1">
        <v>108</v>
      </c>
      <c r="N928" s="1" t="s">
        <v>8953</v>
      </c>
      <c r="O928" s="1" t="s">
        <v>8989</v>
      </c>
      <c r="P928" s="1" t="s">
        <v>8955</v>
      </c>
      <c r="Q928" s="1" t="s">
        <v>8956</v>
      </c>
      <c r="R928" s="1" t="s">
        <v>9103</v>
      </c>
      <c r="S928" s="1" t="s">
        <v>19181</v>
      </c>
      <c r="T928" s="1" t="s">
        <v>17</v>
      </c>
      <c r="U928" s="1" t="s">
        <v>184</v>
      </c>
    </row>
    <row r="929" spans="1:21" x14ac:dyDescent="0.2">
      <c r="A929" s="88" t="s">
        <v>16531</v>
      </c>
      <c r="B929" s="88" t="e">
        <f>VLOOKUP(C929,#REF!,1,0)</f>
        <v>#REF!</v>
      </c>
      <c r="C929" s="1" t="s">
        <v>3297</v>
      </c>
      <c r="D929" s="1" t="s">
        <v>3298</v>
      </c>
      <c r="E929" s="1" t="s">
        <v>9815</v>
      </c>
      <c r="F929" s="1" t="s">
        <v>8957</v>
      </c>
      <c r="G929" t="s">
        <v>8959</v>
      </c>
      <c r="H929" s="1" t="s">
        <v>9092</v>
      </c>
      <c r="I929" s="1" t="s">
        <v>8949</v>
      </c>
      <c r="J929" s="2" t="s">
        <v>20779</v>
      </c>
      <c r="K929" s="1" t="s">
        <v>9036</v>
      </c>
      <c r="L929" s="1" t="s">
        <v>9076</v>
      </c>
      <c r="M929" s="1">
        <v>18</v>
      </c>
      <c r="N929" s="1" t="s">
        <v>9059</v>
      </c>
      <c r="O929" s="1" t="s">
        <v>8989</v>
      </c>
      <c r="P929" s="1" t="s">
        <v>8955</v>
      </c>
      <c r="Q929" s="1" t="s">
        <v>8956</v>
      </c>
      <c r="R929" s="1" t="s">
        <v>8958</v>
      </c>
      <c r="S929" s="1" t="s">
        <v>19182</v>
      </c>
      <c r="T929" s="1" t="s">
        <v>7</v>
      </c>
      <c r="U929" s="1" t="s">
        <v>46</v>
      </c>
    </row>
    <row r="930" spans="1:21" x14ac:dyDescent="0.2">
      <c r="A930" s="88" t="s">
        <v>16532</v>
      </c>
      <c r="B930" s="88" t="e">
        <f>VLOOKUP(C930,#REF!,1,0)</f>
        <v>#REF!</v>
      </c>
      <c r="C930" s="1" t="s">
        <v>3299</v>
      </c>
      <c r="D930" s="1" t="s">
        <v>3300</v>
      </c>
      <c r="E930" s="1" t="s">
        <v>9310</v>
      </c>
      <c r="F930" s="1" t="s">
        <v>8957</v>
      </c>
      <c r="G930" t="s">
        <v>8959</v>
      </c>
      <c r="H930" s="1" t="s">
        <v>20712</v>
      </c>
      <c r="I930" s="1" t="s">
        <v>9155</v>
      </c>
      <c r="J930" s="2" t="s">
        <v>21440</v>
      </c>
      <c r="K930" s="1" t="s">
        <v>21440</v>
      </c>
      <c r="L930" s="1" t="s">
        <v>21600</v>
      </c>
      <c r="M930" s="1">
        <v>240</v>
      </c>
      <c r="N930" s="1" t="s">
        <v>8953</v>
      </c>
      <c r="O930" s="1" t="s">
        <v>8954</v>
      </c>
      <c r="P930" s="1" t="s">
        <v>8955</v>
      </c>
      <c r="Q930" s="1" t="s">
        <v>8956</v>
      </c>
      <c r="R930" s="1" t="s">
        <v>8958</v>
      </c>
      <c r="S930" s="1" t="s">
        <v>19183</v>
      </c>
      <c r="T930" s="1" t="s">
        <v>7</v>
      </c>
      <c r="U930" s="1" t="s">
        <v>93</v>
      </c>
    </row>
    <row r="931" spans="1:21" x14ac:dyDescent="0.2">
      <c r="A931" s="88" t="s">
        <v>16533</v>
      </c>
      <c r="B931" s="88" t="e">
        <f>VLOOKUP(C931,#REF!,1,0)</f>
        <v>#REF!</v>
      </c>
      <c r="C931" s="1" t="s">
        <v>3301</v>
      </c>
      <c r="D931" s="1" t="s">
        <v>3302</v>
      </c>
      <c r="E931" s="1" t="s">
        <v>9310</v>
      </c>
      <c r="F931" s="1" t="s">
        <v>8957</v>
      </c>
      <c r="G931" t="s">
        <v>8959</v>
      </c>
      <c r="H931" s="1" t="s">
        <v>9075</v>
      </c>
      <c r="I931" s="1" t="s">
        <v>8949</v>
      </c>
      <c r="J931" s="2" t="s">
        <v>18497</v>
      </c>
      <c r="K931" s="1" t="s">
        <v>18497</v>
      </c>
      <c r="L931" s="1" t="s">
        <v>21600</v>
      </c>
      <c r="M931" s="1">
        <v>140</v>
      </c>
      <c r="N931" s="1" t="s">
        <v>8953</v>
      </c>
      <c r="O931" s="1" t="s">
        <v>8954</v>
      </c>
      <c r="P931" s="1" t="s">
        <v>8955</v>
      </c>
      <c r="Q931" s="1" t="s">
        <v>8956</v>
      </c>
      <c r="R931" s="1" t="s">
        <v>8958</v>
      </c>
      <c r="S931" s="1" t="s">
        <v>19184</v>
      </c>
      <c r="T931" s="1" t="s">
        <v>7</v>
      </c>
      <c r="U931" s="1" t="s">
        <v>61</v>
      </c>
    </row>
    <row r="932" spans="1:21" x14ac:dyDescent="0.2">
      <c r="A932" s="88" t="s">
        <v>16534</v>
      </c>
      <c r="B932" s="88" t="e">
        <f>VLOOKUP(C932,#REF!,1,0)</f>
        <v>#REF!</v>
      </c>
      <c r="C932" s="1" t="s">
        <v>3303</v>
      </c>
      <c r="D932" s="1" t="s">
        <v>3304</v>
      </c>
      <c r="E932" s="1" t="s">
        <v>18502</v>
      </c>
      <c r="F932" s="1" t="s">
        <v>8957</v>
      </c>
      <c r="G932" t="s">
        <v>9183</v>
      </c>
      <c r="H932" s="1" t="s">
        <v>9605</v>
      </c>
      <c r="I932" s="1" t="s">
        <v>8959</v>
      </c>
      <c r="J932" s="2" t="s">
        <v>20779</v>
      </c>
      <c r="K932" s="1" t="s">
        <v>9036</v>
      </c>
      <c r="L932" s="1" t="s">
        <v>8951</v>
      </c>
      <c r="M932" s="1">
        <v>29905</v>
      </c>
      <c r="N932" s="1" t="s">
        <v>8953</v>
      </c>
      <c r="O932" s="1" t="s">
        <v>8954</v>
      </c>
      <c r="P932" s="1" t="s">
        <v>8955</v>
      </c>
      <c r="Q932" s="1" t="s">
        <v>8956</v>
      </c>
      <c r="R932" s="1" t="s">
        <v>8975</v>
      </c>
      <c r="S932" s="1" t="s">
        <v>19185</v>
      </c>
      <c r="T932" s="1" t="s">
        <v>17</v>
      </c>
      <c r="U932" s="1" t="s">
        <v>3305</v>
      </c>
    </row>
    <row r="933" spans="1:21" x14ac:dyDescent="0.2">
      <c r="A933" s="88" t="s">
        <v>16535</v>
      </c>
      <c r="B933" s="88" t="e">
        <f>VLOOKUP(C933,#REF!,1,0)</f>
        <v>#REF!</v>
      </c>
      <c r="C933" s="1" t="s">
        <v>3306</v>
      </c>
      <c r="D933" s="1" t="s">
        <v>3307</v>
      </c>
      <c r="E933" s="1" t="s">
        <v>9310</v>
      </c>
      <c r="F933" s="1" t="s">
        <v>8957</v>
      </c>
      <c r="G933" t="s">
        <v>8959</v>
      </c>
      <c r="H933" s="1" t="s">
        <v>9100</v>
      </c>
      <c r="I933" s="1" t="s">
        <v>8949</v>
      </c>
      <c r="J933" s="2" t="s">
        <v>10492</v>
      </c>
      <c r="K933" s="1" t="s">
        <v>10492</v>
      </c>
      <c r="L933" s="1" t="s">
        <v>21600</v>
      </c>
      <c r="M933" s="1">
        <v>364</v>
      </c>
      <c r="N933" s="1" t="s">
        <v>9059</v>
      </c>
      <c r="O933" s="1" t="s">
        <v>8954</v>
      </c>
      <c r="P933" s="1" t="s">
        <v>8955</v>
      </c>
      <c r="Q933" s="1" t="s">
        <v>8956</v>
      </c>
      <c r="R933" s="1" t="s">
        <v>9103</v>
      </c>
      <c r="S933" s="1" t="s">
        <v>19186</v>
      </c>
      <c r="T933" s="1" t="s">
        <v>7</v>
      </c>
      <c r="U933" s="1" t="s">
        <v>577</v>
      </c>
    </row>
    <row r="934" spans="1:21" x14ac:dyDescent="0.2">
      <c r="A934" s="88" t="s">
        <v>16536</v>
      </c>
      <c r="B934" s="88" t="e">
        <f>VLOOKUP(C934,#REF!,1,0)</f>
        <v>#REF!</v>
      </c>
      <c r="C934" s="1" t="s">
        <v>3308</v>
      </c>
      <c r="D934" s="1" t="s">
        <v>3309</v>
      </c>
      <c r="E934" s="1" t="s">
        <v>9310</v>
      </c>
      <c r="F934" s="1" t="s">
        <v>8959</v>
      </c>
      <c r="G934" t="s">
        <v>8959</v>
      </c>
      <c r="H934" s="1" t="s">
        <v>9035</v>
      </c>
      <c r="I934" s="1" t="s">
        <v>9308</v>
      </c>
      <c r="J934" s="2" t="s">
        <v>21325</v>
      </c>
      <c r="K934" s="1" t="s">
        <v>21325</v>
      </c>
      <c r="L934" s="1" t="s">
        <v>9076</v>
      </c>
      <c r="M934" s="1">
        <v>26684</v>
      </c>
      <c r="N934" s="1" t="s">
        <v>8953</v>
      </c>
      <c r="O934" s="1" t="s">
        <v>8954</v>
      </c>
      <c r="P934" s="1" t="s">
        <v>8955</v>
      </c>
      <c r="Q934" s="1" t="s">
        <v>8956</v>
      </c>
      <c r="R934" s="1" t="s">
        <v>9103</v>
      </c>
      <c r="S934" s="1" t="s">
        <v>19187</v>
      </c>
      <c r="T934" s="1" t="s">
        <v>7</v>
      </c>
      <c r="U934" s="1" t="s">
        <v>46</v>
      </c>
    </row>
    <row r="935" spans="1:21" x14ac:dyDescent="0.2">
      <c r="A935" s="88" t="s">
        <v>16537</v>
      </c>
      <c r="B935" s="88" t="e">
        <f>VLOOKUP(C935,#REF!,1,0)</f>
        <v>#REF!</v>
      </c>
      <c r="C935" s="1" t="s">
        <v>3310</v>
      </c>
      <c r="D935" s="1" t="s">
        <v>3311</v>
      </c>
      <c r="E935" s="1" t="s">
        <v>9310</v>
      </c>
      <c r="F935" s="1" t="s">
        <v>8957</v>
      </c>
      <c r="G935" t="s">
        <v>8959</v>
      </c>
      <c r="H935" s="1" t="s">
        <v>8984</v>
      </c>
      <c r="I935" s="1" t="s">
        <v>8949</v>
      </c>
      <c r="J935" s="2" t="s">
        <v>20779</v>
      </c>
      <c r="K935" s="1" t="s">
        <v>9036</v>
      </c>
      <c r="L935" s="1" t="s">
        <v>8987</v>
      </c>
      <c r="M935" s="1">
        <v>115</v>
      </c>
      <c r="N935" s="1" t="s">
        <v>9059</v>
      </c>
      <c r="O935" s="1" t="s">
        <v>8989</v>
      </c>
      <c r="P935" s="1" t="s">
        <v>8955</v>
      </c>
      <c r="Q935" s="1" t="s">
        <v>8956</v>
      </c>
      <c r="R935" s="1" t="s">
        <v>8975</v>
      </c>
      <c r="S935" s="1" t="s">
        <v>19188</v>
      </c>
      <c r="T935" s="1" t="s">
        <v>17</v>
      </c>
      <c r="U935" s="1" t="s">
        <v>46</v>
      </c>
    </row>
    <row r="936" spans="1:21" x14ac:dyDescent="0.2">
      <c r="A936" s="88" t="s">
        <v>16538</v>
      </c>
      <c r="B936" s="88" t="e">
        <f>VLOOKUP(C936,#REF!,1,0)</f>
        <v>#REF!</v>
      </c>
      <c r="C936" s="1" t="s">
        <v>3312</v>
      </c>
      <c r="D936" s="1" t="s">
        <v>3313</v>
      </c>
      <c r="E936" s="1" t="s">
        <v>9310</v>
      </c>
      <c r="F936" s="1" t="s">
        <v>8957</v>
      </c>
      <c r="G936" t="s">
        <v>8959</v>
      </c>
      <c r="H936" s="1" t="s">
        <v>9154</v>
      </c>
      <c r="I936" s="1" t="s">
        <v>8971</v>
      </c>
      <c r="J936" s="2" t="s">
        <v>20779</v>
      </c>
      <c r="K936" s="1" t="s">
        <v>9036</v>
      </c>
      <c r="L936" s="1" t="s">
        <v>9133</v>
      </c>
      <c r="M936" s="1">
        <v>2000</v>
      </c>
      <c r="N936" s="1" t="s">
        <v>8953</v>
      </c>
      <c r="O936" s="1" t="s">
        <v>8989</v>
      </c>
      <c r="P936" s="1" t="s">
        <v>8955</v>
      </c>
      <c r="Q936" s="1" t="s">
        <v>8956</v>
      </c>
      <c r="R936" s="1" t="s">
        <v>8958</v>
      </c>
      <c r="S936" s="1" t="s">
        <v>19189</v>
      </c>
      <c r="T936" s="1" t="s">
        <v>7</v>
      </c>
      <c r="U936" s="1" t="s">
        <v>577</v>
      </c>
    </row>
    <row r="937" spans="1:21" x14ac:dyDescent="0.2">
      <c r="A937" s="88" t="s">
        <v>16540</v>
      </c>
      <c r="B937" s="88" t="e">
        <f>VLOOKUP(C937,#REF!,1,0)</f>
        <v>#REF!</v>
      </c>
      <c r="C937" s="1" t="s">
        <v>3316</v>
      </c>
      <c r="D937" s="1" t="s">
        <v>3317</v>
      </c>
      <c r="E937" s="1" t="s">
        <v>9310</v>
      </c>
      <c r="F937" s="1" t="s">
        <v>8959</v>
      </c>
      <c r="G937" t="s">
        <v>8959</v>
      </c>
      <c r="H937" s="1" t="s">
        <v>8948</v>
      </c>
      <c r="I937" s="1" t="s">
        <v>8949</v>
      </c>
      <c r="J937" s="2" t="s">
        <v>9018</v>
      </c>
      <c r="K937" s="1" t="s">
        <v>21762</v>
      </c>
      <c r="L937" s="1" t="s">
        <v>9133</v>
      </c>
      <c r="M937" s="1">
        <v>30</v>
      </c>
      <c r="N937" s="1" t="s">
        <v>8953</v>
      </c>
      <c r="O937" s="1" t="s">
        <v>8954</v>
      </c>
      <c r="P937" s="1" t="s">
        <v>8955</v>
      </c>
      <c r="Q937" s="1" t="s">
        <v>8956</v>
      </c>
      <c r="R937" s="1" t="s">
        <v>8958</v>
      </c>
      <c r="S937" s="1" t="s">
        <v>3318</v>
      </c>
      <c r="T937" s="1" t="s">
        <v>11</v>
      </c>
      <c r="U937" s="1" t="s">
        <v>2172</v>
      </c>
    </row>
    <row r="938" spans="1:21" x14ac:dyDescent="0.2">
      <c r="A938" s="88" t="s">
        <v>16541</v>
      </c>
      <c r="B938" s="88" t="e">
        <f>VLOOKUP(C938,#REF!,1,0)</f>
        <v>#REF!</v>
      </c>
      <c r="C938" s="1" t="s">
        <v>3319</v>
      </c>
      <c r="D938" s="1" t="s">
        <v>3320</v>
      </c>
      <c r="E938" s="1" t="s">
        <v>9310</v>
      </c>
      <c r="F938" s="1" t="s">
        <v>8957</v>
      </c>
      <c r="G938" t="s">
        <v>8959</v>
      </c>
      <c r="H938" s="1" t="s">
        <v>9035</v>
      </c>
      <c r="I938" s="1" t="s">
        <v>8998</v>
      </c>
      <c r="J938" s="2" t="s">
        <v>9036</v>
      </c>
      <c r="K938" s="1" t="s">
        <v>9036</v>
      </c>
      <c r="L938" s="1" t="s">
        <v>8951</v>
      </c>
      <c r="M938" s="1">
        <v>1018</v>
      </c>
      <c r="N938" s="1" t="s">
        <v>8953</v>
      </c>
      <c r="O938" s="1" t="s">
        <v>8989</v>
      </c>
      <c r="P938" s="1" t="s">
        <v>8955</v>
      </c>
      <c r="Q938" s="1" t="s">
        <v>8956</v>
      </c>
      <c r="R938" s="1" t="s">
        <v>8975</v>
      </c>
      <c r="S938" s="1" t="s">
        <v>3321</v>
      </c>
      <c r="T938" s="1" t="s">
        <v>11</v>
      </c>
      <c r="U938" s="1" t="s">
        <v>27</v>
      </c>
    </row>
    <row r="939" spans="1:21" x14ac:dyDescent="0.2">
      <c r="A939" s="88" t="s">
        <v>16542</v>
      </c>
      <c r="B939" s="88" t="e">
        <f>VLOOKUP(C939,#REF!,1,0)</f>
        <v>#REF!</v>
      </c>
      <c r="C939" s="1" t="s">
        <v>3322</v>
      </c>
      <c r="D939" s="1" t="s">
        <v>3323</v>
      </c>
      <c r="E939" s="1" t="s">
        <v>9310</v>
      </c>
      <c r="F939" s="1" t="s">
        <v>8957</v>
      </c>
      <c r="G939" t="s">
        <v>8959</v>
      </c>
      <c r="H939" s="1" t="s">
        <v>9100</v>
      </c>
      <c r="I939" s="1" t="s">
        <v>8949</v>
      </c>
      <c r="J939" s="2" t="s">
        <v>20723</v>
      </c>
      <c r="K939" s="1" t="s">
        <v>20723</v>
      </c>
      <c r="L939" s="1" t="s">
        <v>8951</v>
      </c>
      <c r="M939" s="1">
        <v>700</v>
      </c>
      <c r="N939" s="1" t="s">
        <v>9059</v>
      </c>
      <c r="O939" s="1" t="s">
        <v>8954</v>
      </c>
      <c r="P939" s="1" t="s">
        <v>8955</v>
      </c>
      <c r="Q939" s="1" t="s">
        <v>8956</v>
      </c>
      <c r="R939" s="1" t="s">
        <v>8958</v>
      </c>
      <c r="S939" s="1" t="s">
        <v>19191</v>
      </c>
      <c r="T939" s="1" t="s">
        <v>17</v>
      </c>
      <c r="U939" s="1" t="s">
        <v>2248</v>
      </c>
    </row>
    <row r="940" spans="1:21" x14ac:dyDescent="0.2">
      <c r="A940" s="88" t="s">
        <v>16543</v>
      </c>
      <c r="B940" s="88" t="e">
        <f>VLOOKUP(C940,#REF!,1,0)</f>
        <v>#REF!</v>
      </c>
      <c r="C940" s="1" t="s">
        <v>3324</v>
      </c>
      <c r="D940" s="1" t="s">
        <v>3325</v>
      </c>
      <c r="E940" s="1" t="s">
        <v>18502</v>
      </c>
      <c r="F940" s="1" t="s">
        <v>8957</v>
      </c>
      <c r="G940" t="s">
        <v>8959</v>
      </c>
      <c r="H940" s="1" t="s">
        <v>9035</v>
      </c>
      <c r="I940" s="1" t="s">
        <v>8998</v>
      </c>
      <c r="J940" s="2" t="s">
        <v>21313</v>
      </c>
      <c r="K940" s="1" t="s">
        <v>21684</v>
      </c>
      <c r="L940" s="1" t="s">
        <v>21600</v>
      </c>
      <c r="M940" s="1">
        <v>1445</v>
      </c>
      <c r="N940" s="1" t="s">
        <v>9059</v>
      </c>
      <c r="O940" s="1" t="s">
        <v>8954</v>
      </c>
      <c r="P940" s="1" t="s">
        <v>8955</v>
      </c>
      <c r="Q940" s="1" t="s">
        <v>8956</v>
      </c>
      <c r="R940" s="1" t="s">
        <v>8975</v>
      </c>
      <c r="S940" s="1" t="s">
        <v>19192</v>
      </c>
      <c r="T940" s="1" t="s">
        <v>17</v>
      </c>
      <c r="U940" s="1" t="s">
        <v>61</v>
      </c>
    </row>
    <row r="941" spans="1:21" x14ac:dyDescent="0.2">
      <c r="A941" s="88" t="s">
        <v>16544</v>
      </c>
      <c r="B941" s="88" t="e">
        <f>VLOOKUP(C941,#REF!,1,0)</f>
        <v>#REF!</v>
      </c>
      <c r="C941" s="1" t="s">
        <v>3326</v>
      </c>
      <c r="D941" s="1" t="s">
        <v>3327</v>
      </c>
      <c r="E941" s="1" t="s">
        <v>18502</v>
      </c>
      <c r="F941" s="1" t="s">
        <v>8957</v>
      </c>
      <c r="G941" t="s">
        <v>8959</v>
      </c>
      <c r="H941" s="1" t="s">
        <v>8948</v>
      </c>
      <c r="I941" s="1" t="s">
        <v>9155</v>
      </c>
      <c r="J941" s="2" t="s">
        <v>20838</v>
      </c>
      <c r="K941" s="1" t="s">
        <v>20755</v>
      </c>
      <c r="L941" s="1" t="s">
        <v>21600</v>
      </c>
      <c r="M941" s="1">
        <v>258</v>
      </c>
      <c r="N941" s="1" t="s">
        <v>8953</v>
      </c>
      <c r="O941" s="1" t="s">
        <v>8954</v>
      </c>
      <c r="P941" s="1" t="s">
        <v>8955</v>
      </c>
      <c r="Q941" s="1" t="s">
        <v>8956</v>
      </c>
      <c r="R941" s="1" t="s">
        <v>8975</v>
      </c>
      <c r="S941" s="1" t="s">
        <v>19193</v>
      </c>
      <c r="T941" s="1" t="s">
        <v>7</v>
      </c>
      <c r="U941" s="1" t="s">
        <v>378</v>
      </c>
    </row>
    <row r="942" spans="1:21" x14ac:dyDescent="0.2">
      <c r="A942" s="88" t="s">
        <v>16545</v>
      </c>
      <c r="B942" s="88" t="e">
        <f>VLOOKUP(C942,#REF!,1,0)</f>
        <v>#REF!</v>
      </c>
      <c r="C942" s="1" t="s">
        <v>3328</v>
      </c>
      <c r="D942" s="1" t="s">
        <v>3329</v>
      </c>
      <c r="E942" s="1" t="s">
        <v>18502</v>
      </c>
      <c r="F942" s="1" t="s">
        <v>8957</v>
      </c>
      <c r="G942" t="s">
        <v>8959</v>
      </c>
      <c r="H942" s="1" t="s">
        <v>9035</v>
      </c>
      <c r="I942" s="1" t="s">
        <v>9155</v>
      </c>
      <c r="J942" s="2" t="s">
        <v>10629</v>
      </c>
      <c r="K942" s="1" t="s">
        <v>10629</v>
      </c>
      <c r="L942" s="1" t="s">
        <v>21600</v>
      </c>
      <c r="M942" s="1">
        <v>1536</v>
      </c>
      <c r="N942" s="1" t="s">
        <v>8953</v>
      </c>
      <c r="O942" s="1" t="s">
        <v>8989</v>
      </c>
      <c r="P942" s="1" t="s">
        <v>8955</v>
      </c>
      <c r="Q942" s="1" t="s">
        <v>8956</v>
      </c>
      <c r="R942" s="1" t="s">
        <v>8958</v>
      </c>
      <c r="S942" s="1" t="s">
        <v>19194</v>
      </c>
      <c r="T942" s="1" t="s">
        <v>17</v>
      </c>
      <c r="U942" s="1" t="s">
        <v>93</v>
      </c>
    </row>
    <row r="943" spans="1:21" x14ac:dyDescent="0.2">
      <c r="A943" s="88" t="s">
        <v>16547</v>
      </c>
      <c r="B943" s="88" t="e">
        <f>VLOOKUP(C943,#REF!,1,0)</f>
        <v>#REF!</v>
      </c>
      <c r="C943" s="1" t="s">
        <v>3332</v>
      </c>
      <c r="D943" s="1" t="s">
        <v>3333</v>
      </c>
      <c r="E943" s="1" t="s">
        <v>9213</v>
      </c>
      <c r="F943" s="1" t="s">
        <v>8957</v>
      </c>
      <c r="G943" t="s">
        <v>8959</v>
      </c>
      <c r="H943" s="1" t="s">
        <v>9035</v>
      </c>
      <c r="I943" s="1" t="s">
        <v>8998</v>
      </c>
      <c r="J943" s="2" t="s">
        <v>20785</v>
      </c>
      <c r="K943" s="1" t="s">
        <v>18491</v>
      </c>
      <c r="L943" s="1" t="s">
        <v>9076</v>
      </c>
      <c r="M943" s="1">
        <v>446</v>
      </c>
      <c r="N943" s="1" t="s">
        <v>8953</v>
      </c>
      <c r="O943" s="1" t="s">
        <v>8989</v>
      </c>
      <c r="P943" s="1" t="s">
        <v>8955</v>
      </c>
      <c r="Q943" s="1" t="s">
        <v>8956</v>
      </c>
      <c r="R943" s="1" t="s">
        <v>9103</v>
      </c>
      <c r="S943" s="1" t="s">
        <v>19196</v>
      </c>
      <c r="T943" s="1" t="s">
        <v>7</v>
      </c>
      <c r="U943" s="1" t="s">
        <v>27</v>
      </c>
    </row>
    <row r="944" spans="1:21" x14ac:dyDescent="0.2">
      <c r="A944" s="88" t="s">
        <v>16548</v>
      </c>
      <c r="B944" s="88" t="e">
        <f>VLOOKUP(C944,#REF!,1,0)</f>
        <v>#REF!</v>
      </c>
      <c r="C944" s="1" t="s">
        <v>3334</v>
      </c>
      <c r="D944" s="1" t="s">
        <v>3335</v>
      </c>
      <c r="E944" s="1" t="s">
        <v>9310</v>
      </c>
      <c r="F944" s="1" t="s">
        <v>8959</v>
      </c>
      <c r="G944" t="s">
        <v>8959</v>
      </c>
      <c r="H944" s="1" t="s">
        <v>9049</v>
      </c>
      <c r="I944" s="1" t="s">
        <v>9050</v>
      </c>
      <c r="J944" s="2" t="s">
        <v>10879</v>
      </c>
      <c r="K944" s="1" t="s">
        <v>10879</v>
      </c>
      <c r="L944" s="1" t="s">
        <v>21600</v>
      </c>
      <c r="M944" s="1">
        <v>650</v>
      </c>
      <c r="N944" s="1" t="s">
        <v>8953</v>
      </c>
      <c r="O944" s="1" t="s">
        <v>8989</v>
      </c>
      <c r="P944" s="1" t="s">
        <v>8955</v>
      </c>
      <c r="Q944" s="1" t="s">
        <v>8956</v>
      </c>
      <c r="R944" s="1" t="s">
        <v>8975</v>
      </c>
      <c r="S944" s="1" t="s">
        <v>3336</v>
      </c>
      <c r="T944" s="1" t="s">
        <v>11</v>
      </c>
      <c r="U944" s="1" t="s">
        <v>46</v>
      </c>
    </row>
    <row r="945" spans="1:21" x14ac:dyDescent="0.2">
      <c r="A945" s="88" t="s">
        <v>16549</v>
      </c>
      <c r="B945" s="88" t="e">
        <f>VLOOKUP(C945,#REF!,1,0)</f>
        <v>#REF!</v>
      </c>
      <c r="C945" s="1" t="s">
        <v>3337</v>
      </c>
      <c r="D945" s="1" t="s">
        <v>3338</v>
      </c>
      <c r="E945" s="1" t="s">
        <v>18502</v>
      </c>
      <c r="F945" s="1" t="s">
        <v>8957</v>
      </c>
      <c r="G945" t="s">
        <v>9061</v>
      </c>
      <c r="H945" s="1" t="s">
        <v>20712</v>
      </c>
      <c r="I945" s="1" t="s">
        <v>8998</v>
      </c>
      <c r="J945" s="2" t="s">
        <v>21441</v>
      </c>
      <c r="K945" s="1" t="s">
        <v>21685</v>
      </c>
      <c r="L945" s="1" t="s">
        <v>9076</v>
      </c>
      <c r="M945" s="1">
        <v>16</v>
      </c>
      <c r="N945" s="1" t="s">
        <v>9059</v>
      </c>
      <c r="O945" s="1" t="s">
        <v>8954</v>
      </c>
      <c r="P945" s="1" t="s">
        <v>8955</v>
      </c>
      <c r="Q945" s="1" t="s">
        <v>8956</v>
      </c>
      <c r="R945" s="1" t="s">
        <v>8958</v>
      </c>
      <c r="S945" s="1" t="s">
        <v>19197</v>
      </c>
      <c r="T945" s="1" t="s">
        <v>17</v>
      </c>
      <c r="U945" s="1" t="s">
        <v>61</v>
      </c>
    </row>
    <row r="946" spans="1:21" x14ac:dyDescent="0.2">
      <c r="A946" s="88" t="s">
        <v>16550</v>
      </c>
      <c r="B946" s="88" t="e">
        <f>VLOOKUP(C946,#REF!,1,0)</f>
        <v>#REF!</v>
      </c>
      <c r="C946" s="1" t="s">
        <v>3339</v>
      </c>
      <c r="D946" s="1" t="s">
        <v>3340</v>
      </c>
      <c r="E946" s="1" t="s">
        <v>9310</v>
      </c>
      <c r="F946" s="1" t="s">
        <v>8957</v>
      </c>
      <c r="G946" t="s">
        <v>9061</v>
      </c>
      <c r="H946" s="1" t="s">
        <v>9035</v>
      </c>
      <c r="I946" s="1" t="s">
        <v>8998</v>
      </c>
      <c r="J946" s="2" t="s">
        <v>10492</v>
      </c>
      <c r="K946" s="1" t="s">
        <v>21645</v>
      </c>
      <c r="L946" s="1" t="s">
        <v>9464</v>
      </c>
      <c r="M946" s="1">
        <v>54</v>
      </c>
      <c r="N946" s="1" t="s">
        <v>9059</v>
      </c>
      <c r="O946" s="1" t="s">
        <v>8954</v>
      </c>
      <c r="P946" s="1" t="s">
        <v>8955</v>
      </c>
      <c r="Q946" s="1" t="s">
        <v>8956</v>
      </c>
      <c r="R946" s="1" t="s">
        <v>9103</v>
      </c>
      <c r="S946" s="1" t="s">
        <v>19198</v>
      </c>
      <c r="T946" s="1" t="s">
        <v>7</v>
      </c>
      <c r="U946" s="1" t="s">
        <v>378</v>
      </c>
    </row>
    <row r="947" spans="1:21" x14ac:dyDescent="0.2">
      <c r="A947" s="88" t="s">
        <v>16551</v>
      </c>
      <c r="B947" s="88" t="e">
        <f>VLOOKUP(C947,#REF!,1,0)</f>
        <v>#REF!</v>
      </c>
      <c r="C947" s="1" t="s">
        <v>3341</v>
      </c>
      <c r="D947" s="1" t="s">
        <v>3342</v>
      </c>
      <c r="E947" s="1" t="s">
        <v>9380</v>
      </c>
      <c r="F947" s="1" t="s">
        <v>8957</v>
      </c>
      <c r="G947" t="s">
        <v>9183</v>
      </c>
      <c r="H947" s="1" t="s">
        <v>9049</v>
      </c>
      <c r="I947" s="1" t="s">
        <v>9121</v>
      </c>
      <c r="J947" s="2" t="s">
        <v>9658</v>
      </c>
      <c r="K947" s="1" t="s">
        <v>9658</v>
      </c>
      <c r="L947" s="1" t="s">
        <v>21600</v>
      </c>
      <c r="M947" s="1">
        <v>133</v>
      </c>
      <c r="N947" s="1" t="s">
        <v>8953</v>
      </c>
      <c r="O947" s="1" t="s">
        <v>8954</v>
      </c>
      <c r="P947" s="1" t="s">
        <v>8955</v>
      </c>
      <c r="Q947" s="1" t="s">
        <v>8956</v>
      </c>
      <c r="R947" s="1" t="s">
        <v>8958</v>
      </c>
      <c r="S947" s="1" t="s">
        <v>3343</v>
      </c>
      <c r="T947" s="1" t="s">
        <v>11</v>
      </c>
      <c r="U947" s="1" t="s">
        <v>43</v>
      </c>
    </row>
    <row r="948" spans="1:21" x14ac:dyDescent="0.2">
      <c r="A948" s="88" t="s">
        <v>16552</v>
      </c>
      <c r="B948" s="88" t="e">
        <f>VLOOKUP(C948,#REF!,1,0)</f>
        <v>#REF!</v>
      </c>
      <c r="C948" s="1" t="s">
        <v>3344</v>
      </c>
      <c r="D948" s="1" t="s">
        <v>3345</v>
      </c>
      <c r="E948" s="1" t="s">
        <v>9310</v>
      </c>
      <c r="F948" s="1" t="s">
        <v>8957</v>
      </c>
      <c r="G948" t="s">
        <v>8959</v>
      </c>
      <c r="H948" s="1" t="s">
        <v>9252</v>
      </c>
      <c r="I948" s="1" t="s">
        <v>8949</v>
      </c>
      <c r="J948" s="2" t="s">
        <v>21442</v>
      </c>
      <c r="K948" s="1" t="s">
        <v>21755</v>
      </c>
      <c r="L948" s="1" t="s">
        <v>21602</v>
      </c>
      <c r="M948" s="1">
        <v>75</v>
      </c>
      <c r="N948" s="1" t="s">
        <v>9059</v>
      </c>
      <c r="O948" s="1" t="s">
        <v>8989</v>
      </c>
      <c r="P948" s="1" t="s">
        <v>8955</v>
      </c>
      <c r="Q948" s="1" t="s">
        <v>8956</v>
      </c>
      <c r="R948" s="1" t="s">
        <v>8958</v>
      </c>
      <c r="S948" s="1" t="s">
        <v>19199</v>
      </c>
      <c r="T948" s="1" t="s">
        <v>7</v>
      </c>
      <c r="U948" s="1" t="s">
        <v>1010</v>
      </c>
    </row>
    <row r="949" spans="1:21" x14ac:dyDescent="0.2">
      <c r="A949" s="88" t="s">
        <v>16553</v>
      </c>
      <c r="B949" s="88" t="e">
        <f>VLOOKUP(C949,#REF!,1,0)</f>
        <v>#REF!</v>
      </c>
      <c r="C949" s="1" t="s">
        <v>3346</v>
      </c>
      <c r="D949" s="1" t="s">
        <v>3347</v>
      </c>
      <c r="E949" s="1" t="s">
        <v>10873</v>
      </c>
      <c r="F949" s="1" t="s">
        <v>8957</v>
      </c>
      <c r="G949" t="s">
        <v>8959</v>
      </c>
      <c r="H949" s="1" t="s">
        <v>9605</v>
      </c>
      <c r="I949" s="1" t="s">
        <v>8971</v>
      </c>
      <c r="J949" s="2" t="s">
        <v>18497</v>
      </c>
      <c r="K949" s="1" t="s">
        <v>18497</v>
      </c>
      <c r="L949" s="1" t="s">
        <v>9292</v>
      </c>
      <c r="M949" s="1">
        <v>73681</v>
      </c>
      <c r="N949" s="1" t="s">
        <v>8953</v>
      </c>
      <c r="O949" s="1" t="s">
        <v>8989</v>
      </c>
      <c r="P949" s="1" t="s">
        <v>8955</v>
      </c>
      <c r="Q949" s="1" t="s">
        <v>8956</v>
      </c>
      <c r="R949" s="1" t="s">
        <v>8958</v>
      </c>
      <c r="S949" s="1" t="s">
        <v>19200</v>
      </c>
      <c r="T949" s="1" t="s">
        <v>7</v>
      </c>
      <c r="U949" s="1" t="s">
        <v>921</v>
      </c>
    </row>
    <row r="950" spans="1:21" x14ac:dyDescent="0.2">
      <c r="A950" s="88" t="s">
        <v>16555</v>
      </c>
      <c r="B950" s="88" t="e">
        <f>VLOOKUP(C950,#REF!,1,0)</f>
        <v>#REF!</v>
      </c>
      <c r="C950" s="1" t="s">
        <v>3350</v>
      </c>
      <c r="D950" s="1" t="s">
        <v>3351</v>
      </c>
      <c r="E950" s="1" t="s">
        <v>9650</v>
      </c>
      <c r="F950" s="1" t="s">
        <v>8957</v>
      </c>
      <c r="G950" t="s">
        <v>8959</v>
      </c>
      <c r="H950" s="1" t="s">
        <v>9605</v>
      </c>
      <c r="I950" s="1" t="s">
        <v>9121</v>
      </c>
      <c r="J950" s="2" t="s">
        <v>9018</v>
      </c>
      <c r="K950" s="1" t="s">
        <v>21762</v>
      </c>
      <c r="L950" s="1" t="s">
        <v>9157</v>
      </c>
      <c r="M950" s="1">
        <v>33342</v>
      </c>
      <c r="N950" s="1" t="s">
        <v>8953</v>
      </c>
      <c r="O950" s="1" t="s">
        <v>8954</v>
      </c>
      <c r="P950" s="1" t="s">
        <v>8955</v>
      </c>
      <c r="Q950" s="1" t="s">
        <v>8956</v>
      </c>
      <c r="R950" s="1" t="s">
        <v>8975</v>
      </c>
      <c r="S950" s="1" t="s">
        <v>3352</v>
      </c>
      <c r="T950" s="1" t="s">
        <v>11</v>
      </c>
      <c r="U950" s="1" t="s">
        <v>808</v>
      </c>
    </row>
    <row r="951" spans="1:21" x14ac:dyDescent="0.2">
      <c r="A951" s="88" t="s">
        <v>16556</v>
      </c>
      <c r="B951" s="88" t="e">
        <f>VLOOKUP(C951,#REF!,1,0)</f>
        <v>#REF!</v>
      </c>
      <c r="C951" s="1" t="s">
        <v>3353</v>
      </c>
      <c r="D951" s="1" t="s">
        <v>3354</v>
      </c>
      <c r="E951" s="1" t="s">
        <v>9650</v>
      </c>
      <c r="F951" s="1" t="s">
        <v>8957</v>
      </c>
      <c r="G951" t="s">
        <v>8959</v>
      </c>
      <c r="H951" s="1" t="s">
        <v>9092</v>
      </c>
      <c r="I951" s="1" t="s">
        <v>9308</v>
      </c>
      <c r="J951" s="2" t="s">
        <v>21250</v>
      </c>
      <c r="K951" s="1" t="s">
        <v>21250</v>
      </c>
      <c r="L951" s="1" t="s">
        <v>8987</v>
      </c>
      <c r="M951" s="1">
        <v>1347</v>
      </c>
      <c r="N951" s="1" t="s">
        <v>8953</v>
      </c>
      <c r="O951" s="1" t="s">
        <v>8989</v>
      </c>
      <c r="P951" s="1" t="s">
        <v>8955</v>
      </c>
      <c r="Q951" s="1" t="s">
        <v>8956</v>
      </c>
      <c r="R951" s="1" t="s">
        <v>8975</v>
      </c>
      <c r="S951" s="1" t="s">
        <v>19202</v>
      </c>
      <c r="T951" s="1" t="s">
        <v>7</v>
      </c>
      <c r="U951" s="1" t="s">
        <v>64</v>
      </c>
    </row>
    <row r="952" spans="1:21" x14ac:dyDescent="0.2">
      <c r="A952" s="88" t="s">
        <v>16557</v>
      </c>
      <c r="B952" s="88" t="e">
        <f>VLOOKUP(C952,#REF!,1,0)</f>
        <v>#REF!</v>
      </c>
      <c r="C952" s="1" t="s">
        <v>3355</v>
      </c>
      <c r="D952" s="1" t="s">
        <v>3356</v>
      </c>
      <c r="E952" s="1" t="s">
        <v>9310</v>
      </c>
      <c r="F952" s="1" t="s">
        <v>8957</v>
      </c>
      <c r="G952" t="s">
        <v>8959</v>
      </c>
      <c r="H952" s="1" t="s">
        <v>20714</v>
      </c>
      <c r="I952" s="1" t="s">
        <v>9050</v>
      </c>
      <c r="J952" s="2" t="s">
        <v>21326</v>
      </c>
      <c r="K952" s="1" t="s">
        <v>21326</v>
      </c>
      <c r="L952" s="1" t="s">
        <v>21600</v>
      </c>
      <c r="M952" s="1">
        <v>1200</v>
      </c>
      <c r="N952" s="1" t="s">
        <v>8953</v>
      </c>
      <c r="O952" s="1" t="s">
        <v>8989</v>
      </c>
      <c r="P952" s="1" t="s">
        <v>8955</v>
      </c>
      <c r="Q952" s="1" t="s">
        <v>8956</v>
      </c>
      <c r="R952" s="1" t="s">
        <v>8958</v>
      </c>
      <c r="S952" s="1" t="s">
        <v>19203</v>
      </c>
      <c r="T952" s="1" t="s">
        <v>7</v>
      </c>
      <c r="U952" s="1" t="s">
        <v>2723</v>
      </c>
    </row>
    <row r="953" spans="1:21" x14ac:dyDescent="0.2">
      <c r="A953" s="88" t="s">
        <v>16558</v>
      </c>
      <c r="B953" s="88" t="e">
        <f>VLOOKUP(C953,#REF!,1,0)</f>
        <v>#REF!</v>
      </c>
      <c r="C953" s="1" t="s">
        <v>3357</v>
      </c>
      <c r="D953" s="1" t="s">
        <v>3358</v>
      </c>
      <c r="E953" s="1" t="s">
        <v>9310</v>
      </c>
      <c r="F953" s="1" t="s">
        <v>8957</v>
      </c>
      <c r="G953" t="s">
        <v>8959</v>
      </c>
      <c r="H953" s="1" t="s">
        <v>9035</v>
      </c>
      <c r="I953" s="1" t="s">
        <v>8998</v>
      </c>
      <c r="J953" s="2" t="s">
        <v>20768</v>
      </c>
      <c r="K953" s="1" t="s">
        <v>20768</v>
      </c>
      <c r="L953" s="1" t="s">
        <v>9133</v>
      </c>
      <c r="M953" s="1">
        <v>11356</v>
      </c>
      <c r="N953" s="1" t="s">
        <v>8953</v>
      </c>
      <c r="O953" s="1" t="s">
        <v>8954</v>
      </c>
      <c r="P953" s="1" t="s">
        <v>8955</v>
      </c>
      <c r="Q953" s="1" t="s">
        <v>8956</v>
      </c>
      <c r="R953" s="1" t="s">
        <v>8975</v>
      </c>
      <c r="S953" s="1" t="s">
        <v>19204</v>
      </c>
      <c r="T953" s="1" t="s">
        <v>7</v>
      </c>
      <c r="U953" s="1" t="s">
        <v>580</v>
      </c>
    </row>
    <row r="954" spans="1:21" x14ac:dyDescent="0.2">
      <c r="A954" s="88" t="s">
        <v>16559</v>
      </c>
      <c r="B954" s="88" t="e">
        <f>VLOOKUP(C954,#REF!,1,0)</f>
        <v>#REF!</v>
      </c>
      <c r="C954" s="1" t="s">
        <v>3359</v>
      </c>
      <c r="D954" s="1" t="s">
        <v>3360</v>
      </c>
      <c r="E954" s="1" t="s">
        <v>9310</v>
      </c>
      <c r="F954" s="1" t="s">
        <v>8957</v>
      </c>
      <c r="G954" t="s">
        <v>8959</v>
      </c>
      <c r="H954" s="1" t="s">
        <v>9100</v>
      </c>
      <c r="I954" s="1" t="s">
        <v>8959</v>
      </c>
      <c r="J954" s="2" t="s">
        <v>21443</v>
      </c>
      <c r="K954" s="1" t="s">
        <v>21443</v>
      </c>
      <c r="L954" s="1" t="s">
        <v>21602</v>
      </c>
      <c r="M954" s="1">
        <v>3216</v>
      </c>
      <c r="N954" s="1" t="s">
        <v>8953</v>
      </c>
      <c r="O954" s="1" t="s">
        <v>8989</v>
      </c>
      <c r="P954" s="1" t="s">
        <v>8955</v>
      </c>
      <c r="Q954" s="1" t="s">
        <v>8956</v>
      </c>
      <c r="R954" s="1" t="s">
        <v>8975</v>
      </c>
      <c r="S954" s="1" t="s">
        <v>19205</v>
      </c>
      <c r="T954" s="1" t="s">
        <v>7</v>
      </c>
      <c r="U954" s="1" t="s">
        <v>2044</v>
      </c>
    </row>
    <row r="955" spans="1:21" x14ac:dyDescent="0.2">
      <c r="A955" s="88" t="s">
        <v>16560</v>
      </c>
      <c r="B955" s="88" t="e">
        <f>VLOOKUP(C955,#REF!,1,0)</f>
        <v>#REF!</v>
      </c>
      <c r="C955" s="1" t="s">
        <v>3361</v>
      </c>
      <c r="D955" s="1" t="s">
        <v>3362</v>
      </c>
      <c r="E955" s="1" t="s">
        <v>9213</v>
      </c>
      <c r="F955" s="1" t="s">
        <v>8957</v>
      </c>
      <c r="G955" t="s">
        <v>9061</v>
      </c>
      <c r="H955" s="1" t="s">
        <v>9035</v>
      </c>
      <c r="I955" s="1" t="s">
        <v>8998</v>
      </c>
      <c r="J955" s="2" t="s">
        <v>10492</v>
      </c>
      <c r="K955" s="1" t="s">
        <v>10492</v>
      </c>
      <c r="L955" s="1" t="s">
        <v>8951</v>
      </c>
      <c r="M955" s="1">
        <v>51100</v>
      </c>
      <c r="N955" s="1" t="s">
        <v>8953</v>
      </c>
      <c r="O955" s="1" t="s">
        <v>8954</v>
      </c>
      <c r="P955" s="1" t="s">
        <v>8955</v>
      </c>
      <c r="Q955" s="1" t="s">
        <v>8956</v>
      </c>
      <c r="R955" s="1" t="s">
        <v>9103</v>
      </c>
      <c r="S955" s="1" t="s">
        <v>19206</v>
      </c>
      <c r="T955" s="1" t="s">
        <v>17</v>
      </c>
      <c r="U955" s="1" t="s">
        <v>378</v>
      </c>
    </row>
    <row r="956" spans="1:21" x14ac:dyDescent="0.2">
      <c r="A956" s="88" t="s">
        <v>16561</v>
      </c>
      <c r="B956" s="88" t="e">
        <f>VLOOKUP(C956,#REF!,1,0)</f>
        <v>#REF!</v>
      </c>
      <c r="C956" s="1" t="s">
        <v>3363</v>
      </c>
      <c r="D956" s="1" t="s">
        <v>3364</v>
      </c>
      <c r="E956" s="1" t="s">
        <v>9310</v>
      </c>
      <c r="F956" s="1" t="s">
        <v>8974</v>
      </c>
      <c r="G956" t="s">
        <v>8959</v>
      </c>
      <c r="H956" s="1" t="s">
        <v>8984</v>
      </c>
      <c r="I956" s="1" t="s">
        <v>8998</v>
      </c>
      <c r="J956" s="2" t="s">
        <v>9036</v>
      </c>
      <c r="K956" s="1" t="s">
        <v>9036</v>
      </c>
      <c r="L956" s="1" t="s">
        <v>8951</v>
      </c>
      <c r="M956" s="1">
        <v>888</v>
      </c>
      <c r="N956" s="1" t="s">
        <v>8953</v>
      </c>
      <c r="O956" s="1" t="s">
        <v>8989</v>
      </c>
      <c r="P956" s="1" t="s">
        <v>8955</v>
      </c>
      <c r="Q956" s="1" t="s">
        <v>8956</v>
      </c>
      <c r="R956" s="1" t="s">
        <v>8958</v>
      </c>
      <c r="S956" s="1" t="s">
        <v>3365</v>
      </c>
      <c r="T956" s="1" t="s">
        <v>11</v>
      </c>
      <c r="U956" s="1" t="s">
        <v>93</v>
      </c>
    </row>
    <row r="957" spans="1:21" x14ac:dyDescent="0.2">
      <c r="A957" s="88" t="s">
        <v>16562</v>
      </c>
      <c r="B957" s="88" t="e">
        <f>VLOOKUP(C957,#REF!,1,0)</f>
        <v>#REF!</v>
      </c>
      <c r="C957" s="1" t="s">
        <v>3366</v>
      </c>
      <c r="D957" s="1" t="s">
        <v>3367</v>
      </c>
      <c r="E957" s="1" t="s">
        <v>9310</v>
      </c>
      <c r="F957" s="1" t="s">
        <v>8957</v>
      </c>
      <c r="G957" t="s">
        <v>9183</v>
      </c>
      <c r="H957" s="1" t="s">
        <v>20714</v>
      </c>
      <c r="I957" s="1" t="s">
        <v>9050</v>
      </c>
      <c r="J957" s="2" t="s">
        <v>21327</v>
      </c>
      <c r="K957" s="1" t="s">
        <v>21686</v>
      </c>
      <c r="L957" s="1" t="s">
        <v>20839</v>
      </c>
      <c r="M957" s="1">
        <v>3014</v>
      </c>
      <c r="N957" s="1" t="s">
        <v>8953</v>
      </c>
      <c r="O957" s="1" t="s">
        <v>8989</v>
      </c>
      <c r="P957" s="1" t="s">
        <v>8955</v>
      </c>
      <c r="Q957" s="1" t="s">
        <v>8956</v>
      </c>
      <c r="R957" s="1" t="s">
        <v>8975</v>
      </c>
      <c r="S957" s="1" t="s">
        <v>19207</v>
      </c>
      <c r="T957" s="1" t="s">
        <v>7</v>
      </c>
      <c r="U957" s="1" t="s">
        <v>24</v>
      </c>
    </row>
    <row r="958" spans="1:21" x14ac:dyDescent="0.2">
      <c r="A958" s="88" t="s">
        <v>16563</v>
      </c>
      <c r="B958" s="88" t="e">
        <f>VLOOKUP(C958,#REF!,1,0)</f>
        <v>#REF!</v>
      </c>
      <c r="C958" s="1" t="s">
        <v>3368</v>
      </c>
      <c r="D958" s="1" t="s">
        <v>3369</v>
      </c>
      <c r="E958" s="1" t="s">
        <v>18502</v>
      </c>
      <c r="F958" s="1" t="s">
        <v>8957</v>
      </c>
      <c r="G958" t="s">
        <v>8959</v>
      </c>
      <c r="H958" s="1" t="s">
        <v>9605</v>
      </c>
      <c r="I958" s="1" t="s">
        <v>9101</v>
      </c>
      <c r="J958" s="2" t="s">
        <v>10492</v>
      </c>
      <c r="K958" s="1" t="s">
        <v>10492</v>
      </c>
      <c r="L958" s="1" t="s">
        <v>9076</v>
      </c>
      <c r="M958" s="1">
        <v>200</v>
      </c>
      <c r="N958" s="1" t="s">
        <v>8953</v>
      </c>
      <c r="O958" s="1" t="s">
        <v>8989</v>
      </c>
      <c r="P958" s="1" t="s">
        <v>8955</v>
      </c>
      <c r="Q958" s="1" t="s">
        <v>8956</v>
      </c>
      <c r="R958" s="1" t="s">
        <v>8975</v>
      </c>
      <c r="S958" s="1" t="s">
        <v>19208</v>
      </c>
      <c r="T958" s="1" t="s">
        <v>7</v>
      </c>
      <c r="U958" s="1" t="s">
        <v>580</v>
      </c>
    </row>
    <row r="959" spans="1:21" x14ac:dyDescent="0.2">
      <c r="A959" s="88" t="s">
        <v>16566</v>
      </c>
      <c r="B959" s="88" t="e">
        <f>VLOOKUP(C959,#REF!,1,0)</f>
        <v>#REF!</v>
      </c>
      <c r="C959" s="1" t="s">
        <v>3375</v>
      </c>
      <c r="D959" s="1" t="s">
        <v>3376</v>
      </c>
      <c r="E959" s="1" t="s">
        <v>9310</v>
      </c>
      <c r="F959" s="1" t="s">
        <v>8957</v>
      </c>
      <c r="G959" t="s">
        <v>8959</v>
      </c>
      <c r="H959" s="1" t="s">
        <v>9605</v>
      </c>
      <c r="I959" s="1" t="s">
        <v>8959</v>
      </c>
      <c r="J959" s="2" t="s">
        <v>20813</v>
      </c>
      <c r="K959" s="1" t="s">
        <v>20770</v>
      </c>
      <c r="L959" s="1" t="s">
        <v>9292</v>
      </c>
      <c r="M959" s="1">
        <v>80</v>
      </c>
      <c r="N959" s="1" t="s">
        <v>11658</v>
      </c>
      <c r="O959" s="1" t="s">
        <v>8954</v>
      </c>
      <c r="P959" s="1" t="s">
        <v>8955</v>
      </c>
      <c r="Q959" s="1" t="s">
        <v>8956</v>
      </c>
      <c r="R959" s="1" t="s">
        <v>8958</v>
      </c>
      <c r="S959" s="1" t="s">
        <v>19211</v>
      </c>
      <c r="T959" s="1" t="s">
        <v>7</v>
      </c>
      <c r="U959" s="1" t="s">
        <v>126</v>
      </c>
    </row>
    <row r="960" spans="1:21" x14ac:dyDescent="0.2">
      <c r="A960" s="88" t="s">
        <v>16568</v>
      </c>
      <c r="B960" s="88" t="e">
        <f>VLOOKUP(C960,#REF!,1,0)</f>
        <v>#REF!</v>
      </c>
      <c r="C960" s="1" t="s">
        <v>3379</v>
      </c>
      <c r="D960" s="1" t="s">
        <v>3380</v>
      </c>
      <c r="E960" s="1" t="s">
        <v>9213</v>
      </c>
      <c r="F960" s="1" t="s">
        <v>8957</v>
      </c>
      <c r="G960" t="s">
        <v>9061</v>
      </c>
      <c r="H960" s="1" t="s">
        <v>9100</v>
      </c>
      <c r="I960" s="1" t="s">
        <v>8949</v>
      </c>
      <c r="J960" s="2" t="s">
        <v>10492</v>
      </c>
      <c r="K960" s="1" t="s">
        <v>10492</v>
      </c>
      <c r="L960" s="1" t="s">
        <v>9076</v>
      </c>
      <c r="M960" s="1">
        <v>62</v>
      </c>
      <c r="N960" s="1" t="s">
        <v>9059</v>
      </c>
      <c r="O960" s="1" t="s">
        <v>8989</v>
      </c>
      <c r="P960" s="1" t="s">
        <v>8955</v>
      </c>
      <c r="Q960" s="1" t="s">
        <v>8956</v>
      </c>
      <c r="R960" s="1" t="s">
        <v>9103</v>
      </c>
      <c r="S960" s="1" t="s">
        <v>19213</v>
      </c>
      <c r="T960" s="1" t="s">
        <v>7</v>
      </c>
      <c r="U960" s="1" t="s">
        <v>93</v>
      </c>
    </row>
    <row r="961" spans="1:21" x14ac:dyDescent="0.2">
      <c r="A961" s="88" t="s">
        <v>20846</v>
      </c>
      <c r="B961" s="88" t="e">
        <f>VLOOKUP(C961,#REF!,1,0)</f>
        <v>#REF!</v>
      </c>
      <c r="C961" s="1" t="s">
        <v>3381</v>
      </c>
      <c r="D961" s="1" t="s">
        <v>3382</v>
      </c>
      <c r="E961" s="1" t="s">
        <v>18502</v>
      </c>
      <c r="F961" s="1" t="s">
        <v>9060</v>
      </c>
      <c r="G961" t="s">
        <v>9061</v>
      </c>
      <c r="H961" s="1" t="s">
        <v>9100</v>
      </c>
      <c r="I961" s="1" t="s">
        <v>9725</v>
      </c>
      <c r="J961" s="2" t="s">
        <v>20779</v>
      </c>
      <c r="K961" s="1" t="s">
        <v>9036</v>
      </c>
      <c r="L961" s="1" t="s">
        <v>8987</v>
      </c>
      <c r="M961" s="1">
        <v>300</v>
      </c>
      <c r="N961" s="1" t="s">
        <v>8953</v>
      </c>
      <c r="O961" s="1" t="s">
        <v>8954</v>
      </c>
      <c r="P961" s="1" t="s">
        <v>8955</v>
      </c>
      <c r="Q961" s="1" t="s">
        <v>8956</v>
      </c>
      <c r="R961" s="1" t="s">
        <v>9103</v>
      </c>
      <c r="S961" s="1" t="s">
        <v>19214</v>
      </c>
      <c r="T961" s="1" t="s">
        <v>7</v>
      </c>
      <c r="U961" s="1" t="s">
        <v>15</v>
      </c>
    </row>
    <row r="962" spans="1:21" x14ac:dyDescent="0.2">
      <c r="A962" s="88" t="s">
        <v>16569</v>
      </c>
      <c r="B962" s="88" t="e">
        <f>VLOOKUP(C962,#REF!,1,0)</f>
        <v>#REF!</v>
      </c>
      <c r="C962" s="1" t="s">
        <v>3383</v>
      </c>
      <c r="D962" s="1" t="s">
        <v>3384</v>
      </c>
      <c r="E962" s="1" t="s">
        <v>9213</v>
      </c>
      <c r="F962" s="1" t="s">
        <v>9060</v>
      </c>
      <c r="G962" t="s">
        <v>9009</v>
      </c>
      <c r="H962" s="1" t="s">
        <v>9100</v>
      </c>
      <c r="I962" s="1" t="s">
        <v>9101</v>
      </c>
      <c r="J962" s="2" t="s">
        <v>9036</v>
      </c>
      <c r="K962" s="1" t="s">
        <v>9036</v>
      </c>
      <c r="L962" s="1" t="s">
        <v>9464</v>
      </c>
      <c r="M962" s="1">
        <v>128</v>
      </c>
      <c r="N962" s="1" t="s">
        <v>8953</v>
      </c>
      <c r="O962" s="1" t="s">
        <v>8989</v>
      </c>
      <c r="P962" s="1" t="s">
        <v>8955</v>
      </c>
      <c r="Q962" s="1" t="s">
        <v>8956</v>
      </c>
      <c r="R962" s="1" t="s">
        <v>8975</v>
      </c>
      <c r="S962" s="1" t="s">
        <v>3385</v>
      </c>
      <c r="T962" s="1" t="s">
        <v>4</v>
      </c>
      <c r="U962" s="1" t="s">
        <v>3386</v>
      </c>
    </row>
    <row r="963" spans="1:21" x14ac:dyDescent="0.2">
      <c r="A963" s="88" t="s">
        <v>16570</v>
      </c>
      <c r="B963" s="88" t="e">
        <f>VLOOKUP(C963,#REF!,1,0)</f>
        <v>#REF!</v>
      </c>
      <c r="C963" s="1" t="s">
        <v>3387</v>
      </c>
      <c r="D963" s="1" t="s">
        <v>3388</v>
      </c>
      <c r="E963" s="1" t="s">
        <v>9968</v>
      </c>
      <c r="F963" s="1" t="s">
        <v>8957</v>
      </c>
      <c r="G963" t="s">
        <v>8959</v>
      </c>
      <c r="H963" s="1" t="s">
        <v>9092</v>
      </c>
      <c r="I963" s="1" t="s">
        <v>8998</v>
      </c>
      <c r="J963" s="2" t="s">
        <v>8972</v>
      </c>
      <c r="K963" s="1" t="s">
        <v>21768</v>
      </c>
      <c r="L963" s="1" t="s">
        <v>21600</v>
      </c>
      <c r="M963" s="1">
        <v>475</v>
      </c>
      <c r="N963" s="1" t="s">
        <v>8953</v>
      </c>
      <c r="O963" s="1" t="s">
        <v>8989</v>
      </c>
      <c r="P963" s="1" t="s">
        <v>8955</v>
      </c>
      <c r="Q963" s="1" t="s">
        <v>8956</v>
      </c>
      <c r="R963" s="1" t="s">
        <v>8958</v>
      </c>
      <c r="S963" s="1" t="s">
        <v>3389</v>
      </c>
      <c r="T963" s="1" t="s">
        <v>7</v>
      </c>
      <c r="U963" s="1" t="s">
        <v>184</v>
      </c>
    </row>
    <row r="964" spans="1:21" x14ac:dyDescent="0.2">
      <c r="A964" s="88" t="s">
        <v>16571</v>
      </c>
      <c r="B964" s="88" t="e">
        <f>VLOOKUP(C964,#REF!,1,0)</f>
        <v>#REF!</v>
      </c>
      <c r="C964" s="1" t="s">
        <v>3390</v>
      </c>
      <c r="D964" s="1" t="s">
        <v>3391</v>
      </c>
      <c r="E964" s="1" t="s">
        <v>9380</v>
      </c>
      <c r="F964" s="1" t="s">
        <v>8957</v>
      </c>
      <c r="G964" t="s">
        <v>9061</v>
      </c>
      <c r="H964" s="1" t="s">
        <v>8948</v>
      </c>
      <c r="I964" s="1" t="s">
        <v>8949</v>
      </c>
      <c r="J964" s="2" t="s">
        <v>20785</v>
      </c>
      <c r="K964" s="1" t="s">
        <v>18491</v>
      </c>
      <c r="L964" s="1" t="s">
        <v>9076</v>
      </c>
      <c r="M964" s="1">
        <v>53</v>
      </c>
      <c r="N964" s="1" t="s">
        <v>9059</v>
      </c>
      <c r="O964" s="1" t="s">
        <v>8989</v>
      </c>
      <c r="P964" s="1" t="s">
        <v>8955</v>
      </c>
      <c r="Q964" s="1" t="s">
        <v>8956</v>
      </c>
      <c r="R964" s="1" t="s">
        <v>9103</v>
      </c>
      <c r="S964" s="1" t="s">
        <v>19215</v>
      </c>
      <c r="T964" s="1" t="s">
        <v>17</v>
      </c>
      <c r="U964" s="1" t="s">
        <v>161</v>
      </c>
    </row>
    <row r="965" spans="1:21" x14ac:dyDescent="0.2">
      <c r="A965" s="88" t="s">
        <v>16572</v>
      </c>
      <c r="B965" s="88" t="e">
        <f>VLOOKUP(C965,#REF!,1,0)</f>
        <v>#REF!</v>
      </c>
      <c r="C965" s="1" t="s">
        <v>3395</v>
      </c>
      <c r="D965" s="1" t="s">
        <v>3396</v>
      </c>
      <c r="E965" s="1" t="s">
        <v>9465</v>
      </c>
      <c r="F965" s="1" t="s">
        <v>8957</v>
      </c>
      <c r="G965" t="s">
        <v>8959</v>
      </c>
      <c r="H965" s="1" t="s">
        <v>8948</v>
      </c>
      <c r="I965" s="1" t="s">
        <v>12453</v>
      </c>
      <c r="J965" s="2" t="s">
        <v>10525</v>
      </c>
      <c r="K965" s="1" t="s">
        <v>21650</v>
      </c>
      <c r="L965" s="1" t="s">
        <v>8987</v>
      </c>
      <c r="M965" s="1">
        <v>267</v>
      </c>
      <c r="N965" s="1" t="s">
        <v>9059</v>
      </c>
      <c r="O965" s="1" t="s">
        <v>8989</v>
      </c>
      <c r="P965" s="1" t="s">
        <v>8955</v>
      </c>
      <c r="Q965" s="1" t="s">
        <v>8956</v>
      </c>
      <c r="R965" s="1" t="s">
        <v>8958</v>
      </c>
      <c r="S965" s="1" t="s">
        <v>19217</v>
      </c>
      <c r="T965" s="1" t="s">
        <v>17</v>
      </c>
      <c r="U965" s="1" t="s">
        <v>2988</v>
      </c>
    </row>
    <row r="966" spans="1:21" x14ac:dyDescent="0.2">
      <c r="A966" s="88" t="s">
        <v>16573</v>
      </c>
      <c r="B966" s="88" t="e">
        <f>VLOOKUP(C966,#REF!,1,0)</f>
        <v>#REF!</v>
      </c>
      <c r="C966" s="1" t="s">
        <v>3397</v>
      </c>
      <c r="D966" s="1" t="s">
        <v>3398</v>
      </c>
      <c r="E966" s="1" t="s">
        <v>9010</v>
      </c>
      <c r="F966" s="1" t="s">
        <v>8957</v>
      </c>
      <c r="G966" t="s">
        <v>9183</v>
      </c>
      <c r="H966" s="1" t="s">
        <v>15122</v>
      </c>
      <c r="I966" s="1" t="s">
        <v>9269</v>
      </c>
      <c r="J966" s="2" t="s">
        <v>15123</v>
      </c>
      <c r="K966" s="1" t="s">
        <v>21781</v>
      </c>
      <c r="L966" s="1" t="s">
        <v>8987</v>
      </c>
      <c r="M966" s="1">
        <v>3000</v>
      </c>
      <c r="N966" s="1" t="s">
        <v>8953</v>
      </c>
      <c r="O966" s="1" t="s">
        <v>8989</v>
      </c>
      <c r="P966" s="1" t="s">
        <v>8955</v>
      </c>
      <c r="Q966" s="1" t="s">
        <v>8956</v>
      </c>
      <c r="R966" s="1" t="s">
        <v>8975</v>
      </c>
      <c r="S966" s="1" t="s">
        <v>3399</v>
      </c>
      <c r="T966" s="1" t="s">
        <v>17</v>
      </c>
      <c r="U966" s="1" t="s">
        <v>3400</v>
      </c>
    </row>
    <row r="967" spans="1:21" x14ac:dyDescent="0.2">
      <c r="A967" s="88" t="s">
        <v>16574</v>
      </c>
      <c r="B967" s="88" t="e">
        <f>VLOOKUP(C967,#REF!,1,0)</f>
        <v>#REF!</v>
      </c>
      <c r="C967" s="1" t="s">
        <v>3401</v>
      </c>
      <c r="D967" s="1" t="s">
        <v>3402</v>
      </c>
      <c r="E967" s="1" t="s">
        <v>20847</v>
      </c>
      <c r="F967" s="1" t="s">
        <v>9060</v>
      </c>
      <c r="G967" t="s">
        <v>8959</v>
      </c>
      <c r="H967" s="1" t="s">
        <v>8948</v>
      </c>
      <c r="I967" s="1" t="s">
        <v>8949</v>
      </c>
      <c r="J967" s="2" t="s">
        <v>20779</v>
      </c>
      <c r="K967" s="1" t="s">
        <v>9036</v>
      </c>
      <c r="L967" s="1" t="s">
        <v>8951</v>
      </c>
      <c r="M967" s="1">
        <v>13763</v>
      </c>
      <c r="N967" s="1" t="s">
        <v>8953</v>
      </c>
      <c r="O967" s="1" t="s">
        <v>8954</v>
      </c>
      <c r="P967" s="1" t="s">
        <v>8955</v>
      </c>
      <c r="Q967" s="1" t="s">
        <v>8956</v>
      </c>
      <c r="R967" s="1" t="s">
        <v>8975</v>
      </c>
      <c r="S967" s="1" t="s">
        <v>19218</v>
      </c>
      <c r="T967" s="1" t="s">
        <v>17</v>
      </c>
      <c r="U967" s="1" t="s">
        <v>580</v>
      </c>
    </row>
    <row r="968" spans="1:21" x14ac:dyDescent="0.2">
      <c r="A968" s="88" t="s">
        <v>16575</v>
      </c>
      <c r="B968" s="88" t="e">
        <f>VLOOKUP(C968,#REF!,1,0)</f>
        <v>#REF!</v>
      </c>
      <c r="C968" s="1" t="s">
        <v>3403</v>
      </c>
      <c r="D968" s="1" t="s">
        <v>3404</v>
      </c>
      <c r="E968" s="1" t="s">
        <v>9465</v>
      </c>
      <c r="F968" s="1" t="s">
        <v>8957</v>
      </c>
      <c r="G968" t="s">
        <v>8959</v>
      </c>
      <c r="H968" s="1" t="s">
        <v>9035</v>
      </c>
      <c r="I968" s="1" t="s">
        <v>8998</v>
      </c>
      <c r="J968" s="2" t="s">
        <v>9112</v>
      </c>
      <c r="K968" s="1" t="s">
        <v>21782</v>
      </c>
      <c r="L968" s="1" t="s">
        <v>8987</v>
      </c>
      <c r="M968" s="1" t="s">
        <v>9479</v>
      </c>
      <c r="N968" s="1" t="s">
        <v>8953</v>
      </c>
      <c r="O968" s="1" t="s">
        <v>8989</v>
      </c>
      <c r="P968" s="1" t="s">
        <v>8955</v>
      </c>
      <c r="Q968" s="1" t="s">
        <v>8956</v>
      </c>
      <c r="R968" s="1" t="s">
        <v>8958</v>
      </c>
      <c r="S968" s="1" t="s">
        <v>3405</v>
      </c>
      <c r="T968" s="1" t="s">
        <v>17</v>
      </c>
      <c r="U968" s="1" t="s">
        <v>126</v>
      </c>
    </row>
    <row r="969" spans="1:21" x14ac:dyDescent="0.2">
      <c r="A969" s="88" t="s">
        <v>16577</v>
      </c>
      <c r="B969" s="88" t="e">
        <f>VLOOKUP(C969,#REF!,1,0)</f>
        <v>#REF!</v>
      </c>
      <c r="C969" s="1" t="s">
        <v>3408</v>
      </c>
      <c r="D969" s="1" t="s">
        <v>3409</v>
      </c>
      <c r="E969" s="1" t="s">
        <v>9310</v>
      </c>
      <c r="F969" s="1" t="s">
        <v>8957</v>
      </c>
      <c r="G969" t="s">
        <v>9183</v>
      </c>
      <c r="H969" s="1" t="s">
        <v>9100</v>
      </c>
      <c r="I969" s="1" t="s">
        <v>8949</v>
      </c>
      <c r="J969" s="2" t="s">
        <v>21205</v>
      </c>
      <c r="K969" s="1" t="s">
        <v>21205</v>
      </c>
      <c r="L969" s="1" t="s">
        <v>9133</v>
      </c>
      <c r="M969" s="1">
        <v>170</v>
      </c>
      <c r="N969" s="1" t="s">
        <v>8953</v>
      </c>
      <c r="O969" s="1" t="s">
        <v>8989</v>
      </c>
      <c r="P969" s="1" t="s">
        <v>8955</v>
      </c>
      <c r="Q969" s="1" t="s">
        <v>8956</v>
      </c>
      <c r="R969" s="1" t="s">
        <v>8958</v>
      </c>
      <c r="S969" s="1" t="s">
        <v>3410</v>
      </c>
      <c r="T969" s="1" t="s">
        <v>17</v>
      </c>
      <c r="U969" s="1" t="s">
        <v>2061</v>
      </c>
    </row>
    <row r="970" spans="1:21" x14ac:dyDescent="0.2">
      <c r="A970" s="88" t="s">
        <v>16578</v>
      </c>
      <c r="B970" s="88" t="e">
        <f>VLOOKUP(C970,#REF!,1,0)</f>
        <v>#REF!</v>
      </c>
      <c r="C970" s="1" t="s">
        <v>3411</v>
      </c>
      <c r="D970" s="1" t="s">
        <v>3412</v>
      </c>
      <c r="E970" s="1" t="s">
        <v>9650</v>
      </c>
      <c r="F970" s="1" t="s">
        <v>8957</v>
      </c>
      <c r="G970" t="s">
        <v>8959</v>
      </c>
      <c r="H970" s="1" t="s">
        <v>9100</v>
      </c>
      <c r="I970" s="1" t="s">
        <v>8949</v>
      </c>
      <c r="J970" s="2" t="s">
        <v>9007</v>
      </c>
      <c r="K970" s="1" t="s">
        <v>9007</v>
      </c>
      <c r="L970" s="1" t="s">
        <v>9157</v>
      </c>
      <c r="M970" s="1">
        <v>210</v>
      </c>
      <c r="N970" s="1" t="s">
        <v>8953</v>
      </c>
      <c r="O970" s="1" t="s">
        <v>8989</v>
      </c>
      <c r="P970" s="1" t="s">
        <v>8955</v>
      </c>
      <c r="Q970" s="1" t="s">
        <v>8956</v>
      </c>
      <c r="R970" s="1" t="s">
        <v>8958</v>
      </c>
      <c r="S970" s="1" t="s">
        <v>3413</v>
      </c>
      <c r="T970" s="1" t="s">
        <v>17</v>
      </c>
      <c r="U970" s="1" t="s">
        <v>200</v>
      </c>
    </row>
    <row r="971" spans="1:21" x14ac:dyDescent="0.2">
      <c r="A971" s="88" t="s">
        <v>16579</v>
      </c>
      <c r="B971" s="88" t="e">
        <f>VLOOKUP(C971,#REF!,1,0)</f>
        <v>#REF!</v>
      </c>
      <c r="C971" s="1" t="s">
        <v>3414</v>
      </c>
      <c r="D971" s="1" t="s">
        <v>3415</v>
      </c>
      <c r="E971" s="1" t="s">
        <v>9310</v>
      </c>
      <c r="F971" s="1" t="s">
        <v>8959</v>
      </c>
      <c r="G971" t="s">
        <v>9061</v>
      </c>
      <c r="H971" s="1" t="s">
        <v>9154</v>
      </c>
      <c r="I971" s="1" t="s">
        <v>8998</v>
      </c>
      <c r="J971" s="2" t="s">
        <v>10492</v>
      </c>
      <c r="K971" s="1" t="s">
        <v>10492</v>
      </c>
      <c r="L971" s="1" t="s">
        <v>21600</v>
      </c>
      <c r="M971" s="1">
        <v>100</v>
      </c>
      <c r="N971" s="1" t="s">
        <v>9059</v>
      </c>
      <c r="O971" s="1" t="s">
        <v>8989</v>
      </c>
      <c r="P971" s="1" t="s">
        <v>8955</v>
      </c>
      <c r="Q971" s="1" t="s">
        <v>8956</v>
      </c>
      <c r="R971" s="1" t="s">
        <v>8975</v>
      </c>
      <c r="S971" s="1" t="s">
        <v>19220</v>
      </c>
      <c r="T971" s="1" t="s">
        <v>7</v>
      </c>
      <c r="U971" s="1" t="s">
        <v>93</v>
      </c>
    </row>
    <row r="972" spans="1:21" x14ac:dyDescent="0.2">
      <c r="A972" s="88" t="s">
        <v>16580</v>
      </c>
      <c r="B972" s="88" t="e">
        <f>VLOOKUP(C972,#REF!,1,0)</f>
        <v>#REF!</v>
      </c>
      <c r="C972" s="1" t="s">
        <v>3416</v>
      </c>
      <c r="D972" s="1" t="s">
        <v>3417</v>
      </c>
      <c r="E972" s="1" t="s">
        <v>9213</v>
      </c>
      <c r="F972" s="1" t="s">
        <v>8957</v>
      </c>
      <c r="G972" t="s">
        <v>9183</v>
      </c>
      <c r="H972" s="1" t="s">
        <v>9154</v>
      </c>
      <c r="I972" s="1" t="s">
        <v>8971</v>
      </c>
      <c r="J972" s="2" t="s">
        <v>11006</v>
      </c>
      <c r="K972" s="1" t="s">
        <v>11006</v>
      </c>
      <c r="L972" s="1" t="s">
        <v>8951</v>
      </c>
      <c r="M972" s="1">
        <v>12325</v>
      </c>
      <c r="N972" s="1" t="s">
        <v>8953</v>
      </c>
      <c r="O972" s="1" t="s">
        <v>8954</v>
      </c>
      <c r="P972" s="1" t="s">
        <v>8955</v>
      </c>
      <c r="Q972" s="1" t="s">
        <v>8956</v>
      </c>
      <c r="R972" s="1" t="s">
        <v>8975</v>
      </c>
      <c r="S972" s="1" t="s">
        <v>3418</v>
      </c>
      <c r="T972" s="1" t="s">
        <v>17</v>
      </c>
      <c r="U972" s="1" t="s">
        <v>5</v>
      </c>
    </row>
    <row r="973" spans="1:21" x14ac:dyDescent="0.2">
      <c r="A973" s="88" t="s">
        <v>16581</v>
      </c>
      <c r="B973" s="88" t="e">
        <f>VLOOKUP(C973,#REF!,1,0)</f>
        <v>#REF!</v>
      </c>
      <c r="C973" s="1" t="s">
        <v>3419</v>
      </c>
      <c r="D973" s="1" t="s">
        <v>3420</v>
      </c>
      <c r="E973" s="1" t="s">
        <v>9213</v>
      </c>
      <c r="F973" s="1" t="s">
        <v>8957</v>
      </c>
      <c r="G973" t="s">
        <v>9183</v>
      </c>
      <c r="H973" s="1" t="s">
        <v>8948</v>
      </c>
      <c r="I973" s="1" t="s">
        <v>8949</v>
      </c>
      <c r="J973" s="2" t="s">
        <v>9036</v>
      </c>
      <c r="K973" s="1" t="s">
        <v>9036</v>
      </c>
      <c r="L973" s="1" t="s">
        <v>8951</v>
      </c>
      <c r="M973" s="1">
        <v>65</v>
      </c>
      <c r="N973" s="1" t="s">
        <v>9059</v>
      </c>
      <c r="O973" s="1" t="s">
        <v>8989</v>
      </c>
      <c r="P973" s="1" t="s">
        <v>8955</v>
      </c>
      <c r="Q973" s="1" t="s">
        <v>8956</v>
      </c>
      <c r="R973" s="1" t="s">
        <v>8975</v>
      </c>
      <c r="S973" s="1" t="s">
        <v>3421</v>
      </c>
      <c r="T973" s="1" t="s">
        <v>11</v>
      </c>
      <c r="U973" s="1" t="s">
        <v>24</v>
      </c>
    </row>
    <row r="974" spans="1:21" x14ac:dyDescent="0.2">
      <c r="A974" s="88" t="s">
        <v>16582</v>
      </c>
      <c r="B974" s="88" t="e">
        <f>VLOOKUP(C974,#REF!,1,0)</f>
        <v>#REF!</v>
      </c>
      <c r="C974" s="1" t="s">
        <v>3422</v>
      </c>
      <c r="D974" s="1" t="s">
        <v>3423</v>
      </c>
      <c r="E974" s="1" t="s">
        <v>9213</v>
      </c>
      <c r="F974" s="1" t="s">
        <v>8957</v>
      </c>
      <c r="G974" t="s">
        <v>8959</v>
      </c>
      <c r="H974" s="1" t="s">
        <v>9154</v>
      </c>
      <c r="I974" s="1" t="s">
        <v>8949</v>
      </c>
      <c r="J974" s="2" t="s">
        <v>10492</v>
      </c>
      <c r="K974" s="1" t="s">
        <v>21645</v>
      </c>
      <c r="L974" s="1" t="s">
        <v>9076</v>
      </c>
      <c r="M974" s="1">
        <v>120</v>
      </c>
      <c r="N974" s="1" t="s">
        <v>8953</v>
      </c>
      <c r="O974" s="1" t="s">
        <v>8989</v>
      </c>
      <c r="P974" s="1" t="s">
        <v>8955</v>
      </c>
      <c r="Q974" s="1" t="s">
        <v>8956</v>
      </c>
      <c r="R974" s="1" t="s">
        <v>8958</v>
      </c>
      <c r="S974" s="1" t="s">
        <v>19221</v>
      </c>
      <c r="T974" s="1" t="s">
        <v>17</v>
      </c>
      <c r="U974" s="1" t="s">
        <v>161</v>
      </c>
    </row>
    <row r="975" spans="1:21" x14ac:dyDescent="0.2">
      <c r="A975" s="88" t="s">
        <v>16583</v>
      </c>
      <c r="B975" s="88" t="e">
        <f>VLOOKUP(C975,#REF!,1,0)</f>
        <v>#REF!</v>
      </c>
      <c r="C975" s="1" t="s">
        <v>3424</v>
      </c>
      <c r="D975" s="1" t="s">
        <v>3425</v>
      </c>
      <c r="E975" s="1" t="s">
        <v>18502</v>
      </c>
      <c r="F975" s="1" t="s">
        <v>8957</v>
      </c>
      <c r="G975" t="s">
        <v>9061</v>
      </c>
      <c r="H975" s="1" t="s">
        <v>9075</v>
      </c>
      <c r="I975" s="1" t="s">
        <v>8998</v>
      </c>
      <c r="J975" s="2" t="s">
        <v>10492</v>
      </c>
      <c r="K975" s="1" t="s">
        <v>10492</v>
      </c>
      <c r="L975" s="1" t="s">
        <v>21600</v>
      </c>
      <c r="M975" s="1">
        <v>95000</v>
      </c>
      <c r="N975" s="1" t="s">
        <v>8953</v>
      </c>
      <c r="O975" s="1" t="s">
        <v>8989</v>
      </c>
      <c r="P975" s="1" t="s">
        <v>8955</v>
      </c>
      <c r="Q975" s="1" t="s">
        <v>8956</v>
      </c>
      <c r="R975" s="1" t="s">
        <v>8958</v>
      </c>
      <c r="S975" s="1" t="s">
        <v>19222</v>
      </c>
      <c r="T975" s="1" t="s">
        <v>17</v>
      </c>
      <c r="U975" s="1" t="s">
        <v>3426</v>
      </c>
    </row>
    <row r="976" spans="1:21" x14ac:dyDescent="0.2">
      <c r="A976" s="88" t="s">
        <v>16584</v>
      </c>
      <c r="B976" s="88" t="e">
        <f>VLOOKUP(C976,#REF!,1,0)</f>
        <v>#REF!</v>
      </c>
      <c r="C976" s="1" t="s">
        <v>3427</v>
      </c>
      <c r="D976" s="1" t="s">
        <v>3428</v>
      </c>
      <c r="E976" s="1" t="s">
        <v>9213</v>
      </c>
      <c r="F976" s="1" t="s">
        <v>8957</v>
      </c>
      <c r="G976" t="s">
        <v>8959</v>
      </c>
      <c r="H976" s="1" t="s">
        <v>9035</v>
      </c>
      <c r="I976" s="1" t="s">
        <v>8998</v>
      </c>
      <c r="J976" s="2" t="s">
        <v>9036</v>
      </c>
      <c r="K976" s="1" t="s">
        <v>9036</v>
      </c>
      <c r="L976" s="1" t="s">
        <v>8987</v>
      </c>
      <c r="M976" s="1">
        <v>1906</v>
      </c>
      <c r="N976" s="1" t="s">
        <v>8953</v>
      </c>
      <c r="O976" s="1" t="s">
        <v>8954</v>
      </c>
      <c r="P976" s="1" t="s">
        <v>8955</v>
      </c>
      <c r="Q976" s="1" t="s">
        <v>8956</v>
      </c>
      <c r="R976" s="1" t="s">
        <v>8958</v>
      </c>
      <c r="S976" s="1" t="s">
        <v>3429</v>
      </c>
      <c r="T976" s="1" t="s">
        <v>11</v>
      </c>
      <c r="U976" s="1" t="s">
        <v>1017</v>
      </c>
    </row>
    <row r="977" spans="1:21" x14ac:dyDescent="0.2">
      <c r="A977" s="88" t="s">
        <v>16585</v>
      </c>
      <c r="B977" s="88" t="e">
        <f>VLOOKUP(C977,#REF!,1,0)</f>
        <v>#REF!</v>
      </c>
      <c r="C977" s="1" t="s">
        <v>3430</v>
      </c>
      <c r="D977" s="1" t="s">
        <v>3431</v>
      </c>
      <c r="E977" s="1" t="s">
        <v>9213</v>
      </c>
      <c r="F977" s="1" t="s">
        <v>8957</v>
      </c>
      <c r="G977" t="s">
        <v>9183</v>
      </c>
      <c r="H977" s="1" t="s">
        <v>9252</v>
      </c>
      <c r="I977" s="1" t="s">
        <v>9253</v>
      </c>
      <c r="J977" s="2" t="s">
        <v>21364</v>
      </c>
      <c r="K977" s="1" t="s">
        <v>21903</v>
      </c>
      <c r="L977" s="1" t="s">
        <v>8951</v>
      </c>
      <c r="M977" s="1">
        <v>632</v>
      </c>
      <c r="N977" s="1" t="s">
        <v>8953</v>
      </c>
      <c r="O977" s="1" t="s">
        <v>8989</v>
      </c>
      <c r="P977" s="1" t="s">
        <v>8955</v>
      </c>
      <c r="Q977" s="1" t="s">
        <v>8956</v>
      </c>
      <c r="R977" s="1" t="s">
        <v>8975</v>
      </c>
      <c r="S977" s="1" t="s">
        <v>3432</v>
      </c>
      <c r="T977" s="1" t="s">
        <v>11</v>
      </c>
      <c r="U977" s="1" t="s">
        <v>110</v>
      </c>
    </row>
    <row r="978" spans="1:21" x14ac:dyDescent="0.2">
      <c r="A978" s="88" t="s">
        <v>16587</v>
      </c>
      <c r="B978" s="88" t="e">
        <f>VLOOKUP(C978,#REF!,1,0)</f>
        <v>#REF!</v>
      </c>
      <c r="C978" s="1" t="s">
        <v>3435</v>
      </c>
      <c r="D978" s="1" t="s">
        <v>3436</v>
      </c>
      <c r="E978" s="1" t="s">
        <v>9213</v>
      </c>
      <c r="F978" s="1" t="s">
        <v>8957</v>
      </c>
      <c r="G978" t="s">
        <v>8959</v>
      </c>
      <c r="H978" s="1" t="s">
        <v>13422</v>
      </c>
      <c r="I978" s="1" t="s">
        <v>9155</v>
      </c>
      <c r="J978" s="2" t="s">
        <v>9036</v>
      </c>
      <c r="K978" s="1" t="s">
        <v>9036</v>
      </c>
      <c r="L978" s="1" t="s">
        <v>21600</v>
      </c>
      <c r="M978" s="1">
        <v>36000</v>
      </c>
      <c r="N978" s="1" t="s">
        <v>8953</v>
      </c>
      <c r="O978" s="1" t="s">
        <v>8954</v>
      </c>
      <c r="P978" s="1" t="s">
        <v>8955</v>
      </c>
      <c r="Q978" s="1" t="s">
        <v>8956</v>
      </c>
      <c r="R978" s="1" t="s">
        <v>9103</v>
      </c>
      <c r="S978" s="1" t="s">
        <v>3437</v>
      </c>
      <c r="T978" s="1" t="s">
        <v>4</v>
      </c>
      <c r="U978" s="1" t="s">
        <v>46</v>
      </c>
    </row>
    <row r="979" spans="1:21" x14ac:dyDescent="0.2">
      <c r="A979" s="88" t="s">
        <v>16588</v>
      </c>
      <c r="B979" s="88"/>
      <c r="C979" s="1" t="s">
        <v>3442</v>
      </c>
      <c r="D979" s="1" t="s">
        <v>3443</v>
      </c>
      <c r="E979" s="1" t="e">
        <v>#N/A</v>
      </c>
      <c r="F979" s="1" t="e">
        <v>#N/A</v>
      </c>
      <c r="G979" t="e">
        <v>#N/A</v>
      </c>
      <c r="H979" s="1" t="e">
        <v>#N/A</v>
      </c>
      <c r="I979" s="1" t="e">
        <v>#N/A</v>
      </c>
      <c r="J979" s="2" t="e">
        <v>#N/A</v>
      </c>
      <c r="K979" s="1" t="e">
        <v>#N/A</v>
      </c>
      <c r="L979" s="1" t="e">
        <v>#N/A</v>
      </c>
      <c r="M979" s="1" t="e">
        <v>#N/A</v>
      </c>
      <c r="N979" s="1" t="e">
        <v>#N/A</v>
      </c>
      <c r="O979" s="1" t="e">
        <v>#N/A</v>
      </c>
      <c r="P979" s="1" t="s">
        <v>8955</v>
      </c>
      <c r="Q979" s="1" t="s">
        <v>8956</v>
      </c>
      <c r="R979" s="1" t="s">
        <v>9103</v>
      </c>
      <c r="S979" s="1" t="s">
        <v>19224</v>
      </c>
      <c r="T979" s="1" t="s">
        <v>252</v>
      </c>
      <c r="U979" s="1" t="s">
        <v>184</v>
      </c>
    </row>
    <row r="980" spans="1:21" x14ac:dyDescent="0.2">
      <c r="A980" s="88" t="s">
        <v>16589</v>
      </c>
      <c r="B980" s="88" t="e">
        <f>VLOOKUP(C980,#REF!,1,0)</f>
        <v>#REF!</v>
      </c>
      <c r="C980" s="1" t="s">
        <v>3444</v>
      </c>
      <c r="D980" s="1" t="s">
        <v>3445</v>
      </c>
      <c r="E980" s="1" t="s">
        <v>18502</v>
      </c>
      <c r="F980" s="1" t="s">
        <v>8959</v>
      </c>
      <c r="G980" t="s">
        <v>8959</v>
      </c>
      <c r="H980" s="1" t="s">
        <v>20714</v>
      </c>
      <c r="I980" s="1" t="s">
        <v>9050</v>
      </c>
      <c r="J980" s="2" t="s">
        <v>21365</v>
      </c>
      <c r="K980" s="1" t="s">
        <v>21365</v>
      </c>
      <c r="L980" s="1" t="s">
        <v>21600</v>
      </c>
      <c r="M980" s="1">
        <v>501</v>
      </c>
      <c r="N980" s="1" t="s">
        <v>8953</v>
      </c>
      <c r="O980" s="1" t="s">
        <v>8954</v>
      </c>
      <c r="P980" s="1" t="s">
        <v>8955</v>
      </c>
      <c r="Q980" s="1" t="s">
        <v>8956</v>
      </c>
      <c r="R980" s="1" t="s">
        <v>9103</v>
      </c>
      <c r="S980" s="1" t="s">
        <v>19225</v>
      </c>
      <c r="T980" s="1" t="s">
        <v>7</v>
      </c>
      <c r="U980" s="1" t="s">
        <v>64</v>
      </c>
    </row>
    <row r="981" spans="1:21" x14ac:dyDescent="0.2">
      <c r="A981" s="88" t="s">
        <v>16590</v>
      </c>
      <c r="B981" s="88" t="e">
        <f>VLOOKUP(C981,#REF!,1,0)</f>
        <v>#REF!</v>
      </c>
      <c r="C981" s="1" t="s">
        <v>3446</v>
      </c>
      <c r="D981" s="1" t="s">
        <v>3447</v>
      </c>
      <c r="E981" s="1" t="s">
        <v>18502</v>
      </c>
      <c r="F981" s="1" t="s">
        <v>8959</v>
      </c>
      <c r="G981" t="s">
        <v>8959</v>
      </c>
      <c r="H981" s="1" t="s">
        <v>8984</v>
      </c>
      <c r="I981" s="1" t="s">
        <v>20848</v>
      </c>
      <c r="J981" s="2" t="s">
        <v>21228</v>
      </c>
      <c r="K981" s="1" t="s">
        <v>21228</v>
      </c>
      <c r="L981" s="1" t="s">
        <v>9133</v>
      </c>
      <c r="M981" s="1">
        <v>800</v>
      </c>
      <c r="N981" s="1" t="s">
        <v>8953</v>
      </c>
      <c r="O981" s="1" t="s">
        <v>8989</v>
      </c>
      <c r="P981" s="1" t="s">
        <v>8955</v>
      </c>
      <c r="Q981" s="1" t="s">
        <v>8956</v>
      </c>
      <c r="R981" s="1" t="s">
        <v>8975</v>
      </c>
      <c r="S981" s="1" t="s">
        <v>19226</v>
      </c>
      <c r="T981" s="1" t="s">
        <v>7</v>
      </c>
      <c r="U981" s="1" t="s">
        <v>378</v>
      </c>
    </row>
    <row r="982" spans="1:21" x14ac:dyDescent="0.2">
      <c r="A982" s="88" t="s">
        <v>16591</v>
      </c>
      <c r="B982" s="88" t="e">
        <f>VLOOKUP(C982,#REF!,1,0)</f>
        <v>#REF!</v>
      </c>
      <c r="C982" s="1" t="s">
        <v>3448</v>
      </c>
      <c r="D982" s="1" t="s">
        <v>3449</v>
      </c>
      <c r="E982" s="1" t="s">
        <v>9815</v>
      </c>
      <c r="F982" s="1" t="s">
        <v>8959</v>
      </c>
      <c r="G982" t="s">
        <v>8959</v>
      </c>
      <c r="H982" s="1" t="s">
        <v>9035</v>
      </c>
      <c r="I982" s="1" t="s">
        <v>8998</v>
      </c>
      <c r="J982" s="2" t="s">
        <v>9036</v>
      </c>
      <c r="K982" s="1" t="s">
        <v>9036</v>
      </c>
      <c r="L982" s="1" t="s">
        <v>8987</v>
      </c>
      <c r="M982" s="1">
        <v>598</v>
      </c>
      <c r="N982" s="1" t="s">
        <v>8953</v>
      </c>
      <c r="O982" s="1" t="s">
        <v>8989</v>
      </c>
      <c r="P982" s="1" t="s">
        <v>8955</v>
      </c>
      <c r="Q982" s="1" t="s">
        <v>8956</v>
      </c>
      <c r="R982" s="1" t="s">
        <v>9103</v>
      </c>
      <c r="S982" s="1" t="s">
        <v>3450</v>
      </c>
      <c r="T982" s="1" t="s">
        <v>17</v>
      </c>
      <c r="U982" s="1" t="s">
        <v>3451</v>
      </c>
    </row>
    <row r="983" spans="1:21" x14ac:dyDescent="0.2">
      <c r="A983" s="88" t="s">
        <v>16592</v>
      </c>
      <c r="B983" s="88" t="e">
        <f>VLOOKUP(C983,#REF!,1,0)</f>
        <v>#REF!</v>
      </c>
      <c r="C983" s="1" t="s">
        <v>3455</v>
      </c>
      <c r="D983" s="1" t="s">
        <v>3456</v>
      </c>
      <c r="E983" s="1" t="s">
        <v>9333</v>
      </c>
      <c r="F983" s="1" t="s">
        <v>8957</v>
      </c>
      <c r="G983" t="s">
        <v>9183</v>
      </c>
      <c r="H983" s="1" t="s">
        <v>9075</v>
      </c>
      <c r="I983" s="1" t="s">
        <v>8998</v>
      </c>
      <c r="J983" s="2" t="s">
        <v>9036</v>
      </c>
      <c r="K983" s="1" t="s">
        <v>9036</v>
      </c>
      <c r="L983" s="1" t="s">
        <v>8951</v>
      </c>
      <c r="M983" s="1">
        <v>60</v>
      </c>
      <c r="N983" s="1" t="s">
        <v>9059</v>
      </c>
      <c r="O983" s="1" t="s">
        <v>8954</v>
      </c>
      <c r="P983" s="1" t="s">
        <v>8955</v>
      </c>
      <c r="Q983" s="1" t="s">
        <v>8956</v>
      </c>
      <c r="R983" s="1" t="s">
        <v>8975</v>
      </c>
      <c r="S983" s="1" t="s">
        <v>3457</v>
      </c>
      <c r="T983" s="1" t="s">
        <v>11</v>
      </c>
      <c r="U983" s="1" t="s">
        <v>2183</v>
      </c>
    </row>
    <row r="984" spans="1:21" x14ac:dyDescent="0.2">
      <c r="A984" s="88" t="s">
        <v>16593</v>
      </c>
      <c r="B984" s="88" t="e">
        <f>VLOOKUP(C984,#REF!,1,0)</f>
        <v>#REF!</v>
      </c>
      <c r="C984" s="1" t="s">
        <v>3458</v>
      </c>
      <c r="D984" s="1" t="s">
        <v>3459</v>
      </c>
      <c r="E984" s="1" t="s">
        <v>12526</v>
      </c>
      <c r="F984" s="1" t="s">
        <v>8957</v>
      </c>
      <c r="G984" t="s">
        <v>9009</v>
      </c>
      <c r="H984" s="1" t="s">
        <v>9252</v>
      </c>
      <c r="I984" s="1" t="s">
        <v>9253</v>
      </c>
      <c r="J984" s="2" t="s">
        <v>21201</v>
      </c>
      <c r="K984" s="1" t="s">
        <v>21201</v>
      </c>
      <c r="L984" s="1" t="s">
        <v>21600</v>
      </c>
      <c r="M984" s="1">
        <v>2737</v>
      </c>
      <c r="N984" s="1" t="s">
        <v>8953</v>
      </c>
      <c r="O984" s="1" t="s">
        <v>8954</v>
      </c>
      <c r="P984" s="1" t="s">
        <v>8955</v>
      </c>
      <c r="Q984" s="1" t="s">
        <v>8956</v>
      </c>
      <c r="R984" s="1" t="s">
        <v>8975</v>
      </c>
      <c r="S984" s="1" t="s">
        <v>3460</v>
      </c>
      <c r="T984" s="1" t="s">
        <v>242</v>
      </c>
      <c r="U984" s="1" t="s">
        <v>61</v>
      </c>
    </row>
    <row r="985" spans="1:21" x14ac:dyDescent="0.2">
      <c r="A985" s="88" t="s">
        <v>16595</v>
      </c>
      <c r="B985" s="88" t="e">
        <f>VLOOKUP(C985,#REF!,1,0)</f>
        <v>#REF!</v>
      </c>
      <c r="C985" s="1" t="s">
        <v>3466</v>
      </c>
      <c r="D985" s="1" t="s">
        <v>3467</v>
      </c>
      <c r="E985" s="1" t="s">
        <v>9010</v>
      </c>
      <c r="F985" s="1" t="s">
        <v>8957</v>
      </c>
      <c r="G985" t="s">
        <v>9061</v>
      </c>
      <c r="H985" s="1" t="s">
        <v>8948</v>
      </c>
      <c r="I985" s="1" t="s">
        <v>8949</v>
      </c>
      <c r="J985" s="2" t="s">
        <v>9036</v>
      </c>
      <c r="K985" s="1" t="s">
        <v>9036</v>
      </c>
      <c r="L985" s="1" t="s">
        <v>8951</v>
      </c>
      <c r="M985" s="1">
        <v>351</v>
      </c>
      <c r="N985" s="1" t="s">
        <v>8953</v>
      </c>
      <c r="O985" s="1" t="s">
        <v>8989</v>
      </c>
      <c r="P985" s="1" t="s">
        <v>8955</v>
      </c>
      <c r="Q985" s="1" t="s">
        <v>8956</v>
      </c>
      <c r="R985" s="1" t="s">
        <v>8958</v>
      </c>
      <c r="S985" s="1" t="s">
        <v>3468</v>
      </c>
      <c r="T985" s="1" t="s">
        <v>7</v>
      </c>
      <c r="U985" s="1" t="s">
        <v>61</v>
      </c>
    </row>
    <row r="986" spans="1:21" x14ac:dyDescent="0.2">
      <c r="A986" s="88" t="s">
        <v>16596</v>
      </c>
      <c r="B986" s="88" t="e">
        <f>VLOOKUP(C986,#REF!,1,0)</f>
        <v>#REF!</v>
      </c>
      <c r="C986" s="1" t="s">
        <v>3469</v>
      </c>
      <c r="D986" s="1" t="s">
        <v>3470</v>
      </c>
      <c r="E986" s="1" t="s">
        <v>9010</v>
      </c>
      <c r="F986" s="1" t="s">
        <v>8957</v>
      </c>
      <c r="G986" t="s">
        <v>9061</v>
      </c>
      <c r="H986" s="1" t="s">
        <v>8948</v>
      </c>
      <c r="I986" s="1" t="s">
        <v>8949</v>
      </c>
      <c r="J986" s="2" t="s">
        <v>9036</v>
      </c>
      <c r="K986" s="1" t="s">
        <v>9036</v>
      </c>
      <c r="L986" s="1" t="s">
        <v>9133</v>
      </c>
      <c r="M986" s="1">
        <v>351</v>
      </c>
      <c r="N986" s="1" t="s">
        <v>8953</v>
      </c>
      <c r="O986" s="1" t="s">
        <v>8954</v>
      </c>
      <c r="P986" s="1" t="s">
        <v>8955</v>
      </c>
      <c r="Q986" s="1" t="s">
        <v>8956</v>
      </c>
      <c r="R986" s="1" t="s">
        <v>9103</v>
      </c>
      <c r="S986" s="1" t="s">
        <v>3471</v>
      </c>
      <c r="T986" s="1" t="s">
        <v>11</v>
      </c>
      <c r="U986" s="1" t="s">
        <v>921</v>
      </c>
    </row>
    <row r="987" spans="1:21" x14ac:dyDescent="0.2">
      <c r="A987" s="88" t="s">
        <v>16597</v>
      </c>
      <c r="B987" s="88" t="e">
        <f>VLOOKUP(C987,#REF!,1,0)</f>
        <v>#REF!</v>
      </c>
      <c r="C987" s="1" t="s">
        <v>3472</v>
      </c>
      <c r="D987" s="1" t="s">
        <v>3473</v>
      </c>
      <c r="E987" s="1" t="s">
        <v>18502</v>
      </c>
      <c r="F987" s="1" t="s">
        <v>8959</v>
      </c>
      <c r="G987" t="s">
        <v>8959</v>
      </c>
      <c r="H987" s="1" t="s">
        <v>9100</v>
      </c>
      <c r="I987" s="1" t="s">
        <v>8949</v>
      </c>
      <c r="J987" s="2" t="s">
        <v>20804</v>
      </c>
      <c r="K987" s="1" t="s">
        <v>9413</v>
      </c>
      <c r="L987" s="1" t="s">
        <v>9133</v>
      </c>
      <c r="M987" s="1">
        <v>176</v>
      </c>
      <c r="N987" s="1" t="s">
        <v>9059</v>
      </c>
      <c r="O987" s="1" t="s">
        <v>8989</v>
      </c>
      <c r="P987" s="1" t="s">
        <v>8955</v>
      </c>
      <c r="Q987" s="1" t="s">
        <v>8956</v>
      </c>
      <c r="R987" s="1" t="s">
        <v>8958</v>
      </c>
      <c r="S987" s="1" t="s">
        <v>19228</v>
      </c>
      <c r="T987" s="1" t="s">
        <v>7</v>
      </c>
      <c r="U987" s="1" t="s">
        <v>46</v>
      </c>
    </row>
    <row r="988" spans="1:21" x14ac:dyDescent="0.2">
      <c r="A988" s="88" t="s">
        <v>16598</v>
      </c>
      <c r="B988" s="88" t="e">
        <f>VLOOKUP(C988,#REF!,1,0)</f>
        <v>#REF!</v>
      </c>
      <c r="C988" s="1" t="s">
        <v>3474</v>
      </c>
      <c r="D988" s="1" t="s">
        <v>3475</v>
      </c>
      <c r="E988" s="1" t="s">
        <v>9333</v>
      </c>
      <c r="F988" s="1" t="s">
        <v>9060</v>
      </c>
      <c r="G988" t="s">
        <v>9009</v>
      </c>
      <c r="H988" s="1" t="s">
        <v>9605</v>
      </c>
      <c r="I988" s="1" t="s">
        <v>9121</v>
      </c>
      <c r="J988" s="2" t="s">
        <v>9036</v>
      </c>
      <c r="K988" s="1" t="s">
        <v>9036</v>
      </c>
      <c r="L988" s="1" t="s">
        <v>8987</v>
      </c>
      <c r="M988" s="1">
        <v>103019</v>
      </c>
      <c r="N988" s="1" t="s">
        <v>8953</v>
      </c>
      <c r="O988" s="1" t="s">
        <v>8989</v>
      </c>
      <c r="P988" s="1" t="s">
        <v>8955</v>
      </c>
      <c r="Q988" s="1" t="s">
        <v>8956</v>
      </c>
      <c r="R988" s="1" t="s">
        <v>8975</v>
      </c>
      <c r="S988" s="1" t="s">
        <v>3476</v>
      </c>
      <c r="T988" s="1" t="s">
        <v>4</v>
      </c>
      <c r="U988" s="1" t="s">
        <v>24</v>
      </c>
    </row>
    <row r="989" spans="1:21" x14ac:dyDescent="0.2">
      <c r="A989" s="88" t="s">
        <v>16599</v>
      </c>
      <c r="B989" s="88" t="e">
        <f>VLOOKUP(C989,#REF!,1,0)</f>
        <v>#REF!</v>
      </c>
      <c r="C989" s="1" t="s">
        <v>3477</v>
      </c>
      <c r="D989" s="1" t="s">
        <v>3478</v>
      </c>
      <c r="E989" s="1" t="s">
        <v>9333</v>
      </c>
      <c r="F989" s="1" t="s">
        <v>8959</v>
      </c>
      <c r="G989" t="s">
        <v>8959</v>
      </c>
      <c r="H989" s="1" t="s">
        <v>20714</v>
      </c>
      <c r="I989" s="1" t="s">
        <v>20725</v>
      </c>
      <c r="J989" s="2" t="s">
        <v>18497</v>
      </c>
      <c r="K989" s="1" t="s">
        <v>18497</v>
      </c>
      <c r="L989" s="1" t="s">
        <v>9133</v>
      </c>
      <c r="M989" s="1">
        <v>543</v>
      </c>
      <c r="N989" s="1" t="s">
        <v>9059</v>
      </c>
      <c r="O989" s="1" t="s">
        <v>8989</v>
      </c>
      <c r="P989" s="1" t="s">
        <v>8955</v>
      </c>
      <c r="Q989" s="1" t="s">
        <v>8956</v>
      </c>
      <c r="R989" s="1" t="s">
        <v>8975</v>
      </c>
      <c r="S989" s="1" t="s">
        <v>19229</v>
      </c>
      <c r="T989" s="1" t="s">
        <v>17</v>
      </c>
      <c r="U989" s="1" t="s">
        <v>1915</v>
      </c>
    </row>
    <row r="990" spans="1:21" x14ac:dyDescent="0.2">
      <c r="A990" s="88" t="s">
        <v>16601</v>
      </c>
      <c r="B990" s="88" t="e">
        <f>VLOOKUP(C990,#REF!,1,0)</f>
        <v>#REF!</v>
      </c>
      <c r="C990" s="1" t="s">
        <v>3488</v>
      </c>
      <c r="D990" s="1" t="s">
        <v>3489</v>
      </c>
      <c r="E990" s="1" t="s">
        <v>18502</v>
      </c>
      <c r="F990" s="1" t="s">
        <v>8957</v>
      </c>
      <c r="G990" t="s">
        <v>9061</v>
      </c>
      <c r="H990" s="1" t="s">
        <v>8984</v>
      </c>
      <c r="I990" s="1" t="s">
        <v>9131</v>
      </c>
      <c r="J990" s="2" t="s">
        <v>21423</v>
      </c>
      <c r="K990" s="1" t="s">
        <v>21423</v>
      </c>
      <c r="L990" s="1" t="s">
        <v>21600</v>
      </c>
      <c r="M990" s="1">
        <v>3000</v>
      </c>
      <c r="N990" s="1" t="s">
        <v>8953</v>
      </c>
      <c r="O990" s="1" t="s">
        <v>8954</v>
      </c>
      <c r="P990" s="1" t="s">
        <v>8955</v>
      </c>
      <c r="Q990" s="1" t="s">
        <v>8956</v>
      </c>
      <c r="R990" s="1" t="s">
        <v>9103</v>
      </c>
      <c r="S990" s="1" t="s">
        <v>19231</v>
      </c>
      <c r="T990" s="1" t="s">
        <v>17</v>
      </c>
      <c r="U990" s="1" t="s">
        <v>46</v>
      </c>
    </row>
    <row r="991" spans="1:21" x14ac:dyDescent="0.2">
      <c r="A991" s="88" t="s">
        <v>16602</v>
      </c>
      <c r="B991" s="88" t="e">
        <f>VLOOKUP(C991,#REF!,1,0)</f>
        <v>#REF!</v>
      </c>
      <c r="C991" s="1" t="s">
        <v>3490</v>
      </c>
      <c r="D991" s="1" t="s">
        <v>3491</v>
      </c>
      <c r="E991" s="1" t="s">
        <v>18502</v>
      </c>
      <c r="F991" s="1" t="s">
        <v>8957</v>
      </c>
      <c r="G991" t="s">
        <v>8959</v>
      </c>
      <c r="H991" s="1" t="s">
        <v>9605</v>
      </c>
      <c r="I991" s="1" t="s">
        <v>8959</v>
      </c>
      <c r="J991" s="2" t="s">
        <v>20850</v>
      </c>
      <c r="K991" s="1" t="s">
        <v>20762</v>
      </c>
      <c r="L991" s="1" t="s">
        <v>8987</v>
      </c>
      <c r="M991" s="1">
        <v>5009</v>
      </c>
      <c r="N991" s="1" t="s">
        <v>8953</v>
      </c>
      <c r="O991" s="1" t="s">
        <v>8989</v>
      </c>
      <c r="P991" s="1" t="s">
        <v>8955</v>
      </c>
      <c r="Q991" s="1" t="s">
        <v>8956</v>
      </c>
      <c r="R991" s="1" t="s">
        <v>8975</v>
      </c>
      <c r="S991" s="1" t="s">
        <v>20617</v>
      </c>
      <c r="T991" s="1" t="s">
        <v>17</v>
      </c>
      <c r="U991" s="1" t="s">
        <v>3492</v>
      </c>
    </row>
    <row r="992" spans="1:21" x14ac:dyDescent="0.2">
      <c r="A992" s="88" t="s">
        <v>16603</v>
      </c>
      <c r="B992" s="88"/>
      <c r="C992" s="1" t="s">
        <v>3493</v>
      </c>
      <c r="D992" s="1" t="s">
        <v>3494</v>
      </c>
      <c r="E992" s="1" t="e">
        <v>#N/A</v>
      </c>
      <c r="F992" s="1" t="e">
        <v>#N/A</v>
      </c>
      <c r="G992" t="e">
        <v>#N/A</v>
      </c>
      <c r="H992" s="1" t="e">
        <v>#N/A</v>
      </c>
      <c r="I992" s="1" t="e">
        <v>#N/A</v>
      </c>
      <c r="J992" s="2" t="e">
        <v>#N/A</v>
      </c>
      <c r="K992" s="1" t="e">
        <v>#N/A</v>
      </c>
      <c r="L992" s="1" t="e">
        <v>#N/A</v>
      </c>
      <c r="M992" s="1" t="e">
        <v>#N/A</v>
      </c>
      <c r="N992" s="1" t="e">
        <v>#N/A</v>
      </c>
      <c r="O992" s="1" t="e">
        <v>#N/A</v>
      </c>
      <c r="P992" s="1" t="s">
        <v>8955</v>
      </c>
      <c r="Q992" s="1" t="s">
        <v>8956</v>
      </c>
      <c r="R992" s="1" t="s">
        <v>9103</v>
      </c>
      <c r="S992" s="1" t="s">
        <v>20618</v>
      </c>
      <c r="T992" s="1" t="s">
        <v>252</v>
      </c>
      <c r="U992" s="1" t="s">
        <v>61</v>
      </c>
    </row>
    <row r="993" spans="1:21" x14ac:dyDescent="0.2">
      <c r="A993" s="88" t="s">
        <v>16604</v>
      </c>
      <c r="B993" s="88"/>
      <c r="C993" s="1" t="s">
        <v>3495</v>
      </c>
      <c r="D993" s="1" t="s">
        <v>3496</v>
      </c>
      <c r="E993" s="1" t="e">
        <v>#N/A</v>
      </c>
      <c r="F993" s="1" t="e">
        <v>#N/A</v>
      </c>
      <c r="G993" t="e">
        <v>#N/A</v>
      </c>
      <c r="H993" s="1" t="e">
        <v>#N/A</v>
      </c>
      <c r="I993" s="1" t="e">
        <v>#N/A</v>
      </c>
      <c r="J993" s="2" t="e">
        <v>#N/A</v>
      </c>
      <c r="K993" s="1" t="e">
        <v>#N/A</v>
      </c>
      <c r="L993" s="1" t="e">
        <v>#N/A</v>
      </c>
      <c r="M993" s="1" t="e">
        <v>#N/A</v>
      </c>
      <c r="N993" s="1" t="e">
        <v>#N/A</v>
      </c>
      <c r="O993" s="1" t="e">
        <v>#N/A</v>
      </c>
      <c r="P993" s="1" t="s">
        <v>8955</v>
      </c>
      <c r="Q993" s="1" t="s">
        <v>8956</v>
      </c>
      <c r="R993" s="1" t="s">
        <v>8958</v>
      </c>
      <c r="S993" s="1" t="s">
        <v>20619</v>
      </c>
      <c r="T993" s="1" t="s">
        <v>252</v>
      </c>
      <c r="U993" s="1" t="s">
        <v>3497</v>
      </c>
    </row>
    <row r="994" spans="1:21" x14ac:dyDescent="0.2">
      <c r="A994" s="88" t="s">
        <v>16605</v>
      </c>
      <c r="B994" s="88" t="e">
        <f>VLOOKUP(C994,#REF!,1,0)</f>
        <v>#REF!</v>
      </c>
      <c r="C994" s="1" t="s">
        <v>3498</v>
      </c>
      <c r="D994" s="1" t="s">
        <v>3499</v>
      </c>
      <c r="E994" s="1" t="s">
        <v>9213</v>
      </c>
      <c r="F994" s="1" t="s">
        <v>8957</v>
      </c>
      <c r="G994" t="s">
        <v>8959</v>
      </c>
      <c r="H994" s="1" t="s">
        <v>9092</v>
      </c>
      <c r="I994" s="1" t="s">
        <v>8998</v>
      </c>
      <c r="J994" s="2" t="s">
        <v>9679</v>
      </c>
      <c r="K994" s="1" t="s">
        <v>21783</v>
      </c>
      <c r="L994" s="1" t="s">
        <v>9464</v>
      </c>
      <c r="M994" s="1">
        <v>3236</v>
      </c>
      <c r="N994" s="1" t="s">
        <v>8953</v>
      </c>
      <c r="O994" s="1" t="s">
        <v>8989</v>
      </c>
      <c r="P994" s="1" t="s">
        <v>8955</v>
      </c>
      <c r="Q994" s="1" t="s">
        <v>8956</v>
      </c>
      <c r="R994" s="1" t="s">
        <v>8958</v>
      </c>
      <c r="S994" s="1" t="s">
        <v>3500</v>
      </c>
      <c r="T994" s="1" t="s">
        <v>11</v>
      </c>
      <c r="U994" s="1" t="s">
        <v>61</v>
      </c>
    </row>
    <row r="995" spans="1:21" x14ac:dyDescent="0.2">
      <c r="A995" s="88" t="s">
        <v>16606</v>
      </c>
      <c r="B995" s="88" t="e">
        <f>VLOOKUP(C995,#REF!,1,0)</f>
        <v>#REF!</v>
      </c>
      <c r="C995" s="1" t="s">
        <v>3501</v>
      </c>
      <c r="D995" s="1" t="s">
        <v>3502</v>
      </c>
      <c r="E995" s="1" t="s">
        <v>9213</v>
      </c>
      <c r="F995" s="1" t="s">
        <v>8957</v>
      </c>
      <c r="G995" t="s">
        <v>8959</v>
      </c>
      <c r="H995" s="1" t="s">
        <v>9154</v>
      </c>
      <c r="I995" s="1" t="s">
        <v>8998</v>
      </c>
      <c r="J995" s="2" t="s">
        <v>9051</v>
      </c>
      <c r="K995" s="1" t="s">
        <v>9051</v>
      </c>
      <c r="L995" s="1" t="s">
        <v>9464</v>
      </c>
      <c r="M995" s="1">
        <v>100</v>
      </c>
      <c r="N995" s="1" t="s">
        <v>8953</v>
      </c>
      <c r="O995" s="1" t="s">
        <v>8954</v>
      </c>
      <c r="P995" s="1" t="s">
        <v>8955</v>
      </c>
      <c r="Q995" s="1" t="s">
        <v>8956</v>
      </c>
      <c r="R995" s="1" t="s">
        <v>8958</v>
      </c>
      <c r="S995" s="1" t="s">
        <v>3503</v>
      </c>
      <c r="T995" s="1" t="s">
        <v>17</v>
      </c>
      <c r="U995" s="1" t="s">
        <v>93</v>
      </c>
    </row>
    <row r="996" spans="1:21" x14ac:dyDescent="0.2">
      <c r="A996" s="88" t="s">
        <v>16607</v>
      </c>
      <c r="B996" s="88" t="e">
        <f>VLOOKUP(C996,#REF!,1,0)</f>
        <v>#REF!</v>
      </c>
      <c r="C996" s="1" t="s">
        <v>3504</v>
      </c>
      <c r="D996" s="1" t="s">
        <v>3505</v>
      </c>
      <c r="E996" s="1" t="s">
        <v>9213</v>
      </c>
      <c r="F996" s="1" t="s">
        <v>8957</v>
      </c>
      <c r="G996" t="s">
        <v>9009</v>
      </c>
      <c r="H996" s="1" t="s">
        <v>9100</v>
      </c>
      <c r="I996" s="1" t="s">
        <v>8998</v>
      </c>
      <c r="J996" s="2" t="s">
        <v>9658</v>
      </c>
      <c r="K996" s="1" t="s">
        <v>21771</v>
      </c>
      <c r="L996" s="1" t="s">
        <v>9076</v>
      </c>
      <c r="M996" s="1">
        <v>20</v>
      </c>
      <c r="N996" s="1" t="s">
        <v>9059</v>
      </c>
      <c r="O996" s="1" t="s">
        <v>8989</v>
      </c>
      <c r="P996" s="1" t="s">
        <v>8955</v>
      </c>
      <c r="Q996" s="1" t="s">
        <v>8956</v>
      </c>
      <c r="R996" s="1" t="s">
        <v>9103</v>
      </c>
      <c r="S996" s="1" t="s">
        <v>3506</v>
      </c>
      <c r="T996" s="1" t="s">
        <v>4</v>
      </c>
      <c r="U996" s="1" t="s">
        <v>93</v>
      </c>
    </row>
    <row r="997" spans="1:21" x14ac:dyDescent="0.2">
      <c r="A997" s="88" t="s">
        <v>20851</v>
      </c>
      <c r="B997" s="88" t="e">
        <f>VLOOKUP(C997,#REF!,1,0)</f>
        <v>#REF!</v>
      </c>
      <c r="C997" s="1" t="s">
        <v>3507</v>
      </c>
      <c r="D997" s="1" t="s">
        <v>3508</v>
      </c>
      <c r="E997" s="1" t="s">
        <v>18502</v>
      </c>
      <c r="F997" s="1" t="s">
        <v>8957</v>
      </c>
      <c r="G997" t="s">
        <v>8959</v>
      </c>
      <c r="H997" s="1" t="s">
        <v>9605</v>
      </c>
      <c r="I997" s="1" t="s">
        <v>9101</v>
      </c>
      <c r="J997" s="2" t="s">
        <v>20852</v>
      </c>
      <c r="K997" s="1" t="s">
        <v>21462</v>
      </c>
      <c r="L997" s="1" t="s">
        <v>9292</v>
      </c>
      <c r="M997" s="1">
        <v>100000</v>
      </c>
      <c r="N997" s="1" t="s">
        <v>8953</v>
      </c>
      <c r="O997" s="1" t="s">
        <v>8989</v>
      </c>
      <c r="P997" s="1" t="s">
        <v>8955</v>
      </c>
      <c r="Q997" s="1" t="s">
        <v>8956</v>
      </c>
      <c r="R997" s="1" t="s">
        <v>9103</v>
      </c>
      <c r="S997" s="1" t="s">
        <v>19232</v>
      </c>
      <c r="T997" s="1" t="s">
        <v>7</v>
      </c>
      <c r="U997" s="1" t="s">
        <v>3509</v>
      </c>
    </row>
    <row r="998" spans="1:21" x14ac:dyDescent="0.2">
      <c r="A998" s="88" t="s">
        <v>3510</v>
      </c>
      <c r="B998" s="88" t="e">
        <f>VLOOKUP(C998,#REF!,1,0)</f>
        <v>#REF!</v>
      </c>
      <c r="C998" s="1" t="s">
        <v>3511</v>
      </c>
      <c r="D998" s="1" t="s">
        <v>3512</v>
      </c>
      <c r="E998" s="1" t="s">
        <v>9213</v>
      </c>
      <c r="F998" s="1" t="s">
        <v>8957</v>
      </c>
      <c r="G998" t="s">
        <v>8959</v>
      </c>
      <c r="H998" s="1" t="s">
        <v>9100</v>
      </c>
      <c r="I998" s="1" t="s">
        <v>9725</v>
      </c>
      <c r="J998" s="2" t="s">
        <v>21415</v>
      </c>
      <c r="K998" s="1" t="s">
        <v>21415</v>
      </c>
      <c r="L998" s="1" t="s">
        <v>9076</v>
      </c>
      <c r="M998" s="1">
        <v>685100</v>
      </c>
      <c r="N998" s="1" t="s">
        <v>8953</v>
      </c>
      <c r="O998" s="1" t="s">
        <v>8989</v>
      </c>
      <c r="P998" s="1" t="s">
        <v>8955</v>
      </c>
      <c r="Q998" s="1" t="s">
        <v>8956</v>
      </c>
      <c r="R998" s="1" t="s">
        <v>8975</v>
      </c>
      <c r="S998" s="1" t="s">
        <v>19233</v>
      </c>
      <c r="T998" s="1" t="s">
        <v>11</v>
      </c>
      <c r="U998" s="1" t="s">
        <v>2988</v>
      </c>
    </row>
    <row r="999" spans="1:21" x14ac:dyDescent="0.2">
      <c r="A999" s="88" t="s">
        <v>16608</v>
      </c>
      <c r="B999" s="88" t="e">
        <f>VLOOKUP(C999,#REF!,1,0)</f>
        <v>#REF!</v>
      </c>
      <c r="C999" s="1" t="s">
        <v>3513</v>
      </c>
      <c r="D999" s="1" t="s">
        <v>3514</v>
      </c>
      <c r="E999" s="1" t="s">
        <v>9010</v>
      </c>
      <c r="F999" s="1" t="s">
        <v>8959</v>
      </c>
      <c r="G999" t="s">
        <v>9183</v>
      </c>
      <c r="H999" s="1" t="s">
        <v>8948</v>
      </c>
      <c r="I999" s="1" t="s">
        <v>8998</v>
      </c>
      <c r="J999" s="2" t="s">
        <v>9036</v>
      </c>
      <c r="K999" s="1" t="s">
        <v>9036</v>
      </c>
      <c r="L999" s="1" t="s">
        <v>9292</v>
      </c>
      <c r="M999" s="1">
        <v>2875</v>
      </c>
      <c r="N999" s="1" t="s">
        <v>8953</v>
      </c>
      <c r="O999" s="1" t="s">
        <v>8989</v>
      </c>
      <c r="P999" s="1" t="s">
        <v>8955</v>
      </c>
      <c r="Q999" s="1" t="s">
        <v>8956</v>
      </c>
      <c r="R999" s="1" t="s">
        <v>8975</v>
      </c>
      <c r="S999" s="1" t="s">
        <v>3515</v>
      </c>
      <c r="T999" s="1" t="s">
        <v>11</v>
      </c>
      <c r="U999" s="1" t="s">
        <v>24</v>
      </c>
    </row>
    <row r="1000" spans="1:21" x14ac:dyDescent="0.2">
      <c r="A1000" s="88" t="s">
        <v>16609</v>
      </c>
      <c r="B1000" s="88" t="e">
        <f>VLOOKUP(C1000,#REF!,1,0)</f>
        <v>#REF!</v>
      </c>
      <c r="C1000" s="1" t="s">
        <v>3516</v>
      </c>
      <c r="D1000" s="1" t="s">
        <v>3517</v>
      </c>
      <c r="E1000" s="1" t="s">
        <v>18502</v>
      </c>
      <c r="F1000" s="1" t="s">
        <v>8957</v>
      </c>
      <c r="G1000" t="s">
        <v>9061</v>
      </c>
      <c r="H1000" s="1" t="s">
        <v>8948</v>
      </c>
      <c r="I1000" s="1" t="s">
        <v>8998</v>
      </c>
      <c r="J1000" s="2" t="s">
        <v>20779</v>
      </c>
      <c r="K1000" s="1" t="s">
        <v>9036</v>
      </c>
      <c r="L1000" s="1" t="s">
        <v>9292</v>
      </c>
      <c r="M1000" s="1">
        <v>2945</v>
      </c>
      <c r="N1000" s="1" t="s">
        <v>8953</v>
      </c>
      <c r="O1000" s="1" t="s">
        <v>8954</v>
      </c>
      <c r="P1000" s="1" t="s">
        <v>8955</v>
      </c>
      <c r="Q1000" s="1" t="s">
        <v>8956</v>
      </c>
      <c r="R1000" s="1" t="s">
        <v>8975</v>
      </c>
      <c r="S1000" s="1" t="s">
        <v>19234</v>
      </c>
      <c r="T1000" s="1" t="s">
        <v>7</v>
      </c>
      <c r="U1000" s="1" t="s">
        <v>3518</v>
      </c>
    </row>
    <row r="1001" spans="1:21" x14ac:dyDescent="0.2">
      <c r="A1001" s="88" t="s">
        <v>16610</v>
      </c>
      <c r="B1001" s="88" t="e">
        <f>VLOOKUP(C1001,#REF!,1,0)</f>
        <v>#REF!</v>
      </c>
      <c r="C1001" s="1" t="s">
        <v>3519</v>
      </c>
      <c r="D1001" s="1" t="s">
        <v>3520</v>
      </c>
      <c r="E1001" s="1" t="s">
        <v>18502</v>
      </c>
      <c r="F1001" s="1" t="s">
        <v>8959</v>
      </c>
      <c r="G1001" t="s">
        <v>8959</v>
      </c>
      <c r="H1001" s="1" t="s">
        <v>20712</v>
      </c>
      <c r="I1001" s="1" t="s">
        <v>9725</v>
      </c>
      <c r="J1001" s="2" t="s">
        <v>20779</v>
      </c>
      <c r="K1001" s="1" t="s">
        <v>9036</v>
      </c>
      <c r="L1001" s="1" t="s">
        <v>9464</v>
      </c>
      <c r="M1001" s="1">
        <v>875</v>
      </c>
      <c r="N1001" s="1" t="s">
        <v>8953</v>
      </c>
      <c r="O1001" s="1" t="s">
        <v>8989</v>
      </c>
      <c r="P1001" s="1" t="s">
        <v>8955</v>
      </c>
      <c r="Q1001" s="1" t="s">
        <v>8956</v>
      </c>
      <c r="R1001" s="1" t="s">
        <v>9103</v>
      </c>
      <c r="S1001" s="1" t="s">
        <v>19235</v>
      </c>
      <c r="T1001" s="1" t="s">
        <v>17</v>
      </c>
      <c r="U1001" s="1" t="s">
        <v>87</v>
      </c>
    </row>
    <row r="1002" spans="1:21" x14ac:dyDescent="0.2">
      <c r="A1002" s="88" t="s">
        <v>16611</v>
      </c>
      <c r="B1002" s="88" t="e">
        <f>VLOOKUP(C1002,#REF!,1,0)</f>
        <v>#REF!</v>
      </c>
      <c r="C1002" s="1" t="s">
        <v>3521</v>
      </c>
      <c r="D1002" s="1" t="s">
        <v>3522</v>
      </c>
      <c r="E1002" s="1" t="s">
        <v>18502</v>
      </c>
      <c r="F1002" s="1" t="s">
        <v>8957</v>
      </c>
      <c r="G1002" t="s">
        <v>8959</v>
      </c>
      <c r="H1002" s="1" t="s">
        <v>9154</v>
      </c>
      <c r="I1002" s="1" t="s">
        <v>8971</v>
      </c>
      <c r="J1002" s="2" t="s">
        <v>20838</v>
      </c>
      <c r="K1002" s="1" t="s">
        <v>20755</v>
      </c>
      <c r="L1002" s="1" t="s">
        <v>9292</v>
      </c>
      <c r="M1002" s="1">
        <v>162</v>
      </c>
      <c r="N1002" s="1" t="s">
        <v>9059</v>
      </c>
      <c r="O1002" s="1" t="s">
        <v>8954</v>
      </c>
      <c r="P1002" s="1" t="s">
        <v>8955</v>
      </c>
      <c r="Q1002" s="1" t="s">
        <v>8956</v>
      </c>
      <c r="R1002" s="1" t="s">
        <v>8958</v>
      </c>
      <c r="S1002" s="1" t="s">
        <v>20620</v>
      </c>
      <c r="T1002" s="1" t="s">
        <v>7</v>
      </c>
      <c r="U1002" s="1" t="s">
        <v>3523</v>
      </c>
    </row>
    <row r="1003" spans="1:21" x14ac:dyDescent="0.2">
      <c r="A1003" s="88" t="s">
        <v>16612</v>
      </c>
      <c r="B1003" s="88" t="e">
        <f>VLOOKUP(C1003,#REF!,1,0)</f>
        <v>#REF!</v>
      </c>
      <c r="C1003" s="1" t="s">
        <v>3524</v>
      </c>
      <c r="D1003" s="1" t="s">
        <v>3525</v>
      </c>
      <c r="E1003" s="1" t="s">
        <v>10873</v>
      </c>
      <c r="F1003" s="1" t="s">
        <v>8957</v>
      </c>
      <c r="G1003" t="s">
        <v>8959</v>
      </c>
      <c r="H1003" s="1" t="s">
        <v>9605</v>
      </c>
      <c r="I1003" s="1" t="s">
        <v>9101</v>
      </c>
      <c r="J1003" s="2" t="s">
        <v>21525</v>
      </c>
      <c r="K1003" s="1" t="s">
        <v>21525</v>
      </c>
      <c r="L1003" s="1" t="s">
        <v>21600</v>
      </c>
      <c r="M1003" s="1">
        <v>517</v>
      </c>
      <c r="N1003" s="1" t="s">
        <v>8953</v>
      </c>
      <c r="O1003" s="1" t="s">
        <v>8989</v>
      </c>
      <c r="P1003" s="1" t="s">
        <v>8955</v>
      </c>
      <c r="Q1003" s="1" t="s">
        <v>8956</v>
      </c>
      <c r="R1003" s="1" t="s">
        <v>8958</v>
      </c>
      <c r="S1003" s="1" t="s">
        <v>19236</v>
      </c>
      <c r="T1003" s="1" t="s">
        <v>7</v>
      </c>
      <c r="U1003" s="1" t="s">
        <v>110</v>
      </c>
    </row>
    <row r="1004" spans="1:21" x14ac:dyDescent="0.2">
      <c r="A1004" s="88" t="s">
        <v>16613</v>
      </c>
      <c r="B1004" s="88" t="e">
        <f>VLOOKUP(C1004,#REF!,1,0)</f>
        <v>#REF!</v>
      </c>
      <c r="C1004" s="1" t="s">
        <v>3526</v>
      </c>
      <c r="D1004" s="1" t="s">
        <v>3527</v>
      </c>
      <c r="E1004" s="1" t="s">
        <v>10873</v>
      </c>
      <c r="F1004" s="1" t="s">
        <v>8957</v>
      </c>
      <c r="G1004" t="s">
        <v>8959</v>
      </c>
      <c r="H1004" s="1" t="s">
        <v>9035</v>
      </c>
      <c r="I1004" s="1" t="s">
        <v>9308</v>
      </c>
      <c r="J1004" s="2" t="s">
        <v>21366</v>
      </c>
      <c r="K1004" s="1" t="s">
        <v>21366</v>
      </c>
      <c r="L1004" s="1" t="s">
        <v>8951</v>
      </c>
      <c r="M1004" s="1">
        <v>1255</v>
      </c>
      <c r="N1004" s="1" t="s">
        <v>8953</v>
      </c>
      <c r="O1004" s="1" t="s">
        <v>8954</v>
      </c>
      <c r="P1004" s="1" t="s">
        <v>8955</v>
      </c>
      <c r="Q1004" s="1" t="s">
        <v>8956</v>
      </c>
      <c r="R1004" s="1" t="s">
        <v>9103</v>
      </c>
      <c r="S1004" s="1" t="s">
        <v>19237</v>
      </c>
      <c r="T1004" s="1" t="s">
        <v>7</v>
      </c>
      <c r="U1004" s="1" t="s">
        <v>74</v>
      </c>
    </row>
    <row r="1005" spans="1:21" x14ac:dyDescent="0.2">
      <c r="A1005" s="88" t="s">
        <v>16615</v>
      </c>
      <c r="B1005" s="88" t="e">
        <f>VLOOKUP(C1005,#REF!,1,0)</f>
        <v>#REF!</v>
      </c>
      <c r="C1005" s="1" t="s">
        <v>3531</v>
      </c>
      <c r="D1005" s="1" t="s">
        <v>3532</v>
      </c>
      <c r="E1005" s="1" t="s">
        <v>18502</v>
      </c>
      <c r="F1005" s="1" t="s">
        <v>8957</v>
      </c>
      <c r="G1005" t="s">
        <v>8959</v>
      </c>
      <c r="H1005" s="1" t="s">
        <v>9605</v>
      </c>
      <c r="I1005" s="1" t="s">
        <v>9101</v>
      </c>
      <c r="J1005" s="2" t="s">
        <v>20779</v>
      </c>
      <c r="K1005" s="1" t="s">
        <v>9036</v>
      </c>
      <c r="L1005" s="1" t="s">
        <v>8951</v>
      </c>
      <c r="M1005" s="1">
        <v>6</v>
      </c>
      <c r="N1005" s="1" t="s">
        <v>9059</v>
      </c>
      <c r="O1005" s="1" t="s">
        <v>8989</v>
      </c>
      <c r="P1005" s="1" t="s">
        <v>8955</v>
      </c>
      <c r="Q1005" s="1" t="s">
        <v>8956</v>
      </c>
      <c r="R1005" s="1" t="s">
        <v>8958</v>
      </c>
      <c r="S1005" s="1" t="s">
        <v>20621</v>
      </c>
      <c r="T1005" s="1" t="s">
        <v>17</v>
      </c>
      <c r="U1005" s="1" t="s">
        <v>257</v>
      </c>
    </row>
    <row r="1006" spans="1:21" x14ac:dyDescent="0.2">
      <c r="A1006" s="88" t="s">
        <v>16617</v>
      </c>
      <c r="B1006" s="88" t="e">
        <f>VLOOKUP(C1006,#REF!,1,0)</f>
        <v>#REF!</v>
      </c>
      <c r="C1006" s="1" t="s">
        <v>3535</v>
      </c>
      <c r="D1006" s="1" t="s">
        <v>3536</v>
      </c>
      <c r="E1006" s="1" t="s">
        <v>18502</v>
      </c>
      <c r="F1006" s="1" t="s">
        <v>8957</v>
      </c>
      <c r="G1006" t="s">
        <v>9061</v>
      </c>
      <c r="H1006" s="1" t="s">
        <v>8948</v>
      </c>
      <c r="I1006" s="1" t="s">
        <v>8949</v>
      </c>
      <c r="J1006" s="2" t="s">
        <v>20779</v>
      </c>
      <c r="K1006" s="1" t="s">
        <v>9036</v>
      </c>
      <c r="L1006" s="1" t="s">
        <v>8951</v>
      </c>
      <c r="M1006" s="1">
        <v>88</v>
      </c>
      <c r="N1006" s="1" t="s">
        <v>9059</v>
      </c>
      <c r="O1006" s="1" t="s">
        <v>20853</v>
      </c>
      <c r="P1006" s="1" t="s">
        <v>8955</v>
      </c>
      <c r="Q1006" s="1" t="s">
        <v>8956</v>
      </c>
      <c r="R1006" s="1" t="s">
        <v>8975</v>
      </c>
      <c r="S1006" s="1" t="s">
        <v>19240</v>
      </c>
      <c r="T1006" s="1" t="s">
        <v>7</v>
      </c>
      <c r="U1006" s="1" t="s">
        <v>1050</v>
      </c>
    </row>
    <row r="1007" spans="1:21" x14ac:dyDescent="0.2">
      <c r="A1007" s="88" t="s">
        <v>16618</v>
      </c>
      <c r="B1007" s="88" t="e">
        <f>VLOOKUP(C1007,#REF!,1,0)</f>
        <v>#REF!</v>
      </c>
      <c r="C1007" s="1" t="s">
        <v>3537</v>
      </c>
      <c r="D1007" s="1" t="s">
        <v>3538</v>
      </c>
      <c r="E1007" s="1" t="s">
        <v>9380</v>
      </c>
      <c r="F1007" s="1" t="s">
        <v>8974</v>
      </c>
      <c r="G1007" t="s">
        <v>8959</v>
      </c>
      <c r="H1007" s="1" t="s">
        <v>9075</v>
      </c>
      <c r="I1007" s="1" t="s">
        <v>8949</v>
      </c>
      <c r="J1007" s="2" t="s">
        <v>9036</v>
      </c>
      <c r="K1007" s="1" t="s">
        <v>9036</v>
      </c>
      <c r="L1007" s="1" t="s">
        <v>21600</v>
      </c>
      <c r="M1007" s="1">
        <v>49</v>
      </c>
      <c r="N1007" s="1" t="s">
        <v>8953</v>
      </c>
      <c r="O1007" s="1" t="s">
        <v>8954</v>
      </c>
      <c r="P1007" s="1" t="s">
        <v>8955</v>
      </c>
      <c r="Q1007" s="1" t="s">
        <v>8956</v>
      </c>
      <c r="R1007" s="1" t="s">
        <v>8958</v>
      </c>
      <c r="S1007" s="1" t="s">
        <v>3539</v>
      </c>
      <c r="T1007" s="1" t="s">
        <v>11</v>
      </c>
      <c r="U1007" s="1" t="s">
        <v>64</v>
      </c>
    </row>
    <row r="1008" spans="1:21" x14ac:dyDescent="0.2">
      <c r="A1008" s="88" t="s">
        <v>16619</v>
      </c>
      <c r="B1008" s="88" t="e">
        <f>VLOOKUP(C1008,#REF!,1,0)</f>
        <v>#REF!</v>
      </c>
      <c r="C1008" s="1" t="s">
        <v>3540</v>
      </c>
      <c r="D1008" s="1" t="s">
        <v>3541</v>
      </c>
      <c r="E1008" s="1" t="s">
        <v>9380</v>
      </c>
      <c r="F1008" s="1" t="s">
        <v>9060</v>
      </c>
      <c r="G1008" t="s">
        <v>8959</v>
      </c>
      <c r="H1008" s="1" t="s">
        <v>9075</v>
      </c>
      <c r="I1008" s="1" t="s">
        <v>8971</v>
      </c>
      <c r="J1008" s="2" t="s">
        <v>9036</v>
      </c>
      <c r="K1008" s="1" t="s">
        <v>9036</v>
      </c>
      <c r="L1008" s="1" t="s">
        <v>21600</v>
      </c>
      <c r="M1008" s="1">
        <v>675</v>
      </c>
      <c r="N1008" s="1" t="s">
        <v>8953</v>
      </c>
      <c r="O1008" s="1" t="s">
        <v>8954</v>
      </c>
      <c r="P1008" s="1" t="s">
        <v>8955</v>
      </c>
      <c r="Q1008" s="1" t="s">
        <v>8956</v>
      </c>
      <c r="R1008" s="1" t="s">
        <v>8975</v>
      </c>
      <c r="S1008" s="1" t="s">
        <v>3542</v>
      </c>
      <c r="T1008" s="1" t="s">
        <v>17</v>
      </c>
      <c r="U1008" s="1" t="s">
        <v>126</v>
      </c>
    </row>
    <row r="1009" spans="1:21" x14ac:dyDescent="0.2">
      <c r="A1009" s="88" t="s">
        <v>16620</v>
      </c>
      <c r="B1009" s="88" t="e">
        <f>VLOOKUP(C1009,#REF!,1,0)</f>
        <v>#REF!</v>
      </c>
      <c r="C1009" s="1" t="s">
        <v>3543</v>
      </c>
      <c r="D1009" s="1" t="s">
        <v>3544</v>
      </c>
      <c r="E1009" s="1" t="s">
        <v>18502</v>
      </c>
      <c r="F1009" s="1" t="s">
        <v>8957</v>
      </c>
      <c r="G1009" t="s">
        <v>8959</v>
      </c>
      <c r="H1009" s="1" t="s">
        <v>9154</v>
      </c>
      <c r="I1009" s="1" t="s">
        <v>8949</v>
      </c>
      <c r="J1009" s="2" t="s">
        <v>10629</v>
      </c>
      <c r="K1009" s="1" t="s">
        <v>10629</v>
      </c>
      <c r="L1009" s="1" t="s">
        <v>21600</v>
      </c>
      <c r="M1009" s="1">
        <v>64</v>
      </c>
      <c r="N1009" s="1" t="s">
        <v>9059</v>
      </c>
      <c r="O1009" s="1" t="s">
        <v>8989</v>
      </c>
      <c r="P1009" s="1" t="s">
        <v>8955</v>
      </c>
      <c r="Q1009" s="1" t="s">
        <v>8956</v>
      </c>
      <c r="R1009" s="1" t="s">
        <v>8958</v>
      </c>
      <c r="S1009" s="1" t="s">
        <v>19241</v>
      </c>
      <c r="T1009" s="1" t="s">
        <v>7</v>
      </c>
      <c r="U1009" s="1" t="s">
        <v>571</v>
      </c>
    </row>
    <row r="1010" spans="1:21" x14ac:dyDescent="0.2">
      <c r="A1010" s="88" t="s">
        <v>16621</v>
      </c>
      <c r="B1010" s="88"/>
      <c r="C1010" s="1" t="s">
        <v>3548</v>
      </c>
      <c r="D1010" s="1" t="s">
        <v>3549</v>
      </c>
      <c r="E1010" s="1" t="e">
        <v>#N/A</v>
      </c>
      <c r="F1010" s="1" t="e">
        <v>#N/A</v>
      </c>
      <c r="G1010" t="e">
        <v>#N/A</v>
      </c>
      <c r="H1010" s="1" t="e">
        <v>#N/A</v>
      </c>
      <c r="I1010" s="1" t="e">
        <v>#N/A</v>
      </c>
      <c r="J1010" s="2" t="e">
        <v>#N/A</v>
      </c>
      <c r="K1010" s="1" t="e">
        <v>#N/A</v>
      </c>
      <c r="L1010" s="1" t="e">
        <v>#N/A</v>
      </c>
      <c r="M1010" s="1" t="e">
        <v>#N/A</v>
      </c>
      <c r="N1010" s="1" t="e">
        <v>#N/A</v>
      </c>
      <c r="O1010" s="1" t="e">
        <v>#N/A</v>
      </c>
      <c r="P1010" s="1" t="s">
        <v>8955</v>
      </c>
      <c r="Q1010" s="1" t="s">
        <v>8956</v>
      </c>
      <c r="R1010" s="1" t="s">
        <v>9103</v>
      </c>
      <c r="S1010" s="1" t="s">
        <v>19242</v>
      </c>
      <c r="T1010" s="1" t="s">
        <v>252</v>
      </c>
      <c r="U1010" s="1" t="s">
        <v>3550</v>
      </c>
    </row>
    <row r="1011" spans="1:21" x14ac:dyDescent="0.2">
      <c r="A1011" s="88" t="s">
        <v>16622</v>
      </c>
      <c r="B1011" s="88" t="e">
        <f>VLOOKUP(C1011,#REF!,1,0)</f>
        <v>#REF!</v>
      </c>
      <c r="C1011" s="1" t="s">
        <v>3551</v>
      </c>
      <c r="D1011" s="1" t="s">
        <v>3552</v>
      </c>
      <c r="E1011" s="1" t="s">
        <v>9317</v>
      </c>
      <c r="F1011" s="1" t="s">
        <v>8957</v>
      </c>
      <c r="G1011" t="s">
        <v>9009</v>
      </c>
      <c r="H1011" s="1" t="s">
        <v>8984</v>
      </c>
      <c r="I1011" s="1" t="s">
        <v>9269</v>
      </c>
      <c r="J1011" s="2" t="s">
        <v>9018</v>
      </c>
      <c r="K1011" s="1" t="s">
        <v>21762</v>
      </c>
      <c r="L1011" s="1" t="s">
        <v>9157</v>
      </c>
      <c r="M1011" s="1">
        <v>948</v>
      </c>
      <c r="N1011" s="1" t="s">
        <v>8953</v>
      </c>
      <c r="O1011" s="1" t="s">
        <v>8954</v>
      </c>
      <c r="P1011" s="1" t="s">
        <v>8955</v>
      </c>
      <c r="Q1011" s="1" t="s">
        <v>8956</v>
      </c>
      <c r="R1011" s="1" t="s">
        <v>8975</v>
      </c>
      <c r="S1011" s="1" t="s">
        <v>3553</v>
      </c>
      <c r="T1011" s="1" t="s">
        <v>17</v>
      </c>
      <c r="U1011" s="1" t="s">
        <v>771</v>
      </c>
    </row>
    <row r="1012" spans="1:21" x14ac:dyDescent="0.2">
      <c r="A1012" s="88" t="s">
        <v>16623</v>
      </c>
      <c r="B1012" s="88" t="e">
        <f>VLOOKUP(C1012,#REF!,1,0)</f>
        <v>#REF!</v>
      </c>
      <c r="C1012" s="1" t="s">
        <v>3554</v>
      </c>
      <c r="D1012" s="1" t="s">
        <v>3555</v>
      </c>
      <c r="E1012" s="1" t="s">
        <v>9387</v>
      </c>
      <c r="F1012" s="1" t="s">
        <v>8959</v>
      </c>
      <c r="G1012" t="s">
        <v>9183</v>
      </c>
      <c r="H1012" s="1" t="s">
        <v>8948</v>
      </c>
      <c r="I1012" s="1" t="s">
        <v>9308</v>
      </c>
      <c r="J1012" s="2" t="s">
        <v>10492</v>
      </c>
      <c r="K1012" s="1" t="s">
        <v>10492</v>
      </c>
      <c r="L1012" s="1" t="s">
        <v>20839</v>
      </c>
      <c r="M1012" s="1">
        <v>112</v>
      </c>
      <c r="N1012" s="1" t="s">
        <v>8953</v>
      </c>
      <c r="O1012" s="1" t="s">
        <v>8989</v>
      </c>
      <c r="P1012" s="1" t="s">
        <v>8955</v>
      </c>
      <c r="Q1012" s="1" t="s">
        <v>8956</v>
      </c>
      <c r="R1012" s="1" t="s">
        <v>9103</v>
      </c>
      <c r="S1012" s="1" t="s">
        <v>19243</v>
      </c>
      <c r="T1012" s="1" t="s">
        <v>7</v>
      </c>
      <c r="U1012" s="1" t="s">
        <v>3556</v>
      </c>
    </row>
    <row r="1013" spans="1:21" x14ac:dyDescent="0.2">
      <c r="A1013" s="88">
        <v>1</v>
      </c>
      <c r="B1013" s="88" t="e">
        <f>VLOOKUP(C1013,#REF!,1,0)</f>
        <v>#REF!</v>
      </c>
      <c r="C1013" s="1" t="s">
        <v>3557</v>
      </c>
      <c r="D1013" s="1" t="s">
        <v>3558</v>
      </c>
      <c r="E1013" s="1" t="s">
        <v>9387</v>
      </c>
      <c r="F1013" s="1" t="s">
        <v>8959</v>
      </c>
      <c r="G1013" t="s">
        <v>9183</v>
      </c>
      <c r="H1013" s="1" t="s">
        <v>8948</v>
      </c>
      <c r="I1013" s="1" t="s">
        <v>9308</v>
      </c>
      <c r="J1013" s="2" t="s">
        <v>20783</v>
      </c>
      <c r="K1013" s="1" t="s">
        <v>21752</v>
      </c>
      <c r="L1013" s="1" t="s">
        <v>8951</v>
      </c>
      <c r="M1013" s="1">
        <v>65</v>
      </c>
      <c r="N1013" s="1" t="s">
        <v>8953</v>
      </c>
      <c r="O1013" s="1" t="s">
        <v>8989</v>
      </c>
      <c r="P1013" s="1" t="s">
        <v>8955</v>
      </c>
      <c r="Q1013" s="1" t="s">
        <v>8956</v>
      </c>
      <c r="R1013" s="1" t="s">
        <v>9103</v>
      </c>
      <c r="S1013" s="1" t="s">
        <v>19244</v>
      </c>
      <c r="T1013" s="1" t="s">
        <v>17</v>
      </c>
      <c r="U1013" s="1"/>
    </row>
    <row r="1014" spans="1:21" x14ac:dyDescent="0.2">
      <c r="A1014" s="88" t="s">
        <v>16624</v>
      </c>
      <c r="B1014" s="88" t="e">
        <f>VLOOKUP(C1014,#REF!,1,0)</f>
        <v>#REF!</v>
      </c>
      <c r="C1014" s="1" t="s">
        <v>3559</v>
      </c>
      <c r="D1014" s="1" t="s">
        <v>3560</v>
      </c>
      <c r="E1014" s="1" t="s">
        <v>9317</v>
      </c>
      <c r="F1014" s="1" t="s">
        <v>8974</v>
      </c>
      <c r="G1014" t="s">
        <v>9061</v>
      </c>
      <c r="H1014" s="1" t="s">
        <v>9092</v>
      </c>
      <c r="I1014" s="1" t="s">
        <v>8998</v>
      </c>
      <c r="J1014" s="2" t="s">
        <v>20779</v>
      </c>
      <c r="K1014" s="1" t="s">
        <v>9036</v>
      </c>
      <c r="L1014" s="1" t="s">
        <v>9076</v>
      </c>
      <c r="M1014" s="1">
        <v>241</v>
      </c>
      <c r="N1014" s="1" t="s">
        <v>9059</v>
      </c>
      <c r="O1014" s="1" t="s">
        <v>8989</v>
      </c>
      <c r="P1014" s="1" t="s">
        <v>8955</v>
      </c>
      <c r="Q1014" s="1" t="s">
        <v>8956</v>
      </c>
      <c r="R1014" s="1" t="s">
        <v>8975</v>
      </c>
      <c r="S1014" s="1" t="s">
        <v>19245</v>
      </c>
      <c r="T1014" s="1" t="s">
        <v>7</v>
      </c>
      <c r="U1014" s="1" t="s">
        <v>64</v>
      </c>
    </row>
    <row r="1015" spans="1:21" x14ac:dyDescent="0.2">
      <c r="A1015" s="88" t="s">
        <v>16625</v>
      </c>
      <c r="B1015" s="88" t="e">
        <f>VLOOKUP(C1015,#REF!,1,0)</f>
        <v>#REF!</v>
      </c>
      <c r="C1015" s="1" t="s">
        <v>3561</v>
      </c>
      <c r="D1015" s="1" t="s">
        <v>3562</v>
      </c>
      <c r="E1015" s="1" t="s">
        <v>9333</v>
      </c>
      <c r="F1015" s="1" t="s">
        <v>8957</v>
      </c>
      <c r="G1015" t="s">
        <v>8959</v>
      </c>
      <c r="H1015" s="1" t="s">
        <v>9943</v>
      </c>
      <c r="I1015" s="1" t="s">
        <v>9155</v>
      </c>
      <c r="J1015" s="2" t="s">
        <v>20779</v>
      </c>
      <c r="K1015" s="1" t="s">
        <v>9036</v>
      </c>
      <c r="L1015" s="1" t="s">
        <v>8951</v>
      </c>
      <c r="M1015" s="1">
        <v>1886</v>
      </c>
      <c r="N1015" s="1" t="s">
        <v>8953</v>
      </c>
      <c r="O1015" s="1" t="s">
        <v>8989</v>
      </c>
      <c r="P1015" s="1" t="s">
        <v>8955</v>
      </c>
      <c r="Q1015" s="1" t="s">
        <v>8956</v>
      </c>
      <c r="R1015" s="1" t="s">
        <v>8958</v>
      </c>
      <c r="S1015" s="1" t="s">
        <v>19246</v>
      </c>
      <c r="T1015" s="1" t="s">
        <v>7</v>
      </c>
      <c r="U1015" s="1" t="s">
        <v>24</v>
      </c>
    </row>
    <row r="1016" spans="1:21" x14ac:dyDescent="0.2">
      <c r="A1016" s="88" t="s">
        <v>16626</v>
      </c>
      <c r="B1016" s="88" t="e">
        <f>VLOOKUP(C1016,#REF!,1,0)</f>
        <v>#REF!</v>
      </c>
      <c r="C1016" s="1" t="s">
        <v>3563</v>
      </c>
      <c r="D1016" s="1" t="s">
        <v>3564</v>
      </c>
      <c r="E1016" s="1" t="s">
        <v>14748</v>
      </c>
      <c r="F1016" s="1" t="s">
        <v>8957</v>
      </c>
      <c r="G1016" t="s">
        <v>8959</v>
      </c>
      <c r="H1016" s="1" t="s">
        <v>8984</v>
      </c>
      <c r="I1016" s="1" t="s">
        <v>8998</v>
      </c>
      <c r="J1016" s="2" t="s">
        <v>10492</v>
      </c>
      <c r="K1016" s="1" t="s">
        <v>10492</v>
      </c>
      <c r="L1016" s="1" t="s">
        <v>21600</v>
      </c>
      <c r="M1016" s="1">
        <v>1922</v>
      </c>
      <c r="N1016" s="1" t="s">
        <v>8953</v>
      </c>
      <c r="O1016" s="1" t="s">
        <v>8989</v>
      </c>
      <c r="P1016" s="1" t="s">
        <v>8955</v>
      </c>
      <c r="Q1016" s="1" t="s">
        <v>8956</v>
      </c>
      <c r="R1016" s="1" t="s">
        <v>8975</v>
      </c>
      <c r="S1016" s="1" t="s">
        <v>19247</v>
      </c>
      <c r="T1016" s="1" t="s">
        <v>7</v>
      </c>
      <c r="U1016" s="1" t="s">
        <v>1868</v>
      </c>
    </row>
    <row r="1017" spans="1:21" x14ac:dyDescent="0.2">
      <c r="A1017" s="88" t="s">
        <v>16627</v>
      </c>
      <c r="B1017" s="88"/>
      <c r="C1017" s="1" t="s">
        <v>3565</v>
      </c>
      <c r="D1017" s="1" t="s">
        <v>3566</v>
      </c>
      <c r="E1017" s="1" t="e">
        <v>#N/A</v>
      </c>
      <c r="F1017" s="1" t="e">
        <v>#N/A</v>
      </c>
      <c r="G1017" t="e">
        <v>#N/A</v>
      </c>
      <c r="H1017" s="1" t="e">
        <v>#N/A</v>
      </c>
      <c r="I1017" s="1" t="e">
        <v>#N/A</v>
      </c>
      <c r="J1017" s="2" t="e">
        <v>#N/A</v>
      </c>
      <c r="K1017" s="1" t="e">
        <v>#N/A</v>
      </c>
      <c r="L1017" s="1" t="e">
        <v>#N/A</v>
      </c>
      <c r="M1017" s="1" t="e">
        <v>#N/A</v>
      </c>
      <c r="N1017" s="1" t="e">
        <v>#N/A</v>
      </c>
      <c r="O1017" s="1" t="e">
        <v>#N/A</v>
      </c>
      <c r="P1017" s="1" t="s">
        <v>8955</v>
      </c>
      <c r="Q1017" s="1" t="s">
        <v>8956</v>
      </c>
      <c r="R1017" s="1" t="s">
        <v>9103</v>
      </c>
      <c r="S1017" s="1" t="s">
        <v>19248</v>
      </c>
      <c r="T1017" s="1" t="s">
        <v>252</v>
      </c>
      <c r="U1017" s="1" t="s">
        <v>74</v>
      </c>
    </row>
    <row r="1018" spans="1:21" x14ac:dyDescent="0.2">
      <c r="A1018" s="88" t="s">
        <v>16628</v>
      </c>
      <c r="B1018" s="88" t="e">
        <f>VLOOKUP(C1018,#REF!,1,0)</f>
        <v>#REF!</v>
      </c>
      <c r="C1018" s="1" t="s">
        <v>3567</v>
      </c>
      <c r="D1018" s="1" t="s">
        <v>3568</v>
      </c>
      <c r="E1018" s="1" t="s">
        <v>9380</v>
      </c>
      <c r="F1018" s="1" t="s">
        <v>8957</v>
      </c>
      <c r="G1018" t="s">
        <v>9061</v>
      </c>
      <c r="H1018" s="1" t="s">
        <v>8948</v>
      </c>
      <c r="I1018" s="1" t="s">
        <v>9121</v>
      </c>
      <c r="J1018" s="2" t="s">
        <v>9036</v>
      </c>
      <c r="K1018" s="1" t="s">
        <v>9036</v>
      </c>
      <c r="L1018" s="1" t="s">
        <v>9133</v>
      </c>
      <c r="M1018" s="1">
        <v>168</v>
      </c>
      <c r="N1018" s="1" t="s">
        <v>8953</v>
      </c>
      <c r="O1018" s="1" t="s">
        <v>8989</v>
      </c>
      <c r="P1018" s="1" t="s">
        <v>8955</v>
      </c>
      <c r="Q1018" s="1" t="s">
        <v>8956</v>
      </c>
      <c r="R1018" s="1" t="s">
        <v>8975</v>
      </c>
      <c r="S1018" s="1" t="s">
        <v>3569</v>
      </c>
      <c r="T1018" s="1" t="s">
        <v>4</v>
      </c>
      <c r="U1018" s="1" t="s">
        <v>392</v>
      </c>
    </row>
    <row r="1019" spans="1:21" x14ac:dyDescent="0.2">
      <c r="A1019" s="88" t="s">
        <v>16629</v>
      </c>
      <c r="B1019" s="88" t="e">
        <f>VLOOKUP(C1019,#REF!,1,0)</f>
        <v>#REF!</v>
      </c>
      <c r="C1019" s="1" t="s">
        <v>3570</v>
      </c>
      <c r="D1019" s="1" t="s">
        <v>3571</v>
      </c>
      <c r="E1019" s="1" t="s">
        <v>9333</v>
      </c>
      <c r="F1019" s="1" t="s">
        <v>8957</v>
      </c>
      <c r="G1019" t="s">
        <v>8959</v>
      </c>
      <c r="H1019" s="1" t="s">
        <v>20712</v>
      </c>
      <c r="I1019" s="1" t="s">
        <v>9155</v>
      </c>
      <c r="J1019" s="2" t="s">
        <v>20841</v>
      </c>
      <c r="K1019" s="1" t="s">
        <v>20724</v>
      </c>
      <c r="L1019" s="1" t="s">
        <v>8951</v>
      </c>
      <c r="M1019" s="1">
        <v>3500</v>
      </c>
      <c r="N1019" s="1" t="s">
        <v>8953</v>
      </c>
      <c r="O1019" s="1" t="s">
        <v>8989</v>
      </c>
      <c r="P1019" s="1" t="s">
        <v>8955</v>
      </c>
      <c r="Q1019" s="1" t="s">
        <v>8956</v>
      </c>
      <c r="R1019" s="1" t="s">
        <v>8958</v>
      </c>
      <c r="S1019" s="1" t="s">
        <v>19249</v>
      </c>
      <c r="T1019" s="1" t="s">
        <v>7</v>
      </c>
      <c r="U1019" s="1" t="s">
        <v>907</v>
      </c>
    </row>
    <row r="1020" spans="1:21" x14ac:dyDescent="0.2">
      <c r="A1020" s="88" t="s">
        <v>16630</v>
      </c>
      <c r="B1020" s="88" t="e">
        <f>VLOOKUP(C1020,#REF!,1,0)</f>
        <v>#REF!</v>
      </c>
      <c r="C1020" s="1" t="s">
        <v>3572</v>
      </c>
      <c r="D1020" s="1" t="s">
        <v>3573</v>
      </c>
      <c r="E1020" s="1" t="s">
        <v>9333</v>
      </c>
      <c r="F1020" s="1" t="s">
        <v>8957</v>
      </c>
      <c r="G1020" t="s">
        <v>8959</v>
      </c>
      <c r="H1020" s="1" t="s">
        <v>20712</v>
      </c>
      <c r="I1020" s="1" t="s">
        <v>9155</v>
      </c>
      <c r="J1020" s="2" t="s">
        <v>18497</v>
      </c>
      <c r="K1020" s="1" t="s">
        <v>21658</v>
      </c>
      <c r="L1020" s="1" t="s">
        <v>8987</v>
      </c>
      <c r="M1020" s="1">
        <v>3485</v>
      </c>
      <c r="N1020" s="1" t="s">
        <v>8953</v>
      </c>
      <c r="O1020" s="1" t="s">
        <v>8989</v>
      </c>
      <c r="P1020" s="1" t="s">
        <v>8955</v>
      </c>
      <c r="Q1020" s="1" t="s">
        <v>8956</v>
      </c>
      <c r="R1020" s="1" t="s">
        <v>8975</v>
      </c>
      <c r="S1020" s="1" t="s">
        <v>19250</v>
      </c>
      <c r="T1020" s="1" t="s">
        <v>7</v>
      </c>
      <c r="U1020" s="1" t="s">
        <v>3574</v>
      </c>
    </row>
    <row r="1021" spans="1:21" x14ac:dyDescent="0.2">
      <c r="A1021" s="88" t="s">
        <v>16631</v>
      </c>
      <c r="B1021" s="88" t="e">
        <f>VLOOKUP(C1021,#REF!,1,0)</f>
        <v>#REF!</v>
      </c>
      <c r="C1021" s="1" t="s">
        <v>3578</v>
      </c>
      <c r="D1021" s="1" t="s">
        <v>3579</v>
      </c>
      <c r="E1021" s="1" t="s">
        <v>18502</v>
      </c>
      <c r="F1021" s="1" t="s">
        <v>8959</v>
      </c>
      <c r="G1021" t="s">
        <v>9061</v>
      </c>
      <c r="H1021" s="1" t="s">
        <v>8948</v>
      </c>
      <c r="I1021" s="1" t="s">
        <v>9155</v>
      </c>
      <c r="J1021" s="2" t="s">
        <v>10629</v>
      </c>
      <c r="K1021" s="1" t="s">
        <v>10629</v>
      </c>
      <c r="L1021" s="1" t="s">
        <v>9076</v>
      </c>
      <c r="M1021" s="1">
        <v>77</v>
      </c>
      <c r="N1021" s="1" t="s">
        <v>9059</v>
      </c>
      <c r="O1021" s="1" t="s">
        <v>8989</v>
      </c>
      <c r="P1021" s="1" t="s">
        <v>8955</v>
      </c>
      <c r="Q1021" s="1" t="s">
        <v>8956</v>
      </c>
      <c r="R1021" s="1" t="s">
        <v>8975</v>
      </c>
      <c r="S1021" s="1" t="s">
        <v>19252</v>
      </c>
      <c r="T1021" s="1" t="s">
        <v>17</v>
      </c>
      <c r="U1021" s="1" t="s">
        <v>1780</v>
      </c>
    </row>
    <row r="1022" spans="1:21" x14ac:dyDescent="0.2">
      <c r="A1022" s="88" t="s">
        <v>16633</v>
      </c>
      <c r="B1022" s="88" t="e">
        <f>VLOOKUP(C1022,#REF!,1,0)</f>
        <v>#REF!</v>
      </c>
      <c r="C1022" s="1" t="s">
        <v>3583</v>
      </c>
      <c r="D1022" s="1" t="s">
        <v>3584</v>
      </c>
      <c r="E1022" s="1" t="s">
        <v>9310</v>
      </c>
      <c r="F1022" s="1" t="s">
        <v>8959</v>
      </c>
      <c r="G1022" t="s">
        <v>8959</v>
      </c>
      <c r="H1022" s="1" t="s">
        <v>9154</v>
      </c>
      <c r="I1022" s="1" t="s">
        <v>8949</v>
      </c>
      <c r="J1022" s="2" t="s">
        <v>20779</v>
      </c>
      <c r="K1022" s="1" t="s">
        <v>9036</v>
      </c>
      <c r="L1022" s="1" t="s">
        <v>9076</v>
      </c>
      <c r="M1022" s="1">
        <v>386</v>
      </c>
      <c r="N1022" s="1" t="s">
        <v>8953</v>
      </c>
      <c r="O1022" s="1" t="s">
        <v>8989</v>
      </c>
      <c r="P1022" s="1" t="s">
        <v>8955</v>
      </c>
      <c r="Q1022" s="1" t="s">
        <v>8956</v>
      </c>
      <c r="R1022" s="1" t="s">
        <v>8958</v>
      </c>
      <c r="S1022" s="1" t="s">
        <v>19254</v>
      </c>
      <c r="T1022" s="1" t="s">
        <v>7</v>
      </c>
      <c r="U1022" s="1" t="s">
        <v>378</v>
      </c>
    </row>
    <row r="1023" spans="1:21" x14ac:dyDescent="0.2">
      <c r="A1023" s="88" t="s">
        <v>16634</v>
      </c>
      <c r="B1023" s="88" t="e">
        <f>VLOOKUP(C1023,#REF!,1,0)</f>
        <v>#REF!</v>
      </c>
      <c r="C1023" s="1" t="s">
        <v>3585</v>
      </c>
      <c r="D1023" s="1" t="s">
        <v>3586</v>
      </c>
      <c r="E1023" s="1" t="s">
        <v>9176</v>
      </c>
      <c r="F1023" s="1" t="s">
        <v>8957</v>
      </c>
      <c r="G1023" t="s">
        <v>9183</v>
      </c>
      <c r="H1023" s="1" t="s">
        <v>20714</v>
      </c>
      <c r="I1023" s="1" t="s">
        <v>9050</v>
      </c>
      <c r="J1023" s="2" t="s">
        <v>20838</v>
      </c>
      <c r="K1023" s="1" t="s">
        <v>20755</v>
      </c>
      <c r="L1023" s="1" t="s">
        <v>8951</v>
      </c>
      <c r="M1023" s="1">
        <v>142275</v>
      </c>
      <c r="N1023" s="1" t="s">
        <v>8953</v>
      </c>
      <c r="O1023" s="1" t="s">
        <v>8954</v>
      </c>
      <c r="P1023" s="1" t="s">
        <v>8955</v>
      </c>
      <c r="Q1023" s="1" t="s">
        <v>8956</v>
      </c>
      <c r="R1023" s="1" t="s">
        <v>8975</v>
      </c>
      <c r="S1023" s="1" t="s">
        <v>19255</v>
      </c>
      <c r="T1023" s="1" t="s">
        <v>17</v>
      </c>
      <c r="U1023" s="1" t="s">
        <v>3587</v>
      </c>
    </row>
    <row r="1024" spans="1:21" x14ac:dyDescent="0.2">
      <c r="A1024" s="88" t="s">
        <v>16635</v>
      </c>
      <c r="B1024" s="88" t="e">
        <f>VLOOKUP(C1024,#REF!,1,0)</f>
        <v>#REF!</v>
      </c>
      <c r="C1024" s="1" t="s">
        <v>3591</v>
      </c>
      <c r="D1024" s="1" t="s">
        <v>3592</v>
      </c>
      <c r="E1024" s="1" t="s">
        <v>18502</v>
      </c>
      <c r="F1024" s="1" t="s">
        <v>8957</v>
      </c>
      <c r="G1024" t="s">
        <v>8959</v>
      </c>
      <c r="H1024" s="1" t="s">
        <v>20714</v>
      </c>
      <c r="I1024" s="1" t="s">
        <v>9050</v>
      </c>
      <c r="J1024" s="2" t="s">
        <v>18489</v>
      </c>
      <c r="K1024" s="1" t="s">
        <v>18489</v>
      </c>
      <c r="L1024" s="1" t="s">
        <v>8951</v>
      </c>
      <c r="M1024" s="1">
        <v>59812</v>
      </c>
      <c r="N1024" s="1" t="s">
        <v>8953</v>
      </c>
      <c r="O1024" s="1" t="s">
        <v>8954</v>
      </c>
      <c r="P1024" s="1" t="s">
        <v>8955</v>
      </c>
      <c r="Q1024" s="1" t="s">
        <v>8956</v>
      </c>
      <c r="R1024" s="1" t="s">
        <v>8975</v>
      </c>
      <c r="S1024" s="1" t="s">
        <v>19257</v>
      </c>
      <c r="T1024" s="1" t="s">
        <v>17</v>
      </c>
      <c r="U1024" s="1" t="s">
        <v>447</v>
      </c>
    </row>
    <row r="1025" spans="1:21" x14ac:dyDescent="0.2">
      <c r="A1025" s="88" t="s">
        <v>16636</v>
      </c>
      <c r="B1025" s="88" t="e">
        <f>VLOOKUP(C1025,#REF!,1,0)</f>
        <v>#REF!</v>
      </c>
      <c r="C1025" s="1" t="s">
        <v>3593</v>
      </c>
      <c r="D1025" s="1" t="s">
        <v>3594</v>
      </c>
      <c r="E1025" s="1" t="s">
        <v>18502</v>
      </c>
      <c r="F1025" s="1" t="s">
        <v>9060</v>
      </c>
      <c r="G1025" t="s">
        <v>8959</v>
      </c>
      <c r="H1025" s="1" t="s">
        <v>9100</v>
      </c>
      <c r="I1025" s="1" t="s">
        <v>8949</v>
      </c>
      <c r="J1025" s="2" t="s">
        <v>20779</v>
      </c>
      <c r="K1025" s="1" t="s">
        <v>9036</v>
      </c>
      <c r="L1025" s="1" t="s">
        <v>8951</v>
      </c>
      <c r="M1025" s="1">
        <v>165</v>
      </c>
      <c r="N1025" s="1" t="s">
        <v>8953</v>
      </c>
      <c r="O1025" s="1" t="s">
        <v>8954</v>
      </c>
      <c r="P1025" s="1" t="s">
        <v>8955</v>
      </c>
      <c r="Q1025" s="1" t="s">
        <v>8956</v>
      </c>
      <c r="R1025" s="1" t="s">
        <v>8958</v>
      </c>
      <c r="S1025" s="1" t="s">
        <v>19258</v>
      </c>
      <c r="T1025" s="1" t="s">
        <v>11</v>
      </c>
      <c r="U1025" s="1" t="s">
        <v>538</v>
      </c>
    </row>
    <row r="1026" spans="1:21" x14ac:dyDescent="0.2">
      <c r="A1026" s="88" t="s">
        <v>16637</v>
      </c>
      <c r="B1026" s="88" t="e">
        <f>VLOOKUP(C1026,#REF!,1,0)</f>
        <v>#REF!</v>
      </c>
      <c r="C1026" s="1" t="s">
        <v>3595</v>
      </c>
      <c r="D1026" s="1" t="s">
        <v>3596</v>
      </c>
      <c r="E1026" s="1" t="s">
        <v>9010</v>
      </c>
      <c r="F1026" s="1" t="s">
        <v>8957</v>
      </c>
      <c r="G1026" t="s">
        <v>8959</v>
      </c>
      <c r="H1026" s="1" t="s">
        <v>8948</v>
      </c>
      <c r="I1026" s="1" t="s">
        <v>8998</v>
      </c>
      <c r="J1026" s="2" t="s">
        <v>9036</v>
      </c>
      <c r="K1026" s="1" t="s">
        <v>9036</v>
      </c>
      <c r="L1026" s="1" t="s">
        <v>8987</v>
      </c>
      <c r="M1026" s="1">
        <v>2000</v>
      </c>
      <c r="N1026" s="1" t="s">
        <v>8953</v>
      </c>
      <c r="O1026" s="1" t="s">
        <v>8989</v>
      </c>
      <c r="P1026" s="1" t="s">
        <v>8955</v>
      </c>
      <c r="Q1026" s="1" t="s">
        <v>8956</v>
      </c>
      <c r="R1026" s="1" t="s">
        <v>8958</v>
      </c>
      <c r="S1026" s="1" t="s">
        <v>3597</v>
      </c>
      <c r="T1026" s="1" t="s">
        <v>17</v>
      </c>
      <c r="U1026" s="1" t="s">
        <v>53</v>
      </c>
    </row>
    <row r="1027" spans="1:21" x14ac:dyDescent="0.2">
      <c r="A1027" s="88" t="s">
        <v>16638</v>
      </c>
      <c r="B1027" s="88" t="e">
        <f>VLOOKUP(C1027,#REF!,1,0)</f>
        <v>#REF!</v>
      </c>
      <c r="C1027" s="1" t="s">
        <v>3598</v>
      </c>
      <c r="D1027" s="1" t="s">
        <v>3599</v>
      </c>
      <c r="E1027" s="1" t="s">
        <v>9968</v>
      </c>
      <c r="F1027" s="1" t="s">
        <v>8957</v>
      </c>
      <c r="G1027" t="s">
        <v>8959</v>
      </c>
      <c r="H1027" s="1" t="s">
        <v>9154</v>
      </c>
      <c r="I1027" s="1" t="s">
        <v>8949</v>
      </c>
      <c r="J1027" s="2" t="s">
        <v>20854</v>
      </c>
      <c r="K1027" s="1" t="s">
        <v>21904</v>
      </c>
      <c r="L1027" s="1" t="s">
        <v>8951</v>
      </c>
      <c r="M1027" s="1">
        <v>4570</v>
      </c>
      <c r="N1027" s="1" t="s">
        <v>8953</v>
      </c>
      <c r="O1027" s="1" t="s">
        <v>8954</v>
      </c>
      <c r="P1027" s="1" t="s">
        <v>8955</v>
      </c>
      <c r="Q1027" s="1" t="s">
        <v>8956</v>
      </c>
      <c r="R1027" s="1" t="s">
        <v>9103</v>
      </c>
      <c r="S1027" s="1" t="s">
        <v>19259</v>
      </c>
      <c r="T1027" s="1" t="s">
        <v>7</v>
      </c>
      <c r="U1027" s="1" t="s">
        <v>2434</v>
      </c>
    </row>
    <row r="1028" spans="1:21" x14ac:dyDescent="0.2">
      <c r="A1028" s="88" t="s">
        <v>16639</v>
      </c>
      <c r="B1028" s="88" t="e">
        <f>VLOOKUP(C1028,#REF!,1,0)</f>
        <v>#REF!</v>
      </c>
      <c r="C1028" s="1" t="s">
        <v>3600</v>
      </c>
      <c r="D1028" s="1" t="s">
        <v>3601</v>
      </c>
      <c r="E1028" s="1" t="s">
        <v>9010</v>
      </c>
      <c r="F1028" s="1" t="s">
        <v>9060</v>
      </c>
      <c r="G1028" t="s">
        <v>9009</v>
      </c>
      <c r="H1028" s="1" t="s">
        <v>9049</v>
      </c>
      <c r="I1028" s="1" t="s">
        <v>9325</v>
      </c>
      <c r="J1028" s="2" t="s">
        <v>9036</v>
      </c>
      <c r="K1028" s="1" t="s">
        <v>9036</v>
      </c>
      <c r="L1028" s="1" t="s">
        <v>9133</v>
      </c>
      <c r="M1028" s="1">
        <v>207130</v>
      </c>
      <c r="N1028" s="1" t="s">
        <v>8953</v>
      </c>
      <c r="O1028" s="1" t="s">
        <v>8989</v>
      </c>
      <c r="P1028" s="1" t="s">
        <v>8955</v>
      </c>
      <c r="Q1028" s="1" t="s">
        <v>8956</v>
      </c>
      <c r="R1028" s="1" t="s">
        <v>8975</v>
      </c>
      <c r="S1028" s="1" t="s">
        <v>3602</v>
      </c>
      <c r="T1028" s="1" t="s">
        <v>11</v>
      </c>
      <c r="U1028" s="1" t="s">
        <v>1462</v>
      </c>
    </row>
    <row r="1029" spans="1:21" x14ac:dyDescent="0.2">
      <c r="A1029" s="88" t="s">
        <v>16640</v>
      </c>
      <c r="B1029" s="88" t="e">
        <f>VLOOKUP(C1029,#REF!,1,0)</f>
        <v>#REF!</v>
      </c>
      <c r="C1029" s="1" t="s">
        <v>3603</v>
      </c>
      <c r="D1029" s="1" t="s">
        <v>3604</v>
      </c>
      <c r="E1029" s="1" t="s">
        <v>9380</v>
      </c>
      <c r="F1029" s="1" t="s">
        <v>9060</v>
      </c>
      <c r="G1029" t="s">
        <v>8959</v>
      </c>
      <c r="H1029" s="1" t="s">
        <v>9605</v>
      </c>
      <c r="I1029" s="1" t="s">
        <v>8949</v>
      </c>
      <c r="J1029" s="2" t="s">
        <v>9036</v>
      </c>
      <c r="K1029" s="1" t="s">
        <v>9036</v>
      </c>
      <c r="L1029" s="1" t="s">
        <v>21600</v>
      </c>
      <c r="M1029" s="1">
        <v>173</v>
      </c>
      <c r="N1029" s="1" t="s">
        <v>8953</v>
      </c>
      <c r="O1029" s="1" t="s">
        <v>8954</v>
      </c>
      <c r="P1029" s="1" t="s">
        <v>8955</v>
      </c>
      <c r="Q1029" s="1" t="s">
        <v>8956</v>
      </c>
      <c r="R1029" s="1" t="s">
        <v>8958</v>
      </c>
      <c r="S1029" s="1" t="s">
        <v>3605</v>
      </c>
      <c r="T1029" s="1" t="s">
        <v>17</v>
      </c>
      <c r="U1029" s="1" t="s">
        <v>126</v>
      </c>
    </row>
    <row r="1030" spans="1:21" x14ac:dyDescent="0.2">
      <c r="A1030" s="88" t="s">
        <v>16642</v>
      </c>
      <c r="B1030" s="88" t="e">
        <f>VLOOKUP(C1030,#REF!,1,0)</f>
        <v>#REF!</v>
      </c>
      <c r="C1030" s="1" t="s">
        <v>3608</v>
      </c>
      <c r="D1030" s="1" t="s">
        <v>3609</v>
      </c>
      <c r="E1030" s="1" t="s">
        <v>20718</v>
      </c>
      <c r="F1030" s="1" t="s">
        <v>8959</v>
      </c>
      <c r="G1030" t="s">
        <v>8959</v>
      </c>
      <c r="H1030" s="1" t="s">
        <v>9035</v>
      </c>
      <c r="I1030" s="1" t="s">
        <v>8998</v>
      </c>
      <c r="J1030" s="2" t="s">
        <v>20833</v>
      </c>
      <c r="K1030" s="1" t="s">
        <v>21783</v>
      </c>
      <c r="L1030" s="1" t="s">
        <v>8987</v>
      </c>
      <c r="M1030" s="1">
        <v>812</v>
      </c>
      <c r="N1030" s="1" t="s">
        <v>8953</v>
      </c>
      <c r="O1030" s="1" t="s">
        <v>8954</v>
      </c>
      <c r="P1030" s="1" t="s">
        <v>8955</v>
      </c>
      <c r="Q1030" s="1" t="s">
        <v>8956</v>
      </c>
      <c r="R1030" s="1" t="s">
        <v>8958</v>
      </c>
      <c r="S1030" s="1" t="s">
        <v>19261</v>
      </c>
      <c r="T1030" s="1" t="s">
        <v>7</v>
      </c>
      <c r="U1030" s="1" t="s">
        <v>3610</v>
      </c>
    </row>
    <row r="1031" spans="1:21" x14ac:dyDescent="0.2">
      <c r="A1031" s="88" t="s">
        <v>16643</v>
      </c>
      <c r="B1031" s="88" t="e">
        <f>VLOOKUP(C1031,#REF!,1,0)</f>
        <v>#REF!</v>
      </c>
      <c r="C1031" s="1" t="s">
        <v>3611</v>
      </c>
      <c r="D1031" s="1" t="s">
        <v>3612</v>
      </c>
      <c r="E1031" s="1" t="s">
        <v>9246</v>
      </c>
      <c r="F1031" s="1" t="s">
        <v>8957</v>
      </c>
      <c r="G1031" t="s">
        <v>9061</v>
      </c>
      <c r="H1031" s="1" t="s">
        <v>8948</v>
      </c>
      <c r="I1031" s="1" t="s">
        <v>8949</v>
      </c>
      <c r="J1031" s="2" t="s">
        <v>10492</v>
      </c>
      <c r="K1031" s="1" t="s">
        <v>21645</v>
      </c>
      <c r="L1031" s="1" t="s">
        <v>21600</v>
      </c>
      <c r="M1031" s="1">
        <v>126</v>
      </c>
      <c r="N1031" s="1" t="s">
        <v>8953</v>
      </c>
      <c r="O1031" s="1" t="s">
        <v>8989</v>
      </c>
      <c r="P1031" s="1" t="s">
        <v>8955</v>
      </c>
      <c r="Q1031" s="1" t="s">
        <v>8956</v>
      </c>
      <c r="R1031" s="1" t="s">
        <v>8975</v>
      </c>
      <c r="S1031" s="1" t="s">
        <v>19262</v>
      </c>
      <c r="T1031" s="1" t="s">
        <v>17</v>
      </c>
      <c r="U1031" s="1" t="s">
        <v>21</v>
      </c>
    </row>
    <row r="1032" spans="1:21" x14ac:dyDescent="0.2">
      <c r="A1032" s="88" t="s">
        <v>16644</v>
      </c>
      <c r="B1032" s="88" t="e">
        <f>VLOOKUP(C1032,#REF!,1,0)</f>
        <v>#REF!</v>
      </c>
      <c r="C1032" s="1" t="s">
        <v>3613</v>
      </c>
      <c r="D1032" s="1" t="s">
        <v>3614</v>
      </c>
      <c r="E1032" s="1" t="s">
        <v>9246</v>
      </c>
      <c r="F1032" s="1" t="s">
        <v>8957</v>
      </c>
      <c r="G1032" t="s">
        <v>9061</v>
      </c>
      <c r="H1032" s="1" t="s">
        <v>8948</v>
      </c>
      <c r="I1032" s="1" t="s">
        <v>8949</v>
      </c>
      <c r="J1032" s="2" t="s">
        <v>10492</v>
      </c>
      <c r="K1032" s="1" t="s">
        <v>10492</v>
      </c>
      <c r="L1032" s="1" t="s">
        <v>21600</v>
      </c>
      <c r="M1032" s="1">
        <v>80</v>
      </c>
      <c r="N1032" s="1" t="s">
        <v>9059</v>
      </c>
      <c r="O1032" s="1" t="s">
        <v>8954</v>
      </c>
      <c r="P1032" s="1" t="s">
        <v>8955</v>
      </c>
      <c r="Q1032" s="1" t="s">
        <v>8956</v>
      </c>
      <c r="R1032" s="1" t="s">
        <v>8975</v>
      </c>
      <c r="S1032" s="1" t="s">
        <v>19263</v>
      </c>
      <c r="T1032" s="1" t="s">
        <v>17</v>
      </c>
      <c r="U1032" s="1" t="s">
        <v>57</v>
      </c>
    </row>
    <row r="1033" spans="1:21" x14ac:dyDescent="0.2">
      <c r="A1033" s="88" t="s">
        <v>16645</v>
      </c>
      <c r="B1033" s="88" t="e">
        <f>VLOOKUP(C1033,#REF!,1,0)</f>
        <v>#REF!</v>
      </c>
      <c r="C1033" s="1" t="s">
        <v>3615</v>
      </c>
      <c r="D1033" s="1" t="s">
        <v>3616</v>
      </c>
      <c r="E1033" s="1" t="s">
        <v>9815</v>
      </c>
      <c r="F1033" s="1" t="s">
        <v>8959</v>
      </c>
      <c r="G1033" t="s">
        <v>8959</v>
      </c>
      <c r="H1033" s="1" t="s">
        <v>9035</v>
      </c>
      <c r="I1033" s="1" t="s">
        <v>9308</v>
      </c>
      <c r="J1033" s="2" t="s">
        <v>20850</v>
      </c>
      <c r="K1033" s="1" t="s">
        <v>20762</v>
      </c>
      <c r="L1033" s="1" t="s">
        <v>9133</v>
      </c>
      <c r="M1033" s="1">
        <v>1300</v>
      </c>
      <c r="N1033" s="1" t="s">
        <v>8953</v>
      </c>
      <c r="O1033" s="1" t="s">
        <v>8954</v>
      </c>
      <c r="P1033" s="1" t="s">
        <v>8955</v>
      </c>
      <c r="Q1033" s="1" t="s">
        <v>8956</v>
      </c>
      <c r="R1033" s="1" t="s">
        <v>9103</v>
      </c>
      <c r="S1033" s="1" t="s">
        <v>19264</v>
      </c>
      <c r="T1033" s="1" t="s">
        <v>7</v>
      </c>
      <c r="U1033" s="1" t="s">
        <v>184</v>
      </c>
    </row>
    <row r="1034" spans="1:21" x14ac:dyDescent="0.2">
      <c r="A1034" s="88" t="s">
        <v>16646</v>
      </c>
      <c r="B1034" s="88" t="e">
        <f>VLOOKUP(C1034,#REF!,1,0)</f>
        <v>#REF!</v>
      </c>
      <c r="C1034" s="1" t="s">
        <v>3617</v>
      </c>
      <c r="D1034" s="1" t="s">
        <v>3618</v>
      </c>
      <c r="E1034" s="1" t="s">
        <v>9310</v>
      </c>
      <c r="F1034" s="1" t="s">
        <v>8957</v>
      </c>
      <c r="G1034" t="s">
        <v>8959</v>
      </c>
      <c r="H1034" s="1" t="s">
        <v>9100</v>
      </c>
      <c r="I1034" s="1" t="s">
        <v>8949</v>
      </c>
      <c r="J1034" s="2" t="s">
        <v>21274</v>
      </c>
      <c r="K1034" s="1" t="s">
        <v>21687</v>
      </c>
      <c r="L1034" s="1" t="s">
        <v>8987</v>
      </c>
      <c r="M1034" s="1">
        <v>253</v>
      </c>
      <c r="N1034" s="1" t="s">
        <v>8953</v>
      </c>
      <c r="O1034" s="1" t="s">
        <v>8954</v>
      </c>
      <c r="P1034" s="1" t="s">
        <v>8955</v>
      </c>
      <c r="Q1034" s="1" t="s">
        <v>8956</v>
      </c>
      <c r="R1034" s="1" t="s">
        <v>9103</v>
      </c>
      <c r="S1034" s="1" t="s">
        <v>19265</v>
      </c>
      <c r="T1034" s="1" t="s">
        <v>7</v>
      </c>
      <c r="U1034" s="1" t="s">
        <v>2248</v>
      </c>
    </row>
    <row r="1035" spans="1:21" x14ac:dyDescent="0.2">
      <c r="A1035" s="88" t="s">
        <v>16647</v>
      </c>
      <c r="B1035" s="88" t="e">
        <f>VLOOKUP(C1035,#REF!,1,0)</f>
        <v>#REF!</v>
      </c>
      <c r="C1035" s="1" t="s">
        <v>3619</v>
      </c>
      <c r="D1035" s="1" t="s">
        <v>3620</v>
      </c>
      <c r="E1035" s="1" t="s">
        <v>9213</v>
      </c>
      <c r="F1035" s="1" t="s">
        <v>8957</v>
      </c>
      <c r="G1035" t="s">
        <v>8959</v>
      </c>
      <c r="H1035" s="1" t="s">
        <v>8948</v>
      </c>
      <c r="I1035" s="1" t="s">
        <v>9131</v>
      </c>
      <c r="J1035" s="2" t="s">
        <v>21229</v>
      </c>
      <c r="K1035" s="1" t="s">
        <v>21688</v>
      </c>
      <c r="L1035" s="1" t="s">
        <v>8951</v>
      </c>
      <c r="M1035" s="1">
        <v>2484</v>
      </c>
      <c r="N1035" s="1" t="s">
        <v>8953</v>
      </c>
      <c r="O1035" s="1" t="s">
        <v>8989</v>
      </c>
      <c r="P1035" s="1" t="s">
        <v>8955</v>
      </c>
      <c r="Q1035" s="1" t="s">
        <v>8956</v>
      </c>
      <c r="R1035" s="1" t="s">
        <v>8975</v>
      </c>
      <c r="S1035" s="1" t="s">
        <v>19266</v>
      </c>
      <c r="T1035" s="1" t="s">
        <v>7</v>
      </c>
      <c r="U1035" s="1" t="s">
        <v>342</v>
      </c>
    </row>
    <row r="1036" spans="1:21" x14ac:dyDescent="0.2">
      <c r="A1036" s="88" t="s">
        <v>16648</v>
      </c>
      <c r="B1036" s="88" t="e">
        <f>VLOOKUP(C1036,#REF!,1,0)</f>
        <v>#REF!</v>
      </c>
      <c r="C1036" s="1" t="s">
        <v>3624</v>
      </c>
      <c r="D1036" s="1" t="s">
        <v>3625</v>
      </c>
      <c r="E1036" s="1" t="s">
        <v>9380</v>
      </c>
      <c r="F1036" s="1" t="s">
        <v>8957</v>
      </c>
      <c r="G1036" t="s">
        <v>9009</v>
      </c>
      <c r="H1036" s="1" t="s">
        <v>9173</v>
      </c>
      <c r="I1036" s="1" t="s">
        <v>9174</v>
      </c>
      <c r="J1036" s="2" t="s">
        <v>9036</v>
      </c>
      <c r="K1036" s="1" t="s">
        <v>9036</v>
      </c>
      <c r="L1036" s="1" t="s">
        <v>8951</v>
      </c>
      <c r="M1036" s="1">
        <v>600</v>
      </c>
      <c r="N1036" s="1" t="s">
        <v>8953</v>
      </c>
      <c r="O1036" s="1" t="s">
        <v>8989</v>
      </c>
      <c r="P1036" s="1" t="s">
        <v>8955</v>
      </c>
      <c r="Q1036" s="1" t="s">
        <v>8956</v>
      </c>
      <c r="R1036" s="1" t="s">
        <v>8958</v>
      </c>
      <c r="S1036" s="1" t="s">
        <v>3626</v>
      </c>
      <c r="T1036" s="1" t="s">
        <v>11</v>
      </c>
      <c r="U1036" s="1" t="s">
        <v>97</v>
      </c>
    </row>
    <row r="1037" spans="1:21" x14ac:dyDescent="0.2">
      <c r="A1037" s="88" t="s">
        <v>16649</v>
      </c>
      <c r="B1037" s="88" t="e">
        <f>VLOOKUP(C1037,#REF!,1,0)</f>
        <v>#REF!</v>
      </c>
      <c r="C1037" s="1" t="s">
        <v>3631</v>
      </c>
      <c r="D1037" s="1" t="s">
        <v>3632</v>
      </c>
      <c r="E1037" s="1" t="s">
        <v>9815</v>
      </c>
      <c r="F1037" s="1" t="s">
        <v>8959</v>
      </c>
      <c r="G1037" t="s">
        <v>9183</v>
      </c>
      <c r="H1037" s="1" t="s">
        <v>9154</v>
      </c>
      <c r="I1037" s="1" t="s">
        <v>8949</v>
      </c>
      <c r="J1037" s="2" t="s">
        <v>11114</v>
      </c>
      <c r="K1037" s="1" t="s">
        <v>11114</v>
      </c>
      <c r="L1037" s="1" t="s">
        <v>9133</v>
      </c>
      <c r="M1037" s="1">
        <v>850</v>
      </c>
      <c r="N1037" s="1" t="s">
        <v>9059</v>
      </c>
      <c r="O1037" s="1" t="s">
        <v>8954</v>
      </c>
      <c r="P1037" s="1" t="s">
        <v>8955</v>
      </c>
      <c r="Q1037" s="1" t="s">
        <v>8956</v>
      </c>
      <c r="R1037" s="1" t="s">
        <v>9103</v>
      </c>
      <c r="S1037" s="1" t="s">
        <v>3633</v>
      </c>
      <c r="T1037" s="1" t="s">
        <v>17</v>
      </c>
      <c r="U1037" s="1" t="s">
        <v>126</v>
      </c>
    </row>
    <row r="1038" spans="1:21" x14ac:dyDescent="0.2">
      <c r="A1038" s="88" t="s">
        <v>16650</v>
      </c>
      <c r="B1038" s="88" t="e">
        <f>VLOOKUP(C1038,#REF!,1,0)</f>
        <v>#REF!</v>
      </c>
      <c r="C1038" s="1" t="s">
        <v>3634</v>
      </c>
      <c r="D1038" s="1" t="s">
        <v>3635</v>
      </c>
      <c r="E1038" s="1" t="s">
        <v>9380</v>
      </c>
      <c r="F1038" s="1" t="s">
        <v>8957</v>
      </c>
      <c r="G1038" t="s">
        <v>9183</v>
      </c>
      <c r="H1038" s="1" t="s">
        <v>9173</v>
      </c>
      <c r="I1038" s="1" t="s">
        <v>9174</v>
      </c>
      <c r="J1038" s="2" t="s">
        <v>9036</v>
      </c>
      <c r="K1038" s="1" t="s">
        <v>9036</v>
      </c>
      <c r="L1038" s="1" t="s">
        <v>8951</v>
      </c>
      <c r="M1038" s="1">
        <v>8</v>
      </c>
      <c r="N1038" s="1" t="s">
        <v>9059</v>
      </c>
      <c r="O1038" s="1" t="s">
        <v>8989</v>
      </c>
      <c r="P1038" s="1" t="s">
        <v>8955</v>
      </c>
      <c r="Q1038" s="1" t="s">
        <v>8956</v>
      </c>
      <c r="R1038" s="1" t="s">
        <v>8958</v>
      </c>
      <c r="S1038" s="1" t="s">
        <v>3636</v>
      </c>
      <c r="T1038" s="1" t="s">
        <v>11</v>
      </c>
      <c r="U1038" s="1" t="s">
        <v>3637</v>
      </c>
    </row>
    <row r="1039" spans="1:21" x14ac:dyDescent="0.2">
      <c r="A1039" s="88" t="s">
        <v>16651</v>
      </c>
      <c r="B1039" s="88" t="e">
        <f>VLOOKUP(C1039,#REF!,1,0)</f>
        <v>#REF!</v>
      </c>
      <c r="C1039" s="1" t="s">
        <v>3638</v>
      </c>
      <c r="D1039" s="1" t="s">
        <v>3639</v>
      </c>
      <c r="E1039" s="1" t="s">
        <v>9176</v>
      </c>
      <c r="F1039" s="1" t="s">
        <v>8957</v>
      </c>
      <c r="G1039" t="s">
        <v>9183</v>
      </c>
      <c r="H1039" s="1" t="s">
        <v>9049</v>
      </c>
      <c r="I1039" s="1" t="s">
        <v>9050</v>
      </c>
      <c r="J1039" s="2" t="s">
        <v>9036</v>
      </c>
      <c r="K1039" s="1" t="s">
        <v>9036</v>
      </c>
      <c r="L1039" s="1" t="s">
        <v>8951</v>
      </c>
      <c r="M1039" s="1">
        <v>209</v>
      </c>
      <c r="N1039" s="1" t="s">
        <v>8953</v>
      </c>
      <c r="O1039" s="1" t="s">
        <v>8954</v>
      </c>
      <c r="P1039" s="1" t="s">
        <v>8955</v>
      </c>
      <c r="Q1039" s="1" t="s">
        <v>8956</v>
      </c>
      <c r="R1039" s="1" t="s">
        <v>9103</v>
      </c>
      <c r="S1039" s="1" t="s">
        <v>3640</v>
      </c>
      <c r="T1039" s="1" t="s">
        <v>11</v>
      </c>
      <c r="U1039" s="1" t="s">
        <v>3641</v>
      </c>
    </row>
    <row r="1040" spans="1:21" x14ac:dyDescent="0.2">
      <c r="A1040" s="88" t="s">
        <v>16652</v>
      </c>
      <c r="B1040" s="88" t="e">
        <f>VLOOKUP(C1040,#REF!,1,0)</f>
        <v>#REF!</v>
      </c>
      <c r="C1040" s="1" t="s">
        <v>3642</v>
      </c>
      <c r="D1040" s="1" t="s">
        <v>3643</v>
      </c>
      <c r="E1040" s="1" t="s">
        <v>9176</v>
      </c>
      <c r="F1040" s="1" t="s">
        <v>8957</v>
      </c>
      <c r="G1040" t="s">
        <v>8959</v>
      </c>
      <c r="H1040" s="1" t="s">
        <v>20714</v>
      </c>
      <c r="I1040" s="1" t="s">
        <v>9050</v>
      </c>
      <c r="J1040" s="2" t="s">
        <v>18497</v>
      </c>
      <c r="K1040" s="1" t="s">
        <v>21658</v>
      </c>
      <c r="L1040" s="1" t="s">
        <v>8951</v>
      </c>
      <c r="M1040" s="1">
        <v>136</v>
      </c>
      <c r="N1040" s="1" t="s">
        <v>8953</v>
      </c>
      <c r="O1040" s="1" t="s">
        <v>8954</v>
      </c>
      <c r="P1040" s="1" t="s">
        <v>8955</v>
      </c>
      <c r="Q1040" s="1" t="s">
        <v>8956</v>
      </c>
      <c r="R1040" s="1" t="s">
        <v>8958</v>
      </c>
      <c r="S1040" s="1" t="s">
        <v>19269</v>
      </c>
      <c r="T1040" s="1" t="s">
        <v>17</v>
      </c>
      <c r="U1040" s="1" t="s">
        <v>74</v>
      </c>
    </row>
    <row r="1041" spans="1:21" x14ac:dyDescent="0.2">
      <c r="A1041" s="88" t="s">
        <v>21812</v>
      </c>
      <c r="B1041" s="88" t="e">
        <f>VLOOKUP(C1041,#REF!,1,0)</f>
        <v>#REF!</v>
      </c>
      <c r="C1041" s="1" t="s">
        <v>3644</v>
      </c>
      <c r="D1041" s="1" t="s">
        <v>3645</v>
      </c>
      <c r="E1041" s="1" t="s">
        <v>20794</v>
      </c>
      <c r="F1041" s="1" t="s">
        <v>8959</v>
      </c>
      <c r="G1041" t="s">
        <v>8959</v>
      </c>
      <c r="H1041" s="1" t="s">
        <v>9035</v>
      </c>
      <c r="I1041" s="1" t="s">
        <v>9308</v>
      </c>
      <c r="J1041" s="2" t="s">
        <v>21328</v>
      </c>
      <c r="K1041" s="1" t="s">
        <v>21689</v>
      </c>
      <c r="L1041" s="1" t="s">
        <v>21600</v>
      </c>
      <c r="M1041" s="1">
        <v>247</v>
      </c>
      <c r="N1041" s="1" t="s">
        <v>8953</v>
      </c>
      <c r="O1041" s="1" t="s">
        <v>8954</v>
      </c>
      <c r="P1041" s="1" t="s">
        <v>8955</v>
      </c>
      <c r="Q1041" s="1" t="s">
        <v>8956</v>
      </c>
      <c r="R1041" s="1" t="s">
        <v>8975</v>
      </c>
      <c r="S1041" s="1" t="s">
        <v>19270</v>
      </c>
      <c r="T1041" s="1" t="s">
        <v>7</v>
      </c>
      <c r="U1041" s="1" t="s">
        <v>64</v>
      </c>
    </row>
    <row r="1042" spans="1:21" x14ac:dyDescent="0.2">
      <c r="A1042" s="88" t="s">
        <v>16654</v>
      </c>
      <c r="B1042" s="88" t="e">
        <f>VLOOKUP(C1042,#REF!,1,0)</f>
        <v>#REF!</v>
      </c>
      <c r="C1042" s="1" t="s">
        <v>3646</v>
      </c>
      <c r="D1042" s="1" t="s">
        <v>3647</v>
      </c>
      <c r="E1042" s="1" t="s">
        <v>9380</v>
      </c>
      <c r="F1042" s="1" t="s">
        <v>8957</v>
      </c>
      <c r="G1042" t="s">
        <v>8959</v>
      </c>
      <c r="H1042" s="1" t="s">
        <v>9252</v>
      </c>
      <c r="I1042" s="1" t="s">
        <v>9155</v>
      </c>
      <c r="J1042" s="2" t="s">
        <v>10492</v>
      </c>
      <c r="K1042" s="1" t="s">
        <v>21645</v>
      </c>
      <c r="L1042" s="1" t="s">
        <v>9076</v>
      </c>
      <c r="M1042" s="1">
        <v>1200</v>
      </c>
      <c r="N1042" s="1" t="s">
        <v>8953</v>
      </c>
      <c r="O1042" s="1" t="s">
        <v>8989</v>
      </c>
      <c r="P1042" s="1" t="s">
        <v>8955</v>
      </c>
      <c r="Q1042" s="1" t="s">
        <v>8956</v>
      </c>
      <c r="R1042" s="1" t="s">
        <v>9103</v>
      </c>
      <c r="S1042" s="1" t="s">
        <v>19271</v>
      </c>
      <c r="T1042" s="1" t="s">
        <v>17</v>
      </c>
      <c r="U1042" s="1" t="s">
        <v>210</v>
      </c>
    </row>
    <row r="1043" spans="1:21" x14ac:dyDescent="0.2">
      <c r="A1043" s="88" t="s">
        <v>16655</v>
      </c>
      <c r="B1043" s="88" t="e">
        <f>VLOOKUP(C1043,#REF!,1,0)</f>
        <v>#REF!</v>
      </c>
      <c r="C1043" s="1" t="s">
        <v>3648</v>
      </c>
      <c r="D1043" s="1" t="s">
        <v>3649</v>
      </c>
      <c r="E1043" s="1" t="s">
        <v>9010</v>
      </c>
      <c r="F1043" s="1" t="s">
        <v>8957</v>
      </c>
      <c r="G1043" t="s">
        <v>8959</v>
      </c>
      <c r="H1043" s="1" t="s">
        <v>15288</v>
      </c>
      <c r="I1043" s="1" t="s">
        <v>9155</v>
      </c>
      <c r="J1043" s="2" t="s">
        <v>9036</v>
      </c>
      <c r="K1043" s="1" t="s">
        <v>9036</v>
      </c>
      <c r="L1043" s="1" t="s">
        <v>9133</v>
      </c>
      <c r="M1043" s="1">
        <v>6960</v>
      </c>
      <c r="N1043" s="1" t="s">
        <v>8953</v>
      </c>
      <c r="O1043" s="1" t="s">
        <v>8954</v>
      </c>
      <c r="P1043" s="1" t="s">
        <v>8955</v>
      </c>
      <c r="Q1043" s="1" t="s">
        <v>8956</v>
      </c>
      <c r="R1043" s="1" t="s">
        <v>8958</v>
      </c>
      <c r="S1043" s="1" t="s">
        <v>3650</v>
      </c>
      <c r="T1043" s="1" t="s">
        <v>17</v>
      </c>
      <c r="U1043" s="1" t="s">
        <v>126</v>
      </c>
    </row>
    <row r="1044" spans="1:21" x14ac:dyDescent="0.2">
      <c r="A1044" s="88" t="s">
        <v>16656</v>
      </c>
      <c r="B1044" s="88" t="e">
        <f>VLOOKUP(C1044,#REF!,1,0)</f>
        <v>#REF!</v>
      </c>
      <c r="C1044" s="1" t="s">
        <v>3651</v>
      </c>
      <c r="D1044" s="1" t="s">
        <v>3652</v>
      </c>
      <c r="E1044" s="1" t="s">
        <v>9333</v>
      </c>
      <c r="F1044" s="1" t="s">
        <v>8957</v>
      </c>
      <c r="G1044" t="s">
        <v>9061</v>
      </c>
      <c r="H1044" s="1" t="s">
        <v>9075</v>
      </c>
      <c r="I1044" s="1" t="s">
        <v>8998</v>
      </c>
      <c r="J1044" s="2" t="s">
        <v>20785</v>
      </c>
      <c r="K1044" s="1" t="s">
        <v>18491</v>
      </c>
      <c r="L1044" s="1" t="s">
        <v>9464</v>
      </c>
      <c r="M1044" s="1">
        <v>5590</v>
      </c>
      <c r="N1044" s="1" t="s">
        <v>8953</v>
      </c>
      <c r="O1044" s="1" t="s">
        <v>8989</v>
      </c>
      <c r="P1044" s="1" t="s">
        <v>8955</v>
      </c>
      <c r="Q1044" s="1" t="s">
        <v>8956</v>
      </c>
      <c r="R1044" s="1" t="s">
        <v>8975</v>
      </c>
      <c r="S1044" s="1" t="s">
        <v>19272</v>
      </c>
      <c r="T1044" s="1" t="s">
        <v>7</v>
      </c>
      <c r="U1044" s="1" t="s">
        <v>93</v>
      </c>
    </row>
    <row r="1045" spans="1:21" x14ac:dyDescent="0.2">
      <c r="A1045" s="88" t="s">
        <v>16657</v>
      </c>
      <c r="B1045" s="88" t="e">
        <f>VLOOKUP(C1045,#REF!,1,0)</f>
        <v>#REF!</v>
      </c>
      <c r="C1045" s="1" t="s">
        <v>3656</v>
      </c>
      <c r="D1045" s="1" t="s">
        <v>3657</v>
      </c>
      <c r="E1045" s="1" t="s">
        <v>9333</v>
      </c>
      <c r="F1045" s="1" t="s">
        <v>8959</v>
      </c>
      <c r="G1045" t="s">
        <v>9061</v>
      </c>
      <c r="H1045" s="1" t="s">
        <v>8948</v>
      </c>
      <c r="I1045" s="1" t="s">
        <v>8949</v>
      </c>
      <c r="J1045" s="2" t="s">
        <v>20779</v>
      </c>
      <c r="K1045" s="1" t="s">
        <v>9036</v>
      </c>
      <c r="L1045" s="1" t="s">
        <v>9076</v>
      </c>
      <c r="M1045" s="1">
        <v>1320</v>
      </c>
      <c r="N1045" s="1" t="s">
        <v>8953</v>
      </c>
      <c r="O1045" s="1" t="s">
        <v>8954</v>
      </c>
      <c r="P1045" s="1" t="s">
        <v>8955</v>
      </c>
      <c r="Q1045" s="1" t="s">
        <v>8956</v>
      </c>
      <c r="R1045" s="1" t="s">
        <v>8975</v>
      </c>
      <c r="S1045" s="1" t="s">
        <v>19274</v>
      </c>
      <c r="T1045" s="1" t="s">
        <v>7</v>
      </c>
      <c r="U1045" s="1" t="s">
        <v>3658</v>
      </c>
    </row>
    <row r="1046" spans="1:21" x14ac:dyDescent="0.2">
      <c r="A1046" s="88" t="s">
        <v>16658</v>
      </c>
      <c r="B1046" s="88" t="e">
        <f>VLOOKUP(C1046,#REF!,1,0)</f>
        <v>#REF!</v>
      </c>
      <c r="C1046" s="1" t="s">
        <v>3659</v>
      </c>
      <c r="D1046" s="1" t="s">
        <v>3660</v>
      </c>
      <c r="E1046" s="1" t="s">
        <v>10873</v>
      </c>
      <c r="F1046" s="1" t="s">
        <v>8957</v>
      </c>
      <c r="G1046" t="s">
        <v>8959</v>
      </c>
      <c r="H1046" s="1" t="s">
        <v>8948</v>
      </c>
      <c r="I1046" s="1" t="s">
        <v>9155</v>
      </c>
      <c r="J1046" s="2" t="s">
        <v>20785</v>
      </c>
      <c r="K1046" s="1" t="s">
        <v>9386</v>
      </c>
      <c r="L1046" s="1" t="s">
        <v>21600</v>
      </c>
      <c r="M1046" s="1">
        <v>229</v>
      </c>
      <c r="N1046" s="1" t="s">
        <v>8953</v>
      </c>
      <c r="O1046" s="1" t="s">
        <v>8989</v>
      </c>
      <c r="P1046" s="1" t="s">
        <v>8955</v>
      </c>
      <c r="Q1046" s="1" t="s">
        <v>8956</v>
      </c>
      <c r="R1046" s="1" t="s">
        <v>9103</v>
      </c>
      <c r="S1046" s="1" t="s">
        <v>19275</v>
      </c>
      <c r="T1046" s="1" t="s">
        <v>7</v>
      </c>
      <c r="U1046" s="1" t="s">
        <v>93</v>
      </c>
    </row>
    <row r="1047" spans="1:21" x14ac:dyDescent="0.2">
      <c r="A1047" s="88" t="s">
        <v>16659</v>
      </c>
      <c r="B1047" s="88" t="e">
        <f>VLOOKUP(C1047,#REF!,1,0)</f>
        <v>#REF!</v>
      </c>
      <c r="C1047" s="1" t="s">
        <v>3661</v>
      </c>
      <c r="D1047" s="1" t="s">
        <v>3662</v>
      </c>
      <c r="E1047" s="1" t="s">
        <v>9010</v>
      </c>
      <c r="F1047" s="1" t="s">
        <v>8957</v>
      </c>
      <c r="G1047" t="s">
        <v>9183</v>
      </c>
      <c r="H1047" s="1" t="s">
        <v>9049</v>
      </c>
      <c r="I1047" s="1" t="s">
        <v>9325</v>
      </c>
      <c r="J1047" s="2" t="s">
        <v>9018</v>
      </c>
      <c r="K1047" s="1" t="s">
        <v>9018</v>
      </c>
      <c r="L1047" s="1" t="s">
        <v>8987</v>
      </c>
      <c r="M1047" s="1">
        <v>1708</v>
      </c>
      <c r="N1047" s="1" t="s">
        <v>8953</v>
      </c>
      <c r="O1047" s="1" t="s">
        <v>8954</v>
      </c>
      <c r="P1047" s="1" t="s">
        <v>8955</v>
      </c>
      <c r="Q1047" s="1" t="s">
        <v>8956</v>
      </c>
      <c r="R1047" s="1" t="s">
        <v>8975</v>
      </c>
      <c r="S1047" s="1" t="s">
        <v>3663</v>
      </c>
      <c r="T1047" s="1" t="s">
        <v>17</v>
      </c>
      <c r="U1047" s="1" t="s">
        <v>1918</v>
      </c>
    </row>
    <row r="1048" spans="1:21" x14ac:dyDescent="0.2">
      <c r="A1048" s="88" t="s">
        <v>16660</v>
      </c>
      <c r="B1048" s="88" t="e">
        <f>VLOOKUP(C1048,#REF!,1,0)</f>
        <v>#REF!</v>
      </c>
      <c r="C1048" s="1" t="s">
        <v>3667</v>
      </c>
      <c r="D1048" s="1" t="s">
        <v>3668</v>
      </c>
      <c r="E1048" s="1" t="s">
        <v>9213</v>
      </c>
      <c r="F1048" s="1" t="s">
        <v>8957</v>
      </c>
      <c r="G1048" t="s">
        <v>8959</v>
      </c>
      <c r="H1048" s="1" t="s">
        <v>9154</v>
      </c>
      <c r="I1048" s="1" t="s">
        <v>8998</v>
      </c>
      <c r="J1048" s="2" t="s">
        <v>21426</v>
      </c>
      <c r="K1048" s="1" t="s">
        <v>21690</v>
      </c>
      <c r="L1048" s="1" t="s">
        <v>9464</v>
      </c>
      <c r="M1048" s="1">
        <v>2100</v>
      </c>
      <c r="N1048" s="1" t="s">
        <v>8953</v>
      </c>
      <c r="O1048" s="1" t="s">
        <v>8989</v>
      </c>
      <c r="P1048" s="1" t="s">
        <v>8955</v>
      </c>
      <c r="Q1048" s="1" t="s">
        <v>8956</v>
      </c>
      <c r="R1048" s="1" t="s">
        <v>9103</v>
      </c>
      <c r="S1048" s="1" t="s">
        <v>19277</v>
      </c>
      <c r="T1048" s="1" t="s">
        <v>17</v>
      </c>
      <c r="U1048" s="1" t="s">
        <v>93</v>
      </c>
    </row>
    <row r="1049" spans="1:21" x14ac:dyDescent="0.2">
      <c r="A1049" s="88" t="s">
        <v>16661</v>
      </c>
      <c r="B1049" s="88" t="e">
        <f>VLOOKUP(C1049,#REF!,1,0)</f>
        <v>#REF!</v>
      </c>
      <c r="C1049" s="1" t="s">
        <v>3669</v>
      </c>
      <c r="D1049" s="1" t="s">
        <v>3670</v>
      </c>
      <c r="E1049" s="1" t="s">
        <v>10873</v>
      </c>
      <c r="F1049" s="1" t="s">
        <v>8957</v>
      </c>
      <c r="G1049" t="s">
        <v>9009</v>
      </c>
      <c r="H1049" s="1" t="s">
        <v>9092</v>
      </c>
      <c r="I1049" s="1" t="s">
        <v>9308</v>
      </c>
      <c r="J1049" s="2" t="s">
        <v>9036</v>
      </c>
      <c r="K1049" s="1" t="s">
        <v>9036</v>
      </c>
      <c r="L1049" s="1" t="s">
        <v>8951</v>
      </c>
      <c r="M1049" s="1">
        <v>11112</v>
      </c>
      <c r="N1049" s="1" t="s">
        <v>8953</v>
      </c>
      <c r="O1049" s="1" t="s">
        <v>8989</v>
      </c>
      <c r="P1049" s="1" t="s">
        <v>8955</v>
      </c>
      <c r="Q1049" s="1" t="s">
        <v>8956</v>
      </c>
      <c r="R1049" s="1" t="s">
        <v>9103</v>
      </c>
      <c r="S1049" s="1" t="s">
        <v>3671</v>
      </c>
      <c r="T1049" s="1" t="s">
        <v>11</v>
      </c>
      <c r="U1049" s="1" t="s">
        <v>77</v>
      </c>
    </row>
    <row r="1050" spans="1:21" x14ac:dyDescent="0.2">
      <c r="A1050" s="88" t="s">
        <v>16664</v>
      </c>
      <c r="B1050" s="88" t="e">
        <f>VLOOKUP(C1050,#REF!,1,0)</f>
        <v>#REF!</v>
      </c>
      <c r="C1050" s="1" t="s">
        <v>3676</v>
      </c>
      <c r="D1050" s="1" t="s">
        <v>3677</v>
      </c>
      <c r="E1050" s="1" t="s">
        <v>9213</v>
      </c>
      <c r="F1050" s="1" t="s">
        <v>8957</v>
      </c>
      <c r="G1050" t="s">
        <v>9061</v>
      </c>
      <c r="H1050" s="1" t="s">
        <v>9252</v>
      </c>
      <c r="I1050" s="1" t="s">
        <v>9253</v>
      </c>
      <c r="J1050" s="2" t="s">
        <v>9599</v>
      </c>
      <c r="K1050" s="1" t="s">
        <v>9599</v>
      </c>
      <c r="L1050" s="1" t="s">
        <v>9076</v>
      </c>
      <c r="M1050" s="1">
        <v>29107</v>
      </c>
      <c r="N1050" s="1" t="s">
        <v>8953</v>
      </c>
      <c r="O1050" s="1" t="s">
        <v>8954</v>
      </c>
      <c r="P1050" s="1" t="s">
        <v>8955</v>
      </c>
      <c r="Q1050" s="1" t="s">
        <v>8956</v>
      </c>
      <c r="R1050" s="1" t="s">
        <v>8958</v>
      </c>
      <c r="S1050" s="1" t="s">
        <v>3678</v>
      </c>
      <c r="T1050" s="1" t="s">
        <v>11</v>
      </c>
      <c r="U1050" s="1" t="s">
        <v>24</v>
      </c>
    </row>
    <row r="1051" spans="1:21" x14ac:dyDescent="0.2">
      <c r="A1051" s="88" t="s">
        <v>16665</v>
      </c>
      <c r="B1051" s="88" t="e">
        <f>VLOOKUP(C1051,#REF!,1,0)</f>
        <v>#REF!</v>
      </c>
      <c r="C1051" s="1" t="s">
        <v>3679</v>
      </c>
      <c r="D1051" s="1" t="s">
        <v>3680</v>
      </c>
      <c r="E1051" s="1" t="s">
        <v>9213</v>
      </c>
      <c r="F1051" s="1" t="s">
        <v>9060</v>
      </c>
      <c r="G1051" t="s">
        <v>8959</v>
      </c>
      <c r="H1051" s="1" t="s">
        <v>9035</v>
      </c>
      <c r="I1051" s="1" t="s">
        <v>8998</v>
      </c>
      <c r="J1051" s="2" t="s">
        <v>10178</v>
      </c>
      <c r="K1051" s="1" t="s">
        <v>21524</v>
      </c>
      <c r="L1051" s="1" t="s">
        <v>8987</v>
      </c>
      <c r="M1051" s="1">
        <v>600</v>
      </c>
      <c r="N1051" s="1" t="s">
        <v>8953</v>
      </c>
      <c r="O1051" s="1" t="s">
        <v>8954</v>
      </c>
      <c r="P1051" s="1" t="s">
        <v>8955</v>
      </c>
      <c r="Q1051" s="1" t="s">
        <v>8956</v>
      </c>
      <c r="R1051" s="1" t="s">
        <v>8975</v>
      </c>
      <c r="S1051" s="1" t="s">
        <v>3681</v>
      </c>
      <c r="T1051" s="1" t="s">
        <v>11</v>
      </c>
      <c r="U1051" s="1" t="s">
        <v>87</v>
      </c>
    </row>
    <row r="1052" spans="1:21" x14ac:dyDescent="0.2">
      <c r="A1052" s="88" t="s">
        <v>16666</v>
      </c>
      <c r="B1052" s="88" t="e">
        <f>VLOOKUP(C1052,#REF!,1,0)</f>
        <v>#REF!</v>
      </c>
      <c r="C1052" s="1" t="s">
        <v>3682</v>
      </c>
      <c r="D1052" s="1" t="s">
        <v>3683</v>
      </c>
      <c r="E1052" s="1" t="s">
        <v>9213</v>
      </c>
      <c r="F1052" s="1" t="s">
        <v>8957</v>
      </c>
      <c r="G1052" t="s">
        <v>9061</v>
      </c>
      <c r="H1052" s="1" t="s">
        <v>9035</v>
      </c>
      <c r="I1052" s="1" t="s">
        <v>8998</v>
      </c>
      <c r="J1052" s="2" t="s">
        <v>20838</v>
      </c>
      <c r="K1052" s="1" t="s">
        <v>20755</v>
      </c>
      <c r="L1052" s="1" t="s">
        <v>9157</v>
      </c>
      <c r="M1052" s="1">
        <v>908</v>
      </c>
      <c r="N1052" s="1" t="s">
        <v>9059</v>
      </c>
      <c r="O1052" s="1" t="s">
        <v>8954</v>
      </c>
      <c r="P1052" s="1" t="s">
        <v>8955</v>
      </c>
      <c r="Q1052" s="1" t="s">
        <v>8956</v>
      </c>
      <c r="R1052" s="1" t="s">
        <v>8958</v>
      </c>
      <c r="S1052" s="1" t="s">
        <v>19280</v>
      </c>
      <c r="T1052" s="1" t="s">
        <v>7</v>
      </c>
      <c r="U1052" s="1" t="s">
        <v>180</v>
      </c>
    </row>
    <row r="1053" spans="1:21" x14ac:dyDescent="0.2">
      <c r="A1053" s="88" t="s">
        <v>16667</v>
      </c>
      <c r="B1053" s="88" t="e">
        <f>VLOOKUP(C1053,#REF!,1,0)</f>
        <v>#REF!</v>
      </c>
      <c r="C1053" s="1" t="s">
        <v>3684</v>
      </c>
      <c r="D1053" s="1" t="s">
        <v>3685</v>
      </c>
      <c r="E1053" s="1" t="s">
        <v>9213</v>
      </c>
      <c r="F1053" s="1" t="s">
        <v>8957</v>
      </c>
      <c r="G1053" t="s">
        <v>9061</v>
      </c>
      <c r="H1053" s="1" t="s">
        <v>9035</v>
      </c>
      <c r="I1053" s="1" t="s">
        <v>8998</v>
      </c>
      <c r="J1053" s="2" t="s">
        <v>20723</v>
      </c>
      <c r="K1053" s="1" t="s">
        <v>20723</v>
      </c>
      <c r="L1053" s="1" t="s">
        <v>8987</v>
      </c>
      <c r="M1053" s="1">
        <v>626</v>
      </c>
      <c r="N1053" s="1" t="s">
        <v>9059</v>
      </c>
      <c r="O1053" s="1" t="s">
        <v>8989</v>
      </c>
      <c r="P1053" s="1" t="s">
        <v>8955</v>
      </c>
      <c r="Q1053" s="1" t="s">
        <v>8956</v>
      </c>
      <c r="R1053" s="1" t="s">
        <v>8958</v>
      </c>
      <c r="S1053" s="1" t="s">
        <v>19281</v>
      </c>
      <c r="T1053" s="1" t="s">
        <v>7</v>
      </c>
      <c r="U1053" s="1" t="s">
        <v>147</v>
      </c>
    </row>
    <row r="1054" spans="1:21" x14ac:dyDescent="0.2">
      <c r="A1054" s="88" t="s">
        <v>16668</v>
      </c>
      <c r="B1054" s="88" t="e">
        <f>VLOOKUP(C1054,#REF!,1,0)</f>
        <v>#REF!</v>
      </c>
      <c r="C1054" s="1" t="s">
        <v>3686</v>
      </c>
      <c r="D1054" s="1" t="s">
        <v>3687</v>
      </c>
      <c r="E1054" s="1" t="s">
        <v>9213</v>
      </c>
      <c r="F1054" s="1" t="s">
        <v>8957</v>
      </c>
      <c r="G1054" t="s">
        <v>9061</v>
      </c>
      <c r="H1054" s="1" t="s">
        <v>9035</v>
      </c>
      <c r="I1054" s="1" t="s">
        <v>9308</v>
      </c>
      <c r="J1054" s="2" t="s">
        <v>20838</v>
      </c>
      <c r="K1054" s="1" t="s">
        <v>20755</v>
      </c>
      <c r="L1054" s="1" t="s">
        <v>8951</v>
      </c>
      <c r="M1054" s="1">
        <v>169</v>
      </c>
      <c r="N1054" s="1" t="s">
        <v>9059</v>
      </c>
      <c r="O1054" s="1" t="s">
        <v>8989</v>
      </c>
      <c r="P1054" s="1" t="s">
        <v>8955</v>
      </c>
      <c r="Q1054" s="1" t="s">
        <v>8956</v>
      </c>
      <c r="R1054" s="1" t="s">
        <v>9103</v>
      </c>
      <c r="S1054" s="1" t="s">
        <v>19282</v>
      </c>
      <c r="T1054" s="1" t="s">
        <v>7</v>
      </c>
      <c r="U1054" s="1" t="s">
        <v>147</v>
      </c>
    </row>
    <row r="1055" spans="1:21" x14ac:dyDescent="0.2">
      <c r="A1055" s="88" t="s">
        <v>16669</v>
      </c>
      <c r="B1055" s="88" t="e">
        <f>VLOOKUP(C1055,#REF!,1,0)</f>
        <v>#REF!</v>
      </c>
      <c r="C1055" s="1" t="s">
        <v>3688</v>
      </c>
      <c r="D1055" s="1" t="s">
        <v>3689</v>
      </c>
      <c r="E1055" s="1" t="s">
        <v>9213</v>
      </c>
      <c r="F1055" s="1" t="s">
        <v>8957</v>
      </c>
      <c r="G1055" t="s">
        <v>9061</v>
      </c>
      <c r="H1055" s="1" t="s">
        <v>8948</v>
      </c>
      <c r="I1055" s="1" t="s">
        <v>8949</v>
      </c>
      <c r="J1055" s="2" t="s">
        <v>9041</v>
      </c>
      <c r="K1055" s="1" t="s">
        <v>9041</v>
      </c>
      <c r="L1055" s="1" t="s">
        <v>9464</v>
      </c>
      <c r="M1055" s="1">
        <v>10</v>
      </c>
      <c r="N1055" s="1" t="s">
        <v>9059</v>
      </c>
      <c r="O1055" s="1" t="s">
        <v>8989</v>
      </c>
      <c r="P1055" s="1" t="s">
        <v>8955</v>
      </c>
      <c r="Q1055" s="1" t="s">
        <v>8956</v>
      </c>
      <c r="R1055" s="1" t="s">
        <v>9103</v>
      </c>
      <c r="S1055" s="1" t="s">
        <v>3690</v>
      </c>
      <c r="T1055" s="1" t="s">
        <v>17</v>
      </c>
      <c r="U1055" s="1" t="s">
        <v>392</v>
      </c>
    </row>
    <row r="1056" spans="1:21" x14ac:dyDescent="0.2">
      <c r="A1056" s="88" t="s">
        <v>16670</v>
      </c>
      <c r="B1056" s="88" t="e">
        <f>VLOOKUP(C1056,#REF!,1,0)</f>
        <v>#REF!</v>
      </c>
      <c r="C1056" s="1" t="s">
        <v>3691</v>
      </c>
      <c r="D1056" s="1" t="s">
        <v>3692</v>
      </c>
      <c r="E1056" s="1" t="s">
        <v>9213</v>
      </c>
      <c r="F1056" s="1" t="s">
        <v>8957</v>
      </c>
      <c r="G1056" t="s">
        <v>8959</v>
      </c>
      <c r="H1056" s="1" t="s">
        <v>8948</v>
      </c>
      <c r="I1056" s="1" t="s">
        <v>8971</v>
      </c>
      <c r="J1056" s="2" t="s">
        <v>10525</v>
      </c>
      <c r="K1056" s="1" t="s">
        <v>10525</v>
      </c>
      <c r="L1056" s="1" t="s">
        <v>9133</v>
      </c>
      <c r="M1056" s="1">
        <v>172</v>
      </c>
      <c r="N1056" s="1" t="s">
        <v>8953</v>
      </c>
      <c r="O1056" s="1" t="s">
        <v>8989</v>
      </c>
      <c r="P1056" s="1" t="s">
        <v>8955</v>
      </c>
      <c r="Q1056" s="1" t="s">
        <v>8956</v>
      </c>
      <c r="R1056" s="1" t="s">
        <v>8958</v>
      </c>
      <c r="S1056" s="1" t="s">
        <v>19283</v>
      </c>
      <c r="T1056" s="1" t="s">
        <v>17</v>
      </c>
      <c r="U1056" s="1" t="s">
        <v>2633</v>
      </c>
    </row>
    <row r="1057" spans="1:21" x14ac:dyDescent="0.2">
      <c r="A1057" s="88" t="s">
        <v>16671</v>
      </c>
      <c r="B1057" s="88" t="e">
        <f>VLOOKUP(C1057,#REF!,1,0)</f>
        <v>#REF!</v>
      </c>
      <c r="C1057" s="1" t="s">
        <v>3693</v>
      </c>
      <c r="D1057" s="1" t="s">
        <v>3694</v>
      </c>
      <c r="E1057" s="1" t="s">
        <v>9213</v>
      </c>
      <c r="F1057" s="1" t="s">
        <v>8957</v>
      </c>
      <c r="G1057" t="s">
        <v>8959</v>
      </c>
      <c r="H1057" s="1" t="s">
        <v>9100</v>
      </c>
      <c r="I1057" s="1" t="s">
        <v>9155</v>
      </c>
      <c r="J1057" s="2" t="s">
        <v>20805</v>
      </c>
      <c r="K1057" s="1" t="s">
        <v>9212</v>
      </c>
      <c r="L1057" s="1" t="s">
        <v>8987</v>
      </c>
      <c r="M1057" s="1">
        <v>1245</v>
      </c>
      <c r="N1057" s="1" t="s">
        <v>8953</v>
      </c>
      <c r="O1057" s="1" t="s">
        <v>8954</v>
      </c>
      <c r="P1057" s="1" t="s">
        <v>8955</v>
      </c>
      <c r="Q1057" s="1" t="s">
        <v>8956</v>
      </c>
      <c r="R1057" s="1" t="s">
        <v>8958</v>
      </c>
      <c r="S1057" s="1" t="s">
        <v>19284</v>
      </c>
      <c r="T1057" s="1" t="s">
        <v>7</v>
      </c>
      <c r="U1057" s="1" t="s">
        <v>1598</v>
      </c>
    </row>
    <row r="1058" spans="1:21" x14ac:dyDescent="0.2">
      <c r="A1058" s="88" t="s">
        <v>16672</v>
      </c>
      <c r="B1058" s="88" t="e">
        <f>VLOOKUP(C1058,#REF!,1,0)</f>
        <v>#REF!</v>
      </c>
      <c r="C1058" s="1" t="s">
        <v>3695</v>
      </c>
      <c r="D1058" s="1" t="s">
        <v>3696</v>
      </c>
      <c r="E1058" s="1" t="s">
        <v>18502</v>
      </c>
      <c r="F1058" s="1" t="s">
        <v>8957</v>
      </c>
      <c r="G1058" t="s">
        <v>8959</v>
      </c>
      <c r="H1058" s="1" t="s">
        <v>8948</v>
      </c>
      <c r="I1058" s="1" t="s">
        <v>8998</v>
      </c>
      <c r="J1058" s="2" t="s">
        <v>10525</v>
      </c>
      <c r="K1058" s="1" t="s">
        <v>10525</v>
      </c>
      <c r="L1058" s="1" t="s">
        <v>8987</v>
      </c>
      <c r="M1058" s="1">
        <v>77850</v>
      </c>
      <c r="N1058" s="1" t="s">
        <v>8953</v>
      </c>
      <c r="O1058" s="1" t="s">
        <v>8989</v>
      </c>
      <c r="P1058" s="1" t="s">
        <v>8955</v>
      </c>
      <c r="Q1058" s="1" t="s">
        <v>8956</v>
      </c>
      <c r="R1058" s="1" t="s">
        <v>8975</v>
      </c>
      <c r="S1058" s="1" t="s">
        <v>19285</v>
      </c>
      <c r="T1058" s="1" t="s">
        <v>7</v>
      </c>
      <c r="U1058" s="1" t="s">
        <v>46</v>
      </c>
    </row>
    <row r="1059" spans="1:21" x14ac:dyDescent="0.2">
      <c r="A1059" s="88" t="s">
        <v>16673</v>
      </c>
      <c r="B1059" s="88" t="e">
        <f>VLOOKUP(C1059,#REF!,1,0)</f>
        <v>#REF!</v>
      </c>
      <c r="C1059" s="1" t="s">
        <v>3697</v>
      </c>
      <c r="D1059" s="1" t="s">
        <v>3698</v>
      </c>
      <c r="E1059" s="1" t="s">
        <v>9010</v>
      </c>
      <c r="F1059" s="1" t="s">
        <v>8957</v>
      </c>
      <c r="G1059" t="s">
        <v>8959</v>
      </c>
      <c r="H1059" s="1" t="s">
        <v>9929</v>
      </c>
      <c r="I1059" s="1" t="s">
        <v>9155</v>
      </c>
      <c r="J1059" s="2" t="s">
        <v>9018</v>
      </c>
      <c r="K1059" s="1" t="s">
        <v>21762</v>
      </c>
      <c r="L1059" s="1" t="s">
        <v>8987</v>
      </c>
      <c r="M1059" s="1">
        <v>42000</v>
      </c>
      <c r="N1059" s="1" t="s">
        <v>8953</v>
      </c>
      <c r="O1059" s="1" t="s">
        <v>8954</v>
      </c>
      <c r="P1059" s="1" t="s">
        <v>8955</v>
      </c>
      <c r="Q1059" s="1" t="s">
        <v>8956</v>
      </c>
      <c r="R1059" s="1" t="s">
        <v>9103</v>
      </c>
      <c r="S1059" s="1" t="s">
        <v>3699</v>
      </c>
      <c r="T1059" s="1" t="s">
        <v>17</v>
      </c>
      <c r="U1059" s="1" t="s">
        <v>2024</v>
      </c>
    </row>
    <row r="1060" spans="1:21" x14ac:dyDescent="0.2">
      <c r="A1060" s="88" t="s">
        <v>16674</v>
      </c>
      <c r="B1060" s="88" t="e">
        <f>VLOOKUP(C1060,#REF!,1,0)</f>
        <v>#REF!</v>
      </c>
      <c r="C1060" s="1" t="s">
        <v>3700</v>
      </c>
      <c r="D1060" s="1" t="s">
        <v>3701</v>
      </c>
      <c r="E1060" s="1" t="s">
        <v>9213</v>
      </c>
      <c r="F1060" s="1" t="s">
        <v>8957</v>
      </c>
      <c r="G1060" t="s">
        <v>8959</v>
      </c>
      <c r="H1060" s="1" t="s">
        <v>8948</v>
      </c>
      <c r="I1060" s="1" t="s">
        <v>8949</v>
      </c>
      <c r="J1060" s="2" t="s">
        <v>21465</v>
      </c>
      <c r="K1060" s="1" t="s">
        <v>21465</v>
      </c>
      <c r="L1060" s="1" t="s">
        <v>8987</v>
      </c>
      <c r="M1060" s="1">
        <v>147</v>
      </c>
      <c r="N1060" s="1" t="s">
        <v>9059</v>
      </c>
      <c r="O1060" s="1" t="s">
        <v>8989</v>
      </c>
      <c r="P1060" s="1" t="s">
        <v>8955</v>
      </c>
      <c r="Q1060" s="1" t="s">
        <v>8956</v>
      </c>
      <c r="R1060" s="1" t="s">
        <v>8958</v>
      </c>
      <c r="S1060" s="1" t="s">
        <v>3702</v>
      </c>
      <c r="T1060" s="1" t="s">
        <v>242</v>
      </c>
      <c r="U1060" s="1" t="s">
        <v>392</v>
      </c>
    </row>
    <row r="1061" spans="1:21" x14ac:dyDescent="0.2">
      <c r="A1061" s="88" t="s">
        <v>3705</v>
      </c>
      <c r="B1061" s="88" t="e">
        <f>VLOOKUP(C1061,#REF!,1,0)</f>
        <v>#REF!</v>
      </c>
      <c r="C1061" s="1" t="s">
        <v>3706</v>
      </c>
      <c r="D1061" s="1" t="s">
        <v>3707</v>
      </c>
      <c r="E1061" s="1" t="s">
        <v>9213</v>
      </c>
      <c r="F1061" s="1" t="s">
        <v>8957</v>
      </c>
      <c r="G1061" t="s">
        <v>8959</v>
      </c>
      <c r="H1061" s="1" t="s">
        <v>9100</v>
      </c>
      <c r="I1061" s="1" t="s">
        <v>9155</v>
      </c>
      <c r="J1061" s="2" t="s">
        <v>20852</v>
      </c>
      <c r="K1061" s="1" t="s">
        <v>21462</v>
      </c>
      <c r="L1061" s="1" t="s">
        <v>9292</v>
      </c>
      <c r="M1061" s="1">
        <v>202</v>
      </c>
      <c r="N1061" s="1" t="s">
        <v>9059</v>
      </c>
      <c r="O1061" s="1" t="s">
        <v>8954</v>
      </c>
      <c r="P1061" s="1" t="s">
        <v>8955</v>
      </c>
      <c r="Q1061" s="1" t="s">
        <v>8956</v>
      </c>
      <c r="R1061" s="1" t="s">
        <v>9103</v>
      </c>
      <c r="S1061" s="1" t="s">
        <v>19287</v>
      </c>
      <c r="T1061" s="1" t="s">
        <v>11</v>
      </c>
      <c r="U1061" s="1" t="s">
        <v>2988</v>
      </c>
    </row>
    <row r="1062" spans="1:21" x14ac:dyDescent="0.2">
      <c r="A1062" s="88" t="s">
        <v>16676</v>
      </c>
      <c r="B1062" s="88" t="e">
        <f>VLOOKUP(C1062,#REF!,1,0)</f>
        <v>#REF!</v>
      </c>
      <c r="C1062" s="1" t="s">
        <v>3708</v>
      </c>
      <c r="D1062" s="1" t="s">
        <v>3709</v>
      </c>
      <c r="E1062" s="1" t="s">
        <v>9213</v>
      </c>
      <c r="F1062" s="1" t="s">
        <v>8957</v>
      </c>
      <c r="G1062" t="s">
        <v>8959</v>
      </c>
      <c r="H1062" s="1" t="s">
        <v>8948</v>
      </c>
      <c r="I1062" s="1" t="s">
        <v>9308</v>
      </c>
      <c r="J1062" s="2" t="s">
        <v>20779</v>
      </c>
      <c r="K1062" s="1" t="s">
        <v>9036</v>
      </c>
      <c r="L1062" s="1" t="s">
        <v>8951</v>
      </c>
      <c r="M1062" s="1">
        <v>12179</v>
      </c>
      <c r="N1062" s="1" t="s">
        <v>8953</v>
      </c>
      <c r="O1062" s="1" t="s">
        <v>8989</v>
      </c>
      <c r="P1062" s="1" t="s">
        <v>8955</v>
      </c>
      <c r="Q1062" s="1" t="s">
        <v>8956</v>
      </c>
      <c r="R1062" s="1" t="s">
        <v>9103</v>
      </c>
      <c r="S1062" s="1" t="s">
        <v>19288</v>
      </c>
      <c r="T1062" s="1" t="s">
        <v>17</v>
      </c>
      <c r="U1062" s="1" t="s">
        <v>24</v>
      </c>
    </row>
    <row r="1063" spans="1:21" x14ac:dyDescent="0.2">
      <c r="A1063" s="88" t="s">
        <v>16677</v>
      </c>
      <c r="B1063" s="88" t="e">
        <f>VLOOKUP(C1063,#REF!,1,0)</f>
        <v>#REF!</v>
      </c>
      <c r="C1063" s="1" t="s">
        <v>3710</v>
      </c>
      <c r="D1063" s="1" t="s">
        <v>3711</v>
      </c>
      <c r="E1063" s="1" t="s">
        <v>9213</v>
      </c>
      <c r="F1063" s="1" t="s">
        <v>8959</v>
      </c>
      <c r="G1063" t="s">
        <v>8959</v>
      </c>
      <c r="H1063" s="1" t="s">
        <v>8984</v>
      </c>
      <c r="I1063" s="1" t="s">
        <v>8949</v>
      </c>
      <c r="J1063" s="2" t="s">
        <v>21251</v>
      </c>
      <c r="K1063" s="1" t="s">
        <v>21251</v>
      </c>
      <c r="L1063" s="1" t="s">
        <v>8951</v>
      </c>
      <c r="M1063" s="1">
        <v>92645</v>
      </c>
      <c r="N1063" s="1" t="s">
        <v>8953</v>
      </c>
      <c r="O1063" s="1" t="s">
        <v>8954</v>
      </c>
      <c r="P1063" s="1" t="s">
        <v>8955</v>
      </c>
      <c r="Q1063" s="1" t="s">
        <v>8956</v>
      </c>
      <c r="R1063" s="1" t="s">
        <v>8958</v>
      </c>
      <c r="S1063" s="1" t="s">
        <v>19289</v>
      </c>
      <c r="T1063" s="1" t="s">
        <v>7</v>
      </c>
      <c r="U1063" s="1" t="s">
        <v>24</v>
      </c>
    </row>
    <row r="1064" spans="1:21" x14ac:dyDescent="0.2">
      <c r="A1064" s="88" t="s">
        <v>16678</v>
      </c>
      <c r="B1064" s="88" t="e">
        <f>VLOOKUP(C1064,#REF!,1,0)</f>
        <v>#REF!</v>
      </c>
      <c r="C1064" s="1" t="s">
        <v>3712</v>
      </c>
      <c r="D1064" s="1" t="s">
        <v>3713</v>
      </c>
      <c r="E1064" s="1" t="s">
        <v>9213</v>
      </c>
      <c r="F1064" s="1" t="s">
        <v>8959</v>
      </c>
      <c r="G1064" t="s">
        <v>9061</v>
      </c>
      <c r="H1064" s="1" t="s">
        <v>9092</v>
      </c>
      <c r="I1064" s="1" t="s">
        <v>9308</v>
      </c>
      <c r="J1064" s="2" t="s">
        <v>21595</v>
      </c>
      <c r="K1064" s="1" t="s">
        <v>20755</v>
      </c>
      <c r="L1064" s="1" t="s">
        <v>9133</v>
      </c>
      <c r="M1064" s="1">
        <v>18940</v>
      </c>
      <c r="N1064" s="1" t="s">
        <v>8953</v>
      </c>
      <c r="O1064" s="1" t="s">
        <v>8989</v>
      </c>
      <c r="P1064" s="1" t="s">
        <v>8955</v>
      </c>
      <c r="Q1064" s="1" t="s">
        <v>8956</v>
      </c>
      <c r="R1064" s="1" t="s">
        <v>8958</v>
      </c>
      <c r="S1064" s="1" t="s">
        <v>3714</v>
      </c>
      <c r="T1064" s="1" t="s">
        <v>4</v>
      </c>
      <c r="U1064" s="1" t="s">
        <v>496</v>
      </c>
    </row>
    <row r="1065" spans="1:21" x14ac:dyDescent="0.2">
      <c r="A1065" s="88" t="s">
        <v>16679</v>
      </c>
      <c r="B1065" s="88" t="e">
        <f>VLOOKUP(C1065,#REF!,1,0)</f>
        <v>#REF!</v>
      </c>
      <c r="C1065" s="1" t="s">
        <v>3715</v>
      </c>
      <c r="D1065" s="1" t="s">
        <v>3716</v>
      </c>
      <c r="E1065" s="1" t="s">
        <v>9213</v>
      </c>
      <c r="F1065" s="1" t="s">
        <v>8957</v>
      </c>
      <c r="G1065" t="s">
        <v>9061</v>
      </c>
      <c r="H1065" s="1" t="s">
        <v>9092</v>
      </c>
      <c r="I1065" s="1" t="s">
        <v>8949</v>
      </c>
      <c r="J1065" s="2" t="s">
        <v>10525</v>
      </c>
      <c r="K1065" s="1" t="s">
        <v>10525</v>
      </c>
      <c r="L1065" s="1" t="s">
        <v>8951</v>
      </c>
      <c r="M1065" s="1">
        <v>240</v>
      </c>
      <c r="N1065" s="1" t="s">
        <v>9059</v>
      </c>
      <c r="O1065" s="1" t="s">
        <v>8989</v>
      </c>
      <c r="P1065" s="1" t="s">
        <v>8955</v>
      </c>
      <c r="Q1065" s="1" t="s">
        <v>8956</v>
      </c>
      <c r="R1065" s="1" t="s">
        <v>8975</v>
      </c>
      <c r="S1065" s="1" t="s">
        <v>19290</v>
      </c>
      <c r="T1065" s="1" t="s">
        <v>17</v>
      </c>
      <c r="U1065" s="1" t="s">
        <v>184</v>
      </c>
    </row>
    <row r="1066" spans="1:21" x14ac:dyDescent="0.2">
      <c r="A1066" s="88" t="s">
        <v>16680</v>
      </c>
      <c r="B1066" s="88" t="e">
        <f>VLOOKUP(C1066,#REF!,1,0)</f>
        <v>#REF!</v>
      </c>
      <c r="C1066" s="1" t="s">
        <v>3717</v>
      </c>
      <c r="D1066" s="1" t="s">
        <v>3718</v>
      </c>
      <c r="E1066" s="1" t="s">
        <v>9213</v>
      </c>
      <c r="F1066" s="1" t="s">
        <v>8957</v>
      </c>
      <c r="G1066" t="s">
        <v>9183</v>
      </c>
      <c r="H1066" s="1" t="s">
        <v>9092</v>
      </c>
      <c r="I1066" s="1" t="s">
        <v>8949</v>
      </c>
      <c r="J1066" s="2" t="s">
        <v>9036</v>
      </c>
      <c r="K1066" s="1" t="s">
        <v>9036</v>
      </c>
      <c r="L1066" s="1" t="s">
        <v>9133</v>
      </c>
      <c r="M1066" s="1">
        <v>161</v>
      </c>
      <c r="N1066" s="1" t="s">
        <v>8953</v>
      </c>
      <c r="O1066" s="1" t="s">
        <v>8954</v>
      </c>
      <c r="P1066" s="1" t="s">
        <v>8955</v>
      </c>
      <c r="Q1066" s="1" t="s">
        <v>8956</v>
      </c>
      <c r="R1066" s="1" t="s">
        <v>8958</v>
      </c>
      <c r="S1066" s="1" t="s">
        <v>3719</v>
      </c>
      <c r="T1066" s="1" t="s">
        <v>11</v>
      </c>
      <c r="U1066" s="1" t="s">
        <v>24</v>
      </c>
    </row>
    <row r="1067" spans="1:21" x14ac:dyDescent="0.2">
      <c r="A1067" s="88" t="s">
        <v>16681</v>
      </c>
      <c r="B1067" s="88" t="e">
        <f>VLOOKUP(C1067,#REF!,1,0)</f>
        <v>#REF!</v>
      </c>
      <c r="C1067" s="1" t="s">
        <v>3720</v>
      </c>
      <c r="D1067" s="1" t="s">
        <v>3721</v>
      </c>
      <c r="E1067" s="1" t="s">
        <v>9213</v>
      </c>
      <c r="F1067" s="1" t="s">
        <v>8957</v>
      </c>
      <c r="G1067" t="s">
        <v>9183</v>
      </c>
      <c r="H1067" s="1" t="s">
        <v>9100</v>
      </c>
      <c r="I1067" s="1" t="s">
        <v>9725</v>
      </c>
      <c r="J1067" s="2" t="s">
        <v>9036</v>
      </c>
      <c r="K1067" s="1" t="s">
        <v>9036</v>
      </c>
      <c r="L1067" s="1" t="s">
        <v>9076</v>
      </c>
      <c r="M1067" s="1">
        <v>4050</v>
      </c>
      <c r="N1067" s="1" t="s">
        <v>8953</v>
      </c>
      <c r="O1067" s="1" t="s">
        <v>8954</v>
      </c>
      <c r="P1067" s="1" t="s">
        <v>8955</v>
      </c>
      <c r="Q1067" s="1" t="s">
        <v>8956</v>
      </c>
      <c r="R1067" s="1" t="s">
        <v>8975</v>
      </c>
      <c r="S1067" s="1" t="s">
        <v>3722</v>
      </c>
      <c r="T1067" s="1" t="s">
        <v>11</v>
      </c>
      <c r="U1067" s="1" t="s">
        <v>61</v>
      </c>
    </row>
    <row r="1068" spans="1:21" x14ac:dyDescent="0.2">
      <c r="A1068" s="88" t="s">
        <v>16682</v>
      </c>
      <c r="B1068" s="88" t="e">
        <f>VLOOKUP(C1068,#REF!,1,0)</f>
        <v>#REF!</v>
      </c>
      <c r="C1068" s="1" t="s">
        <v>3723</v>
      </c>
      <c r="D1068" s="1" t="s">
        <v>3724</v>
      </c>
      <c r="E1068" s="1" t="s">
        <v>9010</v>
      </c>
      <c r="F1068" s="1" t="s">
        <v>8957</v>
      </c>
      <c r="G1068" t="s">
        <v>9009</v>
      </c>
      <c r="H1068" s="1" t="s">
        <v>8948</v>
      </c>
      <c r="I1068" s="1" t="s">
        <v>9121</v>
      </c>
      <c r="J1068" s="2" t="s">
        <v>9036</v>
      </c>
      <c r="K1068" s="1" t="s">
        <v>9036</v>
      </c>
      <c r="L1068" s="1" t="s">
        <v>9464</v>
      </c>
      <c r="M1068" s="1">
        <v>114</v>
      </c>
      <c r="N1068" s="1" t="s">
        <v>8953</v>
      </c>
      <c r="O1068" s="1" t="s">
        <v>8954</v>
      </c>
      <c r="P1068" s="1" t="s">
        <v>8955</v>
      </c>
      <c r="Q1068" s="1" t="s">
        <v>8956</v>
      </c>
      <c r="R1068" s="1" t="s">
        <v>9103</v>
      </c>
      <c r="S1068" s="1" t="s">
        <v>3725</v>
      </c>
      <c r="T1068" s="1" t="s">
        <v>11</v>
      </c>
      <c r="U1068" s="1" t="s">
        <v>180</v>
      </c>
    </row>
    <row r="1069" spans="1:21" x14ac:dyDescent="0.2">
      <c r="A1069" s="88" t="s">
        <v>16683</v>
      </c>
      <c r="B1069" s="88" t="e">
        <f>VLOOKUP(C1069,#REF!,1,0)</f>
        <v>#REF!</v>
      </c>
      <c r="C1069" s="1" t="s">
        <v>3726</v>
      </c>
      <c r="D1069" s="1" t="s">
        <v>3727</v>
      </c>
      <c r="E1069" s="1" t="s">
        <v>9213</v>
      </c>
      <c r="F1069" s="1" t="s">
        <v>8957</v>
      </c>
      <c r="G1069" t="s">
        <v>8959</v>
      </c>
      <c r="H1069" s="1" t="s">
        <v>8948</v>
      </c>
      <c r="I1069" s="1" t="s">
        <v>8949</v>
      </c>
      <c r="J1069" s="2" t="s">
        <v>9051</v>
      </c>
      <c r="K1069" s="1" t="s">
        <v>21784</v>
      </c>
      <c r="L1069" s="1" t="s">
        <v>9076</v>
      </c>
      <c r="M1069" s="1">
        <v>274</v>
      </c>
      <c r="N1069" s="1" t="s">
        <v>8953</v>
      </c>
      <c r="O1069" s="1" t="s">
        <v>8954</v>
      </c>
      <c r="P1069" s="1" t="s">
        <v>8955</v>
      </c>
      <c r="Q1069" s="1" t="s">
        <v>8956</v>
      </c>
      <c r="R1069" s="1" t="s">
        <v>9103</v>
      </c>
      <c r="S1069" s="1" t="s">
        <v>3728</v>
      </c>
      <c r="T1069" s="1" t="s">
        <v>11</v>
      </c>
      <c r="U1069" s="1" t="s">
        <v>93</v>
      </c>
    </row>
    <row r="1070" spans="1:21" x14ac:dyDescent="0.2">
      <c r="A1070" s="88" t="s">
        <v>16686</v>
      </c>
      <c r="B1070" s="88" t="e">
        <f>VLOOKUP(C1070,#REF!,1,0)</f>
        <v>#REF!</v>
      </c>
      <c r="C1070" s="1" t="s">
        <v>3733</v>
      </c>
      <c r="D1070" s="1" t="s">
        <v>3734</v>
      </c>
      <c r="E1070" s="1" t="s">
        <v>9213</v>
      </c>
      <c r="F1070" s="1" t="s">
        <v>8957</v>
      </c>
      <c r="G1070" t="s">
        <v>8959</v>
      </c>
      <c r="H1070" s="1" t="s">
        <v>9092</v>
      </c>
      <c r="I1070" s="1" t="s">
        <v>8949</v>
      </c>
      <c r="J1070" s="2" t="s">
        <v>8972</v>
      </c>
      <c r="K1070" s="1" t="s">
        <v>8972</v>
      </c>
      <c r="L1070" s="1" t="s">
        <v>21600</v>
      </c>
      <c r="M1070" s="1">
        <v>500</v>
      </c>
      <c r="N1070" s="1" t="s">
        <v>8953</v>
      </c>
      <c r="O1070" s="1" t="s">
        <v>8989</v>
      </c>
      <c r="P1070" s="1" t="s">
        <v>8955</v>
      </c>
      <c r="Q1070" s="1" t="s">
        <v>8956</v>
      </c>
      <c r="R1070" s="1" t="s">
        <v>8958</v>
      </c>
      <c r="S1070" s="1" t="s">
        <v>3735</v>
      </c>
      <c r="T1070" s="1" t="s">
        <v>11</v>
      </c>
      <c r="U1070" s="1" t="s">
        <v>3736</v>
      </c>
    </row>
    <row r="1071" spans="1:21" x14ac:dyDescent="0.2">
      <c r="A1071" s="88" t="s">
        <v>16687</v>
      </c>
      <c r="B1071" s="88" t="e">
        <f>VLOOKUP(C1071,#REF!,1,0)</f>
        <v>#REF!</v>
      </c>
      <c r="C1071" s="1" t="s">
        <v>3737</v>
      </c>
      <c r="D1071" s="1" t="s">
        <v>3738</v>
      </c>
      <c r="E1071" s="1" t="s">
        <v>9213</v>
      </c>
      <c r="F1071" s="1" t="s">
        <v>8957</v>
      </c>
      <c r="G1071" t="s">
        <v>9061</v>
      </c>
      <c r="H1071" s="1" t="s">
        <v>8984</v>
      </c>
      <c r="I1071" s="1" t="s">
        <v>9308</v>
      </c>
      <c r="J1071" s="2" t="s">
        <v>20841</v>
      </c>
      <c r="K1071" s="1" t="s">
        <v>20724</v>
      </c>
      <c r="L1071" s="1" t="s">
        <v>8951</v>
      </c>
      <c r="M1071" s="1">
        <v>756</v>
      </c>
      <c r="N1071" s="1" t="s">
        <v>9059</v>
      </c>
      <c r="O1071" s="1" t="s">
        <v>8989</v>
      </c>
      <c r="P1071" s="1" t="s">
        <v>8955</v>
      </c>
      <c r="Q1071" s="1" t="s">
        <v>8956</v>
      </c>
      <c r="R1071" s="1" t="s">
        <v>8975</v>
      </c>
      <c r="S1071" s="1" t="s">
        <v>19292</v>
      </c>
      <c r="T1071" s="1" t="s">
        <v>17</v>
      </c>
      <c r="U1071" s="1" t="s">
        <v>24</v>
      </c>
    </row>
    <row r="1072" spans="1:21" x14ac:dyDescent="0.2">
      <c r="A1072" s="88" t="s">
        <v>16688</v>
      </c>
      <c r="B1072" s="88" t="e">
        <f>VLOOKUP(C1072,#REF!,1,0)</f>
        <v>#REF!</v>
      </c>
      <c r="C1072" s="1" t="s">
        <v>3739</v>
      </c>
      <c r="D1072" s="1" t="s">
        <v>3740</v>
      </c>
      <c r="E1072" s="1" t="s">
        <v>9010</v>
      </c>
      <c r="F1072" s="1" t="s">
        <v>9060</v>
      </c>
      <c r="G1072" t="s">
        <v>8959</v>
      </c>
      <c r="H1072" s="1" t="s">
        <v>9605</v>
      </c>
      <c r="I1072" s="1" t="s">
        <v>9101</v>
      </c>
      <c r="J1072" s="2" t="s">
        <v>10820</v>
      </c>
      <c r="K1072" s="1" t="s">
        <v>10820</v>
      </c>
      <c r="L1072" s="1" t="s">
        <v>9076</v>
      </c>
      <c r="M1072" s="1">
        <v>31</v>
      </c>
      <c r="N1072" s="1" t="s">
        <v>8953</v>
      </c>
      <c r="O1072" s="1" t="s">
        <v>8989</v>
      </c>
      <c r="P1072" s="1" t="s">
        <v>8955</v>
      </c>
      <c r="Q1072" s="1" t="s">
        <v>8956</v>
      </c>
      <c r="R1072" s="1" t="s">
        <v>8975</v>
      </c>
      <c r="S1072" s="1" t="s">
        <v>3741</v>
      </c>
      <c r="T1072" s="1" t="s">
        <v>11</v>
      </c>
      <c r="U1072" s="1" t="s">
        <v>24</v>
      </c>
    </row>
    <row r="1073" spans="1:21" x14ac:dyDescent="0.2">
      <c r="A1073" s="88" t="s">
        <v>16689</v>
      </c>
      <c r="B1073" s="88" t="e">
        <f>VLOOKUP(C1073,#REF!,1,0)</f>
        <v>#REF!</v>
      </c>
      <c r="C1073" s="1" t="s">
        <v>3742</v>
      </c>
      <c r="D1073" s="1" t="s">
        <v>3743</v>
      </c>
      <c r="E1073" s="1" t="s">
        <v>9213</v>
      </c>
      <c r="F1073" s="1" t="s">
        <v>8957</v>
      </c>
      <c r="G1073" t="s">
        <v>8959</v>
      </c>
      <c r="H1073" s="1" t="s">
        <v>9252</v>
      </c>
      <c r="I1073" s="1" t="s">
        <v>9253</v>
      </c>
      <c r="J1073" s="2" t="s">
        <v>9018</v>
      </c>
      <c r="K1073" s="1" t="s">
        <v>9018</v>
      </c>
      <c r="L1073" s="1" t="s">
        <v>9133</v>
      </c>
      <c r="M1073" s="1">
        <v>340</v>
      </c>
      <c r="N1073" s="1" t="s">
        <v>8953</v>
      </c>
      <c r="O1073" s="1" t="s">
        <v>8989</v>
      </c>
      <c r="P1073" s="1" t="s">
        <v>8955</v>
      </c>
      <c r="Q1073" s="1" t="s">
        <v>8956</v>
      </c>
      <c r="R1073" s="1" t="s">
        <v>8958</v>
      </c>
      <c r="S1073" s="1" t="s">
        <v>3744</v>
      </c>
      <c r="T1073" s="1" t="s">
        <v>11</v>
      </c>
      <c r="U1073" s="1" t="s">
        <v>378</v>
      </c>
    </row>
    <row r="1074" spans="1:21" x14ac:dyDescent="0.2">
      <c r="A1074" s="88" t="s">
        <v>16690</v>
      </c>
      <c r="B1074" s="88" t="e">
        <f>VLOOKUP(C1074,#REF!,1,0)</f>
        <v>#REF!</v>
      </c>
      <c r="C1074" s="1" t="s">
        <v>3745</v>
      </c>
      <c r="D1074" s="1" t="s">
        <v>3746</v>
      </c>
      <c r="E1074" s="1" t="s">
        <v>9213</v>
      </c>
      <c r="F1074" s="1" t="s">
        <v>8957</v>
      </c>
      <c r="G1074" t="s">
        <v>9183</v>
      </c>
      <c r="H1074" s="1" t="s">
        <v>8948</v>
      </c>
      <c r="I1074" s="1" t="s">
        <v>9308</v>
      </c>
      <c r="J1074" s="2" t="s">
        <v>9036</v>
      </c>
      <c r="K1074" s="1" t="s">
        <v>9036</v>
      </c>
      <c r="L1074" s="1" t="s">
        <v>8951</v>
      </c>
      <c r="M1074" s="1">
        <v>753</v>
      </c>
      <c r="N1074" s="1" t="s">
        <v>8953</v>
      </c>
      <c r="O1074" s="1" t="s">
        <v>8954</v>
      </c>
      <c r="P1074" s="1" t="s">
        <v>8955</v>
      </c>
      <c r="Q1074" s="1" t="s">
        <v>8956</v>
      </c>
      <c r="R1074" s="1" t="s">
        <v>8975</v>
      </c>
      <c r="S1074" s="1" t="s">
        <v>3747</v>
      </c>
      <c r="T1074" s="1" t="s">
        <v>17</v>
      </c>
      <c r="U1074" s="1" t="s">
        <v>1421</v>
      </c>
    </row>
    <row r="1075" spans="1:21" x14ac:dyDescent="0.2">
      <c r="A1075" s="88" t="s">
        <v>16691</v>
      </c>
      <c r="B1075" s="88" t="e">
        <f>VLOOKUP(C1075,#REF!,1,0)</f>
        <v>#REF!</v>
      </c>
      <c r="C1075" s="1" t="s">
        <v>3748</v>
      </c>
      <c r="D1075" s="1" t="s">
        <v>3749</v>
      </c>
      <c r="E1075" s="1" t="s">
        <v>18502</v>
      </c>
      <c r="F1075" s="1" t="s">
        <v>8957</v>
      </c>
      <c r="G1075" t="s">
        <v>9061</v>
      </c>
      <c r="H1075" s="1" t="s">
        <v>9035</v>
      </c>
      <c r="I1075" s="1" t="s">
        <v>8949</v>
      </c>
      <c r="J1075" s="2" t="s">
        <v>21205</v>
      </c>
      <c r="K1075" s="1" t="s">
        <v>21205</v>
      </c>
      <c r="L1075" s="1" t="s">
        <v>9076</v>
      </c>
      <c r="M1075" s="1">
        <v>4</v>
      </c>
      <c r="N1075" s="1" t="s">
        <v>9059</v>
      </c>
      <c r="O1075" s="1" t="s">
        <v>8989</v>
      </c>
      <c r="P1075" s="1" t="s">
        <v>8955</v>
      </c>
      <c r="Q1075" s="1" t="s">
        <v>8956</v>
      </c>
      <c r="R1075" s="1" t="s">
        <v>8958</v>
      </c>
      <c r="S1075" s="1" t="s">
        <v>19293</v>
      </c>
      <c r="T1075" s="1" t="s">
        <v>17</v>
      </c>
      <c r="U1075" s="1" t="s">
        <v>93</v>
      </c>
    </row>
    <row r="1076" spans="1:21" x14ac:dyDescent="0.2">
      <c r="A1076" s="88" t="s">
        <v>16692</v>
      </c>
      <c r="B1076" s="88" t="e">
        <f>VLOOKUP(C1076,#REF!,1,0)</f>
        <v>#REF!</v>
      </c>
      <c r="C1076" s="1" t="s">
        <v>3754</v>
      </c>
      <c r="D1076" s="1" t="s">
        <v>3755</v>
      </c>
      <c r="E1076" s="1" t="s">
        <v>9213</v>
      </c>
      <c r="F1076" s="1" t="s">
        <v>8957</v>
      </c>
      <c r="G1076" t="s">
        <v>9061</v>
      </c>
      <c r="H1076" s="1" t="s">
        <v>9092</v>
      </c>
      <c r="I1076" s="1" t="s">
        <v>8949</v>
      </c>
      <c r="J1076" s="2" t="s">
        <v>18497</v>
      </c>
      <c r="K1076" s="1" t="s">
        <v>18497</v>
      </c>
      <c r="L1076" s="1" t="s">
        <v>8987</v>
      </c>
      <c r="M1076" s="1">
        <v>7888</v>
      </c>
      <c r="N1076" s="1" t="s">
        <v>8953</v>
      </c>
      <c r="O1076" s="1" t="s">
        <v>8989</v>
      </c>
      <c r="P1076" s="1" t="s">
        <v>8955</v>
      </c>
      <c r="Q1076" s="1" t="s">
        <v>8956</v>
      </c>
      <c r="R1076" s="1" t="s">
        <v>8975</v>
      </c>
      <c r="S1076" s="1" t="s">
        <v>19295</v>
      </c>
      <c r="T1076" s="1" t="s">
        <v>7</v>
      </c>
      <c r="U1076" s="1" t="s">
        <v>147</v>
      </c>
    </row>
    <row r="1077" spans="1:21" x14ac:dyDescent="0.2">
      <c r="A1077" s="88" t="s">
        <v>16693</v>
      </c>
      <c r="B1077" s="88" t="e">
        <f>VLOOKUP(C1077,#REF!,1,0)</f>
        <v>#REF!</v>
      </c>
      <c r="C1077" s="1" t="s">
        <v>3756</v>
      </c>
      <c r="D1077" s="1" t="s">
        <v>3757</v>
      </c>
      <c r="E1077" s="1" t="s">
        <v>9213</v>
      </c>
      <c r="F1077" s="1" t="s">
        <v>8957</v>
      </c>
      <c r="G1077" t="s">
        <v>9183</v>
      </c>
      <c r="H1077" s="1" t="s">
        <v>8948</v>
      </c>
      <c r="I1077" s="1" t="s">
        <v>9308</v>
      </c>
      <c r="J1077" s="2" t="s">
        <v>9036</v>
      </c>
      <c r="K1077" s="1" t="s">
        <v>9036</v>
      </c>
      <c r="L1077" s="1" t="s">
        <v>9133</v>
      </c>
      <c r="M1077" s="1">
        <v>9000</v>
      </c>
      <c r="N1077" s="1" t="s">
        <v>9059</v>
      </c>
      <c r="O1077" s="1" t="s">
        <v>8954</v>
      </c>
      <c r="P1077" s="1" t="s">
        <v>8955</v>
      </c>
      <c r="Q1077" s="1" t="s">
        <v>8956</v>
      </c>
      <c r="R1077" s="1" t="s">
        <v>8975</v>
      </c>
      <c r="S1077" s="1" t="s">
        <v>3758</v>
      </c>
      <c r="T1077" s="1" t="s">
        <v>17</v>
      </c>
      <c r="U1077" s="1" t="s">
        <v>666</v>
      </c>
    </row>
    <row r="1078" spans="1:21" x14ac:dyDescent="0.2">
      <c r="A1078" s="88" t="s">
        <v>16694</v>
      </c>
      <c r="B1078" s="88" t="e">
        <f>VLOOKUP(C1078,#REF!,1,0)</f>
        <v>#REF!</v>
      </c>
      <c r="C1078" s="1" t="s">
        <v>3759</v>
      </c>
      <c r="D1078" s="1" t="s">
        <v>3760</v>
      </c>
      <c r="E1078" s="1" t="s">
        <v>9213</v>
      </c>
      <c r="F1078" s="1" t="s">
        <v>8957</v>
      </c>
      <c r="G1078" t="s">
        <v>8959</v>
      </c>
      <c r="H1078" s="1" t="s">
        <v>9154</v>
      </c>
      <c r="I1078" s="1" t="s">
        <v>8949</v>
      </c>
      <c r="J1078" s="2" t="s">
        <v>10492</v>
      </c>
      <c r="K1078" s="1" t="s">
        <v>10492</v>
      </c>
      <c r="L1078" s="1" t="s">
        <v>21600</v>
      </c>
      <c r="M1078" s="1">
        <v>17683</v>
      </c>
      <c r="N1078" s="1" t="s">
        <v>8953</v>
      </c>
      <c r="O1078" s="1" t="s">
        <v>8989</v>
      </c>
      <c r="P1078" s="1" t="s">
        <v>8955</v>
      </c>
      <c r="Q1078" s="1" t="s">
        <v>8956</v>
      </c>
      <c r="R1078" s="1" t="s">
        <v>8958</v>
      </c>
      <c r="S1078" s="1" t="s">
        <v>19296</v>
      </c>
      <c r="T1078" s="1" t="s">
        <v>17</v>
      </c>
      <c r="U1078" s="1" t="s">
        <v>74</v>
      </c>
    </row>
    <row r="1079" spans="1:21" x14ac:dyDescent="0.2">
      <c r="A1079" s="88" t="s">
        <v>16695</v>
      </c>
      <c r="B1079" s="88" t="e">
        <f>VLOOKUP(C1079,#REF!,1,0)</f>
        <v>#REF!</v>
      </c>
      <c r="C1079" s="1" t="s">
        <v>3761</v>
      </c>
      <c r="D1079" s="1" t="s">
        <v>3762</v>
      </c>
      <c r="E1079" s="1" t="s">
        <v>9213</v>
      </c>
      <c r="F1079" s="1" t="s">
        <v>8957</v>
      </c>
      <c r="G1079" t="s">
        <v>8959</v>
      </c>
      <c r="H1079" s="1" t="s">
        <v>9100</v>
      </c>
      <c r="I1079" s="1" t="s">
        <v>8949</v>
      </c>
      <c r="J1079" s="2" t="s">
        <v>10492</v>
      </c>
      <c r="K1079" s="1" t="s">
        <v>10492</v>
      </c>
      <c r="L1079" s="1" t="s">
        <v>21600</v>
      </c>
      <c r="M1079" s="1">
        <v>1513</v>
      </c>
      <c r="N1079" s="1" t="s">
        <v>8953</v>
      </c>
      <c r="O1079" s="1" t="s">
        <v>8954</v>
      </c>
      <c r="P1079" s="1" t="s">
        <v>8955</v>
      </c>
      <c r="Q1079" s="1" t="s">
        <v>8956</v>
      </c>
      <c r="R1079" s="1" t="s">
        <v>8975</v>
      </c>
      <c r="S1079" s="1" t="s">
        <v>19297</v>
      </c>
      <c r="T1079" s="1" t="s">
        <v>17</v>
      </c>
      <c r="U1079" s="1" t="s">
        <v>544</v>
      </c>
    </row>
    <row r="1080" spans="1:21" x14ac:dyDescent="0.2">
      <c r="A1080" s="88" t="s">
        <v>16696</v>
      </c>
      <c r="B1080" s="88" t="e">
        <f>VLOOKUP(C1080,#REF!,1,0)</f>
        <v>#REF!</v>
      </c>
      <c r="C1080" s="1" t="s">
        <v>3763</v>
      </c>
      <c r="D1080" s="1" t="s">
        <v>3764</v>
      </c>
      <c r="E1080" s="1" t="s">
        <v>9213</v>
      </c>
      <c r="F1080" s="1" t="s">
        <v>8957</v>
      </c>
      <c r="G1080" t="s">
        <v>9183</v>
      </c>
      <c r="H1080" s="1" t="s">
        <v>20714</v>
      </c>
      <c r="I1080" s="1" t="s">
        <v>9050</v>
      </c>
      <c r="J1080" s="2" t="s">
        <v>18497</v>
      </c>
      <c r="K1080" s="1" t="s">
        <v>21658</v>
      </c>
      <c r="L1080" s="1" t="s">
        <v>8951</v>
      </c>
      <c r="M1080" s="1">
        <v>412026</v>
      </c>
      <c r="N1080" s="1" t="s">
        <v>8953</v>
      </c>
      <c r="O1080" s="1" t="s">
        <v>8989</v>
      </c>
      <c r="P1080" s="1" t="s">
        <v>8955</v>
      </c>
      <c r="Q1080" s="1" t="s">
        <v>8956</v>
      </c>
      <c r="R1080" s="1" t="s">
        <v>8975</v>
      </c>
      <c r="S1080" s="1" t="s">
        <v>19298</v>
      </c>
      <c r="T1080" s="1" t="s">
        <v>7</v>
      </c>
      <c r="U1080" s="1" t="s">
        <v>24</v>
      </c>
    </row>
    <row r="1081" spans="1:21" x14ac:dyDescent="0.2">
      <c r="A1081" s="88" t="s">
        <v>16697</v>
      </c>
      <c r="B1081" s="88" t="e">
        <f>VLOOKUP(C1081,#REF!,1,0)</f>
        <v>#REF!</v>
      </c>
      <c r="C1081" s="1" t="s">
        <v>3765</v>
      </c>
      <c r="D1081" s="1" t="s">
        <v>3766</v>
      </c>
      <c r="E1081" s="1" t="s">
        <v>9213</v>
      </c>
      <c r="F1081" s="1" t="s">
        <v>8957</v>
      </c>
      <c r="G1081" t="s">
        <v>8959</v>
      </c>
      <c r="H1081" s="1" t="s">
        <v>9035</v>
      </c>
      <c r="I1081" s="1" t="s">
        <v>9308</v>
      </c>
      <c r="J1081" s="2" t="s">
        <v>20829</v>
      </c>
      <c r="K1081" s="1" t="s">
        <v>9787</v>
      </c>
      <c r="L1081" s="1" t="s">
        <v>8951</v>
      </c>
      <c r="M1081" s="1">
        <v>2088</v>
      </c>
      <c r="N1081" s="1" t="s">
        <v>8953</v>
      </c>
      <c r="O1081" s="1" t="s">
        <v>8954</v>
      </c>
      <c r="P1081" s="1" t="s">
        <v>8955</v>
      </c>
      <c r="Q1081" s="1" t="s">
        <v>8956</v>
      </c>
      <c r="R1081" s="1" t="s">
        <v>8958</v>
      </c>
      <c r="S1081" s="1" t="s">
        <v>19299</v>
      </c>
      <c r="T1081" s="1" t="s">
        <v>7</v>
      </c>
      <c r="U1081" s="1" t="s">
        <v>147</v>
      </c>
    </row>
    <row r="1082" spans="1:21" x14ac:dyDescent="0.2">
      <c r="A1082" s="88" t="s">
        <v>16698</v>
      </c>
      <c r="B1082" s="88" t="e">
        <f>VLOOKUP(C1082,#REF!,1,0)</f>
        <v>#REF!</v>
      </c>
      <c r="C1082" s="1" t="s">
        <v>3767</v>
      </c>
      <c r="D1082" s="1" t="s">
        <v>3768</v>
      </c>
      <c r="E1082" s="1" t="s">
        <v>9213</v>
      </c>
      <c r="F1082" s="1" t="s">
        <v>8957</v>
      </c>
      <c r="G1082" t="s">
        <v>8959</v>
      </c>
      <c r="H1082" s="1" t="s">
        <v>9092</v>
      </c>
      <c r="I1082" s="1" t="s">
        <v>8998</v>
      </c>
      <c r="J1082" s="2" t="s">
        <v>10492</v>
      </c>
      <c r="K1082" s="1" t="s">
        <v>10492</v>
      </c>
      <c r="L1082" s="1" t="s">
        <v>21600</v>
      </c>
      <c r="M1082" s="1">
        <v>344</v>
      </c>
      <c r="N1082" s="1" t="s">
        <v>8953</v>
      </c>
      <c r="O1082" s="1" t="s">
        <v>8989</v>
      </c>
      <c r="P1082" s="1" t="s">
        <v>8955</v>
      </c>
      <c r="Q1082" s="1" t="s">
        <v>8956</v>
      </c>
      <c r="R1082" s="1" t="s">
        <v>9103</v>
      </c>
      <c r="S1082" s="1" t="s">
        <v>19300</v>
      </c>
      <c r="T1082" s="1" t="s">
        <v>7</v>
      </c>
      <c r="U1082" s="1" t="s">
        <v>3769</v>
      </c>
    </row>
    <row r="1083" spans="1:21" x14ac:dyDescent="0.2">
      <c r="A1083" s="88" t="s">
        <v>16699</v>
      </c>
      <c r="B1083" s="88" t="e">
        <f>VLOOKUP(C1083,#REF!,1,0)</f>
        <v>#REF!</v>
      </c>
      <c r="C1083" s="1" t="s">
        <v>3770</v>
      </c>
      <c r="D1083" s="1" t="s">
        <v>3771</v>
      </c>
      <c r="E1083" s="1" t="s">
        <v>9213</v>
      </c>
      <c r="F1083" s="1" t="s">
        <v>8959</v>
      </c>
      <c r="G1083" t="s">
        <v>9009</v>
      </c>
      <c r="H1083" s="1" t="s">
        <v>9173</v>
      </c>
      <c r="I1083" s="1" t="s">
        <v>9174</v>
      </c>
      <c r="J1083" s="2" t="s">
        <v>20779</v>
      </c>
      <c r="K1083" s="1" t="s">
        <v>9036</v>
      </c>
      <c r="L1083" s="1" t="s">
        <v>9292</v>
      </c>
      <c r="M1083" s="1">
        <v>1358</v>
      </c>
      <c r="N1083" s="1" t="s">
        <v>8953</v>
      </c>
      <c r="O1083" s="1" t="s">
        <v>8989</v>
      </c>
      <c r="P1083" s="1" t="s">
        <v>8955</v>
      </c>
      <c r="Q1083" s="1" t="s">
        <v>8956</v>
      </c>
      <c r="R1083" s="1" t="s">
        <v>9103</v>
      </c>
      <c r="S1083" s="1" t="s">
        <v>19301</v>
      </c>
      <c r="T1083" s="1" t="s">
        <v>7</v>
      </c>
      <c r="U1083" s="1" t="s">
        <v>110</v>
      </c>
    </row>
    <row r="1084" spans="1:21" x14ac:dyDescent="0.2">
      <c r="A1084" s="88" t="s">
        <v>16701</v>
      </c>
      <c r="B1084" s="88" t="e">
        <f>VLOOKUP(C1084,#REF!,1,0)</f>
        <v>#REF!</v>
      </c>
      <c r="C1084" s="1" t="s">
        <v>3774</v>
      </c>
      <c r="D1084" s="1" t="s">
        <v>3775</v>
      </c>
      <c r="E1084" s="1" t="s">
        <v>9636</v>
      </c>
      <c r="F1084" s="1" t="s">
        <v>8957</v>
      </c>
      <c r="G1084" t="s">
        <v>9009</v>
      </c>
      <c r="H1084" s="1" t="s">
        <v>9173</v>
      </c>
      <c r="I1084" s="1" t="s">
        <v>20800</v>
      </c>
      <c r="J1084" s="2" t="s">
        <v>10525</v>
      </c>
      <c r="K1084" s="1" t="s">
        <v>10525</v>
      </c>
      <c r="L1084" s="1" t="s">
        <v>9292</v>
      </c>
      <c r="M1084" s="1">
        <v>820</v>
      </c>
      <c r="N1084" s="1" t="s">
        <v>8953</v>
      </c>
      <c r="O1084" s="1" t="s">
        <v>8954</v>
      </c>
      <c r="P1084" s="1" t="s">
        <v>8955</v>
      </c>
      <c r="Q1084" s="1" t="s">
        <v>8956</v>
      </c>
      <c r="R1084" s="1" t="s">
        <v>8975</v>
      </c>
      <c r="S1084" s="1" t="s">
        <v>20623</v>
      </c>
      <c r="T1084" s="1" t="s">
        <v>7</v>
      </c>
      <c r="U1084" s="1" t="s">
        <v>3776</v>
      </c>
    </row>
    <row r="1085" spans="1:21" x14ac:dyDescent="0.2">
      <c r="A1085" s="88" t="s">
        <v>16702</v>
      </c>
      <c r="B1085" s="88" t="e">
        <f>VLOOKUP(C1085,#REF!,1,0)</f>
        <v>#REF!</v>
      </c>
      <c r="C1085" s="1" t="s">
        <v>3777</v>
      </c>
      <c r="D1085" s="1" t="s">
        <v>3778</v>
      </c>
      <c r="E1085" s="1" t="s">
        <v>9333</v>
      </c>
      <c r="F1085" s="1" t="s">
        <v>8959</v>
      </c>
      <c r="G1085" t="s">
        <v>9009</v>
      </c>
      <c r="H1085" s="1" t="s">
        <v>9605</v>
      </c>
      <c r="I1085" s="1" t="s">
        <v>9422</v>
      </c>
      <c r="J1085" s="2" t="s">
        <v>20779</v>
      </c>
      <c r="K1085" s="1" t="s">
        <v>9036</v>
      </c>
      <c r="L1085" s="1" t="s">
        <v>9133</v>
      </c>
      <c r="M1085" s="1">
        <v>703970</v>
      </c>
      <c r="N1085" s="1" t="s">
        <v>8953</v>
      </c>
      <c r="O1085" s="1" t="s">
        <v>8989</v>
      </c>
      <c r="P1085" s="1" t="s">
        <v>8955</v>
      </c>
      <c r="Q1085" s="1" t="s">
        <v>8956</v>
      </c>
      <c r="R1085" s="1" t="s">
        <v>8975</v>
      </c>
      <c r="S1085" s="1" t="s">
        <v>19303</v>
      </c>
      <c r="T1085" s="1" t="s">
        <v>17</v>
      </c>
      <c r="U1085" s="1" t="s">
        <v>24</v>
      </c>
    </row>
    <row r="1086" spans="1:21" x14ac:dyDescent="0.2">
      <c r="A1086" s="88" t="s">
        <v>16703</v>
      </c>
      <c r="B1086" s="88" t="e">
        <f>VLOOKUP(C1086,#REF!,1,0)</f>
        <v>#REF!</v>
      </c>
      <c r="C1086" s="1" t="s">
        <v>3779</v>
      </c>
      <c r="D1086" s="1" t="s">
        <v>3780</v>
      </c>
      <c r="E1086" s="1" t="s">
        <v>10049</v>
      </c>
      <c r="F1086" s="1" t="s">
        <v>8957</v>
      </c>
      <c r="G1086" t="s">
        <v>8959</v>
      </c>
      <c r="H1086" s="1" t="s">
        <v>9035</v>
      </c>
      <c r="I1086" s="1" t="s">
        <v>9155</v>
      </c>
      <c r="J1086" s="2" t="s">
        <v>9036</v>
      </c>
      <c r="K1086" s="1" t="s">
        <v>9036</v>
      </c>
      <c r="L1086" s="1" t="s">
        <v>8987</v>
      </c>
      <c r="M1086" s="1">
        <v>472</v>
      </c>
      <c r="N1086" s="1" t="s">
        <v>9059</v>
      </c>
      <c r="O1086" s="1" t="s">
        <v>8989</v>
      </c>
      <c r="P1086" s="1" t="s">
        <v>8955</v>
      </c>
      <c r="Q1086" s="1" t="s">
        <v>8956</v>
      </c>
      <c r="R1086" s="1" t="s">
        <v>8975</v>
      </c>
      <c r="S1086" s="1" t="s">
        <v>3781</v>
      </c>
      <c r="T1086" s="1" t="s">
        <v>11</v>
      </c>
      <c r="U1086" s="1" t="s">
        <v>1848</v>
      </c>
    </row>
    <row r="1087" spans="1:21" x14ac:dyDescent="0.2">
      <c r="A1087" s="88" t="s">
        <v>16705</v>
      </c>
      <c r="B1087" s="88" t="e">
        <f>VLOOKUP(C1087,#REF!,1,0)</f>
        <v>#REF!</v>
      </c>
      <c r="C1087" s="1" t="s">
        <v>3785</v>
      </c>
      <c r="D1087" s="1" t="s">
        <v>3786</v>
      </c>
      <c r="E1087" s="1" t="s">
        <v>9333</v>
      </c>
      <c r="F1087" s="1" t="s">
        <v>8959</v>
      </c>
      <c r="G1087" t="s">
        <v>9061</v>
      </c>
      <c r="H1087" s="1" t="s">
        <v>9100</v>
      </c>
      <c r="I1087" s="1" t="s">
        <v>8949</v>
      </c>
      <c r="J1087" s="2" t="s">
        <v>20779</v>
      </c>
      <c r="K1087" s="1" t="s">
        <v>9036</v>
      </c>
      <c r="L1087" s="1" t="s">
        <v>9133</v>
      </c>
      <c r="M1087" s="1">
        <v>419</v>
      </c>
      <c r="N1087" s="1" t="s">
        <v>9059</v>
      </c>
      <c r="O1087" s="1" t="s">
        <v>8989</v>
      </c>
      <c r="P1087" s="1" t="s">
        <v>8955</v>
      </c>
      <c r="Q1087" s="1" t="s">
        <v>8956</v>
      </c>
      <c r="R1087" s="1" t="s">
        <v>8975</v>
      </c>
      <c r="S1087" s="1" t="s">
        <v>19305</v>
      </c>
      <c r="T1087" s="1" t="s">
        <v>17</v>
      </c>
      <c r="U1087" s="1" t="s">
        <v>147</v>
      </c>
    </row>
    <row r="1088" spans="1:21" x14ac:dyDescent="0.2">
      <c r="A1088" s="88" t="s">
        <v>16706</v>
      </c>
      <c r="B1088" s="88" t="e">
        <f>VLOOKUP(C1088,#REF!,1,0)</f>
        <v>#REF!</v>
      </c>
      <c r="C1088" s="1" t="s">
        <v>3787</v>
      </c>
      <c r="D1088" s="1" t="s">
        <v>3788</v>
      </c>
      <c r="E1088" s="1" t="s">
        <v>9333</v>
      </c>
      <c r="F1088" s="1" t="s">
        <v>8957</v>
      </c>
      <c r="G1088" t="s">
        <v>9061</v>
      </c>
      <c r="H1088" s="1" t="s">
        <v>8948</v>
      </c>
      <c r="I1088" s="1" t="s">
        <v>8998</v>
      </c>
      <c r="J1088" s="2" t="s">
        <v>9658</v>
      </c>
      <c r="K1088" s="1" t="s">
        <v>9658</v>
      </c>
      <c r="L1088" s="1" t="s">
        <v>9133</v>
      </c>
      <c r="M1088" s="1">
        <v>500</v>
      </c>
      <c r="N1088" s="1" t="s">
        <v>8953</v>
      </c>
      <c r="O1088" s="1" t="s">
        <v>8954</v>
      </c>
      <c r="P1088" s="1" t="s">
        <v>8955</v>
      </c>
      <c r="Q1088" s="1" t="s">
        <v>8956</v>
      </c>
      <c r="R1088" s="1" t="s">
        <v>8975</v>
      </c>
      <c r="S1088" s="1" t="s">
        <v>3789</v>
      </c>
      <c r="T1088" s="1" t="s">
        <v>17</v>
      </c>
      <c r="U1088" s="1" t="s">
        <v>2895</v>
      </c>
    </row>
    <row r="1089" spans="1:21" x14ac:dyDescent="0.2">
      <c r="A1089" s="88" t="s">
        <v>16707</v>
      </c>
      <c r="B1089" s="88" t="e">
        <f>VLOOKUP(C1089,#REF!,1,0)</f>
        <v>#REF!</v>
      </c>
      <c r="C1089" s="1" t="s">
        <v>3790</v>
      </c>
      <c r="D1089" s="1" t="s">
        <v>3791</v>
      </c>
      <c r="E1089" s="1" t="s">
        <v>9333</v>
      </c>
      <c r="F1089" s="1" t="s">
        <v>8957</v>
      </c>
      <c r="G1089" t="s">
        <v>9061</v>
      </c>
      <c r="H1089" s="1" t="s">
        <v>8948</v>
      </c>
      <c r="I1089" s="1" t="s">
        <v>8971</v>
      </c>
      <c r="J1089" s="2" t="s">
        <v>10525</v>
      </c>
      <c r="K1089" s="1" t="s">
        <v>10525</v>
      </c>
      <c r="L1089" s="1" t="s">
        <v>9133</v>
      </c>
      <c r="M1089" s="1">
        <v>8000</v>
      </c>
      <c r="N1089" s="1" t="s">
        <v>8953</v>
      </c>
      <c r="O1089" s="1" t="s">
        <v>8989</v>
      </c>
      <c r="P1089" s="1" t="s">
        <v>8955</v>
      </c>
      <c r="Q1089" s="1" t="s">
        <v>8956</v>
      </c>
      <c r="R1089" s="1" t="s">
        <v>8975</v>
      </c>
      <c r="S1089" s="1" t="s">
        <v>19306</v>
      </c>
      <c r="T1089" s="1" t="s">
        <v>7</v>
      </c>
      <c r="U1089" s="1" t="s">
        <v>2895</v>
      </c>
    </row>
    <row r="1090" spans="1:21" x14ac:dyDescent="0.2">
      <c r="A1090" s="88" t="s">
        <v>16709</v>
      </c>
      <c r="B1090" s="88" t="e">
        <f>VLOOKUP(C1090,#REF!,1,0)</f>
        <v>#REF!</v>
      </c>
      <c r="C1090" s="1" t="s">
        <v>3794</v>
      </c>
      <c r="D1090" s="1" t="s">
        <v>3795</v>
      </c>
      <c r="E1090" s="1" t="s">
        <v>18502</v>
      </c>
      <c r="F1090" s="1" t="s">
        <v>8957</v>
      </c>
      <c r="G1090" t="s">
        <v>9061</v>
      </c>
      <c r="H1090" s="1" t="s">
        <v>9092</v>
      </c>
      <c r="I1090" s="1" t="s">
        <v>8959</v>
      </c>
      <c r="J1090" s="2" t="s">
        <v>21275</v>
      </c>
      <c r="K1090" s="1" t="s">
        <v>21785</v>
      </c>
      <c r="L1090" s="1" t="s">
        <v>8951</v>
      </c>
      <c r="M1090" s="1">
        <v>1441</v>
      </c>
      <c r="N1090" s="1" t="s">
        <v>8953</v>
      </c>
      <c r="O1090" s="1" t="s">
        <v>8989</v>
      </c>
      <c r="P1090" s="1" t="s">
        <v>8955</v>
      </c>
      <c r="Q1090" s="1" t="s">
        <v>8956</v>
      </c>
      <c r="R1090" s="1" t="s">
        <v>9103</v>
      </c>
      <c r="S1090" s="1" t="s">
        <v>19308</v>
      </c>
      <c r="T1090" s="1" t="s">
        <v>17</v>
      </c>
      <c r="U1090" s="1" t="s">
        <v>87</v>
      </c>
    </row>
    <row r="1091" spans="1:21" x14ac:dyDescent="0.2">
      <c r="A1091" s="88" t="s">
        <v>16710</v>
      </c>
      <c r="B1091" s="88" t="e">
        <f>VLOOKUP(C1091,#REF!,1,0)</f>
        <v>#REF!</v>
      </c>
      <c r="C1091" s="1" t="s">
        <v>3796</v>
      </c>
      <c r="D1091" s="1" t="s">
        <v>3797</v>
      </c>
      <c r="E1091" s="1" t="s">
        <v>18502</v>
      </c>
      <c r="F1091" s="1" t="s">
        <v>8957</v>
      </c>
      <c r="G1091" t="s">
        <v>9061</v>
      </c>
      <c r="H1091" s="1" t="s">
        <v>9035</v>
      </c>
      <c r="I1091" s="1" t="s">
        <v>9308</v>
      </c>
      <c r="J1091" s="2" t="s">
        <v>20779</v>
      </c>
      <c r="K1091" s="1" t="s">
        <v>9036</v>
      </c>
      <c r="L1091" s="1" t="s">
        <v>8951</v>
      </c>
      <c r="M1091" s="1">
        <v>2176</v>
      </c>
      <c r="N1091" s="1" t="s">
        <v>8953</v>
      </c>
      <c r="O1091" s="1" t="s">
        <v>8989</v>
      </c>
      <c r="P1091" s="1" t="s">
        <v>8955</v>
      </c>
      <c r="Q1091" s="1" t="s">
        <v>8956</v>
      </c>
      <c r="R1091" s="1" t="s">
        <v>9103</v>
      </c>
      <c r="S1091" s="1" t="s">
        <v>19309</v>
      </c>
      <c r="T1091" s="1" t="s">
        <v>7</v>
      </c>
      <c r="U1091" s="1" t="s">
        <v>3798</v>
      </c>
    </row>
    <row r="1092" spans="1:21" x14ac:dyDescent="0.2">
      <c r="A1092" s="88" t="s">
        <v>16711</v>
      </c>
      <c r="B1092" s="88" t="e">
        <f>VLOOKUP(C1092,#REF!,1,0)</f>
        <v>#REF!</v>
      </c>
      <c r="C1092" s="1" t="s">
        <v>3799</v>
      </c>
      <c r="D1092" s="1" t="s">
        <v>3800</v>
      </c>
      <c r="E1092" s="1" t="s">
        <v>9333</v>
      </c>
      <c r="F1092" s="1" t="s">
        <v>8957</v>
      </c>
      <c r="G1092" t="s">
        <v>8959</v>
      </c>
      <c r="H1092" s="1" t="s">
        <v>8984</v>
      </c>
      <c r="I1092" s="1" t="s">
        <v>8949</v>
      </c>
      <c r="J1092" s="2" t="s">
        <v>9565</v>
      </c>
      <c r="K1092" s="1" t="s">
        <v>9565</v>
      </c>
      <c r="L1092" s="1" t="s">
        <v>21600</v>
      </c>
      <c r="M1092" s="1">
        <v>140</v>
      </c>
      <c r="N1092" s="1" t="s">
        <v>8953</v>
      </c>
      <c r="O1092" s="1" t="s">
        <v>8954</v>
      </c>
      <c r="P1092" s="1" t="s">
        <v>8955</v>
      </c>
      <c r="Q1092" s="1" t="s">
        <v>8956</v>
      </c>
      <c r="R1092" s="1" t="s">
        <v>8958</v>
      </c>
      <c r="S1092" s="1" t="s">
        <v>3801</v>
      </c>
      <c r="T1092" s="1" t="s">
        <v>17</v>
      </c>
      <c r="U1092" s="1" t="s">
        <v>43</v>
      </c>
    </row>
    <row r="1093" spans="1:21" x14ac:dyDescent="0.2">
      <c r="A1093" s="88" t="s">
        <v>16712</v>
      </c>
      <c r="B1093" s="88" t="e">
        <f>VLOOKUP(C1093,#REF!,1,0)</f>
        <v>#REF!</v>
      </c>
      <c r="C1093" s="1" t="s">
        <v>3802</v>
      </c>
      <c r="D1093" s="1" t="s">
        <v>3803</v>
      </c>
      <c r="E1093" s="1" t="s">
        <v>18502</v>
      </c>
      <c r="F1093" s="1" t="s">
        <v>8957</v>
      </c>
      <c r="G1093" t="s">
        <v>8959</v>
      </c>
      <c r="H1093" s="1" t="s">
        <v>8948</v>
      </c>
      <c r="I1093" s="1" t="s">
        <v>9155</v>
      </c>
      <c r="J1093" s="2" t="s">
        <v>20785</v>
      </c>
      <c r="K1093" s="1" t="s">
        <v>18491</v>
      </c>
      <c r="L1093" s="1" t="s">
        <v>9076</v>
      </c>
      <c r="M1093" s="1">
        <v>23</v>
      </c>
      <c r="N1093" s="1" t="s">
        <v>8953</v>
      </c>
      <c r="O1093" s="1" t="s">
        <v>8989</v>
      </c>
      <c r="P1093" s="1" t="s">
        <v>8955</v>
      </c>
      <c r="Q1093" s="1" t="s">
        <v>8956</v>
      </c>
      <c r="R1093" s="1" t="s">
        <v>8975</v>
      </c>
      <c r="S1093" s="1" t="s">
        <v>19310</v>
      </c>
      <c r="T1093" s="1" t="s">
        <v>7</v>
      </c>
      <c r="U1093" s="1" t="s">
        <v>93</v>
      </c>
    </row>
    <row r="1094" spans="1:21" x14ac:dyDescent="0.2">
      <c r="A1094" s="88" t="s">
        <v>20855</v>
      </c>
      <c r="B1094" s="88" t="e">
        <f>VLOOKUP(C1094,#REF!,1,0)</f>
        <v>#REF!</v>
      </c>
      <c r="C1094" s="1" t="s">
        <v>3804</v>
      </c>
      <c r="D1094" s="1" t="s">
        <v>3805</v>
      </c>
      <c r="E1094" s="1" t="s">
        <v>9317</v>
      </c>
      <c r="F1094" s="1" t="s">
        <v>8959</v>
      </c>
      <c r="G1094" t="s">
        <v>9061</v>
      </c>
      <c r="H1094" s="1" t="s">
        <v>9100</v>
      </c>
      <c r="I1094" s="1" t="s">
        <v>8949</v>
      </c>
      <c r="J1094" s="2" t="s">
        <v>10492</v>
      </c>
      <c r="K1094" s="1" t="s">
        <v>10492</v>
      </c>
      <c r="L1094" s="1" t="s">
        <v>9464</v>
      </c>
      <c r="M1094" s="1">
        <v>116</v>
      </c>
      <c r="N1094" s="1" t="s">
        <v>9059</v>
      </c>
      <c r="O1094" s="1" t="s">
        <v>8989</v>
      </c>
      <c r="P1094" s="1" t="s">
        <v>8955</v>
      </c>
      <c r="Q1094" s="1" t="s">
        <v>8956</v>
      </c>
      <c r="R1094" s="1" t="s">
        <v>8975</v>
      </c>
      <c r="S1094" s="1" t="s">
        <v>19311</v>
      </c>
      <c r="T1094" s="1" t="s">
        <v>17</v>
      </c>
      <c r="U1094" s="1" t="s">
        <v>666</v>
      </c>
    </row>
    <row r="1095" spans="1:21" x14ac:dyDescent="0.2">
      <c r="A1095" s="88" t="s">
        <v>16714</v>
      </c>
      <c r="B1095" s="88" t="e">
        <f>VLOOKUP(C1095,#REF!,1,0)</f>
        <v>#REF!</v>
      </c>
      <c r="C1095" s="1" t="s">
        <v>3808</v>
      </c>
      <c r="D1095" s="1" t="s">
        <v>3809</v>
      </c>
      <c r="E1095" s="1" t="s">
        <v>9317</v>
      </c>
      <c r="F1095" s="1" t="s">
        <v>8957</v>
      </c>
      <c r="G1095" t="s">
        <v>9061</v>
      </c>
      <c r="H1095" s="1" t="s">
        <v>8948</v>
      </c>
      <c r="I1095" s="1" t="s">
        <v>8949</v>
      </c>
      <c r="J1095" s="2" t="s">
        <v>9036</v>
      </c>
      <c r="K1095" s="1" t="s">
        <v>9036</v>
      </c>
      <c r="L1095" s="1" t="s">
        <v>21600</v>
      </c>
      <c r="M1095" s="1">
        <v>358</v>
      </c>
      <c r="N1095" s="1" t="s">
        <v>8953</v>
      </c>
      <c r="O1095" s="1" t="s">
        <v>8954</v>
      </c>
      <c r="P1095" s="1" t="s">
        <v>8955</v>
      </c>
      <c r="Q1095" s="1" t="s">
        <v>8956</v>
      </c>
      <c r="R1095" s="1" t="s">
        <v>8958</v>
      </c>
      <c r="S1095" s="1" t="s">
        <v>3810</v>
      </c>
      <c r="T1095" s="1" t="s">
        <v>242</v>
      </c>
      <c r="U1095" s="1" t="s">
        <v>392</v>
      </c>
    </row>
    <row r="1096" spans="1:21" x14ac:dyDescent="0.2">
      <c r="A1096" s="88" t="s">
        <v>16715</v>
      </c>
      <c r="B1096" s="88" t="e">
        <f>VLOOKUP(C1096,#REF!,1,0)</f>
        <v>#REF!</v>
      </c>
      <c r="C1096" s="1" t="s">
        <v>3811</v>
      </c>
      <c r="D1096" s="1" t="s">
        <v>3812</v>
      </c>
      <c r="E1096" s="1" t="s">
        <v>9317</v>
      </c>
      <c r="F1096" s="1" t="s">
        <v>8957</v>
      </c>
      <c r="G1096" t="s">
        <v>9183</v>
      </c>
      <c r="H1096" s="1" t="s">
        <v>9092</v>
      </c>
      <c r="I1096" s="1" t="s">
        <v>8998</v>
      </c>
      <c r="J1096" s="2" t="s">
        <v>8972</v>
      </c>
      <c r="K1096" s="1" t="s">
        <v>8972</v>
      </c>
      <c r="L1096" s="1" t="s">
        <v>21600</v>
      </c>
      <c r="M1096" s="1">
        <v>6800</v>
      </c>
      <c r="N1096" s="1" t="s">
        <v>8953</v>
      </c>
      <c r="O1096" s="1" t="s">
        <v>8954</v>
      </c>
      <c r="P1096" s="1" t="s">
        <v>8955</v>
      </c>
      <c r="Q1096" s="1" t="s">
        <v>8956</v>
      </c>
      <c r="R1096" s="1" t="s">
        <v>9103</v>
      </c>
      <c r="S1096" s="1" t="s">
        <v>3813</v>
      </c>
      <c r="T1096" s="1" t="s">
        <v>17</v>
      </c>
      <c r="U1096" s="1" t="s">
        <v>64</v>
      </c>
    </row>
    <row r="1097" spans="1:21" x14ac:dyDescent="0.2">
      <c r="A1097" s="88" t="s">
        <v>16716</v>
      </c>
      <c r="B1097" s="88" t="e">
        <f>VLOOKUP(C1097,#REF!,1,0)</f>
        <v>#REF!</v>
      </c>
      <c r="C1097" s="1" t="s">
        <v>3814</v>
      </c>
      <c r="D1097" s="1" t="s">
        <v>3815</v>
      </c>
      <c r="E1097" s="1" t="s">
        <v>9317</v>
      </c>
      <c r="F1097" s="1" t="s">
        <v>8957</v>
      </c>
      <c r="G1097" t="s">
        <v>9183</v>
      </c>
      <c r="H1097" s="1" t="s">
        <v>8948</v>
      </c>
      <c r="I1097" s="1" t="s">
        <v>20800</v>
      </c>
      <c r="J1097" s="2" t="s">
        <v>21329</v>
      </c>
      <c r="K1097" s="1" t="s">
        <v>21329</v>
      </c>
      <c r="L1097" s="1" t="s">
        <v>9157</v>
      </c>
      <c r="M1097" s="1">
        <v>273</v>
      </c>
      <c r="N1097" s="1" t="s">
        <v>9059</v>
      </c>
      <c r="O1097" s="1" t="s">
        <v>8954</v>
      </c>
      <c r="P1097" s="1" t="s">
        <v>8955</v>
      </c>
      <c r="Q1097" s="1" t="s">
        <v>8956</v>
      </c>
      <c r="R1097" s="1" t="s">
        <v>8975</v>
      </c>
      <c r="S1097" s="1" t="s">
        <v>19313</v>
      </c>
      <c r="T1097" s="1" t="s">
        <v>7</v>
      </c>
      <c r="U1097" s="1" t="s">
        <v>39</v>
      </c>
    </row>
    <row r="1098" spans="1:21" x14ac:dyDescent="0.2">
      <c r="A1098" s="88" t="s">
        <v>16717</v>
      </c>
      <c r="B1098" s="88" t="e">
        <f>VLOOKUP(C1098,#REF!,1,0)</f>
        <v>#REF!</v>
      </c>
      <c r="C1098" s="1" t="s">
        <v>3816</v>
      </c>
      <c r="D1098" s="1" t="s">
        <v>3817</v>
      </c>
      <c r="E1098" s="1" t="s">
        <v>10687</v>
      </c>
      <c r="F1098" s="1" t="s">
        <v>8959</v>
      </c>
      <c r="G1098" t="s">
        <v>9061</v>
      </c>
      <c r="H1098" s="1" t="s">
        <v>8948</v>
      </c>
      <c r="I1098" s="1" t="s">
        <v>8998</v>
      </c>
      <c r="J1098" s="2" t="s">
        <v>8972</v>
      </c>
      <c r="K1098" s="1" t="s">
        <v>8972</v>
      </c>
      <c r="L1098" s="1" t="s">
        <v>21600</v>
      </c>
      <c r="M1098" s="1">
        <v>19443</v>
      </c>
      <c r="N1098" s="1" t="s">
        <v>8953</v>
      </c>
      <c r="O1098" s="1" t="s">
        <v>8989</v>
      </c>
      <c r="P1098" s="1" t="s">
        <v>8955</v>
      </c>
      <c r="Q1098" s="1" t="s">
        <v>8956</v>
      </c>
      <c r="R1098" s="1" t="s">
        <v>8958</v>
      </c>
      <c r="S1098" s="1" t="s">
        <v>3818</v>
      </c>
      <c r="T1098" s="1" t="s">
        <v>17</v>
      </c>
      <c r="U1098" s="1" t="s">
        <v>1343</v>
      </c>
    </row>
    <row r="1099" spans="1:21" x14ac:dyDescent="0.2">
      <c r="A1099" s="88" t="s">
        <v>16718</v>
      </c>
      <c r="B1099" s="88" t="e">
        <f>VLOOKUP(C1099,#REF!,1,0)</f>
        <v>#REF!</v>
      </c>
      <c r="C1099" s="1" t="s">
        <v>3819</v>
      </c>
      <c r="D1099" s="1" t="s">
        <v>3820</v>
      </c>
      <c r="E1099" s="1" t="s">
        <v>10687</v>
      </c>
      <c r="F1099" s="1" t="s">
        <v>8959</v>
      </c>
      <c r="G1099" t="s">
        <v>9061</v>
      </c>
      <c r="H1099" s="1" t="s">
        <v>8948</v>
      </c>
      <c r="I1099" s="1" t="s">
        <v>8998</v>
      </c>
      <c r="J1099" s="2" t="s">
        <v>10492</v>
      </c>
      <c r="K1099" s="1" t="s">
        <v>10492</v>
      </c>
      <c r="L1099" s="1" t="s">
        <v>21600</v>
      </c>
      <c r="M1099" s="1">
        <v>131</v>
      </c>
      <c r="N1099" s="1" t="s">
        <v>8953</v>
      </c>
      <c r="O1099" s="1" t="s">
        <v>8989</v>
      </c>
      <c r="P1099" s="1" t="s">
        <v>8955</v>
      </c>
      <c r="Q1099" s="1" t="s">
        <v>8956</v>
      </c>
      <c r="R1099" s="1" t="s">
        <v>8958</v>
      </c>
      <c r="S1099" s="1" t="s">
        <v>19314</v>
      </c>
      <c r="T1099" s="1" t="s">
        <v>7</v>
      </c>
      <c r="U1099" s="1" t="s">
        <v>110</v>
      </c>
    </row>
    <row r="1100" spans="1:21" x14ac:dyDescent="0.2">
      <c r="A1100" s="88" t="s">
        <v>16719</v>
      </c>
      <c r="B1100" s="88" t="e">
        <f>VLOOKUP(C1100,#REF!,1,0)</f>
        <v>#REF!</v>
      </c>
      <c r="C1100" s="1" t="s">
        <v>3821</v>
      </c>
      <c r="D1100" s="1" t="s">
        <v>3822</v>
      </c>
      <c r="E1100" s="1" t="s">
        <v>9010</v>
      </c>
      <c r="F1100" s="1" t="s">
        <v>8957</v>
      </c>
      <c r="G1100" t="s">
        <v>9061</v>
      </c>
      <c r="H1100" s="1" t="s">
        <v>9075</v>
      </c>
      <c r="I1100" s="1" t="s">
        <v>8949</v>
      </c>
      <c r="J1100" s="2" t="s">
        <v>9036</v>
      </c>
      <c r="K1100" s="1" t="s">
        <v>9036</v>
      </c>
      <c r="L1100" s="1" t="s">
        <v>21600</v>
      </c>
      <c r="M1100" s="1">
        <v>2000</v>
      </c>
      <c r="N1100" s="1" t="s">
        <v>9059</v>
      </c>
      <c r="O1100" s="1" t="s">
        <v>8989</v>
      </c>
      <c r="P1100" s="1" t="s">
        <v>8955</v>
      </c>
      <c r="Q1100" s="1" t="s">
        <v>8956</v>
      </c>
      <c r="R1100" s="1" t="s">
        <v>8975</v>
      </c>
      <c r="S1100" s="1" t="s">
        <v>3823</v>
      </c>
      <c r="T1100" s="1" t="s">
        <v>4</v>
      </c>
      <c r="U1100" s="1" t="s">
        <v>87</v>
      </c>
    </row>
    <row r="1101" spans="1:21" x14ac:dyDescent="0.2">
      <c r="A1101" s="88" t="s">
        <v>16720</v>
      </c>
      <c r="B1101" s="88" t="e">
        <f>VLOOKUP(C1101,#REF!,1,0)</f>
        <v>#REF!</v>
      </c>
      <c r="C1101" s="1" t="s">
        <v>3824</v>
      </c>
      <c r="D1101" s="1" t="s">
        <v>3825</v>
      </c>
      <c r="E1101" s="1" t="s">
        <v>9317</v>
      </c>
      <c r="F1101" s="1" t="s">
        <v>8957</v>
      </c>
      <c r="G1101" t="s">
        <v>8959</v>
      </c>
      <c r="H1101" s="1" t="s">
        <v>8984</v>
      </c>
      <c r="I1101" s="1" t="s">
        <v>8998</v>
      </c>
      <c r="J1101" s="2" t="s">
        <v>10492</v>
      </c>
      <c r="K1101" s="1" t="s">
        <v>21645</v>
      </c>
      <c r="L1101" s="1" t="s">
        <v>21600</v>
      </c>
      <c r="M1101" s="1">
        <v>300</v>
      </c>
      <c r="N1101" s="1" t="s">
        <v>9059</v>
      </c>
      <c r="O1101" s="1" t="s">
        <v>8989</v>
      </c>
      <c r="P1101" s="1" t="s">
        <v>8955</v>
      </c>
      <c r="Q1101" s="1" t="s">
        <v>8956</v>
      </c>
      <c r="R1101" s="1" t="s">
        <v>8958</v>
      </c>
      <c r="S1101" s="1" t="s">
        <v>19315</v>
      </c>
      <c r="T1101" s="1" t="s">
        <v>7</v>
      </c>
      <c r="U1101" s="1" t="s">
        <v>24</v>
      </c>
    </row>
    <row r="1102" spans="1:21" x14ac:dyDescent="0.2">
      <c r="A1102" s="88" t="s">
        <v>3826</v>
      </c>
      <c r="B1102" s="88" t="e">
        <f>VLOOKUP(C1102,#REF!,1,0)</f>
        <v>#REF!</v>
      </c>
      <c r="C1102" s="1" t="s">
        <v>3827</v>
      </c>
      <c r="D1102" s="1" t="s">
        <v>3828</v>
      </c>
      <c r="E1102" s="1" t="s">
        <v>18502</v>
      </c>
      <c r="F1102" s="1" t="s">
        <v>8957</v>
      </c>
      <c r="G1102" t="s">
        <v>8959</v>
      </c>
      <c r="H1102" s="1" t="s">
        <v>9092</v>
      </c>
      <c r="I1102" s="1" t="s">
        <v>8949</v>
      </c>
      <c r="J1102" s="2" t="s">
        <v>20779</v>
      </c>
      <c r="K1102" s="1" t="s">
        <v>9036</v>
      </c>
      <c r="L1102" s="1" t="s">
        <v>9076</v>
      </c>
      <c r="M1102" s="1">
        <v>500</v>
      </c>
      <c r="N1102" s="1" t="s">
        <v>8953</v>
      </c>
      <c r="O1102" s="1" t="s">
        <v>8989</v>
      </c>
      <c r="P1102" s="1" t="s">
        <v>8955</v>
      </c>
      <c r="Q1102" s="1" t="s">
        <v>8956</v>
      </c>
      <c r="R1102" s="1" t="s">
        <v>8958</v>
      </c>
      <c r="S1102" s="1" t="s">
        <v>19316</v>
      </c>
      <c r="T1102" s="1" t="s">
        <v>17</v>
      </c>
      <c r="U1102" s="1" t="s">
        <v>161</v>
      </c>
    </row>
    <row r="1103" spans="1:21" x14ac:dyDescent="0.2">
      <c r="A1103" s="88" t="s">
        <v>16721</v>
      </c>
      <c r="B1103" s="88" t="e">
        <f>VLOOKUP(C1103,#REF!,1,0)</f>
        <v>#REF!</v>
      </c>
      <c r="C1103" s="1" t="s">
        <v>3829</v>
      </c>
      <c r="D1103" s="1" t="s">
        <v>3830</v>
      </c>
      <c r="E1103" s="1" t="s">
        <v>9213</v>
      </c>
      <c r="F1103" s="1" t="s">
        <v>8957</v>
      </c>
      <c r="G1103" t="s">
        <v>8959</v>
      </c>
      <c r="H1103" s="1" t="s">
        <v>9035</v>
      </c>
      <c r="I1103" s="1" t="s">
        <v>8998</v>
      </c>
      <c r="J1103" s="2" t="s">
        <v>21276</v>
      </c>
      <c r="K1103" s="1" t="s">
        <v>21276</v>
      </c>
      <c r="L1103" s="1" t="s">
        <v>9133</v>
      </c>
      <c r="M1103" s="1">
        <v>3993</v>
      </c>
      <c r="N1103" s="1" t="s">
        <v>9059</v>
      </c>
      <c r="O1103" s="1" t="s">
        <v>8954</v>
      </c>
      <c r="P1103" s="1" t="s">
        <v>8955</v>
      </c>
      <c r="Q1103" s="1" t="s">
        <v>8956</v>
      </c>
      <c r="R1103" s="1" t="s">
        <v>8975</v>
      </c>
      <c r="S1103" s="1" t="s">
        <v>19317</v>
      </c>
      <c r="T1103" s="1" t="s">
        <v>7</v>
      </c>
      <c r="U1103" s="1" t="s">
        <v>2284</v>
      </c>
    </row>
    <row r="1104" spans="1:21" x14ac:dyDescent="0.2">
      <c r="A1104" s="88" t="s">
        <v>16722</v>
      </c>
      <c r="B1104" s="88" t="e">
        <f>VLOOKUP(C1104,#REF!,1,0)</f>
        <v>#REF!</v>
      </c>
      <c r="C1104" s="1" t="s">
        <v>3831</v>
      </c>
      <c r="D1104" s="1" t="s">
        <v>3832</v>
      </c>
      <c r="E1104" s="1" t="s">
        <v>9213</v>
      </c>
      <c r="F1104" s="1" t="s">
        <v>8957</v>
      </c>
      <c r="G1104" t="s">
        <v>8959</v>
      </c>
      <c r="H1104" s="1" t="s">
        <v>9100</v>
      </c>
      <c r="I1104" s="1" t="s">
        <v>8998</v>
      </c>
      <c r="J1104" s="2" t="s">
        <v>20859</v>
      </c>
      <c r="K1104" s="1" t="s">
        <v>21691</v>
      </c>
      <c r="L1104" s="1" t="s">
        <v>20856</v>
      </c>
      <c r="M1104" s="1">
        <v>5244234</v>
      </c>
      <c r="N1104" s="1" t="s">
        <v>8953</v>
      </c>
      <c r="O1104" s="1" t="s">
        <v>8954</v>
      </c>
      <c r="P1104" s="1" t="s">
        <v>8955</v>
      </c>
      <c r="Q1104" s="1" t="s">
        <v>8956</v>
      </c>
      <c r="R1104" s="1" t="s">
        <v>9103</v>
      </c>
      <c r="S1104" s="1" t="s">
        <v>19318</v>
      </c>
      <c r="T1104" s="1" t="s">
        <v>7</v>
      </c>
      <c r="U1104" s="1" t="s">
        <v>46</v>
      </c>
    </row>
    <row r="1105" spans="1:21" x14ac:dyDescent="0.2">
      <c r="A1105" s="88" t="s">
        <v>16723</v>
      </c>
      <c r="B1105" s="88" t="e">
        <f>VLOOKUP(C1105,#REF!,1,0)</f>
        <v>#REF!</v>
      </c>
      <c r="C1105" s="1" t="s">
        <v>3833</v>
      </c>
      <c r="D1105" s="1" t="s">
        <v>3834</v>
      </c>
      <c r="E1105" s="1" t="s">
        <v>9213</v>
      </c>
      <c r="F1105" s="1" t="s">
        <v>8957</v>
      </c>
      <c r="G1105" t="s">
        <v>8959</v>
      </c>
      <c r="H1105" s="1" t="s">
        <v>9173</v>
      </c>
      <c r="I1105" s="1" t="s">
        <v>9174</v>
      </c>
      <c r="J1105" s="2" t="s">
        <v>20785</v>
      </c>
      <c r="K1105" s="1" t="s">
        <v>18491</v>
      </c>
      <c r="L1105" s="1" t="s">
        <v>9076</v>
      </c>
      <c r="M1105" s="1">
        <v>7</v>
      </c>
      <c r="N1105" s="1" t="s">
        <v>9059</v>
      </c>
      <c r="O1105" s="1" t="s">
        <v>8989</v>
      </c>
      <c r="P1105" s="1" t="s">
        <v>8955</v>
      </c>
      <c r="Q1105" s="1" t="s">
        <v>8956</v>
      </c>
      <c r="R1105" s="1" t="s">
        <v>9103</v>
      </c>
      <c r="S1105" s="1" t="s">
        <v>19319</v>
      </c>
      <c r="T1105" s="1" t="s">
        <v>17</v>
      </c>
      <c r="U1105" s="1" t="s">
        <v>83</v>
      </c>
    </row>
    <row r="1106" spans="1:21" x14ac:dyDescent="0.2">
      <c r="A1106" s="88" t="s">
        <v>16724</v>
      </c>
      <c r="B1106" s="88" t="e">
        <f>VLOOKUP(C1106,#REF!,1,0)</f>
        <v>#REF!</v>
      </c>
      <c r="C1106" s="1" t="s">
        <v>3835</v>
      </c>
      <c r="D1106" s="1" t="s">
        <v>3836</v>
      </c>
      <c r="E1106" s="1" t="s">
        <v>9213</v>
      </c>
      <c r="F1106" s="1" t="s">
        <v>8957</v>
      </c>
      <c r="G1106" t="s">
        <v>9061</v>
      </c>
      <c r="H1106" s="1" t="s">
        <v>9943</v>
      </c>
      <c r="I1106" s="1" t="s">
        <v>8971</v>
      </c>
      <c r="J1106" s="2" t="s">
        <v>10525</v>
      </c>
      <c r="K1106" s="1" t="s">
        <v>21650</v>
      </c>
      <c r="L1106" s="1" t="s">
        <v>9133</v>
      </c>
      <c r="M1106" s="1">
        <v>589</v>
      </c>
      <c r="N1106" s="1" t="s">
        <v>8953</v>
      </c>
      <c r="O1106" s="1" t="s">
        <v>8989</v>
      </c>
      <c r="P1106" s="1" t="s">
        <v>8955</v>
      </c>
      <c r="Q1106" s="1" t="s">
        <v>8956</v>
      </c>
      <c r="R1106" s="1" t="s">
        <v>8975</v>
      </c>
      <c r="S1106" s="1" t="s">
        <v>19320</v>
      </c>
      <c r="T1106" s="1" t="s">
        <v>17</v>
      </c>
      <c r="U1106" s="1" t="s">
        <v>3837</v>
      </c>
    </row>
    <row r="1107" spans="1:21" x14ac:dyDescent="0.2">
      <c r="A1107" s="88" t="s">
        <v>16725</v>
      </c>
      <c r="B1107" s="88" t="e">
        <f>VLOOKUP(C1107,#REF!,1,0)</f>
        <v>#REF!</v>
      </c>
      <c r="C1107" s="1" t="s">
        <v>3838</v>
      </c>
      <c r="D1107" s="1" t="s">
        <v>3839</v>
      </c>
      <c r="E1107" s="1" t="s">
        <v>9310</v>
      </c>
      <c r="F1107" s="1" t="s">
        <v>8957</v>
      </c>
      <c r="G1107" t="s">
        <v>9183</v>
      </c>
      <c r="H1107" s="1" t="s">
        <v>20714</v>
      </c>
      <c r="I1107" s="1" t="s">
        <v>9050</v>
      </c>
      <c r="J1107" s="2" t="s">
        <v>10525</v>
      </c>
      <c r="K1107" s="1" t="s">
        <v>21650</v>
      </c>
      <c r="L1107" s="1" t="s">
        <v>8951</v>
      </c>
      <c r="M1107" s="1">
        <v>944</v>
      </c>
      <c r="N1107" s="1" t="s">
        <v>8953</v>
      </c>
      <c r="O1107" s="1" t="s">
        <v>8989</v>
      </c>
      <c r="P1107" s="1" t="s">
        <v>8955</v>
      </c>
      <c r="Q1107" s="1" t="s">
        <v>8956</v>
      </c>
      <c r="R1107" s="1" t="s">
        <v>8975</v>
      </c>
      <c r="S1107" s="1" t="s">
        <v>19321</v>
      </c>
      <c r="T1107" s="1" t="s">
        <v>7</v>
      </c>
      <c r="U1107" s="1" t="s">
        <v>110</v>
      </c>
    </row>
    <row r="1108" spans="1:21" x14ac:dyDescent="0.2">
      <c r="A1108" s="88" t="s">
        <v>16726</v>
      </c>
      <c r="B1108" s="88" t="e">
        <f>VLOOKUP(C1108,#REF!,1,0)</f>
        <v>#REF!</v>
      </c>
      <c r="C1108" s="1" t="s">
        <v>3846</v>
      </c>
      <c r="D1108" s="1" t="s">
        <v>3847</v>
      </c>
      <c r="E1108" s="1" t="s">
        <v>9317</v>
      </c>
      <c r="F1108" s="1" t="s">
        <v>8957</v>
      </c>
      <c r="G1108" t="s">
        <v>9061</v>
      </c>
      <c r="H1108" s="1" t="s">
        <v>8948</v>
      </c>
      <c r="I1108" s="1" t="s">
        <v>9155</v>
      </c>
      <c r="J1108" s="2" t="s">
        <v>10492</v>
      </c>
      <c r="K1108" s="1" t="s">
        <v>10492</v>
      </c>
      <c r="L1108" s="1" t="s">
        <v>9076</v>
      </c>
      <c r="M1108" s="1">
        <v>19</v>
      </c>
      <c r="N1108" s="1" t="s">
        <v>9059</v>
      </c>
      <c r="O1108" s="1" t="s">
        <v>8989</v>
      </c>
      <c r="P1108" s="1" t="s">
        <v>8955</v>
      </c>
      <c r="Q1108" s="1" t="s">
        <v>8956</v>
      </c>
      <c r="R1108" s="1" t="s">
        <v>8958</v>
      </c>
      <c r="S1108" s="1" t="s">
        <v>19324</v>
      </c>
      <c r="T1108" s="1" t="s">
        <v>7</v>
      </c>
      <c r="U1108" s="1" t="s">
        <v>378</v>
      </c>
    </row>
    <row r="1109" spans="1:21" x14ac:dyDescent="0.2">
      <c r="A1109" s="88" t="s">
        <v>16727</v>
      </c>
      <c r="B1109" s="88" t="e">
        <f>VLOOKUP(C1109,#REF!,1,0)</f>
        <v>#REF!</v>
      </c>
      <c r="C1109" s="1" t="s">
        <v>3848</v>
      </c>
      <c r="D1109" s="1" t="s">
        <v>3849</v>
      </c>
      <c r="E1109" s="1" t="s">
        <v>9213</v>
      </c>
      <c r="F1109" s="1" t="s">
        <v>8957</v>
      </c>
      <c r="G1109" t="s">
        <v>9061</v>
      </c>
      <c r="H1109" s="1" t="s">
        <v>9943</v>
      </c>
      <c r="I1109" s="1" t="s">
        <v>8971</v>
      </c>
      <c r="J1109" s="2" t="s">
        <v>21515</v>
      </c>
      <c r="K1109" s="1" t="s">
        <v>21692</v>
      </c>
      <c r="L1109" s="1" t="s">
        <v>9133</v>
      </c>
      <c r="M1109" s="1">
        <v>15375</v>
      </c>
      <c r="N1109" s="1" t="s">
        <v>8953</v>
      </c>
      <c r="O1109" s="1" t="s">
        <v>8954</v>
      </c>
      <c r="P1109" s="1" t="s">
        <v>8955</v>
      </c>
      <c r="Q1109" s="1" t="s">
        <v>8956</v>
      </c>
      <c r="R1109" s="1" t="s">
        <v>8975</v>
      </c>
      <c r="S1109" s="1" t="s">
        <v>19325</v>
      </c>
      <c r="T1109" s="1" t="s">
        <v>7</v>
      </c>
      <c r="U1109" s="1" t="s">
        <v>24</v>
      </c>
    </row>
    <row r="1110" spans="1:21" x14ac:dyDescent="0.2">
      <c r="A1110" s="88" t="s">
        <v>16728</v>
      </c>
      <c r="B1110" s="88" t="e">
        <f>VLOOKUP(C1110,#REF!,1,0)</f>
        <v>#REF!</v>
      </c>
      <c r="C1110" s="1" t="s">
        <v>3850</v>
      </c>
      <c r="D1110" s="1" t="s">
        <v>3851</v>
      </c>
      <c r="E1110" s="1" t="s">
        <v>9333</v>
      </c>
      <c r="F1110" s="1" t="s">
        <v>8957</v>
      </c>
      <c r="G1110" t="s">
        <v>9061</v>
      </c>
      <c r="H1110" s="1" t="s">
        <v>8948</v>
      </c>
      <c r="I1110" s="1" t="s">
        <v>9155</v>
      </c>
      <c r="J1110" s="2" t="s">
        <v>20785</v>
      </c>
      <c r="K1110" s="1" t="s">
        <v>18491</v>
      </c>
      <c r="L1110" s="1" t="s">
        <v>9076</v>
      </c>
      <c r="M1110" s="1">
        <v>580</v>
      </c>
      <c r="N1110" s="1" t="s">
        <v>8953</v>
      </c>
      <c r="O1110" s="1" t="s">
        <v>20828</v>
      </c>
      <c r="P1110" s="1" t="s">
        <v>8955</v>
      </c>
      <c r="Q1110" s="1" t="s">
        <v>8956</v>
      </c>
      <c r="R1110" s="1" t="s">
        <v>8975</v>
      </c>
      <c r="S1110" s="1" t="s">
        <v>19326</v>
      </c>
      <c r="T1110" s="1" t="s">
        <v>7</v>
      </c>
      <c r="U1110" s="1" t="s">
        <v>3852</v>
      </c>
    </row>
    <row r="1111" spans="1:21" x14ac:dyDescent="0.2">
      <c r="A1111" s="88" t="s">
        <v>16729</v>
      </c>
      <c r="B1111" s="88" t="e">
        <f>VLOOKUP(C1111,#REF!,1,0)</f>
        <v>#REF!</v>
      </c>
      <c r="C1111" s="1" t="s">
        <v>3853</v>
      </c>
      <c r="D1111" s="1" t="s">
        <v>3854</v>
      </c>
      <c r="E1111" s="1" t="s">
        <v>9333</v>
      </c>
      <c r="F1111" s="1" t="s">
        <v>8957</v>
      </c>
      <c r="G1111" t="s">
        <v>9061</v>
      </c>
      <c r="H1111" s="1" t="s">
        <v>8948</v>
      </c>
      <c r="I1111" s="1" t="s">
        <v>8998</v>
      </c>
      <c r="J1111" s="2" t="s">
        <v>10492</v>
      </c>
      <c r="K1111" s="1" t="s">
        <v>10492</v>
      </c>
      <c r="L1111" s="1" t="s">
        <v>9076</v>
      </c>
      <c r="M1111" s="1">
        <v>7922</v>
      </c>
      <c r="N1111" s="1" t="s">
        <v>8953</v>
      </c>
      <c r="O1111" s="1" t="s">
        <v>8989</v>
      </c>
      <c r="P1111" s="1" t="s">
        <v>8955</v>
      </c>
      <c r="Q1111" s="1" t="s">
        <v>8956</v>
      </c>
      <c r="R1111" s="1" t="s">
        <v>8975</v>
      </c>
      <c r="S1111" s="1" t="s">
        <v>19327</v>
      </c>
      <c r="T1111" s="1" t="s">
        <v>7</v>
      </c>
      <c r="U1111" s="1" t="s">
        <v>93</v>
      </c>
    </row>
    <row r="1112" spans="1:21" x14ac:dyDescent="0.2">
      <c r="A1112" s="88" t="s">
        <v>16731</v>
      </c>
      <c r="B1112" s="88" t="e">
        <f>VLOOKUP(C1112,#REF!,1,0)</f>
        <v>#REF!</v>
      </c>
      <c r="C1112" s="1" t="s">
        <v>3860</v>
      </c>
      <c r="D1112" s="1" t="s">
        <v>3861</v>
      </c>
      <c r="E1112" s="1" t="s">
        <v>9333</v>
      </c>
      <c r="F1112" s="1" t="s">
        <v>8959</v>
      </c>
      <c r="G1112" t="s">
        <v>9183</v>
      </c>
      <c r="H1112" s="1" t="s">
        <v>20714</v>
      </c>
      <c r="I1112" s="1" t="s">
        <v>9155</v>
      </c>
      <c r="J1112" s="2" t="s">
        <v>10525</v>
      </c>
      <c r="K1112" s="1" t="s">
        <v>10525</v>
      </c>
      <c r="L1112" s="1" t="s">
        <v>8951</v>
      </c>
      <c r="M1112" s="1">
        <v>400</v>
      </c>
      <c r="N1112" s="1" t="s">
        <v>8953</v>
      </c>
      <c r="O1112" s="1" t="s">
        <v>8989</v>
      </c>
      <c r="P1112" s="1" t="s">
        <v>8955</v>
      </c>
      <c r="Q1112" s="1" t="s">
        <v>8956</v>
      </c>
      <c r="R1112" s="1" t="s">
        <v>8958</v>
      </c>
      <c r="S1112" s="1" t="s">
        <v>19329</v>
      </c>
      <c r="T1112" s="1" t="s">
        <v>7</v>
      </c>
      <c r="U1112" s="1" t="s">
        <v>24</v>
      </c>
    </row>
    <row r="1113" spans="1:21" x14ac:dyDescent="0.2">
      <c r="A1113" s="88" t="s">
        <v>16732</v>
      </c>
      <c r="B1113" s="88" t="e">
        <f>VLOOKUP(C1113,#REF!,1,0)</f>
        <v>#REF!</v>
      </c>
      <c r="C1113" s="1" t="s">
        <v>3862</v>
      </c>
      <c r="D1113" s="1" t="s">
        <v>3863</v>
      </c>
      <c r="E1113" s="1" t="s">
        <v>18502</v>
      </c>
      <c r="F1113" s="1" t="s">
        <v>8959</v>
      </c>
      <c r="G1113" t="s">
        <v>8959</v>
      </c>
      <c r="H1113" s="1" t="s">
        <v>9154</v>
      </c>
      <c r="I1113" s="1" t="s">
        <v>9155</v>
      </c>
      <c r="J1113" s="2" t="s">
        <v>20779</v>
      </c>
      <c r="K1113" s="1" t="s">
        <v>9036</v>
      </c>
      <c r="L1113" s="1" t="s">
        <v>21600</v>
      </c>
      <c r="M1113" s="1">
        <v>80</v>
      </c>
      <c r="N1113" s="1" t="s">
        <v>8953</v>
      </c>
      <c r="O1113" s="1" t="s">
        <v>8989</v>
      </c>
      <c r="P1113" s="1" t="s">
        <v>8955</v>
      </c>
      <c r="Q1113" s="1" t="s">
        <v>8956</v>
      </c>
      <c r="R1113" s="1" t="s">
        <v>9103</v>
      </c>
      <c r="S1113" s="1" t="s">
        <v>19330</v>
      </c>
      <c r="T1113" s="1" t="s">
        <v>7</v>
      </c>
      <c r="U1113" s="1" t="s">
        <v>3864</v>
      </c>
    </row>
    <row r="1114" spans="1:21" x14ac:dyDescent="0.2">
      <c r="A1114" s="88" t="s">
        <v>16733</v>
      </c>
      <c r="B1114" s="88" t="e">
        <f>VLOOKUP(C1114,#REF!,1,0)</f>
        <v>#REF!</v>
      </c>
      <c r="C1114" s="1" t="s">
        <v>3865</v>
      </c>
      <c r="D1114" s="1" t="s">
        <v>3866</v>
      </c>
      <c r="E1114" s="1" t="s">
        <v>18502</v>
      </c>
      <c r="F1114" s="1" t="s">
        <v>8957</v>
      </c>
      <c r="G1114" t="s">
        <v>8959</v>
      </c>
      <c r="H1114" s="1" t="s">
        <v>8948</v>
      </c>
      <c r="I1114" s="1" t="s">
        <v>8949</v>
      </c>
      <c r="J1114" s="2" t="s">
        <v>20779</v>
      </c>
      <c r="K1114" s="1" t="s">
        <v>9036</v>
      </c>
      <c r="L1114" s="1" t="s">
        <v>21600</v>
      </c>
      <c r="M1114" s="1">
        <v>800</v>
      </c>
      <c r="N1114" s="1" t="s">
        <v>8953</v>
      </c>
      <c r="O1114" s="1" t="s">
        <v>8989</v>
      </c>
      <c r="P1114" s="1" t="s">
        <v>8955</v>
      </c>
      <c r="Q1114" s="1" t="s">
        <v>8956</v>
      </c>
      <c r="R1114" s="1" t="s">
        <v>9103</v>
      </c>
      <c r="S1114" s="1" t="s">
        <v>19331</v>
      </c>
      <c r="T1114" s="1" t="s">
        <v>17</v>
      </c>
      <c r="U1114" s="1" t="s">
        <v>35</v>
      </c>
    </row>
    <row r="1115" spans="1:21" x14ac:dyDescent="0.2">
      <c r="A1115" s="88" t="s">
        <v>16735</v>
      </c>
      <c r="B1115" s="88" t="e">
        <f>VLOOKUP(C1115,#REF!,1,0)</f>
        <v>#REF!</v>
      </c>
      <c r="C1115" s="1" t="s">
        <v>3869</v>
      </c>
      <c r="D1115" s="1" t="s">
        <v>3870</v>
      </c>
      <c r="E1115" s="1" t="s">
        <v>9213</v>
      </c>
      <c r="F1115" s="1" t="s">
        <v>8957</v>
      </c>
      <c r="G1115" t="s">
        <v>9061</v>
      </c>
      <c r="H1115" s="1" t="s">
        <v>9154</v>
      </c>
      <c r="I1115" s="1" t="s">
        <v>8998</v>
      </c>
      <c r="J1115" s="2" t="s">
        <v>10525</v>
      </c>
      <c r="K1115" s="1" t="s">
        <v>10525</v>
      </c>
      <c r="L1115" s="1" t="s">
        <v>21600</v>
      </c>
      <c r="M1115" s="1">
        <v>1000</v>
      </c>
      <c r="N1115" s="1" t="s">
        <v>9059</v>
      </c>
      <c r="O1115" s="1" t="s">
        <v>8989</v>
      </c>
      <c r="P1115" s="1" t="s">
        <v>8955</v>
      </c>
      <c r="Q1115" s="1" t="s">
        <v>8956</v>
      </c>
      <c r="R1115" s="1" t="s">
        <v>8958</v>
      </c>
      <c r="S1115" s="1" t="s">
        <v>19332</v>
      </c>
      <c r="T1115" s="1" t="s">
        <v>7</v>
      </c>
      <c r="U1115" s="1" t="s">
        <v>138</v>
      </c>
    </row>
    <row r="1116" spans="1:21" x14ac:dyDescent="0.2">
      <c r="A1116" s="88" t="s">
        <v>16736</v>
      </c>
      <c r="B1116" s="88" t="e">
        <f>VLOOKUP(C1116,#REF!,1,0)</f>
        <v>#REF!</v>
      </c>
      <c r="C1116" s="1" t="s">
        <v>3871</v>
      </c>
      <c r="D1116" s="1" t="s">
        <v>3872</v>
      </c>
      <c r="E1116" s="1" t="s">
        <v>9246</v>
      </c>
      <c r="F1116" s="1" t="s">
        <v>8957</v>
      </c>
      <c r="G1116" t="s">
        <v>9061</v>
      </c>
      <c r="H1116" s="1" t="s">
        <v>9252</v>
      </c>
      <c r="I1116" s="1" t="s">
        <v>9253</v>
      </c>
      <c r="J1116" s="2" t="s">
        <v>9036</v>
      </c>
      <c r="K1116" s="1" t="s">
        <v>9036</v>
      </c>
      <c r="L1116" s="1" t="s">
        <v>8951</v>
      </c>
      <c r="M1116" s="1">
        <v>44090</v>
      </c>
      <c r="N1116" s="1" t="s">
        <v>8953</v>
      </c>
      <c r="O1116" s="1" t="s">
        <v>8989</v>
      </c>
      <c r="P1116" s="1" t="s">
        <v>8955</v>
      </c>
      <c r="Q1116" s="1" t="s">
        <v>8956</v>
      </c>
      <c r="R1116" s="1" t="s">
        <v>8975</v>
      </c>
      <c r="S1116" s="1" t="s">
        <v>3873</v>
      </c>
      <c r="T1116" s="1" t="s">
        <v>4</v>
      </c>
      <c r="U1116" s="1" t="s">
        <v>126</v>
      </c>
    </row>
    <row r="1117" spans="1:21" x14ac:dyDescent="0.2">
      <c r="A1117" s="88" t="s">
        <v>16737</v>
      </c>
      <c r="B1117" s="88" t="e">
        <f>VLOOKUP(C1117,#REF!,1,0)</f>
        <v>#REF!</v>
      </c>
      <c r="C1117" s="1" t="s">
        <v>3874</v>
      </c>
      <c r="D1117" s="1" t="s">
        <v>3875</v>
      </c>
      <c r="E1117" s="1" t="s">
        <v>9246</v>
      </c>
      <c r="F1117" s="1" t="s">
        <v>8957</v>
      </c>
      <c r="G1117" t="s">
        <v>9061</v>
      </c>
      <c r="H1117" s="1" t="s">
        <v>9252</v>
      </c>
      <c r="I1117" s="1" t="s">
        <v>9253</v>
      </c>
      <c r="J1117" s="2" t="s">
        <v>9036</v>
      </c>
      <c r="K1117" s="1" t="s">
        <v>9036</v>
      </c>
      <c r="L1117" s="1" t="s">
        <v>8987</v>
      </c>
      <c r="M1117" s="1">
        <v>1804</v>
      </c>
      <c r="N1117" s="1" t="s">
        <v>8953</v>
      </c>
      <c r="O1117" s="1" t="s">
        <v>8954</v>
      </c>
      <c r="P1117" s="1" t="s">
        <v>8955</v>
      </c>
      <c r="Q1117" s="1" t="s">
        <v>8956</v>
      </c>
      <c r="R1117" s="1" t="s">
        <v>8958</v>
      </c>
      <c r="S1117" s="1" t="s">
        <v>3876</v>
      </c>
      <c r="T1117" s="1" t="s">
        <v>4</v>
      </c>
      <c r="U1117" s="1" t="s">
        <v>93</v>
      </c>
    </row>
    <row r="1118" spans="1:21" x14ac:dyDescent="0.2">
      <c r="A1118" s="88" t="s">
        <v>16738</v>
      </c>
      <c r="B1118" s="88" t="e">
        <f>VLOOKUP(C1118,#REF!,1,0)</f>
        <v>#REF!</v>
      </c>
      <c r="C1118" s="1" t="s">
        <v>3877</v>
      </c>
      <c r="D1118" s="1" t="s">
        <v>3878</v>
      </c>
      <c r="E1118" s="1" t="s">
        <v>9317</v>
      </c>
      <c r="F1118" s="1" t="s">
        <v>8957</v>
      </c>
      <c r="G1118" t="s">
        <v>8959</v>
      </c>
      <c r="H1118" s="1" t="s">
        <v>9605</v>
      </c>
      <c r="I1118" s="1" t="s">
        <v>9101</v>
      </c>
      <c r="J1118" s="2" t="s">
        <v>21444</v>
      </c>
      <c r="K1118" s="1" t="s">
        <v>21693</v>
      </c>
      <c r="L1118" s="1" t="s">
        <v>21602</v>
      </c>
      <c r="M1118" s="1">
        <v>82</v>
      </c>
      <c r="N1118" s="1" t="s">
        <v>8953</v>
      </c>
      <c r="O1118" s="1" t="s">
        <v>8989</v>
      </c>
      <c r="P1118" s="1" t="s">
        <v>8955</v>
      </c>
      <c r="Q1118" s="1" t="s">
        <v>8956</v>
      </c>
      <c r="R1118" s="1" t="s">
        <v>8958</v>
      </c>
      <c r="S1118" s="1" t="s">
        <v>20625</v>
      </c>
      <c r="T1118" s="1" t="s">
        <v>7</v>
      </c>
      <c r="U1118" s="1" t="s">
        <v>808</v>
      </c>
    </row>
    <row r="1119" spans="1:21" x14ac:dyDescent="0.2">
      <c r="A1119" s="88" t="s">
        <v>16739</v>
      </c>
      <c r="B1119" s="88" t="e">
        <f>VLOOKUP(C1119,#REF!,1,0)</f>
        <v>#REF!</v>
      </c>
      <c r="C1119" s="1" t="s">
        <v>3882</v>
      </c>
      <c r="D1119" s="1" t="s">
        <v>3883</v>
      </c>
      <c r="E1119" s="1" t="s">
        <v>9010</v>
      </c>
      <c r="F1119" s="1" t="s">
        <v>8957</v>
      </c>
      <c r="G1119" t="s">
        <v>9061</v>
      </c>
      <c r="H1119" s="1" t="s">
        <v>8948</v>
      </c>
      <c r="I1119" s="1" t="s">
        <v>8949</v>
      </c>
      <c r="J1119" s="2" t="s">
        <v>10258</v>
      </c>
      <c r="K1119" s="1" t="s">
        <v>10258</v>
      </c>
      <c r="L1119" s="1" t="s">
        <v>9464</v>
      </c>
      <c r="M1119" s="1">
        <v>155</v>
      </c>
      <c r="N1119" s="1" t="s">
        <v>8953</v>
      </c>
      <c r="O1119" s="1" t="s">
        <v>8989</v>
      </c>
      <c r="P1119" s="1" t="s">
        <v>8955</v>
      </c>
      <c r="Q1119" s="1" t="s">
        <v>8956</v>
      </c>
      <c r="R1119" s="1" t="s">
        <v>8958</v>
      </c>
      <c r="S1119" s="1" t="s">
        <v>3884</v>
      </c>
      <c r="T1119" s="1" t="s">
        <v>4</v>
      </c>
      <c r="U1119" s="1" t="s">
        <v>87</v>
      </c>
    </row>
    <row r="1120" spans="1:21" x14ac:dyDescent="0.2">
      <c r="A1120" s="88" t="s">
        <v>20857</v>
      </c>
      <c r="B1120" s="88" t="e">
        <f>VLOOKUP(C1120,#REF!,1,0)</f>
        <v>#REF!</v>
      </c>
      <c r="C1120" s="1" t="s">
        <v>3885</v>
      </c>
      <c r="D1120" s="1" t="s">
        <v>3886</v>
      </c>
      <c r="E1120" s="1" t="s">
        <v>9310</v>
      </c>
      <c r="F1120" s="1" t="s">
        <v>8957</v>
      </c>
      <c r="G1120" t="s">
        <v>8959</v>
      </c>
      <c r="H1120" s="1" t="s">
        <v>20714</v>
      </c>
      <c r="I1120" s="1" t="s">
        <v>9050</v>
      </c>
      <c r="J1120" s="2" t="s">
        <v>10492</v>
      </c>
      <c r="K1120" s="1" t="s">
        <v>21645</v>
      </c>
      <c r="L1120" s="1" t="s">
        <v>21600</v>
      </c>
      <c r="M1120" s="1">
        <v>544</v>
      </c>
      <c r="N1120" s="1" t="s">
        <v>8953</v>
      </c>
      <c r="O1120" s="1" t="s">
        <v>8954</v>
      </c>
      <c r="P1120" s="1" t="s">
        <v>8955</v>
      </c>
      <c r="Q1120" s="1" t="s">
        <v>8956</v>
      </c>
      <c r="R1120" s="1" t="s">
        <v>8958</v>
      </c>
      <c r="S1120" s="1" t="s">
        <v>19334</v>
      </c>
      <c r="T1120" s="1" t="s">
        <v>17</v>
      </c>
      <c r="U1120" s="1" t="s">
        <v>286</v>
      </c>
    </row>
    <row r="1121" spans="1:21" x14ac:dyDescent="0.2">
      <c r="A1121" s="88" t="s">
        <v>16740</v>
      </c>
      <c r="B1121" s="88"/>
      <c r="C1121" s="1" t="s">
        <v>3887</v>
      </c>
      <c r="D1121" s="1" t="s">
        <v>3888</v>
      </c>
      <c r="E1121" s="1" t="e">
        <v>#N/A</v>
      </c>
      <c r="F1121" s="1" t="e">
        <v>#N/A</v>
      </c>
      <c r="G1121" t="e">
        <v>#N/A</v>
      </c>
      <c r="H1121" s="1" t="e">
        <v>#N/A</v>
      </c>
      <c r="I1121" s="1" t="e">
        <v>#N/A</v>
      </c>
      <c r="J1121" s="2" t="e">
        <v>#N/A</v>
      </c>
      <c r="K1121" s="1" t="e">
        <v>#N/A</v>
      </c>
      <c r="L1121" s="1" t="e">
        <v>#N/A</v>
      </c>
      <c r="M1121" s="1" t="e">
        <v>#N/A</v>
      </c>
      <c r="N1121" s="1" t="e">
        <v>#N/A</v>
      </c>
      <c r="O1121" s="1" t="e">
        <v>#N/A</v>
      </c>
      <c r="P1121" s="1" t="s">
        <v>8955</v>
      </c>
      <c r="Q1121" s="1" t="s">
        <v>8956</v>
      </c>
      <c r="R1121" s="1" t="s">
        <v>8958</v>
      </c>
      <c r="S1121" s="1" t="s">
        <v>19335</v>
      </c>
      <c r="T1121" s="1" t="s">
        <v>252</v>
      </c>
      <c r="U1121" s="1" t="s">
        <v>3889</v>
      </c>
    </row>
    <row r="1122" spans="1:21" x14ac:dyDescent="0.2">
      <c r="A1122" s="88" t="s">
        <v>16741</v>
      </c>
      <c r="B1122" s="88" t="e">
        <f>VLOOKUP(C1122,#REF!,1,0)</f>
        <v>#REF!</v>
      </c>
      <c r="C1122" s="1" t="s">
        <v>3890</v>
      </c>
      <c r="D1122" s="1" t="s">
        <v>3891</v>
      </c>
      <c r="E1122" s="1" t="s">
        <v>20858</v>
      </c>
      <c r="F1122" s="1" t="s">
        <v>8957</v>
      </c>
      <c r="G1122" t="s">
        <v>8959</v>
      </c>
      <c r="H1122" s="1" t="s">
        <v>9075</v>
      </c>
      <c r="I1122" s="1" t="s">
        <v>9101</v>
      </c>
      <c r="J1122" s="2" t="s">
        <v>20859</v>
      </c>
      <c r="K1122" s="1" t="s">
        <v>21852</v>
      </c>
      <c r="L1122" s="1" t="s">
        <v>8987</v>
      </c>
      <c r="M1122" s="1">
        <v>8664</v>
      </c>
      <c r="N1122" s="1" t="s">
        <v>8953</v>
      </c>
      <c r="O1122" s="1" t="s">
        <v>8954</v>
      </c>
      <c r="P1122" s="1" t="s">
        <v>8955</v>
      </c>
      <c r="Q1122" s="1" t="s">
        <v>8956</v>
      </c>
      <c r="R1122" s="1" t="s">
        <v>9103</v>
      </c>
      <c r="S1122" s="1" t="s">
        <v>19336</v>
      </c>
      <c r="T1122" s="1" t="s">
        <v>17</v>
      </c>
      <c r="U1122" s="1" t="s">
        <v>74</v>
      </c>
    </row>
    <row r="1123" spans="1:21" x14ac:dyDescent="0.2">
      <c r="A1123" s="88" t="s">
        <v>16742</v>
      </c>
      <c r="B1123" s="88" t="e">
        <f>VLOOKUP(C1123,#REF!,1,0)</f>
        <v>#REF!</v>
      </c>
      <c r="C1123" s="1" t="s">
        <v>3892</v>
      </c>
      <c r="D1123" s="1" t="s">
        <v>3893</v>
      </c>
      <c r="E1123" s="1" t="s">
        <v>9380</v>
      </c>
      <c r="F1123" s="1" t="s">
        <v>8957</v>
      </c>
      <c r="G1123" t="s">
        <v>8959</v>
      </c>
      <c r="H1123" s="1" t="s">
        <v>9605</v>
      </c>
      <c r="I1123" s="1" t="s">
        <v>9101</v>
      </c>
      <c r="J1123" s="2" t="s">
        <v>9036</v>
      </c>
      <c r="K1123" s="1" t="s">
        <v>9036</v>
      </c>
      <c r="L1123" s="1" t="s">
        <v>8987</v>
      </c>
      <c r="M1123" s="1">
        <v>2880</v>
      </c>
      <c r="N1123" s="1" t="s">
        <v>8953</v>
      </c>
      <c r="O1123" s="1" t="s">
        <v>8954</v>
      </c>
      <c r="P1123" s="1" t="s">
        <v>8955</v>
      </c>
      <c r="Q1123" s="1" t="s">
        <v>8956</v>
      </c>
      <c r="R1123" s="1" t="s">
        <v>9103</v>
      </c>
      <c r="S1123" s="1" t="s">
        <v>3894</v>
      </c>
      <c r="T1123" s="1" t="s">
        <v>242</v>
      </c>
      <c r="U1123" s="1" t="s">
        <v>493</v>
      </c>
    </row>
    <row r="1124" spans="1:21" x14ac:dyDescent="0.2">
      <c r="A1124" s="88" t="s">
        <v>16743</v>
      </c>
      <c r="B1124" s="88" t="e">
        <f>VLOOKUP(C1124,#REF!,1,0)</f>
        <v>#REF!</v>
      </c>
      <c r="C1124" s="1" t="s">
        <v>3899</v>
      </c>
      <c r="D1124" s="1" t="s">
        <v>3900</v>
      </c>
      <c r="E1124" s="1" t="s">
        <v>9380</v>
      </c>
      <c r="F1124" s="1" t="s">
        <v>8957</v>
      </c>
      <c r="G1124" t="s">
        <v>8959</v>
      </c>
      <c r="H1124" s="1" t="s">
        <v>9605</v>
      </c>
      <c r="I1124" s="1" t="s">
        <v>9101</v>
      </c>
      <c r="J1124" s="2" t="s">
        <v>9036</v>
      </c>
      <c r="K1124" s="1" t="s">
        <v>9036</v>
      </c>
      <c r="L1124" s="1" t="s">
        <v>8987</v>
      </c>
      <c r="M1124" s="1">
        <v>22000</v>
      </c>
      <c r="N1124" s="1" t="s">
        <v>8953</v>
      </c>
      <c r="O1124" s="1" t="s">
        <v>8989</v>
      </c>
      <c r="P1124" s="1" t="s">
        <v>8955</v>
      </c>
      <c r="Q1124" s="1" t="s">
        <v>8956</v>
      </c>
      <c r="R1124" s="1" t="s">
        <v>8958</v>
      </c>
      <c r="S1124" s="1" t="s">
        <v>3901</v>
      </c>
      <c r="T1124" s="1" t="s">
        <v>4</v>
      </c>
      <c r="U1124" s="1" t="s">
        <v>3902</v>
      </c>
    </row>
    <row r="1125" spans="1:21" x14ac:dyDescent="0.2">
      <c r="A1125" s="88" t="s">
        <v>16745</v>
      </c>
      <c r="B1125" s="88" t="e">
        <f>VLOOKUP(C1125,#REF!,1,0)</f>
        <v>#REF!</v>
      </c>
      <c r="C1125" s="1" t="s">
        <v>3906</v>
      </c>
      <c r="D1125" s="1" t="s">
        <v>3907</v>
      </c>
      <c r="E1125" s="1" t="s">
        <v>18502</v>
      </c>
      <c r="F1125" s="1" t="s">
        <v>8957</v>
      </c>
      <c r="G1125" t="s">
        <v>8959</v>
      </c>
      <c r="H1125" s="1" t="s">
        <v>9154</v>
      </c>
      <c r="I1125" s="1" t="s">
        <v>8949</v>
      </c>
      <c r="J1125" s="2" t="s">
        <v>20779</v>
      </c>
      <c r="K1125" s="1" t="s">
        <v>9036</v>
      </c>
      <c r="L1125" s="1" t="s">
        <v>9464</v>
      </c>
      <c r="M1125" s="1">
        <v>334</v>
      </c>
      <c r="N1125" s="1" t="s">
        <v>8953</v>
      </c>
      <c r="O1125" s="1" t="s">
        <v>8954</v>
      </c>
      <c r="P1125" s="1" t="s">
        <v>8955</v>
      </c>
      <c r="Q1125" s="1" t="s">
        <v>8956</v>
      </c>
      <c r="R1125" s="1" t="s">
        <v>8958</v>
      </c>
      <c r="S1125" s="1" t="s">
        <v>19339</v>
      </c>
      <c r="T1125" s="1" t="s">
        <v>17</v>
      </c>
      <c r="U1125" s="1" t="s">
        <v>61</v>
      </c>
    </row>
    <row r="1126" spans="1:21" x14ac:dyDescent="0.2">
      <c r="A1126" s="88" t="s">
        <v>16746</v>
      </c>
      <c r="B1126" s="88" t="e">
        <f>VLOOKUP(C1126,#REF!,1,0)</f>
        <v>#REF!</v>
      </c>
      <c r="C1126" s="1" t="s">
        <v>3908</v>
      </c>
      <c r="D1126" s="1" t="s">
        <v>3909</v>
      </c>
      <c r="E1126" s="1" t="s">
        <v>18502</v>
      </c>
      <c r="F1126" s="1" t="s">
        <v>8959</v>
      </c>
      <c r="G1126" t="s">
        <v>9061</v>
      </c>
      <c r="H1126" s="1" t="s">
        <v>9092</v>
      </c>
      <c r="I1126" s="1" t="s">
        <v>8998</v>
      </c>
      <c r="J1126" s="2" t="s">
        <v>10492</v>
      </c>
      <c r="K1126" s="1" t="s">
        <v>10492</v>
      </c>
      <c r="L1126" s="1" t="s">
        <v>9133</v>
      </c>
      <c r="M1126" s="1">
        <v>1843</v>
      </c>
      <c r="N1126" s="1" t="s">
        <v>8953</v>
      </c>
      <c r="O1126" s="1" t="s">
        <v>8954</v>
      </c>
      <c r="P1126" s="1" t="s">
        <v>8955</v>
      </c>
      <c r="Q1126" s="1" t="s">
        <v>8956</v>
      </c>
      <c r="R1126" s="1" t="s">
        <v>8975</v>
      </c>
      <c r="S1126" s="1" t="s">
        <v>19340</v>
      </c>
      <c r="T1126" s="1" t="s">
        <v>17</v>
      </c>
      <c r="U1126" s="1" t="s">
        <v>174</v>
      </c>
    </row>
    <row r="1127" spans="1:21" x14ac:dyDescent="0.2">
      <c r="A1127" s="88" t="s">
        <v>16747</v>
      </c>
      <c r="B1127" s="88" t="e">
        <f>VLOOKUP(C1127,#REF!,1,0)</f>
        <v>#REF!</v>
      </c>
      <c r="C1127" s="1" t="s">
        <v>3914</v>
      </c>
      <c r="D1127" s="1" t="s">
        <v>3915</v>
      </c>
      <c r="E1127" s="1" t="s">
        <v>9317</v>
      </c>
      <c r="F1127" s="1" t="s">
        <v>8957</v>
      </c>
      <c r="G1127" t="s">
        <v>9183</v>
      </c>
      <c r="H1127" s="1" t="s">
        <v>8948</v>
      </c>
      <c r="I1127" s="1" t="s">
        <v>9308</v>
      </c>
      <c r="J1127" s="2" t="s">
        <v>20779</v>
      </c>
      <c r="K1127" s="1" t="s">
        <v>9036</v>
      </c>
      <c r="L1127" s="1" t="s">
        <v>8951</v>
      </c>
      <c r="M1127" s="1">
        <v>2100</v>
      </c>
      <c r="N1127" s="1" t="s">
        <v>8953</v>
      </c>
      <c r="O1127" s="1" t="s">
        <v>8989</v>
      </c>
      <c r="P1127" s="1" t="s">
        <v>8955</v>
      </c>
      <c r="Q1127" s="1" t="s">
        <v>8956</v>
      </c>
      <c r="R1127" s="1" t="s">
        <v>8975</v>
      </c>
      <c r="S1127" s="1" t="s">
        <v>19342</v>
      </c>
      <c r="T1127" s="1" t="s">
        <v>17</v>
      </c>
      <c r="U1127" s="1" t="s">
        <v>24</v>
      </c>
    </row>
    <row r="1128" spans="1:21" x14ac:dyDescent="0.2">
      <c r="A1128" s="88" t="s">
        <v>16748</v>
      </c>
      <c r="B1128" s="88" t="e">
        <f>VLOOKUP(C1128,#REF!,1,0)</f>
        <v>#REF!</v>
      </c>
      <c r="C1128" s="1" t="s">
        <v>3916</v>
      </c>
      <c r="D1128" s="1" t="s">
        <v>3917</v>
      </c>
      <c r="E1128" s="1" t="s">
        <v>20860</v>
      </c>
      <c r="F1128" s="1" t="s">
        <v>8957</v>
      </c>
      <c r="G1128" t="s">
        <v>8959</v>
      </c>
      <c r="H1128" s="1" t="s">
        <v>9100</v>
      </c>
      <c r="I1128" s="1" t="s">
        <v>8949</v>
      </c>
      <c r="J1128" s="2" t="s">
        <v>10492</v>
      </c>
      <c r="K1128" s="1" t="s">
        <v>10492</v>
      </c>
      <c r="L1128" s="1" t="s">
        <v>21600</v>
      </c>
      <c r="M1128" s="1">
        <v>122</v>
      </c>
      <c r="N1128" s="1" t="s">
        <v>9059</v>
      </c>
      <c r="O1128" s="1" t="s">
        <v>8989</v>
      </c>
      <c r="P1128" s="1" t="s">
        <v>8955</v>
      </c>
      <c r="Q1128" s="1" t="s">
        <v>8956</v>
      </c>
      <c r="R1128" s="1" t="s">
        <v>8975</v>
      </c>
      <c r="S1128" s="1" t="s">
        <v>19343</v>
      </c>
      <c r="T1128" s="1" t="s">
        <v>17</v>
      </c>
      <c r="U1128" s="1" t="s">
        <v>3918</v>
      </c>
    </row>
    <row r="1129" spans="1:21" x14ac:dyDescent="0.2">
      <c r="A1129" s="88" t="s">
        <v>16750</v>
      </c>
      <c r="B1129" s="88" t="e">
        <f>VLOOKUP(C1129,#REF!,1,0)</f>
        <v>#REF!</v>
      </c>
      <c r="C1129" s="1" t="s">
        <v>3921</v>
      </c>
      <c r="D1129" s="1" t="s">
        <v>3922</v>
      </c>
      <c r="E1129" s="1" t="s">
        <v>9310</v>
      </c>
      <c r="F1129" s="1" t="s">
        <v>8957</v>
      </c>
      <c r="G1129" t="s">
        <v>9183</v>
      </c>
      <c r="H1129" s="1" t="s">
        <v>9092</v>
      </c>
      <c r="I1129" s="1" t="s">
        <v>8949</v>
      </c>
      <c r="J1129" s="2" t="s">
        <v>20779</v>
      </c>
      <c r="K1129" s="1" t="s">
        <v>9036</v>
      </c>
      <c r="L1129" s="1" t="s">
        <v>21600</v>
      </c>
      <c r="M1129" s="1">
        <v>243</v>
      </c>
      <c r="N1129" s="1" t="s">
        <v>9059</v>
      </c>
      <c r="O1129" s="1" t="s">
        <v>8989</v>
      </c>
      <c r="P1129" s="1" t="s">
        <v>8955</v>
      </c>
      <c r="Q1129" s="1" t="s">
        <v>8956</v>
      </c>
      <c r="R1129" s="1" t="s">
        <v>8958</v>
      </c>
      <c r="S1129" s="1" t="s">
        <v>19344</v>
      </c>
      <c r="T1129" s="1" t="s">
        <v>7</v>
      </c>
      <c r="U1129" s="1" t="s">
        <v>46</v>
      </c>
    </row>
    <row r="1130" spans="1:21" x14ac:dyDescent="0.2">
      <c r="A1130" s="88" t="s">
        <v>16751</v>
      </c>
      <c r="B1130" s="88" t="e">
        <f>VLOOKUP(C1130,#REF!,1,0)</f>
        <v>#REF!</v>
      </c>
      <c r="C1130" s="1" t="s">
        <v>3923</v>
      </c>
      <c r="D1130" s="1" t="s">
        <v>3924</v>
      </c>
      <c r="E1130" s="1" t="s">
        <v>10687</v>
      </c>
      <c r="F1130" s="1" t="s">
        <v>8957</v>
      </c>
      <c r="G1130" t="s">
        <v>8959</v>
      </c>
      <c r="H1130" s="1" t="s">
        <v>9173</v>
      </c>
      <c r="I1130" s="1" t="s">
        <v>8985</v>
      </c>
      <c r="J1130" s="2" t="s">
        <v>20861</v>
      </c>
      <c r="K1130" s="1" t="s">
        <v>21853</v>
      </c>
      <c r="L1130" s="1" t="s">
        <v>21600</v>
      </c>
      <c r="M1130" s="1">
        <v>70</v>
      </c>
      <c r="N1130" s="1" t="s">
        <v>8953</v>
      </c>
      <c r="O1130" s="1" t="s">
        <v>8954</v>
      </c>
      <c r="P1130" s="1" t="s">
        <v>8955</v>
      </c>
      <c r="Q1130" s="1" t="s">
        <v>8956</v>
      </c>
      <c r="R1130" s="1" t="s">
        <v>8958</v>
      </c>
      <c r="S1130" s="1" t="s">
        <v>19345</v>
      </c>
      <c r="T1130" s="1" t="s">
        <v>7</v>
      </c>
      <c r="U1130" s="1" t="s">
        <v>210</v>
      </c>
    </row>
    <row r="1131" spans="1:21" x14ac:dyDescent="0.2">
      <c r="A1131" s="88" t="s">
        <v>16752</v>
      </c>
      <c r="B1131" s="88" t="e">
        <f>VLOOKUP(C1131,#REF!,1,0)</f>
        <v>#REF!</v>
      </c>
      <c r="C1131" s="1" t="s">
        <v>3925</v>
      </c>
      <c r="D1131" s="1" t="s">
        <v>3926</v>
      </c>
      <c r="E1131" s="1" t="s">
        <v>9815</v>
      </c>
      <c r="F1131" s="1" t="s">
        <v>8957</v>
      </c>
      <c r="G1131" t="s">
        <v>8959</v>
      </c>
      <c r="H1131" s="1" t="s">
        <v>9075</v>
      </c>
      <c r="I1131" s="1" t="s">
        <v>9121</v>
      </c>
      <c r="J1131" s="2" t="s">
        <v>21247</v>
      </c>
      <c r="K1131" s="1" t="s">
        <v>21786</v>
      </c>
      <c r="L1131" s="1" t="s">
        <v>8987</v>
      </c>
      <c r="M1131" s="1">
        <v>1644</v>
      </c>
      <c r="N1131" s="1" t="s">
        <v>8953</v>
      </c>
      <c r="O1131" s="1" t="s">
        <v>8954</v>
      </c>
      <c r="P1131" s="1" t="s">
        <v>8955</v>
      </c>
      <c r="Q1131" s="1" t="s">
        <v>8956</v>
      </c>
      <c r="R1131" s="1" t="s">
        <v>9103</v>
      </c>
      <c r="S1131" s="1" t="s">
        <v>3927</v>
      </c>
      <c r="T1131" s="1" t="s">
        <v>7</v>
      </c>
      <c r="U1131" s="1" t="s">
        <v>87</v>
      </c>
    </row>
    <row r="1132" spans="1:21" x14ac:dyDescent="0.2">
      <c r="A1132" s="88" t="s">
        <v>16753</v>
      </c>
      <c r="B1132" s="88" t="e">
        <f>VLOOKUP(C1132,#REF!,1,0)</f>
        <v>#REF!</v>
      </c>
      <c r="C1132" s="1" t="s">
        <v>3928</v>
      </c>
      <c r="D1132" s="1" t="s">
        <v>3929</v>
      </c>
      <c r="E1132" s="1" t="s">
        <v>9176</v>
      </c>
      <c r="F1132" s="1" t="s">
        <v>8974</v>
      </c>
      <c r="G1132" t="s">
        <v>9061</v>
      </c>
      <c r="H1132" s="1" t="s">
        <v>20714</v>
      </c>
      <c r="I1132" s="1" t="s">
        <v>20725</v>
      </c>
      <c r="J1132" s="2" t="s">
        <v>10492</v>
      </c>
      <c r="K1132" s="1" t="s">
        <v>10492</v>
      </c>
      <c r="L1132" s="1" t="s">
        <v>21600</v>
      </c>
      <c r="M1132" s="1">
        <v>894</v>
      </c>
      <c r="N1132" s="1" t="s">
        <v>8953</v>
      </c>
      <c r="O1132" s="1" t="s">
        <v>8989</v>
      </c>
      <c r="P1132" s="1" t="s">
        <v>8955</v>
      </c>
      <c r="Q1132" s="1" t="s">
        <v>8956</v>
      </c>
      <c r="R1132" s="1" t="s">
        <v>8958</v>
      </c>
      <c r="S1132" s="1" t="s">
        <v>19346</v>
      </c>
      <c r="T1132" s="1" t="s">
        <v>17</v>
      </c>
      <c r="U1132" s="1" t="s">
        <v>24</v>
      </c>
    </row>
    <row r="1133" spans="1:21" x14ac:dyDescent="0.2">
      <c r="A1133" s="88" t="s">
        <v>16754</v>
      </c>
      <c r="B1133" s="88" t="e">
        <f>VLOOKUP(C1133,#REF!,1,0)</f>
        <v>#REF!</v>
      </c>
      <c r="C1133" s="1" t="s">
        <v>3930</v>
      </c>
      <c r="D1133" s="1" t="s">
        <v>3931</v>
      </c>
      <c r="E1133" s="1" t="s">
        <v>9317</v>
      </c>
      <c r="F1133" s="1" t="s">
        <v>8957</v>
      </c>
      <c r="G1133" t="s">
        <v>8959</v>
      </c>
      <c r="H1133" s="1" t="s">
        <v>8948</v>
      </c>
      <c r="I1133" s="1" t="s">
        <v>9155</v>
      </c>
      <c r="J1133" s="2" t="s">
        <v>10525</v>
      </c>
      <c r="K1133" s="1" t="s">
        <v>10525</v>
      </c>
      <c r="L1133" s="1" t="s">
        <v>9464</v>
      </c>
      <c r="M1133" s="1">
        <v>54540</v>
      </c>
      <c r="N1133" s="1" t="s">
        <v>8953</v>
      </c>
      <c r="O1133" s="1" t="s">
        <v>8989</v>
      </c>
      <c r="P1133" s="1" t="s">
        <v>8955</v>
      </c>
      <c r="Q1133" s="1" t="s">
        <v>8956</v>
      </c>
      <c r="R1133" s="1" t="s">
        <v>8975</v>
      </c>
      <c r="S1133" s="1" t="s">
        <v>19347</v>
      </c>
      <c r="T1133" s="1" t="s">
        <v>7</v>
      </c>
      <c r="U1133" s="1" t="s">
        <v>64</v>
      </c>
    </row>
    <row r="1134" spans="1:21" x14ac:dyDescent="0.2">
      <c r="A1134" s="88" t="s">
        <v>16755</v>
      </c>
      <c r="B1134" s="88" t="e">
        <f>VLOOKUP(C1134,#REF!,1,0)</f>
        <v>#REF!</v>
      </c>
      <c r="C1134" s="1" t="s">
        <v>3938</v>
      </c>
      <c r="D1134" s="1" t="s">
        <v>3939</v>
      </c>
      <c r="E1134" s="1" t="s">
        <v>9317</v>
      </c>
      <c r="F1134" s="1" t="s">
        <v>8957</v>
      </c>
      <c r="G1134" t="s">
        <v>9183</v>
      </c>
      <c r="H1134" s="1" t="s">
        <v>8948</v>
      </c>
      <c r="I1134" s="1" t="s">
        <v>9308</v>
      </c>
      <c r="J1134" s="2" t="s">
        <v>9036</v>
      </c>
      <c r="K1134" s="1" t="s">
        <v>9036</v>
      </c>
      <c r="L1134" s="1" t="s">
        <v>9133</v>
      </c>
      <c r="M1134" s="1">
        <v>1792</v>
      </c>
      <c r="N1134" s="1" t="s">
        <v>8953</v>
      </c>
      <c r="O1134" s="1" t="s">
        <v>8989</v>
      </c>
      <c r="P1134" s="1" t="s">
        <v>8955</v>
      </c>
      <c r="Q1134" s="1" t="s">
        <v>8956</v>
      </c>
      <c r="R1134" s="1" t="s">
        <v>8958</v>
      </c>
      <c r="S1134" s="1" t="s">
        <v>3940</v>
      </c>
      <c r="T1134" s="1" t="s">
        <v>7</v>
      </c>
      <c r="U1134" s="1" t="s">
        <v>3941</v>
      </c>
    </row>
    <row r="1135" spans="1:21" x14ac:dyDescent="0.2">
      <c r="A1135" s="88" t="s">
        <v>16756</v>
      </c>
      <c r="B1135" s="88" t="e">
        <f>VLOOKUP(C1135,#REF!,1,0)</f>
        <v>#REF!</v>
      </c>
      <c r="C1135" s="1" t="s">
        <v>3942</v>
      </c>
      <c r="D1135" s="1" t="s">
        <v>3943</v>
      </c>
      <c r="E1135" s="1" t="s">
        <v>18502</v>
      </c>
      <c r="F1135" s="1" t="s">
        <v>8957</v>
      </c>
      <c r="G1135" t="s">
        <v>8959</v>
      </c>
      <c r="H1135" s="1" t="s">
        <v>9100</v>
      </c>
      <c r="I1135" s="1" t="s">
        <v>8998</v>
      </c>
      <c r="J1135" s="2" t="s">
        <v>18497</v>
      </c>
      <c r="K1135" s="1" t="s">
        <v>18497</v>
      </c>
      <c r="L1135" s="1" t="s">
        <v>8951</v>
      </c>
      <c r="M1135" s="1">
        <v>4596</v>
      </c>
      <c r="N1135" s="1" t="s">
        <v>8953</v>
      </c>
      <c r="O1135" s="1" t="s">
        <v>8989</v>
      </c>
      <c r="P1135" s="1" t="s">
        <v>8955</v>
      </c>
      <c r="Q1135" s="1" t="s">
        <v>8956</v>
      </c>
      <c r="R1135" s="1" t="s">
        <v>8958</v>
      </c>
      <c r="S1135" s="1" t="s">
        <v>19350</v>
      </c>
      <c r="T1135" s="1" t="s">
        <v>17</v>
      </c>
      <c r="U1135" s="1" t="s">
        <v>2121</v>
      </c>
    </row>
    <row r="1136" spans="1:21" x14ac:dyDescent="0.2">
      <c r="A1136" s="88" t="s">
        <v>16757</v>
      </c>
      <c r="B1136" s="88" t="e">
        <f>VLOOKUP(C1136,#REF!,1,0)</f>
        <v>#REF!</v>
      </c>
      <c r="C1136" s="1" t="s">
        <v>3944</v>
      </c>
      <c r="D1136" s="1" t="s">
        <v>3945</v>
      </c>
      <c r="E1136" s="1" t="s">
        <v>9310</v>
      </c>
      <c r="F1136" s="1" t="s">
        <v>8957</v>
      </c>
      <c r="G1136" t="s">
        <v>8959</v>
      </c>
      <c r="H1136" s="1" t="s">
        <v>9092</v>
      </c>
      <c r="I1136" s="1" t="s">
        <v>8971</v>
      </c>
      <c r="J1136" s="2" t="s">
        <v>21526</v>
      </c>
      <c r="K1136" s="1" t="s">
        <v>21694</v>
      </c>
      <c r="L1136" s="1" t="s">
        <v>21600</v>
      </c>
      <c r="M1136" s="1">
        <v>1035</v>
      </c>
      <c r="N1136" s="1" t="s">
        <v>8953</v>
      </c>
      <c r="O1136" s="1" t="s">
        <v>8989</v>
      </c>
      <c r="P1136" s="1" t="s">
        <v>8955</v>
      </c>
      <c r="Q1136" s="1" t="s">
        <v>8956</v>
      </c>
      <c r="R1136" s="1" t="s">
        <v>8958</v>
      </c>
      <c r="S1136" s="1" t="s">
        <v>19351</v>
      </c>
      <c r="T1136" s="1" t="s">
        <v>7</v>
      </c>
      <c r="U1136" s="1" t="s">
        <v>1598</v>
      </c>
    </row>
    <row r="1137" spans="1:21" x14ac:dyDescent="0.2">
      <c r="A1137" s="88" t="s">
        <v>16758</v>
      </c>
      <c r="B1137" s="88" t="e">
        <f>VLOOKUP(C1137,#REF!,1,0)</f>
        <v>#REF!</v>
      </c>
      <c r="C1137" s="1" t="s">
        <v>3946</v>
      </c>
      <c r="D1137" s="1" t="s">
        <v>3947</v>
      </c>
      <c r="E1137" s="1" t="s">
        <v>18502</v>
      </c>
      <c r="F1137" s="1" t="s">
        <v>8957</v>
      </c>
      <c r="G1137" t="s">
        <v>8959</v>
      </c>
      <c r="H1137" s="1" t="s">
        <v>9100</v>
      </c>
      <c r="I1137" s="1" t="s">
        <v>9155</v>
      </c>
      <c r="J1137" s="2" t="s">
        <v>21367</v>
      </c>
      <c r="K1137" s="1" t="s">
        <v>21367</v>
      </c>
      <c r="L1137" s="1" t="s">
        <v>8987</v>
      </c>
      <c r="M1137" s="1">
        <v>5140</v>
      </c>
      <c r="N1137" s="1" t="s">
        <v>8953</v>
      </c>
      <c r="O1137" s="1" t="s">
        <v>8954</v>
      </c>
      <c r="P1137" s="1" t="s">
        <v>8955</v>
      </c>
      <c r="Q1137" s="1" t="s">
        <v>8956</v>
      </c>
      <c r="R1137" s="1" t="s">
        <v>8975</v>
      </c>
      <c r="S1137" s="1" t="s">
        <v>19352</v>
      </c>
      <c r="T1137" s="1" t="s">
        <v>7</v>
      </c>
      <c r="U1137" s="1" t="s">
        <v>938</v>
      </c>
    </row>
    <row r="1138" spans="1:21" x14ac:dyDescent="0.2">
      <c r="A1138" s="88" t="s">
        <v>16759</v>
      </c>
      <c r="B1138" s="88" t="e">
        <f>VLOOKUP(C1138,#REF!,1,0)</f>
        <v>#REF!</v>
      </c>
      <c r="C1138" s="1" t="s">
        <v>3948</v>
      </c>
      <c r="D1138" s="1" t="s">
        <v>3949</v>
      </c>
      <c r="E1138" s="1" t="s">
        <v>9317</v>
      </c>
      <c r="F1138" s="1" t="s">
        <v>8957</v>
      </c>
      <c r="G1138" t="s">
        <v>9061</v>
      </c>
      <c r="H1138" s="1" t="s">
        <v>9075</v>
      </c>
      <c r="I1138" s="1" t="s">
        <v>8998</v>
      </c>
      <c r="J1138" s="2" t="s">
        <v>20785</v>
      </c>
      <c r="K1138" s="1" t="s">
        <v>18491</v>
      </c>
      <c r="L1138" s="1" t="s">
        <v>9464</v>
      </c>
      <c r="M1138" s="1">
        <v>33</v>
      </c>
      <c r="N1138" s="1" t="s">
        <v>9059</v>
      </c>
      <c r="O1138" s="1" t="s">
        <v>8989</v>
      </c>
      <c r="P1138" s="1" t="s">
        <v>8955</v>
      </c>
      <c r="Q1138" s="1" t="s">
        <v>8956</v>
      </c>
      <c r="R1138" s="1" t="s">
        <v>8975</v>
      </c>
      <c r="S1138" s="1" t="s">
        <v>20626</v>
      </c>
      <c r="T1138" s="1" t="s">
        <v>17</v>
      </c>
      <c r="U1138" s="1" t="s">
        <v>378</v>
      </c>
    </row>
    <row r="1139" spans="1:21" x14ac:dyDescent="0.2">
      <c r="A1139" s="88" t="s">
        <v>16760</v>
      </c>
      <c r="B1139" s="88" t="e">
        <f>VLOOKUP(C1139,#REF!,1,0)</f>
        <v>#REF!</v>
      </c>
      <c r="C1139" s="1" t="s">
        <v>3950</v>
      </c>
      <c r="D1139" s="1" t="s">
        <v>3951</v>
      </c>
      <c r="E1139" s="1" t="s">
        <v>9650</v>
      </c>
      <c r="F1139" s="1" t="s">
        <v>8957</v>
      </c>
      <c r="G1139" t="s">
        <v>9183</v>
      </c>
      <c r="H1139" s="1" t="s">
        <v>8948</v>
      </c>
      <c r="I1139" s="1" t="s">
        <v>8949</v>
      </c>
      <c r="J1139" s="2" t="s">
        <v>9036</v>
      </c>
      <c r="K1139" s="1" t="s">
        <v>9036</v>
      </c>
      <c r="L1139" s="1" t="s">
        <v>21600</v>
      </c>
      <c r="M1139" s="1">
        <v>134</v>
      </c>
      <c r="N1139" s="1" t="s">
        <v>9059</v>
      </c>
      <c r="O1139" s="1" t="s">
        <v>8954</v>
      </c>
      <c r="P1139" s="1" t="s">
        <v>8955</v>
      </c>
      <c r="Q1139" s="1" t="s">
        <v>8956</v>
      </c>
      <c r="R1139" s="1" t="s">
        <v>8958</v>
      </c>
      <c r="S1139" s="1" t="s">
        <v>3952</v>
      </c>
      <c r="T1139" s="1" t="s">
        <v>11</v>
      </c>
      <c r="U1139" s="1" t="s">
        <v>126</v>
      </c>
    </row>
    <row r="1140" spans="1:21" x14ac:dyDescent="0.2">
      <c r="A1140" s="88" t="s">
        <v>16761</v>
      </c>
      <c r="B1140" s="88" t="e">
        <f>VLOOKUP(C1140,#REF!,1,0)</f>
        <v>#REF!</v>
      </c>
      <c r="C1140" s="1" t="s">
        <v>3953</v>
      </c>
      <c r="D1140" s="1" t="s">
        <v>3954</v>
      </c>
      <c r="E1140" s="1" t="s">
        <v>9317</v>
      </c>
      <c r="F1140" s="1" t="s">
        <v>8959</v>
      </c>
      <c r="G1140" t="s">
        <v>8959</v>
      </c>
      <c r="H1140" s="1" t="s">
        <v>20712</v>
      </c>
      <c r="I1140" s="1" t="s">
        <v>8949</v>
      </c>
      <c r="J1140" s="2" t="s">
        <v>21209</v>
      </c>
      <c r="K1140" s="1" t="s">
        <v>21209</v>
      </c>
      <c r="L1140" s="1" t="s">
        <v>9076</v>
      </c>
      <c r="M1140" s="1">
        <v>3852</v>
      </c>
      <c r="N1140" s="1" t="s">
        <v>8953</v>
      </c>
      <c r="O1140" s="1" t="s">
        <v>8989</v>
      </c>
      <c r="P1140" s="1" t="s">
        <v>8955</v>
      </c>
      <c r="Q1140" s="1" t="s">
        <v>8956</v>
      </c>
      <c r="R1140" s="1" t="s">
        <v>8958</v>
      </c>
      <c r="S1140" s="1" t="s">
        <v>19353</v>
      </c>
      <c r="T1140" s="1" t="s">
        <v>17</v>
      </c>
      <c r="U1140" s="1" t="s">
        <v>161</v>
      </c>
    </row>
    <row r="1141" spans="1:21" x14ac:dyDescent="0.2">
      <c r="A1141" s="88" t="s">
        <v>16762</v>
      </c>
      <c r="B1141" s="88" t="e">
        <f>VLOOKUP(C1141,#REF!,1,0)</f>
        <v>#REF!</v>
      </c>
      <c r="C1141" s="1" t="s">
        <v>3955</v>
      </c>
      <c r="D1141" s="1" t="s">
        <v>3956</v>
      </c>
      <c r="E1141" s="1" t="s">
        <v>10873</v>
      </c>
      <c r="F1141" s="1" t="s">
        <v>8957</v>
      </c>
      <c r="G1141" t="s">
        <v>9061</v>
      </c>
      <c r="H1141" s="1" t="s">
        <v>9154</v>
      </c>
      <c r="I1141" s="1" t="s">
        <v>8949</v>
      </c>
      <c r="J1141" s="2" t="s">
        <v>10492</v>
      </c>
      <c r="K1141" s="1" t="s">
        <v>10492</v>
      </c>
      <c r="L1141" s="1" t="s">
        <v>9076</v>
      </c>
      <c r="M1141" s="1">
        <v>35</v>
      </c>
      <c r="N1141" s="1" t="s">
        <v>9059</v>
      </c>
      <c r="O1141" s="1" t="s">
        <v>8989</v>
      </c>
      <c r="P1141" s="1" t="s">
        <v>8955</v>
      </c>
      <c r="Q1141" s="1" t="s">
        <v>8956</v>
      </c>
      <c r="R1141" s="1" t="s">
        <v>8975</v>
      </c>
      <c r="S1141" s="1" t="s">
        <v>19354</v>
      </c>
      <c r="T1141" s="1" t="s">
        <v>7</v>
      </c>
      <c r="U1141" s="1" t="s">
        <v>24</v>
      </c>
    </row>
    <row r="1142" spans="1:21" x14ac:dyDescent="0.2">
      <c r="A1142" s="88" t="s">
        <v>16763</v>
      </c>
      <c r="B1142" s="88" t="e">
        <f>VLOOKUP(C1142,#REF!,1,0)</f>
        <v>#REF!</v>
      </c>
      <c r="C1142" s="1" t="s">
        <v>3957</v>
      </c>
      <c r="D1142" s="1" t="s">
        <v>3958</v>
      </c>
      <c r="E1142" s="1" t="s">
        <v>9317</v>
      </c>
      <c r="F1142" s="1" t="s">
        <v>8957</v>
      </c>
      <c r="G1142" t="s">
        <v>9183</v>
      </c>
      <c r="H1142" s="1" t="s">
        <v>9605</v>
      </c>
      <c r="I1142" s="1" t="s">
        <v>8949</v>
      </c>
      <c r="J1142" s="2" t="s">
        <v>9036</v>
      </c>
      <c r="K1142" s="1" t="s">
        <v>9036</v>
      </c>
      <c r="L1142" s="1" t="s">
        <v>9133</v>
      </c>
      <c r="M1142" s="1">
        <v>250</v>
      </c>
      <c r="N1142" s="1" t="s">
        <v>9059</v>
      </c>
      <c r="O1142" s="1" t="s">
        <v>8954</v>
      </c>
      <c r="P1142" s="1" t="s">
        <v>8955</v>
      </c>
      <c r="Q1142" s="1" t="s">
        <v>8956</v>
      </c>
      <c r="R1142" s="1" t="s">
        <v>8975</v>
      </c>
      <c r="S1142" s="1" t="s">
        <v>3959</v>
      </c>
      <c r="T1142" s="1" t="s">
        <v>11</v>
      </c>
      <c r="U1142" s="1" t="s">
        <v>21</v>
      </c>
    </row>
    <row r="1143" spans="1:21" x14ac:dyDescent="0.2">
      <c r="A1143" s="88" t="s">
        <v>16764</v>
      </c>
      <c r="B1143" s="88" t="e">
        <f>VLOOKUP(C1143,#REF!,1,0)</f>
        <v>#REF!</v>
      </c>
      <c r="C1143" s="1" t="s">
        <v>3964</v>
      </c>
      <c r="D1143" s="1" t="s">
        <v>3965</v>
      </c>
      <c r="E1143" s="1" t="s">
        <v>9333</v>
      </c>
      <c r="F1143" s="1" t="s">
        <v>8957</v>
      </c>
      <c r="G1143" t="s">
        <v>9009</v>
      </c>
      <c r="H1143" s="1" t="s">
        <v>9154</v>
      </c>
      <c r="I1143" s="1" t="s">
        <v>11607</v>
      </c>
      <c r="J1143" s="2" t="s">
        <v>21368</v>
      </c>
      <c r="K1143" s="1" t="s">
        <v>21695</v>
      </c>
      <c r="L1143" s="1" t="s">
        <v>8951</v>
      </c>
      <c r="M1143" s="1">
        <v>400</v>
      </c>
      <c r="N1143" s="1" t="s">
        <v>9059</v>
      </c>
      <c r="O1143" s="1" t="s">
        <v>8989</v>
      </c>
      <c r="P1143" s="1" t="s">
        <v>8955</v>
      </c>
      <c r="Q1143" s="1" t="s">
        <v>8956</v>
      </c>
      <c r="R1143" s="1" t="s">
        <v>8958</v>
      </c>
      <c r="S1143" s="1" t="s">
        <v>19355</v>
      </c>
      <c r="T1143" s="1" t="s">
        <v>7</v>
      </c>
      <c r="U1143" s="1" t="s">
        <v>652</v>
      </c>
    </row>
    <row r="1144" spans="1:21" x14ac:dyDescent="0.2">
      <c r="A1144" s="88" t="s">
        <v>16765</v>
      </c>
      <c r="B1144" s="88" t="e">
        <f>VLOOKUP(C1144,#REF!,1,0)</f>
        <v>#REF!</v>
      </c>
      <c r="C1144" s="1" t="s">
        <v>3971</v>
      </c>
      <c r="D1144" s="1" t="s">
        <v>3972</v>
      </c>
      <c r="E1144" s="1" t="s">
        <v>9333</v>
      </c>
      <c r="F1144" s="1" t="s">
        <v>8959</v>
      </c>
      <c r="G1144" t="s">
        <v>9061</v>
      </c>
      <c r="H1144" s="1" t="s">
        <v>8948</v>
      </c>
      <c r="I1144" s="1" t="s">
        <v>9308</v>
      </c>
      <c r="J1144" s="2" t="s">
        <v>21252</v>
      </c>
      <c r="K1144" s="1" t="s">
        <v>21252</v>
      </c>
      <c r="L1144" s="1" t="s">
        <v>20856</v>
      </c>
      <c r="M1144" s="1">
        <v>550</v>
      </c>
      <c r="N1144" s="1" t="s">
        <v>8953</v>
      </c>
      <c r="O1144" s="1" t="s">
        <v>8989</v>
      </c>
      <c r="P1144" s="1" t="s">
        <v>8955</v>
      </c>
      <c r="Q1144" s="1" t="s">
        <v>8956</v>
      </c>
      <c r="R1144" s="1" t="s">
        <v>8958</v>
      </c>
      <c r="S1144" s="1" t="s">
        <v>19356</v>
      </c>
      <c r="T1144" s="1" t="s">
        <v>7</v>
      </c>
      <c r="U1144" s="1" t="s">
        <v>413</v>
      </c>
    </row>
    <row r="1145" spans="1:21" x14ac:dyDescent="0.2">
      <c r="A1145" s="88" t="s">
        <v>16767</v>
      </c>
      <c r="B1145" s="88" t="e">
        <f>VLOOKUP(C1145,#REF!,1,0)</f>
        <v>#REF!</v>
      </c>
      <c r="C1145" s="1" t="s">
        <v>3976</v>
      </c>
      <c r="D1145" s="1" t="s">
        <v>3977</v>
      </c>
      <c r="E1145" s="1" t="s">
        <v>9333</v>
      </c>
      <c r="F1145" s="1" t="s">
        <v>8957</v>
      </c>
      <c r="G1145" t="s">
        <v>9009</v>
      </c>
      <c r="H1145" s="1" t="s">
        <v>8984</v>
      </c>
      <c r="I1145" s="1" t="s">
        <v>9155</v>
      </c>
      <c r="J1145" s="2" t="s">
        <v>18497</v>
      </c>
      <c r="K1145" s="1" t="s">
        <v>18497</v>
      </c>
      <c r="L1145" s="1" t="s">
        <v>9133</v>
      </c>
      <c r="M1145" s="1">
        <v>508160</v>
      </c>
      <c r="N1145" s="1" t="s">
        <v>8953</v>
      </c>
      <c r="O1145" s="1" t="s">
        <v>8989</v>
      </c>
      <c r="P1145" s="1" t="s">
        <v>8955</v>
      </c>
      <c r="Q1145" s="1" t="s">
        <v>8956</v>
      </c>
      <c r="R1145" s="1" t="s">
        <v>8975</v>
      </c>
      <c r="S1145" s="1" t="s">
        <v>19358</v>
      </c>
      <c r="T1145" s="1" t="s">
        <v>17</v>
      </c>
      <c r="U1145" s="1" t="s">
        <v>3978</v>
      </c>
    </row>
    <row r="1146" spans="1:21" x14ac:dyDescent="0.2">
      <c r="A1146" s="88" t="s">
        <v>16768</v>
      </c>
      <c r="B1146" s="88"/>
      <c r="C1146" s="1" t="s">
        <v>3979</v>
      </c>
      <c r="D1146" s="1" t="s">
        <v>3980</v>
      </c>
      <c r="E1146" s="1" t="e">
        <v>#N/A</v>
      </c>
      <c r="F1146" s="1" t="e">
        <v>#N/A</v>
      </c>
      <c r="G1146" t="e">
        <v>#N/A</v>
      </c>
      <c r="H1146" s="1" t="e">
        <v>#N/A</v>
      </c>
      <c r="I1146" s="1" t="e">
        <v>#N/A</v>
      </c>
      <c r="J1146" s="2" t="e">
        <v>#N/A</v>
      </c>
      <c r="K1146" s="1" t="e">
        <v>#N/A</v>
      </c>
      <c r="L1146" s="1" t="e">
        <v>#N/A</v>
      </c>
      <c r="M1146" s="1" t="e">
        <v>#N/A</v>
      </c>
      <c r="N1146" s="1" t="e">
        <v>#N/A</v>
      </c>
      <c r="O1146" s="1" t="e">
        <v>#N/A</v>
      </c>
      <c r="P1146" s="1" t="s">
        <v>8955</v>
      </c>
      <c r="Q1146" s="1" t="s">
        <v>8956</v>
      </c>
      <c r="R1146" s="1" t="s">
        <v>8975</v>
      </c>
      <c r="S1146" s="1" t="s">
        <v>19359</v>
      </c>
      <c r="T1146" s="1" t="s">
        <v>252</v>
      </c>
      <c r="U1146" s="1" t="s">
        <v>2895</v>
      </c>
    </row>
    <row r="1147" spans="1:21" x14ac:dyDescent="0.2">
      <c r="A1147" s="88" t="s">
        <v>16769</v>
      </c>
      <c r="B1147" s="88" t="e">
        <f>VLOOKUP(C1147,#REF!,1,0)</f>
        <v>#REF!</v>
      </c>
      <c r="C1147" s="1" t="s">
        <v>3981</v>
      </c>
      <c r="D1147" s="1" t="s">
        <v>3982</v>
      </c>
      <c r="E1147" s="1" t="s">
        <v>9310</v>
      </c>
      <c r="F1147" s="1" t="s">
        <v>8957</v>
      </c>
      <c r="G1147" t="s">
        <v>8959</v>
      </c>
      <c r="H1147" s="1" t="s">
        <v>8948</v>
      </c>
      <c r="I1147" s="1" t="s">
        <v>8998</v>
      </c>
      <c r="J1147" s="2" t="s">
        <v>21311</v>
      </c>
      <c r="K1147" s="1" t="s">
        <v>21311</v>
      </c>
      <c r="L1147" s="1" t="s">
        <v>8951</v>
      </c>
      <c r="M1147" s="1">
        <v>102</v>
      </c>
      <c r="N1147" s="1" t="s">
        <v>9059</v>
      </c>
      <c r="O1147" s="1" t="s">
        <v>8989</v>
      </c>
      <c r="P1147" s="1" t="s">
        <v>8955</v>
      </c>
      <c r="Q1147" s="1" t="s">
        <v>8956</v>
      </c>
      <c r="R1147" s="1" t="s">
        <v>8975</v>
      </c>
      <c r="S1147" s="1" t="s">
        <v>19360</v>
      </c>
      <c r="T1147" s="1" t="s">
        <v>7</v>
      </c>
      <c r="U1147" s="1" t="s">
        <v>24</v>
      </c>
    </row>
    <row r="1148" spans="1:21" x14ac:dyDescent="0.2">
      <c r="A1148" s="88" t="s">
        <v>16770</v>
      </c>
      <c r="B1148" s="88" t="e">
        <f>VLOOKUP(C1148,#REF!,1,0)</f>
        <v>#REF!</v>
      </c>
      <c r="C1148" s="1" t="s">
        <v>3986</v>
      </c>
      <c r="D1148" s="1" t="s">
        <v>3987</v>
      </c>
      <c r="E1148" s="1" t="s">
        <v>10687</v>
      </c>
      <c r="F1148" s="1" t="s">
        <v>8957</v>
      </c>
      <c r="G1148" t="s">
        <v>8959</v>
      </c>
      <c r="H1148" s="1" t="s">
        <v>8948</v>
      </c>
      <c r="I1148" s="1" t="s">
        <v>8959</v>
      </c>
      <c r="J1148" s="2" t="s">
        <v>20779</v>
      </c>
      <c r="K1148" s="1" t="s">
        <v>9036</v>
      </c>
      <c r="L1148" s="1" t="s">
        <v>9464</v>
      </c>
      <c r="M1148" s="1">
        <v>40</v>
      </c>
      <c r="N1148" s="1" t="s">
        <v>9059</v>
      </c>
      <c r="O1148" s="1" t="s">
        <v>8989</v>
      </c>
      <c r="P1148" s="1" t="s">
        <v>8955</v>
      </c>
      <c r="Q1148" s="1" t="s">
        <v>8956</v>
      </c>
      <c r="R1148" s="1" t="s">
        <v>9103</v>
      </c>
      <c r="S1148" s="1" t="s">
        <v>19362</v>
      </c>
      <c r="T1148" s="1" t="s">
        <v>17</v>
      </c>
      <c r="U1148" s="1" t="s">
        <v>46</v>
      </c>
    </row>
    <row r="1149" spans="1:21" x14ac:dyDescent="0.2">
      <c r="A1149" s="88" t="s">
        <v>16771</v>
      </c>
      <c r="B1149" s="88" t="e">
        <f>VLOOKUP(C1149,#REF!,1,0)</f>
        <v>#REF!</v>
      </c>
      <c r="C1149" s="1" t="s">
        <v>3988</v>
      </c>
      <c r="D1149" s="1" t="s">
        <v>3989</v>
      </c>
      <c r="E1149" s="1" t="s">
        <v>9213</v>
      </c>
      <c r="F1149" s="1" t="s">
        <v>8957</v>
      </c>
      <c r="G1149" t="s">
        <v>8959</v>
      </c>
      <c r="H1149" s="1" t="s">
        <v>8984</v>
      </c>
      <c r="I1149" s="1" t="s">
        <v>9308</v>
      </c>
      <c r="J1149" s="2" t="s">
        <v>18497</v>
      </c>
      <c r="K1149" s="1" t="s">
        <v>21658</v>
      </c>
      <c r="L1149" s="1" t="s">
        <v>8951</v>
      </c>
      <c r="M1149" s="1">
        <v>11384</v>
      </c>
      <c r="N1149" s="1" t="s">
        <v>8953</v>
      </c>
      <c r="O1149" s="1" t="s">
        <v>8954</v>
      </c>
      <c r="P1149" s="1" t="s">
        <v>8955</v>
      </c>
      <c r="Q1149" s="1" t="s">
        <v>8956</v>
      </c>
      <c r="R1149" s="1" t="s">
        <v>8975</v>
      </c>
      <c r="S1149" s="1" t="s">
        <v>19363</v>
      </c>
      <c r="T1149" s="1" t="s">
        <v>7</v>
      </c>
      <c r="U1149" s="1" t="s">
        <v>24</v>
      </c>
    </row>
    <row r="1150" spans="1:21" x14ac:dyDescent="0.2">
      <c r="A1150" s="88" t="s">
        <v>16772</v>
      </c>
      <c r="B1150" s="88" t="e">
        <f>VLOOKUP(C1150,#REF!,1,0)</f>
        <v>#REF!</v>
      </c>
      <c r="C1150" s="1" t="s">
        <v>3990</v>
      </c>
      <c r="D1150" s="1" t="s">
        <v>3991</v>
      </c>
      <c r="E1150" s="1" t="s">
        <v>9213</v>
      </c>
      <c r="F1150" s="1" t="s">
        <v>8959</v>
      </c>
      <c r="G1150" t="s">
        <v>9009</v>
      </c>
      <c r="H1150" s="1" t="s">
        <v>9154</v>
      </c>
      <c r="I1150" s="1" t="s">
        <v>8971</v>
      </c>
      <c r="J1150" s="2" t="s">
        <v>9102</v>
      </c>
      <c r="K1150" s="1" t="s">
        <v>9102</v>
      </c>
      <c r="L1150" s="1" t="s">
        <v>9157</v>
      </c>
      <c r="M1150" s="1">
        <v>25776</v>
      </c>
      <c r="N1150" s="1" t="s">
        <v>8953</v>
      </c>
      <c r="O1150" s="1" t="s">
        <v>8954</v>
      </c>
      <c r="P1150" s="1" t="s">
        <v>8955</v>
      </c>
      <c r="Q1150" s="1" t="s">
        <v>8956</v>
      </c>
      <c r="R1150" s="1" t="s">
        <v>8958</v>
      </c>
      <c r="S1150" s="1" t="s">
        <v>3992</v>
      </c>
      <c r="T1150" s="1" t="s">
        <v>17</v>
      </c>
      <c r="U1150" s="1" t="s">
        <v>2232</v>
      </c>
    </row>
    <row r="1151" spans="1:21" x14ac:dyDescent="0.2">
      <c r="A1151" s="88" t="s">
        <v>16773</v>
      </c>
      <c r="B1151" s="88" t="e">
        <f>VLOOKUP(C1151,#REF!,1,0)</f>
        <v>#REF!</v>
      </c>
      <c r="C1151" s="1" t="s">
        <v>3993</v>
      </c>
      <c r="D1151" s="1" t="s">
        <v>3994</v>
      </c>
      <c r="E1151" s="1" t="s">
        <v>9213</v>
      </c>
      <c r="F1151" s="1" t="s">
        <v>8957</v>
      </c>
      <c r="G1151" t="s">
        <v>9061</v>
      </c>
      <c r="H1151" s="1" t="s">
        <v>8948</v>
      </c>
      <c r="I1151" s="1" t="s">
        <v>9308</v>
      </c>
      <c r="J1151" s="2" t="s">
        <v>20841</v>
      </c>
      <c r="K1151" s="1" t="s">
        <v>21647</v>
      </c>
      <c r="L1151" s="1" t="s">
        <v>9133</v>
      </c>
      <c r="M1151" s="1">
        <v>1282</v>
      </c>
      <c r="N1151" s="1" t="s">
        <v>8953</v>
      </c>
      <c r="O1151" s="1" t="s">
        <v>8989</v>
      </c>
      <c r="P1151" s="1" t="s">
        <v>8955</v>
      </c>
      <c r="Q1151" s="1" t="s">
        <v>8956</v>
      </c>
      <c r="R1151" s="1" t="s">
        <v>8975</v>
      </c>
      <c r="S1151" s="1" t="s">
        <v>19364</v>
      </c>
      <c r="T1151" s="1" t="s">
        <v>7</v>
      </c>
      <c r="U1151" s="1" t="s">
        <v>2895</v>
      </c>
    </row>
    <row r="1152" spans="1:21" x14ac:dyDescent="0.2">
      <c r="A1152" s="88" t="s">
        <v>16774</v>
      </c>
      <c r="B1152" s="88" t="e">
        <f>VLOOKUP(C1152,#REF!,1,0)</f>
        <v>#REF!</v>
      </c>
      <c r="C1152" s="1" t="s">
        <v>3995</v>
      </c>
      <c r="D1152" s="1" t="s">
        <v>3996</v>
      </c>
      <c r="E1152" s="1" t="s">
        <v>9465</v>
      </c>
      <c r="F1152" s="1" t="s">
        <v>8959</v>
      </c>
      <c r="G1152" t="s">
        <v>9061</v>
      </c>
      <c r="H1152" s="1" t="s">
        <v>8948</v>
      </c>
      <c r="I1152" s="1" t="s">
        <v>8949</v>
      </c>
      <c r="J1152" s="2" t="s">
        <v>9436</v>
      </c>
      <c r="K1152" s="1" t="s">
        <v>9436</v>
      </c>
      <c r="L1152" s="1" t="s">
        <v>8951</v>
      </c>
      <c r="M1152" s="1">
        <v>30000</v>
      </c>
      <c r="N1152" s="1" t="s">
        <v>8953</v>
      </c>
      <c r="O1152" s="1" t="s">
        <v>8954</v>
      </c>
      <c r="P1152" s="1" t="s">
        <v>8955</v>
      </c>
      <c r="Q1152" s="1" t="s">
        <v>8956</v>
      </c>
      <c r="R1152" s="1" t="s">
        <v>9103</v>
      </c>
      <c r="T1152" s="1" t="s">
        <v>11</v>
      </c>
      <c r="U1152" s="1" t="s">
        <v>161</v>
      </c>
    </row>
    <row r="1153" spans="1:21" x14ac:dyDescent="0.2">
      <c r="A1153" s="88" t="s">
        <v>16776</v>
      </c>
      <c r="B1153" s="88" t="e">
        <f>VLOOKUP(C1153,#REF!,1,0)</f>
        <v>#REF!</v>
      </c>
      <c r="C1153" s="1" t="s">
        <v>3998</v>
      </c>
      <c r="D1153" s="1" t="s">
        <v>3999</v>
      </c>
      <c r="E1153" s="1" t="s">
        <v>18502</v>
      </c>
      <c r="F1153" s="1" t="s">
        <v>8959</v>
      </c>
      <c r="G1153" t="s">
        <v>8959</v>
      </c>
      <c r="H1153" s="1" t="s">
        <v>20712</v>
      </c>
      <c r="I1153" s="1" t="s">
        <v>8949</v>
      </c>
      <c r="J1153" s="2" t="s">
        <v>20838</v>
      </c>
      <c r="K1153" s="1" t="s">
        <v>20755</v>
      </c>
      <c r="L1153" s="1" t="s">
        <v>8951</v>
      </c>
      <c r="M1153" s="1">
        <v>700</v>
      </c>
      <c r="N1153" s="1" t="s">
        <v>20806</v>
      </c>
      <c r="O1153" s="1" t="s">
        <v>8989</v>
      </c>
      <c r="P1153" s="1" t="s">
        <v>8955</v>
      </c>
      <c r="Q1153" s="1" t="s">
        <v>8956</v>
      </c>
      <c r="R1153" s="1" t="s">
        <v>9103</v>
      </c>
      <c r="S1153" s="1" t="s">
        <v>20627</v>
      </c>
      <c r="T1153" s="1" t="s">
        <v>7</v>
      </c>
      <c r="U1153" s="1" t="s">
        <v>161</v>
      </c>
    </row>
    <row r="1154" spans="1:21" x14ac:dyDescent="0.2">
      <c r="A1154" s="88" t="s">
        <v>16777</v>
      </c>
      <c r="B1154" s="88" t="e">
        <f>VLOOKUP(C1154,#REF!,1,0)</f>
        <v>#REF!</v>
      </c>
      <c r="C1154" s="1" t="s">
        <v>4000</v>
      </c>
      <c r="D1154" s="1" t="s">
        <v>4001</v>
      </c>
      <c r="E1154" s="1" t="s">
        <v>18502</v>
      </c>
      <c r="F1154" s="1" t="s">
        <v>8957</v>
      </c>
      <c r="G1154" t="s">
        <v>8959</v>
      </c>
      <c r="H1154" s="1" t="s">
        <v>9605</v>
      </c>
      <c r="I1154" s="1" t="s">
        <v>8949</v>
      </c>
      <c r="J1154" s="2" t="s">
        <v>18497</v>
      </c>
      <c r="K1154" s="1" t="s">
        <v>21658</v>
      </c>
      <c r="L1154" s="1" t="s">
        <v>9076</v>
      </c>
      <c r="M1154" s="1">
        <v>36</v>
      </c>
      <c r="N1154" s="1" t="s">
        <v>8953</v>
      </c>
      <c r="O1154" s="1" t="s">
        <v>8989</v>
      </c>
      <c r="P1154" s="1" t="s">
        <v>8955</v>
      </c>
      <c r="Q1154" s="1" t="s">
        <v>8956</v>
      </c>
      <c r="R1154" s="1" t="s">
        <v>8958</v>
      </c>
      <c r="S1154" s="1" t="s">
        <v>19365</v>
      </c>
      <c r="T1154" s="1" t="s">
        <v>7</v>
      </c>
      <c r="U1154" s="1" t="s">
        <v>921</v>
      </c>
    </row>
    <row r="1155" spans="1:21" x14ac:dyDescent="0.2">
      <c r="A1155" s="88" t="s">
        <v>16778</v>
      </c>
      <c r="B1155" s="88" t="e">
        <f>VLOOKUP(C1155,#REF!,1,0)</f>
        <v>#REF!</v>
      </c>
      <c r="C1155" s="1" t="s">
        <v>4002</v>
      </c>
      <c r="D1155" s="1" t="s">
        <v>4003</v>
      </c>
      <c r="E1155" s="1" t="s">
        <v>9310</v>
      </c>
      <c r="F1155" s="1" t="s">
        <v>8959</v>
      </c>
      <c r="G1155" t="s">
        <v>9183</v>
      </c>
      <c r="H1155" s="1" t="s">
        <v>9173</v>
      </c>
      <c r="I1155" s="1" t="s">
        <v>9155</v>
      </c>
      <c r="J1155" s="2" t="s">
        <v>9036</v>
      </c>
      <c r="K1155" s="1" t="s">
        <v>9036</v>
      </c>
      <c r="L1155" s="1" t="s">
        <v>8987</v>
      </c>
      <c r="M1155" s="1">
        <v>809</v>
      </c>
      <c r="N1155" s="1" t="s">
        <v>8953</v>
      </c>
      <c r="O1155" s="1" t="s">
        <v>8954</v>
      </c>
      <c r="P1155" s="1" t="s">
        <v>8955</v>
      </c>
      <c r="Q1155" s="1" t="s">
        <v>8956</v>
      </c>
      <c r="R1155" s="1" t="s">
        <v>9103</v>
      </c>
      <c r="S1155" s="1" t="s">
        <v>4004</v>
      </c>
      <c r="T1155" s="1" t="s">
        <v>11</v>
      </c>
      <c r="U1155" s="1" t="s">
        <v>1651</v>
      </c>
    </row>
    <row r="1156" spans="1:21" x14ac:dyDescent="0.2">
      <c r="A1156" s="88" t="s">
        <v>16780</v>
      </c>
      <c r="B1156" s="88" t="e">
        <f>VLOOKUP(C1156,#REF!,1,0)</f>
        <v>#REF!</v>
      </c>
      <c r="C1156" s="1" t="s">
        <v>4010</v>
      </c>
      <c r="D1156" s="1" t="s">
        <v>4011</v>
      </c>
      <c r="E1156" s="1" t="s">
        <v>9010</v>
      </c>
      <c r="F1156" s="1" t="s">
        <v>8959</v>
      </c>
      <c r="G1156" t="s">
        <v>9061</v>
      </c>
      <c r="H1156" s="1" t="s">
        <v>9035</v>
      </c>
      <c r="I1156" s="1" t="s">
        <v>8998</v>
      </c>
      <c r="J1156" s="2" t="s">
        <v>21558</v>
      </c>
      <c r="K1156" s="1" t="s">
        <v>21787</v>
      </c>
      <c r="L1156" s="1" t="s">
        <v>8987</v>
      </c>
      <c r="M1156" s="1">
        <v>1007</v>
      </c>
      <c r="N1156" s="1" t="s">
        <v>8953</v>
      </c>
      <c r="O1156" s="1" t="s">
        <v>8954</v>
      </c>
      <c r="P1156" s="1" t="s">
        <v>8955</v>
      </c>
      <c r="Q1156" s="1" t="s">
        <v>8956</v>
      </c>
      <c r="R1156" s="1" t="s">
        <v>9103</v>
      </c>
      <c r="S1156" s="1" t="s">
        <v>4012</v>
      </c>
      <c r="T1156" s="1" t="s">
        <v>4</v>
      </c>
      <c r="U1156" s="1" t="s">
        <v>180</v>
      </c>
    </row>
    <row r="1157" spans="1:21" x14ac:dyDescent="0.2">
      <c r="A1157" s="88" t="s">
        <v>16781</v>
      </c>
      <c r="B1157" s="88" t="e">
        <f>VLOOKUP(C1157,#REF!,1,0)</f>
        <v>#REF!</v>
      </c>
      <c r="C1157" s="1" t="s">
        <v>4013</v>
      </c>
      <c r="D1157" s="1" t="s">
        <v>4014</v>
      </c>
      <c r="E1157" s="1" t="s">
        <v>9010</v>
      </c>
      <c r="F1157" s="1" t="s">
        <v>8957</v>
      </c>
      <c r="G1157" t="s">
        <v>9009</v>
      </c>
      <c r="H1157" s="1" t="s">
        <v>9049</v>
      </c>
      <c r="I1157" s="1" t="s">
        <v>9050</v>
      </c>
      <c r="J1157" s="2" t="s">
        <v>21559</v>
      </c>
      <c r="K1157" s="1" t="s">
        <v>21559</v>
      </c>
      <c r="L1157" s="1" t="s">
        <v>8951</v>
      </c>
      <c r="M1157" s="1">
        <v>1324</v>
      </c>
      <c r="N1157" s="1" t="s">
        <v>8953</v>
      </c>
      <c r="O1157" s="1" t="s">
        <v>8989</v>
      </c>
      <c r="P1157" s="1" t="s">
        <v>8955</v>
      </c>
      <c r="Q1157" s="1" t="s">
        <v>8956</v>
      </c>
      <c r="R1157" s="1" t="s">
        <v>8958</v>
      </c>
      <c r="S1157" s="1" t="s">
        <v>4015</v>
      </c>
      <c r="T1157" s="1" t="s">
        <v>11</v>
      </c>
      <c r="U1157" s="1" t="s">
        <v>396</v>
      </c>
    </row>
    <row r="1158" spans="1:21" x14ac:dyDescent="0.2">
      <c r="A1158" s="88" t="s">
        <v>16782</v>
      </c>
      <c r="B1158" s="88" t="e">
        <f>VLOOKUP(C1158,#REF!,1,0)</f>
        <v>#REF!</v>
      </c>
      <c r="C1158" s="1" t="s">
        <v>4016</v>
      </c>
      <c r="D1158" s="1" t="s">
        <v>4017</v>
      </c>
      <c r="E1158" s="1" t="s">
        <v>9310</v>
      </c>
      <c r="F1158" s="1" t="s">
        <v>8957</v>
      </c>
      <c r="G1158" t="s">
        <v>9061</v>
      </c>
      <c r="H1158" s="1" t="s">
        <v>20714</v>
      </c>
      <c r="I1158" s="1" t="s">
        <v>9050</v>
      </c>
      <c r="J1158" s="2" t="s">
        <v>10492</v>
      </c>
      <c r="K1158" s="1" t="s">
        <v>21645</v>
      </c>
      <c r="L1158" s="1" t="s">
        <v>9076</v>
      </c>
      <c r="M1158" s="1">
        <v>5100</v>
      </c>
      <c r="N1158" s="1" t="s">
        <v>8953</v>
      </c>
      <c r="O1158" s="1" t="s">
        <v>8954</v>
      </c>
      <c r="P1158" s="1" t="s">
        <v>8955</v>
      </c>
      <c r="Q1158" s="1" t="s">
        <v>8956</v>
      </c>
      <c r="R1158" s="1" t="s">
        <v>8958</v>
      </c>
      <c r="S1158" s="1" t="s">
        <v>19367</v>
      </c>
      <c r="T1158" s="1" t="s">
        <v>7</v>
      </c>
      <c r="U1158" s="1" t="s">
        <v>4018</v>
      </c>
    </row>
    <row r="1159" spans="1:21" x14ac:dyDescent="0.2">
      <c r="A1159" s="88" t="s">
        <v>16783</v>
      </c>
      <c r="B1159" s="88" t="e">
        <f>VLOOKUP(C1159,#REF!,1,0)</f>
        <v>#REF!</v>
      </c>
      <c r="C1159" s="1" t="s">
        <v>4019</v>
      </c>
      <c r="D1159" s="1" t="s">
        <v>4020</v>
      </c>
      <c r="E1159" s="1" t="s">
        <v>9310</v>
      </c>
      <c r="F1159" s="1" t="s">
        <v>8957</v>
      </c>
      <c r="G1159" t="s">
        <v>9061</v>
      </c>
      <c r="H1159" s="1" t="s">
        <v>20714</v>
      </c>
      <c r="I1159" s="1" t="s">
        <v>8998</v>
      </c>
      <c r="J1159" s="2" t="s">
        <v>10492</v>
      </c>
      <c r="K1159" s="1" t="s">
        <v>10492</v>
      </c>
      <c r="L1159" s="1" t="s">
        <v>9076</v>
      </c>
      <c r="M1159" s="1">
        <v>4000</v>
      </c>
      <c r="N1159" s="1" t="s">
        <v>8953</v>
      </c>
      <c r="O1159" s="1" t="s">
        <v>8989</v>
      </c>
      <c r="P1159" s="1" t="s">
        <v>8955</v>
      </c>
      <c r="Q1159" s="1" t="s">
        <v>8956</v>
      </c>
      <c r="R1159" s="1" t="s">
        <v>9103</v>
      </c>
      <c r="S1159" s="1" t="s">
        <v>19368</v>
      </c>
      <c r="T1159" s="1" t="s">
        <v>17</v>
      </c>
      <c r="U1159" s="1" t="s">
        <v>46</v>
      </c>
    </row>
    <row r="1160" spans="1:21" x14ac:dyDescent="0.2">
      <c r="A1160" s="88" t="s">
        <v>16784</v>
      </c>
      <c r="B1160" s="88" t="e">
        <f>VLOOKUP(C1160,#REF!,1,0)</f>
        <v>#REF!</v>
      </c>
      <c r="C1160" s="1" t="s">
        <v>4021</v>
      </c>
      <c r="D1160" s="1" t="s">
        <v>4022</v>
      </c>
      <c r="E1160" s="1" t="s">
        <v>9310</v>
      </c>
      <c r="F1160" s="1" t="s">
        <v>8959</v>
      </c>
      <c r="G1160" t="s">
        <v>8959</v>
      </c>
      <c r="H1160" s="1" t="s">
        <v>20714</v>
      </c>
      <c r="I1160" s="1" t="s">
        <v>8998</v>
      </c>
      <c r="J1160" s="2" t="s">
        <v>10492</v>
      </c>
      <c r="K1160" s="1" t="s">
        <v>21645</v>
      </c>
      <c r="L1160" s="1" t="s">
        <v>9076</v>
      </c>
      <c r="M1160" s="1">
        <v>5100</v>
      </c>
      <c r="N1160" s="1" t="s">
        <v>8953</v>
      </c>
      <c r="O1160" s="1" t="s">
        <v>8989</v>
      </c>
      <c r="P1160" s="1" t="s">
        <v>8955</v>
      </c>
      <c r="Q1160" s="1" t="s">
        <v>8956</v>
      </c>
      <c r="R1160" s="1" t="s">
        <v>8958</v>
      </c>
      <c r="S1160" s="1" t="s">
        <v>19369</v>
      </c>
      <c r="T1160" s="1" t="s">
        <v>17</v>
      </c>
      <c r="U1160" s="1" t="s">
        <v>46</v>
      </c>
    </row>
    <row r="1161" spans="1:21" x14ac:dyDescent="0.2">
      <c r="A1161" s="88" t="s">
        <v>16785</v>
      </c>
      <c r="B1161" s="88" t="e">
        <f>VLOOKUP(C1161,#REF!,1,0)</f>
        <v>#REF!</v>
      </c>
      <c r="C1161" s="1" t="s">
        <v>4023</v>
      </c>
      <c r="D1161" s="1" t="s">
        <v>4024</v>
      </c>
      <c r="E1161" s="1" t="s">
        <v>9310</v>
      </c>
      <c r="F1161" s="1" t="s">
        <v>8957</v>
      </c>
      <c r="G1161" t="s">
        <v>9061</v>
      </c>
      <c r="H1161" s="1" t="s">
        <v>9035</v>
      </c>
      <c r="I1161" s="1" t="s">
        <v>8949</v>
      </c>
      <c r="J1161" s="2" t="s">
        <v>20862</v>
      </c>
      <c r="K1161" s="1" t="s">
        <v>9413</v>
      </c>
      <c r="L1161" s="1" t="s">
        <v>8987</v>
      </c>
      <c r="M1161" s="1">
        <v>61</v>
      </c>
      <c r="N1161" s="1" t="s">
        <v>9059</v>
      </c>
      <c r="O1161" s="1" t="s">
        <v>8989</v>
      </c>
      <c r="P1161" s="1" t="s">
        <v>8955</v>
      </c>
      <c r="Q1161" s="1" t="s">
        <v>8956</v>
      </c>
      <c r="R1161" s="1" t="s">
        <v>8975</v>
      </c>
      <c r="S1161" s="1" t="s">
        <v>19370</v>
      </c>
      <c r="T1161" s="1" t="s">
        <v>17</v>
      </c>
      <c r="U1161" s="1" t="s">
        <v>21</v>
      </c>
    </row>
    <row r="1162" spans="1:21" x14ac:dyDescent="0.2">
      <c r="A1162" s="88" t="s">
        <v>16789</v>
      </c>
      <c r="B1162" s="88" t="e">
        <f>VLOOKUP(C1162,#REF!,1,0)</f>
        <v>#REF!</v>
      </c>
      <c r="C1162" s="1" t="s">
        <v>4031</v>
      </c>
      <c r="D1162" s="1" t="s">
        <v>4032</v>
      </c>
      <c r="E1162" s="1" t="s">
        <v>11671</v>
      </c>
      <c r="F1162" s="1" t="s">
        <v>8957</v>
      </c>
      <c r="G1162" t="s">
        <v>9061</v>
      </c>
      <c r="H1162" s="1" t="s">
        <v>8984</v>
      </c>
      <c r="I1162" s="1" t="s">
        <v>8949</v>
      </c>
      <c r="J1162" s="2" t="s">
        <v>21439</v>
      </c>
      <c r="K1162" s="1" t="s">
        <v>21439</v>
      </c>
      <c r="L1162" s="1" t="s">
        <v>21600</v>
      </c>
      <c r="M1162" s="1">
        <v>116</v>
      </c>
      <c r="N1162" s="1" t="s">
        <v>9059</v>
      </c>
      <c r="O1162" s="1" t="s">
        <v>8954</v>
      </c>
      <c r="P1162" s="1" t="s">
        <v>8955</v>
      </c>
      <c r="Q1162" s="1" t="s">
        <v>8956</v>
      </c>
      <c r="R1162" s="1" t="s">
        <v>8975</v>
      </c>
      <c r="S1162" s="1" t="s">
        <v>19374</v>
      </c>
      <c r="T1162" s="1" t="s">
        <v>17</v>
      </c>
      <c r="U1162" s="1" t="s">
        <v>161</v>
      </c>
    </row>
    <row r="1163" spans="1:21" x14ac:dyDescent="0.2">
      <c r="A1163" s="88" t="s">
        <v>16790</v>
      </c>
      <c r="B1163" s="88" t="e">
        <f>VLOOKUP(C1163,#REF!,1,0)</f>
        <v>#REF!</v>
      </c>
      <c r="C1163" s="1" t="s">
        <v>4033</v>
      </c>
      <c r="D1163" s="1" t="s">
        <v>4034</v>
      </c>
      <c r="E1163" s="1" t="s">
        <v>9310</v>
      </c>
      <c r="F1163" s="1" t="s">
        <v>8957</v>
      </c>
      <c r="G1163" t="s">
        <v>8959</v>
      </c>
      <c r="H1163" s="1" t="s">
        <v>9100</v>
      </c>
      <c r="I1163" s="1" t="s">
        <v>8949</v>
      </c>
      <c r="J1163" s="2" t="s">
        <v>9036</v>
      </c>
      <c r="K1163" s="1" t="s">
        <v>9036</v>
      </c>
      <c r="L1163" s="1" t="s">
        <v>8951</v>
      </c>
      <c r="M1163" s="1">
        <v>99707</v>
      </c>
      <c r="N1163" s="1" t="s">
        <v>8953</v>
      </c>
      <c r="O1163" s="1" t="s">
        <v>8954</v>
      </c>
      <c r="P1163" s="1" t="s">
        <v>8955</v>
      </c>
      <c r="Q1163" s="1" t="s">
        <v>8956</v>
      </c>
      <c r="R1163" s="1" t="s">
        <v>8958</v>
      </c>
      <c r="S1163" s="1" t="s">
        <v>4035</v>
      </c>
      <c r="T1163" s="1" t="s">
        <v>4</v>
      </c>
      <c r="U1163" s="1" t="s">
        <v>24</v>
      </c>
    </row>
    <row r="1164" spans="1:21" x14ac:dyDescent="0.2">
      <c r="A1164" s="88" t="s">
        <v>16791</v>
      </c>
      <c r="B1164" s="88" t="e">
        <f>VLOOKUP(C1164,#REF!,1,0)</f>
        <v>#REF!</v>
      </c>
      <c r="C1164" s="1" t="s">
        <v>4036</v>
      </c>
      <c r="D1164" s="1" t="s">
        <v>4037</v>
      </c>
      <c r="E1164" s="1" t="s">
        <v>9380</v>
      </c>
      <c r="F1164" s="1" t="s">
        <v>8959</v>
      </c>
      <c r="G1164" t="s">
        <v>8959</v>
      </c>
      <c r="H1164" s="1" t="s">
        <v>8948</v>
      </c>
      <c r="I1164" s="1" t="s">
        <v>8971</v>
      </c>
      <c r="J1164" s="2" t="s">
        <v>9041</v>
      </c>
      <c r="K1164" s="1" t="s">
        <v>9041</v>
      </c>
      <c r="L1164" s="1" t="s">
        <v>21600</v>
      </c>
      <c r="M1164" s="1">
        <v>180</v>
      </c>
      <c r="N1164" s="1" t="s">
        <v>8953</v>
      </c>
      <c r="O1164" s="1" t="s">
        <v>8989</v>
      </c>
      <c r="P1164" s="1" t="s">
        <v>8955</v>
      </c>
      <c r="Q1164" s="1" t="s">
        <v>8956</v>
      </c>
      <c r="R1164" s="1" t="s">
        <v>9103</v>
      </c>
      <c r="S1164" s="1" t="s">
        <v>4038</v>
      </c>
      <c r="T1164" s="1" t="s">
        <v>11</v>
      </c>
      <c r="U1164" s="1" t="s">
        <v>126</v>
      </c>
    </row>
    <row r="1165" spans="1:21" x14ac:dyDescent="0.2">
      <c r="A1165" s="88" t="s">
        <v>16792</v>
      </c>
      <c r="B1165" s="88" t="e">
        <f>VLOOKUP(C1165,#REF!,1,0)</f>
        <v>#REF!</v>
      </c>
      <c r="C1165" s="1" t="s">
        <v>4042</v>
      </c>
      <c r="D1165" s="1" t="s">
        <v>4043</v>
      </c>
      <c r="E1165" s="1" t="s">
        <v>10032</v>
      </c>
      <c r="F1165" s="1" t="s">
        <v>8957</v>
      </c>
      <c r="G1165" t="s">
        <v>8959</v>
      </c>
      <c r="H1165" s="1" t="s">
        <v>9075</v>
      </c>
      <c r="I1165" s="1" t="s">
        <v>9155</v>
      </c>
      <c r="J1165" s="2" t="s">
        <v>20776</v>
      </c>
      <c r="K1165" s="1" t="s">
        <v>20776</v>
      </c>
      <c r="L1165" s="1" t="s">
        <v>9076</v>
      </c>
      <c r="M1165" s="1">
        <v>39</v>
      </c>
      <c r="N1165" s="1" t="s">
        <v>9059</v>
      </c>
      <c r="O1165" s="1" t="s">
        <v>8989</v>
      </c>
      <c r="P1165" s="1" t="s">
        <v>8955</v>
      </c>
      <c r="Q1165" s="1" t="s">
        <v>8956</v>
      </c>
      <c r="R1165" s="1" t="s">
        <v>8975</v>
      </c>
      <c r="S1165" s="1" t="s">
        <v>19375</v>
      </c>
      <c r="T1165" s="1" t="s">
        <v>17</v>
      </c>
      <c r="U1165" s="1" t="s">
        <v>4044</v>
      </c>
    </row>
    <row r="1166" spans="1:21" x14ac:dyDescent="0.2">
      <c r="A1166" s="88" t="s">
        <v>16793</v>
      </c>
      <c r="B1166" s="88" t="e">
        <f>VLOOKUP(C1166,#REF!,1,0)</f>
        <v>#REF!</v>
      </c>
      <c r="C1166" s="1" t="s">
        <v>4045</v>
      </c>
      <c r="D1166" s="1" t="s">
        <v>4046</v>
      </c>
      <c r="E1166" s="1" t="s">
        <v>10032</v>
      </c>
      <c r="F1166" s="1" t="s">
        <v>8957</v>
      </c>
      <c r="G1166" t="s">
        <v>8959</v>
      </c>
      <c r="H1166" s="1" t="s">
        <v>8948</v>
      </c>
      <c r="I1166" s="1" t="s">
        <v>8949</v>
      </c>
      <c r="J1166" s="2" t="s">
        <v>21424</v>
      </c>
      <c r="K1166" s="1" t="s">
        <v>21424</v>
      </c>
      <c r="L1166" s="1" t="s">
        <v>9076</v>
      </c>
      <c r="M1166" s="1">
        <v>8</v>
      </c>
      <c r="N1166" s="1" t="s">
        <v>9059</v>
      </c>
      <c r="O1166" s="1" t="s">
        <v>8989</v>
      </c>
      <c r="P1166" s="1" t="s">
        <v>8955</v>
      </c>
      <c r="Q1166" s="1" t="s">
        <v>8956</v>
      </c>
      <c r="R1166" s="1" t="s">
        <v>8975</v>
      </c>
      <c r="S1166" s="1" t="s">
        <v>19376</v>
      </c>
      <c r="T1166" s="1" t="s">
        <v>7</v>
      </c>
      <c r="U1166" s="1" t="s">
        <v>765</v>
      </c>
    </row>
    <row r="1167" spans="1:21" x14ac:dyDescent="0.2">
      <c r="A1167" s="88" t="s">
        <v>16794</v>
      </c>
      <c r="B1167" s="88" t="e">
        <f>VLOOKUP(C1167,#REF!,1,0)</f>
        <v>#REF!</v>
      </c>
      <c r="C1167" s="1" t="s">
        <v>4047</v>
      </c>
      <c r="D1167" s="1" t="s">
        <v>4048</v>
      </c>
      <c r="E1167" s="1" t="s">
        <v>20810</v>
      </c>
      <c r="F1167" s="1" t="s">
        <v>8957</v>
      </c>
      <c r="G1167" t="s">
        <v>8959</v>
      </c>
      <c r="H1167" s="1" t="s">
        <v>9035</v>
      </c>
      <c r="I1167" s="1" t="s">
        <v>9308</v>
      </c>
      <c r="J1167" s="2" t="s">
        <v>21277</v>
      </c>
      <c r="K1167" s="1" t="s">
        <v>21277</v>
      </c>
      <c r="L1167" s="1" t="s">
        <v>8987</v>
      </c>
      <c r="M1167" s="1">
        <v>336436</v>
      </c>
      <c r="N1167" s="1" t="s">
        <v>8953</v>
      </c>
      <c r="O1167" s="1" t="s">
        <v>8954</v>
      </c>
      <c r="P1167" s="1" t="s">
        <v>8955</v>
      </c>
      <c r="Q1167" s="1" t="s">
        <v>8956</v>
      </c>
      <c r="R1167" s="1" t="s">
        <v>8958</v>
      </c>
      <c r="S1167" s="1" t="s">
        <v>19377</v>
      </c>
      <c r="T1167" s="1" t="s">
        <v>7</v>
      </c>
      <c r="U1167" s="1" t="s">
        <v>2121</v>
      </c>
    </row>
    <row r="1168" spans="1:21" x14ac:dyDescent="0.2">
      <c r="A1168" s="88" t="s">
        <v>16795</v>
      </c>
      <c r="B1168" s="88" t="e">
        <f>VLOOKUP(C1168,#REF!,1,0)</f>
        <v>#REF!</v>
      </c>
      <c r="C1168" s="1" t="s">
        <v>4049</v>
      </c>
      <c r="D1168" s="1" t="s">
        <v>4050</v>
      </c>
      <c r="E1168" s="1" t="s">
        <v>9010</v>
      </c>
      <c r="F1168" s="1" t="s">
        <v>8959</v>
      </c>
      <c r="G1168" t="s">
        <v>9061</v>
      </c>
      <c r="H1168" s="1" t="s">
        <v>9092</v>
      </c>
      <c r="I1168" s="1" t="s">
        <v>9308</v>
      </c>
      <c r="J1168" s="2" t="s">
        <v>9036</v>
      </c>
      <c r="K1168" s="1" t="s">
        <v>9036</v>
      </c>
      <c r="L1168" s="1" t="s">
        <v>8987</v>
      </c>
      <c r="M1168" s="1">
        <v>14036</v>
      </c>
      <c r="N1168" s="1" t="s">
        <v>8953</v>
      </c>
      <c r="O1168" s="1" t="s">
        <v>8954</v>
      </c>
      <c r="P1168" s="1" t="s">
        <v>8955</v>
      </c>
      <c r="Q1168" s="1" t="s">
        <v>8956</v>
      </c>
      <c r="R1168" s="1" t="s">
        <v>8958</v>
      </c>
      <c r="S1168" s="1" t="s">
        <v>4051</v>
      </c>
      <c r="T1168" s="1" t="s">
        <v>11</v>
      </c>
      <c r="U1168" s="1" t="s">
        <v>180</v>
      </c>
    </row>
    <row r="1169" spans="1:21" x14ac:dyDescent="0.2">
      <c r="A1169" s="88" t="s">
        <v>16796</v>
      </c>
      <c r="B1169" s="88" t="e">
        <f>VLOOKUP(C1169,#REF!,1,0)</f>
        <v>#REF!</v>
      </c>
      <c r="C1169" s="1" t="s">
        <v>4052</v>
      </c>
      <c r="D1169" s="1" t="s">
        <v>4053</v>
      </c>
      <c r="E1169" s="1" t="s">
        <v>10032</v>
      </c>
      <c r="F1169" s="1" t="s">
        <v>8959</v>
      </c>
      <c r="G1169" t="s">
        <v>9061</v>
      </c>
      <c r="H1169" s="1" t="s">
        <v>20712</v>
      </c>
      <c r="I1169" s="1" t="s">
        <v>9155</v>
      </c>
      <c r="J1169" s="2" t="s">
        <v>20779</v>
      </c>
      <c r="K1169" s="1" t="s">
        <v>9036</v>
      </c>
      <c r="L1169" s="1" t="s">
        <v>8951</v>
      </c>
      <c r="M1169" s="1">
        <v>5170</v>
      </c>
      <c r="N1169" s="1" t="s">
        <v>8953</v>
      </c>
      <c r="O1169" s="1" t="s">
        <v>8954</v>
      </c>
      <c r="P1169" s="1" t="s">
        <v>8955</v>
      </c>
      <c r="Q1169" s="1" t="s">
        <v>8956</v>
      </c>
      <c r="R1169" s="1" t="s">
        <v>8975</v>
      </c>
      <c r="S1169" s="1" t="s">
        <v>19378</v>
      </c>
      <c r="T1169" s="1" t="s">
        <v>17</v>
      </c>
      <c r="U1169" s="1" t="s">
        <v>2865</v>
      </c>
    </row>
    <row r="1170" spans="1:21" x14ac:dyDescent="0.2">
      <c r="A1170" s="88" t="s">
        <v>16798</v>
      </c>
      <c r="B1170" s="88" t="e">
        <f>VLOOKUP(C1170,#REF!,1,0)</f>
        <v>#REF!</v>
      </c>
      <c r="C1170" s="1" t="s">
        <v>4057</v>
      </c>
      <c r="D1170" s="1" t="s">
        <v>4058</v>
      </c>
      <c r="E1170" s="1" t="s">
        <v>9317</v>
      </c>
      <c r="F1170" s="1" t="s">
        <v>8959</v>
      </c>
      <c r="G1170" t="s">
        <v>9183</v>
      </c>
      <c r="H1170" s="1" t="s">
        <v>9154</v>
      </c>
      <c r="I1170" s="1" t="s">
        <v>9325</v>
      </c>
      <c r="J1170" s="2" t="s">
        <v>9036</v>
      </c>
      <c r="K1170" s="1" t="s">
        <v>9036</v>
      </c>
      <c r="L1170" s="1" t="s">
        <v>8987</v>
      </c>
      <c r="M1170" s="1">
        <v>200</v>
      </c>
      <c r="N1170" s="1" t="s">
        <v>8953</v>
      </c>
      <c r="O1170" s="1" t="s">
        <v>8989</v>
      </c>
      <c r="P1170" s="1" t="s">
        <v>8955</v>
      </c>
      <c r="Q1170" s="1" t="s">
        <v>8956</v>
      </c>
      <c r="R1170" s="1" t="s">
        <v>8958</v>
      </c>
      <c r="S1170" s="1" t="s">
        <v>4059</v>
      </c>
      <c r="T1170" s="1" t="s">
        <v>17</v>
      </c>
      <c r="U1170" s="1" t="s">
        <v>4060</v>
      </c>
    </row>
    <row r="1171" spans="1:21" x14ac:dyDescent="0.2">
      <c r="A1171" s="88" t="s">
        <v>16799</v>
      </c>
      <c r="B1171" s="88" t="e">
        <f>VLOOKUP(C1171,#REF!,1,0)</f>
        <v>#REF!</v>
      </c>
      <c r="C1171" s="1" t="s">
        <v>4061</v>
      </c>
      <c r="D1171" s="1" t="s">
        <v>4062</v>
      </c>
      <c r="E1171" s="1" t="s">
        <v>9317</v>
      </c>
      <c r="F1171" s="1" t="s">
        <v>8959</v>
      </c>
      <c r="G1171" t="s">
        <v>9183</v>
      </c>
      <c r="H1171" s="1" t="s">
        <v>8948</v>
      </c>
      <c r="I1171" s="1" t="s">
        <v>8949</v>
      </c>
      <c r="J1171" s="2" t="s">
        <v>9036</v>
      </c>
      <c r="K1171" s="1" t="s">
        <v>9036</v>
      </c>
      <c r="L1171" s="1" t="s">
        <v>21616</v>
      </c>
      <c r="M1171" s="1">
        <v>56</v>
      </c>
      <c r="N1171" s="1" t="s">
        <v>8953</v>
      </c>
      <c r="O1171" s="1" t="s">
        <v>8954</v>
      </c>
      <c r="P1171" s="1" t="s">
        <v>8955</v>
      </c>
      <c r="Q1171" s="1" t="s">
        <v>8956</v>
      </c>
      <c r="R1171" s="1" t="s">
        <v>8975</v>
      </c>
      <c r="S1171" s="1" t="s">
        <v>4063</v>
      </c>
      <c r="T1171" s="1" t="s">
        <v>17</v>
      </c>
      <c r="U1171" s="1" t="s">
        <v>147</v>
      </c>
    </row>
    <row r="1172" spans="1:21" x14ac:dyDescent="0.2">
      <c r="A1172" s="88" t="s">
        <v>16800</v>
      </c>
      <c r="B1172" s="88" t="e">
        <f>VLOOKUP(C1172,#REF!,1,0)</f>
        <v>#REF!</v>
      </c>
      <c r="C1172" s="1" t="s">
        <v>4071</v>
      </c>
      <c r="D1172" s="1" t="s">
        <v>4072</v>
      </c>
      <c r="E1172" s="1" t="s">
        <v>10032</v>
      </c>
      <c r="F1172" s="1" t="s">
        <v>8957</v>
      </c>
      <c r="G1172" t="s">
        <v>8959</v>
      </c>
      <c r="H1172" s="1" t="s">
        <v>9154</v>
      </c>
      <c r="I1172" s="1" t="s">
        <v>11607</v>
      </c>
      <c r="J1172" s="2" t="s">
        <v>10492</v>
      </c>
      <c r="K1172" s="1" t="s">
        <v>10492</v>
      </c>
      <c r="L1172" s="1" t="s">
        <v>21600</v>
      </c>
      <c r="M1172" s="1">
        <v>500</v>
      </c>
      <c r="N1172" s="1" t="s">
        <v>9059</v>
      </c>
      <c r="O1172" s="1" t="s">
        <v>20828</v>
      </c>
      <c r="P1172" s="1" t="s">
        <v>8955</v>
      </c>
      <c r="Q1172" s="1" t="s">
        <v>8956</v>
      </c>
      <c r="R1172" s="1" t="s">
        <v>8975</v>
      </c>
      <c r="S1172" s="1" t="s">
        <v>20630</v>
      </c>
      <c r="T1172" s="1" t="s">
        <v>17</v>
      </c>
      <c r="U1172" s="1" t="s">
        <v>61</v>
      </c>
    </row>
    <row r="1173" spans="1:21" x14ac:dyDescent="0.2">
      <c r="A1173" s="88" t="s">
        <v>16801</v>
      </c>
      <c r="B1173" s="88" t="e">
        <f>VLOOKUP(C1173,#REF!,1,0)</f>
        <v>#REF!</v>
      </c>
      <c r="C1173" s="1" t="s">
        <v>4073</v>
      </c>
      <c r="D1173" s="1" t="s">
        <v>4074</v>
      </c>
      <c r="E1173" s="1" t="s">
        <v>9213</v>
      </c>
      <c r="F1173" s="1" t="s">
        <v>8957</v>
      </c>
      <c r="G1173" t="s">
        <v>8959</v>
      </c>
      <c r="H1173" s="1" t="s">
        <v>8948</v>
      </c>
      <c r="I1173" s="1" t="s">
        <v>8949</v>
      </c>
      <c r="J1173" s="2" t="s">
        <v>21314</v>
      </c>
      <c r="K1173" s="1" t="s">
        <v>21314</v>
      </c>
      <c r="L1173" s="1" t="s">
        <v>21600</v>
      </c>
      <c r="M1173" s="1">
        <v>8800</v>
      </c>
      <c r="N1173" s="1" t="s">
        <v>8953</v>
      </c>
      <c r="O1173" s="1" t="s">
        <v>8989</v>
      </c>
      <c r="P1173" s="1" t="s">
        <v>8955</v>
      </c>
      <c r="Q1173" s="1" t="s">
        <v>8956</v>
      </c>
      <c r="R1173" s="1" t="s">
        <v>9103</v>
      </c>
      <c r="S1173" s="1" t="s">
        <v>19382</v>
      </c>
      <c r="T1173" s="1" t="s">
        <v>7</v>
      </c>
      <c r="U1173" s="1" t="s">
        <v>110</v>
      </c>
    </row>
    <row r="1174" spans="1:21" x14ac:dyDescent="0.2">
      <c r="A1174" s="88" t="s">
        <v>16802</v>
      </c>
      <c r="B1174" s="88" t="e">
        <f>VLOOKUP(C1174,#REF!,1,0)</f>
        <v>#REF!</v>
      </c>
      <c r="C1174" s="1" t="s">
        <v>4075</v>
      </c>
      <c r="D1174" s="1" t="s">
        <v>4076</v>
      </c>
      <c r="E1174" s="1" t="s">
        <v>9213</v>
      </c>
      <c r="F1174" s="1" t="s">
        <v>8957</v>
      </c>
      <c r="G1174" t="s">
        <v>8959</v>
      </c>
      <c r="H1174" s="1" t="s">
        <v>9092</v>
      </c>
      <c r="I1174" s="1" t="s">
        <v>9308</v>
      </c>
      <c r="J1174" s="2" t="s">
        <v>21230</v>
      </c>
      <c r="K1174" s="1" t="s">
        <v>21230</v>
      </c>
      <c r="L1174" s="1" t="s">
        <v>8987</v>
      </c>
      <c r="M1174" s="1">
        <v>786</v>
      </c>
      <c r="N1174" s="1" t="s">
        <v>8953</v>
      </c>
      <c r="O1174" s="1" t="s">
        <v>8989</v>
      </c>
      <c r="P1174" s="1" t="s">
        <v>8955</v>
      </c>
      <c r="Q1174" s="1" t="s">
        <v>8956</v>
      </c>
      <c r="R1174" s="1" t="s">
        <v>8958</v>
      </c>
      <c r="S1174" s="1" t="s">
        <v>19383</v>
      </c>
      <c r="T1174" s="1" t="s">
        <v>7</v>
      </c>
      <c r="U1174" s="1" t="s">
        <v>24</v>
      </c>
    </row>
    <row r="1175" spans="1:21" x14ac:dyDescent="0.2">
      <c r="A1175" s="88" t="s">
        <v>16803</v>
      </c>
      <c r="B1175" s="88" t="e">
        <f>VLOOKUP(C1175,#REF!,1,0)</f>
        <v>#REF!</v>
      </c>
      <c r="C1175" s="1" t="s">
        <v>4077</v>
      </c>
      <c r="D1175" s="1" t="s">
        <v>4078</v>
      </c>
      <c r="E1175" s="1" t="s">
        <v>9010</v>
      </c>
      <c r="F1175" s="1" t="s">
        <v>8957</v>
      </c>
      <c r="G1175" t="s">
        <v>9183</v>
      </c>
      <c r="H1175" s="1" t="s">
        <v>9049</v>
      </c>
      <c r="I1175" s="1" t="s">
        <v>9325</v>
      </c>
      <c r="J1175" s="2" t="s">
        <v>21206</v>
      </c>
      <c r="K1175" s="1" t="s">
        <v>21206</v>
      </c>
      <c r="L1175" s="1" t="s">
        <v>9076</v>
      </c>
      <c r="M1175" s="1">
        <v>401098</v>
      </c>
      <c r="N1175" s="1" t="s">
        <v>8953</v>
      </c>
      <c r="O1175" s="1" t="s">
        <v>8954</v>
      </c>
      <c r="P1175" s="1" t="s">
        <v>8955</v>
      </c>
      <c r="Q1175" s="1" t="s">
        <v>8956</v>
      </c>
      <c r="R1175" s="1" t="s">
        <v>8975</v>
      </c>
      <c r="S1175" s="1" t="s">
        <v>4079</v>
      </c>
      <c r="T1175" s="1" t="s">
        <v>17</v>
      </c>
      <c r="U1175" s="1" t="s">
        <v>24</v>
      </c>
    </row>
    <row r="1176" spans="1:21" x14ac:dyDescent="0.2">
      <c r="A1176" s="88" t="s">
        <v>16804</v>
      </c>
      <c r="B1176" s="88" t="e">
        <f>VLOOKUP(C1176,#REF!,1,0)</f>
        <v>#REF!</v>
      </c>
      <c r="C1176" s="1" t="s">
        <v>4080</v>
      </c>
      <c r="D1176" s="1" t="s">
        <v>4081</v>
      </c>
      <c r="E1176" s="1" t="s">
        <v>10446</v>
      </c>
      <c r="F1176" s="1" t="s">
        <v>8959</v>
      </c>
      <c r="G1176" t="s">
        <v>8959</v>
      </c>
      <c r="H1176" s="1" t="s">
        <v>9252</v>
      </c>
      <c r="I1176" s="1" t="s">
        <v>8971</v>
      </c>
      <c r="J1176" s="2" t="s">
        <v>21465</v>
      </c>
      <c r="K1176" s="1" t="s">
        <v>21465</v>
      </c>
      <c r="L1176" s="1" t="s">
        <v>8987</v>
      </c>
      <c r="M1176" s="1">
        <v>420</v>
      </c>
      <c r="N1176" s="1" t="s">
        <v>8953</v>
      </c>
      <c r="O1176" s="1" t="s">
        <v>8954</v>
      </c>
      <c r="P1176" s="1" t="s">
        <v>8955</v>
      </c>
      <c r="Q1176" s="1" t="s">
        <v>8956</v>
      </c>
      <c r="R1176" s="1" t="s">
        <v>8958</v>
      </c>
      <c r="S1176" s="1" t="s">
        <v>4082</v>
      </c>
      <c r="T1176" s="1" t="s">
        <v>11</v>
      </c>
      <c r="U1176" s="1" t="s">
        <v>35</v>
      </c>
    </row>
    <row r="1177" spans="1:21" x14ac:dyDescent="0.2">
      <c r="A1177" s="88" t="s">
        <v>16805</v>
      </c>
      <c r="B1177" s="88" t="e">
        <f>VLOOKUP(C1177,#REF!,1,0)</f>
        <v>#REF!</v>
      </c>
      <c r="C1177" s="1" t="s">
        <v>4083</v>
      </c>
      <c r="D1177" s="1" t="s">
        <v>4084</v>
      </c>
      <c r="E1177" s="1" t="s">
        <v>9213</v>
      </c>
      <c r="F1177" s="1" t="s">
        <v>8957</v>
      </c>
      <c r="G1177" t="s">
        <v>9061</v>
      </c>
      <c r="H1177" s="1" t="s">
        <v>9100</v>
      </c>
      <c r="I1177" s="1" t="s">
        <v>8998</v>
      </c>
      <c r="J1177" s="2" t="s">
        <v>11173</v>
      </c>
      <c r="K1177" s="1" t="s">
        <v>11173</v>
      </c>
      <c r="L1177" s="1" t="s">
        <v>9076</v>
      </c>
      <c r="M1177" s="1">
        <v>4682</v>
      </c>
      <c r="N1177" s="1" t="s">
        <v>8953</v>
      </c>
      <c r="O1177" s="1" t="s">
        <v>8989</v>
      </c>
      <c r="P1177" s="1" t="s">
        <v>8955</v>
      </c>
      <c r="Q1177" s="1" t="s">
        <v>8956</v>
      </c>
      <c r="R1177" s="1" t="s">
        <v>9103</v>
      </c>
      <c r="S1177" s="1" t="s">
        <v>4085</v>
      </c>
      <c r="T1177" s="1" t="s">
        <v>17</v>
      </c>
      <c r="U1177" s="1" t="s">
        <v>93</v>
      </c>
    </row>
    <row r="1178" spans="1:21" x14ac:dyDescent="0.2">
      <c r="A1178" s="88" t="s">
        <v>16806</v>
      </c>
      <c r="B1178" s="88" t="e">
        <f>VLOOKUP(C1178,#REF!,1,0)</f>
        <v>#REF!</v>
      </c>
      <c r="C1178" s="1" t="s">
        <v>4086</v>
      </c>
      <c r="D1178" s="1" t="s">
        <v>4087</v>
      </c>
      <c r="E1178" s="1" t="s">
        <v>9213</v>
      </c>
      <c r="F1178" s="1" t="s">
        <v>8957</v>
      </c>
      <c r="G1178" t="s">
        <v>8959</v>
      </c>
      <c r="H1178" s="1" t="s">
        <v>9035</v>
      </c>
      <c r="I1178" s="1" t="s">
        <v>9308</v>
      </c>
      <c r="J1178" s="2" t="s">
        <v>8972</v>
      </c>
      <c r="K1178" s="1" t="s">
        <v>8972</v>
      </c>
      <c r="L1178" s="1" t="s">
        <v>9076</v>
      </c>
      <c r="M1178" s="1">
        <v>1012</v>
      </c>
      <c r="N1178" s="1" t="s">
        <v>8953</v>
      </c>
      <c r="O1178" s="1" t="s">
        <v>8954</v>
      </c>
      <c r="P1178" s="1" t="s">
        <v>8955</v>
      </c>
      <c r="Q1178" s="1" t="s">
        <v>8956</v>
      </c>
      <c r="R1178" s="1" t="s">
        <v>8958</v>
      </c>
      <c r="S1178" s="1" t="s">
        <v>4088</v>
      </c>
      <c r="T1178" s="1" t="s">
        <v>17</v>
      </c>
      <c r="U1178" s="1" t="s">
        <v>378</v>
      </c>
    </row>
    <row r="1179" spans="1:21" x14ac:dyDescent="0.2">
      <c r="A1179" s="88" t="s">
        <v>16807</v>
      </c>
      <c r="B1179" s="88" t="e">
        <f>VLOOKUP(C1179,#REF!,1,0)</f>
        <v>#REF!</v>
      </c>
      <c r="C1179" s="1" t="s">
        <v>4089</v>
      </c>
      <c r="D1179" s="1" t="s">
        <v>4090</v>
      </c>
      <c r="E1179" s="1" t="s">
        <v>9213</v>
      </c>
      <c r="F1179" s="1" t="s">
        <v>8957</v>
      </c>
      <c r="G1179" t="s">
        <v>9183</v>
      </c>
      <c r="H1179" s="1" t="s">
        <v>9035</v>
      </c>
      <c r="I1179" s="1" t="s">
        <v>8998</v>
      </c>
      <c r="J1179" s="2" t="s">
        <v>8972</v>
      </c>
      <c r="K1179" s="1" t="s">
        <v>8972</v>
      </c>
      <c r="L1179" s="1" t="s">
        <v>9076</v>
      </c>
      <c r="M1179" s="1">
        <v>40</v>
      </c>
      <c r="N1179" s="1" t="s">
        <v>9059</v>
      </c>
      <c r="O1179" s="1" t="s">
        <v>8989</v>
      </c>
      <c r="P1179" s="1" t="s">
        <v>8955</v>
      </c>
      <c r="Q1179" s="1" t="s">
        <v>8956</v>
      </c>
      <c r="R1179" s="1" t="s">
        <v>9103</v>
      </c>
      <c r="S1179" s="1" t="s">
        <v>4091</v>
      </c>
      <c r="T1179" s="1" t="s">
        <v>17</v>
      </c>
      <c r="U1179" s="1" t="s">
        <v>87</v>
      </c>
    </row>
    <row r="1180" spans="1:21" x14ac:dyDescent="0.2">
      <c r="A1180" s="88" t="s">
        <v>16808</v>
      </c>
      <c r="B1180" s="88" t="e">
        <f>VLOOKUP(C1180,#REF!,1,0)</f>
        <v>#REF!</v>
      </c>
      <c r="C1180" s="1" t="s">
        <v>4092</v>
      </c>
      <c r="D1180" s="1" t="s">
        <v>4093</v>
      </c>
      <c r="E1180" s="1" t="s">
        <v>9213</v>
      </c>
      <c r="F1180" s="1" t="s">
        <v>8957</v>
      </c>
      <c r="G1180" t="s">
        <v>9061</v>
      </c>
      <c r="H1180" s="1" t="s">
        <v>9100</v>
      </c>
      <c r="I1180" s="1" t="s">
        <v>8949</v>
      </c>
      <c r="J1180" s="2" t="s">
        <v>8972</v>
      </c>
      <c r="K1180" s="1" t="s">
        <v>8972</v>
      </c>
      <c r="L1180" s="1" t="s">
        <v>9076</v>
      </c>
      <c r="M1180" s="1">
        <v>1200</v>
      </c>
      <c r="N1180" s="1" t="s">
        <v>8953</v>
      </c>
      <c r="O1180" s="1" t="s">
        <v>8954</v>
      </c>
      <c r="P1180" s="1" t="s">
        <v>8955</v>
      </c>
      <c r="Q1180" s="1" t="s">
        <v>8956</v>
      </c>
      <c r="R1180" s="1" t="s">
        <v>8958</v>
      </c>
      <c r="S1180" s="1" t="s">
        <v>4094</v>
      </c>
      <c r="T1180" s="1" t="s">
        <v>11</v>
      </c>
      <c r="U1180" s="1" t="s">
        <v>1076</v>
      </c>
    </row>
    <row r="1181" spans="1:21" x14ac:dyDescent="0.2">
      <c r="A1181" s="88" t="s">
        <v>16809</v>
      </c>
      <c r="B1181" s="88" t="e">
        <f>VLOOKUP(C1181,#REF!,1,0)</f>
        <v>#REF!</v>
      </c>
      <c r="C1181" s="1" t="s">
        <v>4095</v>
      </c>
      <c r="D1181" s="1" t="s">
        <v>4096</v>
      </c>
      <c r="E1181" s="1" t="s">
        <v>9213</v>
      </c>
      <c r="F1181" s="1" t="s">
        <v>8957</v>
      </c>
      <c r="G1181" t="s">
        <v>9061</v>
      </c>
      <c r="H1181" s="1" t="s">
        <v>9100</v>
      </c>
      <c r="I1181" s="1" t="s">
        <v>8949</v>
      </c>
      <c r="J1181" s="2" t="s">
        <v>21210</v>
      </c>
      <c r="K1181" s="1" t="s">
        <v>21210</v>
      </c>
      <c r="L1181" s="1" t="s">
        <v>9133</v>
      </c>
      <c r="M1181" s="1">
        <v>801</v>
      </c>
      <c r="N1181" s="1" t="s">
        <v>9059</v>
      </c>
      <c r="O1181" s="1" t="s">
        <v>8954</v>
      </c>
      <c r="P1181" s="1" t="s">
        <v>8955</v>
      </c>
      <c r="Q1181" s="1" t="s">
        <v>8956</v>
      </c>
      <c r="R1181" s="1" t="s">
        <v>9103</v>
      </c>
      <c r="S1181" s="1" t="s">
        <v>19384</v>
      </c>
      <c r="T1181" s="1" t="s">
        <v>17</v>
      </c>
      <c r="U1181" s="1" t="s">
        <v>392</v>
      </c>
    </row>
    <row r="1182" spans="1:21" x14ac:dyDescent="0.2">
      <c r="A1182" s="88" t="s">
        <v>16810</v>
      </c>
      <c r="B1182" s="88" t="e">
        <f>VLOOKUP(C1182,#REF!,1,0)</f>
        <v>#REF!</v>
      </c>
      <c r="C1182" s="1" t="s">
        <v>4097</v>
      </c>
      <c r="D1182" s="1" t="s">
        <v>4098</v>
      </c>
      <c r="E1182" s="1" t="s">
        <v>18502</v>
      </c>
      <c r="F1182" s="1" t="s">
        <v>8957</v>
      </c>
      <c r="G1182" t="s">
        <v>8959</v>
      </c>
      <c r="H1182" s="1" t="s">
        <v>8984</v>
      </c>
      <c r="I1182" s="1" t="s">
        <v>9131</v>
      </c>
      <c r="J1182" s="2" t="s">
        <v>21423</v>
      </c>
      <c r="K1182" s="1" t="s">
        <v>21423</v>
      </c>
      <c r="L1182" s="1" t="s">
        <v>21600</v>
      </c>
      <c r="M1182" s="1">
        <v>1600</v>
      </c>
      <c r="N1182" s="1" t="s">
        <v>8953</v>
      </c>
      <c r="O1182" s="1" t="s">
        <v>8954</v>
      </c>
      <c r="P1182" s="1" t="s">
        <v>8955</v>
      </c>
      <c r="Q1182" s="1" t="s">
        <v>8956</v>
      </c>
      <c r="R1182" s="1" t="s">
        <v>8958</v>
      </c>
      <c r="S1182" s="1" t="s">
        <v>19385</v>
      </c>
      <c r="T1182" s="1" t="s">
        <v>17</v>
      </c>
      <c r="U1182" s="1" t="s">
        <v>2082</v>
      </c>
    </row>
    <row r="1183" spans="1:21" x14ac:dyDescent="0.2">
      <c r="A1183" s="88" t="s">
        <v>16811</v>
      </c>
      <c r="B1183" s="88" t="e">
        <f>VLOOKUP(C1183,#REF!,1,0)</f>
        <v>#REF!</v>
      </c>
      <c r="C1183" s="1" t="s">
        <v>4099</v>
      </c>
      <c r="D1183" s="1" t="s">
        <v>4100</v>
      </c>
      <c r="E1183" s="1" t="s">
        <v>9213</v>
      </c>
      <c r="F1183" s="1" t="s">
        <v>8957</v>
      </c>
      <c r="G1183" t="s">
        <v>8959</v>
      </c>
      <c r="H1183" s="1" t="s">
        <v>9100</v>
      </c>
      <c r="I1183" s="1" t="s">
        <v>8949</v>
      </c>
      <c r="J1183" s="2" t="s">
        <v>20863</v>
      </c>
      <c r="K1183" s="1" t="s">
        <v>12408</v>
      </c>
      <c r="L1183" s="1" t="s">
        <v>9292</v>
      </c>
      <c r="M1183" s="1">
        <v>1618</v>
      </c>
      <c r="N1183" s="1" t="s">
        <v>9059</v>
      </c>
      <c r="O1183" s="1" t="s">
        <v>8954</v>
      </c>
      <c r="P1183" s="1" t="s">
        <v>8955</v>
      </c>
      <c r="Q1183" s="1" t="s">
        <v>8956</v>
      </c>
      <c r="R1183" s="1" t="s">
        <v>8958</v>
      </c>
      <c r="S1183" s="1" t="s">
        <v>19386</v>
      </c>
      <c r="T1183" s="1" t="s">
        <v>17</v>
      </c>
      <c r="U1183" s="1" t="s">
        <v>24</v>
      </c>
    </row>
    <row r="1184" spans="1:21" x14ac:dyDescent="0.2">
      <c r="A1184" s="88" t="s">
        <v>16812</v>
      </c>
      <c r="B1184" s="88" t="e">
        <f>VLOOKUP(C1184,#REF!,1,0)</f>
        <v>#REF!</v>
      </c>
      <c r="C1184" s="1" t="s">
        <v>4101</v>
      </c>
      <c r="D1184" s="1" t="s">
        <v>4102</v>
      </c>
      <c r="E1184" s="1" t="s">
        <v>9213</v>
      </c>
      <c r="F1184" s="1" t="s">
        <v>8957</v>
      </c>
      <c r="G1184" t="s">
        <v>9183</v>
      </c>
      <c r="H1184" s="1" t="s">
        <v>8984</v>
      </c>
      <c r="I1184" s="1" t="s">
        <v>8998</v>
      </c>
      <c r="J1184" s="2" t="s">
        <v>21559</v>
      </c>
      <c r="K1184" s="1" t="s">
        <v>21788</v>
      </c>
      <c r="L1184" s="1" t="s">
        <v>8987</v>
      </c>
      <c r="M1184" s="1">
        <v>80</v>
      </c>
      <c r="N1184" s="1" t="s">
        <v>8953</v>
      </c>
      <c r="O1184" s="1" t="s">
        <v>8989</v>
      </c>
      <c r="P1184" s="1" t="s">
        <v>8955</v>
      </c>
      <c r="Q1184" s="1" t="s">
        <v>8956</v>
      </c>
      <c r="R1184" s="1" t="s">
        <v>8958</v>
      </c>
      <c r="S1184" s="1" t="s">
        <v>4103</v>
      </c>
      <c r="T1184" s="1" t="s">
        <v>11</v>
      </c>
      <c r="U1184" s="1" t="s">
        <v>93</v>
      </c>
    </row>
    <row r="1185" spans="1:21" x14ac:dyDescent="0.2">
      <c r="A1185" s="88" t="s">
        <v>16813</v>
      </c>
      <c r="B1185" s="88" t="e">
        <f>VLOOKUP(C1185,#REF!,1,0)</f>
        <v>#REF!</v>
      </c>
      <c r="C1185" s="1" t="s">
        <v>4104</v>
      </c>
      <c r="D1185" s="1" t="s">
        <v>4105</v>
      </c>
      <c r="E1185" s="1" t="s">
        <v>18502</v>
      </c>
      <c r="F1185" s="1" t="s">
        <v>8959</v>
      </c>
      <c r="G1185" t="s">
        <v>9061</v>
      </c>
      <c r="H1185" s="1" t="s">
        <v>20712</v>
      </c>
      <c r="I1185" s="1" t="s">
        <v>8998</v>
      </c>
      <c r="J1185" s="2" t="s">
        <v>18489</v>
      </c>
      <c r="K1185" s="1" t="s">
        <v>18489</v>
      </c>
      <c r="L1185" s="1" t="s">
        <v>9076</v>
      </c>
      <c r="M1185" s="1">
        <v>720</v>
      </c>
      <c r="N1185" s="1" t="s">
        <v>8953</v>
      </c>
      <c r="O1185" s="1" t="s">
        <v>8989</v>
      </c>
      <c r="P1185" s="1" t="s">
        <v>8955</v>
      </c>
      <c r="Q1185" s="1" t="s">
        <v>8956</v>
      </c>
      <c r="R1185" s="1" t="s">
        <v>8958</v>
      </c>
      <c r="S1185" s="1" t="s">
        <v>19387</v>
      </c>
      <c r="T1185" s="1" t="s">
        <v>17</v>
      </c>
      <c r="U1185" s="1" t="s">
        <v>24</v>
      </c>
    </row>
    <row r="1186" spans="1:21" x14ac:dyDescent="0.2">
      <c r="A1186" s="88" t="s">
        <v>16814</v>
      </c>
      <c r="B1186" s="88" t="e">
        <f>VLOOKUP(C1186,#REF!,1,0)</f>
        <v>#REF!</v>
      </c>
      <c r="C1186" s="1" t="s">
        <v>4106</v>
      </c>
      <c r="D1186" s="1" t="s">
        <v>4107</v>
      </c>
      <c r="E1186" s="1" t="s">
        <v>9010</v>
      </c>
      <c r="F1186" s="1" t="s">
        <v>8959</v>
      </c>
      <c r="G1186" t="s">
        <v>9061</v>
      </c>
      <c r="H1186" s="1" t="s">
        <v>9154</v>
      </c>
      <c r="I1186" s="1" t="s">
        <v>9174</v>
      </c>
      <c r="J1186" s="2" t="s">
        <v>9436</v>
      </c>
      <c r="K1186" s="1" t="s">
        <v>9436</v>
      </c>
      <c r="L1186" s="1" t="s">
        <v>8951</v>
      </c>
      <c r="M1186" s="1">
        <v>2265</v>
      </c>
      <c r="N1186" s="1" t="s">
        <v>8953</v>
      </c>
      <c r="O1186" s="1" t="s">
        <v>8989</v>
      </c>
      <c r="P1186" s="1" t="s">
        <v>8955</v>
      </c>
      <c r="Q1186" s="1" t="s">
        <v>8956</v>
      </c>
      <c r="R1186" s="1" t="s">
        <v>8958</v>
      </c>
      <c r="S1186" s="1" t="s">
        <v>4108</v>
      </c>
      <c r="T1186" s="1" t="s">
        <v>11</v>
      </c>
      <c r="U1186" s="1" t="s">
        <v>87</v>
      </c>
    </row>
    <row r="1187" spans="1:21" x14ac:dyDescent="0.2">
      <c r="A1187" s="88" t="s">
        <v>16815</v>
      </c>
      <c r="B1187" s="88" t="e">
        <f>VLOOKUP(C1187,#REF!,1,0)</f>
        <v>#REF!</v>
      </c>
      <c r="C1187" s="1" t="s">
        <v>4112</v>
      </c>
      <c r="D1187" s="1" t="s">
        <v>4113</v>
      </c>
      <c r="E1187" s="1" t="s">
        <v>9010</v>
      </c>
      <c r="F1187" s="1" t="s">
        <v>8959</v>
      </c>
      <c r="G1187" t="s">
        <v>9009</v>
      </c>
      <c r="H1187" s="1" t="s">
        <v>9092</v>
      </c>
      <c r="I1187" s="1" t="s">
        <v>9308</v>
      </c>
      <c r="J1187" s="131" t="s">
        <v>21560</v>
      </c>
      <c r="K1187" s="77" t="s">
        <v>21789</v>
      </c>
      <c r="L1187" s="1" t="s">
        <v>21600</v>
      </c>
      <c r="M1187" s="1">
        <v>8325</v>
      </c>
      <c r="N1187" s="1" t="s">
        <v>8953</v>
      </c>
      <c r="O1187" s="1" t="s">
        <v>8989</v>
      </c>
      <c r="P1187" s="1" t="s">
        <v>8955</v>
      </c>
      <c r="Q1187" s="1" t="s">
        <v>8956</v>
      </c>
      <c r="R1187" s="1" t="s">
        <v>8975</v>
      </c>
      <c r="S1187" s="1" t="s">
        <v>4114</v>
      </c>
      <c r="T1187" s="1" t="s">
        <v>4</v>
      </c>
      <c r="U1187" s="1" t="s">
        <v>87</v>
      </c>
    </row>
    <row r="1188" spans="1:21" x14ac:dyDescent="0.2">
      <c r="A1188" s="88" t="s">
        <v>16816</v>
      </c>
      <c r="B1188" s="88" t="e">
        <f>VLOOKUP(C1188,#REF!,1,0)</f>
        <v>#REF!</v>
      </c>
      <c r="C1188" s="1" t="s">
        <v>4115</v>
      </c>
      <c r="D1188" s="1" t="s">
        <v>4116</v>
      </c>
      <c r="E1188" s="1" t="s">
        <v>9010</v>
      </c>
      <c r="F1188" s="1" t="s">
        <v>8957</v>
      </c>
      <c r="G1188" t="s">
        <v>9061</v>
      </c>
      <c r="H1188" s="1" t="s">
        <v>9092</v>
      </c>
      <c r="I1188" s="1" t="s">
        <v>8998</v>
      </c>
      <c r="J1188" s="2" t="s">
        <v>9436</v>
      </c>
      <c r="K1188" s="1" t="s">
        <v>9436</v>
      </c>
      <c r="L1188" s="1" t="s">
        <v>21600</v>
      </c>
      <c r="M1188" s="1">
        <v>400</v>
      </c>
      <c r="N1188" s="1" t="s">
        <v>9059</v>
      </c>
      <c r="O1188" s="1" t="s">
        <v>8989</v>
      </c>
      <c r="P1188" s="1" t="s">
        <v>8955</v>
      </c>
      <c r="Q1188" s="1" t="s">
        <v>8956</v>
      </c>
      <c r="R1188" s="1" t="s">
        <v>8958</v>
      </c>
      <c r="S1188" s="1" t="s">
        <v>4117</v>
      </c>
      <c r="T1188" s="1" t="s">
        <v>4</v>
      </c>
      <c r="U1188" s="1" t="s">
        <v>87</v>
      </c>
    </row>
    <row r="1189" spans="1:21" x14ac:dyDescent="0.2">
      <c r="A1189" s="88" t="s">
        <v>20864</v>
      </c>
      <c r="B1189" s="88" t="e">
        <f>VLOOKUP(C1189,#REF!,1,0)</f>
        <v>#REF!</v>
      </c>
      <c r="C1189" s="1" t="s">
        <v>4118</v>
      </c>
      <c r="D1189" s="1" t="s">
        <v>4119</v>
      </c>
      <c r="E1189" s="1" t="s">
        <v>9213</v>
      </c>
      <c r="F1189" s="1" t="s">
        <v>8957</v>
      </c>
      <c r="G1189" t="s">
        <v>8959</v>
      </c>
      <c r="H1189" s="1" t="s">
        <v>8948</v>
      </c>
      <c r="I1189" s="1" t="s">
        <v>8949</v>
      </c>
      <c r="J1189" s="2" t="s">
        <v>20779</v>
      </c>
      <c r="K1189" s="1" t="s">
        <v>9036</v>
      </c>
      <c r="L1189" s="1" t="s">
        <v>9076</v>
      </c>
      <c r="M1189" s="1">
        <v>50000</v>
      </c>
      <c r="N1189" s="1" t="s">
        <v>8953</v>
      </c>
      <c r="O1189" s="1" t="s">
        <v>8989</v>
      </c>
      <c r="P1189" s="1" t="s">
        <v>8955</v>
      </c>
      <c r="Q1189" s="1" t="s">
        <v>8956</v>
      </c>
      <c r="R1189" s="1" t="s">
        <v>9103</v>
      </c>
      <c r="S1189" s="1" t="s">
        <v>19389</v>
      </c>
      <c r="T1189" s="1" t="s">
        <v>17</v>
      </c>
      <c r="U1189" s="1" t="s">
        <v>161</v>
      </c>
    </row>
    <row r="1190" spans="1:21" x14ac:dyDescent="0.2">
      <c r="A1190" s="88" t="s">
        <v>16817</v>
      </c>
      <c r="B1190" s="88"/>
      <c r="C1190" s="1" t="s">
        <v>4120</v>
      </c>
      <c r="D1190" s="1" t="s">
        <v>4121</v>
      </c>
      <c r="E1190" s="1" t="e">
        <v>#N/A</v>
      </c>
      <c r="F1190" s="1" t="e">
        <v>#N/A</v>
      </c>
      <c r="G1190" t="e">
        <v>#N/A</v>
      </c>
      <c r="H1190" s="1" t="e">
        <v>#N/A</v>
      </c>
      <c r="I1190" s="1" t="e">
        <v>#N/A</v>
      </c>
      <c r="J1190" s="2" t="e">
        <v>#N/A</v>
      </c>
      <c r="K1190" s="1" t="e">
        <v>#N/A</v>
      </c>
      <c r="L1190" s="1" t="e">
        <v>#N/A</v>
      </c>
      <c r="M1190" s="1" t="e">
        <v>#N/A</v>
      </c>
      <c r="N1190" s="1" t="e">
        <v>#N/A</v>
      </c>
      <c r="O1190" s="1" t="e">
        <v>#N/A</v>
      </c>
      <c r="P1190" s="1" t="s">
        <v>8955</v>
      </c>
      <c r="Q1190" s="1" t="s">
        <v>8956</v>
      </c>
      <c r="R1190" s="1" t="s">
        <v>8975</v>
      </c>
      <c r="S1190" s="1" t="s">
        <v>19390</v>
      </c>
      <c r="T1190" s="1" t="s">
        <v>252</v>
      </c>
      <c r="U1190" s="1" t="s">
        <v>4122</v>
      </c>
    </row>
    <row r="1191" spans="1:21" x14ac:dyDescent="0.2">
      <c r="A1191" s="88" t="s">
        <v>16819</v>
      </c>
      <c r="B1191" s="88" t="e">
        <f>VLOOKUP(C1191,#REF!,1,0)</f>
        <v>#REF!</v>
      </c>
      <c r="C1191" s="1" t="s">
        <v>4126</v>
      </c>
      <c r="D1191" s="1" t="s">
        <v>4127</v>
      </c>
      <c r="E1191" s="1" t="s">
        <v>9213</v>
      </c>
      <c r="F1191" s="1" t="s">
        <v>8957</v>
      </c>
      <c r="G1191" t="s">
        <v>8959</v>
      </c>
      <c r="H1191" s="1" t="s">
        <v>8948</v>
      </c>
      <c r="I1191" s="1" t="s">
        <v>8949</v>
      </c>
      <c r="J1191" s="2" t="s">
        <v>10492</v>
      </c>
      <c r="K1191" s="1" t="s">
        <v>10492</v>
      </c>
      <c r="L1191" s="1" t="s">
        <v>9076</v>
      </c>
      <c r="M1191" s="1">
        <v>50</v>
      </c>
      <c r="N1191" s="1" t="s">
        <v>8953</v>
      </c>
      <c r="O1191" s="1" t="s">
        <v>8989</v>
      </c>
      <c r="P1191" s="1" t="s">
        <v>8955</v>
      </c>
      <c r="Q1191" s="1" t="s">
        <v>8956</v>
      </c>
      <c r="R1191" s="1" t="s">
        <v>8958</v>
      </c>
      <c r="S1191" s="1" t="s">
        <v>19391</v>
      </c>
      <c r="T1191" s="1" t="s">
        <v>17</v>
      </c>
      <c r="U1191" s="1" t="s">
        <v>161</v>
      </c>
    </row>
    <row r="1192" spans="1:21" x14ac:dyDescent="0.2">
      <c r="A1192" s="88" t="s">
        <v>16820</v>
      </c>
      <c r="B1192" s="88" t="e">
        <f>VLOOKUP(C1192,#REF!,1,0)</f>
        <v>#REF!</v>
      </c>
      <c r="C1192" s="1" t="s">
        <v>4128</v>
      </c>
      <c r="D1192" s="1" t="s">
        <v>4129</v>
      </c>
      <c r="E1192" s="1" t="s">
        <v>9213</v>
      </c>
      <c r="F1192" s="1" t="s">
        <v>8959</v>
      </c>
      <c r="G1192" t="s">
        <v>9183</v>
      </c>
      <c r="H1192" s="1" t="s">
        <v>20714</v>
      </c>
      <c r="I1192" s="1" t="s">
        <v>20725</v>
      </c>
      <c r="J1192" s="2" t="s">
        <v>20865</v>
      </c>
      <c r="K1192" s="1" t="s">
        <v>21854</v>
      </c>
      <c r="L1192" s="1" t="s">
        <v>8951</v>
      </c>
      <c r="M1192" s="1">
        <v>200</v>
      </c>
      <c r="N1192" s="1" t="s">
        <v>9059</v>
      </c>
      <c r="O1192" s="1" t="s">
        <v>8989</v>
      </c>
      <c r="P1192" s="1" t="s">
        <v>8955</v>
      </c>
      <c r="Q1192" s="1" t="s">
        <v>8956</v>
      </c>
      <c r="R1192" s="1" t="s">
        <v>9103</v>
      </c>
      <c r="S1192" s="1" t="s">
        <v>19392</v>
      </c>
      <c r="T1192" s="1" t="s">
        <v>17</v>
      </c>
      <c r="U1192" s="1" t="s">
        <v>213</v>
      </c>
    </row>
    <row r="1193" spans="1:21" x14ac:dyDescent="0.2">
      <c r="A1193" s="88" t="s">
        <v>16821</v>
      </c>
      <c r="B1193" s="88" t="e">
        <f>VLOOKUP(C1193,#REF!,1,0)</f>
        <v>#REF!</v>
      </c>
      <c r="C1193" s="1" t="s">
        <v>4130</v>
      </c>
      <c r="D1193" s="1" t="s">
        <v>4131</v>
      </c>
      <c r="E1193" s="1" t="s">
        <v>9213</v>
      </c>
      <c r="F1193" s="1" t="s">
        <v>8959</v>
      </c>
      <c r="G1193" t="s">
        <v>9183</v>
      </c>
      <c r="H1193" s="1" t="s">
        <v>20714</v>
      </c>
      <c r="I1193" s="1" t="s">
        <v>20725</v>
      </c>
      <c r="J1193" s="2" t="s">
        <v>21265</v>
      </c>
      <c r="K1193" s="1" t="s">
        <v>21265</v>
      </c>
      <c r="L1193" s="1" t="s">
        <v>8951</v>
      </c>
      <c r="M1193" s="1">
        <v>825</v>
      </c>
      <c r="N1193" s="1" t="s">
        <v>8953</v>
      </c>
      <c r="O1193" s="1" t="s">
        <v>8989</v>
      </c>
      <c r="P1193" s="1" t="s">
        <v>8955</v>
      </c>
      <c r="Q1193" s="1" t="s">
        <v>8956</v>
      </c>
      <c r="R1193" s="1" t="s">
        <v>8975</v>
      </c>
      <c r="S1193" s="1" t="s">
        <v>19393</v>
      </c>
      <c r="T1193" s="1" t="s">
        <v>7</v>
      </c>
      <c r="U1193" s="1" t="s">
        <v>24</v>
      </c>
    </row>
    <row r="1194" spans="1:21" x14ac:dyDescent="0.2">
      <c r="A1194" s="88" t="s">
        <v>16822</v>
      </c>
      <c r="B1194" s="88" t="e">
        <f>VLOOKUP(C1194,#REF!,1,0)</f>
        <v>#REF!</v>
      </c>
      <c r="C1194" s="1" t="s">
        <v>4132</v>
      </c>
      <c r="D1194" s="1" t="s">
        <v>4133</v>
      </c>
      <c r="E1194" s="1" t="s">
        <v>9213</v>
      </c>
      <c r="F1194" s="1" t="s">
        <v>8959</v>
      </c>
      <c r="G1194" t="s">
        <v>9183</v>
      </c>
      <c r="H1194" s="1" t="s">
        <v>20714</v>
      </c>
      <c r="I1194" s="1" t="s">
        <v>20725</v>
      </c>
      <c r="J1194" s="2" t="s">
        <v>20865</v>
      </c>
      <c r="K1194" s="1" t="s">
        <v>21854</v>
      </c>
      <c r="L1194" s="1" t="s">
        <v>8951</v>
      </c>
      <c r="M1194" s="1">
        <v>657</v>
      </c>
      <c r="N1194" s="1" t="s">
        <v>8953</v>
      </c>
      <c r="O1194" s="1" t="s">
        <v>8989</v>
      </c>
      <c r="P1194" s="1" t="s">
        <v>8955</v>
      </c>
      <c r="Q1194" s="1" t="s">
        <v>8956</v>
      </c>
      <c r="R1194" s="1" t="s">
        <v>9103</v>
      </c>
      <c r="S1194" s="1" t="s">
        <v>19394</v>
      </c>
      <c r="T1194" s="1" t="s">
        <v>7</v>
      </c>
      <c r="U1194" s="1" t="s">
        <v>213</v>
      </c>
    </row>
    <row r="1195" spans="1:21" x14ac:dyDescent="0.2">
      <c r="A1195" s="88" t="s">
        <v>16823</v>
      </c>
      <c r="B1195" s="88" t="e">
        <f>VLOOKUP(C1195,#REF!,1,0)</f>
        <v>#REF!</v>
      </c>
      <c r="C1195" s="1" t="s">
        <v>4134</v>
      </c>
      <c r="D1195" s="1" t="s">
        <v>4135</v>
      </c>
      <c r="E1195" s="1" t="s">
        <v>18502</v>
      </c>
      <c r="F1195" s="1" t="s">
        <v>8957</v>
      </c>
      <c r="G1195" t="s">
        <v>8959</v>
      </c>
      <c r="H1195" s="1" t="s">
        <v>9154</v>
      </c>
      <c r="I1195" s="1" t="s">
        <v>20725</v>
      </c>
      <c r="J1195" s="2" t="s">
        <v>20779</v>
      </c>
      <c r="K1195" s="1" t="s">
        <v>9036</v>
      </c>
      <c r="L1195" s="1" t="s">
        <v>8987</v>
      </c>
      <c r="M1195" s="1">
        <v>6556</v>
      </c>
      <c r="N1195" s="1" t="s">
        <v>8953</v>
      </c>
      <c r="O1195" s="1" t="s">
        <v>8989</v>
      </c>
      <c r="P1195" s="1" t="s">
        <v>8955</v>
      </c>
      <c r="Q1195" s="1" t="s">
        <v>8956</v>
      </c>
      <c r="R1195" s="1" t="s">
        <v>8975</v>
      </c>
      <c r="S1195" s="1" t="s">
        <v>19395</v>
      </c>
      <c r="T1195" s="1" t="s">
        <v>7</v>
      </c>
      <c r="U1195" s="1" t="s">
        <v>24</v>
      </c>
    </row>
    <row r="1196" spans="1:21" x14ac:dyDescent="0.2">
      <c r="A1196" s="88" t="s">
        <v>16824</v>
      </c>
      <c r="B1196" s="88" t="e">
        <f>VLOOKUP(C1196,#REF!,1,0)</f>
        <v>#REF!</v>
      </c>
      <c r="C1196" s="1" t="s">
        <v>4139</v>
      </c>
      <c r="D1196" s="1" t="s">
        <v>4140</v>
      </c>
      <c r="E1196" s="1" t="s">
        <v>9213</v>
      </c>
      <c r="F1196" s="1" t="s">
        <v>8959</v>
      </c>
      <c r="G1196" t="s">
        <v>9183</v>
      </c>
      <c r="H1196" s="1" t="s">
        <v>9943</v>
      </c>
      <c r="I1196" s="1" t="s">
        <v>8971</v>
      </c>
      <c r="J1196" s="2" t="s">
        <v>9036</v>
      </c>
      <c r="K1196" s="1" t="s">
        <v>9036</v>
      </c>
      <c r="L1196" s="1" t="s">
        <v>9133</v>
      </c>
      <c r="M1196" s="1">
        <v>804</v>
      </c>
      <c r="N1196" s="1" t="s">
        <v>8953</v>
      </c>
      <c r="O1196" s="1" t="s">
        <v>8954</v>
      </c>
      <c r="P1196" s="1" t="s">
        <v>8955</v>
      </c>
      <c r="Q1196" s="1" t="s">
        <v>8956</v>
      </c>
      <c r="R1196" s="1" t="s">
        <v>8958</v>
      </c>
      <c r="S1196" s="1" t="s">
        <v>4141</v>
      </c>
      <c r="T1196" s="1" t="s">
        <v>11</v>
      </c>
      <c r="U1196" s="1" t="s">
        <v>4142</v>
      </c>
    </row>
    <row r="1197" spans="1:21" x14ac:dyDescent="0.2">
      <c r="A1197" s="88" t="s">
        <v>16825</v>
      </c>
      <c r="B1197" s="88" t="e">
        <f>VLOOKUP(C1197,#REF!,1,0)</f>
        <v>#REF!</v>
      </c>
      <c r="C1197" s="1" t="s">
        <v>4143</v>
      </c>
      <c r="D1197" s="1" t="s">
        <v>4144</v>
      </c>
      <c r="E1197" s="1" t="s">
        <v>9213</v>
      </c>
      <c r="F1197" s="1" t="s">
        <v>8957</v>
      </c>
      <c r="G1197" t="s">
        <v>8959</v>
      </c>
      <c r="H1197" s="1" t="s">
        <v>9943</v>
      </c>
      <c r="I1197" s="1" t="s">
        <v>8998</v>
      </c>
      <c r="J1197" s="2" t="s">
        <v>20850</v>
      </c>
      <c r="K1197" s="1" t="s">
        <v>20762</v>
      </c>
      <c r="L1197" s="1" t="s">
        <v>9133</v>
      </c>
      <c r="M1197" s="1">
        <v>3838</v>
      </c>
      <c r="N1197" s="1" t="s">
        <v>8953</v>
      </c>
      <c r="O1197" s="1" t="s">
        <v>8989</v>
      </c>
      <c r="P1197" s="1" t="s">
        <v>8955</v>
      </c>
      <c r="Q1197" s="1" t="s">
        <v>8956</v>
      </c>
      <c r="R1197" s="1" t="s">
        <v>8975</v>
      </c>
      <c r="S1197" s="1" t="s">
        <v>19397</v>
      </c>
      <c r="T1197" s="1" t="s">
        <v>7</v>
      </c>
      <c r="U1197" s="1" t="s">
        <v>147</v>
      </c>
    </row>
    <row r="1198" spans="1:21" x14ac:dyDescent="0.2">
      <c r="A1198" s="88" t="s">
        <v>16826</v>
      </c>
      <c r="B1198" s="88" t="e">
        <f>VLOOKUP(C1198,#REF!,1,0)</f>
        <v>#REF!</v>
      </c>
      <c r="C1198" s="1" t="s">
        <v>4145</v>
      </c>
      <c r="D1198" s="1" t="s">
        <v>4146</v>
      </c>
      <c r="E1198" s="1" t="s">
        <v>9213</v>
      </c>
      <c r="F1198" s="1" t="s">
        <v>8957</v>
      </c>
      <c r="G1198" t="s">
        <v>9009</v>
      </c>
      <c r="H1198" s="1" t="s">
        <v>9943</v>
      </c>
      <c r="I1198" s="1" t="s">
        <v>8998</v>
      </c>
      <c r="J1198" s="2" t="s">
        <v>21369</v>
      </c>
      <c r="K1198" s="1" t="s">
        <v>21790</v>
      </c>
      <c r="L1198" s="1" t="s">
        <v>8987</v>
      </c>
      <c r="M1198" s="1">
        <v>995</v>
      </c>
      <c r="N1198" s="1" t="s">
        <v>8953</v>
      </c>
      <c r="O1198" s="1" t="s">
        <v>8989</v>
      </c>
      <c r="P1198" s="1" t="s">
        <v>8955</v>
      </c>
      <c r="Q1198" s="1" t="s">
        <v>8956</v>
      </c>
      <c r="R1198" s="1" t="s">
        <v>9103</v>
      </c>
      <c r="S1198" s="1" t="s">
        <v>4147</v>
      </c>
      <c r="T1198" s="1" t="s">
        <v>17</v>
      </c>
      <c r="U1198" s="1" t="s">
        <v>147</v>
      </c>
    </row>
    <row r="1199" spans="1:21" x14ac:dyDescent="0.2">
      <c r="A1199" s="88" t="s">
        <v>20866</v>
      </c>
      <c r="B1199" s="88" t="e">
        <f>VLOOKUP(C1199,#REF!,1,0)</f>
        <v>#REF!</v>
      </c>
      <c r="C1199" s="1" t="s">
        <v>4148</v>
      </c>
      <c r="D1199" s="1" t="s">
        <v>4149</v>
      </c>
      <c r="E1199" s="1" t="s">
        <v>9213</v>
      </c>
      <c r="F1199" s="1" t="s">
        <v>8959</v>
      </c>
      <c r="G1199" t="s">
        <v>9183</v>
      </c>
      <c r="H1199" s="1" t="s">
        <v>9092</v>
      </c>
      <c r="I1199" s="1" t="s">
        <v>9155</v>
      </c>
      <c r="J1199" s="2" t="s">
        <v>20785</v>
      </c>
      <c r="K1199" s="1" t="s">
        <v>18491</v>
      </c>
      <c r="L1199" s="1" t="s">
        <v>9076</v>
      </c>
      <c r="M1199" s="1">
        <v>280</v>
      </c>
      <c r="N1199" s="1" t="s">
        <v>8953</v>
      </c>
      <c r="O1199" s="1" t="s">
        <v>8989</v>
      </c>
      <c r="P1199" s="1" t="s">
        <v>8955</v>
      </c>
      <c r="Q1199" s="1" t="s">
        <v>8956</v>
      </c>
      <c r="R1199" s="1" t="s">
        <v>8975</v>
      </c>
      <c r="S1199" s="1" t="s">
        <v>19398</v>
      </c>
      <c r="T1199" s="1" t="s">
        <v>7</v>
      </c>
      <c r="U1199" s="1" t="s">
        <v>4150</v>
      </c>
    </row>
    <row r="1200" spans="1:21" x14ac:dyDescent="0.2">
      <c r="A1200" s="88" t="s">
        <v>16827</v>
      </c>
      <c r="B1200" s="88" t="e">
        <f>VLOOKUP(C1200,#REF!,1,0)</f>
        <v>#REF!</v>
      </c>
      <c r="C1200" s="1" t="s">
        <v>4151</v>
      </c>
      <c r="D1200" s="1" t="s">
        <v>4152</v>
      </c>
      <c r="E1200" s="1" t="s">
        <v>9213</v>
      </c>
      <c r="F1200" s="1" t="s">
        <v>8957</v>
      </c>
      <c r="G1200" t="s">
        <v>9061</v>
      </c>
      <c r="H1200" s="1" t="s">
        <v>8948</v>
      </c>
      <c r="I1200" s="1" t="s">
        <v>9308</v>
      </c>
      <c r="J1200" s="2" t="s">
        <v>20829</v>
      </c>
      <c r="K1200" s="1" t="s">
        <v>9787</v>
      </c>
      <c r="L1200" s="1" t="s">
        <v>21600</v>
      </c>
      <c r="M1200" s="1">
        <v>846</v>
      </c>
      <c r="N1200" s="1" t="s">
        <v>8953</v>
      </c>
      <c r="O1200" s="1" t="s">
        <v>8989</v>
      </c>
      <c r="P1200" s="1" t="s">
        <v>8955</v>
      </c>
      <c r="Q1200" s="1" t="s">
        <v>8956</v>
      </c>
      <c r="R1200" s="1" t="s">
        <v>8958</v>
      </c>
      <c r="S1200" s="1" t="s">
        <v>19399</v>
      </c>
      <c r="T1200" s="1" t="s">
        <v>7</v>
      </c>
      <c r="U1200" s="1" t="s">
        <v>413</v>
      </c>
    </row>
    <row r="1201" spans="1:21" x14ac:dyDescent="0.2">
      <c r="A1201" s="88" t="s">
        <v>16828</v>
      </c>
      <c r="B1201" s="88" t="e">
        <f>VLOOKUP(C1201,#REF!,1,0)</f>
        <v>#REF!</v>
      </c>
      <c r="C1201" s="1" t="s">
        <v>4153</v>
      </c>
      <c r="D1201" s="1" t="s">
        <v>4154</v>
      </c>
      <c r="E1201" s="1" t="s">
        <v>9213</v>
      </c>
      <c r="F1201" s="1" t="s">
        <v>8957</v>
      </c>
      <c r="G1201" t="s">
        <v>9183</v>
      </c>
      <c r="H1201" s="1" t="s">
        <v>8948</v>
      </c>
      <c r="I1201" s="1" t="s">
        <v>9308</v>
      </c>
      <c r="J1201" s="2" t="s">
        <v>21230</v>
      </c>
      <c r="K1201" s="1" t="s">
        <v>21696</v>
      </c>
      <c r="L1201" s="1" t="s">
        <v>20867</v>
      </c>
      <c r="M1201" s="1">
        <v>10770</v>
      </c>
      <c r="N1201" s="1" t="s">
        <v>20806</v>
      </c>
      <c r="O1201" s="1" t="s">
        <v>8989</v>
      </c>
      <c r="P1201" s="1" t="s">
        <v>8955</v>
      </c>
      <c r="Q1201" s="1" t="s">
        <v>8956</v>
      </c>
      <c r="R1201" s="1" t="s">
        <v>9103</v>
      </c>
      <c r="S1201" s="1" t="s">
        <v>19400</v>
      </c>
      <c r="T1201" s="1" t="s">
        <v>7</v>
      </c>
      <c r="U1201" s="1" t="s">
        <v>267</v>
      </c>
    </row>
    <row r="1202" spans="1:21" x14ac:dyDescent="0.2">
      <c r="A1202" s="88" t="s">
        <v>16829</v>
      </c>
      <c r="B1202" s="88" t="e">
        <f>VLOOKUP(C1202,#REF!,1,0)</f>
        <v>#REF!</v>
      </c>
      <c r="C1202" s="1" t="s">
        <v>4155</v>
      </c>
      <c r="D1202" s="1" t="s">
        <v>4156</v>
      </c>
      <c r="E1202" s="1" t="s">
        <v>9213</v>
      </c>
      <c r="F1202" s="1" t="s">
        <v>8974</v>
      </c>
      <c r="G1202" t="s">
        <v>9061</v>
      </c>
      <c r="H1202" s="1" t="s">
        <v>8984</v>
      </c>
      <c r="I1202" s="1" t="s">
        <v>8971</v>
      </c>
      <c r="J1202" s="2" t="s">
        <v>10525</v>
      </c>
      <c r="K1202" s="1" t="s">
        <v>21650</v>
      </c>
      <c r="L1202" s="1" t="s">
        <v>8987</v>
      </c>
      <c r="M1202" s="1">
        <v>15140</v>
      </c>
      <c r="N1202" s="1" t="s">
        <v>20806</v>
      </c>
      <c r="O1202" s="1" t="s">
        <v>8954</v>
      </c>
      <c r="P1202" s="1" t="s">
        <v>8955</v>
      </c>
      <c r="Q1202" s="1" t="s">
        <v>8956</v>
      </c>
      <c r="R1202" s="1" t="s">
        <v>8975</v>
      </c>
      <c r="S1202" s="1" t="s">
        <v>19401</v>
      </c>
      <c r="T1202" s="1" t="s">
        <v>7</v>
      </c>
      <c r="U1202" s="1" t="s">
        <v>147</v>
      </c>
    </row>
    <row r="1203" spans="1:21" x14ac:dyDescent="0.2">
      <c r="A1203" s="88" t="s">
        <v>16830</v>
      </c>
      <c r="B1203" s="88" t="e">
        <f>VLOOKUP(C1203,#REF!,1,0)</f>
        <v>#REF!</v>
      </c>
      <c r="C1203" s="1" t="s">
        <v>4157</v>
      </c>
      <c r="D1203" s="1" t="s">
        <v>4158</v>
      </c>
      <c r="E1203" s="1" t="s">
        <v>9213</v>
      </c>
      <c r="F1203" s="1" t="s">
        <v>8974</v>
      </c>
      <c r="G1203" t="s">
        <v>9183</v>
      </c>
      <c r="H1203" s="1" t="s">
        <v>8948</v>
      </c>
      <c r="I1203" s="1" t="s">
        <v>8998</v>
      </c>
      <c r="J1203" s="2" t="s">
        <v>21230</v>
      </c>
      <c r="K1203" s="1" t="s">
        <v>21696</v>
      </c>
      <c r="L1203" s="1" t="s">
        <v>9133</v>
      </c>
      <c r="M1203" s="1">
        <v>127600</v>
      </c>
      <c r="N1203" s="1" t="s">
        <v>8953</v>
      </c>
      <c r="O1203" s="1" t="s">
        <v>8989</v>
      </c>
      <c r="P1203" s="1" t="s">
        <v>8955</v>
      </c>
      <c r="Q1203" s="1" t="s">
        <v>8956</v>
      </c>
      <c r="R1203" s="1" t="s">
        <v>9103</v>
      </c>
      <c r="S1203" s="1" t="s">
        <v>19402</v>
      </c>
      <c r="T1203" s="1" t="s">
        <v>7</v>
      </c>
      <c r="U1203" s="1" t="s">
        <v>3889</v>
      </c>
    </row>
    <row r="1204" spans="1:21" x14ac:dyDescent="0.2">
      <c r="A1204" s="88" t="s">
        <v>16831</v>
      </c>
      <c r="B1204" s="88" t="e">
        <f>VLOOKUP(C1204,#REF!,1,0)</f>
        <v>#REF!</v>
      </c>
      <c r="C1204" s="1" t="s">
        <v>4159</v>
      </c>
      <c r="D1204" s="1" t="s">
        <v>4160</v>
      </c>
      <c r="E1204" s="1" t="s">
        <v>9213</v>
      </c>
      <c r="F1204" s="1" t="s">
        <v>9060</v>
      </c>
      <c r="G1204" t="s">
        <v>8959</v>
      </c>
      <c r="H1204" s="1" t="s">
        <v>9092</v>
      </c>
      <c r="I1204" s="1" t="s">
        <v>9308</v>
      </c>
      <c r="J1204" s="2" t="s">
        <v>21244</v>
      </c>
      <c r="K1204" s="1" t="s">
        <v>21244</v>
      </c>
      <c r="L1204" s="1" t="s">
        <v>9133</v>
      </c>
      <c r="M1204" s="1">
        <v>2800</v>
      </c>
      <c r="N1204" s="1" t="s">
        <v>8953</v>
      </c>
      <c r="O1204" s="1" t="s">
        <v>8954</v>
      </c>
      <c r="P1204" s="1" t="s">
        <v>8955</v>
      </c>
      <c r="Q1204" s="1" t="s">
        <v>8956</v>
      </c>
      <c r="R1204" s="1" t="s">
        <v>9103</v>
      </c>
      <c r="S1204" s="1" t="s">
        <v>19403</v>
      </c>
      <c r="T1204" s="1" t="s">
        <v>7</v>
      </c>
      <c r="U1204" s="1" t="s">
        <v>4161</v>
      </c>
    </row>
    <row r="1205" spans="1:21" x14ac:dyDescent="0.2">
      <c r="A1205" s="88" t="s">
        <v>16832</v>
      </c>
      <c r="B1205" s="88" t="e">
        <f>VLOOKUP(C1205,#REF!,1,0)</f>
        <v>#REF!</v>
      </c>
      <c r="C1205" s="1" t="s">
        <v>4162</v>
      </c>
      <c r="D1205" s="1" t="s">
        <v>4163</v>
      </c>
      <c r="E1205" s="1" t="s">
        <v>9213</v>
      </c>
      <c r="F1205" s="1" t="s">
        <v>8957</v>
      </c>
      <c r="G1205" t="s">
        <v>9061</v>
      </c>
      <c r="H1205" s="1" t="s">
        <v>9035</v>
      </c>
      <c r="I1205" s="1" t="s">
        <v>9308</v>
      </c>
      <c r="J1205" s="2" t="s">
        <v>20838</v>
      </c>
      <c r="K1205" s="1" t="s">
        <v>20755</v>
      </c>
      <c r="L1205" s="1" t="s">
        <v>8951</v>
      </c>
      <c r="M1205" s="1">
        <v>10285</v>
      </c>
      <c r="N1205" s="1" t="s">
        <v>8953</v>
      </c>
      <c r="O1205" s="1" t="s">
        <v>8989</v>
      </c>
      <c r="P1205" s="1" t="s">
        <v>8955</v>
      </c>
      <c r="Q1205" s="1" t="s">
        <v>8956</v>
      </c>
      <c r="R1205" s="1" t="s">
        <v>8958</v>
      </c>
      <c r="S1205" s="1" t="s">
        <v>19404</v>
      </c>
      <c r="T1205" s="1" t="s">
        <v>7</v>
      </c>
      <c r="U1205" s="1" t="s">
        <v>180</v>
      </c>
    </row>
    <row r="1206" spans="1:21" x14ac:dyDescent="0.2">
      <c r="A1206" s="88" t="s">
        <v>16833</v>
      </c>
      <c r="B1206" s="88" t="e">
        <f>VLOOKUP(C1206,#REF!,1,0)</f>
        <v>#REF!</v>
      </c>
      <c r="C1206" s="1" t="s">
        <v>4164</v>
      </c>
      <c r="D1206" s="1" t="s">
        <v>4165</v>
      </c>
      <c r="E1206" s="1" t="s">
        <v>10850</v>
      </c>
      <c r="F1206" s="1" t="s">
        <v>8957</v>
      </c>
      <c r="G1206" t="s">
        <v>8959</v>
      </c>
      <c r="H1206" s="1" t="s">
        <v>9075</v>
      </c>
      <c r="I1206" s="1" t="s">
        <v>8971</v>
      </c>
      <c r="J1206" s="2" t="s">
        <v>18497</v>
      </c>
      <c r="K1206" s="1" t="s">
        <v>18497</v>
      </c>
      <c r="L1206" s="1" t="s">
        <v>21600</v>
      </c>
      <c r="M1206" s="1">
        <v>996</v>
      </c>
      <c r="N1206" s="1" t="s">
        <v>8953</v>
      </c>
      <c r="O1206" s="1" t="s">
        <v>8989</v>
      </c>
      <c r="P1206" s="1" t="s">
        <v>8955</v>
      </c>
      <c r="Q1206" s="1" t="s">
        <v>8956</v>
      </c>
      <c r="R1206" s="1" t="s">
        <v>8958</v>
      </c>
      <c r="S1206" s="1" t="s">
        <v>19405</v>
      </c>
      <c r="T1206" s="1" t="s">
        <v>7</v>
      </c>
      <c r="U1206" s="1" t="s">
        <v>64</v>
      </c>
    </row>
    <row r="1207" spans="1:21" x14ac:dyDescent="0.2">
      <c r="A1207" s="88" t="s">
        <v>16834</v>
      </c>
      <c r="B1207" s="88" t="e">
        <f>VLOOKUP(C1207,#REF!,1,0)</f>
        <v>#REF!</v>
      </c>
      <c r="C1207" s="1" t="s">
        <v>4166</v>
      </c>
      <c r="D1207" s="1" t="s">
        <v>4167</v>
      </c>
      <c r="E1207" s="1" t="s">
        <v>9213</v>
      </c>
      <c r="F1207" s="1" t="s">
        <v>8957</v>
      </c>
      <c r="G1207" t="s">
        <v>8959</v>
      </c>
      <c r="H1207" s="1" t="s">
        <v>9035</v>
      </c>
      <c r="I1207" s="1" t="s">
        <v>9308</v>
      </c>
      <c r="J1207" s="2" t="s">
        <v>10525</v>
      </c>
      <c r="K1207" s="1" t="s">
        <v>21650</v>
      </c>
      <c r="L1207" s="1" t="s">
        <v>8987</v>
      </c>
      <c r="M1207" s="1">
        <v>1821</v>
      </c>
      <c r="N1207" s="1" t="s">
        <v>8953</v>
      </c>
      <c r="O1207" s="1" t="s">
        <v>8954</v>
      </c>
      <c r="P1207" s="1" t="s">
        <v>8955</v>
      </c>
      <c r="Q1207" s="1" t="s">
        <v>8956</v>
      </c>
      <c r="R1207" s="1" t="s">
        <v>8958</v>
      </c>
      <c r="S1207" s="1" t="s">
        <v>19406</v>
      </c>
      <c r="T1207" s="1" t="s">
        <v>7</v>
      </c>
      <c r="U1207" s="1" t="s">
        <v>4168</v>
      </c>
    </row>
    <row r="1208" spans="1:21" x14ac:dyDescent="0.2">
      <c r="A1208" s="88" t="s">
        <v>16835</v>
      </c>
      <c r="B1208" s="88" t="e">
        <f>VLOOKUP(C1208,#REF!,1,0)</f>
        <v>#REF!</v>
      </c>
      <c r="C1208" s="1" t="s">
        <v>4169</v>
      </c>
      <c r="D1208" s="1" t="s">
        <v>4170</v>
      </c>
      <c r="E1208" s="1" t="s">
        <v>9213</v>
      </c>
      <c r="F1208" s="1" t="s">
        <v>8957</v>
      </c>
      <c r="G1208" t="s">
        <v>8959</v>
      </c>
      <c r="H1208" s="1" t="s">
        <v>9092</v>
      </c>
      <c r="I1208" s="1" t="s">
        <v>9308</v>
      </c>
      <c r="J1208" s="2" t="s">
        <v>21253</v>
      </c>
      <c r="K1208" s="1" t="s">
        <v>21253</v>
      </c>
      <c r="L1208" s="1" t="s">
        <v>9292</v>
      </c>
      <c r="M1208" s="1">
        <v>336</v>
      </c>
      <c r="N1208" s="1" t="s">
        <v>8953</v>
      </c>
      <c r="O1208" s="1" t="s">
        <v>8989</v>
      </c>
      <c r="P1208" s="1" t="s">
        <v>8955</v>
      </c>
      <c r="Q1208" s="1" t="s">
        <v>8956</v>
      </c>
      <c r="R1208" s="1" t="s">
        <v>8958</v>
      </c>
      <c r="S1208" s="1" t="s">
        <v>19407</v>
      </c>
      <c r="T1208" s="1" t="s">
        <v>7</v>
      </c>
      <c r="U1208" s="1" t="s">
        <v>1238</v>
      </c>
    </row>
    <row r="1209" spans="1:21" x14ac:dyDescent="0.2">
      <c r="A1209" s="88" t="s">
        <v>16836</v>
      </c>
      <c r="B1209" s="88" t="e">
        <f>VLOOKUP(C1209,#REF!,1,0)</f>
        <v>#REF!</v>
      </c>
      <c r="C1209" s="1" t="s">
        <v>4171</v>
      </c>
      <c r="D1209" s="1" t="s">
        <v>4172</v>
      </c>
      <c r="E1209" s="1" t="s">
        <v>9213</v>
      </c>
      <c r="F1209" s="1" t="s">
        <v>8957</v>
      </c>
      <c r="G1209" t="s">
        <v>8959</v>
      </c>
      <c r="H1209" s="1" t="s">
        <v>8984</v>
      </c>
      <c r="I1209" s="1" t="s">
        <v>8998</v>
      </c>
      <c r="J1209" s="2" t="s">
        <v>10525</v>
      </c>
      <c r="K1209" s="1" t="s">
        <v>21650</v>
      </c>
      <c r="L1209" s="1" t="s">
        <v>9133</v>
      </c>
      <c r="M1209" s="1">
        <v>2019</v>
      </c>
      <c r="N1209" s="1" t="s">
        <v>9059</v>
      </c>
      <c r="O1209" s="1" t="s">
        <v>8989</v>
      </c>
      <c r="P1209" s="1" t="s">
        <v>8955</v>
      </c>
      <c r="Q1209" s="1" t="s">
        <v>8956</v>
      </c>
      <c r="R1209" s="1" t="s">
        <v>8958</v>
      </c>
      <c r="S1209" s="1" t="s">
        <v>19408</v>
      </c>
      <c r="T1209" s="1" t="s">
        <v>7</v>
      </c>
      <c r="U1209" s="1" t="s">
        <v>15</v>
      </c>
    </row>
    <row r="1210" spans="1:21" x14ac:dyDescent="0.2">
      <c r="A1210" s="88" t="s">
        <v>16837</v>
      </c>
      <c r="B1210" s="88" t="e">
        <f>VLOOKUP(C1210,#REF!,1,0)</f>
        <v>#REF!</v>
      </c>
      <c r="C1210" s="1" t="s">
        <v>4173</v>
      </c>
      <c r="D1210" s="1" t="s">
        <v>4174</v>
      </c>
      <c r="E1210" s="1" t="s">
        <v>9333</v>
      </c>
      <c r="F1210" s="1" t="s">
        <v>8957</v>
      </c>
      <c r="G1210" t="s">
        <v>8959</v>
      </c>
      <c r="H1210" s="1" t="s">
        <v>9605</v>
      </c>
      <c r="I1210" s="1" t="s">
        <v>9101</v>
      </c>
      <c r="J1210" s="2" t="s">
        <v>20776</v>
      </c>
      <c r="K1210" s="1" t="s">
        <v>21697</v>
      </c>
      <c r="L1210" s="1" t="s">
        <v>9464</v>
      </c>
      <c r="M1210" s="1">
        <v>2500</v>
      </c>
      <c r="N1210" s="1" t="s">
        <v>8953</v>
      </c>
      <c r="O1210" s="1" t="s">
        <v>8989</v>
      </c>
      <c r="P1210" s="1" t="s">
        <v>8955</v>
      </c>
      <c r="Q1210" s="1" t="s">
        <v>8956</v>
      </c>
      <c r="R1210" s="1" t="s">
        <v>8958</v>
      </c>
      <c r="S1210" s="1" t="s">
        <v>19409</v>
      </c>
      <c r="T1210" s="1" t="s">
        <v>7</v>
      </c>
      <c r="U1210" s="1" t="s">
        <v>342</v>
      </c>
    </row>
    <row r="1211" spans="1:21" x14ac:dyDescent="0.2">
      <c r="A1211" s="88" t="s">
        <v>16838</v>
      </c>
      <c r="B1211" s="88" t="e">
        <f>VLOOKUP(C1211,#REF!,1,0)</f>
        <v>#REF!</v>
      </c>
      <c r="C1211" s="1" t="s">
        <v>4175</v>
      </c>
      <c r="D1211" s="1" t="s">
        <v>4176</v>
      </c>
      <c r="E1211" s="1" t="s">
        <v>9213</v>
      </c>
      <c r="F1211" s="1" t="s">
        <v>8974</v>
      </c>
      <c r="G1211" t="s">
        <v>8959</v>
      </c>
      <c r="H1211" s="1" t="s">
        <v>9092</v>
      </c>
      <c r="I1211" s="1" t="s">
        <v>8998</v>
      </c>
      <c r="J1211" s="2" t="s">
        <v>9018</v>
      </c>
      <c r="K1211" s="1" t="s">
        <v>9018</v>
      </c>
      <c r="L1211" s="1" t="s">
        <v>9292</v>
      </c>
      <c r="M1211" s="1">
        <v>2700</v>
      </c>
      <c r="N1211" s="1" t="s">
        <v>8953</v>
      </c>
      <c r="O1211" s="1" t="s">
        <v>8989</v>
      </c>
      <c r="P1211" s="1" t="s">
        <v>8955</v>
      </c>
      <c r="Q1211" s="1" t="s">
        <v>8956</v>
      </c>
      <c r="R1211" s="1" t="s">
        <v>8958</v>
      </c>
      <c r="S1211" s="1" t="s">
        <v>4177</v>
      </c>
      <c r="T1211" s="1" t="s">
        <v>17</v>
      </c>
      <c r="U1211" s="1" t="s">
        <v>378</v>
      </c>
    </row>
    <row r="1212" spans="1:21" x14ac:dyDescent="0.2">
      <c r="A1212" s="88" t="s">
        <v>4181</v>
      </c>
      <c r="B1212" s="88" t="e">
        <f>VLOOKUP(C1212,#REF!,1,0)</f>
        <v>#REF!</v>
      </c>
      <c r="C1212" s="1" t="s">
        <v>4182</v>
      </c>
      <c r="D1212" s="1" t="s">
        <v>4183</v>
      </c>
      <c r="E1212" s="1" t="s">
        <v>9213</v>
      </c>
      <c r="F1212" s="1" t="s">
        <v>8957</v>
      </c>
      <c r="G1212" t="s">
        <v>9061</v>
      </c>
      <c r="H1212" s="1" t="s">
        <v>9092</v>
      </c>
      <c r="I1212" s="1" t="s">
        <v>8949</v>
      </c>
      <c r="J1212" s="2" t="s">
        <v>20779</v>
      </c>
      <c r="K1212" s="1" t="s">
        <v>9036</v>
      </c>
      <c r="L1212" s="1" t="s">
        <v>9076</v>
      </c>
      <c r="M1212" s="1">
        <v>6276</v>
      </c>
      <c r="N1212" s="1" t="s">
        <v>8953</v>
      </c>
      <c r="O1212" s="1" t="s">
        <v>8989</v>
      </c>
      <c r="P1212" s="1" t="s">
        <v>8955</v>
      </c>
      <c r="Q1212" s="1" t="s">
        <v>8956</v>
      </c>
      <c r="R1212" s="1" t="s">
        <v>9103</v>
      </c>
      <c r="S1212" s="1" t="s">
        <v>4184</v>
      </c>
      <c r="T1212" s="1" t="s">
        <v>11</v>
      </c>
      <c r="U1212" s="1" t="s">
        <v>87</v>
      </c>
    </row>
    <row r="1213" spans="1:21" x14ac:dyDescent="0.2">
      <c r="A1213" s="88" t="s">
        <v>16839</v>
      </c>
      <c r="B1213" s="88" t="e">
        <f>VLOOKUP(C1213,#REF!,1,0)</f>
        <v>#REF!</v>
      </c>
      <c r="C1213" s="1" t="s">
        <v>4185</v>
      </c>
      <c r="D1213" s="1" t="s">
        <v>4186</v>
      </c>
      <c r="E1213" s="1" t="s">
        <v>9310</v>
      </c>
      <c r="F1213" s="1" t="s">
        <v>8959</v>
      </c>
      <c r="G1213" t="s">
        <v>8959</v>
      </c>
      <c r="H1213" s="1" t="s">
        <v>9252</v>
      </c>
      <c r="I1213" s="1" t="s">
        <v>8971</v>
      </c>
      <c r="J1213" s="2" t="s">
        <v>20829</v>
      </c>
      <c r="K1213" s="1" t="s">
        <v>9787</v>
      </c>
      <c r="L1213" s="1" t="s">
        <v>9133</v>
      </c>
      <c r="M1213" s="1">
        <v>153</v>
      </c>
      <c r="N1213" s="1" t="s">
        <v>9059</v>
      </c>
      <c r="O1213" s="1" t="s">
        <v>8989</v>
      </c>
      <c r="P1213" s="1" t="s">
        <v>8955</v>
      </c>
      <c r="Q1213" s="1" t="s">
        <v>8956</v>
      </c>
      <c r="R1213" s="1" t="s">
        <v>9103</v>
      </c>
      <c r="S1213" s="1" t="s">
        <v>19411</v>
      </c>
      <c r="T1213" s="1" t="s">
        <v>7</v>
      </c>
      <c r="U1213" s="1" t="s">
        <v>74</v>
      </c>
    </row>
    <row r="1214" spans="1:21" x14ac:dyDescent="0.2">
      <c r="A1214" s="88" t="s">
        <v>16840</v>
      </c>
      <c r="B1214" s="88" t="e">
        <f>VLOOKUP(C1214,#REF!,1,0)</f>
        <v>#REF!</v>
      </c>
      <c r="C1214" s="1" t="s">
        <v>4187</v>
      </c>
      <c r="D1214" s="1" t="s">
        <v>4188</v>
      </c>
      <c r="E1214" s="1" t="s">
        <v>9010</v>
      </c>
      <c r="F1214" s="1" t="s">
        <v>8959</v>
      </c>
      <c r="G1214" t="s">
        <v>9183</v>
      </c>
      <c r="H1214" s="1" t="s">
        <v>9252</v>
      </c>
      <c r="I1214" s="1" t="s">
        <v>9253</v>
      </c>
      <c r="J1214" s="2" t="s">
        <v>10258</v>
      </c>
      <c r="K1214" s="1" t="s">
        <v>10258</v>
      </c>
      <c r="L1214" s="1" t="s">
        <v>9133</v>
      </c>
      <c r="M1214" s="1">
        <v>8677</v>
      </c>
      <c r="N1214" s="1" t="s">
        <v>8953</v>
      </c>
      <c r="O1214" s="1" t="s">
        <v>8989</v>
      </c>
      <c r="P1214" s="1" t="s">
        <v>8955</v>
      </c>
      <c r="Q1214" s="1" t="s">
        <v>8956</v>
      </c>
      <c r="R1214" s="1" t="s">
        <v>8958</v>
      </c>
      <c r="S1214" s="1" t="s">
        <v>4189</v>
      </c>
      <c r="T1214" s="1" t="s">
        <v>17</v>
      </c>
      <c r="U1214" s="1" t="s">
        <v>180</v>
      </c>
    </row>
    <row r="1215" spans="1:21" x14ac:dyDescent="0.2">
      <c r="A1215" s="88" t="s">
        <v>16841</v>
      </c>
      <c r="B1215" s="88" t="e">
        <f>VLOOKUP(C1215,#REF!,1,0)</f>
        <v>#REF!</v>
      </c>
      <c r="C1215" s="1" t="s">
        <v>4190</v>
      </c>
      <c r="D1215" s="1" t="s">
        <v>4191</v>
      </c>
      <c r="E1215" s="1" t="s">
        <v>18502</v>
      </c>
      <c r="F1215" s="1" t="s">
        <v>9060</v>
      </c>
      <c r="G1215" t="s">
        <v>9061</v>
      </c>
      <c r="H1215" s="1" t="s">
        <v>9075</v>
      </c>
      <c r="I1215" s="1" t="s">
        <v>9155</v>
      </c>
      <c r="J1215" s="2" t="s">
        <v>10629</v>
      </c>
      <c r="K1215" s="1" t="s">
        <v>10629</v>
      </c>
      <c r="L1215" s="1" t="s">
        <v>21600</v>
      </c>
      <c r="M1215" s="1">
        <v>49</v>
      </c>
      <c r="N1215" s="1" t="s">
        <v>9059</v>
      </c>
      <c r="O1215" s="1" t="s">
        <v>8989</v>
      </c>
      <c r="P1215" s="1" t="s">
        <v>8955</v>
      </c>
      <c r="Q1215" s="1" t="s">
        <v>8956</v>
      </c>
      <c r="R1215" s="1" t="s">
        <v>8975</v>
      </c>
      <c r="S1215" s="1" t="s">
        <v>19412</v>
      </c>
      <c r="T1215" s="1" t="s">
        <v>7</v>
      </c>
      <c r="U1215" s="1" t="s">
        <v>93</v>
      </c>
    </row>
    <row r="1216" spans="1:21" x14ac:dyDescent="0.2">
      <c r="A1216" s="88" t="s">
        <v>16842</v>
      </c>
      <c r="B1216" s="88" t="e">
        <f>VLOOKUP(C1216,#REF!,1,0)</f>
        <v>#REF!</v>
      </c>
      <c r="C1216" s="1" t="s">
        <v>4192</v>
      </c>
      <c r="D1216" s="1" t="s">
        <v>4193</v>
      </c>
      <c r="E1216" s="1" t="s">
        <v>18502</v>
      </c>
      <c r="F1216" s="1" t="s">
        <v>9060</v>
      </c>
      <c r="G1216" t="s">
        <v>9061</v>
      </c>
      <c r="H1216" s="1" t="s">
        <v>20712</v>
      </c>
      <c r="I1216" s="1" t="s">
        <v>9725</v>
      </c>
      <c r="J1216" s="2" t="s">
        <v>10629</v>
      </c>
      <c r="K1216" s="1" t="s">
        <v>10629</v>
      </c>
      <c r="L1216" s="1" t="s">
        <v>9076</v>
      </c>
      <c r="M1216" s="1">
        <v>35</v>
      </c>
      <c r="N1216" s="1" t="s">
        <v>9059</v>
      </c>
      <c r="O1216" s="1" t="s">
        <v>8989</v>
      </c>
      <c r="P1216" s="1" t="s">
        <v>8955</v>
      </c>
      <c r="Q1216" s="1" t="s">
        <v>8956</v>
      </c>
      <c r="R1216" s="1" t="s">
        <v>8975</v>
      </c>
      <c r="S1216" s="1" t="s">
        <v>19413</v>
      </c>
      <c r="T1216" s="1" t="s">
        <v>17</v>
      </c>
      <c r="U1216" s="1" t="s">
        <v>378</v>
      </c>
    </row>
    <row r="1217" spans="1:21" x14ac:dyDescent="0.2">
      <c r="A1217" s="88" t="s">
        <v>16843</v>
      </c>
      <c r="B1217" s="88" t="e">
        <f>VLOOKUP(C1217,#REF!,1,0)</f>
        <v>#REF!</v>
      </c>
      <c r="C1217" s="1" t="s">
        <v>4194</v>
      </c>
      <c r="D1217" s="1" t="s">
        <v>4195</v>
      </c>
      <c r="E1217" s="1" t="s">
        <v>18502</v>
      </c>
      <c r="F1217" s="1" t="s">
        <v>9060</v>
      </c>
      <c r="G1217" t="s">
        <v>9061</v>
      </c>
      <c r="H1217" s="1" t="s">
        <v>8984</v>
      </c>
      <c r="I1217" s="1" t="s">
        <v>8998</v>
      </c>
      <c r="J1217" s="2" t="s">
        <v>10629</v>
      </c>
      <c r="K1217" s="1" t="s">
        <v>10629</v>
      </c>
      <c r="L1217" s="1" t="s">
        <v>9464</v>
      </c>
      <c r="M1217" s="1">
        <v>25</v>
      </c>
      <c r="N1217" s="1" t="s">
        <v>9059</v>
      </c>
      <c r="O1217" s="1" t="s">
        <v>8989</v>
      </c>
      <c r="P1217" s="1" t="s">
        <v>8955</v>
      </c>
      <c r="Q1217" s="1" t="s">
        <v>8956</v>
      </c>
      <c r="R1217" s="1" t="s">
        <v>8975</v>
      </c>
      <c r="S1217" s="1" t="s">
        <v>19414</v>
      </c>
      <c r="T1217" s="1" t="s">
        <v>7</v>
      </c>
      <c r="U1217" s="1" t="s">
        <v>378</v>
      </c>
    </row>
    <row r="1218" spans="1:21" x14ac:dyDescent="0.2">
      <c r="A1218" s="88" t="s">
        <v>16844</v>
      </c>
      <c r="B1218" s="88" t="e">
        <f>VLOOKUP(C1218,#REF!,1,0)</f>
        <v>#REF!</v>
      </c>
      <c r="C1218" s="1" t="s">
        <v>4196</v>
      </c>
      <c r="D1218" s="1" t="s">
        <v>4197</v>
      </c>
      <c r="E1218" s="1" t="s">
        <v>18502</v>
      </c>
      <c r="F1218" s="1" t="s">
        <v>9060</v>
      </c>
      <c r="G1218" t="s">
        <v>9061</v>
      </c>
      <c r="H1218" s="1" t="s">
        <v>20712</v>
      </c>
      <c r="I1218" s="1" t="s">
        <v>9155</v>
      </c>
      <c r="J1218" s="2" t="s">
        <v>20785</v>
      </c>
      <c r="K1218" s="1" t="s">
        <v>18491</v>
      </c>
      <c r="L1218" s="1" t="s">
        <v>9076</v>
      </c>
      <c r="M1218" s="1">
        <v>44</v>
      </c>
      <c r="N1218" s="1" t="s">
        <v>9059</v>
      </c>
      <c r="O1218" s="1" t="s">
        <v>8989</v>
      </c>
      <c r="P1218" s="1" t="s">
        <v>8955</v>
      </c>
      <c r="Q1218" s="1" t="s">
        <v>8956</v>
      </c>
      <c r="R1218" s="1" t="s">
        <v>8975</v>
      </c>
      <c r="S1218" s="1" t="s">
        <v>19415</v>
      </c>
      <c r="T1218" s="1" t="s">
        <v>17</v>
      </c>
      <c r="U1218" s="1" t="s">
        <v>93</v>
      </c>
    </row>
    <row r="1219" spans="1:21" x14ac:dyDescent="0.2">
      <c r="A1219" s="88" t="s">
        <v>16845</v>
      </c>
      <c r="B1219" s="88" t="e">
        <f>VLOOKUP(C1219,#REF!,1,0)</f>
        <v>#REF!</v>
      </c>
      <c r="C1219" s="1" t="s">
        <v>4198</v>
      </c>
      <c r="D1219" s="1" t="s">
        <v>4199</v>
      </c>
      <c r="E1219" s="1" t="s">
        <v>9010</v>
      </c>
      <c r="F1219" s="1" t="s">
        <v>8957</v>
      </c>
      <c r="G1219" t="s">
        <v>9061</v>
      </c>
      <c r="H1219" s="1" t="s">
        <v>9075</v>
      </c>
      <c r="I1219" s="1" t="s">
        <v>8971</v>
      </c>
      <c r="J1219" s="2" t="s">
        <v>21445</v>
      </c>
      <c r="K1219" s="1" t="s">
        <v>21445</v>
      </c>
      <c r="L1219" s="1" t="s">
        <v>21600</v>
      </c>
      <c r="M1219" s="1">
        <v>43</v>
      </c>
      <c r="N1219" s="1" t="s">
        <v>9059</v>
      </c>
      <c r="O1219" s="1" t="s">
        <v>8989</v>
      </c>
      <c r="P1219" s="1" t="s">
        <v>8955</v>
      </c>
      <c r="Q1219" s="1" t="s">
        <v>8956</v>
      </c>
      <c r="R1219" s="1" t="s">
        <v>8975</v>
      </c>
      <c r="S1219" s="1" t="s">
        <v>4200</v>
      </c>
      <c r="T1219" s="1" t="s">
        <v>17</v>
      </c>
      <c r="U1219" s="1" t="s">
        <v>93</v>
      </c>
    </row>
    <row r="1220" spans="1:21" x14ac:dyDescent="0.2">
      <c r="A1220" s="88" t="s">
        <v>16846</v>
      </c>
      <c r="B1220" s="88" t="e">
        <f>VLOOKUP(C1220,#REF!,1,0)</f>
        <v>#REF!</v>
      </c>
      <c r="C1220" s="1" t="s">
        <v>4201</v>
      </c>
      <c r="D1220" s="1" t="s">
        <v>4202</v>
      </c>
      <c r="E1220" s="1" t="s">
        <v>9310</v>
      </c>
      <c r="F1220" s="1" t="s">
        <v>8957</v>
      </c>
      <c r="G1220" t="s">
        <v>8959</v>
      </c>
      <c r="H1220" s="1" t="s">
        <v>9605</v>
      </c>
      <c r="I1220" s="1" t="s">
        <v>9121</v>
      </c>
      <c r="J1220" s="2" t="s">
        <v>9036</v>
      </c>
      <c r="K1220" s="1" t="s">
        <v>9036</v>
      </c>
      <c r="L1220" s="1" t="s">
        <v>9076</v>
      </c>
      <c r="M1220" s="1">
        <v>5000</v>
      </c>
      <c r="N1220" s="1" t="s">
        <v>8953</v>
      </c>
      <c r="O1220" s="1" t="s">
        <v>8989</v>
      </c>
      <c r="P1220" s="1" t="s">
        <v>8955</v>
      </c>
      <c r="Q1220" s="1" t="s">
        <v>8956</v>
      </c>
      <c r="R1220" s="1" t="s">
        <v>8958</v>
      </c>
      <c r="S1220" s="1" t="s">
        <v>4203</v>
      </c>
      <c r="T1220" s="1" t="s">
        <v>17</v>
      </c>
      <c r="U1220" s="1" t="s">
        <v>3492</v>
      </c>
    </row>
    <row r="1221" spans="1:21" x14ac:dyDescent="0.2">
      <c r="A1221" s="88" t="s">
        <v>16847</v>
      </c>
      <c r="B1221" s="88" t="e">
        <f>VLOOKUP(C1221,#REF!,1,0)</f>
        <v>#REF!</v>
      </c>
      <c r="C1221" s="1" t="s">
        <v>4204</v>
      </c>
      <c r="D1221" s="1" t="s">
        <v>4205</v>
      </c>
      <c r="E1221" s="1" t="s">
        <v>9317</v>
      </c>
      <c r="F1221" s="1" t="s">
        <v>9060</v>
      </c>
      <c r="G1221" t="s">
        <v>9009</v>
      </c>
      <c r="H1221" s="1" t="s">
        <v>9049</v>
      </c>
      <c r="I1221" s="1" t="s">
        <v>9050</v>
      </c>
      <c r="J1221" s="2" t="s">
        <v>9041</v>
      </c>
      <c r="K1221" s="1" t="s">
        <v>9041</v>
      </c>
      <c r="L1221" s="1" t="s">
        <v>8951</v>
      </c>
      <c r="M1221" s="1">
        <v>88702</v>
      </c>
      <c r="N1221" s="1" t="s">
        <v>8953</v>
      </c>
      <c r="O1221" s="1" t="s">
        <v>8989</v>
      </c>
      <c r="P1221" s="1" t="s">
        <v>8955</v>
      </c>
      <c r="Q1221" s="1" t="s">
        <v>8956</v>
      </c>
      <c r="R1221" s="1" t="s">
        <v>8958</v>
      </c>
      <c r="S1221" s="1" t="s">
        <v>4206</v>
      </c>
      <c r="T1221" s="1" t="s">
        <v>4</v>
      </c>
      <c r="U1221" s="1" t="s">
        <v>24</v>
      </c>
    </row>
    <row r="1222" spans="1:21" x14ac:dyDescent="0.2">
      <c r="A1222" s="88" t="s">
        <v>16849</v>
      </c>
      <c r="B1222" s="88" t="e">
        <f>VLOOKUP(C1222,#REF!,1,0)</f>
        <v>#REF!</v>
      </c>
      <c r="C1222" s="1" t="s">
        <v>4212</v>
      </c>
      <c r="D1222" s="1" t="s">
        <v>4213</v>
      </c>
      <c r="E1222" s="1" t="s">
        <v>9636</v>
      </c>
      <c r="F1222" s="1" t="s">
        <v>8959</v>
      </c>
      <c r="G1222" t="s">
        <v>8959</v>
      </c>
      <c r="H1222" s="1" t="s">
        <v>9092</v>
      </c>
      <c r="I1222" s="1" t="s">
        <v>8971</v>
      </c>
      <c r="J1222" s="2" t="s">
        <v>21370</v>
      </c>
      <c r="K1222" s="1" t="s">
        <v>21370</v>
      </c>
      <c r="L1222" s="1" t="s">
        <v>8951</v>
      </c>
      <c r="M1222" s="1">
        <v>107</v>
      </c>
      <c r="N1222" s="1" t="s">
        <v>9059</v>
      </c>
      <c r="O1222" s="1" t="s">
        <v>8989</v>
      </c>
      <c r="P1222" s="1" t="s">
        <v>8955</v>
      </c>
      <c r="Q1222" s="1" t="s">
        <v>8956</v>
      </c>
      <c r="R1222" s="1" t="s">
        <v>8958</v>
      </c>
      <c r="S1222" s="1" t="s">
        <v>19417</v>
      </c>
      <c r="T1222" s="1" t="s">
        <v>7</v>
      </c>
      <c r="U1222" s="1" t="s">
        <v>46</v>
      </c>
    </row>
    <row r="1223" spans="1:21" x14ac:dyDescent="0.2">
      <c r="A1223" s="88" t="s">
        <v>16850</v>
      </c>
      <c r="B1223" s="88" t="e">
        <f>VLOOKUP(C1223,#REF!,1,0)</f>
        <v>#REF!</v>
      </c>
      <c r="C1223" s="1" t="s">
        <v>4214</v>
      </c>
      <c r="D1223" s="1" t="s">
        <v>4215</v>
      </c>
      <c r="E1223" s="1" t="s">
        <v>9650</v>
      </c>
      <c r="F1223" s="1" t="s">
        <v>8957</v>
      </c>
      <c r="G1223" t="s">
        <v>9061</v>
      </c>
      <c r="H1223" s="1" t="s">
        <v>8948</v>
      </c>
      <c r="I1223" s="1" t="s">
        <v>8971</v>
      </c>
      <c r="J1223" s="2" t="s">
        <v>9036</v>
      </c>
      <c r="K1223" s="1" t="s">
        <v>9036</v>
      </c>
      <c r="L1223" s="1" t="s">
        <v>9292</v>
      </c>
      <c r="M1223" s="1">
        <v>90000</v>
      </c>
      <c r="N1223" s="1" t="s">
        <v>8953</v>
      </c>
      <c r="O1223" s="1" t="s">
        <v>8989</v>
      </c>
      <c r="P1223" s="1" t="s">
        <v>8955</v>
      </c>
      <c r="Q1223" s="1" t="s">
        <v>8956</v>
      </c>
      <c r="R1223" s="1" t="s">
        <v>8975</v>
      </c>
      <c r="S1223" s="1" t="s">
        <v>4216</v>
      </c>
      <c r="T1223" s="1" t="s">
        <v>4</v>
      </c>
      <c r="U1223" s="1" t="s">
        <v>27</v>
      </c>
    </row>
    <row r="1224" spans="1:21" x14ac:dyDescent="0.2">
      <c r="A1224" s="88" t="s">
        <v>16851</v>
      </c>
      <c r="B1224" s="88" t="e">
        <f>VLOOKUP(C1224,#REF!,1,0)</f>
        <v>#REF!</v>
      </c>
      <c r="C1224" s="1" t="s">
        <v>4220</v>
      </c>
      <c r="D1224" s="1" t="s">
        <v>4221</v>
      </c>
      <c r="E1224" s="1" t="s">
        <v>10850</v>
      </c>
      <c r="F1224" s="1" t="s">
        <v>8957</v>
      </c>
      <c r="G1224" t="s">
        <v>9009</v>
      </c>
      <c r="H1224" s="1" t="s">
        <v>9154</v>
      </c>
      <c r="I1224" s="1" t="s">
        <v>8949</v>
      </c>
      <c r="J1224" s="2" t="s">
        <v>9918</v>
      </c>
      <c r="K1224" s="1" t="s">
        <v>9918</v>
      </c>
      <c r="L1224" s="1" t="s">
        <v>21600</v>
      </c>
      <c r="M1224" s="1">
        <v>4800</v>
      </c>
      <c r="N1224" s="1" t="s">
        <v>8953</v>
      </c>
      <c r="O1224" s="1" t="s">
        <v>8954</v>
      </c>
      <c r="P1224" s="1" t="s">
        <v>8955</v>
      </c>
      <c r="Q1224" s="1" t="s">
        <v>8956</v>
      </c>
      <c r="R1224" s="1" t="s">
        <v>8975</v>
      </c>
      <c r="S1224" s="1" t="s">
        <v>4222</v>
      </c>
      <c r="T1224" s="1" t="s">
        <v>11</v>
      </c>
      <c r="U1224" s="1" t="s">
        <v>46</v>
      </c>
    </row>
    <row r="1225" spans="1:21" x14ac:dyDescent="0.2">
      <c r="A1225" s="88" t="s">
        <v>16852</v>
      </c>
      <c r="B1225" s="88" t="e">
        <f>VLOOKUP(C1225,#REF!,1,0)</f>
        <v>#REF!</v>
      </c>
      <c r="C1225" s="1" t="s">
        <v>4223</v>
      </c>
      <c r="D1225" s="1" t="s">
        <v>4224</v>
      </c>
      <c r="E1225" s="1" t="s">
        <v>9310</v>
      </c>
      <c r="F1225" s="1" t="s">
        <v>8959</v>
      </c>
      <c r="G1225" t="s">
        <v>8959</v>
      </c>
      <c r="H1225" s="1" t="s">
        <v>8984</v>
      </c>
      <c r="I1225" s="1" t="s">
        <v>9131</v>
      </c>
      <c r="J1225" s="2" t="s">
        <v>9436</v>
      </c>
      <c r="K1225" s="1" t="s">
        <v>9436</v>
      </c>
      <c r="L1225" s="1" t="s">
        <v>8951</v>
      </c>
      <c r="M1225" s="1">
        <v>38</v>
      </c>
      <c r="N1225" s="1" t="s">
        <v>11658</v>
      </c>
      <c r="O1225" s="1" t="s">
        <v>8989</v>
      </c>
      <c r="P1225" s="1" t="s">
        <v>8955</v>
      </c>
      <c r="Q1225" s="1" t="s">
        <v>8956</v>
      </c>
      <c r="R1225" s="1" t="s">
        <v>8958</v>
      </c>
      <c r="S1225" s="1" t="s">
        <v>4225</v>
      </c>
      <c r="T1225" s="1" t="s">
        <v>4</v>
      </c>
      <c r="U1225" s="1" t="s">
        <v>27</v>
      </c>
    </row>
    <row r="1226" spans="1:21" x14ac:dyDescent="0.2">
      <c r="A1226" s="88" t="s">
        <v>16853</v>
      </c>
      <c r="B1226" s="88"/>
      <c r="C1226" s="1" t="s">
        <v>4226</v>
      </c>
      <c r="D1226" s="1" t="s">
        <v>4227</v>
      </c>
      <c r="E1226" s="1" t="e">
        <v>#N/A</v>
      </c>
      <c r="F1226" s="1" t="e">
        <v>#N/A</v>
      </c>
      <c r="G1226" t="e">
        <v>#N/A</v>
      </c>
      <c r="H1226" s="1" t="e">
        <v>#N/A</v>
      </c>
      <c r="I1226" s="1" t="e">
        <v>#N/A</v>
      </c>
      <c r="J1226" s="2" t="e">
        <v>#N/A</v>
      </c>
      <c r="K1226" s="1" t="e">
        <v>#N/A</v>
      </c>
      <c r="L1226" s="1" t="e">
        <v>#N/A</v>
      </c>
      <c r="M1226" s="1" t="e">
        <v>#N/A</v>
      </c>
      <c r="N1226" s="1" t="e">
        <v>#N/A</v>
      </c>
      <c r="O1226" s="1" t="e">
        <v>#N/A</v>
      </c>
      <c r="P1226" s="1" t="s">
        <v>8955</v>
      </c>
      <c r="Q1226" s="1" t="s">
        <v>8956</v>
      </c>
      <c r="R1226" s="1" t="s">
        <v>8975</v>
      </c>
      <c r="S1226" s="1" t="s">
        <v>19419</v>
      </c>
      <c r="T1226" s="1" t="s">
        <v>252</v>
      </c>
      <c r="U1226" s="1" t="s">
        <v>180</v>
      </c>
    </row>
    <row r="1227" spans="1:21" x14ac:dyDescent="0.2">
      <c r="A1227" s="88" t="s">
        <v>16854</v>
      </c>
      <c r="B1227" s="88" t="e">
        <f>VLOOKUP(C1227,#REF!,1,0)</f>
        <v>#REF!</v>
      </c>
      <c r="C1227" s="1" t="s">
        <v>4228</v>
      </c>
      <c r="D1227" s="1" t="s">
        <v>4229</v>
      </c>
      <c r="E1227" s="1" t="s">
        <v>9246</v>
      </c>
      <c r="F1227" s="1" t="s">
        <v>8959</v>
      </c>
      <c r="G1227" t="s">
        <v>9061</v>
      </c>
      <c r="H1227" s="1" t="s">
        <v>9092</v>
      </c>
      <c r="I1227" s="1" t="s">
        <v>9155</v>
      </c>
      <c r="J1227" s="2" t="s">
        <v>8972</v>
      </c>
      <c r="K1227" s="1" t="s">
        <v>8972</v>
      </c>
      <c r="L1227" s="1" t="s">
        <v>21600</v>
      </c>
      <c r="M1227" s="1">
        <v>113</v>
      </c>
      <c r="N1227" s="1" t="s">
        <v>8953</v>
      </c>
      <c r="O1227" s="1" t="s">
        <v>8954</v>
      </c>
      <c r="P1227" s="1" t="s">
        <v>8955</v>
      </c>
      <c r="Q1227" s="1" t="s">
        <v>8956</v>
      </c>
      <c r="R1227" s="1" t="s">
        <v>8958</v>
      </c>
      <c r="S1227" s="1" t="s">
        <v>4230</v>
      </c>
      <c r="T1227" s="1" t="s">
        <v>17</v>
      </c>
      <c r="U1227" s="1" t="s">
        <v>126</v>
      </c>
    </row>
    <row r="1228" spans="1:21" x14ac:dyDescent="0.2">
      <c r="A1228" s="88" t="s">
        <v>16855</v>
      </c>
      <c r="B1228" s="88" t="e">
        <f>VLOOKUP(C1228,#REF!,1,0)</f>
        <v>#REF!</v>
      </c>
      <c r="C1228" s="1" t="s">
        <v>4231</v>
      </c>
      <c r="D1228" s="1" t="s">
        <v>4232</v>
      </c>
      <c r="E1228" s="1" t="s">
        <v>18502</v>
      </c>
      <c r="F1228" s="1" t="s">
        <v>9060</v>
      </c>
      <c r="G1228" t="s">
        <v>8959</v>
      </c>
      <c r="H1228" s="1" t="s">
        <v>9092</v>
      </c>
      <c r="I1228" s="1" t="s">
        <v>8949</v>
      </c>
      <c r="J1228" s="2" t="s">
        <v>20779</v>
      </c>
      <c r="K1228" s="1" t="s">
        <v>9036</v>
      </c>
      <c r="L1228" s="1" t="s">
        <v>8987</v>
      </c>
      <c r="M1228" s="1">
        <v>19</v>
      </c>
      <c r="N1228" s="1" t="s">
        <v>9059</v>
      </c>
      <c r="O1228" s="1" t="s">
        <v>8989</v>
      </c>
      <c r="P1228" s="1" t="s">
        <v>8955</v>
      </c>
      <c r="Q1228" s="1" t="s">
        <v>8956</v>
      </c>
      <c r="R1228" s="1" t="s">
        <v>8975</v>
      </c>
      <c r="S1228" s="1" t="s">
        <v>19420</v>
      </c>
      <c r="T1228" s="1" t="s">
        <v>7</v>
      </c>
      <c r="U1228" s="1" t="s">
        <v>4233</v>
      </c>
    </row>
    <row r="1229" spans="1:21" x14ac:dyDescent="0.2">
      <c r="A1229" s="88" t="s">
        <v>16856</v>
      </c>
      <c r="B1229" s="88" t="e">
        <f>VLOOKUP(C1229,#REF!,1,0)</f>
        <v>#REF!</v>
      </c>
      <c r="C1229" s="1" t="s">
        <v>4234</v>
      </c>
      <c r="D1229" s="1" t="s">
        <v>4235</v>
      </c>
      <c r="E1229" s="1" t="s">
        <v>18502</v>
      </c>
      <c r="F1229" s="1" t="s">
        <v>9060</v>
      </c>
      <c r="G1229" t="s">
        <v>8959</v>
      </c>
      <c r="H1229" s="1" t="s">
        <v>9092</v>
      </c>
      <c r="I1229" s="1" t="s">
        <v>9308</v>
      </c>
      <c r="J1229" s="2" t="s">
        <v>18497</v>
      </c>
      <c r="K1229" s="1" t="s">
        <v>18497</v>
      </c>
      <c r="L1229" s="1" t="s">
        <v>9133</v>
      </c>
      <c r="M1229" s="1">
        <v>728</v>
      </c>
      <c r="N1229" s="1" t="s">
        <v>9059</v>
      </c>
      <c r="O1229" s="1" t="s">
        <v>8954</v>
      </c>
      <c r="P1229" s="1" t="s">
        <v>8955</v>
      </c>
      <c r="Q1229" s="1" t="s">
        <v>8956</v>
      </c>
      <c r="R1229" s="1" t="s">
        <v>8975</v>
      </c>
      <c r="S1229" s="1" t="s">
        <v>19421</v>
      </c>
      <c r="T1229" s="1" t="s">
        <v>7</v>
      </c>
      <c r="U1229" s="1" t="s">
        <v>180</v>
      </c>
    </row>
    <row r="1230" spans="1:21" x14ac:dyDescent="0.2">
      <c r="A1230" s="88" t="s">
        <v>16857</v>
      </c>
      <c r="B1230" s="88" t="e">
        <f>VLOOKUP(C1230,#REF!,1,0)</f>
        <v>#REF!</v>
      </c>
      <c r="C1230" s="1" t="s">
        <v>4236</v>
      </c>
      <c r="D1230" s="1" t="s">
        <v>4237</v>
      </c>
      <c r="E1230" s="1" t="s">
        <v>9010</v>
      </c>
      <c r="F1230" s="1" t="s">
        <v>8959</v>
      </c>
      <c r="G1230" t="s">
        <v>9183</v>
      </c>
      <c r="H1230" s="1" t="s">
        <v>9035</v>
      </c>
      <c r="I1230" s="1" t="s">
        <v>8998</v>
      </c>
      <c r="J1230" s="2" t="s">
        <v>9036</v>
      </c>
      <c r="K1230" s="1" t="s">
        <v>9036</v>
      </c>
      <c r="L1230" s="1" t="s">
        <v>8987</v>
      </c>
      <c r="M1230" s="1">
        <v>150</v>
      </c>
      <c r="N1230" s="1" t="s">
        <v>8953</v>
      </c>
      <c r="O1230" s="1" t="s">
        <v>8989</v>
      </c>
      <c r="P1230" s="1" t="s">
        <v>8955</v>
      </c>
      <c r="Q1230" s="1" t="s">
        <v>8956</v>
      </c>
      <c r="R1230" s="1" t="s">
        <v>9103</v>
      </c>
      <c r="T1230" s="1" t="s">
        <v>11</v>
      </c>
      <c r="U1230" s="1" t="s">
        <v>2196</v>
      </c>
    </row>
    <row r="1231" spans="1:21" x14ac:dyDescent="0.2">
      <c r="A1231" s="88" t="s">
        <v>16858</v>
      </c>
      <c r="B1231" s="88" t="e">
        <f>VLOOKUP(C1231,#REF!,1,0)</f>
        <v>#REF!</v>
      </c>
      <c r="C1231" s="1" t="s">
        <v>4238</v>
      </c>
      <c r="D1231" s="1" t="s">
        <v>4239</v>
      </c>
      <c r="E1231" s="1" t="s">
        <v>9380</v>
      </c>
      <c r="F1231" s="1" t="s">
        <v>8957</v>
      </c>
      <c r="G1231" t="s">
        <v>8959</v>
      </c>
      <c r="H1231" s="1" t="s">
        <v>9605</v>
      </c>
      <c r="I1231" s="1" t="s">
        <v>8985</v>
      </c>
      <c r="J1231" s="2" t="s">
        <v>21424</v>
      </c>
      <c r="K1231" s="1" t="s">
        <v>21424</v>
      </c>
      <c r="L1231" s="1" t="s">
        <v>9133</v>
      </c>
      <c r="M1231" s="1">
        <v>1022</v>
      </c>
      <c r="N1231" s="1" t="s">
        <v>8953</v>
      </c>
      <c r="O1231" s="1" t="s">
        <v>8954</v>
      </c>
      <c r="P1231" s="1" t="s">
        <v>8955</v>
      </c>
      <c r="Q1231" s="1" t="s">
        <v>8956</v>
      </c>
      <c r="R1231" s="1" t="s">
        <v>8975</v>
      </c>
      <c r="S1231" s="1" t="s">
        <v>19422</v>
      </c>
      <c r="T1231" s="1" t="s">
        <v>7</v>
      </c>
      <c r="U1231" s="1" t="s">
        <v>31</v>
      </c>
    </row>
    <row r="1232" spans="1:21" x14ac:dyDescent="0.2">
      <c r="A1232" s="88" t="s">
        <v>16859</v>
      </c>
      <c r="B1232" s="88" t="e">
        <f>VLOOKUP(C1232,#REF!,1,0)</f>
        <v>#REF!</v>
      </c>
      <c r="C1232" s="1" t="s">
        <v>4244</v>
      </c>
      <c r="D1232" s="1" t="s">
        <v>4245</v>
      </c>
      <c r="E1232" s="1" t="s">
        <v>18502</v>
      </c>
      <c r="F1232" s="1" t="s">
        <v>8959</v>
      </c>
      <c r="G1232" t="s">
        <v>9183</v>
      </c>
      <c r="H1232" s="1" t="s">
        <v>9092</v>
      </c>
      <c r="I1232" s="1" t="s">
        <v>8949</v>
      </c>
      <c r="J1232" s="2" t="s">
        <v>20779</v>
      </c>
      <c r="K1232" s="1" t="s">
        <v>9036</v>
      </c>
      <c r="L1232" s="1" t="s">
        <v>8951</v>
      </c>
      <c r="M1232" s="1">
        <v>17800</v>
      </c>
      <c r="N1232" s="1" t="s">
        <v>8953</v>
      </c>
      <c r="O1232" s="1" t="s">
        <v>8989</v>
      </c>
      <c r="P1232" s="1" t="s">
        <v>8955</v>
      </c>
      <c r="Q1232" s="1" t="s">
        <v>8956</v>
      </c>
      <c r="R1232" s="1" t="s">
        <v>8958</v>
      </c>
      <c r="S1232" s="1" t="s">
        <v>20631</v>
      </c>
      <c r="T1232" s="1" t="s">
        <v>7</v>
      </c>
      <c r="U1232" s="1" t="s">
        <v>4246</v>
      </c>
    </row>
    <row r="1233" spans="1:21" x14ac:dyDescent="0.2">
      <c r="A1233" s="88" t="s">
        <v>16860</v>
      </c>
      <c r="B1233" s="88" t="e">
        <f>VLOOKUP(C1233,#REF!,1,0)</f>
        <v>#REF!</v>
      </c>
      <c r="C1233" s="1" t="s">
        <v>4247</v>
      </c>
      <c r="D1233" s="1" t="s">
        <v>4248</v>
      </c>
      <c r="E1233" s="1" t="s">
        <v>9010</v>
      </c>
      <c r="F1233" s="1" t="s">
        <v>8959</v>
      </c>
      <c r="G1233" t="s">
        <v>8959</v>
      </c>
      <c r="H1233" s="1" t="s">
        <v>8948</v>
      </c>
      <c r="I1233" s="1" t="s">
        <v>8949</v>
      </c>
      <c r="J1233" s="2" t="s">
        <v>9041</v>
      </c>
      <c r="K1233" s="1" t="s">
        <v>9041</v>
      </c>
      <c r="L1233" s="1" t="s">
        <v>8987</v>
      </c>
      <c r="M1233" s="1">
        <v>133869</v>
      </c>
      <c r="N1233" s="1" t="s">
        <v>8953</v>
      </c>
      <c r="O1233" s="1" t="s">
        <v>8954</v>
      </c>
      <c r="P1233" s="1" t="s">
        <v>8955</v>
      </c>
      <c r="Q1233" s="1" t="s">
        <v>8956</v>
      </c>
      <c r="R1233" s="1" t="s">
        <v>8958</v>
      </c>
      <c r="S1233" s="1" t="s">
        <v>4249</v>
      </c>
      <c r="T1233" s="1" t="s">
        <v>7</v>
      </c>
      <c r="U1233" s="1" t="s">
        <v>322</v>
      </c>
    </row>
    <row r="1234" spans="1:21" x14ac:dyDescent="0.2">
      <c r="A1234" s="88" t="s">
        <v>16861</v>
      </c>
      <c r="B1234" s="88" t="e">
        <f>VLOOKUP(C1234,#REF!,1,0)</f>
        <v>#REF!</v>
      </c>
      <c r="C1234" s="1" t="s">
        <v>4250</v>
      </c>
      <c r="D1234" s="1" t="s">
        <v>4251</v>
      </c>
      <c r="E1234" s="1" t="s">
        <v>9010</v>
      </c>
      <c r="F1234" s="1" t="s">
        <v>8959</v>
      </c>
      <c r="G1234" t="s">
        <v>9061</v>
      </c>
      <c r="H1234" s="1" t="s">
        <v>9092</v>
      </c>
      <c r="I1234" s="1" t="s">
        <v>9155</v>
      </c>
      <c r="J1234" s="2" t="s">
        <v>9599</v>
      </c>
      <c r="K1234" s="1" t="s">
        <v>9599</v>
      </c>
      <c r="L1234" s="1" t="s">
        <v>9076</v>
      </c>
      <c r="M1234" s="1">
        <v>90</v>
      </c>
      <c r="N1234" s="1" t="s">
        <v>8953</v>
      </c>
      <c r="O1234" s="1" t="s">
        <v>8989</v>
      </c>
      <c r="P1234" s="1" t="s">
        <v>8955</v>
      </c>
      <c r="Q1234" s="1" t="s">
        <v>8956</v>
      </c>
      <c r="R1234" s="1" t="s">
        <v>8975</v>
      </c>
      <c r="S1234" s="1" t="s">
        <v>4252</v>
      </c>
      <c r="T1234" s="1" t="s">
        <v>11</v>
      </c>
      <c r="U1234" s="1" t="s">
        <v>733</v>
      </c>
    </row>
    <row r="1235" spans="1:21" x14ac:dyDescent="0.2">
      <c r="A1235" s="88" t="s">
        <v>16863</v>
      </c>
      <c r="B1235" s="88"/>
      <c r="C1235" s="1" t="s">
        <v>4254</v>
      </c>
      <c r="D1235" s="1" t="s">
        <v>4255</v>
      </c>
      <c r="E1235" s="1" t="e">
        <v>#N/A</v>
      </c>
      <c r="F1235" s="1" t="e">
        <v>#N/A</v>
      </c>
      <c r="G1235" t="e">
        <v>#N/A</v>
      </c>
      <c r="H1235" s="1" t="e">
        <v>#N/A</v>
      </c>
      <c r="I1235" s="1" t="e">
        <v>#N/A</v>
      </c>
      <c r="J1235" s="2" t="e">
        <v>#N/A</v>
      </c>
      <c r="K1235" s="1" t="e">
        <v>#N/A</v>
      </c>
      <c r="L1235" s="1" t="e">
        <v>#N/A</v>
      </c>
      <c r="M1235" s="1" t="e">
        <v>#N/A</v>
      </c>
      <c r="N1235" s="1" t="e">
        <v>#N/A</v>
      </c>
      <c r="O1235" s="1" t="e">
        <v>#N/A</v>
      </c>
      <c r="P1235" s="1" t="s">
        <v>8955</v>
      </c>
      <c r="Q1235" s="1" t="s">
        <v>8956</v>
      </c>
      <c r="R1235" s="1" t="s">
        <v>8958</v>
      </c>
      <c r="S1235" s="1" t="s">
        <v>19425</v>
      </c>
      <c r="T1235" s="1" t="s">
        <v>252</v>
      </c>
      <c r="U1235" s="1" t="s">
        <v>359</v>
      </c>
    </row>
    <row r="1236" spans="1:21" x14ac:dyDescent="0.2">
      <c r="A1236" s="88" t="s">
        <v>16864</v>
      </c>
      <c r="B1236" s="88" t="e">
        <f>VLOOKUP(C1236,#REF!,1,0)</f>
        <v>#REF!</v>
      </c>
      <c r="C1236" s="1" t="s">
        <v>4256</v>
      </c>
      <c r="D1236" s="1" t="s">
        <v>4257</v>
      </c>
      <c r="E1236" s="1" t="s">
        <v>9310</v>
      </c>
      <c r="F1236" s="1" t="s">
        <v>8957</v>
      </c>
      <c r="G1236" t="s">
        <v>8959</v>
      </c>
      <c r="H1236" s="1" t="s">
        <v>9035</v>
      </c>
      <c r="I1236" s="1" t="s">
        <v>8998</v>
      </c>
      <c r="J1236" s="2" t="s">
        <v>18497</v>
      </c>
      <c r="K1236" s="1" t="s">
        <v>18497</v>
      </c>
      <c r="L1236" s="1" t="s">
        <v>8987</v>
      </c>
      <c r="M1236" s="1">
        <v>217</v>
      </c>
      <c r="N1236" s="1" t="s">
        <v>9059</v>
      </c>
      <c r="O1236" s="1" t="s">
        <v>8954</v>
      </c>
      <c r="P1236" s="1" t="s">
        <v>8955</v>
      </c>
      <c r="Q1236" s="1" t="s">
        <v>8956</v>
      </c>
      <c r="R1236" s="1" t="s">
        <v>8975</v>
      </c>
      <c r="S1236" s="1" t="s">
        <v>19426</v>
      </c>
      <c r="T1236" s="1" t="s">
        <v>7</v>
      </c>
      <c r="U1236" s="1" t="s">
        <v>27</v>
      </c>
    </row>
    <row r="1237" spans="1:21" x14ac:dyDescent="0.2">
      <c r="A1237" s="88" t="s">
        <v>16865</v>
      </c>
      <c r="B1237" s="88" t="e">
        <f>VLOOKUP(C1237,#REF!,1,0)</f>
        <v>#REF!</v>
      </c>
      <c r="C1237" s="1" t="s">
        <v>4258</v>
      </c>
      <c r="D1237" s="1" t="s">
        <v>4259</v>
      </c>
      <c r="E1237" s="1" t="s">
        <v>9310</v>
      </c>
      <c r="F1237" s="1" t="s">
        <v>8957</v>
      </c>
      <c r="G1237" t="s">
        <v>8959</v>
      </c>
      <c r="H1237" s="1" t="s">
        <v>9252</v>
      </c>
      <c r="I1237" s="1" t="s">
        <v>9422</v>
      </c>
      <c r="J1237" s="2" t="s">
        <v>9212</v>
      </c>
      <c r="K1237" s="1" t="s">
        <v>9212</v>
      </c>
      <c r="L1237" s="1" t="s">
        <v>21600</v>
      </c>
      <c r="M1237" s="1">
        <v>2061</v>
      </c>
      <c r="N1237" s="1" t="s">
        <v>8953</v>
      </c>
      <c r="O1237" s="1" t="s">
        <v>8954</v>
      </c>
      <c r="P1237" s="1" t="s">
        <v>8955</v>
      </c>
      <c r="Q1237" s="1" t="s">
        <v>8956</v>
      </c>
      <c r="R1237" s="1" t="s">
        <v>8958</v>
      </c>
      <c r="S1237" s="1" t="s">
        <v>4260</v>
      </c>
      <c r="T1237" s="1" t="s">
        <v>17</v>
      </c>
      <c r="U1237" s="1" t="s">
        <v>126</v>
      </c>
    </row>
    <row r="1238" spans="1:21" x14ac:dyDescent="0.2">
      <c r="A1238" s="88" t="s">
        <v>16866</v>
      </c>
      <c r="B1238" s="88" t="e">
        <f>VLOOKUP(C1238,#REF!,1,0)</f>
        <v>#REF!</v>
      </c>
      <c r="C1238" s="1" t="s">
        <v>4261</v>
      </c>
      <c r="D1238" s="1" t="s">
        <v>4262</v>
      </c>
      <c r="E1238" s="1" t="s">
        <v>9310</v>
      </c>
      <c r="F1238" s="1" t="s">
        <v>8957</v>
      </c>
      <c r="G1238" t="s">
        <v>8959</v>
      </c>
      <c r="H1238" s="1" t="s">
        <v>9252</v>
      </c>
      <c r="I1238" s="1" t="s">
        <v>9155</v>
      </c>
      <c r="J1238" s="2" t="s">
        <v>18497</v>
      </c>
      <c r="K1238" s="1" t="s">
        <v>18497</v>
      </c>
      <c r="L1238" s="1" t="s">
        <v>8951</v>
      </c>
      <c r="M1238" s="1">
        <v>34740</v>
      </c>
      <c r="N1238" s="1" t="s">
        <v>8953</v>
      </c>
      <c r="O1238" s="1" t="s">
        <v>8954</v>
      </c>
      <c r="P1238" s="1" t="s">
        <v>8955</v>
      </c>
      <c r="Q1238" s="1" t="s">
        <v>8956</v>
      </c>
      <c r="R1238" s="1" t="s">
        <v>8958</v>
      </c>
      <c r="S1238" s="1" t="s">
        <v>19427</v>
      </c>
      <c r="T1238" s="1" t="s">
        <v>7</v>
      </c>
      <c r="U1238" s="1" t="s">
        <v>93</v>
      </c>
    </row>
    <row r="1239" spans="1:21" x14ac:dyDescent="0.2">
      <c r="A1239" s="88" t="s">
        <v>16867</v>
      </c>
      <c r="B1239" s="88" t="e">
        <f>VLOOKUP(C1239,#REF!,1,0)</f>
        <v>#REF!</v>
      </c>
      <c r="C1239" s="1" t="s">
        <v>4263</v>
      </c>
      <c r="D1239" s="1" t="s">
        <v>4264</v>
      </c>
      <c r="E1239" s="1" t="s">
        <v>18502</v>
      </c>
      <c r="F1239" s="1" t="s">
        <v>8957</v>
      </c>
      <c r="G1239" t="s">
        <v>9009</v>
      </c>
      <c r="H1239" s="1" t="s">
        <v>9605</v>
      </c>
      <c r="I1239" s="1" t="s">
        <v>8985</v>
      </c>
      <c r="J1239" s="2" t="s">
        <v>21427</v>
      </c>
      <c r="K1239" s="1" t="s">
        <v>21427</v>
      </c>
      <c r="L1239" s="1" t="s">
        <v>9133</v>
      </c>
      <c r="M1239" s="1">
        <v>1754</v>
      </c>
      <c r="N1239" s="1" t="s">
        <v>9059</v>
      </c>
      <c r="O1239" s="1" t="s">
        <v>8954</v>
      </c>
      <c r="P1239" s="1" t="s">
        <v>8955</v>
      </c>
      <c r="Q1239" s="1" t="s">
        <v>8956</v>
      </c>
      <c r="R1239" s="1" t="s">
        <v>8975</v>
      </c>
      <c r="S1239" s="1" t="s">
        <v>19428</v>
      </c>
      <c r="T1239" s="1" t="s">
        <v>7</v>
      </c>
      <c r="U1239" s="1" t="s">
        <v>580</v>
      </c>
    </row>
    <row r="1240" spans="1:21" x14ac:dyDescent="0.2">
      <c r="A1240" s="88" t="s">
        <v>16868</v>
      </c>
      <c r="B1240" s="88" t="e">
        <f>VLOOKUP(C1240,#REF!,1,0)</f>
        <v>#REF!</v>
      </c>
      <c r="C1240" s="1" t="s">
        <v>4265</v>
      </c>
      <c r="D1240" s="1" t="s">
        <v>4266</v>
      </c>
      <c r="E1240" s="1" t="s">
        <v>9310</v>
      </c>
      <c r="F1240" s="1" t="s">
        <v>8957</v>
      </c>
      <c r="G1240" t="s">
        <v>8959</v>
      </c>
      <c r="H1240" s="1" t="s">
        <v>9605</v>
      </c>
      <c r="I1240" s="1" t="s">
        <v>9155</v>
      </c>
      <c r="J1240" s="2" t="s">
        <v>10492</v>
      </c>
      <c r="K1240" s="1" t="s">
        <v>10492</v>
      </c>
      <c r="L1240" s="1" t="s">
        <v>21600</v>
      </c>
      <c r="M1240" s="1">
        <v>962</v>
      </c>
      <c r="N1240" s="1" t="s">
        <v>8953</v>
      </c>
      <c r="O1240" s="1" t="s">
        <v>8989</v>
      </c>
      <c r="P1240" s="1" t="s">
        <v>8955</v>
      </c>
      <c r="Q1240" s="1" t="s">
        <v>8956</v>
      </c>
      <c r="R1240" s="1" t="s">
        <v>9103</v>
      </c>
      <c r="S1240" s="1" t="s">
        <v>19429</v>
      </c>
      <c r="T1240" s="1" t="s">
        <v>7</v>
      </c>
      <c r="U1240" s="1" t="s">
        <v>64</v>
      </c>
    </row>
    <row r="1241" spans="1:21" x14ac:dyDescent="0.2">
      <c r="A1241" s="88" t="s">
        <v>16869</v>
      </c>
      <c r="B1241" s="88" t="e">
        <f>VLOOKUP(C1241,#REF!,1,0)</f>
        <v>#REF!</v>
      </c>
      <c r="C1241" s="1" t="s">
        <v>4267</v>
      </c>
      <c r="D1241" s="1" t="s">
        <v>4268</v>
      </c>
      <c r="E1241" s="1" t="s">
        <v>9310</v>
      </c>
      <c r="F1241" s="1" t="s">
        <v>8957</v>
      </c>
      <c r="G1241" t="s">
        <v>8959</v>
      </c>
      <c r="H1241" s="1" t="s">
        <v>9049</v>
      </c>
      <c r="I1241" s="1" t="s">
        <v>9325</v>
      </c>
      <c r="J1241" s="2" t="s">
        <v>10525</v>
      </c>
      <c r="K1241" s="1" t="s">
        <v>10525</v>
      </c>
      <c r="L1241" s="1" t="s">
        <v>8951</v>
      </c>
      <c r="M1241" s="1">
        <v>109312</v>
      </c>
      <c r="N1241" s="1" t="s">
        <v>8953</v>
      </c>
      <c r="O1241" s="1" t="s">
        <v>8954</v>
      </c>
      <c r="P1241" s="1" t="s">
        <v>8955</v>
      </c>
      <c r="Q1241" s="1" t="s">
        <v>8956</v>
      </c>
      <c r="R1241" s="1" t="s">
        <v>8958</v>
      </c>
      <c r="S1241" s="1" t="s">
        <v>4269</v>
      </c>
      <c r="T1241" s="1" t="s">
        <v>17</v>
      </c>
      <c r="U1241" s="1" t="s">
        <v>4060</v>
      </c>
    </row>
    <row r="1242" spans="1:21" x14ac:dyDescent="0.2">
      <c r="A1242" s="88" t="s">
        <v>16870</v>
      </c>
      <c r="B1242" s="88" t="e">
        <f>VLOOKUP(C1242,#REF!,1,0)</f>
        <v>#REF!</v>
      </c>
      <c r="C1242" s="1" t="s">
        <v>4270</v>
      </c>
      <c r="D1242" s="1" t="s">
        <v>4271</v>
      </c>
      <c r="E1242" s="1" t="s">
        <v>9310</v>
      </c>
      <c r="F1242" s="1" t="s">
        <v>8957</v>
      </c>
      <c r="G1242" t="s">
        <v>8959</v>
      </c>
      <c r="H1242" s="1" t="s">
        <v>9049</v>
      </c>
      <c r="I1242" s="1" t="s">
        <v>9325</v>
      </c>
      <c r="J1242" s="2" t="s">
        <v>10258</v>
      </c>
      <c r="K1242" s="1" t="s">
        <v>10258</v>
      </c>
      <c r="L1242" s="1" t="s">
        <v>8987</v>
      </c>
      <c r="M1242" s="1">
        <v>21357</v>
      </c>
      <c r="N1242" s="1" t="s">
        <v>8953</v>
      </c>
      <c r="O1242" s="1" t="s">
        <v>8954</v>
      </c>
      <c r="P1242" s="1" t="s">
        <v>8955</v>
      </c>
      <c r="Q1242" s="1" t="s">
        <v>8956</v>
      </c>
      <c r="R1242" s="1" t="s">
        <v>8958</v>
      </c>
      <c r="S1242" s="1" t="s">
        <v>4272</v>
      </c>
      <c r="T1242" s="1" t="s">
        <v>17</v>
      </c>
      <c r="U1242" s="1" t="s">
        <v>1797</v>
      </c>
    </row>
    <row r="1243" spans="1:21" x14ac:dyDescent="0.2">
      <c r="A1243" s="88" t="s">
        <v>16871</v>
      </c>
      <c r="B1243" s="88" t="e">
        <f>VLOOKUP(C1243,#REF!,1,0)</f>
        <v>#REF!</v>
      </c>
      <c r="C1243" s="1" t="s">
        <v>4273</v>
      </c>
      <c r="D1243" s="1" t="s">
        <v>4274</v>
      </c>
      <c r="E1243" s="1" t="s">
        <v>9010</v>
      </c>
      <c r="F1243" s="1" t="s">
        <v>8957</v>
      </c>
      <c r="G1243" t="s">
        <v>8959</v>
      </c>
      <c r="H1243" s="1" t="s">
        <v>8948</v>
      </c>
      <c r="I1243" s="1" t="s">
        <v>9155</v>
      </c>
      <c r="J1243" s="2" t="s">
        <v>12818</v>
      </c>
      <c r="K1243" s="1" t="s">
        <v>12818</v>
      </c>
      <c r="L1243" s="1" t="s">
        <v>9133</v>
      </c>
      <c r="M1243" s="1">
        <v>258</v>
      </c>
      <c r="N1243" s="1" t="s">
        <v>9059</v>
      </c>
      <c r="O1243" s="1" t="s">
        <v>8989</v>
      </c>
      <c r="P1243" s="1" t="s">
        <v>8955</v>
      </c>
      <c r="Q1243" s="1" t="s">
        <v>8956</v>
      </c>
      <c r="R1243" s="1" t="s">
        <v>8958</v>
      </c>
      <c r="S1243" s="1" t="s">
        <v>4275</v>
      </c>
      <c r="T1243" s="1" t="s">
        <v>924</v>
      </c>
      <c r="U1243" s="1" t="s">
        <v>27</v>
      </c>
    </row>
    <row r="1244" spans="1:21" x14ac:dyDescent="0.2">
      <c r="A1244" s="88" t="s">
        <v>16872</v>
      </c>
      <c r="B1244" s="88" t="e">
        <f>VLOOKUP(C1244,#REF!,1,0)</f>
        <v>#REF!</v>
      </c>
      <c r="C1244" s="1" t="s">
        <v>4276</v>
      </c>
      <c r="D1244" s="1" t="s">
        <v>4277</v>
      </c>
      <c r="E1244" s="1" t="s">
        <v>9310</v>
      </c>
      <c r="F1244" s="1" t="s">
        <v>8957</v>
      </c>
      <c r="G1244" t="s">
        <v>8959</v>
      </c>
      <c r="H1244" s="1" t="s">
        <v>9100</v>
      </c>
      <c r="I1244" s="1" t="s">
        <v>8949</v>
      </c>
      <c r="J1244" s="2" t="s">
        <v>20852</v>
      </c>
      <c r="K1244" s="1" t="s">
        <v>21462</v>
      </c>
      <c r="L1244" s="1" t="s">
        <v>8987</v>
      </c>
      <c r="M1244" s="1">
        <v>208</v>
      </c>
      <c r="N1244" s="1" t="s">
        <v>9059</v>
      </c>
      <c r="O1244" s="1" t="s">
        <v>8989</v>
      </c>
      <c r="P1244" s="1" t="s">
        <v>8955</v>
      </c>
      <c r="Q1244" s="1" t="s">
        <v>8956</v>
      </c>
      <c r="R1244" s="1" t="s">
        <v>8958</v>
      </c>
      <c r="S1244" s="1" t="s">
        <v>19430</v>
      </c>
      <c r="T1244" s="1" t="s">
        <v>7</v>
      </c>
      <c r="U1244" s="1" t="s">
        <v>184</v>
      </c>
    </row>
    <row r="1245" spans="1:21" x14ac:dyDescent="0.2">
      <c r="A1245" s="88" t="s">
        <v>16873</v>
      </c>
      <c r="B1245" s="88" t="e">
        <f>VLOOKUP(C1245,#REF!,1,0)</f>
        <v>#REF!</v>
      </c>
      <c r="C1245" s="1" t="s">
        <v>4278</v>
      </c>
      <c r="D1245" s="1" t="s">
        <v>4279</v>
      </c>
      <c r="E1245" s="1" t="s">
        <v>18502</v>
      </c>
      <c r="F1245" s="1" t="s">
        <v>8957</v>
      </c>
      <c r="G1245" t="s">
        <v>9061</v>
      </c>
      <c r="H1245" s="1" t="s">
        <v>9100</v>
      </c>
      <c r="I1245" s="1" t="s">
        <v>8949</v>
      </c>
      <c r="J1245" s="2" t="s">
        <v>20813</v>
      </c>
      <c r="K1245" s="1" t="s">
        <v>20770</v>
      </c>
      <c r="L1245" s="1" t="s">
        <v>9292</v>
      </c>
      <c r="M1245" s="1">
        <v>493</v>
      </c>
      <c r="N1245" s="1" t="s">
        <v>9059</v>
      </c>
      <c r="O1245" s="1" t="s">
        <v>8989</v>
      </c>
      <c r="P1245" s="1" t="s">
        <v>8955</v>
      </c>
      <c r="Q1245" s="1" t="s">
        <v>8956</v>
      </c>
      <c r="R1245" s="1" t="s">
        <v>9103</v>
      </c>
      <c r="S1245" s="1" t="s">
        <v>19431</v>
      </c>
      <c r="T1245" s="1" t="s">
        <v>17</v>
      </c>
      <c r="U1245" s="1" t="s">
        <v>392</v>
      </c>
    </row>
    <row r="1246" spans="1:21" x14ac:dyDescent="0.2">
      <c r="A1246" s="88" t="s">
        <v>16874</v>
      </c>
      <c r="B1246" s="88" t="e">
        <f>VLOOKUP(C1246,#REF!,1,0)</f>
        <v>#REF!</v>
      </c>
      <c r="C1246" s="1" t="s">
        <v>4280</v>
      </c>
      <c r="D1246" s="1" t="s">
        <v>4281</v>
      </c>
      <c r="E1246" s="1" t="s">
        <v>18502</v>
      </c>
      <c r="F1246" s="1" t="s">
        <v>8957</v>
      </c>
      <c r="G1246" t="s">
        <v>9061</v>
      </c>
      <c r="H1246" s="1" t="s">
        <v>9100</v>
      </c>
      <c r="I1246" s="1" t="s">
        <v>8949</v>
      </c>
      <c r="J1246" s="2" t="s">
        <v>20779</v>
      </c>
      <c r="K1246" s="1" t="s">
        <v>9036</v>
      </c>
      <c r="L1246" s="1" t="s">
        <v>9157</v>
      </c>
      <c r="M1246" s="1">
        <v>2146</v>
      </c>
      <c r="N1246" s="1" t="s">
        <v>9059</v>
      </c>
      <c r="O1246" s="1" t="s">
        <v>8954</v>
      </c>
      <c r="P1246" s="1" t="s">
        <v>8955</v>
      </c>
      <c r="Q1246" s="1" t="s">
        <v>8956</v>
      </c>
      <c r="R1246" s="1" t="s">
        <v>9103</v>
      </c>
      <c r="S1246" s="1" t="s">
        <v>19432</v>
      </c>
      <c r="T1246" s="1" t="s">
        <v>17</v>
      </c>
      <c r="U1246" s="1" t="s">
        <v>3200</v>
      </c>
    </row>
    <row r="1247" spans="1:21" x14ac:dyDescent="0.2">
      <c r="A1247" s="88" t="s">
        <v>16875</v>
      </c>
      <c r="B1247" s="88" t="e">
        <f>VLOOKUP(C1247,#REF!,1,0)</f>
        <v>#REF!</v>
      </c>
      <c r="C1247" s="1" t="s">
        <v>4282</v>
      </c>
      <c r="D1247" s="1" t="s">
        <v>4283</v>
      </c>
      <c r="E1247" s="1" t="s">
        <v>9317</v>
      </c>
      <c r="F1247" s="1" t="s">
        <v>8957</v>
      </c>
      <c r="G1247" t="s">
        <v>9183</v>
      </c>
      <c r="H1247" s="1" t="s">
        <v>8948</v>
      </c>
      <c r="I1247" s="1" t="s">
        <v>8949</v>
      </c>
      <c r="J1247" s="2" t="s">
        <v>9036</v>
      </c>
      <c r="K1247" s="1" t="s">
        <v>9036</v>
      </c>
      <c r="L1247" s="1" t="s">
        <v>21600</v>
      </c>
      <c r="M1247" s="1">
        <v>60</v>
      </c>
      <c r="N1247" s="1" t="s">
        <v>9059</v>
      </c>
      <c r="O1247" s="1" t="s">
        <v>8954</v>
      </c>
      <c r="P1247" s="1" t="s">
        <v>8955</v>
      </c>
      <c r="Q1247" s="1" t="s">
        <v>8956</v>
      </c>
      <c r="R1247" s="1" t="s">
        <v>8958</v>
      </c>
      <c r="S1247" s="1" t="s">
        <v>4284</v>
      </c>
      <c r="T1247" s="1" t="s">
        <v>11</v>
      </c>
      <c r="U1247" s="1" t="s">
        <v>392</v>
      </c>
    </row>
    <row r="1248" spans="1:21" x14ac:dyDescent="0.2">
      <c r="A1248" s="88" t="s">
        <v>16876</v>
      </c>
      <c r="B1248" s="88" t="e">
        <f>VLOOKUP(C1248,#REF!,1,0)</f>
        <v>#REF!</v>
      </c>
      <c r="C1248" s="1" t="s">
        <v>4285</v>
      </c>
      <c r="D1248" s="1" t="s">
        <v>4286</v>
      </c>
      <c r="E1248" s="1" t="s">
        <v>9310</v>
      </c>
      <c r="F1248" s="1" t="s">
        <v>8957</v>
      </c>
      <c r="G1248" t="s">
        <v>8959</v>
      </c>
      <c r="H1248" s="1" t="s">
        <v>8948</v>
      </c>
      <c r="I1248" s="1" t="s">
        <v>8949</v>
      </c>
      <c r="J1248" s="2" t="s">
        <v>21636</v>
      </c>
      <c r="K1248" s="1" t="s">
        <v>21855</v>
      </c>
      <c r="L1248" s="1" t="s">
        <v>21600</v>
      </c>
      <c r="M1248" s="1">
        <v>238365</v>
      </c>
      <c r="N1248" s="1" t="s">
        <v>8953</v>
      </c>
      <c r="O1248" s="1" t="s">
        <v>8954</v>
      </c>
      <c r="P1248" s="1" t="s">
        <v>8955</v>
      </c>
      <c r="Q1248" s="1" t="s">
        <v>8956</v>
      </c>
      <c r="R1248" s="1" t="s">
        <v>9103</v>
      </c>
      <c r="S1248" s="1" t="s">
        <v>4287</v>
      </c>
      <c r="T1248" s="1" t="s">
        <v>17</v>
      </c>
      <c r="U1248" s="1" t="s">
        <v>74</v>
      </c>
    </row>
    <row r="1249" spans="1:21" x14ac:dyDescent="0.2">
      <c r="A1249" s="88" t="s">
        <v>16877</v>
      </c>
      <c r="B1249" s="88" t="e">
        <f>VLOOKUP(C1249,#REF!,1,0)</f>
        <v>#REF!</v>
      </c>
      <c r="C1249" s="1" t="s">
        <v>4288</v>
      </c>
      <c r="D1249" s="1" t="s">
        <v>4289</v>
      </c>
      <c r="E1249" s="1" t="s">
        <v>9317</v>
      </c>
      <c r="F1249" s="1" t="s">
        <v>8959</v>
      </c>
      <c r="G1249" t="s">
        <v>8959</v>
      </c>
      <c r="H1249" s="1" t="s">
        <v>8984</v>
      </c>
      <c r="I1249" s="1" t="s">
        <v>8998</v>
      </c>
      <c r="J1249" s="2" t="s">
        <v>20723</v>
      </c>
      <c r="K1249" s="1" t="s">
        <v>20723</v>
      </c>
      <c r="L1249" s="1" t="s">
        <v>9133</v>
      </c>
      <c r="M1249" s="1">
        <v>206</v>
      </c>
      <c r="N1249" s="1" t="s">
        <v>9059</v>
      </c>
      <c r="O1249" s="1" t="s">
        <v>8989</v>
      </c>
      <c r="P1249" s="1" t="s">
        <v>8955</v>
      </c>
      <c r="Q1249" s="1" t="s">
        <v>8956</v>
      </c>
      <c r="R1249" s="1" t="s">
        <v>8975</v>
      </c>
      <c r="S1249" s="1" t="s">
        <v>19433</v>
      </c>
      <c r="T1249" s="1" t="s">
        <v>17</v>
      </c>
      <c r="U1249" s="1" t="s">
        <v>46</v>
      </c>
    </row>
    <row r="1250" spans="1:21" x14ac:dyDescent="0.2">
      <c r="A1250" s="88" t="s">
        <v>16878</v>
      </c>
      <c r="B1250" s="88" t="e">
        <f>VLOOKUP(C1250,#REF!,1,0)</f>
        <v>#REF!</v>
      </c>
      <c r="C1250" s="1" t="s">
        <v>4290</v>
      </c>
      <c r="D1250" s="1" t="s">
        <v>4291</v>
      </c>
      <c r="E1250" s="1" t="s">
        <v>9310</v>
      </c>
      <c r="F1250" s="1" t="s">
        <v>8957</v>
      </c>
      <c r="G1250" t="s">
        <v>8959</v>
      </c>
      <c r="H1250" s="1" t="s">
        <v>9943</v>
      </c>
      <c r="I1250" s="1" t="s">
        <v>8971</v>
      </c>
      <c r="J1250" s="2" t="s">
        <v>10381</v>
      </c>
      <c r="K1250" s="1" t="s">
        <v>21752</v>
      </c>
      <c r="L1250" s="1" t="s">
        <v>8951</v>
      </c>
      <c r="M1250" s="1">
        <v>300</v>
      </c>
      <c r="N1250" s="1" t="s">
        <v>8953</v>
      </c>
      <c r="O1250" s="1" t="s">
        <v>8989</v>
      </c>
      <c r="P1250" s="1" t="s">
        <v>8955</v>
      </c>
      <c r="Q1250" s="1" t="s">
        <v>8956</v>
      </c>
      <c r="R1250" s="1" t="s">
        <v>8975</v>
      </c>
      <c r="S1250" s="1" t="s">
        <v>4292</v>
      </c>
      <c r="T1250" s="1" t="s">
        <v>11</v>
      </c>
      <c r="U1250" s="1" t="s">
        <v>24</v>
      </c>
    </row>
    <row r="1251" spans="1:21" x14ac:dyDescent="0.2">
      <c r="A1251" s="88" t="s">
        <v>16879</v>
      </c>
      <c r="B1251" s="88" t="e">
        <f>VLOOKUP(C1251,#REF!,1,0)</f>
        <v>#REF!</v>
      </c>
      <c r="C1251" s="1" t="s">
        <v>4293</v>
      </c>
      <c r="D1251" s="1" t="s">
        <v>4294</v>
      </c>
      <c r="E1251" s="1" t="s">
        <v>9310</v>
      </c>
      <c r="F1251" s="1" t="s">
        <v>8959</v>
      </c>
      <c r="G1251" t="s">
        <v>8959</v>
      </c>
      <c r="H1251" s="1" t="s">
        <v>9154</v>
      </c>
      <c r="I1251" s="1" t="s">
        <v>8998</v>
      </c>
      <c r="J1251" s="2" t="s">
        <v>20809</v>
      </c>
      <c r="K1251" s="1" t="s">
        <v>21698</v>
      </c>
      <c r="L1251" s="1" t="s">
        <v>21600</v>
      </c>
      <c r="M1251" s="1">
        <v>68</v>
      </c>
      <c r="N1251" s="1" t="s">
        <v>8953</v>
      </c>
      <c r="O1251" s="1" t="s">
        <v>8989</v>
      </c>
      <c r="P1251" s="1" t="s">
        <v>8955</v>
      </c>
      <c r="Q1251" s="1" t="s">
        <v>8956</v>
      </c>
      <c r="R1251" s="1" t="s">
        <v>8958</v>
      </c>
      <c r="S1251" s="1" t="s">
        <v>19434</v>
      </c>
      <c r="T1251" s="1" t="s">
        <v>7</v>
      </c>
      <c r="U1251" s="1" t="s">
        <v>46</v>
      </c>
    </row>
    <row r="1252" spans="1:21" x14ac:dyDescent="0.2">
      <c r="A1252" s="88" t="s">
        <v>16880</v>
      </c>
      <c r="B1252" s="88" t="e">
        <f>VLOOKUP(C1252,#REF!,1,0)</f>
        <v>#REF!</v>
      </c>
      <c r="C1252" s="1" t="s">
        <v>4295</v>
      </c>
      <c r="D1252" s="1" t="s">
        <v>4296</v>
      </c>
      <c r="E1252" s="1" t="s">
        <v>9310</v>
      </c>
      <c r="F1252" s="1" t="s">
        <v>8957</v>
      </c>
      <c r="G1252" t="s">
        <v>9061</v>
      </c>
      <c r="H1252" s="1" t="s">
        <v>8984</v>
      </c>
      <c r="I1252" s="1" t="s">
        <v>8998</v>
      </c>
      <c r="J1252" s="2" t="s">
        <v>20779</v>
      </c>
      <c r="K1252" s="1" t="s">
        <v>9036</v>
      </c>
      <c r="L1252" s="1" t="s">
        <v>9157</v>
      </c>
      <c r="M1252" s="1">
        <v>204</v>
      </c>
      <c r="N1252" s="1" t="s">
        <v>9059</v>
      </c>
      <c r="O1252" s="1" t="s">
        <v>8989</v>
      </c>
      <c r="P1252" s="1" t="s">
        <v>8955</v>
      </c>
      <c r="Q1252" s="1" t="s">
        <v>8956</v>
      </c>
      <c r="R1252" s="1" t="s">
        <v>8958</v>
      </c>
      <c r="S1252" s="1" t="s">
        <v>19435</v>
      </c>
      <c r="T1252" s="1" t="s">
        <v>7</v>
      </c>
      <c r="U1252" s="1" t="s">
        <v>147</v>
      </c>
    </row>
    <row r="1253" spans="1:21" x14ac:dyDescent="0.2">
      <c r="A1253" s="88" t="s">
        <v>16881</v>
      </c>
      <c r="B1253" s="88" t="e">
        <f>VLOOKUP(C1253,#REF!,1,0)</f>
        <v>#REF!</v>
      </c>
      <c r="C1253" s="1" t="s">
        <v>4297</v>
      </c>
      <c r="D1253" s="1" t="s">
        <v>4298</v>
      </c>
      <c r="E1253" s="1" t="s">
        <v>9310</v>
      </c>
      <c r="F1253" s="1" t="s">
        <v>8957</v>
      </c>
      <c r="G1253" t="s">
        <v>8959</v>
      </c>
      <c r="H1253" s="1" t="s">
        <v>9154</v>
      </c>
      <c r="I1253" s="1" t="s">
        <v>8949</v>
      </c>
      <c r="J1253" s="2" t="s">
        <v>20735</v>
      </c>
      <c r="K1253" s="1" t="s">
        <v>20735</v>
      </c>
      <c r="L1253" s="1" t="s">
        <v>21600</v>
      </c>
      <c r="M1253" s="1">
        <v>243</v>
      </c>
      <c r="N1253" s="1" t="s">
        <v>8953</v>
      </c>
      <c r="O1253" s="1" t="s">
        <v>8989</v>
      </c>
      <c r="P1253" s="1" t="s">
        <v>8955</v>
      </c>
      <c r="Q1253" s="1" t="s">
        <v>8956</v>
      </c>
      <c r="R1253" s="1" t="s">
        <v>8958</v>
      </c>
      <c r="S1253" s="1" t="s">
        <v>19436</v>
      </c>
      <c r="T1253" s="1" t="s">
        <v>17</v>
      </c>
      <c r="U1253" s="1" t="s">
        <v>1076</v>
      </c>
    </row>
    <row r="1254" spans="1:21" x14ac:dyDescent="0.2">
      <c r="A1254" s="88" t="s">
        <v>16882</v>
      </c>
      <c r="B1254" s="88" t="e">
        <f>VLOOKUP(C1254,#REF!,1,0)</f>
        <v>#REF!</v>
      </c>
      <c r="C1254" s="1" t="s">
        <v>4299</v>
      </c>
      <c r="D1254" s="1" t="s">
        <v>4300</v>
      </c>
      <c r="E1254" s="1" t="s">
        <v>18502</v>
      </c>
      <c r="F1254" s="1" t="s">
        <v>8957</v>
      </c>
      <c r="G1254" t="s">
        <v>8959</v>
      </c>
      <c r="H1254" s="1" t="s">
        <v>9605</v>
      </c>
      <c r="I1254" s="1" t="s">
        <v>9101</v>
      </c>
      <c r="J1254" s="2" t="s">
        <v>20870</v>
      </c>
      <c r="K1254" s="1" t="s">
        <v>21851</v>
      </c>
      <c r="L1254" s="1" t="s">
        <v>8987</v>
      </c>
      <c r="M1254" s="1">
        <v>7641</v>
      </c>
      <c r="N1254" s="1" t="s">
        <v>8953</v>
      </c>
      <c r="O1254" s="1" t="s">
        <v>8989</v>
      </c>
      <c r="P1254" s="1" t="s">
        <v>8955</v>
      </c>
      <c r="Q1254" s="1" t="s">
        <v>8956</v>
      </c>
      <c r="R1254" s="1" t="s">
        <v>9103</v>
      </c>
      <c r="S1254" s="1" t="s">
        <v>19437</v>
      </c>
      <c r="T1254" s="1" t="s">
        <v>7</v>
      </c>
      <c r="U1254" s="1" t="s">
        <v>580</v>
      </c>
    </row>
    <row r="1255" spans="1:21" x14ac:dyDescent="0.2">
      <c r="A1255" s="88" t="s">
        <v>16883</v>
      </c>
      <c r="B1255" s="88" t="e">
        <f>VLOOKUP(C1255,#REF!,1,0)</f>
        <v>#REF!</v>
      </c>
      <c r="C1255" s="1" t="s">
        <v>4305</v>
      </c>
      <c r="D1255" s="1" t="s">
        <v>4306</v>
      </c>
      <c r="E1255" s="1" t="s">
        <v>9310</v>
      </c>
      <c r="F1255" s="1" t="s">
        <v>8957</v>
      </c>
      <c r="G1255" t="s">
        <v>8959</v>
      </c>
      <c r="H1255" s="1" t="s">
        <v>9154</v>
      </c>
      <c r="I1255" s="1" t="s">
        <v>9325</v>
      </c>
      <c r="J1255" s="2" t="s">
        <v>11623</v>
      </c>
      <c r="K1255" s="1" t="s">
        <v>11623</v>
      </c>
      <c r="L1255" s="1" t="s">
        <v>21600</v>
      </c>
      <c r="M1255" s="1">
        <v>2000</v>
      </c>
      <c r="N1255" s="1" t="s">
        <v>8953</v>
      </c>
      <c r="O1255" s="1" t="s">
        <v>8954</v>
      </c>
      <c r="P1255" s="1" t="s">
        <v>8955</v>
      </c>
      <c r="Q1255" s="1" t="s">
        <v>8956</v>
      </c>
      <c r="R1255" s="1" t="s">
        <v>9103</v>
      </c>
      <c r="S1255" s="1" t="s">
        <v>4307</v>
      </c>
      <c r="T1255" s="1" t="s">
        <v>17</v>
      </c>
      <c r="U1255" s="1" t="s">
        <v>4308</v>
      </c>
    </row>
    <row r="1256" spans="1:21" x14ac:dyDescent="0.2">
      <c r="A1256" s="88" t="s">
        <v>16884</v>
      </c>
      <c r="B1256" s="88" t="e">
        <f>VLOOKUP(C1256,#REF!,1,0)</f>
        <v>#REF!</v>
      </c>
      <c r="C1256" s="1" t="s">
        <v>4309</v>
      </c>
      <c r="D1256" s="1" t="s">
        <v>4310</v>
      </c>
      <c r="E1256" s="1" t="s">
        <v>9310</v>
      </c>
      <c r="F1256" s="1" t="s">
        <v>8959</v>
      </c>
      <c r="G1256" t="s">
        <v>9061</v>
      </c>
      <c r="H1256" s="1" t="s">
        <v>9035</v>
      </c>
      <c r="I1256" s="1" t="s">
        <v>8998</v>
      </c>
      <c r="J1256" s="2" t="s">
        <v>20779</v>
      </c>
      <c r="K1256" s="1" t="s">
        <v>9036</v>
      </c>
      <c r="L1256" s="1" t="s">
        <v>8951</v>
      </c>
      <c r="M1256" s="1">
        <v>346</v>
      </c>
      <c r="N1256" s="1" t="s">
        <v>9059</v>
      </c>
      <c r="O1256" s="1" t="s">
        <v>8989</v>
      </c>
      <c r="P1256" s="1" t="s">
        <v>8955</v>
      </c>
      <c r="Q1256" s="1" t="s">
        <v>8956</v>
      </c>
      <c r="R1256" s="1" t="s">
        <v>8958</v>
      </c>
      <c r="S1256" s="1" t="s">
        <v>19439</v>
      </c>
      <c r="T1256" s="1" t="s">
        <v>17</v>
      </c>
      <c r="U1256" s="1" t="s">
        <v>4311</v>
      </c>
    </row>
    <row r="1257" spans="1:21" x14ac:dyDescent="0.2">
      <c r="A1257" s="88" t="s">
        <v>16885</v>
      </c>
      <c r="B1257" s="88" t="e">
        <f>VLOOKUP(C1257,#REF!,1,0)</f>
        <v>#REF!</v>
      </c>
      <c r="C1257" s="1" t="s">
        <v>4312</v>
      </c>
      <c r="D1257" s="1" t="s">
        <v>4313</v>
      </c>
      <c r="E1257" s="1" t="s">
        <v>9310</v>
      </c>
      <c r="F1257" s="1" t="s">
        <v>8959</v>
      </c>
      <c r="G1257" t="s">
        <v>9061</v>
      </c>
      <c r="H1257" s="1" t="s">
        <v>9035</v>
      </c>
      <c r="I1257" s="1" t="s">
        <v>8998</v>
      </c>
      <c r="J1257" s="2" t="s">
        <v>18497</v>
      </c>
      <c r="K1257" s="1" t="s">
        <v>18497</v>
      </c>
      <c r="L1257" s="1" t="s">
        <v>9133</v>
      </c>
      <c r="M1257" s="1">
        <v>4352</v>
      </c>
      <c r="N1257" s="1" t="s">
        <v>8953</v>
      </c>
      <c r="O1257" s="1" t="s">
        <v>8954</v>
      </c>
      <c r="P1257" s="1" t="s">
        <v>8955</v>
      </c>
      <c r="Q1257" s="1" t="s">
        <v>8956</v>
      </c>
      <c r="R1257" s="1" t="s">
        <v>8975</v>
      </c>
      <c r="S1257" s="1" t="s">
        <v>19440</v>
      </c>
      <c r="T1257" s="1" t="s">
        <v>7</v>
      </c>
      <c r="U1257" s="1" t="s">
        <v>180</v>
      </c>
    </row>
    <row r="1258" spans="1:21" x14ac:dyDescent="0.2">
      <c r="A1258" s="88" t="s">
        <v>16886</v>
      </c>
      <c r="B1258" s="88" t="e">
        <f>VLOOKUP(C1258,#REF!,1,0)</f>
        <v>#REF!</v>
      </c>
      <c r="C1258" s="1" t="s">
        <v>4314</v>
      </c>
      <c r="D1258" s="1" t="s">
        <v>4315</v>
      </c>
      <c r="E1258" s="1" t="s">
        <v>9310</v>
      </c>
      <c r="F1258" s="1" t="s">
        <v>8959</v>
      </c>
      <c r="G1258" t="s">
        <v>9183</v>
      </c>
      <c r="H1258" s="1" t="s">
        <v>20714</v>
      </c>
      <c r="I1258" s="1" t="s">
        <v>8998</v>
      </c>
      <c r="J1258" s="2" t="s">
        <v>18489</v>
      </c>
      <c r="K1258" s="1" t="s">
        <v>18489</v>
      </c>
      <c r="L1258" s="1" t="s">
        <v>8951</v>
      </c>
      <c r="M1258" s="1">
        <v>16702</v>
      </c>
      <c r="N1258" s="1" t="s">
        <v>8953</v>
      </c>
      <c r="O1258" s="1" t="s">
        <v>8989</v>
      </c>
      <c r="P1258" s="1" t="s">
        <v>8955</v>
      </c>
      <c r="Q1258" s="1" t="s">
        <v>8956</v>
      </c>
      <c r="R1258" s="1" t="s">
        <v>8975</v>
      </c>
      <c r="S1258" s="1" t="s">
        <v>19441</v>
      </c>
      <c r="T1258" s="1" t="s">
        <v>7</v>
      </c>
      <c r="U1258" s="1" t="s">
        <v>4316</v>
      </c>
    </row>
    <row r="1259" spans="1:21" x14ac:dyDescent="0.2">
      <c r="A1259" s="88" t="s">
        <v>16887</v>
      </c>
      <c r="B1259" s="88" t="e">
        <f>VLOOKUP(C1259,#REF!,1,0)</f>
        <v>#REF!</v>
      </c>
      <c r="C1259" s="1" t="s">
        <v>4317</v>
      </c>
      <c r="D1259" s="1" t="s">
        <v>4318</v>
      </c>
      <c r="E1259" s="1" t="s">
        <v>9310</v>
      </c>
      <c r="F1259" s="1" t="s">
        <v>8959</v>
      </c>
      <c r="G1259" t="s">
        <v>8959</v>
      </c>
      <c r="H1259" s="1" t="s">
        <v>9100</v>
      </c>
      <c r="I1259" s="1" t="s">
        <v>8949</v>
      </c>
      <c r="J1259" s="2" t="s">
        <v>21254</v>
      </c>
      <c r="K1259" s="1" t="s">
        <v>21254</v>
      </c>
      <c r="L1259" s="1" t="s">
        <v>8987</v>
      </c>
      <c r="M1259" s="1">
        <v>84</v>
      </c>
      <c r="N1259" s="1" t="s">
        <v>9059</v>
      </c>
      <c r="O1259" s="1" t="s">
        <v>8989</v>
      </c>
      <c r="P1259" s="1" t="s">
        <v>8955</v>
      </c>
      <c r="Q1259" s="1" t="s">
        <v>8956</v>
      </c>
      <c r="R1259" s="1" t="s">
        <v>8958</v>
      </c>
      <c r="S1259" s="1" t="s">
        <v>19442</v>
      </c>
      <c r="T1259" s="1" t="s">
        <v>7</v>
      </c>
      <c r="U1259" s="1" t="s">
        <v>93</v>
      </c>
    </row>
    <row r="1260" spans="1:21" x14ac:dyDescent="0.2">
      <c r="A1260" s="88" t="s">
        <v>16888</v>
      </c>
      <c r="B1260" s="88" t="e">
        <f>VLOOKUP(C1260,#REF!,1,0)</f>
        <v>#REF!</v>
      </c>
      <c r="C1260" s="1" t="s">
        <v>4319</v>
      </c>
      <c r="D1260" s="1" t="s">
        <v>4320</v>
      </c>
      <c r="E1260" s="1" t="s">
        <v>9380</v>
      </c>
      <c r="F1260" s="1" t="s">
        <v>9060</v>
      </c>
      <c r="G1260" t="s">
        <v>8959</v>
      </c>
      <c r="H1260" s="1" t="s">
        <v>8948</v>
      </c>
      <c r="I1260" s="1" t="s">
        <v>9121</v>
      </c>
      <c r="J1260" s="2" t="s">
        <v>9036</v>
      </c>
      <c r="K1260" s="1" t="s">
        <v>9036</v>
      </c>
      <c r="L1260" s="1" t="s">
        <v>9133</v>
      </c>
      <c r="M1260" s="1">
        <v>416</v>
      </c>
      <c r="N1260" s="1" t="s">
        <v>8953</v>
      </c>
      <c r="O1260" s="1" t="s">
        <v>8989</v>
      </c>
      <c r="P1260" s="1" t="s">
        <v>8955</v>
      </c>
      <c r="Q1260" s="1" t="s">
        <v>8956</v>
      </c>
      <c r="R1260" s="1" t="s">
        <v>8958</v>
      </c>
      <c r="S1260" s="1" t="s">
        <v>4321</v>
      </c>
      <c r="T1260" s="1" t="s">
        <v>11</v>
      </c>
      <c r="U1260" s="1" t="s">
        <v>4322</v>
      </c>
    </row>
    <row r="1261" spans="1:21" x14ac:dyDescent="0.2">
      <c r="A1261" s="88" t="s">
        <v>16889</v>
      </c>
      <c r="B1261" s="88" t="e">
        <f>VLOOKUP(C1261,#REF!,1,0)</f>
        <v>#REF!</v>
      </c>
      <c r="C1261" s="1" t="s">
        <v>4323</v>
      </c>
      <c r="D1261" s="1" t="s">
        <v>4324</v>
      </c>
      <c r="E1261" s="1" t="s">
        <v>9310</v>
      </c>
      <c r="F1261" s="1" t="s">
        <v>8957</v>
      </c>
      <c r="G1261" t="s">
        <v>8959</v>
      </c>
      <c r="H1261" s="1" t="s">
        <v>8984</v>
      </c>
      <c r="I1261" s="1" t="s">
        <v>9101</v>
      </c>
      <c r="J1261" s="2" t="s">
        <v>20805</v>
      </c>
      <c r="K1261" s="1" t="s">
        <v>9212</v>
      </c>
      <c r="L1261" s="1" t="s">
        <v>9292</v>
      </c>
      <c r="M1261" s="1">
        <v>107</v>
      </c>
      <c r="N1261" s="1" t="s">
        <v>8953</v>
      </c>
      <c r="O1261" s="1" t="s">
        <v>8989</v>
      </c>
      <c r="P1261" s="1" t="s">
        <v>8955</v>
      </c>
      <c r="Q1261" s="1" t="s">
        <v>8956</v>
      </c>
      <c r="R1261" s="1" t="s">
        <v>8975</v>
      </c>
      <c r="S1261" s="1" t="s">
        <v>19443</v>
      </c>
      <c r="T1261" s="1" t="s">
        <v>7</v>
      </c>
      <c r="U1261" s="1" t="s">
        <v>4325</v>
      </c>
    </row>
    <row r="1262" spans="1:21" x14ac:dyDescent="0.2">
      <c r="A1262" s="88" t="s">
        <v>16890</v>
      </c>
      <c r="B1262" s="88" t="e">
        <f>VLOOKUP(C1262,#REF!,1,0)</f>
        <v>#REF!</v>
      </c>
      <c r="C1262" s="1" t="s">
        <v>4326</v>
      </c>
      <c r="D1262" s="1" t="s">
        <v>4327</v>
      </c>
      <c r="E1262" s="1" t="s">
        <v>9310</v>
      </c>
      <c r="F1262" s="1" t="s">
        <v>8957</v>
      </c>
      <c r="G1262" t="s">
        <v>8959</v>
      </c>
      <c r="H1262" s="1" t="s">
        <v>9100</v>
      </c>
      <c r="I1262" s="1" t="s">
        <v>9101</v>
      </c>
      <c r="J1262" s="2" t="s">
        <v>10492</v>
      </c>
      <c r="K1262" s="1" t="s">
        <v>10492</v>
      </c>
      <c r="L1262" s="1" t="s">
        <v>21600</v>
      </c>
      <c r="M1262" s="1">
        <v>210</v>
      </c>
      <c r="N1262" s="1" t="s">
        <v>8953</v>
      </c>
      <c r="O1262" s="1" t="s">
        <v>8989</v>
      </c>
      <c r="P1262" s="1" t="s">
        <v>8955</v>
      </c>
      <c r="Q1262" s="1" t="s">
        <v>8956</v>
      </c>
      <c r="R1262" s="1" t="s">
        <v>9103</v>
      </c>
      <c r="S1262" s="1" t="s">
        <v>19444</v>
      </c>
      <c r="T1262" s="1" t="s">
        <v>7</v>
      </c>
      <c r="U1262" s="1" t="s">
        <v>61</v>
      </c>
    </row>
    <row r="1263" spans="1:21" x14ac:dyDescent="0.2">
      <c r="A1263" s="88" t="s">
        <v>16892</v>
      </c>
      <c r="B1263" s="88" t="e">
        <f>VLOOKUP(C1263,#REF!,1,0)</f>
        <v>#REF!</v>
      </c>
      <c r="C1263" s="1" t="s">
        <v>4331</v>
      </c>
      <c r="D1263" s="1" t="s">
        <v>4332</v>
      </c>
      <c r="E1263" s="1" t="s">
        <v>9310</v>
      </c>
      <c r="F1263" s="1" t="s">
        <v>8957</v>
      </c>
      <c r="G1263" t="s">
        <v>9183</v>
      </c>
      <c r="H1263" s="1" t="s">
        <v>8948</v>
      </c>
      <c r="I1263" s="1" t="s">
        <v>8949</v>
      </c>
      <c r="J1263" s="2" t="s">
        <v>9036</v>
      </c>
      <c r="K1263" s="1" t="s">
        <v>9036</v>
      </c>
      <c r="L1263" s="1" t="s">
        <v>21600</v>
      </c>
      <c r="M1263" s="1">
        <v>87</v>
      </c>
      <c r="N1263" s="1" t="s">
        <v>8953</v>
      </c>
      <c r="O1263" s="1" t="s">
        <v>8954</v>
      </c>
      <c r="P1263" s="1" t="s">
        <v>8955</v>
      </c>
      <c r="Q1263" s="1" t="s">
        <v>8956</v>
      </c>
      <c r="R1263" s="1" t="s">
        <v>8975</v>
      </c>
      <c r="S1263" s="1" t="s">
        <v>4333</v>
      </c>
      <c r="T1263" s="1" t="s">
        <v>11</v>
      </c>
      <c r="U1263" s="1" t="s">
        <v>1343</v>
      </c>
    </row>
    <row r="1264" spans="1:21" x14ac:dyDescent="0.2">
      <c r="A1264" s="88" t="s">
        <v>16893</v>
      </c>
      <c r="B1264" s="88" t="e">
        <f>VLOOKUP(C1264,#REF!,1,0)</f>
        <v>#REF!</v>
      </c>
      <c r="C1264" s="1" t="s">
        <v>4334</v>
      </c>
      <c r="D1264" s="1" t="s">
        <v>4335</v>
      </c>
      <c r="E1264" s="1" t="s">
        <v>9310</v>
      </c>
      <c r="F1264" s="1" t="s">
        <v>8957</v>
      </c>
      <c r="G1264" t="s">
        <v>9061</v>
      </c>
      <c r="H1264" s="1" t="s">
        <v>8984</v>
      </c>
      <c r="I1264" s="1" t="s">
        <v>8998</v>
      </c>
      <c r="J1264" s="2" t="s">
        <v>18497</v>
      </c>
      <c r="K1264" s="1" t="s">
        <v>18497</v>
      </c>
      <c r="L1264" s="1" t="s">
        <v>9133</v>
      </c>
      <c r="M1264" s="1">
        <v>1041</v>
      </c>
      <c r="N1264" s="1" t="s">
        <v>8953</v>
      </c>
      <c r="O1264" s="1" t="s">
        <v>8989</v>
      </c>
      <c r="P1264" s="1" t="s">
        <v>8955</v>
      </c>
      <c r="Q1264" s="1" t="s">
        <v>8956</v>
      </c>
      <c r="R1264" s="1" t="s">
        <v>8958</v>
      </c>
      <c r="S1264" s="1" t="s">
        <v>19446</v>
      </c>
      <c r="T1264" s="1" t="s">
        <v>7</v>
      </c>
      <c r="U1264" s="1" t="s">
        <v>64</v>
      </c>
    </row>
    <row r="1265" spans="1:21" x14ac:dyDescent="0.2">
      <c r="A1265" s="88" t="s">
        <v>16894</v>
      </c>
      <c r="B1265" s="88" t="e">
        <f>VLOOKUP(C1265,#REF!,1,0)</f>
        <v>#REF!</v>
      </c>
      <c r="C1265" s="1" t="s">
        <v>4336</v>
      </c>
      <c r="D1265" s="1" t="s">
        <v>4337</v>
      </c>
      <c r="E1265" s="1" t="s">
        <v>9310</v>
      </c>
      <c r="F1265" s="1" t="s">
        <v>8959</v>
      </c>
      <c r="G1265" t="s">
        <v>8959</v>
      </c>
      <c r="H1265" s="1" t="s">
        <v>9075</v>
      </c>
      <c r="I1265" s="1" t="s">
        <v>8949</v>
      </c>
      <c r="J1265" s="2" t="s">
        <v>21212</v>
      </c>
      <c r="K1265" s="1" t="s">
        <v>21212</v>
      </c>
      <c r="L1265" s="1" t="s">
        <v>21600</v>
      </c>
      <c r="M1265" s="1">
        <v>1092</v>
      </c>
      <c r="N1265" s="1" t="s">
        <v>8953</v>
      </c>
      <c r="O1265" s="1" t="s">
        <v>8989</v>
      </c>
      <c r="P1265" s="1" t="s">
        <v>8955</v>
      </c>
      <c r="Q1265" s="1" t="s">
        <v>8956</v>
      </c>
      <c r="R1265" s="1" t="s">
        <v>9103</v>
      </c>
      <c r="S1265" s="1" t="s">
        <v>19447</v>
      </c>
      <c r="T1265" s="1" t="s">
        <v>7</v>
      </c>
      <c r="U1265" s="1" t="s">
        <v>46</v>
      </c>
    </row>
    <row r="1266" spans="1:21" x14ac:dyDescent="0.2">
      <c r="A1266" s="88" t="s">
        <v>16895</v>
      </c>
      <c r="B1266" s="88" t="e">
        <f>VLOOKUP(C1266,#REF!,1,0)</f>
        <v>#REF!</v>
      </c>
      <c r="C1266" s="1" t="s">
        <v>4338</v>
      </c>
      <c r="D1266" s="1" t="s">
        <v>4339</v>
      </c>
      <c r="E1266" s="1" t="s">
        <v>9310</v>
      </c>
      <c r="F1266" s="1" t="s">
        <v>8957</v>
      </c>
      <c r="G1266" t="s">
        <v>8959</v>
      </c>
      <c r="H1266" s="1" t="s">
        <v>20871</v>
      </c>
      <c r="I1266" s="1" t="s">
        <v>8959</v>
      </c>
      <c r="J1266" s="2" t="s">
        <v>20779</v>
      </c>
      <c r="K1266" s="1" t="s">
        <v>9036</v>
      </c>
      <c r="L1266" s="1" t="s">
        <v>8987</v>
      </c>
      <c r="M1266" s="1">
        <v>300</v>
      </c>
      <c r="N1266" s="1" t="s">
        <v>8953</v>
      </c>
      <c r="O1266" s="1" t="s">
        <v>8989</v>
      </c>
      <c r="P1266" s="1" t="s">
        <v>8955</v>
      </c>
      <c r="Q1266" s="1" t="s">
        <v>8956</v>
      </c>
      <c r="R1266" s="1" t="s">
        <v>8975</v>
      </c>
      <c r="S1266" s="1" t="s">
        <v>19448</v>
      </c>
      <c r="T1266" s="1" t="s">
        <v>7</v>
      </c>
      <c r="U1266" s="1" t="s">
        <v>808</v>
      </c>
    </row>
    <row r="1267" spans="1:21" x14ac:dyDescent="0.2">
      <c r="A1267" s="88" t="s">
        <v>16896</v>
      </c>
      <c r="B1267" s="88" t="e">
        <f>VLOOKUP(C1267,#REF!,1,0)</f>
        <v>#REF!</v>
      </c>
      <c r="C1267" s="1" t="s">
        <v>4340</v>
      </c>
      <c r="D1267" s="1" t="s">
        <v>4341</v>
      </c>
      <c r="E1267" s="1" t="s">
        <v>9010</v>
      </c>
      <c r="F1267" s="1" t="s">
        <v>8957</v>
      </c>
      <c r="G1267" t="s">
        <v>8959</v>
      </c>
      <c r="H1267" s="1" t="s">
        <v>8948</v>
      </c>
      <c r="I1267" s="1" t="s">
        <v>9101</v>
      </c>
      <c r="J1267" s="2" t="s">
        <v>9036</v>
      </c>
      <c r="K1267" s="1" t="s">
        <v>9036</v>
      </c>
      <c r="L1267" s="1" t="s">
        <v>9076</v>
      </c>
      <c r="M1267" s="1">
        <v>68</v>
      </c>
      <c r="N1267" s="1" t="s">
        <v>8953</v>
      </c>
      <c r="O1267" s="1" t="s">
        <v>8954</v>
      </c>
      <c r="P1267" s="1" t="s">
        <v>8955</v>
      </c>
      <c r="Q1267" s="1" t="s">
        <v>8956</v>
      </c>
      <c r="R1267" s="1" t="s">
        <v>8958</v>
      </c>
      <c r="S1267" s="1" t="s">
        <v>4342</v>
      </c>
      <c r="T1267" s="1" t="s">
        <v>4</v>
      </c>
      <c r="U1267" s="1" t="s">
        <v>61</v>
      </c>
    </row>
    <row r="1268" spans="1:21" x14ac:dyDescent="0.2">
      <c r="A1268" s="88" t="s">
        <v>16897</v>
      </c>
      <c r="B1268" s="88" t="e">
        <f>VLOOKUP(C1268,#REF!,1,0)</f>
        <v>#REF!</v>
      </c>
      <c r="C1268" s="1" t="s">
        <v>4343</v>
      </c>
      <c r="D1268" s="1" t="s">
        <v>4344</v>
      </c>
      <c r="E1268" s="1" t="s">
        <v>9010</v>
      </c>
      <c r="F1268" s="1" t="s">
        <v>8957</v>
      </c>
      <c r="G1268" t="s">
        <v>8959</v>
      </c>
      <c r="H1268" s="1" t="s">
        <v>8948</v>
      </c>
      <c r="I1268" s="1" t="s">
        <v>9155</v>
      </c>
      <c r="J1268" s="2" t="s">
        <v>9036</v>
      </c>
      <c r="K1268" s="1" t="s">
        <v>9036</v>
      </c>
      <c r="L1268" s="1" t="s">
        <v>9133</v>
      </c>
      <c r="M1268" s="1">
        <v>830</v>
      </c>
      <c r="N1268" s="1" t="s">
        <v>9059</v>
      </c>
      <c r="O1268" s="1" t="s">
        <v>8989</v>
      </c>
      <c r="P1268" s="1" t="s">
        <v>8955</v>
      </c>
      <c r="Q1268" s="1" t="s">
        <v>8956</v>
      </c>
      <c r="R1268" s="1" t="s">
        <v>8958</v>
      </c>
      <c r="S1268" s="1" t="s">
        <v>4345</v>
      </c>
      <c r="T1268" s="1" t="s">
        <v>929</v>
      </c>
      <c r="U1268" s="1" t="s">
        <v>921</v>
      </c>
    </row>
    <row r="1269" spans="1:21" x14ac:dyDescent="0.2">
      <c r="A1269" s="88" t="s">
        <v>16898</v>
      </c>
      <c r="B1269" s="88" t="e">
        <f>VLOOKUP(C1269,#REF!,1,0)</f>
        <v>#REF!</v>
      </c>
      <c r="C1269" s="1" t="s">
        <v>4346</v>
      </c>
      <c r="D1269" s="1" t="s">
        <v>4347</v>
      </c>
      <c r="E1269" s="1" t="s">
        <v>18502</v>
      </c>
      <c r="F1269" s="1" t="s">
        <v>8959</v>
      </c>
      <c r="G1269" t="s">
        <v>8959</v>
      </c>
      <c r="H1269" s="1" t="s">
        <v>9154</v>
      </c>
      <c r="I1269" s="1" t="s">
        <v>9308</v>
      </c>
      <c r="J1269" s="2" t="s">
        <v>9036</v>
      </c>
      <c r="K1269" s="1" t="s">
        <v>9036</v>
      </c>
      <c r="L1269" s="1" t="s">
        <v>8951</v>
      </c>
      <c r="M1269" s="1">
        <v>792</v>
      </c>
      <c r="N1269" s="1" t="s">
        <v>8953</v>
      </c>
      <c r="O1269" s="1" t="s">
        <v>8989</v>
      </c>
      <c r="P1269" s="1" t="s">
        <v>8955</v>
      </c>
      <c r="Q1269" s="1" t="s">
        <v>8956</v>
      </c>
      <c r="R1269" s="1" t="s">
        <v>8958</v>
      </c>
      <c r="S1269" s="1" t="s">
        <v>19449</v>
      </c>
      <c r="T1269" s="1" t="s">
        <v>7</v>
      </c>
      <c r="U1269" s="1" t="s">
        <v>853</v>
      </c>
    </row>
    <row r="1270" spans="1:21" x14ac:dyDescent="0.2">
      <c r="A1270" s="88" t="s">
        <v>16899</v>
      </c>
      <c r="B1270" s="88" t="e">
        <f>VLOOKUP(C1270,#REF!,1,0)</f>
        <v>#REF!</v>
      </c>
      <c r="C1270" s="1" t="s">
        <v>4348</v>
      </c>
      <c r="D1270" s="1" t="s">
        <v>4349</v>
      </c>
      <c r="E1270" s="1" t="s">
        <v>9310</v>
      </c>
      <c r="F1270" s="1" t="s">
        <v>8957</v>
      </c>
      <c r="G1270" t="s">
        <v>8959</v>
      </c>
      <c r="H1270" s="1" t="s">
        <v>9252</v>
      </c>
      <c r="I1270" s="1" t="s">
        <v>9253</v>
      </c>
      <c r="J1270" s="2" t="s">
        <v>9599</v>
      </c>
      <c r="K1270" s="1" t="s">
        <v>9599</v>
      </c>
      <c r="L1270" s="1" t="s">
        <v>9464</v>
      </c>
      <c r="M1270" s="1">
        <v>661</v>
      </c>
      <c r="N1270" s="1" t="s">
        <v>8953</v>
      </c>
      <c r="O1270" s="1" t="s">
        <v>8989</v>
      </c>
      <c r="P1270" s="1" t="s">
        <v>8955</v>
      </c>
      <c r="Q1270" s="1" t="s">
        <v>8956</v>
      </c>
      <c r="R1270" s="1" t="s">
        <v>8975</v>
      </c>
      <c r="S1270" s="1" t="s">
        <v>4350</v>
      </c>
      <c r="T1270" s="1" t="s">
        <v>11</v>
      </c>
      <c r="U1270" s="1" t="s">
        <v>378</v>
      </c>
    </row>
    <row r="1271" spans="1:21" x14ac:dyDescent="0.2">
      <c r="A1271" s="88" t="s">
        <v>16900</v>
      </c>
      <c r="B1271" s="88" t="e">
        <f>VLOOKUP(C1271,#REF!,1,0)</f>
        <v>#REF!</v>
      </c>
      <c r="C1271" s="1" t="s">
        <v>4351</v>
      </c>
      <c r="D1271" s="1" t="s">
        <v>4352</v>
      </c>
      <c r="E1271" s="1" t="s">
        <v>9310</v>
      </c>
      <c r="F1271" s="1" t="s">
        <v>8957</v>
      </c>
      <c r="G1271" t="s">
        <v>8959</v>
      </c>
      <c r="H1271" s="1" t="s">
        <v>8948</v>
      </c>
      <c r="I1271" s="1" t="s">
        <v>8998</v>
      </c>
      <c r="J1271" s="2" t="s">
        <v>10492</v>
      </c>
      <c r="K1271" s="1" t="s">
        <v>10492</v>
      </c>
      <c r="L1271" s="1" t="s">
        <v>21600</v>
      </c>
      <c r="M1271" s="1">
        <v>20676</v>
      </c>
      <c r="N1271" s="1" t="s">
        <v>8953</v>
      </c>
      <c r="O1271" s="1" t="s">
        <v>8989</v>
      </c>
      <c r="P1271" s="1" t="s">
        <v>8955</v>
      </c>
      <c r="Q1271" s="1" t="s">
        <v>8956</v>
      </c>
      <c r="R1271" s="1" t="s">
        <v>8958</v>
      </c>
      <c r="S1271" s="1" t="s">
        <v>19450</v>
      </c>
      <c r="T1271" s="1" t="s">
        <v>17</v>
      </c>
      <c r="U1271" s="1" t="s">
        <v>1322</v>
      </c>
    </row>
    <row r="1272" spans="1:21" x14ac:dyDescent="0.2">
      <c r="A1272" s="88" t="s">
        <v>16901</v>
      </c>
      <c r="B1272" s="88" t="e">
        <f>VLOOKUP(C1272,#REF!,1,0)</f>
        <v>#REF!</v>
      </c>
      <c r="C1272" s="1" t="s">
        <v>4353</v>
      </c>
      <c r="D1272" s="1" t="s">
        <v>4354</v>
      </c>
      <c r="E1272" s="1" t="s">
        <v>9310</v>
      </c>
      <c r="F1272" s="1" t="s">
        <v>8957</v>
      </c>
      <c r="G1272" t="s">
        <v>8959</v>
      </c>
      <c r="H1272" s="1" t="s">
        <v>9035</v>
      </c>
      <c r="I1272" s="1" t="s">
        <v>8998</v>
      </c>
      <c r="J1272" s="2" t="s">
        <v>21252</v>
      </c>
      <c r="K1272" s="1" t="s">
        <v>21699</v>
      </c>
      <c r="L1272" s="1" t="s">
        <v>8951</v>
      </c>
      <c r="M1272" s="1">
        <v>1010</v>
      </c>
      <c r="N1272" s="1" t="s">
        <v>9059</v>
      </c>
      <c r="O1272" s="1" t="s">
        <v>8954</v>
      </c>
      <c r="P1272" s="1" t="s">
        <v>8955</v>
      </c>
      <c r="Q1272" s="1" t="s">
        <v>8956</v>
      </c>
      <c r="R1272" s="1" t="s">
        <v>8975</v>
      </c>
      <c r="S1272" s="1" t="s">
        <v>19451</v>
      </c>
      <c r="T1272" s="1" t="s">
        <v>17</v>
      </c>
      <c r="U1272" s="1" t="s">
        <v>378</v>
      </c>
    </row>
    <row r="1273" spans="1:21" x14ac:dyDescent="0.2">
      <c r="A1273" s="88" t="s">
        <v>16902</v>
      </c>
      <c r="B1273" s="88" t="e">
        <f>VLOOKUP(C1273,#REF!,1,0)</f>
        <v>#REF!</v>
      </c>
      <c r="C1273" s="1" t="s">
        <v>4355</v>
      </c>
      <c r="D1273" s="1" t="s">
        <v>4356</v>
      </c>
      <c r="E1273" s="1" t="s">
        <v>18502</v>
      </c>
      <c r="F1273" s="1" t="s">
        <v>8957</v>
      </c>
      <c r="G1273" t="s">
        <v>8959</v>
      </c>
      <c r="H1273" s="1" t="s">
        <v>9035</v>
      </c>
      <c r="I1273" s="1" t="s">
        <v>9725</v>
      </c>
      <c r="J1273" s="2" t="s">
        <v>20779</v>
      </c>
      <c r="K1273" s="1" t="s">
        <v>9036</v>
      </c>
      <c r="L1273" s="1" t="s">
        <v>9464</v>
      </c>
      <c r="M1273" s="1">
        <v>21</v>
      </c>
      <c r="N1273" s="1" t="s">
        <v>9059</v>
      </c>
      <c r="O1273" s="1" t="s">
        <v>8989</v>
      </c>
      <c r="P1273" s="1" t="s">
        <v>8955</v>
      </c>
      <c r="Q1273" s="1" t="s">
        <v>8956</v>
      </c>
      <c r="R1273" s="1" t="s">
        <v>8958</v>
      </c>
      <c r="S1273" s="1" t="s">
        <v>19452</v>
      </c>
      <c r="T1273" s="1" t="s">
        <v>7</v>
      </c>
      <c r="U1273" s="1" t="s">
        <v>378</v>
      </c>
    </row>
    <row r="1274" spans="1:21" x14ac:dyDescent="0.2">
      <c r="A1274" s="88" t="s">
        <v>16904</v>
      </c>
      <c r="B1274" s="88" t="e">
        <f>VLOOKUP(C1274,#REF!,1,0)</f>
        <v>#REF!</v>
      </c>
      <c r="C1274" s="1" t="s">
        <v>4359</v>
      </c>
      <c r="D1274" s="1" t="s">
        <v>4360</v>
      </c>
      <c r="E1274" s="1" t="s">
        <v>9310</v>
      </c>
      <c r="F1274" s="1" t="s">
        <v>8959</v>
      </c>
      <c r="G1274" t="s">
        <v>8959</v>
      </c>
      <c r="H1274" s="1" t="s">
        <v>9605</v>
      </c>
      <c r="I1274" s="1" t="s">
        <v>9155</v>
      </c>
      <c r="J1274" s="2" t="s">
        <v>18497</v>
      </c>
      <c r="K1274" s="1" t="s">
        <v>18497</v>
      </c>
      <c r="L1274" s="1" t="s">
        <v>8951</v>
      </c>
      <c r="M1274" s="1">
        <v>730</v>
      </c>
      <c r="N1274" s="1" t="s">
        <v>8953</v>
      </c>
      <c r="O1274" s="1" t="s">
        <v>8989</v>
      </c>
      <c r="P1274" s="1" t="s">
        <v>8955</v>
      </c>
      <c r="Q1274" s="1" t="s">
        <v>8956</v>
      </c>
      <c r="R1274" s="1" t="s">
        <v>8975</v>
      </c>
      <c r="S1274" s="1" t="s">
        <v>19454</v>
      </c>
      <c r="T1274" s="1" t="s">
        <v>7</v>
      </c>
      <c r="U1274" s="1" t="s">
        <v>213</v>
      </c>
    </row>
    <row r="1275" spans="1:21" x14ac:dyDescent="0.2">
      <c r="A1275" s="88" t="s">
        <v>16905</v>
      </c>
      <c r="B1275" s="88" t="e">
        <f>VLOOKUP(C1275,#REF!,1,0)</f>
        <v>#REF!</v>
      </c>
      <c r="C1275" s="1" t="s">
        <v>4361</v>
      </c>
      <c r="D1275" s="1" t="s">
        <v>4362</v>
      </c>
      <c r="E1275" s="1" t="s">
        <v>9310</v>
      </c>
      <c r="F1275" s="1" t="s">
        <v>8957</v>
      </c>
      <c r="G1275" t="s">
        <v>8959</v>
      </c>
      <c r="H1275" s="1" t="s">
        <v>8948</v>
      </c>
      <c r="I1275" s="1" t="s">
        <v>9155</v>
      </c>
      <c r="J1275" s="2" t="s">
        <v>20776</v>
      </c>
      <c r="K1275" s="1" t="s">
        <v>20776</v>
      </c>
      <c r="L1275" s="1" t="s">
        <v>9076</v>
      </c>
      <c r="M1275" s="1">
        <v>4909</v>
      </c>
      <c r="N1275" s="1" t="s">
        <v>8953</v>
      </c>
      <c r="O1275" s="1" t="s">
        <v>8989</v>
      </c>
      <c r="P1275" s="1" t="s">
        <v>8955</v>
      </c>
      <c r="Q1275" s="1" t="s">
        <v>8956</v>
      </c>
      <c r="R1275" s="1" t="s">
        <v>8958</v>
      </c>
      <c r="S1275" s="1" t="s">
        <v>19455</v>
      </c>
      <c r="T1275" s="1" t="s">
        <v>7</v>
      </c>
      <c r="U1275" s="1" t="s">
        <v>4363</v>
      </c>
    </row>
    <row r="1276" spans="1:21" x14ac:dyDescent="0.2">
      <c r="A1276" s="88" t="s">
        <v>16906</v>
      </c>
      <c r="B1276" s="88" t="e">
        <f>VLOOKUP(C1276,#REF!,1,0)</f>
        <v>#REF!</v>
      </c>
      <c r="C1276" s="1" t="s">
        <v>4367</v>
      </c>
      <c r="D1276" s="1" t="s">
        <v>4368</v>
      </c>
      <c r="E1276" s="1" t="s">
        <v>9310</v>
      </c>
      <c r="F1276" s="1" t="s">
        <v>8957</v>
      </c>
      <c r="G1276" t="s">
        <v>8959</v>
      </c>
      <c r="H1276" s="1" t="s">
        <v>20714</v>
      </c>
      <c r="I1276" s="1" t="s">
        <v>9101</v>
      </c>
      <c r="J1276" s="2" t="s">
        <v>21353</v>
      </c>
      <c r="K1276" s="1" t="s">
        <v>21353</v>
      </c>
      <c r="L1276" s="1" t="s">
        <v>9133</v>
      </c>
      <c r="M1276" s="1">
        <v>1772</v>
      </c>
      <c r="N1276" s="1" t="s">
        <v>8953</v>
      </c>
      <c r="O1276" s="1" t="s">
        <v>8989</v>
      </c>
      <c r="P1276" s="1" t="s">
        <v>8955</v>
      </c>
      <c r="Q1276" s="1" t="s">
        <v>8956</v>
      </c>
      <c r="R1276" s="1" t="s">
        <v>8975</v>
      </c>
      <c r="S1276" s="1" t="s">
        <v>19457</v>
      </c>
      <c r="T1276" s="1" t="s">
        <v>7</v>
      </c>
      <c r="U1276" s="1" t="s">
        <v>4369</v>
      </c>
    </row>
    <row r="1277" spans="1:21" x14ac:dyDescent="0.2">
      <c r="A1277" s="88" t="s">
        <v>16907</v>
      </c>
      <c r="B1277" s="88" t="e">
        <f>VLOOKUP(C1277,#REF!,1,0)</f>
        <v>#REF!</v>
      </c>
      <c r="C1277" s="1" t="s">
        <v>4370</v>
      </c>
      <c r="D1277" s="1" t="s">
        <v>4371</v>
      </c>
      <c r="E1277" s="1" t="s">
        <v>9310</v>
      </c>
      <c r="F1277" s="1" t="s">
        <v>8957</v>
      </c>
      <c r="G1277" t="s">
        <v>9183</v>
      </c>
      <c r="H1277" s="1" t="s">
        <v>8984</v>
      </c>
      <c r="I1277" s="1" t="s">
        <v>8998</v>
      </c>
      <c r="J1277" s="2" t="s">
        <v>11962</v>
      </c>
      <c r="K1277" s="1" t="s">
        <v>11962</v>
      </c>
      <c r="L1277" s="1" t="s">
        <v>21600</v>
      </c>
      <c r="M1277" s="1">
        <v>201</v>
      </c>
      <c r="N1277" s="1" t="s">
        <v>8953</v>
      </c>
      <c r="O1277" s="1" t="s">
        <v>8954</v>
      </c>
      <c r="P1277" s="1" t="s">
        <v>8955</v>
      </c>
      <c r="Q1277" s="1" t="s">
        <v>8956</v>
      </c>
      <c r="R1277" s="1" t="s">
        <v>8958</v>
      </c>
      <c r="S1277" s="1" t="s">
        <v>4372</v>
      </c>
      <c r="T1277" s="1" t="s">
        <v>11</v>
      </c>
      <c r="U1277" s="1" t="s">
        <v>61</v>
      </c>
    </row>
    <row r="1278" spans="1:21" x14ac:dyDescent="0.2">
      <c r="A1278" s="88" t="s">
        <v>16908</v>
      </c>
      <c r="B1278" s="88" t="e">
        <f>VLOOKUP(C1278,#REF!,1,0)</f>
        <v>#REF!</v>
      </c>
      <c r="C1278" s="1" t="s">
        <v>4373</v>
      </c>
      <c r="D1278" s="1" t="s">
        <v>4374</v>
      </c>
      <c r="E1278" s="1" t="s">
        <v>9310</v>
      </c>
      <c r="F1278" s="1" t="s">
        <v>8957</v>
      </c>
      <c r="G1278" t="s">
        <v>8959</v>
      </c>
      <c r="H1278" s="1" t="s">
        <v>9092</v>
      </c>
      <c r="I1278" s="1" t="s">
        <v>8949</v>
      </c>
      <c r="J1278" s="2" t="s">
        <v>9436</v>
      </c>
      <c r="K1278" s="1" t="s">
        <v>9436</v>
      </c>
      <c r="L1278" s="1" t="s">
        <v>21600</v>
      </c>
      <c r="M1278" s="1">
        <v>96</v>
      </c>
      <c r="N1278" s="1" t="s">
        <v>8953</v>
      </c>
      <c r="O1278" s="1" t="s">
        <v>8954</v>
      </c>
      <c r="P1278" s="1" t="s">
        <v>8955</v>
      </c>
      <c r="Q1278" s="1" t="s">
        <v>8956</v>
      </c>
      <c r="R1278" s="1" t="s">
        <v>8975</v>
      </c>
      <c r="S1278" s="1" t="s">
        <v>4375</v>
      </c>
      <c r="T1278" s="1" t="s">
        <v>11</v>
      </c>
      <c r="U1278" s="1" t="s">
        <v>126</v>
      </c>
    </row>
    <row r="1279" spans="1:21" x14ac:dyDescent="0.2">
      <c r="A1279" s="88" t="s">
        <v>16909</v>
      </c>
      <c r="B1279" s="88" t="e">
        <f>VLOOKUP(C1279,#REF!,1,0)</f>
        <v>#REF!</v>
      </c>
      <c r="C1279" s="1" t="s">
        <v>4376</v>
      </c>
      <c r="D1279" s="1" t="s">
        <v>4377</v>
      </c>
      <c r="E1279" s="1" t="s">
        <v>9310</v>
      </c>
      <c r="F1279" s="1" t="s">
        <v>8957</v>
      </c>
      <c r="G1279" t="s">
        <v>9061</v>
      </c>
      <c r="H1279" s="1" t="s">
        <v>9035</v>
      </c>
      <c r="I1279" s="1" t="s">
        <v>8998</v>
      </c>
      <c r="J1279" s="2" t="s">
        <v>9036</v>
      </c>
      <c r="K1279" s="1" t="s">
        <v>9036</v>
      </c>
      <c r="L1279" s="1" t="s">
        <v>8951</v>
      </c>
      <c r="M1279" s="1">
        <v>200</v>
      </c>
      <c r="N1279" s="1" t="s">
        <v>8953</v>
      </c>
      <c r="O1279" s="1" t="s">
        <v>8989</v>
      </c>
      <c r="P1279" s="1" t="s">
        <v>8955</v>
      </c>
      <c r="Q1279" s="1" t="s">
        <v>8956</v>
      </c>
      <c r="R1279" s="1" t="s">
        <v>8975</v>
      </c>
      <c r="S1279" s="1" t="s">
        <v>4378</v>
      </c>
      <c r="T1279" s="1" t="s">
        <v>17</v>
      </c>
      <c r="U1279" s="1" t="s">
        <v>4379</v>
      </c>
    </row>
    <row r="1280" spans="1:21" x14ac:dyDescent="0.2">
      <c r="A1280" s="88" t="s">
        <v>16910</v>
      </c>
      <c r="B1280" s="88" t="e">
        <f>VLOOKUP(C1280,#REF!,1,0)</f>
        <v>#REF!</v>
      </c>
      <c r="C1280" s="1" t="s">
        <v>4380</v>
      </c>
      <c r="D1280" s="1" t="s">
        <v>4381</v>
      </c>
      <c r="E1280" s="1" t="s">
        <v>9310</v>
      </c>
      <c r="F1280" s="1" t="s">
        <v>8957</v>
      </c>
      <c r="G1280" t="s">
        <v>8959</v>
      </c>
      <c r="H1280" s="1" t="s">
        <v>9943</v>
      </c>
      <c r="I1280" s="1" t="s">
        <v>8971</v>
      </c>
      <c r="J1280" s="2" t="s">
        <v>20779</v>
      </c>
      <c r="K1280" s="1" t="s">
        <v>9036</v>
      </c>
      <c r="L1280" s="1" t="s">
        <v>21600</v>
      </c>
      <c r="M1280" s="1">
        <v>548</v>
      </c>
      <c r="N1280" s="1" t="s">
        <v>8953</v>
      </c>
      <c r="O1280" s="1" t="s">
        <v>8954</v>
      </c>
      <c r="P1280" s="1" t="s">
        <v>8955</v>
      </c>
      <c r="Q1280" s="1" t="s">
        <v>8956</v>
      </c>
      <c r="R1280" s="1" t="s">
        <v>9103</v>
      </c>
      <c r="S1280" s="1" t="s">
        <v>19458</v>
      </c>
      <c r="T1280" s="1" t="s">
        <v>7</v>
      </c>
      <c r="U1280" s="1" t="s">
        <v>4382</v>
      </c>
    </row>
    <row r="1281" spans="1:21" x14ac:dyDescent="0.2">
      <c r="A1281" s="88" t="s">
        <v>16911</v>
      </c>
      <c r="B1281" s="88" t="e">
        <f>VLOOKUP(C1281,#REF!,1,0)</f>
        <v>#REF!</v>
      </c>
      <c r="C1281" s="1" t="s">
        <v>4383</v>
      </c>
      <c r="D1281" s="1" t="s">
        <v>4384</v>
      </c>
      <c r="E1281" s="1" t="s">
        <v>9310</v>
      </c>
      <c r="F1281" s="1" t="s">
        <v>8957</v>
      </c>
      <c r="G1281" t="s">
        <v>8959</v>
      </c>
      <c r="H1281" s="1" t="s">
        <v>9252</v>
      </c>
      <c r="I1281" s="1" t="s">
        <v>18504</v>
      </c>
      <c r="J1281" s="2" t="s">
        <v>10525</v>
      </c>
      <c r="K1281" s="1" t="s">
        <v>21650</v>
      </c>
      <c r="L1281" s="1" t="s">
        <v>8987</v>
      </c>
      <c r="M1281" s="1">
        <v>441</v>
      </c>
      <c r="N1281" s="1" t="s">
        <v>9059</v>
      </c>
      <c r="O1281" s="1" t="s">
        <v>8989</v>
      </c>
      <c r="P1281" s="1" t="s">
        <v>8955</v>
      </c>
      <c r="Q1281" s="1" t="s">
        <v>8956</v>
      </c>
      <c r="R1281" s="1" t="s">
        <v>8975</v>
      </c>
      <c r="S1281" s="1" t="s">
        <v>19459</v>
      </c>
      <c r="T1281" s="1" t="s">
        <v>7</v>
      </c>
      <c r="U1281" s="1" t="s">
        <v>147</v>
      </c>
    </row>
    <row r="1282" spans="1:21" x14ac:dyDescent="0.2">
      <c r="A1282" s="88" t="s">
        <v>16912</v>
      </c>
      <c r="B1282" s="88" t="e">
        <f>VLOOKUP(C1282,#REF!,1,0)</f>
        <v>#REF!</v>
      </c>
      <c r="C1282" s="1" t="s">
        <v>4385</v>
      </c>
      <c r="D1282" s="1" t="s">
        <v>4386</v>
      </c>
      <c r="E1282" s="1" t="s">
        <v>9310</v>
      </c>
      <c r="F1282" s="1" t="s">
        <v>8957</v>
      </c>
      <c r="G1282" t="s">
        <v>8959</v>
      </c>
      <c r="H1282" s="1" t="s">
        <v>9035</v>
      </c>
      <c r="I1282" s="1" t="s">
        <v>9308</v>
      </c>
      <c r="J1282" s="2" t="s">
        <v>20779</v>
      </c>
      <c r="K1282" s="1" t="s">
        <v>9036</v>
      </c>
      <c r="L1282" s="1" t="s">
        <v>8951</v>
      </c>
      <c r="M1282" s="1">
        <v>725</v>
      </c>
      <c r="N1282" s="1" t="s">
        <v>8953</v>
      </c>
      <c r="O1282" s="1" t="s">
        <v>8954</v>
      </c>
      <c r="P1282" s="1" t="s">
        <v>8955</v>
      </c>
      <c r="Q1282" s="1" t="s">
        <v>8956</v>
      </c>
      <c r="R1282" s="1" t="s">
        <v>8958</v>
      </c>
      <c r="S1282" s="1" t="s">
        <v>19460</v>
      </c>
      <c r="T1282" s="1" t="s">
        <v>7</v>
      </c>
      <c r="U1282" s="1" t="s">
        <v>8</v>
      </c>
    </row>
    <row r="1283" spans="1:21" x14ac:dyDescent="0.2">
      <c r="A1283" s="88" t="s">
        <v>16913</v>
      </c>
      <c r="B1283" s="88" t="e">
        <f>VLOOKUP(C1283,#REF!,1,0)</f>
        <v>#REF!</v>
      </c>
      <c r="C1283" s="1" t="s">
        <v>4387</v>
      </c>
      <c r="D1283" s="1" t="s">
        <v>4388</v>
      </c>
      <c r="E1283" s="1" t="s">
        <v>18502</v>
      </c>
      <c r="F1283" s="1" t="s">
        <v>8974</v>
      </c>
      <c r="G1283" t="s">
        <v>8959</v>
      </c>
      <c r="H1283" s="1" t="s">
        <v>9035</v>
      </c>
      <c r="I1283" s="1" t="s">
        <v>8998</v>
      </c>
      <c r="J1283" s="2" t="s">
        <v>20779</v>
      </c>
      <c r="K1283" s="1" t="s">
        <v>9036</v>
      </c>
      <c r="L1283" s="1" t="s">
        <v>8987</v>
      </c>
      <c r="M1283" s="1">
        <v>280</v>
      </c>
      <c r="N1283" s="1" t="s">
        <v>8953</v>
      </c>
      <c r="O1283" s="1" t="s">
        <v>8989</v>
      </c>
      <c r="P1283" s="1" t="s">
        <v>8955</v>
      </c>
      <c r="Q1283" s="1" t="s">
        <v>8956</v>
      </c>
      <c r="R1283" s="1" t="s">
        <v>8975</v>
      </c>
      <c r="S1283" s="1" t="s">
        <v>20632</v>
      </c>
      <c r="T1283" s="1" t="s">
        <v>17</v>
      </c>
      <c r="U1283" s="1" t="s">
        <v>831</v>
      </c>
    </row>
    <row r="1284" spans="1:21" x14ac:dyDescent="0.2">
      <c r="A1284" s="88" t="s">
        <v>16914</v>
      </c>
      <c r="B1284" s="88" t="e">
        <f>VLOOKUP(C1284,#REF!,1,0)</f>
        <v>#REF!</v>
      </c>
      <c r="C1284" s="1" t="s">
        <v>4389</v>
      </c>
      <c r="D1284" s="1" t="s">
        <v>4390</v>
      </c>
      <c r="E1284" s="1" t="s">
        <v>18502</v>
      </c>
      <c r="F1284" s="1" t="s">
        <v>8959</v>
      </c>
      <c r="G1284" t="s">
        <v>8959</v>
      </c>
      <c r="H1284" s="1" t="s">
        <v>9173</v>
      </c>
      <c r="I1284" s="1" t="s">
        <v>9174</v>
      </c>
      <c r="J1284" s="2" t="s">
        <v>21371</v>
      </c>
      <c r="K1284" s="1" t="s">
        <v>21371</v>
      </c>
      <c r="L1284" s="1" t="s">
        <v>9292</v>
      </c>
      <c r="M1284" s="1">
        <v>10015</v>
      </c>
      <c r="N1284" s="1" t="s">
        <v>8953</v>
      </c>
      <c r="O1284" s="1" t="s">
        <v>8954</v>
      </c>
      <c r="P1284" s="1" t="s">
        <v>8955</v>
      </c>
      <c r="Q1284" s="1" t="s">
        <v>8956</v>
      </c>
      <c r="R1284" s="1" t="s">
        <v>9103</v>
      </c>
      <c r="S1284" s="1" t="s">
        <v>19461</v>
      </c>
      <c r="T1284" s="1" t="s">
        <v>17</v>
      </c>
      <c r="U1284" s="1" t="s">
        <v>46</v>
      </c>
    </row>
    <row r="1285" spans="1:21" x14ac:dyDescent="0.2">
      <c r="A1285" s="88" t="s">
        <v>16915</v>
      </c>
      <c r="B1285" s="88" t="e">
        <f>VLOOKUP(C1285,#REF!,1,0)</f>
        <v>#REF!</v>
      </c>
      <c r="C1285" s="1" t="s">
        <v>4391</v>
      </c>
      <c r="D1285" s="1" t="s">
        <v>4392</v>
      </c>
      <c r="E1285" s="1" t="s">
        <v>9310</v>
      </c>
      <c r="F1285" s="1" t="s">
        <v>8957</v>
      </c>
      <c r="G1285" t="s">
        <v>8959</v>
      </c>
      <c r="H1285" s="1" t="s">
        <v>20712</v>
      </c>
      <c r="I1285" s="1" t="s">
        <v>9155</v>
      </c>
      <c r="J1285" s="2" t="s">
        <v>20779</v>
      </c>
      <c r="K1285" s="1" t="s">
        <v>9036</v>
      </c>
      <c r="L1285" s="1" t="s">
        <v>21600</v>
      </c>
      <c r="M1285" s="1">
        <v>3351</v>
      </c>
      <c r="N1285" s="1" t="s">
        <v>8953</v>
      </c>
      <c r="O1285" s="1" t="s">
        <v>8954</v>
      </c>
      <c r="P1285" s="1" t="s">
        <v>8955</v>
      </c>
      <c r="Q1285" s="1" t="s">
        <v>8956</v>
      </c>
      <c r="R1285" s="1" t="s">
        <v>8958</v>
      </c>
      <c r="S1285" s="1" t="s">
        <v>19462</v>
      </c>
      <c r="T1285" s="1" t="s">
        <v>7</v>
      </c>
      <c r="U1285" s="1" t="s">
        <v>2204</v>
      </c>
    </row>
    <row r="1286" spans="1:21" x14ac:dyDescent="0.2">
      <c r="A1286" s="88" t="s">
        <v>16916</v>
      </c>
      <c r="B1286" s="88" t="e">
        <f>VLOOKUP(C1286,#REF!,1,0)</f>
        <v>#REF!</v>
      </c>
      <c r="C1286" s="1" t="s">
        <v>4393</v>
      </c>
      <c r="D1286" s="1" t="s">
        <v>4394</v>
      </c>
      <c r="E1286" s="1" t="s">
        <v>9310</v>
      </c>
      <c r="F1286" s="1" t="s">
        <v>8957</v>
      </c>
      <c r="G1286" t="s">
        <v>9183</v>
      </c>
      <c r="H1286" s="1" t="s">
        <v>9100</v>
      </c>
      <c r="I1286" s="1" t="s">
        <v>9101</v>
      </c>
      <c r="J1286" s="2" t="s">
        <v>12140</v>
      </c>
      <c r="K1286" s="1" t="s">
        <v>21791</v>
      </c>
      <c r="L1286" s="1" t="s">
        <v>8987</v>
      </c>
      <c r="M1286" s="1">
        <v>33</v>
      </c>
      <c r="N1286" s="1" t="s">
        <v>8953</v>
      </c>
      <c r="O1286" s="1" t="s">
        <v>8989</v>
      </c>
      <c r="P1286" s="1" t="s">
        <v>8955</v>
      </c>
      <c r="Q1286" s="1" t="s">
        <v>8956</v>
      </c>
      <c r="R1286" s="1" t="s">
        <v>8958</v>
      </c>
      <c r="S1286" s="1" t="s">
        <v>4395</v>
      </c>
      <c r="T1286" s="1" t="s">
        <v>11</v>
      </c>
      <c r="U1286" s="1" t="s">
        <v>64</v>
      </c>
    </row>
    <row r="1287" spans="1:21" x14ac:dyDescent="0.2">
      <c r="A1287" s="88" t="s">
        <v>16917</v>
      </c>
      <c r="B1287" s="88" t="e">
        <f>VLOOKUP(C1287,#REF!,1,0)</f>
        <v>#REF!</v>
      </c>
      <c r="C1287" s="1" t="s">
        <v>4396</v>
      </c>
      <c r="D1287" s="1" t="s">
        <v>4397</v>
      </c>
      <c r="E1287" s="1" t="s">
        <v>9310</v>
      </c>
      <c r="F1287" s="1" t="s">
        <v>8959</v>
      </c>
      <c r="G1287" t="s">
        <v>9183</v>
      </c>
      <c r="H1287" s="1" t="s">
        <v>9092</v>
      </c>
      <c r="I1287" s="1" t="s">
        <v>9308</v>
      </c>
      <c r="J1287" s="2" t="s">
        <v>9658</v>
      </c>
      <c r="K1287" s="1" t="s">
        <v>9658</v>
      </c>
      <c r="L1287" s="1" t="s">
        <v>9133</v>
      </c>
      <c r="M1287" s="1">
        <v>1875</v>
      </c>
      <c r="N1287" s="1" t="s">
        <v>8953</v>
      </c>
      <c r="O1287" s="1" t="s">
        <v>8989</v>
      </c>
      <c r="P1287" s="1" t="s">
        <v>8955</v>
      </c>
      <c r="Q1287" s="1" t="s">
        <v>8956</v>
      </c>
      <c r="R1287" s="1" t="s">
        <v>8975</v>
      </c>
      <c r="S1287" s="1" t="s">
        <v>4398</v>
      </c>
      <c r="T1287" s="1" t="s">
        <v>17</v>
      </c>
      <c r="U1287" s="1" t="s">
        <v>147</v>
      </c>
    </row>
    <row r="1288" spans="1:21" x14ac:dyDescent="0.2">
      <c r="A1288" s="88" t="s">
        <v>16918</v>
      </c>
      <c r="B1288" s="88" t="e">
        <f>VLOOKUP(C1288,#REF!,1,0)</f>
        <v>#REF!</v>
      </c>
      <c r="C1288" s="1" t="s">
        <v>4399</v>
      </c>
      <c r="D1288" s="1" t="s">
        <v>4400</v>
      </c>
      <c r="E1288" s="1" t="s">
        <v>18502</v>
      </c>
      <c r="F1288" s="1" t="s">
        <v>8959</v>
      </c>
      <c r="G1288" t="s">
        <v>8959</v>
      </c>
      <c r="H1288" s="1" t="s">
        <v>8948</v>
      </c>
      <c r="I1288" s="1" t="s">
        <v>8998</v>
      </c>
      <c r="J1288" s="2" t="s">
        <v>20779</v>
      </c>
      <c r="K1288" s="1" t="s">
        <v>9036</v>
      </c>
      <c r="L1288" s="1" t="s">
        <v>9076</v>
      </c>
      <c r="M1288" s="1">
        <v>118</v>
      </c>
      <c r="N1288" s="1" t="s">
        <v>9059</v>
      </c>
      <c r="O1288" s="1" t="s">
        <v>8989</v>
      </c>
      <c r="P1288" s="1" t="s">
        <v>8955</v>
      </c>
      <c r="Q1288" s="1" t="s">
        <v>8956</v>
      </c>
      <c r="R1288" s="1" t="s">
        <v>8958</v>
      </c>
      <c r="S1288" s="1" t="s">
        <v>19463</v>
      </c>
      <c r="T1288" s="1" t="s">
        <v>17</v>
      </c>
      <c r="U1288" s="1" t="s">
        <v>61</v>
      </c>
    </row>
    <row r="1289" spans="1:21" x14ac:dyDescent="0.2">
      <c r="A1289" s="88" t="s">
        <v>16919</v>
      </c>
      <c r="B1289" s="88" t="e">
        <f>VLOOKUP(C1289,#REF!,1,0)</f>
        <v>#REF!</v>
      </c>
      <c r="C1289" s="1" t="s">
        <v>4401</v>
      </c>
      <c r="D1289" s="1" t="s">
        <v>4402</v>
      </c>
      <c r="E1289" s="1" t="s">
        <v>9310</v>
      </c>
      <c r="F1289" s="1" t="s">
        <v>8957</v>
      </c>
      <c r="G1289" t="s">
        <v>8959</v>
      </c>
      <c r="H1289" s="1" t="s">
        <v>8948</v>
      </c>
      <c r="I1289" s="1" t="s">
        <v>9155</v>
      </c>
      <c r="J1289" s="2" t="s">
        <v>10629</v>
      </c>
      <c r="K1289" s="1" t="s">
        <v>10629</v>
      </c>
      <c r="L1289" s="1" t="s">
        <v>9076</v>
      </c>
      <c r="M1289" s="1">
        <v>4909</v>
      </c>
      <c r="N1289" s="1" t="s">
        <v>8953</v>
      </c>
      <c r="O1289" s="1" t="s">
        <v>8989</v>
      </c>
      <c r="P1289" s="1" t="s">
        <v>8955</v>
      </c>
      <c r="Q1289" s="1" t="s">
        <v>8956</v>
      </c>
      <c r="R1289" s="1" t="s">
        <v>8958</v>
      </c>
      <c r="S1289" s="1" t="s">
        <v>19464</v>
      </c>
      <c r="T1289" s="1" t="s">
        <v>7</v>
      </c>
      <c r="U1289" s="1" t="s">
        <v>1343</v>
      </c>
    </row>
    <row r="1290" spans="1:21" x14ac:dyDescent="0.2">
      <c r="A1290" s="88" t="s">
        <v>16920</v>
      </c>
      <c r="B1290" s="88" t="e">
        <f>VLOOKUP(C1290,#REF!,1,0)</f>
        <v>#REF!</v>
      </c>
      <c r="C1290" s="1" t="s">
        <v>4403</v>
      </c>
      <c r="D1290" s="1" t="s">
        <v>4404</v>
      </c>
      <c r="E1290" s="1" t="s">
        <v>9310</v>
      </c>
      <c r="F1290" s="1" t="s">
        <v>8959</v>
      </c>
      <c r="G1290" t="s">
        <v>9183</v>
      </c>
      <c r="H1290" s="1" t="s">
        <v>9092</v>
      </c>
      <c r="I1290" s="1" t="s">
        <v>9308</v>
      </c>
      <c r="J1290" s="2" t="s">
        <v>18497</v>
      </c>
      <c r="K1290" s="1" t="s">
        <v>18497</v>
      </c>
      <c r="L1290" s="1" t="s">
        <v>9133</v>
      </c>
      <c r="M1290" s="1">
        <v>23225</v>
      </c>
      <c r="N1290" s="1" t="s">
        <v>8953</v>
      </c>
      <c r="O1290" s="1" t="s">
        <v>8989</v>
      </c>
      <c r="P1290" s="1" t="s">
        <v>8955</v>
      </c>
      <c r="Q1290" s="1" t="s">
        <v>8956</v>
      </c>
      <c r="R1290" s="1" t="s">
        <v>9103</v>
      </c>
      <c r="S1290" s="1" t="s">
        <v>19465</v>
      </c>
      <c r="T1290" s="1" t="s">
        <v>7</v>
      </c>
      <c r="U1290" s="1" t="s">
        <v>27</v>
      </c>
    </row>
    <row r="1291" spans="1:21" x14ac:dyDescent="0.2">
      <c r="A1291" s="88" t="s">
        <v>16922</v>
      </c>
      <c r="B1291" s="88" t="e">
        <f>VLOOKUP(C1291,#REF!,1,0)</f>
        <v>#REF!</v>
      </c>
      <c r="C1291" s="1" t="s">
        <v>4407</v>
      </c>
      <c r="D1291" s="1" t="s">
        <v>4408</v>
      </c>
      <c r="E1291" s="1" t="s">
        <v>9310</v>
      </c>
      <c r="F1291" s="1" t="s">
        <v>8959</v>
      </c>
      <c r="G1291" t="s">
        <v>8959</v>
      </c>
      <c r="H1291" s="1" t="s">
        <v>9100</v>
      </c>
      <c r="I1291" s="1" t="s">
        <v>9155</v>
      </c>
      <c r="J1291" s="2" t="s">
        <v>20872</v>
      </c>
      <c r="K1291" s="1" t="s">
        <v>13541</v>
      </c>
      <c r="L1291" s="1" t="s">
        <v>9133</v>
      </c>
      <c r="M1291" s="1">
        <v>103</v>
      </c>
      <c r="N1291" s="1" t="s">
        <v>9059</v>
      </c>
      <c r="O1291" s="1" t="s">
        <v>8954</v>
      </c>
      <c r="P1291" s="1" t="s">
        <v>8955</v>
      </c>
      <c r="Q1291" s="1" t="s">
        <v>8956</v>
      </c>
      <c r="R1291" s="1" t="s">
        <v>9103</v>
      </c>
      <c r="S1291" s="1" t="s">
        <v>19467</v>
      </c>
      <c r="T1291" s="1" t="s">
        <v>17</v>
      </c>
      <c r="U1291" s="1" t="s">
        <v>5</v>
      </c>
    </row>
    <row r="1292" spans="1:21" x14ac:dyDescent="0.2">
      <c r="A1292" s="88" t="s">
        <v>16923</v>
      </c>
      <c r="B1292" s="88" t="e">
        <f>VLOOKUP(C1292,#REF!,1,0)</f>
        <v>#REF!</v>
      </c>
      <c r="C1292" s="1" t="s">
        <v>4409</v>
      </c>
      <c r="D1292" s="1" t="s">
        <v>4410</v>
      </c>
      <c r="E1292" s="1" t="s">
        <v>9310</v>
      </c>
      <c r="F1292" s="1" t="s">
        <v>8957</v>
      </c>
      <c r="G1292" t="s">
        <v>8959</v>
      </c>
      <c r="H1292" s="1" t="s">
        <v>9173</v>
      </c>
      <c r="I1292" s="1" t="s">
        <v>9174</v>
      </c>
      <c r="J1292" s="2" t="s">
        <v>9036</v>
      </c>
      <c r="K1292" s="1" t="s">
        <v>9036</v>
      </c>
      <c r="L1292" s="1" t="s">
        <v>8951</v>
      </c>
      <c r="M1292" s="1">
        <v>2000</v>
      </c>
      <c r="N1292" s="1" t="s">
        <v>8953</v>
      </c>
      <c r="O1292" s="1" t="s">
        <v>8989</v>
      </c>
      <c r="P1292" s="1" t="s">
        <v>8955</v>
      </c>
      <c r="Q1292" s="1" t="s">
        <v>8956</v>
      </c>
      <c r="R1292" s="1" t="s">
        <v>9103</v>
      </c>
      <c r="S1292" s="1" t="s">
        <v>4411</v>
      </c>
      <c r="T1292" s="1" t="s">
        <v>11</v>
      </c>
      <c r="U1292" s="1" t="s">
        <v>210</v>
      </c>
    </row>
    <row r="1293" spans="1:21" x14ac:dyDescent="0.2">
      <c r="A1293" s="88" t="s">
        <v>16924</v>
      </c>
      <c r="B1293" s="88" t="e">
        <f>VLOOKUP(C1293,#REF!,1,0)</f>
        <v>#REF!</v>
      </c>
      <c r="C1293" s="1" t="s">
        <v>4412</v>
      </c>
      <c r="D1293" s="1" t="s">
        <v>4413</v>
      </c>
      <c r="E1293" s="1" t="s">
        <v>9310</v>
      </c>
      <c r="F1293" s="1" t="s">
        <v>8957</v>
      </c>
      <c r="G1293" t="s">
        <v>8959</v>
      </c>
      <c r="H1293" s="1" t="s">
        <v>9035</v>
      </c>
      <c r="I1293" s="1" t="s">
        <v>8998</v>
      </c>
      <c r="J1293" s="2" t="s">
        <v>18497</v>
      </c>
      <c r="K1293" s="1" t="s">
        <v>18497</v>
      </c>
      <c r="L1293" s="1" t="s">
        <v>8987</v>
      </c>
      <c r="M1293" s="1">
        <v>2675</v>
      </c>
      <c r="N1293" s="1" t="s">
        <v>8953</v>
      </c>
      <c r="O1293" s="1" t="s">
        <v>8954</v>
      </c>
      <c r="P1293" s="1" t="s">
        <v>8955</v>
      </c>
      <c r="Q1293" s="1" t="s">
        <v>8956</v>
      </c>
      <c r="R1293" s="1" t="s">
        <v>8975</v>
      </c>
      <c r="S1293" s="1" t="s">
        <v>19468</v>
      </c>
      <c r="T1293" s="1" t="s">
        <v>7</v>
      </c>
      <c r="U1293" s="1" t="s">
        <v>27</v>
      </c>
    </row>
    <row r="1294" spans="1:21" x14ac:dyDescent="0.2">
      <c r="A1294" s="88" t="s">
        <v>16925</v>
      </c>
      <c r="B1294" s="88" t="e">
        <f>VLOOKUP(C1294,#REF!,1,0)</f>
        <v>#REF!</v>
      </c>
      <c r="C1294" s="1" t="s">
        <v>4414</v>
      </c>
      <c r="D1294" s="1" t="s">
        <v>4415</v>
      </c>
      <c r="E1294" s="1" t="s">
        <v>9310</v>
      </c>
      <c r="F1294" s="1" t="s">
        <v>8957</v>
      </c>
      <c r="G1294" t="s">
        <v>8959</v>
      </c>
      <c r="H1294" s="1" t="s">
        <v>9252</v>
      </c>
      <c r="I1294" s="1" t="s">
        <v>9269</v>
      </c>
      <c r="J1294" s="2" t="s">
        <v>9270</v>
      </c>
      <c r="K1294" s="1" t="s">
        <v>9270</v>
      </c>
      <c r="L1294" s="1" t="s">
        <v>8987</v>
      </c>
      <c r="M1294" s="1">
        <v>478</v>
      </c>
      <c r="N1294" s="1" t="s">
        <v>8953</v>
      </c>
      <c r="O1294" s="1" t="s">
        <v>8954</v>
      </c>
      <c r="P1294" s="1" t="s">
        <v>8955</v>
      </c>
      <c r="Q1294" s="1" t="s">
        <v>8956</v>
      </c>
      <c r="R1294" s="1" t="s">
        <v>8958</v>
      </c>
      <c r="S1294" s="1" t="s">
        <v>4416</v>
      </c>
      <c r="T1294" s="1" t="s">
        <v>17</v>
      </c>
      <c r="U1294" s="1" t="s">
        <v>15</v>
      </c>
    </row>
    <row r="1295" spans="1:21" x14ac:dyDescent="0.2">
      <c r="A1295" s="88" t="s">
        <v>16926</v>
      </c>
      <c r="B1295" s="88" t="e">
        <f>VLOOKUP(C1295,#REF!,1,0)</f>
        <v>#REF!</v>
      </c>
      <c r="C1295" s="1" t="s">
        <v>4417</v>
      </c>
      <c r="D1295" s="1" t="s">
        <v>4418</v>
      </c>
      <c r="E1295" s="1" t="s">
        <v>10166</v>
      </c>
      <c r="F1295" s="1" t="s">
        <v>8957</v>
      </c>
      <c r="G1295" t="s">
        <v>8959</v>
      </c>
      <c r="H1295" s="1" t="s">
        <v>9605</v>
      </c>
      <c r="I1295" s="1" t="s">
        <v>9101</v>
      </c>
      <c r="J1295" s="2" t="s">
        <v>9051</v>
      </c>
      <c r="K1295" s="1" t="s">
        <v>9051</v>
      </c>
      <c r="L1295" s="1" t="s">
        <v>9076</v>
      </c>
      <c r="M1295" s="1">
        <v>12000</v>
      </c>
      <c r="N1295" s="1" t="s">
        <v>8953</v>
      </c>
      <c r="O1295" s="1" t="s">
        <v>8954</v>
      </c>
      <c r="P1295" s="1" t="s">
        <v>8955</v>
      </c>
      <c r="Q1295" s="1" t="s">
        <v>8956</v>
      </c>
      <c r="R1295" s="1" t="s">
        <v>8975</v>
      </c>
      <c r="S1295" s="1" t="s">
        <v>4419</v>
      </c>
      <c r="T1295" s="1" t="s">
        <v>11</v>
      </c>
      <c r="U1295" s="1" t="s">
        <v>493</v>
      </c>
    </row>
    <row r="1296" spans="1:21" x14ac:dyDescent="0.2">
      <c r="A1296" s="88" t="s">
        <v>16927</v>
      </c>
      <c r="B1296" s="88" t="e">
        <f>VLOOKUP(C1296,#REF!,1,0)</f>
        <v>#REF!</v>
      </c>
      <c r="C1296" s="1" t="s">
        <v>4424</v>
      </c>
      <c r="D1296" s="1" t="s">
        <v>4425</v>
      </c>
      <c r="E1296" s="1" t="s">
        <v>18502</v>
      </c>
      <c r="F1296" s="1" t="s">
        <v>8957</v>
      </c>
      <c r="G1296" t="s">
        <v>8959</v>
      </c>
      <c r="H1296" s="1" t="s">
        <v>8948</v>
      </c>
      <c r="I1296" s="1" t="s">
        <v>8949</v>
      </c>
      <c r="J1296" s="2" t="s">
        <v>20779</v>
      </c>
      <c r="K1296" s="1" t="s">
        <v>9036</v>
      </c>
      <c r="L1296" s="1" t="s">
        <v>8987</v>
      </c>
      <c r="M1296" s="1">
        <v>3921</v>
      </c>
      <c r="N1296" s="1" t="s">
        <v>8953</v>
      </c>
      <c r="O1296" s="1" t="s">
        <v>8954</v>
      </c>
      <c r="P1296" s="1" t="s">
        <v>8955</v>
      </c>
      <c r="Q1296" s="1" t="s">
        <v>8956</v>
      </c>
      <c r="R1296" s="1" t="s">
        <v>8958</v>
      </c>
      <c r="S1296" s="1" t="s">
        <v>20633</v>
      </c>
      <c r="T1296" s="1" t="s">
        <v>7</v>
      </c>
      <c r="U1296" s="1" t="s">
        <v>4426</v>
      </c>
    </row>
    <row r="1297" spans="1:21" x14ac:dyDescent="0.2">
      <c r="A1297" s="88" t="s">
        <v>16929</v>
      </c>
      <c r="B1297" s="88" t="e">
        <f>VLOOKUP(C1297,#REF!,1,0)</f>
        <v>#REF!</v>
      </c>
      <c r="C1297" s="1" t="s">
        <v>4429</v>
      </c>
      <c r="D1297" s="1" t="s">
        <v>4430</v>
      </c>
      <c r="E1297" s="1" t="s">
        <v>9010</v>
      </c>
      <c r="F1297" s="1" t="s">
        <v>8957</v>
      </c>
      <c r="G1297" t="s">
        <v>8959</v>
      </c>
      <c r="H1297" s="1" t="s">
        <v>9100</v>
      </c>
      <c r="I1297" s="1" t="s">
        <v>9121</v>
      </c>
      <c r="J1297" s="2" t="s">
        <v>9036</v>
      </c>
      <c r="K1297" s="1" t="s">
        <v>9036</v>
      </c>
      <c r="L1297" s="1" t="s">
        <v>9292</v>
      </c>
      <c r="M1297" s="1">
        <v>58000</v>
      </c>
      <c r="N1297" s="1" t="s">
        <v>8953</v>
      </c>
      <c r="O1297" s="1" t="s">
        <v>8954</v>
      </c>
      <c r="P1297" s="1" t="s">
        <v>8955</v>
      </c>
      <c r="Q1297" s="1" t="s">
        <v>8956</v>
      </c>
      <c r="R1297" s="1" t="s">
        <v>8958</v>
      </c>
      <c r="S1297" s="1" t="s">
        <v>4431</v>
      </c>
      <c r="T1297" s="1" t="s">
        <v>11</v>
      </c>
      <c r="U1297" s="1" t="s">
        <v>467</v>
      </c>
    </row>
    <row r="1298" spans="1:21" x14ac:dyDescent="0.2">
      <c r="A1298" s="88" t="s">
        <v>16930</v>
      </c>
      <c r="B1298" s="88" t="e">
        <f>VLOOKUP(C1298,#REF!,1,0)</f>
        <v>#REF!</v>
      </c>
      <c r="C1298" s="1" t="s">
        <v>4432</v>
      </c>
      <c r="D1298" s="1" t="s">
        <v>4433</v>
      </c>
      <c r="E1298" s="1" t="s">
        <v>9310</v>
      </c>
      <c r="F1298" s="1" t="s">
        <v>8957</v>
      </c>
      <c r="G1298" t="s">
        <v>8959</v>
      </c>
      <c r="H1298" s="1" t="s">
        <v>20712</v>
      </c>
      <c r="I1298" s="1" t="s">
        <v>8998</v>
      </c>
      <c r="J1298" s="2" t="s">
        <v>10629</v>
      </c>
      <c r="K1298" s="1" t="s">
        <v>10629</v>
      </c>
      <c r="L1298" s="1" t="s">
        <v>9076</v>
      </c>
      <c r="M1298" s="1">
        <v>2412</v>
      </c>
      <c r="N1298" s="1" t="s">
        <v>8953</v>
      </c>
      <c r="O1298" s="1" t="s">
        <v>8989</v>
      </c>
      <c r="P1298" s="1" t="s">
        <v>8955</v>
      </c>
      <c r="Q1298" s="1" t="s">
        <v>8956</v>
      </c>
      <c r="R1298" s="1" t="s">
        <v>8975</v>
      </c>
      <c r="S1298" s="1" t="s">
        <v>19471</v>
      </c>
      <c r="T1298" s="1" t="s">
        <v>17</v>
      </c>
      <c r="U1298" s="1" t="s">
        <v>210</v>
      </c>
    </row>
    <row r="1299" spans="1:21" x14ac:dyDescent="0.2">
      <c r="A1299" s="88" t="s">
        <v>16931</v>
      </c>
      <c r="B1299" s="88" t="e">
        <f>VLOOKUP(C1299,#REF!,1,0)</f>
        <v>#REF!</v>
      </c>
      <c r="C1299" s="1" t="s">
        <v>4434</v>
      </c>
      <c r="D1299" s="1" t="s">
        <v>4435</v>
      </c>
      <c r="E1299" s="1" t="s">
        <v>9310</v>
      </c>
      <c r="F1299" s="1" t="s">
        <v>8957</v>
      </c>
      <c r="G1299" t="s">
        <v>8959</v>
      </c>
      <c r="H1299" s="1" t="s">
        <v>20714</v>
      </c>
      <c r="I1299" s="1" t="s">
        <v>8959</v>
      </c>
      <c r="J1299" s="2" t="s">
        <v>21278</v>
      </c>
      <c r="K1299" s="1" t="s">
        <v>21278</v>
      </c>
      <c r="L1299" s="1" t="s">
        <v>9133</v>
      </c>
      <c r="M1299" s="1">
        <v>40562</v>
      </c>
      <c r="N1299" s="1" t="s">
        <v>8953</v>
      </c>
      <c r="O1299" s="1" t="s">
        <v>8954</v>
      </c>
      <c r="P1299" s="1" t="s">
        <v>8955</v>
      </c>
      <c r="Q1299" s="1" t="s">
        <v>8956</v>
      </c>
      <c r="R1299" s="1" t="s">
        <v>8975</v>
      </c>
      <c r="S1299" s="1" t="s">
        <v>19472</v>
      </c>
      <c r="T1299" s="1" t="s">
        <v>7</v>
      </c>
      <c r="U1299" s="1" t="s">
        <v>2819</v>
      </c>
    </row>
    <row r="1300" spans="1:21" x14ac:dyDescent="0.2">
      <c r="A1300" s="88" t="s">
        <v>16932</v>
      </c>
      <c r="B1300" s="88" t="e">
        <f>VLOOKUP(C1300,#REF!,1,0)</f>
        <v>#REF!</v>
      </c>
      <c r="C1300" s="1" t="s">
        <v>4436</v>
      </c>
      <c r="D1300" s="1" t="s">
        <v>4437</v>
      </c>
      <c r="E1300" s="1" t="s">
        <v>9310</v>
      </c>
      <c r="F1300" s="1" t="s">
        <v>8974</v>
      </c>
      <c r="G1300" t="s">
        <v>9009</v>
      </c>
      <c r="H1300" s="1" t="s">
        <v>9049</v>
      </c>
      <c r="I1300" s="1" t="s">
        <v>9050</v>
      </c>
      <c r="J1300" s="2" t="s">
        <v>9036</v>
      </c>
      <c r="K1300" s="1" t="s">
        <v>9036</v>
      </c>
      <c r="L1300" s="1" t="s">
        <v>8951</v>
      </c>
      <c r="M1300" s="1">
        <v>48116</v>
      </c>
      <c r="N1300" s="1" t="s">
        <v>8953</v>
      </c>
      <c r="O1300" s="1" t="s">
        <v>8989</v>
      </c>
      <c r="P1300" s="1" t="s">
        <v>8955</v>
      </c>
      <c r="Q1300" s="1" t="s">
        <v>8956</v>
      </c>
      <c r="R1300" s="1" t="s">
        <v>8958</v>
      </c>
      <c r="S1300" s="1" t="s">
        <v>4438</v>
      </c>
      <c r="T1300" s="1" t="s">
        <v>11</v>
      </c>
      <c r="U1300" s="1" t="s">
        <v>447</v>
      </c>
    </row>
    <row r="1301" spans="1:21" x14ac:dyDescent="0.2">
      <c r="A1301" s="88" t="s">
        <v>16933</v>
      </c>
      <c r="B1301" s="88"/>
      <c r="C1301" s="1" t="s">
        <v>4439</v>
      </c>
      <c r="D1301" s="1" t="s">
        <v>4440</v>
      </c>
      <c r="E1301" s="1" t="e">
        <v>#N/A</v>
      </c>
      <c r="F1301" s="1" t="e">
        <v>#N/A</v>
      </c>
      <c r="G1301" t="e">
        <v>#N/A</v>
      </c>
      <c r="H1301" s="1" t="e">
        <v>#N/A</v>
      </c>
      <c r="I1301" s="1" t="e">
        <v>#N/A</v>
      </c>
      <c r="J1301" s="2" t="e">
        <v>#N/A</v>
      </c>
      <c r="K1301" s="1" t="e">
        <v>#N/A</v>
      </c>
      <c r="L1301" s="1" t="e">
        <v>#N/A</v>
      </c>
      <c r="M1301" s="1" t="e">
        <v>#N/A</v>
      </c>
      <c r="N1301" s="1" t="e">
        <v>#N/A</v>
      </c>
      <c r="O1301" s="1" t="e">
        <v>#N/A</v>
      </c>
      <c r="P1301" s="1" t="s">
        <v>8955</v>
      </c>
      <c r="Q1301" s="1" t="s">
        <v>8956</v>
      </c>
      <c r="R1301" s="1" t="s">
        <v>8975</v>
      </c>
      <c r="S1301" s="1" t="s">
        <v>19473</v>
      </c>
      <c r="T1301" s="1" t="s">
        <v>252</v>
      </c>
      <c r="U1301" s="1" t="s">
        <v>200</v>
      </c>
    </row>
    <row r="1302" spans="1:21" x14ac:dyDescent="0.2">
      <c r="A1302" s="88" t="s">
        <v>16934</v>
      </c>
      <c r="B1302" s="88" t="e">
        <f>VLOOKUP(C1302,#REF!,1,0)</f>
        <v>#REF!</v>
      </c>
      <c r="C1302" s="1" t="s">
        <v>4441</v>
      </c>
      <c r="D1302" s="1" t="s">
        <v>4442</v>
      </c>
      <c r="E1302" s="1" t="s">
        <v>9310</v>
      </c>
      <c r="F1302" s="1" t="s">
        <v>8957</v>
      </c>
      <c r="G1302" t="s">
        <v>9183</v>
      </c>
      <c r="H1302" s="1" t="s">
        <v>9049</v>
      </c>
      <c r="I1302" s="1" t="s">
        <v>9050</v>
      </c>
      <c r="J1302" s="2" t="s">
        <v>9036</v>
      </c>
      <c r="K1302" s="1" t="s">
        <v>9036</v>
      </c>
      <c r="L1302" s="1" t="s">
        <v>8951</v>
      </c>
      <c r="M1302" s="1">
        <v>71043</v>
      </c>
      <c r="N1302" s="1" t="s">
        <v>8953</v>
      </c>
      <c r="O1302" s="1" t="s">
        <v>8989</v>
      </c>
      <c r="P1302" s="1" t="s">
        <v>8955</v>
      </c>
      <c r="Q1302" s="1" t="s">
        <v>8956</v>
      </c>
      <c r="R1302" s="1" t="s">
        <v>8975</v>
      </c>
      <c r="S1302" s="1" t="s">
        <v>4443</v>
      </c>
      <c r="T1302" s="1" t="s">
        <v>11</v>
      </c>
      <c r="U1302" s="1" t="s">
        <v>4444</v>
      </c>
    </row>
    <row r="1303" spans="1:21" x14ac:dyDescent="0.2">
      <c r="A1303" s="88" t="s">
        <v>16935</v>
      </c>
      <c r="B1303" s="88" t="e">
        <f>VLOOKUP(C1303,#REF!,1,0)</f>
        <v>#REF!</v>
      </c>
      <c r="C1303" s="1" t="s">
        <v>4445</v>
      </c>
      <c r="D1303" s="1" t="s">
        <v>4446</v>
      </c>
      <c r="E1303" s="1" t="s">
        <v>9333</v>
      </c>
      <c r="F1303" s="1" t="s">
        <v>8957</v>
      </c>
      <c r="G1303" t="s">
        <v>8959</v>
      </c>
      <c r="H1303" s="1" t="s">
        <v>8984</v>
      </c>
      <c r="I1303" s="1" t="s">
        <v>9308</v>
      </c>
      <c r="J1303" s="2" t="s">
        <v>21199</v>
      </c>
      <c r="K1303" s="1" t="s">
        <v>21199</v>
      </c>
      <c r="L1303" s="1" t="s">
        <v>8987</v>
      </c>
      <c r="M1303" s="1">
        <v>815</v>
      </c>
      <c r="N1303" s="1" t="s">
        <v>8953</v>
      </c>
      <c r="O1303" s="1" t="s">
        <v>8989</v>
      </c>
      <c r="P1303" s="1" t="s">
        <v>8955</v>
      </c>
      <c r="Q1303" s="1" t="s">
        <v>8956</v>
      </c>
      <c r="R1303" s="1" t="s">
        <v>9103</v>
      </c>
      <c r="S1303" s="1" t="s">
        <v>19474</v>
      </c>
      <c r="T1303" s="1" t="s">
        <v>7</v>
      </c>
      <c r="U1303" s="1" t="s">
        <v>5</v>
      </c>
    </row>
    <row r="1304" spans="1:21" x14ac:dyDescent="0.2">
      <c r="A1304" s="88" t="s">
        <v>16936</v>
      </c>
      <c r="B1304" s="88" t="e">
        <f>VLOOKUP(C1304,#REF!,1,0)</f>
        <v>#REF!</v>
      </c>
      <c r="C1304" s="1" t="s">
        <v>4447</v>
      </c>
      <c r="D1304" s="1" t="s">
        <v>4448</v>
      </c>
      <c r="E1304" s="1" t="s">
        <v>9310</v>
      </c>
      <c r="F1304" s="1" t="s">
        <v>8957</v>
      </c>
      <c r="G1304" t="s">
        <v>8959</v>
      </c>
      <c r="H1304" s="1" t="s">
        <v>9100</v>
      </c>
      <c r="I1304" s="1" t="s">
        <v>8949</v>
      </c>
      <c r="J1304" s="2" t="s">
        <v>9036</v>
      </c>
      <c r="K1304" s="1" t="s">
        <v>9036</v>
      </c>
      <c r="L1304" s="1" t="s">
        <v>8951</v>
      </c>
      <c r="M1304" s="1">
        <v>151</v>
      </c>
      <c r="N1304" s="1" t="s">
        <v>8953</v>
      </c>
      <c r="O1304" s="1" t="s">
        <v>8989</v>
      </c>
      <c r="P1304" s="1" t="s">
        <v>8955</v>
      </c>
      <c r="Q1304" s="1" t="s">
        <v>8956</v>
      </c>
      <c r="R1304" s="1" t="s">
        <v>8958</v>
      </c>
      <c r="S1304" s="1" t="s">
        <v>4449</v>
      </c>
      <c r="T1304" s="1" t="s">
        <v>4</v>
      </c>
      <c r="U1304" s="1" t="s">
        <v>24</v>
      </c>
    </row>
    <row r="1305" spans="1:21" x14ac:dyDescent="0.2">
      <c r="A1305" s="88" t="s">
        <v>16937</v>
      </c>
      <c r="B1305" s="88" t="e">
        <f>VLOOKUP(C1305,#REF!,1,0)</f>
        <v>#REF!</v>
      </c>
      <c r="C1305" s="1" t="s">
        <v>4450</v>
      </c>
      <c r="D1305" s="1" t="s">
        <v>4451</v>
      </c>
      <c r="E1305" s="1" t="s">
        <v>9310</v>
      </c>
      <c r="F1305" s="1" t="s">
        <v>8957</v>
      </c>
      <c r="G1305" t="s">
        <v>8959</v>
      </c>
      <c r="H1305" s="1" t="s">
        <v>9035</v>
      </c>
      <c r="I1305" s="1" t="s">
        <v>8998</v>
      </c>
      <c r="J1305" s="2" t="s">
        <v>21350</v>
      </c>
      <c r="K1305" s="1" t="s">
        <v>21350</v>
      </c>
      <c r="L1305" s="1" t="s">
        <v>21600</v>
      </c>
      <c r="M1305" s="1">
        <v>513</v>
      </c>
      <c r="N1305" s="1" t="s">
        <v>8953</v>
      </c>
      <c r="O1305" s="1" t="s">
        <v>8989</v>
      </c>
      <c r="P1305" s="1" t="s">
        <v>8955</v>
      </c>
      <c r="Q1305" s="1" t="s">
        <v>8956</v>
      </c>
      <c r="R1305" s="1" t="s">
        <v>8975</v>
      </c>
      <c r="S1305" s="1" t="s">
        <v>19475</v>
      </c>
      <c r="T1305" s="1" t="s">
        <v>7</v>
      </c>
      <c r="U1305" s="1" t="s">
        <v>147</v>
      </c>
    </row>
    <row r="1306" spans="1:21" x14ac:dyDescent="0.2">
      <c r="A1306" s="88" t="s">
        <v>16938</v>
      </c>
      <c r="B1306" s="88" t="e">
        <f>VLOOKUP(C1306,#REF!,1,0)</f>
        <v>#REF!</v>
      </c>
      <c r="C1306" s="1" t="s">
        <v>4452</v>
      </c>
      <c r="D1306" s="1" t="s">
        <v>4453</v>
      </c>
      <c r="E1306" s="1" t="s">
        <v>9010</v>
      </c>
      <c r="F1306" s="1" t="s">
        <v>8957</v>
      </c>
      <c r="G1306" t="s">
        <v>9061</v>
      </c>
      <c r="H1306" s="1" t="s">
        <v>8948</v>
      </c>
      <c r="I1306" s="1" t="s">
        <v>8949</v>
      </c>
      <c r="J1306" s="2" t="s">
        <v>9436</v>
      </c>
      <c r="K1306" s="1" t="s">
        <v>9436</v>
      </c>
      <c r="L1306" s="1" t="s">
        <v>21600</v>
      </c>
      <c r="M1306" s="1">
        <v>20</v>
      </c>
      <c r="N1306" s="1" t="s">
        <v>9059</v>
      </c>
      <c r="O1306" s="1" t="s">
        <v>8989</v>
      </c>
      <c r="P1306" s="1" t="s">
        <v>8955</v>
      </c>
      <c r="Q1306" s="1" t="s">
        <v>8956</v>
      </c>
      <c r="R1306" s="1" t="s">
        <v>8958</v>
      </c>
      <c r="S1306" s="1" t="s">
        <v>4454</v>
      </c>
      <c r="T1306" s="1" t="s">
        <v>11</v>
      </c>
      <c r="U1306" s="1" t="s">
        <v>126</v>
      </c>
    </row>
    <row r="1307" spans="1:21" x14ac:dyDescent="0.2">
      <c r="A1307" s="88" t="s">
        <v>16939</v>
      </c>
      <c r="B1307" s="88" t="e">
        <f>VLOOKUP(C1307,#REF!,1,0)</f>
        <v>#REF!</v>
      </c>
      <c r="C1307" s="1" t="s">
        <v>4455</v>
      </c>
      <c r="D1307" s="1" t="s">
        <v>4456</v>
      </c>
      <c r="E1307" s="1" t="s">
        <v>9310</v>
      </c>
      <c r="F1307" s="1" t="s">
        <v>8957</v>
      </c>
      <c r="G1307" t="s">
        <v>8959</v>
      </c>
      <c r="H1307" s="1" t="s">
        <v>9252</v>
      </c>
      <c r="I1307" s="1" t="s">
        <v>9253</v>
      </c>
      <c r="J1307" s="2" t="s">
        <v>10403</v>
      </c>
      <c r="K1307" s="1" t="s">
        <v>10403</v>
      </c>
      <c r="L1307" s="1" t="s">
        <v>8987</v>
      </c>
      <c r="M1307" s="1">
        <v>212</v>
      </c>
      <c r="N1307" s="1" t="s">
        <v>8953</v>
      </c>
      <c r="O1307" s="1" t="s">
        <v>8989</v>
      </c>
      <c r="P1307" s="1" t="s">
        <v>8955</v>
      </c>
      <c r="Q1307" s="1" t="s">
        <v>8956</v>
      </c>
      <c r="R1307" s="1" t="s">
        <v>8958</v>
      </c>
      <c r="S1307" s="1"/>
      <c r="T1307" s="1">
        <v>2019</v>
      </c>
      <c r="U1307" s="1"/>
    </row>
    <row r="1308" spans="1:21" x14ac:dyDescent="0.2">
      <c r="A1308" s="88" t="s">
        <v>16940</v>
      </c>
      <c r="B1308" s="88" t="e">
        <f>VLOOKUP(C1308,#REF!,1,0)</f>
        <v>#REF!</v>
      </c>
      <c r="C1308" s="1" t="s">
        <v>4459</v>
      </c>
      <c r="D1308" s="1" t="s">
        <v>4460</v>
      </c>
      <c r="E1308" s="1" t="s">
        <v>9310</v>
      </c>
      <c r="F1308" s="1" t="s">
        <v>8957</v>
      </c>
      <c r="G1308" t="s">
        <v>9061</v>
      </c>
      <c r="H1308" s="1" t="s">
        <v>9035</v>
      </c>
      <c r="I1308" s="1" t="s">
        <v>9308</v>
      </c>
      <c r="J1308" s="2" t="s">
        <v>20779</v>
      </c>
      <c r="K1308" s="1" t="s">
        <v>9036</v>
      </c>
      <c r="L1308" s="1" t="s">
        <v>9292</v>
      </c>
      <c r="M1308" s="1">
        <v>100</v>
      </c>
      <c r="N1308" s="1" t="s">
        <v>9059</v>
      </c>
      <c r="O1308" s="1" t="s">
        <v>8989</v>
      </c>
      <c r="P1308" s="1" t="s">
        <v>8955</v>
      </c>
      <c r="Q1308" s="1" t="s">
        <v>8956</v>
      </c>
      <c r="R1308" s="1" t="s">
        <v>8958</v>
      </c>
      <c r="S1308" s="1" t="s">
        <v>19476</v>
      </c>
      <c r="T1308" s="1" t="s">
        <v>7</v>
      </c>
      <c r="U1308" s="1" t="s">
        <v>77</v>
      </c>
    </row>
    <row r="1309" spans="1:21" x14ac:dyDescent="0.2">
      <c r="A1309" s="88" t="s">
        <v>16941</v>
      </c>
      <c r="B1309" s="88" t="e">
        <f>VLOOKUP(C1309,#REF!,1,0)</f>
        <v>#REF!</v>
      </c>
      <c r="C1309" s="1" t="s">
        <v>4461</v>
      </c>
      <c r="D1309" s="1" t="s">
        <v>4462</v>
      </c>
      <c r="E1309" s="1" t="s">
        <v>18502</v>
      </c>
      <c r="F1309" s="1" t="s">
        <v>8957</v>
      </c>
      <c r="G1309" t="s">
        <v>8959</v>
      </c>
      <c r="H1309" s="1" t="s">
        <v>9252</v>
      </c>
      <c r="I1309" s="1" t="s">
        <v>18504</v>
      </c>
      <c r="J1309" s="2" t="s">
        <v>18489</v>
      </c>
      <c r="K1309" s="1" t="s">
        <v>18489</v>
      </c>
      <c r="L1309" s="1" t="s">
        <v>8951</v>
      </c>
      <c r="M1309" s="1">
        <v>16247</v>
      </c>
      <c r="N1309" s="1" t="s">
        <v>8953</v>
      </c>
      <c r="O1309" s="1" t="s">
        <v>8989</v>
      </c>
      <c r="P1309" s="1" t="s">
        <v>8955</v>
      </c>
      <c r="Q1309" s="1" t="s">
        <v>8956</v>
      </c>
      <c r="R1309" s="1" t="s">
        <v>9103</v>
      </c>
      <c r="S1309" s="1" t="s">
        <v>19477</v>
      </c>
      <c r="T1309" s="1" t="s">
        <v>7</v>
      </c>
      <c r="U1309" s="1" t="s">
        <v>46</v>
      </c>
    </row>
    <row r="1310" spans="1:21" x14ac:dyDescent="0.2">
      <c r="A1310" s="88" t="s">
        <v>16942</v>
      </c>
      <c r="B1310" s="88" t="e">
        <f>VLOOKUP(C1310,#REF!,1,0)</f>
        <v>#REF!</v>
      </c>
      <c r="C1310" s="1" t="s">
        <v>4463</v>
      </c>
      <c r="D1310" s="1" t="s">
        <v>4464</v>
      </c>
      <c r="E1310" s="1" t="s">
        <v>9310</v>
      </c>
      <c r="F1310" s="1" t="s">
        <v>8957</v>
      </c>
      <c r="G1310" t="s">
        <v>8959</v>
      </c>
      <c r="H1310" s="1" t="s">
        <v>9035</v>
      </c>
      <c r="I1310" s="1" t="s">
        <v>9308</v>
      </c>
      <c r="J1310" s="2" t="s">
        <v>21561</v>
      </c>
      <c r="K1310" s="1" t="s">
        <v>21561</v>
      </c>
      <c r="L1310" s="1" t="s">
        <v>9133</v>
      </c>
      <c r="M1310" s="1">
        <v>6480</v>
      </c>
      <c r="N1310" s="1" t="s">
        <v>8953</v>
      </c>
      <c r="O1310" s="1" t="s">
        <v>8989</v>
      </c>
      <c r="P1310" s="1" t="s">
        <v>8955</v>
      </c>
      <c r="Q1310" s="1" t="s">
        <v>8956</v>
      </c>
      <c r="R1310" s="1" t="s">
        <v>9103</v>
      </c>
      <c r="S1310" s="1" t="s">
        <v>4465</v>
      </c>
      <c r="T1310" s="1" t="s">
        <v>7</v>
      </c>
      <c r="U1310" s="1" t="s">
        <v>184</v>
      </c>
    </row>
    <row r="1311" spans="1:21" x14ac:dyDescent="0.2">
      <c r="A1311" s="88" t="s">
        <v>16943</v>
      </c>
      <c r="B1311" s="88" t="e">
        <f>VLOOKUP(C1311,#REF!,1,0)</f>
        <v>#REF!</v>
      </c>
      <c r="C1311" s="1" t="s">
        <v>4466</v>
      </c>
      <c r="D1311" s="1" t="s">
        <v>4467</v>
      </c>
      <c r="E1311" s="1" t="s">
        <v>9010</v>
      </c>
      <c r="F1311" s="1" t="s">
        <v>8957</v>
      </c>
      <c r="G1311" t="s">
        <v>8959</v>
      </c>
      <c r="H1311" s="1" t="s">
        <v>9154</v>
      </c>
      <c r="I1311" s="1" t="s">
        <v>9101</v>
      </c>
      <c r="J1311" s="2" t="s">
        <v>9036</v>
      </c>
      <c r="K1311" s="1" t="s">
        <v>9036</v>
      </c>
      <c r="L1311" s="1" t="s">
        <v>9292</v>
      </c>
      <c r="M1311" s="1">
        <v>1678</v>
      </c>
      <c r="N1311" s="1" t="s">
        <v>8953</v>
      </c>
      <c r="O1311" s="1" t="s">
        <v>8989</v>
      </c>
      <c r="P1311" s="1" t="s">
        <v>8955</v>
      </c>
      <c r="Q1311" s="1" t="s">
        <v>8956</v>
      </c>
      <c r="R1311" s="1" t="s">
        <v>9103</v>
      </c>
      <c r="S1311" s="1" t="s">
        <v>4468</v>
      </c>
      <c r="T1311" s="1" t="s">
        <v>4</v>
      </c>
      <c r="U1311" s="1" t="s">
        <v>4469</v>
      </c>
    </row>
    <row r="1312" spans="1:21" x14ac:dyDescent="0.2">
      <c r="A1312" s="88" t="s">
        <v>16944</v>
      </c>
      <c r="B1312" s="88" t="e">
        <f>VLOOKUP(C1312,#REF!,1,0)</f>
        <v>#REF!</v>
      </c>
      <c r="C1312" s="1" t="s">
        <v>4470</v>
      </c>
      <c r="D1312" s="1" t="s">
        <v>4471</v>
      </c>
      <c r="E1312" s="1" t="s">
        <v>9310</v>
      </c>
      <c r="F1312" s="1" t="s">
        <v>8959</v>
      </c>
      <c r="G1312" t="s">
        <v>8959</v>
      </c>
      <c r="H1312" s="1" t="s">
        <v>9075</v>
      </c>
      <c r="I1312" s="1" t="s">
        <v>8949</v>
      </c>
      <c r="J1312" s="2" t="s">
        <v>9036</v>
      </c>
      <c r="K1312" s="1" t="s">
        <v>9036</v>
      </c>
      <c r="L1312" s="1" t="s">
        <v>21600</v>
      </c>
      <c r="M1312" s="1">
        <v>33</v>
      </c>
      <c r="N1312" s="1" t="s">
        <v>8953</v>
      </c>
      <c r="O1312" s="1" t="s">
        <v>8989</v>
      </c>
      <c r="P1312" s="1" t="s">
        <v>8955</v>
      </c>
      <c r="Q1312" s="1" t="s">
        <v>8956</v>
      </c>
      <c r="R1312" s="1" t="s">
        <v>9103</v>
      </c>
      <c r="S1312" s="1" t="s">
        <v>4472</v>
      </c>
      <c r="T1312" s="1" t="s">
        <v>17</v>
      </c>
      <c r="U1312" s="1" t="s">
        <v>97</v>
      </c>
    </row>
    <row r="1313" spans="1:21" x14ac:dyDescent="0.2">
      <c r="A1313" s="88" t="s">
        <v>16945</v>
      </c>
      <c r="B1313" s="88" t="e">
        <f>VLOOKUP(C1313,#REF!,1,0)</f>
        <v>#REF!</v>
      </c>
      <c r="C1313" s="1" t="s">
        <v>4473</v>
      </c>
      <c r="D1313" s="1" t="s">
        <v>4474</v>
      </c>
      <c r="E1313" s="1" t="s">
        <v>9310</v>
      </c>
      <c r="F1313" s="1" t="s">
        <v>8957</v>
      </c>
      <c r="G1313" t="s">
        <v>8959</v>
      </c>
      <c r="H1313" s="1" t="s">
        <v>8984</v>
      </c>
      <c r="I1313" s="1" t="s">
        <v>9422</v>
      </c>
      <c r="J1313" s="2" t="s">
        <v>20805</v>
      </c>
      <c r="K1313" s="1" t="s">
        <v>9212</v>
      </c>
      <c r="L1313" s="1" t="s">
        <v>21600</v>
      </c>
      <c r="M1313" s="1">
        <v>1900</v>
      </c>
      <c r="N1313" s="1" t="s">
        <v>8953</v>
      </c>
      <c r="O1313" s="1" t="s">
        <v>8954</v>
      </c>
      <c r="P1313" s="1" t="s">
        <v>8955</v>
      </c>
      <c r="Q1313" s="1" t="s">
        <v>8956</v>
      </c>
      <c r="R1313" s="1" t="s">
        <v>8975</v>
      </c>
      <c r="S1313" s="1" t="s">
        <v>19478</v>
      </c>
      <c r="T1313" s="1" t="s">
        <v>17</v>
      </c>
      <c r="U1313" s="1" t="s">
        <v>27</v>
      </c>
    </row>
    <row r="1314" spans="1:21" x14ac:dyDescent="0.2">
      <c r="A1314" s="88" t="s">
        <v>16946</v>
      </c>
      <c r="B1314" s="88" t="e">
        <f>VLOOKUP(C1314,#REF!,1,0)</f>
        <v>#REF!</v>
      </c>
      <c r="C1314" s="1" t="s">
        <v>4475</v>
      </c>
      <c r="D1314" s="1" t="s">
        <v>4476</v>
      </c>
      <c r="E1314" s="1" t="s">
        <v>9310</v>
      </c>
      <c r="F1314" s="1" t="s">
        <v>8957</v>
      </c>
      <c r="G1314" t="s">
        <v>9183</v>
      </c>
      <c r="H1314" s="1" t="s">
        <v>8948</v>
      </c>
      <c r="I1314" s="1" t="s">
        <v>8998</v>
      </c>
      <c r="J1314" s="2" t="s">
        <v>9018</v>
      </c>
      <c r="K1314" s="1" t="s">
        <v>21762</v>
      </c>
      <c r="L1314" s="1" t="s">
        <v>21600</v>
      </c>
      <c r="M1314" s="1">
        <v>28</v>
      </c>
      <c r="N1314" s="1" t="s">
        <v>9059</v>
      </c>
      <c r="O1314" s="1" t="s">
        <v>8989</v>
      </c>
      <c r="P1314" s="1" t="s">
        <v>8955</v>
      </c>
      <c r="Q1314" s="1" t="s">
        <v>8956</v>
      </c>
      <c r="R1314" s="1" t="s">
        <v>8975</v>
      </c>
      <c r="S1314" s="1" t="s">
        <v>4477</v>
      </c>
      <c r="T1314" s="1" t="s">
        <v>17</v>
      </c>
      <c r="U1314" s="1" t="s">
        <v>147</v>
      </c>
    </row>
    <row r="1315" spans="1:21" x14ac:dyDescent="0.2">
      <c r="A1315" s="88" t="s">
        <v>16947</v>
      </c>
      <c r="B1315" s="88" t="e">
        <f>VLOOKUP(C1315,#REF!,1,0)</f>
        <v>#REF!</v>
      </c>
      <c r="C1315" s="1" t="s">
        <v>4478</v>
      </c>
      <c r="D1315" s="1" t="s">
        <v>4479</v>
      </c>
      <c r="E1315" s="1" t="s">
        <v>9310</v>
      </c>
      <c r="F1315" s="1" t="s">
        <v>8959</v>
      </c>
      <c r="G1315" t="s">
        <v>9183</v>
      </c>
      <c r="H1315" s="1" t="s">
        <v>9100</v>
      </c>
      <c r="I1315" s="1" t="s">
        <v>8949</v>
      </c>
      <c r="J1315" s="2" t="s">
        <v>9270</v>
      </c>
      <c r="K1315" s="1" t="s">
        <v>9270</v>
      </c>
      <c r="L1315" s="1" t="s">
        <v>9133</v>
      </c>
      <c r="M1315" s="1">
        <v>200</v>
      </c>
      <c r="N1315" s="1" t="s">
        <v>9059</v>
      </c>
      <c r="O1315" s="1" t="s">
        <v>8989</v>
      </c>
      <c r="P1315" s="1" t="s">
        <v>8955</v>
      </c>
      <c r="Q1315" s="1" t="s">
        <v>8956</v>
      </c>
      <c r="R1315" s="1" t="s">
        <v>8975</v>
      </c>
      <c r="S1315" s="1" t="s">
        <v>4480</v>
      </c>
      <c r="T1315" s="1" t="s">
        <v>11</v>
      </c>
      <c r="U1315" s="1" t="s">
        <v>783</v>
      </c>
    </row>
    <row r="1316" spans="1:21" x14ac:dyDescent="0.2">
      <c r="A1316" s="88" t="s">
        <v>16948</v>
      </c>
      <c r="B1316" s="88" t="e">
        <f>VLOOKUP(C1316,#REF!,1,0)</f>
        <v>#REF!</v>
      </c>
      <c r="C1316" s="1" t="s">
        <v>4481</v>
      </c>
      <c r="D1316" s="1" t="s">
        <v>4482</v>
      </c>
      <c r="E1316" s="1" t="s">
        <v>9010</v>
      </c>
      <c r="F1316" s="1" t="s">
        <v>8957</v>
      </c>
      <c r="G1316" t="s">
        <v>8959</v>
      </c>
      <c r="H1316" s="1" t="s">
        <v>9092</v>
      </c>
      <c r="I1316" s="1" t="s">
        <v>8998</v>
      </c>
      <c r="J1316" s="2" t="s">
        <v>9679</v>
      </c>
      <c r="K1316" s="1" t="s">
        <v>9679</v>
      </c>
      <c r="L1316" s="1" t="s">
        <v>9292</v>
      </c>
      <c r="M1316" s="1">
        <v>302</v>
      </c>
      <c r="N1316" s="1" t="s">
        <v>8953</v>
      </c>
      <c r="O1316" s="1" t="s">
        <v>8989</v>
      </c>
      <c r="P1316" s="1" t="s">
        <v>8955</v>
      </c>
      <c r="Q1316" s="1" t="s">
        <v>8956</v>
      </c>
      <c r="R1316" s="1" t="s">
        <v>9103</v>
      </c>
      <c r="S1316" s="1" t="s">
        <v>4483</v>
      </c>
      <c r="T1316" s="1" t="s">
        <v>11</v>
      </c>
      <c r="U1316" s="1" t="s">
        <v>61</v>
      </c>
    </row>
    <row r="1317" spans="1:21" x14ac:dyDescent="0.2">
      <c r="A1317" s="88" t="s">
        <v>16949</v>
      </c>
      <c r="B1317" s="88" t="e">
        <f>VLOOKUP(C1317,#REF!,1,0)</f>
        <v>#REF!</v>
      </c>
      <c r="C1317" s="1" t="s">
        <v>4484</v>
      </c>
      <c r="D1317" s="1" t="s">
        <v>4485</v>
      </c>
      <c r="E1317" s="1" t="s">
        <v>9010</v>
      </c>
      <c r="F1317" s="1" t="s">
        <v>8957</v>
      </c>
      <c r="G1317" t="s">
        <v>9061</v>
      </c>
      <c r="H1317" s="1" t="s">
        <v>9075</v>
      </c>
      <c r="I1317" s="1" t="s">
        <v>8949</v>
      </c>
      <c r="J1317" s="2" t="s">
        <v>9102</v>
      </c>
      <c r="K1317" s="1" t="s">
        <v>9102</v>
      </c>
      <c r="L1317" s="1" t="s">
        <v>21600</v>
      </c>
      <c r="M1317" s="1">
        <v>30</v>
      </c>
      <c r="N1317" s="1" t="s">
        <v>8953</v>
      </c>
      <c r="O1317" s="1" t="s">
        <v>8989</v>
      </c>
      <c r="P1317" s="1" t="s">
        <v>8955</v>
      </c>
      <c r="Q1317" s="1" t="s">
        <v>8956</v>
      </c>
      <c r="R1317" s="1" t="s">
        <v>8958</v>
      </c>
      <c r="S1317" s="1" t="s">
        <v>4486</v>
      </c>
      <c r="T1317" s="1" t="s">
        <v>920</v>
      </c>
      <c r="U1317" s="1" t="s">
        <v>921</v>
      </c>
    </row>
    <row r="1318" spans="1:21" x14ac:dyDescent="0.2">
      <c r="A1318" s="88" t="s">
        <v>16950</v>
      </c>
      <c r="B1318" s="88" t="e">
        <f>VLOOKUP(C1318,#REF!,1,0)</f>
        <v>#REF!</v>
      </c>
      <c r="C1318" s="1" t="s">
        <v>4487</v>
      </c>
      <c r="D1318" s="1" t="s">
        <v>4488</v>
      </c>
      <c r="E1318" s="1" t="s">
        <v>9310</v>
      </c>
      <c r="F1318" s="1" t="s">
        <v>8957</v>
      </c>
      <c r="G1318" t="s">
        <v>8959</v>
      </c>
      <c r="H1318" s="1" t="s">
        <v>9154</v>
      </c>
      <c r="I1318" s="1" t="s">
        <v>9155</v>
      </c>
      <c r="J1318" s="2" t="s">
        <v>20776</v>
      </c>
      <c r="K1318" s="1" t="s">
        <v>20776</v>
      </c>
      <c r="L1318" s="1" t="s">
        <v>21600</v>
      </c>
      <c r="M1318" s="1">
        <v>120</v>
      </c>
      <c r="N1318" s="1" t="s">
        <v>8953</v>
      </c>
      <c r="O1318" s="1" t="s">
        <v>8954</v>
      </c>
      <c r="P1318" s="1" t="s">
        <v>8955</v>
      </c>
      <c r="Q1318" s="1" t="s">
        <v>8956</v>
      </c>
      <c r="R1318" s="1" t="s">
        <v>8958</v>
      </c>
      <c r="S1318" s="1" t="s">
        <v>19479</v>
      </c>
      <c r="T1318" s="1" t="s">
        <v>7</v>
      </c>
      <c r="U1318" s="1" t="s">
        <v>43</v>
      </c>
    </row>
    <row r="1319" spans="1:21" x14ac:dyDescent="0.2">
      <c r="A1319" s="88" t="s">
        <v>16951</v>
      </c>
      <c r="B1319" s="88" t="e">
        <f>VLOOKUP(C1319,#REF!,1,0)</f>
        <v>#REF!</v>
      </c>
      <c r="C1319" s="1" t="s">
        <v>4489</v>
      </c>
      <c r="D1319" s="1" t="s">
        <v>4490</v>
      </c>
      <c r="E1319" s="1" t="s">
        <v>9010</v>
      </c>
      <c r="F1319" s="1" t="s">
        <v>8974</v>
      </c>
      <c r="G1319" t="s">
        <v>8959</v>
      </c>
      <c r="H1319" s="1" t="s">
        <v>9154</v>
      </c>
      <c r="I1319" s="1" t="s">
        <v>8971</v>
      </c>
      <c r="J1319" s="2" t="s">
        <v>14726</v>
      </c>
      <c r="K1319" s="1" t="s">
        <v>14726</v>
      </c>
      <c r="L1319" s="1" t="s">
        <v>8987</v>
      </c>
      <c r="M1319" s="1">
        <v>14443</v>
      </c>
      <c r="N1319" s="1" t="s">
        <v>9059</v>
      </c>
      <c r="O1319" s="1" t="s">
        <v>8954</v>
      </c>
      <c r="P1319" s="1" t="s">
        <v>8955</v>
      </c>
      <c r="Q1319" s="1" t="s">
        <v>8956</v>
      </c>
      <c r="R1319" s="1" t="s">
        <v>8975</v>
      </c>
      <c r="S1319" s="1" t="s">
        <v>4491</v>
      </c>
      <c r="T1319" s="1" t="s">
        <v>7</v>
      </c>
      <c r="U1319" s="1" t="s">
        <v>61</v>
      </c>
    </row>
    <row r="1320" spans="1:21" x14ac:dyDescent="0.2">
      <c r="A1320" s="88" t="s">
        <v>16952</v>
      </c>
      <c r="B1320" s="88" t="e">
        <f>VLOOKUP(C1320,#REF!,1,0)</f>
        <v>#REF!</v>
      </c>
      <c r="C1320" s="1" t="s">
        <v>4500</v>
      </c>
      <c r="D1320" s="1" t="s">
        <v>4501</v>
      </c>
      <c r="E1320" s="1" t="s">
        <v>10049</v>
      </c>
      <c r="F1320" s="1" t="s">
        <v>8974</v>
      </c>
      <c r="G1320" t="s">
        <v>9183</v>
      </c>
      <c r="H1320" s="1" t="s">
        <v>9075</v>
      </c>
      <c r="I1320" s="1" t="s">
        <v>9422</v>
      </c>
      <c r="J1320" s="2" t="s">
        <v>18497</v>
      </c>
      <c r="K1320" s="1" t="s">
        <v>18497</v>
      </c>
      <c r="L1320" s="1" t="s">
        <v>8987</v>
      </c>
      <c r="M1320" s="1">
        <v>12259</v>
      </c>
      <c r="N1320" s="1" t="s">
        <v>8953</v>
      </c>
      <c r="O1320" s="1" t="s">
        <v>8989</v>
      </c>
      <c r="P1320" s="1" t="s">
        <v>8955</v>
      </c>
      <c r="Q1320" s="1" t="s">
        <v>8956</v>
      </c>
      <c r="R1320" s="1" t="s">
        <v>8975</v>
      </c>
      <c r="S1320" s="1" t="s">
        <v>19481</v>
      </c>
      <c r="T1320" s="1" t="s">
        <v>7</v>
      </c>
      <c r="U1320" s="1" t="s">
        <v>4502</v>
      </c>
    </row>
    <row r="1321" spans="1:21" x14ac:dyDescent="0.2">
      <c r="A1321" s="88" t="s">
        <v>16953</v>
      </c>
      <c r="B1321" s="88" t="e">
        <f>VLOOKUP(C1321,#REF!,1,0)</f>
        <v>#REF!</v>
      </c>
      <c r="C1321" s="1" t="s">
        <v>4503</v>
      </c>
      <c r="D1321" s="1" t="s">
        <v>4504</v>
      </c>
      <c r="E1321" s="1" t="s">
        <v>9213</v>
      </c>
      <c r="F1321" s="1" t="s">
        <v>8957</v>
      </c>
      <c r="G1321" t="s">
        <v>8959</v>
      </c>
      <c r="H1321" s="1" t="s">
        <v>9092</v>
      </c>
      <c r="I1321" s="1" t="s">
        <v>9121</v>
      </c>
      <c r="J1321" s="2" t="s">
        <v>9041</v>
      </c>
      <c r="K1321" s="1" t="s">
        <v>9041</v>
      </c>
      <c r="L1321" s="1" t="s">
        <v>8951</v>
      </c>
      <c r="M1321" s="1">
        <v>5749</v>
      </c>
      <c r="N1321" s="1" t="s">
        <v>9059</v>
      </c>
      <c r="O1321" s="1" t="s">
        <v>8989</v>
      </c>
      <c r="P1321" s="1" t="s">
        <v>8955</v>
      </c>
      <c r="Q1321" s="1" t="s">
        <v>8956</v>
      </c>
      <c r="R1321" s="1" t="s">
        <v>9103</v>
      </c>
      <c r="S1321" s="1" t="s">
        <v>4505</v>
      </c>
      <c r="T1321" s="1" t="s">
        <v>17</v>
      </c>
      <c r="U1321" s="1" t="s">
        <v>1381</v>
      </c>
    </row>
    <row r="1322" spans="1:21" x14ac:dyDescent="0.2">
      <c r="A1322" s="88" t="s">
        <v>16954</v>
      </c>
      <c r="B1322" s="88" t="e">
        <f>VLOOKUP(C1322,#REF!,1,0)</f>
        <v>#REF!</v>
      </c>
      <c r="C1322" s="1" t="s">
        <v>4506</v>
      </c>
      <c r="D1322" s="1" t="s">
        <v>4507</v>
      </c>
      <c r="E1322" s="1" t="s">
        <v>10850</v>
      </c>
      <c r="F1322" s="1" t="s">
        <v>8959</v>
      </c>
      <c r="G1322" t="s">
        <v>9009</v>
      </c>
      <c r="H1322" s="1" t="s">
        <v>9173</v>
      </c>
      <c r="I1322" s="1" t="s">
        <v>8959</v>
      </c>
      <c r="J1322" s="2" t="s">
        <v>21279</v>
      </c>
      <c r="K1322" s="1" t="s">
        <v>21279</v>
      </c>
      <c r="L1322" s="1" t="s">
        <v>8987</v>
      </c>
      <c r="M1322" s="1">
        <v>7448</v>
      </c>
      <c r="N1322" s="1" t="s">
        <v>8953</v>
      </c>
      <c r="O1322" s="1" t="s">
        <v>8989</v>
      </c>
      <c r="P1322" s="1" t="s">
        <v>8955</v>
      </c>
      <c r="Q1322" s="1" t="s">
        <v>8956</v>
      </c>
      <c r="R1322" s="1" t="s">
        <v>8975</v>
      </c>
      <c r="S1322" s="1" t="s">
        <v>19482</v>
      </c>
      <c r="T1322" s="1" t="s">
        <v>7</v>
      </c>
      <c r="U1322" s="1" t="s">
        <v>83</v>
      </c>
    </row>
    <row r="1323" spans="1:21" x14ac:dyDescent="0.2">
      <c r="A1323" s="88" t="s">
        <v>16955</v>
      </c>
      <c r="B1323" s="88" t="e">
        <f>VLOOKUP(C1323,#REF!,1,0)</f>
        <v>#REF!</v>
      </c>
      <c r="C1323" s="1" t="s">
        <v>4512</v>
      </c>
      <c r="D1323" s="1" t="s">
        <v>4513</v>
      </c>
      <c r="E1323" s="1" t="s">
        <v>9310</v>
      </c>
      <c r="F1323" s="1" t="s">
        <v>8957</v>
      </c>
      <c r="G1323" t="s">
        <v>8959</v>
      </c>
      <c r="H1323" s="1" t="s">
        <v>9252</v>
      </c>
      <c r="I1323" s="1" t="s">
        <v>9422</v>
      </c>
      <c r="J1323" s="2" t="s">
        <v>20873</v>
      </c>
      <c r="K1323" s="1" t="s">
        <v>21700</v>
      </c>
      <c r="L1323" s="1" t="s">
        <v>8987</v>
      </c>
      <c r="M1323" s="1">
        <v>7909</v>
      </c>
      <c r="N1323" s="1" t="s">
        <v>8953</v>
      </c>
      <c r="O1323" s="1" t="s">
        <v>8989</v>
      </c>
      <c r="P1323" s="1" t="s">
        <v>8955</v>
      </c>
      <c r="Q1323" s="1" t="s">
        <v>8956</v>
      </c>
      <c r="R1323" s="1" t="s">
        <v>9103</v>
      </c>
      <c r="S1323" s="1" t="s">
        <v>19484</v>
      </c>
      <c r="T1323" s="1" t="s">
        <v>7</v>
      </c>
      <c r="U1323" s="1" t="s">
        <v>2024</v>
      </c>
    </row>
    <row r="1324" spans="1:21" x14ac:dyDescent="0.2">
      <c r="A1324" s="88" t="s">
        <v>16957</v>
      </c>
      <c r="B1324" s="88" t="e">
        <f>VLOOKUP(C1324,#REF!,1,0)</f>
        <v>#REF!</v>
      </c>
      <c r="C1324" s="1" t="s">
        <v>4519</v>
      </c>
      <c r="D1324" s="1" t="s">
        <v>4520</v>
      </c>
      <c r="E1324" s="1" t="s">
        <v>9310</v>
      </c>
      <c r="F1324" s="1" t="s">
        <v>8959</v>
      </c>
      <c r="G1324" t="s">
        <v>9061</v>
      </c>
      <c r="H1324" s="1" t="s">
        <v>9075</v>
      </c>
      <c r="I1324" s="1" t="s">
        <v>8998</v>
      </c>
      <c r="J1324" s="2" t="s">
        <v>18497</v>
      </c>
      <c r="K1324" s="1" t="s">
        <v>18497</v>
      </c>
      <c r="L1324" s="1" t="s">
        <v>8987</v>
      </c>
      <c r="M1324" s="1">
        <v>410</v>
      </c>
      <c r="N1324" s="1" t="s">
        <v>9059</v>
      </c>
      <c r="O1324" s="1" t="s">
        <v>8954</v>
      </c>
      <c r="P1324" s="1" t="s">
        <v>8955</v>
      </c>
      <c r="Q1324" s="1" t="s">
        <v>8956</v>
      </c>
      <c r="R1324" s="1" t="s">
        <v>8975</v>
      </c>
      <c r="S1324" s="1" t="s">
        <v>19487</v>
      </c>
      <c r="T1324" s="1" t="s">
        <v>7</v>
      </c>
      <c r="U1324" s="1" t="s">
        <v>831</v>
      </c>
    </row>
    <row r="1325" spans="1:21" x14ac:dyDescent="0.2">
      <c r="A1325" s="88" t="s">
        <v>16958</v>
      </c>
      <c r="B1325" s="88" t="e">
        <f>VLOOKUP(C1325,#REF!,1,0)</f>
        <v>#REF!</v>
      </c>
      <c r="C1325" s="1" t="s">
        <v>4521</v>
      </c>
      <c r="D1325" s="1" t="s">
        <v>4522</v>
      </c>
      <c r="E1325" s="1" t="s">
        <v>9310</v>
      </c>
      <c r="F1325" s="1" t="s">
        <v>8957</v>
      </c>
      <c r="G1325" t="s">
        <v>8959</v>
      </c>
      <c r="H1325" s="1" t="s">
        <v>9605</v>
      </c>
      <c r="I1325" s="1" t="s">
        <v>9269</v>
      </c>
      <c r="J1325" s="2" t="s">
        <v>9212</v>
      </c>
      <c r="K1325" s="1" t="s">
        <v>9212</v>
      </c>
      <c r="L1325" s="1" t="s">
        <v>8951</v>
      </c>
      <c r="M1325" s="1">
        <v>400</v>
      </c>
      <c r="N1325" s="1" t="s">
        <v>8953</v>
      </c>
      <c r="O1325" s="1" t="s">
        <v>8954</v>
      </c>
      <c r="P1325" s="1" t="s">
        <v>8955</v>
      </c>
      <c r="Q1325" s="1" t="s">
        <v>8956</v>
      </c>
      <c r="R1325" s="1" t="s">
        <v>8958</v>
      </c>
      <c r="S1325" s="1" t="s">
        <v>4523</v>
      </c>
      <c r="T1325" s="1" t="s">
        <v>17</v>
      </c>
      <c r="U1325" s="1" t="s">
        <v>61</v>
      </c>
    </row>
    <row r="1326" spans="1:21" x14ac:dyDescent="0.2">
      <c r="A1326" s="88" t="s">
        <v>16959</v>
      </c>
      <c r="B1326" s="88" t="e">
        <f>VLOOKUP(C1326,#REF!,1,0)</f>
        <v>#REF!</v>
      </c>
      <c r="C1326" s="1" t="s">
        <v>4524</v>
      </c>
      <c r="D1326" s="1" t="s">
        <v>4525</v>
      </c>
      <c r="E1326" s="1" t="s">
        <v>9310</v>
      </c>
      <c r="F1326" s="1" t="s">
        <v>8957</v>
      </c>
      <c r="G1326" t="s">
        <v>8959</v>
      </c>
      <c r="H1326" s="1" t="s">
        <v>8984</v>
      </c>
      <c r="I1326" s="1" t="s">
        <v>20800</v>
      </c>
      <c r="J1326" s="2" t="s">
        <v>10525</v>
      </c>
      <c r="K1326" s="1" t="s">
        <v>10525</v>
      </c>
      <c r="L1326" s="1" t="s">
        <v>8987</v>
      </c>
      <c r="M1326" s="1">
        <v>217</v>
      </c>
      <c r="N1326" s="1" t="s">
        <v>8953</v>
      </c>
      <c r="O1326" s="1" t="s">
        <v>8989</v>
      </c>
      <c r="P1326" s="1" t="s">
        <v>8955</v>
      </c>
      <c r="Q1326" s="1" t="s">
        <v>8956</v>
      </c>
      <c r="R1326" s="1" t="s">
        <v>8975</v>
      </c>
      <c r="S1326" s="1" t="s">
        <v>19488</v>
      </c>
      <c r="T1326" s="1" t="s">
        <v>17</v>
      </c>
      <c r="U1326" s="1" t="s">
        <v>1833</v>
      </c>
    </row>
    <row r="1327" spans="1:21" x14ac:dyDescent="0.2">
      <c r="A1327" s="88" t="s">
        <v>16960</v>
      </c>
      <c r="B1327" s="88" t="e">
        <f>VLOOKUP(C1327,#REF!,1,0)</f>
        <v>#REF!</v>
      </c>
      <c r="C1327" s="1" t="s">
        <v>4526</v>
      </c>
      <c r="D1327" s="1" t="s">
        <v>4527</v>
      </c>
      <c r="E1327" s="1" t="s">
        <v>10873</v>
      </c>
      <c r="F1327" s="1" t="s">
        <v>8957</v>
      </c>
      <c r="G1327" t="s">
        <v>8959</v>
      </c>
      <c r="H1327" s="1" t="s">
        <v>9100</v>
      </c>
      <c r="I1327" s="1" t="s">
        <v>9422</v>
      </c>
      <c r="J1327" s="2" t="s">
        <v>9523</v>
      </c>
      <c r="K1327" s="1" t="s">
        <v>21792</v>
      </c>
      <c r="L1327" s="1" t="s">
        <v>9076</v>
      </c>
      <c r="M1327" s="1">
        <v>243</v>
      </c>
      <c r="N1327" s="1" t="s">
        <v>9059</v>
      </c>
      <c r="O1327" s="1" t="s">
        <v>8954</v>
      </c>
      <c r="P1327" s="1" t="s">
        <v>8955</v>
      </c>
      <c r="Q1327" s="1" t="s">
        <v>8956</v>
      </c>
      <c r="R1327" s="1" t="s">
        <v>8975</v>
      </c>
      <c r="S1327" s="1" t="s">
        <v>4528</v>
      </c>
      <c r="T1327" s="1" t="s">
        <v>11</v>
      </c>
      <c r="U1327" s="1" t="s">
        <v>126</v>
      </c>
    </row>
    <row r="1328" spans="1:21" x14ac:dyDescent="0.2">
      <c r="A1328" s="88" t="s">
        <v>16961</v>
      </c>
      <c r="B1328" s="88" t="e">
        <f>VLOOKUP(C1328,#REF!,1,0)</f>
        <v>#REF!</v>
      </c>
      <c r="C1328" s="1" t="s">
        <v>4529</v>
      </c>
      <c r="D1328" s="1" t="s">
        <v>4530</v>
      </c>
      <c r="E1328" s="1" t="s">
        <v>9310</v>
      </c>
      <c r="F1328" s="1" t="s">
        <v>8974</v>
      </c>
      <c r="G1328" t="s">
        <v>9061</v>
      </c>
      <c r="H1328" s="1" t="s">
        <v>8948</v>
      </c>
      <c r="I1328" s="1" t="s">
        <v>8949</v>
      </c>
      <c r="J1328" s="2" t="s">
        <v>18497</v>
      </c>
      <c r="K1328" s="1" t="s">
        <v>18497</v>
      </c>
      <c r="L1328" s="1" t="s">
        <v>21600</v>
      </c>
      <c r="M1328" s="1">
        <v>1021</v>
      </c>
      <c r="N1328" s="1" t="s">
        <v>9059</v>
      </c>
      <c r="O1328" s="1" t="s">
        <v>8989</v>
      </c>
      <c r="P1328" s="1" t="s">
        <v>8955</v>
      </c>
      <c r="Q1328" s="1" t="s">
        <v>8956</v>
      </c>
      <c r="R1328" s="1" t="s">
        <v>8975</v>
      </c>
      <c r="S1328" s="1" t="s">
        <v>19489</v>
      </c>
      <c r="T1328" s="1" t="s">
        <v>17</v>
      </c>
      <c r="U1328" s="1" t="s">
        <v>180</v>
      </c>
    </row>
    <row r="1329" spans="1:21" x14ac:dyDescent="0.2">
      <c r="A1329" s="88" t="s">
        <v>16962</v>
      </c>
      <c r="B1329" s="88" t="e">
        <f>VLOOKUP(C1329,#REF!,1,0)</f>
        <v>#REF!</v>
      </c>
      <c r="C1329" s="1" t="s">
        <v>4531</v>
      </c>
      <c r="D1329" s="1" t="s">
        <v>4532</v>
      </c>
      <c r="E1329" s="1" t="s">
        <v>9310</v>
      </c>
      <c r="F1329" s="1" t="s">
        <v>8957</v>
      </c>
      <c r="G1329" t="s">
        <v>8959</v>
      </c>
      <c r="H1329" s="1" t="s">
        <v>9092</v>
      </c>
      <c r="I1329" s="1" t="s">
        <v>8998</v>
      </c>
      <c r="J1329" s="2" t="s">
        <v>20757</v>
      </c>
      <c r="K1329" s="1" t="s">
        <v>20757</v>
      </c>
      <c r="L1329" s="1" t="s">
        <v>21600</v>
      </c>
      <c r="M1329" s="1">
        <v>2280</v>
      </c>
      <c r="N1329" s="1" t="s">
        <v>8953</v>
      </c>
      <c r="O1329" s="1" t="s">
        <v>8989</v>
      </c>
      <c r="P1329" s="1" t="s">
        <v>8955</v>
      </c>
      <c r="Q1329" s="1" t="s">
        <v>8956</v>
      </c>
      <c r="R1329" s="1" t="s">
        <v>8958</v>
      </c>
      <c r="S1329" s="1" t="s">
        <v>19490</v>
      </c>
      <c r="T1329" s="1" t="s">
        <v>7</v>
      </c>
      <c r="U1329" s="1" t="s">
        <v>110</v>
      </c>
    </row>
    <row r="1330" spans="1:21" x14ac:dyDescent="0.2">
      <c r="A1330" s="88" t="s">
        <v>16963</v>
      </c>
      <c r="B1330" s="88" t="e">
        <f>VLOOKUP(C1330,#REF!,1,0)</f>
        <v>#REF!</v>
      </c>
      <c r="C1330" s="1" t="s">
        <v>4533</v>
      </c>
      <c r="D1330" s="1" t="s">
        <v>4534</v>
      </c>
      <c r="E1330" s="1" t="s">
        <v>18502</v>
      </c>
      <c r="F1330" s="1" t="s">
        <v>9060</v>
      </c>
      <c r="G1330" t="s">
        <v>8959</v>
      </c>
      <c r="H1330" s="1" t="s">
        <v>9605</v>
      </c>
      <c r="I1330" s="1" t="s">
        <v>8998</v>
      </c>
      <c r="J1330" s="2" t="e">
        <v>#N/A</v>
      </c>
      <c r="K1330" s="1" t="e">
        <v>#N/A</v>
      </c>
      <c r="L1330" s="1" t="s">
        <v>8987</v>
      </c>
      <c r="M1330" s="1">
        <v>23000</v>
      </c>
      <c r="N1330" s="1" t="s">
        <v>8953</v>
      </c>
      <c r="O1330" s="1" t="s">
        <v>8989</v>
      </c>
      <c r="P1330" s="1" t="s">
        <v>8955</v>
      </c>
      <c r="Q1330" s="1" t="s">
        <v>8956</v>
      </c>
      <c r="R1330" s="1" t="s">
        <v>9103</v>
      </c>
      <c r="S1330" s="1" t="s">
        <v>19491</v>
      </c>
      <c r="T1330" s="1" t="s">
        <v>17</v>
      </c>
      <c r="U1330" s="1" t="s">
        <v>493</v>
      </c>
    </row>
    <row r="1331" spans="1:21" x14ac:dyDescent="0.2">
      <c r="A1331" s="88" t="s">
        <v>16965</v>
      </c>
      <c r="B1331" s="88" t="e">
        <f>VLOOKUP(C1331,#REF!,1,0)</f>
        <v>#REF!</v>
      </c>
      <c r="C1331" s="1" t="s">
        <v>4542</v>
      </c>
      <c r="D1331" s="1" t="s">
        <v>4543</v>
      </c>
      <c r="E1331" s="1" t="s">
        <v>9310</v>
      </c>
      <c r="F1331" s="1" t="s">
        <v>8959</v>
      </c>
      <c r="G1331" t="s">
        <v>8959</v>
      </c>
      <c r="H1331" s="1" t="s">
        <v>8984</v>
      </c>
      <c r="I1331" s="1" t="s">
        <v>8949</v>
      </c>
      <c r="J1331" s="2" t="s">
        <v>20779</v>
      </c>
      <c r="K1331" s="1" t="s">
        <v>9036</v>
      </c>
      <c r="L1331" s="1" t="s">
        <v>9464</v>
      </c>
      <c r="M1331" s="1">
        <v>6</v>
      </c>
      <c r="N1331" s="1" t="s">
        <v>9059</v>
      </c>
      <c r="O1331" s="1" t="s">
        <v>8989</v>
      </c>
      <c r="P1331" s="1" t="s">
        <v>8955</v>
      </c>
      <c r="Q1331" s="1" t="s">
        <v>8956</v>
      </c>
      <c r="R1331" s="1" t="s">
        <v>9103</v>
      </c>
      <c r="S1331" s="1" t="s">
        <v>19494</v>
      </c>
      <c r="T1331" s="1" t="s">
        <v>7</v>
      </c>
      <c r="U1331" s="1" t="s">
        <v>378</v>
      </c>
    </row>
    <row r="1332" spans="1:21" x14ac:dyDescent="0.2">
      <c r="A1332" s="88" t="s">
        <v>16966</v>
      </c>
      <c r="B1332" s="88" t="e">
        <f>VLOOKUP(C1332,#REF!,1,0)</f>
        <v>#REF!</v>
      </c>
      <c r="C1332" s="1" t="s">
        <v>4544</v>
      </c>
      <c r="D1332" s="1" t="s">
        <v>4545</v>
      </c>
      <c r="E1332" s="1" t="s">
        <v>9310</v>
      </c>
      <c r="F1332" s="1" t="s">
        <v>8957</v>
      </c>
      <c r="G1332" t="s">
        <v>9061</v>
      </c>
      <c r="H1332" s="1" t="s">
        <v>9075</v>
      </c>
      <c r="I1332" s="1" t="s">
        <v>8949</v>
      </c>
      <c r="J1332" s="2" t="s">
        <v>10492</v>
      </c>
      <c r="K1332" s="1" t="s">
        <v>10492</v>
      </c>
      <c r="L1332" s="1" t="s">
        <v>21600</v>
      </c>
      <c r="M1332" s="1">
        <v>61320</v>
      </c>
      <c r="N1332" s="1" t="s">
        <v>8953</v>
      </c>
      <c r="O1332" s="1" t="s">
        <v>8989</v>
      </c>
      <c r="P1332" s="1" t="s">
        <v>8955</v>
      </c>
      <c r="Q1332" s="1" t="s">
        <v>8956</v>
      </c>
      <c r="R1332" s="1" t="s">
        <v>8975</v>
      </c>
      <c r="S1332" s="1" t="s">
        <v>19495</v>
      </c>
      <c r="T1332" s="1" t="s">
        <v>7</v>
      </c>
      <c r="U1332" s="1" t="s">
        <v>147</v>
      </c>
    </row>
    <row r="1333" spans="1:21" x14ac:dyDescent="0.2">
      <c r="A1333" s="88" t="s">
        <v>16967</v>
      </c>
      <c r="B1333" s="88" t="e">
        <f>VLOOKUP(C1333,#REF!,1,0)</f>
        <v>#REF!</v>
      </c>
      <c r="C1333" s="1" t="s">
        <v>4546</v>
      </c>
      <c r="D1333" s="1" t="s">
        <v>4547</v>
      </c>
      <c r="E1333" s="1" t="s">
        <v>9310</v>
      </c>
      <c r="F1333" s="1" t="s">
        <v>8957</v>
      </c>
      <c r="G1333" t="s">
        <v>8959</v>
      </c>
      <c r="H1333" s="1" t="s">
        <v>8948</v>
      </c>
      <c r="I1333" s="1" t="s">
        <v>8949</v>
      </c>
      <c r="J1333" s="2" t="s">
        <v>9036</v>
      </c>
      <c r="K1333" s="1" t="s">
        <v>9036</v>
      </c>
      <c r="L1333" s="1" t="s">
        <v>9076</v>
      </c>
      <c r="M1333" s="1">
        <v>288</v>
      </c>
      <c r="N1333" s="1" t="s">
        <v>8953</v>
      </c>
      <c r="O1333" s="1" t="s">
        <v>8954</v>
      </c>
      <c r="P1333" s="1" t="s">
        <v>8955</v>
      </c>
      <c r="Q1333" s="1" t="s">
        <v>8956</v>
      </c>
      <c r="R1333" s="1" t="s">
        <v>8975</v>
      </c>
      <c r="S1333" s="1" t="s">
        <v>4548</v>
      </c>
      <c r="T1333" s="1" t="s">
        <v>17</v>
      </c>
      <c r="U1333" s="1" t="s">
        <v>93</v>
      </c>
    </row>
    <row r="1334" spans="1:21" x14ac:dyDescent="0.2">
      <c r="A1334" s="88" t="s">
        <v>16968</v>
      </c>
      <c r="B1334" s="88" t="e">
        <f>VLOOKUP(C1334,#REF!,1,0)</f>
        <v>#REF!</v>
      </c>
      <c r="C1334" s="1" t="s">
        <v>4549</v>
      </c>
      <c r="D1334" s="1" t="s">
        <v>4550</v>
      </c>
      <c r="E1334" s="1" t="s">
        <v>11671</v>
      </c>
      <c r="F1334" s="1" t="s">
        <v>8957</v>
      </c>
      <c r="G1334" t="s">
        <v>9009</v>
      </c>
      <c r="H1334" s="1" t="s">
        <v>9092</v>
      </c>
      <c r="I1334" s="1" t="s">
        <v>9155</v>
      </c>
      <c r="J1334" s="2" t="s">
        <v>9036</v>
      </c>
      <c r="K1334" s="1" t="s">
        <v>9036</v>
      </c>
      <c r="L1334" s="1" t="s">
        <v>21600</v>
      </c>
      <c r="M1334" s="1">
        <v>150</v>
      </c>
      <c r="N1334" s="1" t="s">
        <v>9059</v>
      </c>
      <c r="O1334" s="1" t="s">
        <v>8954</v>
      </c>
      <c r="P1334" s="1" t="s">
        <v>8955</v>
      </c>
      <c r="Q1334" s="1" t="s">
        <v>8956</v>
      </c>
      <c r="R1334" s="1" t="s">
        <v>8975</v>
      </c>
      <c r="S1334" s="1" t="s">
        <v>4551</v>
      </c>
      <c r="T1334" s="1" t="s">
        <v>17</v>
      </c>
      <c r="U1334" s="1" t="s">
        <v>831</v>
      </c>
    </row>
    <row r="1335" spans="1:21" x14ac:dyDescent="0.2">
      <c r="A1335" s="88" t="s">
        <v>16969</v>
      </c>
      <c r="B1335" s="88" t="e">
        <f>VLOOKUP(C1335,#REF!,1,0)</f>
        <v>#REF!</v>
      </c>
      <c r="C1335" s="1" t="s">
        <v>4552</v>
      </c>
      <c r="D1335" s="1" t="s">
        <v>4553</v>
      </c>
      <c r="E1335" s="1" t="s">
        <v>9636</v>
      </c>
      <c r="F1335" s="1" t="s">
        <v>20818</v>
      </c>
      <c r="G1335" t="s">
        <v>8959</v>
      </c>
      <c r="H1335" s="1" t="s">
        <v>9100</v>
      </c>
      <c r="I1335" s="1" t="s">
        <v>8949</v>
      </c>
      <c r="J1335" s="2" t="s">
        <v>10492</v>
      </c>
      <c r="K1335" s="1" t="s">
        <v>10492</v>
      </c>
      <c r="L1335" s="1" t="s">
        <v>21600</v>
      </c>
      <c r="M1335" s="1">
        <v>75400</v>
      </c>
      <c r="N1335" s="1" t="s">
        <v>8953</v>
      </c>
      <c r="O1335" s="1" t="s">
        <v>8989</v>
      </c>
      <c r="P1335" s="1" t="s">
        <v>8955</v>
      </c>
      <c r="Q1335" s="1" t="s">
        <v>8956</v>
      </c>
      <c r="R1335" s="1" t="s">
        <v>8958</v>
      </c>
      <c r="S1335" s="1" t="s">
        <v>19496</v>
      </c>
      <c r="T1335" s="1" t="s">
        <v>17</v>
      </c>
      <c r="U1335" s="1" t="s">
        <v>46</v>
      </c>
    </row>
    <row r="1336" spans="1:21" x14ac:dyDescent="0.2">
      <c r="A1336" s="88" t="s">
        <v>16970</v>
      </c>
      <c r="B1336" s="88" t="e">
        <f>VLOOKUP(C1336,#REF!,1,0)</f>
        <v>#REF!</v>
      </c>
      <c r="C1336" s="1" t="s">
        <v>4554</v>
      </c>
      <c r="D1336" s="1" t="s">
        <v>4555</v>
      </c>
      <c r="E1336" s="1" t="s">
        <v>9010</v>
      </c>
      <c r="F1336" s="1" t="s">
        <v>8974</v>
      </c>
      <c r="G1336" t="s">
        <v>9183</v>
      </c>
      <c r="H1336" s="1" t="s">
        <v>9092</v>
      </c>
      <c r="I1336" s="1" t="s">
        <v>9308</v>
      </c>
      <c r="J1336" s="2" t="s">
        <v>9036</v>
      </c>
      <c r="K1336" s="1" t="s">
        <v>9036</v>
      </c>
      <c r="L1336" s="1" t="s">
        <v>8951</v>
      </c>
      <c r="M1336" s="1">
        <v>135409</v>
      </c>
      <c r="N1336" s="1" t="s">
        <v>8953</v>
      </c>
      <c r="O1336" s="1" t="s">
        <v>8954</v>
      </c>
      <c r="P1336" s="1" t="s">
        <v>8955</v>
      </c>
      <c r="Q1336" s="1" t="s">
        <v>8956</v>
      </c>
      <c r="R1336" s="1" t="s">
        <v>8975</v>
      </c>
      <c r="S1336" s="1" t="s">
        <v>4556</v>
      </c>
      <c r="T1336" s="1" t="s">
        <v>11</v>
      </c>
      <c r="U1336" s="1" t="s">
        <v>2121</v>
      </c>
    </row>
    <row r="1337" spans="1:21" x14ac:dyDescent="0.2">
      <c r="A1337" s="88" t="s">
        <v>16971</v>
      </c>
      <c r="B1337" s="88" t="e">
        <f>VLOOKUP(C1337,#REF!,1,0)</f>
        <v>#REF!</v>
      </c>
      <c r="C1337" s="1" t="s">
        <v>4563</v>
      </c>
      <c r="D1337" s="1" t="s">
        <v>4564</v>
      </c>
      <c r="E1337" s="1" t="s">
        <v>9246</v>
      </c>
      <c r="F1337" s="1" t="s">
        <v>8957</v>
      </c>
      <c r="G1337" t="s">
        <v>9009</v>
      </c>
      <c r="H1337" s="1" t="s">
        <v>14375</v>
      </c>
      <c r="I1337" s="1" t="s">
        <v>9422</v>
      </c>
      <c r="J1337" s="2" t="s">
        <v>9036</v>
      </c>
      <c r="K1337" s="1" t="s">
        <v>9036</v>
      </c>
      <c r="L1337" s="1" t="s">
        <v>9133</v>
      </c>
      <c r="M1337" s="1">
        <v>254</v>
      </c>
      <c r="N1337" s="1" t="s">
        <v>9059</v>
      </c>
      <c r="O1337" s="1" t="s">
        <v>8989</v>
      </c>
      <c r="P1337" s="1" t="s">
        <v>8955</v>
      </c>
      <c r="Q1337" s="1" t="s">
        <v>8956</v>
      </c>
      <c r="R1337" s="1" t="s">
        <v>8975</v>
      </c>
      <c r="S1337" s="1" t="s">
        <v>4565</v>
      </c>
      <c r="T1337" s="1" t="s">
        <v>242</v>
      </c>
      <c r="U1337" s="1" t="s">
        <v>24</v>
      </c>
    </row>
    <row r="1338" spans="1:21" x14ac:dyDescent="0.2">
      <c r="A1338" s="88" t="s">
        <v>16972</v>
      </c>
      <c r="B1338" s="88" t="e">
        <f>VLOOKUP(C1338,#REF!,1,0)</f>
        <v>#REF!</v>
      </c>
      <c r="C1338" s="1" t="s">
        <v>4569</v>
      </c>
      <c r="D1338" s="1" t="s">
        <v>4570</v>
      </c>
      <c r="E1338" s="1" t="s">
        <v>9310</v>
      </c>
      <c r="F1338" s="1" t="s">
        <v>8957</v>
      </c>
      <c r="G1338" t="s">
        <v>8959</v>
      </c>
      <c r="H1338" s="1" t="s">
        <v>9092</v>
      </c>
      <c r="I1338" s="1" t="s">
        <v>9308</v>
      </c>
      <c r="J1338" s="2" t="s">
        <v>20783</v>
      </c>
      <c r="K1338" s="1" t="s">
        <v>21752</v>
      </c>
      <c r="L1338" s="1" t="s">
        <v>9133</v>
      </c>
      <c r="M1338" s="1">
        <v>2770</v>
      </c>
      <c r="N1338" s="1" t="s">
        <v>8953</v>
      </c>
      <c r="O1338" s="1" t="s">
        <v>8989</v>
      </c>
      <c r="P1338" s="1" t="s">
        <v>8955</v>
      </c>
      <c r="Q1338" s="1" t="s">
        <v>8956</v>
      </c>
      <c r="R1338" s="1" t="s">
        <v>9103</v>
      </c>
      <c r="S1338" s="1" t="s">
        <v>19500</v>
      </c>
      <c r="T1338" s="1" t="s">
        <v>7</v>
      </c>
      <c r="U1338" s="1" t="s">
        <v>64</v>
      </c>
    </row>
    <row r="1339" spans="1:21" x14ac:dyDescent="0.2">
      <c r="A1339" s="88" t="s">
        <v>16973</v>
      </c>
      <c r="B1339" s="88" t="e">
        <f>VLOOKUP(C1339,#REF!,1,0)</f>
        <v>#REF!</v>
      </c>
      <c r="C1339" s="1" t="s">
        <v>4571</v>
      </c>
      <c r="D1339" s="1" t="s">
        <v>4572</v>
      </c>
      <c r="E1339" s="1" t="s">
        <v>9310</v>
      </c>
      <c r="F1339" s="1" t="s">
        <v>8957</v>
      </c>
      <c r="G1339" t="s">
        <v>8959</v>
      </c>
      <c r="H1339" s="1" t="s">
        <v>20714</v>
      </c>
      <c r="I1339" s="1" t="s">
        <v>9050</v>
      </c>
      <c r="J1339" s="2" t="s">
        <v>18489</v>
      </c>
      <c r="K1339" s="1" t="s">
        <v>18489</v>
      </c>
      <c r="L1339" s="1" t="s">
        <v>8951</v>
      </c>
      <c r="M1339" s="1">
        <v>20394</v>
      </c>
      <c r="N1339" s="1" t="s">
        <v>8953</v>
      </c>
      <c r="O1339" s="1" t="s">
        <v>8989</v>
      </c>
      <c r="P1339" s="1" t="s">
        <v>8955</v>
      </c>
      <c r="Q1339" s="1" t="s">
        <v>8956</v>
      </c>
      <c r="R1339" s="1" t="s">
        <v>8958</v>
      </c>
      <c r="S1339" s="1" t="s">
        <v>19501</v>
      </c>
      <c r="T1339" s="1" t="s">
        <v>17</v>
      </c>
      <c r="U1339" s="1" t="s">
        <v>110</v>
      </c>
    </row>
    <row r="1340" spans="1:21" x14ac:dyDescent="0.2">
      <c r="A1340" s="88" t="s">
        <v>16974</v>
      </c>
      <c r="B1340" s="88" t="e">
        <f>VLOOKUP(C1340,#REF!,1,0)</f>
        <v>#REF!</v>
      </c>
      <c r="C1340" s="1" t="s">
        <v>4573</v>
      </c>
      <c r="D1340" s="1" t="s">
        <v>4574</v>
      </c>
      <c r="E1340" s="1" t="s">
        <v>9310</v>
      </c>
      <c r="F1340" s="1" t="s">
        <v>8957</v>
      </c>
      <c r="G1340" t="s">
        <v>8959</v>
      </c>
      <c r="H1340" s="1" t="s">
        <v>20712</v>
      </c>
      <c r="I1340" s="1" t="s">
        <v>9308</v>
      </c>
      <c r="J1340" s="2" t="s">
        <v>20785</v>
      </c>
      <c r="K1340" s="1" t="s">
        <v>18491</v>
      </c>
      <c r="L1340" s="1" t="s">
        <v>9076</v>
      </c>
      <c r="M1340" s="1">
        <v>2906</v>
      </c>
      <c r="N1340" s="1" t="s">
        <v>9059</v>
      </c>
      <c r="O1340" s="1" t="s">
        <v>8954</v>
      </c>
      <c r="P1340" s="1" t="s">
        <v>8955</v>
      </c>
      <c r="Q1340" s="1" t="s">
        <v>8956</v>
      </c>
      <c r="R1340" s="1" t="s">
        <v>8958</v>
      </c>
      <c r="S1340" s="1" t="s">
        <v>19502</v>
      </c>
      <c r="T1340" s="1" t="s">
        <v>17</v>
      </c>
      <c r="U1340" s="1" t="s">
        <v>93</v>
      </c>
    </row>
    <row r="1341" spans="1:21" x14ac:dyDescent="0.2">
      <c r="A1341" s="88" t="s">
        <v>16976</v>
      </c>
      <c r="B1341" s="88" t="e">
        <f>VLOOKUP(C1341,#REF!,1,0)</f>
        <v>#REF!</v>
      </c>
      <c r="C1341" s="1" t="s">
        <v>4577</v>
      </c>
      <c r="D1341" s="1" t="s">
        <v>4578</v>
      </c>
      <c r="E1341" s="1" t="s">
        <v>18502</v>
      </c>
      <c r="F1341" s="1" t="s">
        <v>8959</v>
      </c>
      <c r="G1341" t="s">
        <v>8959</v>
      </c>
      <c r="H1341" s="1" t="s">
        <v>8948</v>
      </c>
      <c r="I1341" s="1" t="s">
        <v>9725</v>
      </c>
      <c r="J1341" s="2" t="s">
        <v>10492</v>
      </c>
      <c r="K1341" s="1" t="s">
        <v>10492</v>
      </c>
      <c r="L1341" s="1" t="s">
        <v>9076</v>
      </c>
      <c r="M1341" s="1">
        <v>1292</v>
      </c>
      <c r="N1341" s="1" t="s">
        <v>8953</v>
      </c>
      <c r="O1341" s="1" t="s">
        <v>8989</v>
      </c>
      <c r="P1341" s="1" t="s">
        <v>8955</v>
      </c>
      <c r="Q1341" s="1" t="s">
        <v>8956</v>
      </c>
      <c r="R1341" s="1" t="s">
        <v>9103</v>
      </c>
      <c r="S1341" s="1" t="s">
        <v>19504</v>
      </c>
      <c r="T1341" s="1" t="s">
        <v>17</v>
      </c>
      <c r="U1341" s="1" t="s">
        <v>378</v>
      </c>
    </row>
    <row r="1342" spans="1:21" x14ac:dyDescent="0.2">
      <c r="A1342" s="88" t="s">
        <v>16977</v>
      </c>
      <c r="B1342" s="88" t="e">
        <f>VLOOKUP(C1342,#REF!,1,0)</f>
        <v>#REF!</v>
      </c>
      <c r="C1342" s="1" t="s">
        <v>4579</v>
      </c>
      <c r="D1342" s="1" t="s">
        <v>4580</v>
      </c>
      <c r="E1342" s="1" t="s">
        <v>18502</v>
      </c>
      <c r="F1342" s="1" t="s">
        <v>8957</v>
      </c>
      <c r="G1342" t="s">
        <v>8959</v>
      </c>
      <c r="H1342" s="1" t="s">
        <v>8948</v>
      </c>
      <c r="I1342" s="1" t="s">
        <v>8998</v>
      </c>
      <c r="J1342" s="2" t="s">
        <v>10492</v>
      </c>
      <c r="K1342" s="1" t="s">
        <v>10492</v>
      </c>
      <c r="L1342" s="1" t="s">
        <v>9076</v>
      </c>
      <c r="M1342" s="1">
        <v>4000</v>
      </c>
      <c r="N1342" s="1" t="s">
        <v>8953</v>
      </c>
      <c r="O1342" s="1" t="s">
        <v>8989</v>
      </c>
      <c r="P1342" s="1" t="s">
        <v>8955</v>
      </c>
      <c r="Q1342" s="1" t="s">
        <v>8956</v>
      </c>
      <c r="R1342" s="1" t="s">
        <v>9103</v>
      </c>
      <c r="S1342" s="1" t="s">
        <v>19504</v>
      </c>
      <c r="T1342" s="1" t="s">
        <v>7</v>
      </c>
      <c r="U1342" s="1" t="s">
        <v>2434</v>
      </c>
    </row>
    <row r="1343" spans="1:21" x14ac:dyDescent="0.2">
      <c r="A1343" s="88" t="s">
        <v>16978</v>
      </c>
      <c r="B1343" s="88" t="e">
        <f>VLOOKUP(C1343,#REF!,1,0)</f>
        <v>#REF!</v>
      </c>
      <c r="C1343" s="1" t="s">
        <v>4581</v>
      </c>
      <c r="D1343" s="1" t="s">
        <v>4582</v>
      </c>
      <c r="E1343" s="1" t="s">
        <v>18502</v>
      </c>
      <c r="F1343" s="1" t="s">
        <v>8957</v>
      </c>
      <c r="G1343" t="s">
        <v>8959</v>
      </c>
      <c r="H1343" s="1" t="s">
        <v>8948</v>
      </c>
      <c r="I1343" s="1" t="s">
        <v>9155</v>
      </c>
      <c r="J1343" s="2" t="s">
        <v>10492</v>
      </c>
      <c r="K1343" s="1" t="s">
        <v>10492</v>
      </c>
      <c r="L1343" s="1" t="s">
        <v>9076</v>
      </c>
      <c r="M1343" s="1">
        <v>21</v>
      </c>
      <c r="N1343" s="1" t="s">
        <v>8953</v>
      </c>
      <c r="O1343" s="1" t="s">
        <v>8989</v>
      </c>
      <c r="P1343" s="1" t="s">
        <v>8955</v>
      </c>
      <c r="Q1343" s="1" t="s">
        <v>8956</v>
      </c>
      <c r="R1343" s="1" t="s">
        <v>9103</v>
      </c>
      <c r="S1343" s="1" t="s">
        <v>19505</v>
      </c>
      <c r="T1343" s="1" t="s">
        <v>17</v>
      </c>
      <c r="U1343" s="1" t="s">
        <v>378</v>
      </c>
    </row>
    <row r="1344" spans="1:21" x14ac:dyDescent="0.2">
      <c r="A1344" s="88" t="s">
        <v>16979</v>
      </c>
      <c r="B1344" s="88" t="e">
        <f>VLOOKUP(C1344,#REF!,1,0)</f>
        <v>#REF!</v>
      </c>
      <c r="C1344" s="1" t="s">
        <v>4583</v>
      </c>
      <c r="D1344" s="1" t="s">
        <v>4584</v>
      </c>
      <c r="E1344" s="1" t="s">
        <v>18502</v>
      </c>
      <c r="F1344" s="1" t="s">
        <v>20874</v>
      </c>
      <c r="G1344" t="s">
        <v>9061</v>
      </c>
      <c r="H1344" s="1" t="s">
        <v>9100</v>
      </c>
      <c r="I1344" s="1" t="s">
        <v>8949</v>
      </c>
      <c r="J1344" s="2" t="s">
        <v>10525</v>
      </c>
      <c r="K1344" s="1" t="s">
        <v>10525</v>
      </c>
      <c r="L1344" s="1" t="s">
        <v>9133</v>
      </c>
      <c r="M1344" s="1">
        <v>3566</v>
      </c>
      <c r="N1344" s="1" t="s">
        <v>8953</v>
      </c>
      <c r="O1344" s="1" t="s">
        <v>8954</v>
      </c>
      <c r="P1344" s="1" t="s">
        <v>8955</v>
      </c>
      <c r="Q1344" s="1" t="s">
        <v>8956</v>
      </c>
      <c r="R1344" s="1" t="s">
        <v>8975</v>
      </c>
      <c r="S1344" s="1" t="s">
        <v>20634</v>
      </c>
      <c r="T1344" s="1" t="s">
        <v>17</v>
      </c>
      <c r="U1344" s="1" t="s">
        <v>21</v>
      </c>
    </row>
    <row r="1345" spans="1:21" x14ac:dyDescent="0.2">
      <c r="A1345" s="88" t="s">
        <v>16980</v>
      </c>
      <c r="B1345" s="88" t="e">
        <f>VLOOKUP(C1345,#REF!,1,0)</f>
        <v>#REF!</v>
      </c>
      <c r="C1345" s="1" t="s">
        <v>4585</v>
      </c>
      <c r="D1345" s="1" t="s">
        <v>4586</v>
      </c>
      <c r="E1345" s="1" t="s">
        <v>9310</v>
      </c>
      <c r="F1345" s="1" t="s">
        <v>8957</v>
      </c>
      <c r="G1345" t="s">
        <v>9061</v>
      </c>
      <c r="H1345" s="1" t="s">
        <v>8984</v>
      </c>
      <c r="I1345" s="1" t="s">
        <v>8971</v>
      </c>
      <c r="J1345" s="2" t="s">
        <v>20779</v>
      </c>
      <c r="K1345" s="1" t="s">
        <v>9036</v>
      </c>
      <c r="L1345" s="1" t="s">
        <v>8951</v>
      </c>
      <c r="M1345" s="1">
        <v>138</v>
      </c>
      <c r="N1345" s="1" t="s">
        <v>9059</v>
      </c>
      <c r="O1345" s="1" t="s">
        <v>8989</v>
      </c>
      <c r="P1345" s="1" t="s">
        <v>8955</v>
      </c>
      <c r="Q1345" s="1" t="s">
        <v>8956</v>
      </c>
      <c r="R1345" s="1" t="s">
        <v>8975</v>
      </c>
      <c r="S1345" s="1" t="s">
        <v>19506</v>
      </c>
      <c r="T1345" s="1" t="s">
        <v>7</v>
      </c>
      <c r="U1345" s="1" t="s">
        <v>147</v>
      </c>
    </row>
    <row r="1346" spans="1:21" x14ac:dyDescent="0.2">
      <c r="A1346" s="88" t="s">
        <v>16981</v>
      </c>
      <c r="B1346" s="88" t="e">
        <f>VLOOKUP(C1346,#REF!,1,0)</f>
        <v>#REF!</v>
      </c>
      <c r="C1346" s="1" t="s">
        <v>4587</v>
      </c>
      <c r="D1346" s="1" t="s">
        <v>4588</v>
      </c>
      <c r="E1346" s="1" t="s">
        <v>9010</v>
      </c>
      <c r="F1346" s="1" t="s">
        <v>8957</v>
      </c>
      <c r="G1346" t="s">
        <v>9061</v>
      </c>
      <c r="H1346" s="1" t="s">
        <v>9092</v>
      </c>
      <c r="I1346" s="1" t="s">
        <v>8949</v>
      </c>
      <c r="J1346" s="2" t="s">
        <v>10629</v>
      </c>
      <c r="K1346" s="1" t="s">
        <v>10629</v>
      </c>
      <c r="L1346" s="1" t="s">
        <v>21600</v>
      </c>
      <c r="M1346" s="1">
        <v>120</v>
      </c>
      <c r="N1346" s="1" t="s">
        <v>8953</v>
      </c>
      <c r="O1346" s="1" t="s">
        <v>8954</v>
      </c>
      <c r="P1346" s="1" t="s">
        <v>8955</v>
      </c>
      <c r="Q1346" s="1" t="s">
        <v>8956</v>
      </c>
      <c r="R1346" s="1" t="s">
        <v>9103</v>
      </c>
      <c r="S1346" s="1" t="s">
        <v>4589</v>
      </c>
      <c r="T1346" s="1" t="s">
        <v>17</v>
      </c>
      <c r="U1346" s="1" t="s">
        <v>161</v>
      </c>
    </row>
    <row r="1347" spans="1:21" x14ac:dyDescent="0.2">
      <c r="A1347" s="88" t="s">
        <v>16982</v>
      </c>
      <c r="B1347" s="88" t="e">
        <f>VLOOKUP(C1347,#REF!,1,0)</f>
        <v>#REF!</v>
      </c>
      <c r="C1347" s="1" t="s">
        <v>4590</v>
      </c>
      <c r="D1347" s="1" t="s">
        <v>4591</v>
      </c>
      <c r="E1347" s="1" t="s">
        <v>18502</v>
      </c>
      <c r="F1347" s="1" t="s">
        <v>8959</v>
      </c>
      <c r="G1347" t="s">
        <v>9061</v>
      </c>
      <c r="H1347" s="1" t="s">
        <v>9092</v>
      </c>
      <c r="I1347" s="1" t="s">
        <v>8949</v>
      </c>
      <c r="J1347" s="2" t="s">
        <v>10492</v>
      </c>
      <c r="K1347" s="1" t="s">
        <v>21645</v>
      </c>
      <c r="L1347" s="1" t="s">
        <v>9076</v>
      </c>
      <c r="M1347" s="1">
        <v>100</v>
      </c>
      <c r="N1347" s="1" t="s">
        <v>9059</v>
      </c>
      <c r="O1347" s="1" t="s">
        <v>8989</v>
      </c>
      <c r="P1347" s="1" t="s">
        <v>8955</v>
      </c>
      <c r="Q1347" s="1" t="s">
        <v>8956</v>
      </c>
      <c r="R1347" s="1" t="s">
        <v>9103</v>
      </c>
      <c r="S1347" s="1" t="s">
        <v>19507</v>
      </c>
      <c r="T1347" s="1" t="s">
        <v>17</v>
      </c>
      <c r="U1347" s="1" t="s">
        <v>161</v>
      </c>
    </row>
    <row r="1348" spans="1:21" x14ac:dyDescent="0.2">
      <c r="A1348" s="88" t="s">
        <v>16983</v>
      </c>
      <c r="B1348" s="88" t="e">
        <f>VLOOKUP(C1348,#REF!,1,0)</f>
        <v>#REF!</v>
      </c>
      <c r="C1348" s="1" t="s">
        <v>4592</v>
      </c>
      <c r="D1348" s="1" t="s">
        <v>4593</v>
      </c>
      <c r="E1348" s="1" t="s">
        <v>9010</v>
      </c>
      <c r="F1348" s="1" t="s">
        <v>8974</v>
      </c>
      <c r="G1348" t="s">
        <v>9061</v>
      </c>
      <c r="H1348" s="1" t="s">
        <v>8948</v>
      </c>
      <c r="I1348" s="1" t="s">
        <v>9155</v>
      </c>
      <c r="J1348" s="2" t="s">
        <v>21416</v>
      </c>
      <c r="K1348" s="1" t="s">
        <v>21416</v>
      </c>
      <c r="L1348" s="1" t="s">
        <v>9076</v>
      </c>
      <c r="M1348" s="1">
        <v>30</v>
      </c>
      <c r="N1348" s="1" t="s">
        <v>8953</v>
      </c>
      <c r="O1348" s="1" t="s">
        <v>8989</v>
      </c>
      <c r="P1348" s="1" t="s">
        <v>8955</v>
      </c>
      <c r="Q1348" s="1" t="s">
        <v>8956</v>
      </c>
      <c r="R1348" s="1" t="s">
        <v>8958</v>
      </c>
      <c r="S1348" s="1" t="s">
        <v>4594</v>
      </c>
      <c r="T1348" s="1" t="s">
        <v>11</v>
      </c>
      <c r="U1348" s="1" t="s">
        <v>180</v>
      </c>
    </row>
    <row r="1349" spans="1:21" x14ac:dyDescent="0.2">
      <c r="A1349" s="88" t="s">
        <v>16984</v>
      </c>
      <c r="B1349" s="88" t="e">
        <f>VLOOKUP(C1349,#REF!,1,0)</f>
        <v>#REF!</v>
      </c>
      <c r="C1349" s="1" t="s">
        <v>4595</v>
      </c>
      <c r="D1349" s="1" t="s">
        <v>4596</v>
      </c>
      <c r="E1349" s="1" t="s">
        <v>9310</v>
      </c>
      <c r="F1349" s="1" t="s">
        <v>8957</v>
      </c>
      <c r="G1349" t="s">
        <v>9061</v>
      </c>
      <c r="H1349" s="1" t="s">
        <v>8984</v>
      </c>
      <c r="I1349" s="1" t="s">
        <v>8971</v>
      </c>
      <c r="J1349" s="2" t="s">
        <v>20736</v>
      </c>
      <c r="K1349" s="1" t="s">
        <v>21640</v>
      </c>
      <c r="L1349" s="1" t="s">
        <v>8951</v>
      </c>
      <c r="M1349" s="1">
        <v>98</v>
      </c>
      <c r="N1349" s="1" t="s">
        <v>9059</v>
      </c>
      <c r="O1349" s="1" t="s">
        <v>8954</v>
      </c>
      <c r="P1349" s="1" t="s">
        <v>8955</v>
      </c>
      <c r="Q1349" s="1" t="s">
        <v>8956</v>
      </c>
      <c r="R1349" s="1" t="s">
        <v>8958</v>
      </c>
      <c r="S1349" s="1" t="s">
        <v>19508</v>
      </c>
      <c r="T1349" s="1" t="s">
        <v>7</v>
      </c>
      <c r="U1349" s="1" t="s">
        <v>126</v>
      </c>
    </row>
    <row r="1350" spans="1:21" x14ac:dyDescent="0.2">
      <c r="A1350" s="88" t="s">
        <v>16985</v>
      </c>
      <c r="B1350" s="88" t="e">
        <f>VLOOKUP(C1350,#REF!,1,0)</f>
        <v>#REF!</v>
      </c>
      <c r="C1350" s="1" t="s">
        <v>4597</v>
      </c>
      <c r="D1350" s="1" t="s">
        <v>4598</v>
      </c>
      <c r="E1350" s="1" t="s">
        <v>18502</v>
      </c>
      <c r="F1350" s="1" t="s">
        <v>8957</v>
      </c>
      <c r="G1350" t="s">
        <v>9061</v>
      </c>
      <c r="H1350" s="1" t="s">
        <v>20712</v>
      </c>
      <c r="I1350" s="1" t="s">
        <v>8949</v>
      </c>
      <c r="J1350" s="2" t="s">
        <v>10492</v>
      </c>
      <c r="K1350" s="1" t="s">
        <v>10492</v>
      </c>
      <c r="L1350" s="1" t="s">
        <v>9076</v>
      </c>
      <c r="M1350" s="1">
        <v>93</v>
      </c>
      <c r="N1350" s="1" t="s">
        <v>9059</v>
      </c>
      <c r="O1350" s="1" t="s">
        <v>8954</v>
      </c>
      <c r="P1350" s="1" t="s">
        <v>8955</v>
      </c>
      <c r="Q1350" s="1" t="s">
        <v>8956</v>
      </c>
      <c r="R1350" s="1" t="s">
        <v>8958</v>
      </c>
      <c r="S1350" s="1" t="s">
        <v>19509</v>
      </c>
      <c r="T1350" s="1" t="s">
        <v>17</v>
      </c>
      <c r="U1350" s="1" t="s">
        <v>161</v>
      </c>
    </row>
    <row r="1351" spans="1:21" x14ac:dyDescent="0.2">
      <c r="A1351" s="88" t="s">
        <v>16986</v>
      </c>
      <c r="B1351" s="88" t="e">
        <f>VLOOKUP(C1351,#REF!,1,0)</f>
        <v>#REF!</v>
      </c>
      <c r="C1351" s="1" t="s">
        <v>4599</v>
      </c>
      <c r="D1351" s="1" t="s">
        <v>4600</v>
      </c>
      <c r="E1351" s="1" t="s">
        <v>9010</v>
      </c>
      <c r="F1351" s="1" t="s">
        <v>8957</v>
      </c>
      <c r="G1351" t="s">
        <v>9061</v>
      </c>
      <c r="H1351" s="1" t="s">
        <v>8948</v>
      </c>
      <c r="I1351" s="1" t="s">
        <v>8949</v>
      </c>
      <c r="J1351" s="2" t="s">
        <v>9018</v>
      </c>
      <c r="K1351" s="1" t="s">
        <v>9018</v>
      </c>
      <c r="L1351" s="1" t="s">
        <v>9157</v>
      </c>
      <c r="M1351" s="1">
        <v>50</v>
      </c>
      <c r="N1351" s="1" t="s">
        <v>8953</v>
      </c>
      <c r="O1351" s="1" t="s">
        <v>8954</v>
      </c>
      <c r="P1351" s="1" t="s">
        <v>8955</v>
      </c>
      <c r="Q1351" s="1" t="s">
        <v>8956</v>
      </c>
      <c r="R1351" s="1" t="s">
        <v>8958</v>
      </c>
      <c r="S1351" s="1" t="s">
        <v>4601</v>
      </c>
      <c r="T1351" s="1" t="s">
        <v>17</v>
      </c>
      <c r="U1351" s="1" t="s">
        <v>4602</v>
      </c>
    </row>
    <row r="1352" spans="1:21" x14ac:dyDescent="0.2">
      <c r="A1352" s="88" t="s">
        <v>16987</v>
      </c>
      <c r="B1352" s="88" t="e">
        <f>VLOOKUP(C1352,#REF!,1,0)</f>
        <v>#REF!</v>
      </c>
      <c r="C1352" s="1" t="s">
        <v>4603</v>
      </c>
      <c r="D1352" s="1" t="s">
        <v>4604</v>
      </c>
      <c r="E1352" s="1" t="s">
        <v>9010</v>
      </c>
      <c r="F1352" s="1" t="s">
        <v>8959</v>
      </c>
      <c r="G1352" t="s">
        <v>9061</v>
      </c>
      <c r="H1352" s="1" t="s">
        <v>9092</v>
      </c>
      <c r="I1352" s="1" t="s">
        <v>8949</v>
      </c>
      <c r="J1352" s="2" t="s">
        <v>21306</v>
      </c>
      <c r="K1352" s="1" t="s">
        <v>21774</v>
      </c>
      <c r="L1352" s="1" t="s">
        <v>21600</v>
      </c>
      <c r="M1352" s="1">
        <v>40</v>
      </c>
      <c r="N1352" s="1" t="s">
        <v>9059</v>
      </c>
      <c r="O1352" s="1" t="s">
        <v>8954</v>
      </c>
      <c r="P1352" s="1" t="s">
        <v>8955</v>
      </c>
      <c r="Q1352" s="1" t="s">
        <v>8956</v>
      </c>
      <c r="R1352" s="1" t="s">
        <v>8958</v>
      </c>
      <c r="S1352" s="1" t="s">
        <v>4605</v>
      </c>
      <c r="T1352" s="1" t="s">
        <v>11</v>
      </c>
      <c r="U1352" s="1" t="s">
        <v>161</v>
      </c>
    </row>
    <row r="1353" spans="1:21" x14ac:dyDescent="0.2">
      <c r="A1353" s="88" t="s">
        <v>16988</v>
      </c>
      <c r="B1353" s="88" t="e">
        <f>VLOOKUP(C1353,#REF!,1,0)</f>
        <v>#REF!</v>
      </c>
      <c r="C1353" s="1" t="s">
        <v>4606</v>
      </c>
      <c r="D1353" s="1" t="s">
        <v>4607</v>
      </c>
      <c r="E1353" s="1" t="s">
        <v>9310</v>
      </c>
      <c r="F1353" s="1" t="s">
        <v>8957</v>
      </c>
      <c r="G1353" t="s">
        <v>9183</v>
      </c>
      <c r="H1353" s="1" t="s">
        <v>9092</v>
      </c>
      <c r="I1353" s="1" t="s">
        <v>8949</v>
      </c>
      <c r="J1353" s="2" t="s">
        <v>9018</v>
      </c>
      <c r="K1353" s="1" t="s">
        <v>21762</v>
      </c>
      <c r="L1353" s="1" t="s">
        <v>8951</v>
      </c>
      <c r="M1353" s="1">
        <v>175</v>
      </c>
      <c r="N1353" s="1" t="s">
        <v>9059</v>
      </c>
      <c r="O1353" s="1" t="s">
        <v>8989</v>
      </c>
      <c r="P1353" s="1" t="s">
        <v>8955</v>
      </c>
      <c r="Q1353" s="1" t="s">
        <v>8956</v>
      </c>
      <c r="R1353" s="1" t="s">
        <v>8975</v>
      </c>
      <c r="S1353" s="1" t="s">
        <v>4608</v>
      </c>
      <c r="T1353" s="1" t="s">
        <v>11</v>
      </c>
      <c r="U1353" s="1" t="s">
        <v>180</v>
      </c>
    </row>
    <row r="1354" spans="1:21" x14ac:dyDescent="0.2">
      <c r="A1354" s="88" t="s">
        <v>16989</v>
      </c>
      <c r="B1354" s="88" t="e">
        <f>VLOOKUP(C1354,#REF!,1,0)</f>
        <v>#REF!</v>
      </c>
      <c r="C1354" s="1" t="s">
        <v>4609</v>
      </c>
      <c r="D1354" s="1" t="s">
        <v>4610</v>
      </c>
      <c r="E1354" s="1" t="s">
        <v>9310</v>
      </c>
      <c r="F1354" s="1" t="s">
        <v>8957</v>
      </c>
      <c r="G1354" t="s">
        <v>8959</v>
      </c>
      <c r="H1354" s="1" t="s">
        <v>9035</v>
      </c>
      <c r="I1354" s="1" t="s">
        <v>8998</v>
      </c>
      <c r="J1354" s="2" t="s">
        <v>10258</v>
      </c>
      <c r="K1354" s="1" t="s">
        <v>10258</v>
      </c>
      <c r="L1354" s="1" t="s">
        <v>21600</v>
      </c>
      <c r="M1354" s="1">
        <v>986</v>
      </c>
      <c r="N1354" s="1" t="s">
        <v>8953</v>
      </c>
      <c r="O1354" s="1" t="s">
        <v>8954</v>
      </c>
      <c r="P1354" s="1" t="s">
        <v>8955</v>
      </c>
      <c r="Q1354" s="1" t="s">
        <v>8956</v>
      </c>
      <c r="R1354" s="1" t="s">
        <v>8975</v>
      </c>
      <c r="S1354" s="1" t="s">
        <v>4611</v>
      </c>
      <c r="T1354" s="1" t="s">
        <v>17</v>
      </c>
      <c r="U1354" s="1" t="s">
        <v>2434</v>
      </c>
    </row>
    <row r="1355" spans="1:21" x14ac:dyDescent="0.2">
      <c r="A1355" s="88" t="s">
        <v>16990</v>
      </c>
      <c r="B1355" s="88" t="e">
        <f>VLOOKUP(C1355,#REF!,1,0)</f>
        <v>#REF!</v>
      </c>
      <c r="C1355" s="1" t="s">
        <v>4612</v>
      </c>
      <c r="D1355" s="1" t="s">
        <v>4613</v>
      </c>
      <c r="E1355" s="1" t="s">
        <v>9310</v>
      </c>
      <c r="F1355" s="1" t="s">
        <v>8957</v>
      </c>
      <c r="G1355" t="s">
        <v>8959</v>
      </c>
      <c r="H1355" s="1" t="s">
        <v>20712</v>
      </c>
      <c r="I1355" s="1" t="s">
        <v>9155</v>
      </c>
      <c r="J1355" s="2" t="s">
        <v>20768</v>
      </c>
      <c r="K1355" s="1" t="s">
        <v>20768</v>
      </c>
      <c r="L1355" s="1" t="s">
        <v>21600</v>
      </c>
      <c r="M1355" s="1">
        <v>4232</v>
      </c>
      <c r="N1355" s="1" t="s">
        <v>8953</v>
      </c>
      <c r="O1355" s="1" t="s">
        <v>8954</v>
      </c>
      <c r="P1355" s="1" t="s">
        <v>8955</v>
      </c>
      <c r="Q1355" s="1" t="s">
        <v>8956</v>
      </c>
      <c r="R1355" s="1" t="s">
        <v>8975</v>
      </c>
      <c r="S1355" s="1" t="s">
        <v>19510</v>
      </c>
      <c r="T1355" s="1" t="s">
        <v>7</v>
      </c>
      <c r="U1355" s="1" t="s">
        <v>93</v>
      </c>
    </row>
    <row r="1356" spans="1:21" x14ac:dyDescent="0.2">
      <c r="A1356" s="88" t="s">
        <v>16991</v>
      </c>
      <c r="B1356" s="88" t="e">
        <f>VLOOKUP(C1356,#REF!,1,0)</f>
        <v>#REF!</v>
      </c>
      <c r="C1356" s="1" t="s">
        <v>4614</v>
      </c>
      <c r="D1356" s="1" t="s">
        <v>4615</v>
      </c>
      <c r="E1356" s="1" t="s">
        <v>9310</v>
      </c>
      <c r="F1356" s="1" t="s">
        <v>8957</v>
      </c>
      <c r="G1356" t="s">
        <v>8959</v>
      </c>
      <c r="H1356" s="1" t="s">
        <v>9035</v>
      </c>
      <c r="I1356" s="1" t="s">
        <v>9308</v>
      </c>
      <c r="J1356" s="2" t="s">
        <v>20723</v>
      </c>
      <c r="K1356" s="1" t="s">
        <v>21659</v>
      </c>
      <c r="L1356" s="1" t="s">
        <v>8987</v>
      </c>
      <c r="M1356" s="1">
        <v>112367</v>
      </c>
      <c r="N1356" s="1" t="s">
        <v>8953</v>
      </c>
      <c r="O1356" s="1" t="s">
        <v>8954</v>
      </c>
      <c r="P1356" s="1" t="s">
        <v>8955</v>
      </c>
      <c r="Q1356" s="1" t="s">
        <v>8956</v>
      </c>
      <c r="R1356" s="1" t="s">
        <v>8958</v>
      </c>
      <c r="S1356" s="1" t="s">
        <v>19511</v>
      </c>
      <c r="T1356" s="1" t="s">
        <v>17</v>
      </c>
      <c r="U1356" s="1" t="s">
        <v>43</v>
      </c>
    </row>
    <row r="1357" spans="1:21" x14ac:dyDescent="0.2">
      <c r="A1357" s="95" t="s">
        <v>16992</v>
      </c>
      <c r="B1357" s="88" t="e">
        <f>VLOOKUP(C1357,#REF!,1,0)</f>
        <v>#REF!</v>
      </c>
      <c r="C1357" s="1" t="s">
        <v>4616</v>
      </c>
      <c r="D1357" s="1" t="s">
        <v>4617</v>
      </c>
      <c r="E1357" s="1" t="s">
        <v>18502</v>
      </c>
      <c r="F1357" s="1" t="s">
        <v>8957</v>
      </c>
      <c r="G1357" t="s">
        <v>9061</v>
      </c>
      <c r="H1357" s="1" t="s">
        <v>20712</v>
      </c>
      <c r="I1357" s="1" t="s">
        <v>9725</v>
      </c>
      <c r="J1357" s="2" t="s">
        <v>10492</v>
      </c>
      <c r="K1357" s="1" t="s">
        <v>10492</v>
      </c>
      <c r="L1357" s="1" t="s">
        <v>9464</v>
      </c>
      <c r="M1357" s="1">
        <v>48</v>
      </c>
      <c r="N1357" s="1" t="s">
        <v>9059</v>
      </c>
      <c r="O1357" s="1" t="s">
        <v>8989</v>
      </c>
      <c r="P1357" s="1" t="s">
        <v>8955</v>
      </c>
      <c r="Q1357" s="1" t="s">
        <v>8956</v>
      </c>
      <c r="R1357" s="1" t="s">
        <v>8958</v>
      </c>
      <c r="S1357" s="1" t="s">
        <v>19512</v>
      </c>
      <c r="T1357" s="1" t="s">
        <v>7</v>
      </c>
      <c r="U1357" s="1" t="s">
        <v>378</v>
      </c>
    </row>
    <row r="1358" spans="1:21" x14ac:dyDescent="0.2">
      <c r="A1358" s="88" t="s">
        <v>16993</v>
      </c>
      <c r="B1358" s="88"/>
      <c r="C1358" s="1" t="s">
        <v>4618</v>
      </c>
      <c r="D1358" s="1" t="s">
        <v>4619</v>
      </c>
      <c r="E1358" s="1" t="e">
        <v>#N/A</v>
      </c>
      <c r="F1358" s="1" t="e">
        <v>#N/A</v>
      </c>
      <c r="G1358" t="e">
        <v>#N/A</v>
      </c>
      <c r="H1358" s="1" t="e">
        <v>#N/A</v>
      </c>
      <c r="I1358" s="1" t="e">
        <v>#N/A</v>
      </c>
      <c r="J1358" s="2" t="e">
        <v>#N/A</v>
      </c>
      <c r="K1358" s="1" t="e">
        <v>#N/A</v>
      </c>
      <c r="L1358" s="1" t="e">
        <v>#N/A</v>
      </c>
      <c r="M1358" s="1" t="e">
        <v>#N/A</v>
      </c>
      <c r="N1358" s="1" t="e">
        <v>#N/A</v>
      </c>
      <c r="O1358" s="1" t="e">
        <v>#N/A</v>
      </c>
      <c r="P1358" s="1" t="s">
        <v>8955</v>
      </c>
      <c r="Q1358" s="1" t="s">
        <v>8956</v>
      </c>
      <c r="R1358" s="1" t="s">
        <v>9103</v>
      </c>
      <c r="S1358" s="1" t="s">
        <v>19513</v>
      </c>
      <c r="T1358" s="1" t="s">
        <v>252</v>
      </c>
      <c r="U1358" s="1" t="s">
        <v>126</v>
      </c>
    </row>
    <row r="1359" spans="1:21" x14ac:dyDescent="0.2">
      <c r="A1359" s="88" t="s">
        <v>16994</v>
      </c>
      <c r="B1359" s="88" t="e">
        <f>VLOOKUP(C1359,#REF!,1,0)</f>
        <v>#REF!</v>
      </c>
      <c r="C1359" s="1" t="s">
        <v>4620</v>
      </c>
      <c r="D1359" s="1" t="s">
        <v>4621</v>
      </c>
      <c r="E1359" s="1" t="s">
        <v>18502</v>
      </c>
      <c r="F1359" s="1" t="s">
        <v>8974</v>
      </c>
      <c r="G1359" t="s">
        <v>8959</v>
      </c>
      <c r="H1359" s="1" t="s">
        <v>8948</v>
      </c>
      <c r="I1359" s="1" t="s">
        <v>8949</v>
      </c>
      <c r="J1359" s="2" t="s">
        <v>20723</v>
      </c>
      <c r="K1359" s="1" t="s">
        <v>20723</v>
      </c>
      <c r="L1359" s="1" t="s">
        <v>9076</v>
      </c>
      <c r="M1359" s="1">
        <v>217</v>
      </c>
      <c r="N1359" s="1" t="s">
        <v>8953</v>
      </c>
      <c r="O1359" s="1" t="s">
        <v>8989</v>
      </c>
      <c r="P1359" s="1" t="s">
        <v>8955</v>
      </c>
      <c r="Q1359" s="1" t="s">
        <v>8956</v>
      </c>
      <c r="R1359" s="1" t="s">
        <v>9103</v>
      </c>
      <c r="S1359" s="1" t="s">
        <v>19514</v>
      </c>
      <c r="T1359" s="1" t="s">
        <v>7</v>
      </c>
      <c r="U1359" s="1" t="s">
        <v>21</v>
      </c>
    </row>
    <row r="1360" spans="1:21" x14ac:dyDescent="0.2">
      <c r="A1360" s="88" t="s">
        <v>16995</v>
      </c>
      <c r="B1360" s="88" t="e">
        <f>VLOOKUP(C1360,#REF!,1,0)</f>
        <v>#REF!</v>
      </c>
      <c r="C1360" s="1" t="s">
        <v>4622</v>
      </c>
      <c r="D1360" s="1" t="s">
        <v>4623</v>
      </c>
      <c r="E1360" s="1" t="s">
        <v>9310</v>
      </c>
      <c r="F1360" s="1" t="s">
        <v>8957</v>
      </c>
      <c r="G1360" t="s">
        <v>8959</v>
      </c>
      <c r="H1360" s="1" t="s">
        <v>9100</v>
      </c>
      <c r="I1360" s="1" t="s">
        <v>8949</v>
      </c>
      <c r="J1360" s="2" t="s">
        <v>10492</v>
      </c>
      <c r="K1360" s="1" t="s">
        <v>21645</v>
      </c>
      <c r="L1360" s="1" t="s">
        <v>21600</v>
      </c>
      <c r="M1360" s="1">
        <v>65</v>
      </c>
      <c r="N1360" s="1" t="s">
        <v>9059</v>
      </c>
      <c r="O1360" s="1" t="s">
        <v>8954</v>
      </c>
      <c r="P1360" s="1" t="s">
        <v>8955</v>
      </c>
      <c r="Q1360" s="1" t="s">
        <v>8956</v>
      </c>
      <c r="R1360" s="1" t="s">
        <v>8975</v>
      </c>
      <c r="S1360" s="1" t="s">
        <v>19515</v>
      </c>
      <c r="T1360" s="1" t="s">
        <v>7</v>
      </c>
      <c r="U1360" s="1" t="s">
        <v>24</v>
      </c>
    </row>
    <row r="1361" spans="1:21" x14ac:dyDescent="0.2">
      <c r="A1361" s="88" t="s">
        <v>16996</v>
      </c>
      <c r="B1361" s="88" t="e">
        <f>VLOOKUP(C1361,#REF!,1,0)</f>
        <v>#REF!</v>
      </c>
      <c r="C1361" s="1" t="s">
        <v>4624</v>
      </c>
      <c r="D1361" s="1" t="s">
        <v>4625</v>
      </c>
      <c r="E1361" s="1" t="s">
        <v>9010</v>
      </c>
      <c r="F1361" s="1" t="s">
        <v>8957</v>
      </c>
      <c r="G1361" t="s">
        <v>9009</v>
      </c>
      <c r="H1361" s="1" t="s">
        <v>9049</v>
      </c>
      <c r="I1361" s="1" t="s">
        <v>9050</v>
      </c>
      <c r="J1361" s="2" t="s">
        <v>21446</v>
      </c>
      <c r="K1361" s="1" t="s">
        <v>21446</v>
      </c>
      <c r="L1361" s="1" t="s">
        <v>21600</v>
      </c>
      <c r="M1361" s="1">
        <v>480</v>
      </c>
      <c r="N1361" s="1" t="s">
        <v>8953</v>
      </c>
      <c r="O1361" s="1" t="s">
        <v>8989</v>
      </c>
      <c r="P1361" s="1" t="s">
        <v>8955</v>
      </c>
      <c r="Q1361" s="1" t="s">
        <v>8956</v>
      </c>
      <c r="R1361" s="1" t="s">
        <v>8958</v>
      </c>
      <c r="S1361" s="1" t="s">
        <v>4626</v>
      </c>
      <c r="T1361" s="1" t="s">
        <v>17</v>
      </c>
      <c r="U1361" s="1" t="s">
        <v>921</v>
      </c>
    </row>
    <row r="1362" spans="1:21" x14ac:dyDescent="0.2">
      <c r="A1362" s="88" t="s">
        <v>16997</v>
      </c>
      <c r="B1362" s="88" t="e">
        <f>VLOOKUP(C1362,#REF!,1,0)</f>
        <v>#REF!</v>
      </c>
      <c r="C1362" s="1" t="s">
        <v>4627</v>
      </c>
      <c r="D1362" s="1" t="s">
        <v>4628</v>
      </c>
      <c r="E1362" s="1" t="s">
        <v>9310</v>
      </c>
      <c r="F1362" s="1" t="s">
        <v>8959</v>
      </c>
      <c r="G1362" t="s">
        <v>9183</v>
      </c>
      <c r="H1362" s="1" t="s">
        <v>9092</v>
      </c>
      <c r="I1362" s="1" t="s">
        <v>9308</v>
      </c>
      <c r="J1362" s="2" t="s">
        <v>10492</v>
      </c>
      <c r="K1362" s="1" t="s">
        <v>10492</v>
      </c>
      <c r="L1362" s="1" t="s">
        <v>9133</v>
      </c>
      <c r="M1362" s="1">
        <v>89</v>
      </c>
      <c r="N1362" s="1" t="s">
        <v>9059</v>
      </c>
      <c r="O1362" s="1" t="s">
        <v>8989</v>
      </c>
      <c r="P1362" s="1" t="s">
        <v>8955</v>
      </c>
      <c r="Q1362" s="1" t="s">
        <v>8956</v>
      </c>
      <c r="R1362" s="1" t="s">
        <v>8958</v>
      </c>
      <c r="S1362" s="1" t="s">
        <v>19516</v>
      </c>
      <c r="T1362" s="1" t="s">
        <v>17</v>
      </c>
      <c r="U1362" s="1" t="s">
        <v>97</v>
      </c>
    </row>
    <row r="1363" spans="1:21" x14ac:dyDescent="0.2">
      <c r="A1363" s="88" t="s">
        <v>16998</v>
      </c>
      <c r="B1363" s="88" t="e">
        <f>VLOOKUP(C1363,#REF!,1,0)</f>
        <v>#REF!</v>
      </c>
      <c r="C1363" s="1" t="s">
        <v>4629</v>
      </c>
      <c r="D1363" s="1" t="s">
        <v>4630</v>
      </c>
      <c r="E1363" s="1" t="s">
        <v>9310</v>
      </c>
      <c r="F1363" s="1" t="s">
        <v>8959</v>
      </c>
      <c r="G1363" t="s">
        <v>8959</v>
      </c>
      <c r="H1363" s="1" t="s">
        <v>9252</v>
      </c>
      <c r="I1363" s="1" t="s">
        <v>9121</v>
      </c>
      <c r="J1363" s="2" t="s">
        <v>21562</v>
      </c>
      <c r="K1363" s="1" t="s">
        <v>21562</v>
      </c>
      <c r="L1363" s="1" t="s">
        <v>8987</v>
      </c>
      <c r="M1363" s="1">
        <v>105</v>
      </c>
      <c r="N1363" s="1" t="s">
        <v>8953</v>
      </c>
      <c r="O1363" s="1" t="s">
        <v>8989</v>
      </c>
      <c r="P1363" s="1" t="s">
        <v>8955</v>
      </c>
      <c r="Q1363" s="1" t="s">
        <v>8956</v>
      </c>
      <c r="R1363" s="1" t="s">
        <v>8975</v>
      </c>
      <c r="S1363" s="1" t="s">
        <v>4631</v>
      </c>
      <c r="T1363" s="1" t="s">
        <v>17</v>
      </c>
      <c r="U1363" s="1" t="s">
        <v>61</v>
      </c>
    </row>
    <row r="1364" spans="1:21" x14ac:dyDescent="0.2">
      <c r="A1364" s="88" t="s">
        <v>16999</v>
      </c>
      <c r="B1364" s="88" t="e">
        <f>VLOOKUP(C1364,#REF!,1,0)</f>
        <v>#REF!</v>
      </c>
      <c r="C1364" s="1" t="s">
        <v>4632</v>
      </c>
      <c r="D1364" s="1" t="s">
        <v>4633</v>
      </c>
      <c r="E1364" s="1" t="s">
        <v>9310</v>
      </c>
      <c r="F1364" s="1" t="s">
        <v>8957</v>
      </c>
      <c r="G1364" t="s">
        <v>9061</v>
      </c>
      <c r="H1364" s="1" t="s">
        <v>8984</v>
      </c>
      <c r="I1364" s="1" t="s">
        <v>8998</v>
      </c>
      <c r="J1364" s="2" t="s">
        <v>10525</v>
      </c>
      <c r="K1364" s="1" t="s">
        <v>21650</v>
      </c>
      <c r="L1364" s="1" t="s">
        <v>9133</v>
      </c>
      <c r="M1364" s="1">
        <v>14780</v>
      </c>
      <c r="N1364" s="1" t="s">
        <v>9059</v>
      </c>
      <c r="O1364" s="1" t="s">
        <v>8989</v>
      </c>
      <c r="P1364" s="1" t="s">
        <v>8955</v>
      </c>
      <c r="Q1364" s="1" t="s">
        <v>8956</v>
      </c>
      <c r="R1364" s="1" t="s">
        <v>8975</v>
      </c>
      <c r="S1364" s="1" t="s">
        <v>19517</v>
      </c>
      <c r="T1364" s="1" t="s">
        <v>7</v>
      </c>
      <c r="U1364" s="1" t="s">
        <v>686</v>
      </c>
    </row>
    <row r="1365" spans="1:21" x14ac:dyDescent="0.2">
      <c r="A1365" s="88" t="s">
        <v>20875</v>
      </c>
      <c r="B1365" s="88" t="e">
        <f>VLOOKUP(C1365,#REF!,1,0)</f>
        <v>#REF!</v>
      </c>
      <c r="C1365" s="1" t="s">
        <v>4634</v>
      </c>
      <c r="D1365" s="1" t="s">
        <v>4635</v>
      </c>
      <c r="E1365" s="1" t="s">
        <v>18502</v>
      </c>
      <c r="F1365" s="1" t="s">
        <v>8959</v>
      </c>
      <c r="G1365" t="s">
        <v>9061</v>
      </c>
      <c r="H1365" s="1" t="s">
        <v>8984</v>
      </c>
      <c r="I1365" s="1" t="s">
        <v>9155</v>
      </c>
      <c r="J1365" s="2" t="s">
        <v>10492</v>
      </c>
      <c r="K1365" s="1" t="s">
        <v>10492</v>
      </c>
      <c r="L1365" s="1" t="s">
        <v>9076</v>
      </c>
      <c r="M1365" s="1">
        <v>77</v>
      </c>
      <c r="N1365" s="1" t="s">
        <v>9059</v>
      </c>
      <c r="O1365" s="1" t="s">
        <v>8989</v>
      </c>
      <c r="P1365" s="1" t="s">
        <v>8955</v>
      </c>
      <c r="Q1365" s="1" t="s">
        <v>8956</v>
      </c>
      <c r="R1365" s="1" t="s">
        <v>8958</v>
      </c>
      <c r="S1365" s="1" t="s">
        <v>19518</v>
      </c>
      <c r="T1365" s="1" t="s">
        <v>7</v>
      </c>
      <c r="U1365" s="1" t="s">
        <v>378</v>
      </c>
    </row>
    <row r="1366" spans="1:21" x14ac:dyDescent="0.2">
      <c r="A1366" s="88" t="s">
        <v>17000</v>
      </c>
      <c r="B1366" s="88" t="e">
        <f>VLOOKUP(C1366,#REF!,1,0)</f>
        <v>#REF!</v>
      </c>
      <c r="C1366" s="1" t="s">
        <v>4636</v>
      </c>
      <c r="D1366" s="1" t="s">
        <v>4637</v>
      </c>
      <c r="E1366" s="1" t="s">
        <v>9380</v>
      </c>
      <c r="F1366" s="1" t="s">
        <v>8959</v>
      </c>
      <c r="G1366" t="s">
        <v>8959</v>
      </c>
      <c r="H1366" s="1" t="s">
        <v>9173</v>
      </c>
      <c r="I1366" s="1" t="s">
        <v>9174</v>
      </c>
      <c r="J1366" s="2" t="s">
        <v>21199</v>
      </c>
      <c r="K1366" s="1" t="s">
        <v>21678</v>
      </c>
      <c r="L1366" s="1" t="s">
        <v>8987</v>
      </c>
      <c r="M1366" s="1">
        <v>2750</v>
      </c>
      <c r="N1366" s="1" t="s">
        <v>8953</v>
      </c>
      <c r="O1366" s="1" t="s">
        <v>8954</v>
      </c>
      <c r="P1366" s="1" t="s">
        <v>8955</v>
      </c>
      <c r="Q1366" s="1" t="s">
        <v>8956</v>
      </c>
      <c r="R1366" s="1" t="s">
        <v>9103</v>
      </c>
      <c r="S1366" s="1" t="s">
        <v>20635</v>
      </c>
      <c r="T1366" s="1" t="s">
        <v>7</v>
      </c>
      <c r="U1366" s="1" t="s">
        <v>43</v>
      </c>
    </row>
    <row r="1367" spans="1:21" x14ac:dyDescent="0.2">
      <c r="A1367" s="88" t="s">
        <v>17001</v>
      </c>
      <c r="B1367" s="88" t="e">
        <f>VLOOKUP(C1367,#REF!,1,0)</f>
        <v>#REF!</v>
      </c>
      <c r="C1367" s="1" t="s">
        <v>4638</v>
      </c>
      <c r="D1367" s="1" t="s">
        <v>4639</v>
      </c>
      <c r="E1367" s="1" t="s">
        <v>18502</v>
      </c>
      <c r="F1367" s="1" t="s">
        <v>8957</v>
      </c>
      <c r="G1367" t="s">
        <v>8959</v>
      </c>
      <c r="H1367" s="1" t="s">
        <v>9100</v>
      </c>
      <c r="I1367" s="1" t="s">
        <v>8949</v>
      </c>
      <c r="J1367" s="2" t="s">
        <v>20779</v>
      </c>
      <c r="K1367" s="1" t="s">
        <v>9036</v>
      </c>
      <c r="L1367" s="1" t="s">
        <v>8987</v>
      </c>
      <c r="M1367" s="1">
        <v>1984</v>
      </c>
      <c r="N1367" s="1" t="s">
        <v>9059</v>
      </c>
      <c r="O1367" s="1" t="s">
        <v>8954</v>
      </c>
      <c r="P1367" s="1" t="s">
        <v>8955</v>
      </c>
      <c r="Q1367" s="1" t="s">
        <v>8956</v>
      </c>
      <c r="R1367" s="1" t="s">
        <v>9103</v>
      </c>
      <c r="S1367" s="1" t="s">
        <v>19519</v>
      </c>
      <c r="T1367" s="1" t="s">
        <v>17</v>
      </c>
      <c r="U1367" s="1" t="s">
        <v>1076</v>
      </c>
    </row>
    <row r="1368" spans="1:21" x14ac:dyDescent="0.2">
      <c r="A1368" s="88" t="s">
        <v>17002</v>
      </c>
      <c r="B1368" s="88" t="e">
        <f>VLOOKUP(C1368,#REF!,1,0)</f>
        <v>#REF!</v>
      </c>
      <c r="C1368" s="1" t="s">
        <v>4640</v>
      </c>
      <c r="D1368" s="1" t="s">
        <v>4641</v>
      </c>
      <c r="E1368" s="1" t="s">
        <v>18502</v>
      </c>
      <c r="F1368" s="1" t="s">
        <v>8957</v>
      </c>
      <c r="G1368" t="s">
        <v>8959</v>
      </c>
      <c r="H1368" s="1" t="s">
        <v>8948</v>
      </c>
      <c r="I1368" s="1" t="s">
        <v>8998</v>
      </c>
      <c r="J1368" s="2" t="s">
        <v>20779</v>
      </c>
      <c r="K1368" s="1" t="s">
        <v>9036</v>
      </c>
      <c r="L1368" s="1" t="s">
        <v>9464</v>
      </c>
      <c r="M1368" s="1">
        <v>10775</v>
      </c>
      <c r="N1368" s="1" t="s">
        <v>8953</v>
      </c>
      <c r="O1368" s="1" t="s">
        <v>8989</v>
      </c>
      <c r="P1368" s="1" t="s">
        <v>8955</v>
      </c>
      <c r="Q1368" s="1" t="s">
        <v>8956</v>
      </c>
      <c r="R1368" s="1" t="s">
        <v>8958</v>
      </c>
      <c r="S1368" s="1" t="s">
        <v>19520</v>
      </c>
      <c r="T1368" s="1" t="s">
        <v>17</v>
      </c>
      <c r="U1368" s="1" t="s">
        <v>126</v>
      </c>
    </row>
    <row r="1369" spans="1:21" x14ac:dyDescent="0.2">
      <c r="A1369" s="88" t="s">
        <v>17003</v>
      </c>
      <c r="B1369" s="88" t="e">
        <f>VLOOKUP(C1369,#REF!,1,0)</f>
        <v>#REF!</v>
      </c>
      <c r="C1369" s="1" t="s">
        <v>4642</v>
      </c>
      <c r="D1369" s="1" t="s">
        <v>4643</v>
      </c>
      <c r="E1369" s="1" t="s">
        <v>9310</v>
      </c>
      <c r="F1369" s="1" t="s">
        <v>8957</v>
      </c>
      <c r="G1369" t="s">
        <v>9061</v>
      </c>
      <c r="H1369" s="1" t="s">
        <v>9154</v>
      </c>
      <c r="I1369" s="1" t="s">
        <v>8998</v>
      </c>
      <c r="J1369" s="2" t="e">
        <v>#N/A</v>
      </c>
      <c r="K1369" s="1" t="e">
        <v>#N/A</v>
      </c>
      <c r="L1369" s="1" t="s">
        <v>9464</v>
      </c>
      <c r="M1369" s="1">
        <v>70</v>
      </c>
      <c r="N1369" s="1" t="s">
        <v>9059</v>
      </c>
      <c r="O1369" s="1" t="e">
        <v>#N/A</v>
      </c>
      <c r="P1369" s="1" t="s">
        <v>8955</v>
      </c>
      <c r="Q1369" s="1" t="s">
        <v>8956</v>
      </c>
      <c r="R1369" s="1" t="s">
        <v>8975</v>
      </c>
      <c r="S1369" s="1" t="s">
        <v>19521</v>
      </c>
      <c r="T1369" s="1" t="s">
        <v>7</v>
      </c>
      <c r="U1369" s="1" t="s">
        <v>562</v>
      </c>
    </row>
    <row r="1370" spans="1:21" x14ac:dyDescent="0.2">
      <c r="A1370" s="88" t="s">
        <v>20876</v>
      </c>
      <c r="B1370" s="88" t="e">
        <f>VLOOKUP(C1370,#REF!,1,0)</f>
        <v>#REF!</v>
      </c>
      <c r="C1370" s="1" t="s">
        <v>4644</v>
      </c>
      <c r="D1370" s="1" t="s">
        <v>4645</v>
      </c>
      <c r="E1370" s="1" t="s">
        <v>9310</v>
      </c>
      <c r="F1370" s="1" t="s">
        <v>8957</v>
      </c>
      <c r="G1370" t="s">
        <v>8959</v>
      </c>
      <c r="H1370" s="1" t="s">
        <v>9075</v>
      </c>
      <c r="I1370" s="1" t="s">
        <v>8949</v>
      </c>
      <c r="J1370" s="2" t="s">
        <v>10492</v>
      </c>
      <c r="K1370" s="1" t="s">
        <v>10492</v>
      </c>
      <c r="L1370" s="1" t="s">
        <v>21600</v>
      </c>
      <c r="M1370" s="1">
        <v>79</v>
      </c>
      <c r="N1370" s="1" t="s">
        <v>9059</v>
      </c>
      <c r="O1370" s="1" t="s">
        <v>8954</v>
      </c>
      <c r="P1370" s="1" t="s">
        <v>8955</v>
      </c>
      <c r="Q1370" s="1" t="s">
        <v>8956</v>
      </c>
      <c r="R1370" s="1" t="s">
        <v>9103</v>
      </c>
      <c r="S1370" s="1" t="s">
        <v>19522</v>
      </c>
      <c r="T1370" s="1" t="s">
        <v>7</v>
      </c>
      <c r="U1370" s="1" t="s">
        <v>61</v>
      </c>
    </row>
    <row r="1371" spans="1:21" x14ac:dyDescent="0.2">
      <c r="A1371" s="88" t="s">
        <v>17004</v>
      </c>
      <c r="B1371" s="88" t="e">
        <f>VLOOKUP(C1371,#REF!,1,0)</f>
        <v>#REF!</v>
      </c>
      <c r="C1371" s="1" t="s">
        <v>4646</v>
      </c>
      <c r="D1371" s="1" t="s">
        <v>4647</v>
      </c>
      <c r="E1371" s="1" t="s">
        <v>9310</v>
      </c>
      <c r="F1371" s="1" t="s">
        <v>8957</v>
      </c>
      <c r="G1371" t="s">
        <v>8959</v>
      </c>
      <c r="H1371" s="1" t="s">
        <v>9049</v>
      </c>
      <c r="I1371" s="1" t="s">
        <v>9050</v>
      </c>
      <c r="J1371" s="2" t="s">
        <v>9051</v>
      </c>
      <c r="K1371" s="1" t="s">
        <v>9051</v>
      </c>
      <c r="L1371" s="1" t="s">
        <v>21600</v>
      </c>
      <c r="M1371" s="1">
        <v>1050</v>
      </c>
      <c r="N1371" s="1" t="s">
        <v>8953</v>
      </c>
      <c r="O1371" s="1" t="s">
        <v>8954</v>
      </c>
      <c r="P1371" s="1" t="s">
        <v>8955</v>
      </c>
      <c r="Q1371" s="1" t="s">
        <v>8956</v>
      </c>
      <c r="R1371" s="1" t="s">
        <v>8975</v>
      </c>
      <c r="S1371" s="1" t="s">
        <v>4648</v>
      </c>
      <c r="T1371" s="1" t="s">
        <v>17</v>
      </c>
      <c r="U1371" s="1" t="s">
        <v>74</v>
      </c>
    </row>
    <row r="1372" spans="1:21" x14ac:dyDescent="0.2">
      <c r="A1372" s="88" t="s">
        <v>17005</v>
      </c>
      <c r="B1372" s="88" t="e">
        <f>VLOOKUP(C1372,#REF!,1,0)</f>
        <v>#REF!</v>
      </c>
      <c r="C1372" s="1" t="s">
        <v>4649</v>
      </c>
      <c r="D1372" s="1" t="s">
        <v>4650</v>
      </c>
      <c r="E1372" s="1" t="s">
        <v>9176</v>
      </c>
      <c r="F1372" s="1" t="s">
        <v>8957</v>
      </c>
      <c r="G1372" t="s">
        <v>9009</v>
      </c>
      <c r="H1372" s="1" t="s">
        <v>9100</v>
      </c>
      <c r="I1372" s="1" t="s">
        <v>9155</v>
      </c>
      <c r="J1372" s="2" t="s">
        <v>14566</v>
      </c>
      <c r="K1372" s="1" t="s">
        <v>21899</v>
      </c>
      <c r="L1372" s="1" t="s">
        <v>9133</v>
      </c>
      <c r="M1372" s="1">
        <v>1864</v>
      </c>
      <c r="N1372" s="1" t="s">
        <v>9059</v>
      </c>
      <c r="O1372" s="1" t="s">
        <v>8954</v>
      </c>
      <c r="P1372" s="1" t="s">
        <v>8955</v>
      </c>
      <c r="Q1372" s="1" t="s">
        <v>8956</v>
      </c>
      <c r="R1372" s="1" t="s">
        <v>8975</v>
      </c>
      <c r="S1372" s="1" t="s">
        <v>4651</v>
      </c>
      <c r="T1372" s="1" t="s">
        <v>924</v>
      </c>
      <c r="U1372" s="1" t="s">
        <v>1076</v>
      </c>
    </row>
    <row r="1373" spans="1:21" x14ac:dyDescent="0.2">
      <c r="A1373" s="88" t="s">
        <v>17006</v>
      </c>
      <c r="B1373" s="88" t="e">
        <f>VLOOKUP(C1373,#REF!,1,0)</f>
        <v>#REF!</v>
      </c>
      <c r="C1373" s="1" t="s">
        <v>4652</v>
      </c>
      <c r="D1373" s="1" t="s">
        <v>4653</v>
      </c>
      <c r="E1373" s="1" t="s">
        <v>9176</v>
      </c>
      <c r="F1373" s="1" t="s">
        <v>9060</v>
      </c>
      <c r="G1373" t="s">
        <v>8959</v>
      </c>
      <c r="H1373" s="1" t="s">
        <v>9100</v>
      </c>
      <c r="I1373" s="1" t="s">
        <v>20800</v>
      </c>
      <c r="J1373" s="2" t="s">
        <v>20785</v>
      </c>
      <c r="K1373" s="1" t="s">
        <v>18491</v>
      </c>
      <c r="L1373" s="1" t="s">
        <v>9076</v>
      </c>
      <c r="M1373" s="1">
        <v>266</v>
      </c>
      <c r="N1373" s="1" t="s">
        <v>8953</v>
      </c>
      <c r="O1373" s="1" t="s">
        <v>8954</v>
      </c>
      <c r="P1373" s="1" t="s">
        <v>8955</v>
      </c>
      <c r="Q1373" s="1" t="s">
        <v>8956</v>
      </c>
      <c r="R1373" s="1" t="s">
        <v>8975</v>
      </c>
      <c r="S1373" s="1" t="s">
        <v>19523</v>
      </c>
      <c r="T1373" s="1" t="s">
        <v>7</v>
      </c>
      <c r="U1373" s="1" t="s">
        <v>24</v>
      </c>
    </row>
    <row r="1374" spans="1:21" x14ac:dyDescent="0.2">
      <c r="A1374" s="88" t="s">
        <v>17007</v>
      </c>
      <c r="B1374" s="88" t="e">
        <f>VLOOKUP(C1374,#REF!,1,0)</f>
        <v>#REF!</v>
      </c>
      <c r="C1374" s="1" t="s">
        <v>4654</v>
      </c>
      <c r="D1374" s="1" t="s">
        <v>4655</v>
      </c>
      <c r="E1374" s="1" t="s">
        <v>9010</v>
      </c>
      <c r="F1374" s="1" t="s">
        <v>8957</v>
      </c>
      <c r="G1374" t="s">
        <v>8959</v>
      </c>
      <c r="H1374" s="1" t="s">
        <v>8948</v>
      </c>
      <c r="I1374" s="1" t="s">
        <v>9121</v>
      </c>
      <c r="J1374" s="2" t="s">
        <v>9036</v>
      </c>
      <c r="K1374" s="1" t="s">
        <v>9036</v>
      </c>
      <c r="L1374" s="1" t="s">
        <v>8951</v>
      </c>
      <c r="M1374" s="1">
        <v>220</v>
      </c>
      <c r="N1374" s="1" t="s">
        <v>8953</v>
      </c>
      <c r="O1374" s="1" t="s">
        <v>8954</v>
      </c>
      <c r="P1374" s="1" t="s">
        <v>8955</v>
      </c>
      <c r="Q1374" s="1" t="s">
        <v>8956</v>
      </c>
      <c r="R1374" s="1" t="s">
        <v>8975</v>
      </c>
      <c r="S1374" s="1" t="s">
        <v>4656</v>
      </c>
      <c r="T1374" s="1" t="s">
        <v>17</v>
      </c>
      <c r="U1374" s="1" t="s">
        <v>392</v>
      </c>
    </row>
    <row r="1375" spans="1:21" x14ac:dyDescent="0.2">
      <c r="A1375" s="88" t="s">
        <v>17009</v>
      </c>
      <c r="B1375" s="88" t="e">
        <f>VLOOKUP(C1375,#REF!,1,0)</f>
        <v>#REF!</v>
      </c>
      <c r="C1375" s="1" t="s">
        <v>4659</v>
      </c>
      <c r="D1375" s="1" t="s">
        <v>4660</v>
      </c>
      <c r="E1375" s="1" t="s">
        <v>18502</v>
      </c>
      <c r="F1375" s="1" t="s">
        <v>8957</v>
      </c>
      <c r="G1375" t="s">
        <v>8959</v>
      </c>
      <c r="H1375" s="1" t="s">
        <v>20712</v>
      </c>
      <c r="I1375" s="1" t="s">
        <v>20800</v>
      </c>
      <c r="J1375" s="2" t="s">
        <v>20785</v>
      </c>
      <c r="K1375" s="1" t="s">
        <v>18491</v>
      </c>
      <c r="L1375" s="1" t="s">
        <v>9076</v>
      </c>
      <c r="M1375" s="1">
        <v>205425</v>
      </c>
      <c r="N1375" s="1" t="s">
        <v>8953</v>
      </c>
      <c r="O1375" s="1" t="s">
        <v>8954</v>
      </c>
      <c r="P1375" s="1" t="s">
        <v>8955</v>
      </c>
      <c r="Q1375" s="1" t="s">
        <v>8956</v>
      </c>
      <c r="R1375" s="1" t="s">
        <v>8958</v>
      </c>
      <c r="S1375" s="1" t="s">
        <v>19525</v>
      </c>
      <c r="T1375" s="1" t="s">
        <v>17</v>
      </c>
      <c r="U1375" s="1" t="s">
        <v>24</v>
      </c>
    </row>
    <row r="1376" spans="1:21" x14ac:dyDescent="0.2">
      <c r="A1376" s="88" t="s">
        <v>17010</v>
      </c>
      <c r="B1376" s="88" t="e">
        <f>VLOOKUP(C1376,#REF!,1,0)</f>
        <v>#REF!</v>
      </c>
      <c r="C1376" s="1" t="s">
        <v>4661</v>
      </c>
      <c r="D1376" s="1" t="s">
        <v>4662</v>
      </c>
      <c r="E1376" s="1" t="s">
        <v>9310</v>
      </c>
      <c r="F1376" s="1" t="s">
        <v>8959</v>
      </c>
      <c r="G1376" t="s">
        <v>8959</v>
      </c>
      <c r="H1376" s="1" t="s">
        <v>9943</v>
      </c>
      <c r="I1376" s="1" t="s">
        <v>8971</v>
      </c>
      <c r="J1376" s="2" t="s">
        <v>21359</v>
      </c>
      <c r="K1376" s="1" t="s">
        <v>21359</v>
      </c>
      <c r="L1376" s="1" t="s">
        <v>20856</v>
      </c>
      <c r="M1376" s="1">
        <v>8140</v>
      </c>
      <c r="N1376" s="1" t="s">
        <v>8953</v>
      </c>
      <c r="O1376" s="1" t="s">
        <v>8989</v>
      </c>
      <c r="P1376" s="1" t="s">
        <v>8955</v>
      </c>
      <c r="Q1376" s="1" t="s">
        <v>8956</v>
      </c>
      <c r="R1376" s="1" t="s">
        <v>8975</v>
      </c>
      <c r="S1376" s="1" t="s">
        <v>19526</v>
      </c>
      <c r="T1376" s="1" t="s">
        <v>17</v>
      </c>
      <c r="U1376" s="1" t="s">
        <v>126</v>
      </c>
    </row>
    <row r="1377" spans="1:21" x14ac:dyDescent="0.2">
      <c r="A1377" s="88" t="s">
        <v>17011</v>
      </c>
      <c r="B1377" s="88" t="e">
        <f>VLOOKUP(C1377,#REF!,1,0)</f>
        <v>#REF!</v>
      </c>
      <c r="C1377" s="1" t="s">
        <v>4663</v>
      </c>
      <c r="D1377" s="1" t="s">
        <v>4664</v>
      </c>
      <c r="E1377" s="1" t="s">
        <v>18502</v>
      </c>
      <c r="F1377" s="1" t="s">
        <v>8957</v>
      </c>
      <c r="G1377" t="s">
        <v>8959</v>
      </c>
      <c r="H1377" s="1" t="s">
        <v>20712</v>
      </c>
      <c r="I1377" s="1" t="s">
        <v>20800</v>
      </c>
      <c r="J1377" s="2" t="s">
        <v>20785</v>
      </c>
      <c r="K1377" s="1" t="s">
        <v>18491</v>
      </c>
      <c r="L1377" s="1" t="s">
        <v>9076</v>
      </c>
      <c r="M1377" s="1">
        <v>8928</v>
      </c>
      <c r="N1377" s="1" t="s">
        <v>8953</v>
      </c>
      <c r="O1377" s="1" t="s">
        <v>8989</v>
      </c>
      <c r="P1377" s="1" t="s">
        <v>8955</v>
      </c>
      <c r="Q1377" s="1" t="s">
        <v>8956</v>
      </c>
      <c r="R1377" s="1" t="s">
        <v>8958</v>
      </c>
      <c r="S1377" s="1" t="s">
        <v>19527</v>
      </c>
      <c r="T1377" s="1" t="s">
        <v>17</v>
      </c>
      <c r="U1377" s="1" t="s">
        <v>1833</v>
      </c>
    </row>
    <row r="1378" spans="1:21" x14ac:dyDescent="0.2">
      <c r="A1378" s="88" t="s">
        <v>17012</v>
      </c>
      <c r="B1378" s="88" t="e">
        <f>VLOOKUP(C1378,#REF!,1,0)</f>
        <v>#REF!</v>
      </c>
      <c r="C1378" s="1" t="s">
        <v>4668</v>
      </c>
      <c r="D1378" s="1" t="s">
        <v>4669</v>
      </c>
      <c r="E1378" s="1" t="s">
        <v>9010</v>
      </c>
      <c r="F1378" s="1" t="s">
        <v>8959</v>
      </c>
      <c r="G1378" t="s">
        <v>9183</v>
      </c>
      <c r="H1378" s="1" t="s">
        <v>9049</v>
      </c>
      <c r="I1378" s="1" t="s">
        <v>9050</v>
      </c>
      <c r="J1378" s="2" t="s">
        <v>9284</v>
      </c>
      <c r="K1378" s="1" t="s">
        <v>21793</v>
      </c>
      <c r="L1378" s="1" t="s">
        <v>8987</v>
      </c>
      <c r="M1378" s="1">
        <v>576</v>
      </c>
      <c r="N1378" s="1" t="s">
        <v>8953</v>
      </c>
      <c r="O1378" s="1" t="s">
        <v>8954</v>
      </c>
      <c r="P1378" s="1" t="s">
        <v>8955</v>
      </c>
      <c r="Q1378" s="1" t="s">
        <v>8956</v>
      </c>
      <c r="R1378" s="1" t="s">
        <v>8975</v>
      </c>
      <c r="S1378" s="1" t="s">
        <v>4670</v>
      </c>
      <c r="T1378" s="1" t="s">
        <v>7</v>
      </c>
      <c r="U1378" s="1" t="s">
        <v>4671</v>
      </c>
    </row>
    <row r="1379" spans="1:21" x14ac:dyDescent="0.2">
      <c r="A1379" s="88" t="s">
        <v>17013</v>
      </c>
      <c r="B1379" s="88" t="e">
        <f>VLOOKUP(C1379,#REF!,1,0)</f>
        <v>#REF!</v>
      </c>
      <c r="C1379" s="1" t="s">
        <v>4672</v>
      </c>
      <c r="D1379" s="1" t="s">
        <v>4673</v>
      </c>
      <c r="E1379" s="1" t="s">
        <v>9310</v>
      </c>
      <c r="F1379" s="1" t="s">
        <v>8957</v>
      </c>
      <c r="G1379" t="s">
        <v>8959</v>
      </c>
      <c r="H1379" s="1" t="s">
        <v>9035</v>
      </c>
      <c r="I1379" s="1" t="s">
        <v>8998</v>
      </c>
      <c r="J1379" s="2" t="s">
        <v>10492</v>
      </c>
      <c r="K1379" s="1" t="s">
        <v>21645</v>
      </c>
      <c r="L1379" s="1" t="s">
        <v>8951</v>
      </c>
      <c r="M1379" s="1">
        <v>878</v>
      </c>
      <c r="N1379" s="1" t="s">
        <v>9059</v>
      </c>
      <c r="O1379" s="1" t="s">
        <v>8954</v>
      </c>
      <c r="P1379" s="1" t="s">
        <v>8955</v>
      </c>
      <c r="Q1379" s="1" t="s">
        <v>8956</v>
      </c>
      <c r="R1379" s="1" t="s">
        <v>8975</v>
      </c>
      <c r="S1379" s="1" t="s">
        <v>19529</v>
      </c>
      <c r="T1379" s="1" t="s">
        <v>7</v>
      </c>
      <c r="U1379" s="1" t="s">
        <v>147</v>
      </c>
    </row>
    <row r="1380" spans="1:21" x14ac:dyDescent="0.2">
      <c r="A1380" s="88" t="s">
        <v>17015</v>
      </c>
      <c r="B1380" s="88" t="e">
        <f>VLOOKUP(C1380,#REF!,1,0)</f>
        <v>#REF!</v>
      </c>
      <c r="C1380" s="1" t="s">
        <v>4677</v>
      </c>
      <c r="D1380" s="1" t="s">
        <v>4678</v>
      </c>
      <c r="E1380" s="1" t="s">
        <v>9310</v>
      </c>
      <c r="F1380" s="1" t="s">
        <v>8957</v>
      </c>
      <c r="G1380" t="s">
        <v>9183</v>
      </c>
      <c r="H1380" s="1" t="s">
        <v>8948</v>
      </c>
      <c r="I1380" s="1" t="s">
        <v>9325</v>
      </c>
      <c r="J1380" s="2" t="s">
        <v>9212</v>
      </c>
      <c r="K1380" s="1" t="s">
        <v>9212</v>
      </c>
      <c r="L1380" s="1" t="s">
        <v>21600</v>
      </c>
      <c r="M1380" s="1">
        <v>40</v>
      </c>
      <c r="N1380" s="1" t="s">
        <v>8953</v>
      </c>
      <c r="O1380" s="1" t="s">
        <v>8989</v>
      </c>
      <c r="P1380" s="1" t="s">
        <v>8955</v>
      </c>
      <c r="Q1380" s="1" t="s">
        <v>8956</v>
      </c>
      <c r="R1380" s="1" t="s">
        <v>8958</v>
      </c>
      <c r="S1380" s="1" t="s">
        <v>4679</v>
      </c>
      <c r="T1380" s="1" t="s">
        <v>17</v>
      </c>
      <c r="U1380" s="1" t="s">
        <v>1797</v>
      </c>
    </row>
    <row r="1381" spans="1:21" x14ac:dyDescent="0.2">
      <c r="A1381" s="88" t="s">
        <v>17016</v>
      </c>
      <c r="B1381" s="88" t="e">
        <f>VLOOKUP(C1381,#REF!,1,0)</f>
        <v>#REF!</v>
      </c>
      <c r="C1381" s="1" t="s">
        <v>4680</v>
      </c>
      <c r="D1381" s="1" t="s">
        <v>4681</v>
      </c>
      <c r="E1381" s="1" t="s">
        <v>9310</v>
      </c>
      <c r="F1381" s="1" t="s">
        <v>8957</v>
      </c>
      <c r="G1381" t="s">
        <v>8959</v>
      </c>
      <c r="H1381" s="1" t="s">
        <v>9154</v>
      </c>
      <c r="I1381" s="1" t="s">
        <v>8959</v>
      </c>
      <c r="J1381" s="2" t="s">
        <v>21359</v>
      </c>
      <c r="K1381" s="1" t="s">
        <v>21905</v>
      </c>
      <c r="L1381" s="1" t="s">
        <v>20878</v>
      </c>
      <c r="M1381" s="1">
        <v>2059</v>
      </c>
      <c r="N1381" s="1" t="s">
        <v>8953</v>
      </c>
      <c r="O1381" s="1" t="s">
        <v>8989</v>
      </c>
      <c r="P1381" s="1" t="s">
        <v>8955</v>
      </c>
      <c r="Q1381" s="1" t="s">
        <v>8956</v>
      </c>
      <c r="R1381" s="1" t="s">
        <v>9103</v>
      </c>
      <c r="S1381" s="1" t="s">
        <v>19531</v>
      </c>
      <c r="T1381" s="1" t="s">
        <v>17</v>
      </c>
      <c r="U1381" s="1" t="s">
        <v>46</v>
      </c>
    </row>
    <row r="1382" spans="1:21" x14ac:dyDescent="0.2">
      <c r="A1382" s="88" t="s">
        <v>17018</v>
      </c>
      <c r="B1382" s="88" t="e">
        <f>VLOOKUP(C1382,#REF!,1,0)</f>
        <v>#REF!</v>
      </c>
      <c r="C1382" s="1" t="s">
        <v>4683</v>
      </c>
      <c r="D1382" s="1" t="s">
        <v>4684</v>
      </c>
      <c r="E1382" s="1" t="s">
        <v>9310</v>
      </c>
      <c r="F1382" s="1" t="s">
        <v>8957</v>
      </c>
      <c r="G1382" t="s">
        <v>8959</v>
      </c>
      <c r="H1382" s="1" t="s">
        <v>20714</v>
      </c>
      <c r="I1382" s="1" t="s">
        <v>20725</v>
      </c>
      <c r="J1382" s="2" t="s">
        <v>20779</v>
      </c>
      <c r="K1382" s="1" t="s">
        <v>9036</v>
      </c>
      <c r="L1382" s="1" t="s">
        <v>21600</v>
      </c>
      <c r="M1382" s="1">
        <v>110</v>
      </c>
      <c r="N1382" s="1" t="s">
        <v>8953</v>
      </c>
      <c r="O1382" s="1" t="s">
        <v>8989</v>
      </c>
      <c r="P1382" s="1" t="s">
        <v>8955</v>
      </c>
      <c r="Q1382" s="1" t="s">
        <v>8956</v>
      </c>
      <c r="R1382" s="1" t="s">
        <v>8958</v>
      </c>
      <c r="S1382" s="1" t="s">
        <v>19533</v>
      </c>
      <c r="T1382" s="1" t="s">
        <v>17</v>
      </c>
      <c r="U1382" s="1" t="s">
        <v>27</v>
      </c>
    </row>
    <row r="1383" spans="1:21" x14ac:dyDescent="0.2">
      <c r="A1383" s="88" t="s">
        <v>17019</v>
      </c>
      <c r="B1383" s="88" t="e">
        <f>VLOOKUP(C1383,#REF!,1,0)</f>
        <v>#REF!</v>
      </c>
      <c r="C1383" s="1" t="s">
        <v>4685</v>
      </c>
      <c r="D1383" s="1" t="s">
        <v>4686</v>
      </c>
      <c r="E1383" s="1" t="s">
        <v>9310</v>
      </c>
      <c r="F1383" s="1" t="s">
        <v>8957</v>
      </c>
      <c r="G1383" t="s">
        <v>8959</v>
      </c>
      <c r="H1383" s="1" t="s">
        <v>8984</v>
      </c>
      <c r="I1383" s="1" t="s">
        <v>8998</v>
      </c>
      <c r="J1383" s="2" t="s">
        <v>10629</v>
      </c>
      <c r="K1383" s="1" t="s">
        <v>10629</v>
      </c>
      <c r="L1383" s="1" t="s">
        <v>21600</v>
      </c>
      <c r="M1383" s="1">
        <v>2281</v>
      </c>
      <c r="N1383" s="1" t="s">
        <v>8953</v>
      </c>
      <c r="O1383" s="1" t="s">
        <v>8989</v>
      </c>
      <c r="P1383" s="1" t="s">
        <v>8955</v>
      </c>
      <c r="Q1383" s="1" t="s">
        <v>8956</v>
      </c>
      <c r="R1383" s="1" t="s">
        <v>8958</v>
      </c>
      <c r="S1383" s="1" t="s">
        <v>19534</v>
      </c>
      <c r="T1383" s="1" t="s">
        <v>17</v>
      </c>
      <c r="U1383" s="1" t="s">
        <v>93</v>
      </c>
    </row>
    <row r="1384" spans="1:21" x14ac:dyDescent="0.2">
      <c r="A1384" s="88" t="s">
        <v>17020</v>
      </c>
      <c r="B1384" s="88" t="e">
        <f>VLOOKUP(C1384,#REF!,1,0)</f>
        <v>#REF!</v>
      </c>
      <c r="C1384" s="1" t="s">
        <v>4687</v>
      </c>
      <c r="D1384" s="1" t="s">
        <v>4688</v>
      </c>
      <c r="E1384" s="1" t="s">
        <v>9310</v>
      </c>
      <c r="F1384" s="1" t="s">
        <v>8957</v>
      </c>
      <c r="G1384" t="s">
        <v>8959</v>
      </c>
      <c r="H1384" s="1" t="s">
        <v>8948</v>
      </c>
      <c r="I1384" s="1" t="s">
        <v>20725</v>
      </c>
      <c r="J1384" s="2" t="s">
        <v>20779</v>
      </c>
      <c r="K1384" s="1" t="s">
        <v>9036</v>
      </c>
      <c r="L1384" s="1" t="s">
        <v>9076</v>
      </c>
      <c r="M1384" s="1">
        <v>1800</v>
      </c>
      <c r="N1384" s="1" t="s">
        <v>8953</v>
      </c>
      <c r="O1384" s="1" t="s">
        <v>8989</v>
      </c>
      <c r="P1384" s="1" t="s">
        <v>8955</v>
      </c>
      <c r="Q1384" s="1" t="s">
        <v>8956</v>
      </c>
      <c r="R1384" s="1" t="s">
        <v>8975</v>
      </c>
      <c r="S1384" s="1" t="s">
        <v>19535</v>
      </c>
      <c r="T1384" s="1" t="s">
        <v>17</v>
      </c>
      <c r="U1384" s="1" t="s">
        <v>1833</v>
      </c>
    </row>
    <row r="1385" spans="1:21" x14ac:dyDescent="0.2">
      <c r="A1385" s="88" t="s">
        <v>17021</v>
      </c>
      <c r="B1385" s="88" t="e">
        <f>VLOOKUP(C1385,#REF!,1,0)</f>
        <v>#REF!</v>
      </c>
      <c r="C1385" s="1" t="s">
        <v>4689</v>
      </c>
      <c r="D1385" s="1" t="s">
        <v>4690</v>
      </c>
      <c r="E1385" s="1" t="s">
        <v>18502</v>
      </c>
      <c r="F1385" s="1" t="s">
        <v>8959</v>
      </c>
      <c r="G1385" t="s">
        <v>8959</v>
      </c>
      <c r="H1385" s="1" t="s">
        <v>9173</v>
      </c>
      <c r="I1385" s="1" t="s">
        <v>9174</v>
      </c>
      <c r="J1385" s="2" t="s">
        <v>18489</v>
      </c>
      <c r="K1385" s="1" t="s">
        <v>18489</v>
      </c>
      <c r="L1385" s="1" t="s">
        <v>9133</v>
      </c>
      <c r="M1385" s="1">
        <v>64837</v>
      </c>
      <c r="N1385" s="1" t="s">
        <v>8953</v>
      </c>
      <c r="O1385" s="1" t="s">
        <v>8954</v>
      </c>
      <c r="P1385" s="1" t="s">
        <v>8955</v>
      </c>
      <c r="Q1385" s="1" t="s">
        <v>8956</v>
      </c>
      <c r="R1385" s="1" t="s">
        <v>8975</v>
      </c>
      <c r="S1385" s="1" t="s">
        <v>19536</v>
      </c>
      <c r="T1385" s="1" t="s">
        <v>7</v>
      </c>
      <c r="U1385" s="1" t="s">
        <v>402</v>
      </c>
    </row>
    <row r="1386" spans="1:21" x14ac:dyDescent="0.2">
      <c r="A1386" s="88" t="s">
        <v>17022</v>
      </c>
      <c r="B1386" s="88" t="e">
        <f>VLOOKUP(C1386,#REF!,1,0)</f>
        <v>#REF!</v>
      </c>
      <c r="C1386" s="1" t="s">
        <v>4691</v>
      </c>
      <c r="D1386" s="1" t="s">
        <v>4692</v>
      </c>
      <c r="E1386" s="1" t="s">
        <v>18502</v>
      </c>
      <c r="F1386" s="1" t="s">
        <v>8959</v>
      </c>
      <c r="G1386" t="s">
        <v>8959</v>
      </c>
      <c r="H1386" s="1" t="s">
        <v>9252</v>
      </c>
      <c r="I1386" s="1" t="s">
        <v>8985</v>
      </c>
      <c r="J1386" s="2" t="s">
        <v>18489</v>
      </c>
      <c r="K1386" s="1" t="s">
        <v>18489</v>
      </c>
      <c r="L1386" s="1" t="s">
        <v>8951</v>
      </c>
      <c r="M1386" s="1">
        <v>399</v>
      </c>
      <c r="N1386" s="1" t="s">
        <v>8953</v>
      </c>
      <c r="O1386" s="1" t="s">
        <v>8954</v>
      </c>
      <c r="P1386" s="1" t="s">
        <v>8955</v>
      </c>
      <c r="Q1386" s="1" t="s">
        <v>8956</v>
      </c>
      <c r="R1386" s="1" t="s">
        <v>8975</v>
      </c>
      <c r="S1386" s="1" t="s">
        <v>19537</v>
      </c>
      <c r="T1386" s="1" t="s">
        <v>17</v>
      </c>
      <c r="U1386" s="1" t="s">
        <v>4693</v>
      </c>
    </row>
    <row r="1387" spans="1:21" x14ac:dyDescent="0.2">
      <c r="A1387" s="88" t="s">
        <v>17023</v>
      </c>
      <c r="B1387" s="88" t="e">
        <f>VLOOKUP(C1387,#REF!,1,0)</f>
        <v>#REF!</v>
      </c>
      <c r="C1387" s="1" t="s">
        <v>4694</v>
      </c>
      <c r="D1387" s="1" t="s">
        <v>4695</v>
      </c>
      <c r="E1387" s="1" t="s">
        <v>9010</v>
      </c>
      <c r="F1387" s="1" t="s">
        <v>8957</v>
      </c>
      <c r="G1387" t="s">
        <v>9061</v>
      </c>
      <c r="H1387" s="1" t="s">
        <v>8984</v>
      </c>
      <c r="I1387" s="1" t="s">
        <v>8949</v>
      </c>
      <c r="J1387" s="2" t="s">
        <v>18491</v>
      </c>
      <c r="K1387" s="1" t="s">
        <v>18491</v>
      </c>
      <c r="L1387" s="1" t="s">
        <v>9076</v>
      </c>
      <c r="M1387" s="1">
        <v>21</v>
      </c>
      <c r="N1387" s="1" t="s">
        <v>9059</v>
      </c>
      <c r="O1387" s="1" t="s">
        <v>8989</v>
      </c>
      <c r="P1387" s="1" t="s">
        <v>8955</v>
      </c>
      <c r="Q1387" s="1" t="s">
        <v>8956</v>
      </c>
      <c r="R1387" s="1" t="s">
        <v>8975</v>
      </c>
      <c r="S1387" s="1" t="s">
        <v>4696</v>
      </c>
      <c r="T1387" s="1" t="s">
        <v>17</v>
      </c>
      <c r="U1387" s="1" t="s">
        <v>670</v>
      </c>
    </row>
    <row r="1388" spans="1:21" x14ac:dyDescent="0.2">
      <c r="A1388" s="88" t="s">
        <v>17024</v>
      </c>
      <c r="B1388" s="88" t="e">
        <f>VLOOKUP(C1388,#REF!,1,0)</f>
        <v>#REF!</v>
      </c>
      <c r="C1388" s="1" t="s">
        <v>4697</v>
      </c>
      <c r="D1388" s="1" t="s">
        <v>4698</v>
      </c>
      <c r="E1388" s="1" t="s">
        <v>18502</v>
      </c>
      <c r="F1388" s="1" t="s">
        <v>9060</v>
      </c>
      <c r="G1388" t="s">
        <v>9061</v>
      </c>
      <c r="H1388" s="1" t="s">
        <v>9092</v>
      </c>
      <c r="I1388" s="1" t="s">
        <v>9155</v>
      </c>
      <c r="J1388" s="2" t="s">
        <v>20785</v>
      </c>
      <c r="K1388" s="1" t="s">
        <v>18491</v>
      </c>
      <c r="L1388" s="1" t="s">
        <v>9076</v>
      </c>
      <c r="M1388" s="1">
        <v>17</v>
      </c>
      <c r="N1388" s="1" t="s">
        <v>9059</v>
      </c>
      <c r="O1388" s="1" t="s">
        <v>8989</v>
      </c>
      <c r="P1388" s="1" t="s">
        <v>8955</v>
      </c>
      <c r="Q1388" s="1" t="s">
        <v>8956</v>
      </c>
      <c r="R1388" s="1" t="s">
        <v>8975</v>
      </c>
      <c r="S1388" s="1" t="s">
        <v>19538</v>
      </c>
      <c r="T1388" s="1" t="s">
        <v>17</v>
      </c>
      <c r="U1388" s="1" t="s">
        <v>378</v>
      </c>
    </row>
    <row r="1389" spans="1:21" x14ac:dyDescent="0.2">
      <c r="A1389" s="88" t="s">
        <v>17025</v>
      </c>
      <c r="B1389" s="88" t="e">
        <f>VLOOKUP(C1389,#REF!,1,0)</f>
        <v>#REF!</v>
      </c>
      <c r="C1389" s="1" t="s">
        <v>4699</v>
      </c>
      <c r="D1389" s="1" t="s">
        <v>4700</v>
      </c>
      <c r="E1389" s="1" t="s">
        <v>18502</v>
      </c>
      <c r="F1389" s="1" t="s">
        <v>9060</v>
      </c>
      <c r="G1389" t="s">
        <v>9061</v>
      </c>
      <c r="H1389" s="1" t="s">
        <v>8984</v>
      </c>
      <c r="I1389" s="1" t="s">
        <v>9155</v>
      </c>
      <c r="J1389" s="2" t="s">
        <v>20785</v>
      </c>
      <c r="K1389" s="1" t="s">
        <v>18491</v>
      </c>
      <c r="L1389" s="1" t="s">
        <v>9076</v>
      </c>
      <c r="M1389" s="1">
        <v>21</v>
      </c>
      <c r="N1389" s="1" t="s">
        <v>9059</v>
      </c>
      <c r="O1389" s="1" t="s">
        <v>8989</v>
      </c>
      <c r="P1389" s="1" t="s">
        <v>8955</v>
      </c>
      <c r="Q1389" s="1" t="s">
        <v>8956</v>
      </c>
      <c r="R1389" s="1" t="s">
        <v>8975</v>
      </c>
      <c r="S1389" s="1" t="s">
        <v>19539</v>
      </c>
      <c r="T1389" s="1" t="s">
        <v>17</v>
      </c>
      <c r="U1389" s="1" t="s">
        <v>378</v>
      </c>
    </row>
    <row r="1390" spans="1:21" x14ac:dyDescent="0.2">
      <c r="A1390" s="88" t="s">
        <v>17026</v>
      </c>
      <c r="B1390" s="88" t="e">
        <f>VLOOKUP(C1390,#REF!,1,0)</f>
        <v>#REF!</v>
      </c>
      <c r="C1390" s="1" t="s">
        <v>4701</v>
      </c>
      <c r="D1390" s="1" t="s">
        <v>4702</v>
      </c>
      <c r="E1390" s="1" t="s">
        <v>9310</v>
      </c>
      <c r="F1390" s="1" t="s">
        <v>8959</v>
      </c>
      <c r="G1390" t="s">
        <v>8959</v>
      </c>
      <c r="H1390" s="1" t="s">
        <v>8948</v>
      </c>
      <c r="I1390" s="1" t="s">
        <v>8949</v>
      </c>
      <c r="J1390" s="2" t="s">
        <v>9036</v>
      </c>
      <c r="K1390" s="1" t="s">
        <v>9036</v>
      </c>
      <c r="L1390" s="1" t="s">
        <v>9464</v>
      </c>
      <c r="M1390" s="1">
        <v>240</v>
      </c>
      <c r="N1390" s="1" t="s">
        <v>9059</v>
      </c>
      <c r="O1390" s="1" t="s">
        <v>8954</v>
      </c>
      <c r="P1390" s="1" t="s">
        <v>8955</v>
      </c>
      <c r="Q1390" s="1" t="s">
        <v>8956</v>
      </c>
      <c r="R1390" s="1" t="s">
        <v>8975</v>
      </c>
      <c r="S1390" s="1" t="s">
        <v>4703</v>
      </c>
      <c r="T1390" s="1" t="s">
        <v>4</v>
      </c>
      <c r="U1390" s="1" t="s">
        <v>110</v>
      </c>
    </row>
    <row r="1391" spans="1:21" x14ac:dyDescent="0.2">
      <c r="A1391" s="95" t="s">
        <v>17027</v>
      </c>
      <c r="B1391" s="88" t="e">
        <f>VLOOKUP(C1391,#REF!,1,0)</f>
        <v>#REF!</v>
      </c>
      <c r="C1391" s="1" t="s">
        <v>4704</v>
      </c>
      <c r="D1391" s="1" t="s">
        <v>4705</v>
      </c>
      <c r="E1391" s="1" t="s">
        <v>9310</v>
      </c>
      <c r="F1391" s="1" t="s">
        <v>8957</v>
      </c>
      <c r="G1391" t="s">
        <v>8959</v>
      </c>
      <c r="H1391" s="1" t="s">
        <v>9943</v>
      </c>
      <c r="I1391" s="1" t="s">
        <v>9725</v>
      </c>
      <c r="J1391" s="2" t="s">
        <v>21280</v>
      </c>
      <c r="K1391" s="1" t="s">
        <v>21701</v>
      </c>
      <c r="L1391" s="1" t="s">
        <v>8987</v>
      </c>
      <c r="M1391" s="1">
        <v>65</v>
      </c>
      <c r="N1391" s="1" t="s">
        <v>9059</v>
      </c>
      <c r="O1391" s="1" t="s">
        <v>8989</v>
      </c>
      <c r="P1391" s="1" t="s">
        <v>8955</v>
      </c>
      <c r="Q1391" s="1" t="s">
        <v>8956</v>
      </c>
      <c r="R1391" s="1" t="s">
        <v>8958</v>
      </c>
      <c r="S1391" s="1" t="s">
        <v>19540</v>
      </c>
      <c r="T1391" s="1" t="s">
        <v>7</v>
      </c>
      <c r="U1391" s="1" t="s">
        <v>107</v>
      </c>
    </row>
    <row r="1392" spans="1:21" x14ac:dyDescent="0.2">
      <c r="A1392" s="88" t="s">
        <v>17028</v>
      </c>
      <c r="B1392" s="88" t="e">
        <f>VLOOKUP(C1392,#REF!,1,0)</f>
        <v>#REF!</v>
      </c>
      <c r="C1392" s="1" t="s">
        <v>4706</v>
      </c>
      <c r="D1392" s="1" t="s">
        <v>4707</v>
      </c>
      <c r="E1392" s="1" t="s">
        <v>9310</v>
      </c>
      <c r="F1392" s="1" t="s">
        <v>9060</v>
      </c>
      <c r="G1392" t="s">
        <v>8959</v>
      </c>
      <c r="H1392" s="1" t="s">
        <v>9092</v>
      </c>
      <c r="I1392" s="1" t="s">
        <v>9308</v>
      </c>
      <c r="J1392" s="2" t="s">
        <v>10525</v>
      </c>
      <c r="K1392" s="1" t="s">
        <v>21650</v>
      </c>
      <c r="L1392" s="1" t="s">
        <v>8987</v>
      </c>
      <c r="M1392" s="1">
        <v>1400</v>
      </c>
      <c r="N1392" s="1" t="s">
        <v>8953</v>
      </c>
      <c r="O1392" s="1" t="s">
        <v>8989</v>
      </c>
      <c r="P1392" s="1" t="s">
        <v>8955</v>
      </c>
      <c r="Q1392" s="1" t="s">
        <v>8956</v>
      </c>
      <c r="R1392" s="1" t="s">
        <v>8958</v>
      </c>
      <c r="S1392" s="1" t="s">
        <v>19541</v>
      </c>
      <c r="T1392" s="1" t="s">
        <v>17</v>
      </c>
      <c r="U1392" s="1" t="s">
        <v>74</v>
      </c>
    </row>
    <row r="1393" spans="1:21" x14ac:dyDescent="0.2">
      <c r="A1393" s="88" t="s">
        <v>17029</v>
      </c>
      <c r="B1393" s="88" t="e">
        <f>VLOOKUP(C1393,#REF!,1,0)</f>
        <v>#REF!</v>
      </c>
      <c r="C1393" s="1" t="s">
        <v>4708</v>
      </c>
      <c r="D1393" s="1" t="s">
        <v>4709</v>
      </c>
      <c r="E1393" s="1" t="s">
        <v>9310</v>
      </c>
      <c r="F1393" s="1" t="s">
        <v>8957</v>
      </c>
      <c r="G1393" t="s">
        <v>8959</v>
      </c>
      <c r="H1393" s="1" t="s">
        <v>9035</v>
      </c>
      <c r="I1393" s="1" t="s">
        <v>9308</v>
      </c>
      <c r="J1393" s="2" t="s">
        <v>20723</v>
      </c>
      <c r="K1393" s="1" t="s">
        <v>20723</v>
      </c>
      <c r="L1393" s="1" t="s">
        <v>21600</v>
      </c>
      <c r="M1393" s="1">
        <v>504</v>
      </c>
      <c r="N1393" s="1" t="s">
        <v>8953</v>
      </c>
      <c r="O1393" s="1" t="s">
        <v>8989</v>
      </c>
      <c r="P1393" s="1" t="s">
        <v>8955</v>
      </c>
      <c r="Q1393" s="1" t="s">
        <v>8956</v>
      </c>
      <c r="R1393" s="1" t="s">
        <v>8958</v>
      </c>
      <c r="S1393" s="1" t="s">
        <v>19542</v>
      </c>
      <c r="T1393" s="1" t="s">
        <v>17</v>
      </c>
      <c r="U1393" s="1" t="s">
        <v>184</v>
      </c>
    </row>
    <row r="1394" spans="1:21" x14ac:dyDescent="0.2">
      <c r="A1394" s="88" t="s">
        <v>17030</v>
      </c>
      <c r="B1394" s="88" t="e">
        <f>VLOOKUP(C1394,#REF!,1,0)</f>
        <v>#REF!</v>
      </c>
      <c r="C1394" s="1" t="s">
        <v>4710</v>
      </c>
      <c r="D1394" s="1" t="s">
        <v>4711</v>
      </c>
      <c r="E1394" s="1" t="s">
        <v>9310</v>
      </c>
      <c r="F1394" s="1" t="s">
        <v>8957</v>
      </c>
      <c r="G1394" t="s">
        <v>8959</v>
      </c>
      <c r="H1394" s="1" t="s">
        <v>20714</v>
      </c>
      <c r="I1394" s="1" t="s">
        <v>9101</v>
      </c>
      <c r="J1394" s="2" t="s">
        <v>21252</v>
      </c>
      <c r="K1394" s="1" t="s">
        <v>21252</v>
      </c>
      <c r="L1394" s="1" t="s">
        <v>9076</v>
      </c>
      <c r="M1394" s="1">
        <v>1870</v>
      </c>
      <c r="N1394" s="1" t="s">
        <v>8953</v>
      </c>
      <c r="O1394" s="1" t="s">
        <v>8954</v>
      </c>
      <c r="P1394" s="1" t="s">
        <v>8955</v>
      </c>
      <c r="Q1394" s="1" t="s">
        <v>8956</v>
      </c>
      <c r="R1394" s="1" t="s">
        <v>8975</v>
      </c>
      <c r="S1394" s="1" t="s">
        <v>19543</v>
      </c>
      <c r="T1394" s="1" t="s">
        <v>7</v>
      </c>
      <c r="U1394" s="1" t="s">
        <v>184</v>
      </c>
    </row>
    <row r="1395" spans="1:21" x14ac:dyDescent="0.2">
      <c r="A1395" s="88" t="s">
        <v>17031</v>
      </c>
      <c r="B1395" s="88" t="e">
        <f>VLOOKUP(C1395,#REF!,1,0)</f>
        <v>#REF!</v>
      </c>
      <c r="C1395" s="1" t="s">
        <v>4712</v>
      </c>
      <c r="D1395" s="1" t="s">
        <v>4713</v>
      </c>
      <c r="E1395" s="1" t="s">
        <v>9310</v>
      </c>
      <c r="F1395" s="1" t="s">
        <v>8957</v>
      </c>
      <c r="G1395" t="s">
        <v>9009</v>
      </c>
      <c r="H1395" s="1" t="s">
        <v>8948</v>
      </c>
      <c r="I1395" s="1" t="s">
        <v>8998</v>
      </c>
      <c r="J1395" s="2" t="s">
        <v>18497</v>
      </c>
      <c r="K1395" s="1" t="s">
        <v>18497</v>
      </c>
      <c r="L1395" s="1" t="s">
        <v>9157</v>
      </c>
      <c r="M1395" s="1">
        <v>170</v>
      </c>
      <c r="N1395" s="1" t="s">
        <v>9059</v>
      </c>
      <c r="O1395" s="1" t="s">
        <v>8954</v>
      </c>
      <c r="P1395" s="1" t="s">
        <v>8955</v>
      </c>
      <c r="Q1395" s="1" t="s">
        <v>8956</v>
      </c>
      <c r="R1395" s="1" t="s">
        <v>8975</v>
      </c>
      <c r="S1395" s="1" t="s">
        <v>4714</v>
      </c>
      <c r="T1395" s="1" t="s">
        <v>17</v>
      </c>
      <c r="U1395" s="1" t="s">
        <v>93</v>
      </c>
    </row>
    <row r="1396" spans="1:21" x14ac:dyDescent="0.2">
      <c r="A1396" s="88" t="s">
        <v>17032</v>
      </c>
      <c r="B1396" s="88" t="e">
        <f>VLOOKUP(C1396,#REF!,1,0)</f>
        <v>#REF!</v>
      </c>
      <c r="C1396" s="1" t="s">
        <v>4715</v>
      </c>
      <c r="D1396" s="1" t="s">
        <v>4716</v>
      </c>
      <c r="E1396" s="1" t="s">
        <v>9310</v>
      </c>
      <c r="F1396" s="1" t="s">
        <v>8957</v>
      </c>
      <c r="G1396" t="s">
        <v>9061</v>
      </c>
      <c r="H1396" s="1" t="s">
        <v>9075</v>
      </c>
      <c r="I1396" s="1" t="s">
        <v>8998</v>
      </c>
      <c r="J1396" s="2" t="s">
        <v>10492</v>
      </c>
      <c r="K1396" s="1" t="s">
        <v>10492</v>
      </c>
      <c r="L1396" s="1" t="s">
        <v>21600</v>
      </c>
      <c r="M1396" s="1">
        <v>105</v>
      </c>
      <c r="N1396" s="1" t="s">
        <v>9059</v>
      </c>
      <c r="O1396" s="1" t="s">
        <v>8989</v>
      </c>
      <c r="P1396" s="1" t="s">
        <v>8955</v>
      </c>
      <c r="Q1396" s="1" t="s">
        <v>8956</v>
      </c>
      <c r="R1396" s="1" t="s">
        <v>8958</v>
      </c>
      <c r="S1396" s="1" t="s">
        <v>19544</v>
      </c>
      <c r="T1396" s="1" t="s">
        <v>7</v>
      </c>
      <c r="U1396" s="1" t="s">
        <v>2434</v>
      </c>
    </row>
    <row r="1397" spans="1:21" x14ac:dyDescent="0.2">
      <c r="A1397" s="88" t="s">
        <v>17033</v>
      </c>
      <c r="B1397" s="88" t="e">
        <f>VLOOKUP(C1397,#REF!,1,0)</f>
        <v>#REF!</v>
      </c>
      <c r="C1397" s="1" t="s">
        <v>4717</v>
      </c>
      <c r="D1397" s="1" t="s">
        <v>4718</v>
      </c>
      <c r="E1397" s="1" t="s">
        <v>9310</v>
      </c>
      <c r="F1397" s="1" t="s">
        <v>8957</v>
      </c>
      <c r="G1397" t="s">
        <v>8959</v>
      </c>
      <c r="H1397" s="1" t="s">
        <v>9035</v>
      </c>
      <c r="I1397" s="1" t="s">
        <v>8998</v>
      </c>
      <c r="J1397" s="2" t="s">
        <v>10492</v>
      </c>
      <c r="K1397" s="1" t="s">
        <v>10492</v>
      </c>
      <c r="L1397" s="1" t="s">
        <v>9076</v>
      </c>
      <c r="M1397" s="1">
        <v>50</v>
      </c>
      <c r="N1397" s="1" t="s">
        <v>9059</v>
      </c>
      <c r="O1397" s="1" t="s">
        <v>8989</v>
      </c>
      <c r="P1397" s="1" t="s">
        <v>8955</v>
      </c>
      <c r="Q1397" s="1" t="s">
        <v>8956</v>
      </c>
      <c r="R1397" s="1" t="s">
        <v>8975</v>
      </c>
      <c r="S1397" s="1" t="s">
        <v>19545</v>
      </c>
      <c r="T1397" s="1" t="s">
        <v>7</v>
      </c>
      <c r="U1397" s="1" t="s">
        <v>93</v>
      </c>
    </row>
    <row r="1398" spans="1:21" x14ac:dyDescent="0.2">
      <c r="A1398" s="88" t="s">
        <v>17034</v>
      </c>
      <c r="B1398" s="88" t="e">
        <f>VLOOKUP(C1398,#REF!,1,0)</f>
        <v>#REF!</v>
      </c>
      <c r="C1398" s="1" t="s">
        <v>4722</v>
      </c>
      <c r="D1398" s="1" t="s">
        <v>4723</v>
      </c>
      <c r="E1398" s="1" t="s">
        <v>9317</v>
      </c>
      <c r="F1398" s="1" t="s">
        <v>8957</v>
      </c>
      <c r="G1398" t="s">
        <v>9183</v>
      </c>
      <c r="H1398" s="1" t="s">
        <v>8948</v>
      </c>
      <c r="I1398" s="1" t="s">
        <v>9121</v>
      </c>
      <c r="J1398" s="2" t="s">
        <v>8972</v>
      </c>
      <c r="K1398" s="1" t="s">
        <v>8972</v>
      </c>
      <c r="L1398" s="1" t="s">
        <v>21600</v>
      </c>
      <c r="M1398" s="1">
        <v>66</v>
      </c>
      <c r="N1398" s="1" t="s">
        <v>9059</v>
      </c>
      <c r="O1398" s="1" t="s">
        <v>8989</v>
      </c>
      <c r="P1398" s="1" t="s">
        <v>8955</v>
      </c>
      <c r="Q1398" s="1" t="s">
        <v>8956</v>
      </c>
      <c r="R1398" s="1" t="s">
        <v>8975</v>
      </c>
      <c r="S1398" s="1" t="s">
        <v>4724</v>
      </c>
      <c r="T1398" s="1" t="s">
        <v>17</v>
      </c>
      <c r="U1398" s="1" t="s">
        <v>938</v>
      </c>
    </row>
    <row r="1399" spans="1:21" x14ac:dyDescent="0.2">
      <c r="A1399" s="88" t="s">
        <v>17035</v>
      </c>
      <c r="B1399" s="88" t="e">
        <f>VLOOKUP(C1399,#REF!,1,0)</f>
        <v>#REF!</v>
      </c>
      <c r="C1399" s="1" t="s">
        <v>4725</v>
      </c>
      <c r="D1399" s="1" t="s">
        <v>4726</v>
      </c>
      <c r="E1399" s="1" t="s">
        <v>18502</v>
      </c>
      <c r="F1399" s="1" t="s">
        <v>8957</v>
      </c>
      <c r="G1399" t="s">
        <v>8959</v>
      </c>
      <c r="H1399" s="1" t="s">
        <v>9100</v>
      </c>
      <c r="I1399" s="1" t="s">
        <v>8949</v>
      </c>
      <c r="J1399" s="2" t="s">
        <v>20813</v>
      </c>
      <c r="K1399" s="1" t="s">
        <v>20770</v>
      </c>
      <c r="L1399" s="1" t="s">
        <v>8951</v>
      </c>
      <c r="M1399" s="1">
        <v>2324</v>
      </c>
      <c r="N1399" s="1" t="s">
        <v>9059</v>
      </c>
      <c r="O1399" s="1" t="s">
        <v>8954</v>
      </c>
      <c r="P1399" s="1" t="s">
        <v>8955</v>
      </c>
      <c r="Q1399" s="1" t="s">
        <v>8956</v>
      </c>
      <c r="R1399" s="1" t="s">
        <v>8975</v>
      </c>
      <c r="S1399" s="1" t="s">
        <v>19547</v>
      </c>
      <c r="T1399" s="1" t="s">
        <v>7</v>
      </c>
      <c r="U1399" s="1" t="s">
        <v>184</v>
      </c>
    </row>
    <row r="1400" spans="1:21" x14ac:dyDescent="0.2">
      <c r="A1400" s="88" t="s">
        <v>17036</v>
      </c>
      <c r="B1400" s="88" t="e">
        <f>VLOOKUP(C1400,#REF!,1,0)</f>
        <v>#REF!</v>
      </c>
      <c r="C1400" s="1" t="s">
        <v>4727</v>
      </c>
      <c r="D1400" s="1" t="s">
        <v>4728</v>
      </c>
      <c r="E1400" s="1" t="s">
        <v>10873</v>
      </c>
      <c r="F1400" s="1" t="s">
        <v>8974</v>
      </c>
      <c r="G1400" t="s">
        <v>9183</v>
      </c>
      <c r="H1400" s="1" t="s">
        <v>9605</v>
      </c>
      <c r="I1400" s="1" t="s">
        <v>8959</v>
      </c>
      <c r="J1400" s="131" t="s">
        <v>20879</v>
      </c>
      <c r="K1400" s="1" t="s">
        <v>21856</v>
      </c>
      <c r="L1400" s="1" t="s">
        <v>9076</v>
      </c>
      <c r="M1400" s="1">
        <v>28000</v>
      </c>
      <c r="N1400" s="1" t="s">
        <v>8953</v>
      </c>
      <c r="O1400" s="1" t="s">
        <v>8989</v>
      </c>
      <c r="P1400" s="1" t="s">
        <v>8955</v>
      </c>
      <c r="Q1400" s="1" t="s">
        <v>8956</v>
      </c>
      <c r="R1400" s="1" t="s">
        <v>9103</v>
      </c>
      <c r="S1400" s="1" t="s">
        <v>19548</v>
      </c>
      <c r="T1400" s="1" t="s">
        <v>11</v>
      </c>
      <c r="U1400" s="1" t="s">
        <v>4729</v>
      </c>
    </row>
    <row r="1401" spans="1:21" x14ac:dyDescent="0.2">
      <c r="A1401" s="88" t="s">
        <v>17037</v>
      </c>
      <c r="B1401" s="88" t="e">
        <f>VLOOKUP(C1401,#REF!,1,0)</f>
        <v>#REF!</v>
      </c>
      <c r="C1401" s="1" t="s">
        <v>4733</v>
      </c>
      <c r="D1401" s="1" t="s">
        <v>4734</v>
      </c>
      <c r="E1401" s="1" t="s">
        <v>9310</v>
      </c>
      <c r="F1401" s="1" t="s">
        <v>8957</v>
      </c>
      <c r="G1401" t="s">
        <v>9009</v>
      </c>
      <c r="H1401" s="1" t="s">
        <v>20714</v>
      </c>
      <c r="I1401" s="1" t="s">
        <v>20725</v>
      </c>
      <c r="J1401" s="2" t="s">
        <v>18497</v>
      </c>
      <c r="K1401" s="1" t="s">
        <v>18497</v>
      </c>
      <c r="L1401" s="1" t="s">
        <v>8951</v>
      </c>
      <c r="M1401" s="1">
        <v>3618</v>
      </c>
      <c r="N1401" s="1" t="s">
        <v>8953</v>
      </c>
      <c r="O1401" s="1" t="s">
        <v>8989</v>
      </c>
      <c r="P1401" s="1" t="s">
        <v>8955</v>
      </c>
      <c r="Q1401" s="1" t="s">
        <v>8956</v>
      </c>
      <c r="R1401" s="1" t="s">
        <v>8958</v>
      </c>
      <c r="S1401" s="1" t="s">
        <v>19550</v>
      </c>
      <c r="T1401" s="1" t="s">
        <v>7</v>
      </c>
      <c r="U1401" s="1" t="s">
        <v>24</v>
      </c>
    </row>
    <row r="1402" spans="1:21" x14ac:dyDescent="0.2">
      <c r="A1402" s="88" t="s">
        <v>17038</v>
      </c>
      <c r="B1402" s="88" t="e">
        <f>VLOOKUP(C1402,#REF!,1,0)</f>
        <v>#REF!</v>
      </c>
      <c r="C1402" s="1" t="s">
        <v>4742</v>
      </c>
      <c r="D1402" s="1" t="s">
        <v>4743</v>
      </c>
      <c r="E1402" s="1" t="s">
        <v>9310</v>
      </c>
      <c r="F1402" s="1" t="s">
        <v>8959</v>
      </c>
      <c r="G1402" t="s">
        <v>8959</v>
      </c>
      <c r="H1402" s="1" t="s">
        <v>9605</v>
      </c>
      <c r="I1402" s="1" t="s">
        <v>9101</v>
      </c>
      <c r="J1402" s="2" t="s">
        <v>10492</v>
      </c>
      <c r="K1402" s="1" t="s">
        <v>10492</v>
      </c>
      <c r="L1402" s="1" t="s">
        <v>21600</v>
      </c>
      <c r="M1402" s="1">
        <v>599</v>
      </c>
      <c r="N1402" s="1" t="s">
        <v>8953</v>
      </c>
      <c r="O1402" s="1" t="s">
        <v>8954</v>
      </c>
      <c r="P1402" s="1" t="s">
        <v>8955</v>
      </c>
      <c r="Q1402" s="1" t="s">
        <v>8956</v>
      </c>
      <c r="R1402" s="1" t="s">
        <v>9103</v>
      </c>
      <c r="S1402" s="1" t="s">
        <v>4744</v>
      </c>
      <c r="T1402" s="1" t="s">
        <v>7</v>
      </c>
      <c r="U1402" s="1" t="s">
        <v>15</v>
      </c>
    </row>
    <row r="1403" spans="1:21" x14ac:dyDescent="0.2">
      <c r="A1403" s="88" t="s">
        <v>17039</v>
      </c>
      <c r="B1403" s="88" t="e">
        <f>VLOOKUP(C1403,#REF!,1,0)</f>
        <v>#REF!</v>
      </c>
      <c r="C1403" s="1" t="s">
        <v>4745</v>
      </c>
      <c r="D1403" s="1" t="s">
        <v>4746</v>
      </c>
      <c r="E1403" s="1" t="s">
        <v>9246</v>
      </c>
      <c r="F1403" s="1" t="s">
        <v>8957</v>
      </c>
      <c r="G1403" t="s">
        <v>9009</v>
      </c>
      <c r="H1403" s="1" t="s">
        <v>15172</v>
      </c>
      <c r="I1403" s="1" t="s">
        <v>8949</v>
      </c>
      <c r="J1403" s="2" t="s">
        <v>8972</v>
      </c>
      <c r="K1403" s="1" t="s">
        <v>8972</v>
      </c>
      <c r="L1403" s="1" t="s">
        <v>9076</v>
      </c>
      <c r="M1403" s="1">
        <v>32</v>
      </c>
      <c r="N1403" s="1" t="s">
        <v>9059</v>
      </c>
      <c r="O1403" s="1" t="s">
        <v>8954</v>
      </c>
      <c r="P1403" s="1" t="s">
        <v>8955</v>
      </c>
      <c r="Q1403" s="1" t="s">
        <v>8956</v>
      </c>
      <c r="R1403" s="1" t="s">
        <v>8958</v>
      </c>
      <c r="S1403" s="1" t="s">
        <v>4747</v>
      </c>
      <c r="T1403" s="1" t="s">
        <v>17</v>
      </c>
      <c r="U1403" s="1" t="s">
        <v>126</v>
      </c>
    </row>
    <row r="1404" spans="1:21" x14ac:dyDescent="0.2">
      <c r="A1404" s="88" t="s">
        <v>17041</v>
      </c>
      <c r="B1404" s="88" t="e">
        <f>VLOOKUP(C1404,#REF!,1,0)</f>
        <v>#REF!</v>
      </c>
      <c r="C1404" s="1" t="s">
        <v>4751</v>
      </c>
      <c r="D1404" s="1" t="s">
        <v>4752</v>
      </c>
      <c r="E1404" s="1" t="s">
        <v>18502</v>
      </c>
      <c r="F1404" s="1" t="s">
        <v>9060</v>
      </c>
      <c r="G1404" t="s">
        <v>8959</v>
      </c>
      <c r="H1404" s="1" t="s">
        <v>20714</v>
      </c>
      <c r="I1404" s="1" t="s">
        <v>20725</v>
      </c>
      <c r="J1404" s="2" t="s">
        <v>20779</v>
      </c>
      <c r="K1404" s="1" t="s">
        <v>9036</v>
      </c>
      <c r="L1404" s="1" t="s">
        <v>21600</v>
      </c>
      <c r="M1404" s="1">
        <v>92</v>
      </c>
      <c r="N1404" s="1" t="s">
        <v>8953</v>
      </c>
      <c r="O1404" s="1" t="s">
        <v>8954</v>
      </c>
      <c r="P1404" s="1" t="s">
        <v>8955</v>
      </c>
      <c r="Q1404" s="1" t="s">
        <v>8956</v>
      </c>
      <c r="R1404" s="1" t="s">
        <v>8958</v>
      </c>
      <c r="S1404" s="1" t="s">
        <v>20637</v>
      </c>
      <c r="T1404" s="1" t="s">
        <v>7</v>
      </c>
      <c r="U1404" s="1" t="s">
        <v>447</v>
      </c>
    </row>
    <row r="1405" spans="1:21" x14ac:dyDescent="0.2">
      <c r="A1405" s="88" t="s">
        <v>17042</v>
      </c>
      <c r="B1405" s="88" t="e">
        <f>VLOOKUP(C1405,#REF!,1,0)</f>
        <v>#REF!</v>
      </c>
      <c r="C1405" s="1" t="s">
        <v>4753</v>
      </c>
      <c r="D1405" s="1" t="s">
        <v>4754</v>
      </c>
      <c r="E1405" s="1" t="s">
        <v>10873</v>
      </c>
      <c r="F1405" s="1" t="s">
        <v>9060</v>
      </c>
      <c r="G1405" t="s">
        <v>9183</v>
      </c>
      <c r="H1405" s="1" t="s">
        <v>8984</v>
      </c>
      <c r="I1405" s="1" t="s">
        <v>8971</v>
      </c>
      <c r="J1405" s="2" t="s">
        <v>9436</v>
      </c>
      <c r="K1405" s="1" t="s">
        <v>9436</v>
      </c>
      <c r="L1405" s="1" t="s">
        <v>8987</v>
      </c>
      <c r="M1405" s="1">
        <v>2393</v>
      </c>
      <c r="N1405" s="1" t="s">
        <v>9059</v>
      </c>
      <c r="O1405" s="1" t="s">
        <v>8989</v>
      </c>
      <c r="P1405" s="1" t="s">
        <v>8955</v>
      </c>
      <c r="Q1405" s="1" t="s">
        <v>8956</v>
      </c>
      <c r="R1405" s="1" t="s">
        <v>8958</v>
      </c>
      <c r="S1405" s="1" t="s">
        <v>4755</v>
      </c>
      <c r="T1405" s="1" t="s">
        <v>11</v>
      </c>
      <c r="U1405" s="1" t="s">
        <v>4756</v>
      </c>
    </row>
    <row r="1406" spans="1:21" x14ac:dyDescent="0.2">
      <c r="A1406" s="88" t="s">
        <v>17043</v>
      </c>
      <c r="B1406" s="88" t="e">
        <f>VLOOKUP(C1406,#REF!,1,0)</f>
        <v>#REF!</v>
      </c>
      <c r="C1406" s="1" t="s">
        <v>4757</v>
      </c>
      <c r="D1406" s="1" t="s">
        <v>4758</v>
      </c>
      <c r="E1406" s="1" t="s">
        <v>12547</v>
      </c>
      <c r="F1406" s="1" t="s">
        <v>8957</v>
      </c>
      <c r="G1406" t="s">
        <v>8959</v>
      </c>
      <c r="H1406" s="1" t="s">
        <v>9035</v>
      </c>
      <c r="I1406" s="1" t="s">
        <v>8998</v>
      </c>
      <c r="J1406" s="2" t="s">
        <v>9036</v>
      </c>
      <c r="K1406" s="1" t="s">
        <v>9036</v>
      </c>
      <c r="L1406" s="1" t="s">
        <v>8951</v>
      </c>
      <c r="M1406" s="1">
        <v>138</v>
      </c>
      <c r="N1406" s="1" t="s">
        <v>8953</v>
      </c>
      <c r="O1406" s="1" t="s">
        <v>8954</v>
      </c>
      <c r="P1406" s="1" t="s">
        <v>8955</v>
      </c>
      <c r="Q1406" s="1" t="s">
        <v>8956</v>
      </c>
      <c r="R1406" s="1" t="s">
        <v>9103</v>
      </c>
      <c r="S1406" s="1" t="s">
        <v>4759</v>
      </c>
      <c r="T1406" s="1" t="s">
        <v>4</v>
      </c>
      <c r="U1406" s="1" t="s">
        <v>74</v>
      </c>
    </row>
    <row r="1407" spans="1:21" x14ac:dyDescent="0.2">
      <c r="A1407" s="88" t="s">
        <v>17044</v>
      </c>
      <c r="B1407" s="88" t="e">
        <f>VLOOKUP(C1407,#REF!,1,0)</f>
        <v>#REF!</v>
      </c>
      <c r="C1407" s="1" t="s">
        <v>4760</v>
      </c>
      <c r="D1407" s="1" t="s">
        <v>4761</v>
      </c>
      <c r="E1407" s="1" t="s">
        <v>9650</v>
      </c>
      <c r="F1407" s="1" t="s">
        <v>8974</v>
      </c>
      <c r="G1407" t="s">
        <v>8959</v>
      </c>
      <c r="H1407" s="1" t="s">
        <v>8984</v>
      </c>
      <c r="I1407" s="1" t="s">
        <v>8998</v>
      </c>
      <c r="J1407" s="2" t="s">
        <v>9036</v>
      </c>
      <c r="K1407" s="1" t="s">
        <v>9036</v>
      </c>
      <c r="L1407" s="1" t="s">
        <v>21600</v>
      </c>
      <c r="M1407" s="1">
        <v>13</v>
      </c>
      <c r="N1407" s="1" t="s">
        <v>8953</v>
      </c>
      <c r="O1407" s="1" t="s">
        <v>8954</v>
      </c>
      <c r="P1407" s="1" t="s">
        <v>8955</v>
      </c>
      <c r="Q1407" s="1" t="s">
        <v>8956</v>
      </c>
      <c r="R1407" s="1" t="s">
        <v>8975</v>
      </c>
      <c r="S1407" s="1" t="s">
        <v>4762</v>
      </c>
      <c r="T1407" s="1" t="s">
        <v>11</v>
      </c>
      <c r="U1407" s="1" t="s">
        <v>126</v>
      </c>
    </row>
    <row r="1408" spans="1:21" x14ac:dyDescent="0.2">
      <c r="A1408" s="88" t="s">
        <v>17046</v>
      </c>
      <c r="B1408" s="88" t="e">
        <f>VLOOKUP(C1408,#REF!,1,0)</f>
        <v>#REF!</v>
      </c>
      <c r="C1408" s="1" t="s">
        <v>4765</v>
      </c>
      <c r="D1408" s="1" t="s">
        <v>4766</v>
      </c>
      <c r="E1408" s="1" t="s">
        <v>18502</v>
      </c>
      <c r="F1408" s="1" t="s">
        <v>9060</v>
      </c>
      <c r="G1408" t="s">
        <v>8959</v>
      </c>
      <c r="H1408" s="1" t="s">
        <v>9075</v>
      </c>
      <c r="I1408" s="1" t="s">
        <v>9131</v>
      </c>
      <c r="J1408" s="2" t="s">
        <v>20811</v>
      </c>
      <c r="K1408" s="1" t="s">
        <v>13923</v>
      </c>
      <c r="L1408" s="1" t="s">
        <v>9133</v>
      </c>
      <c r="M1408" s="1">
        <v>2983</v>
      </c>
      <c r="N1408" s="1" t="s">
        <v>8953</v>
      </c>
      <c r="O1408" s="1" t="s">
        <v>8989</v>
      </c>
      <c r="P1408" s="1" t="s">
        <v>8955</v>
      </c>
      <c r="Q1408" s="1" t="s">
        <v>8956</v>
      </c>
      <c r="R1408" s="1" t="s">
        <v>9103</v>
      </c>
      <c r="S1408" s="1" t="s">
        <v>19553</v>
      </c>
      <c r="T1408" s="1" t="s">
        <v>7</v>
      </c>
      <c r="U1408" s="1" t="s">
        <v>8</v>
      </c>
    </row>
    <row r="1409" spans="1:21" x14ac:dyDescent="0.2">
      <c r="A1409" s="88" t="s">
        <v>17048</v>
      </c>
      <c r="B1409" s="88" t="e">
        <f>VLOOKUP(C1409,#REF!,1,0)</f>
        <v>#REF!</v>
      </c>
      <c r="C1409" s="1" t="s">
        <v>4769</v>
      </c>
      <c r="D1409" s="1" t="s">
        <v>4770</v>
      </c>
      <c r="E1409" s="1" t="s">
        <v>9317</v>
      </c>
      <c r="F1409" s="1" t="s">
        <v>8959</v>
      </c>
      <c r="G1409" t="s">
        <v>8959</v>
      </c>
      <c r="H1409" s="1" t="s">
        <v>9154</v>
      </c>
      <c r="I1409" s="1" t="s">
        <v>8998</v>
      </c>
      <c r="J1409" s="2" t="s">
        <v>20779</v>
      </c>
      <c r="K1409" s="1" t="s">
        <v>9036</v>
      </c>
      <c r="L1409" s="1" t="s">
        <v>9464</v>
      </c>
      <c r="M1409" s="1">
        <v>19000</v>
      </c>
      <c r="N1409" s="1" t="s">
        <v>8953</v>
      </c>
      <c r="O1409" s="1" t="s">
        <v>8989</v>
      </c>
      <c r="P1409" s="1" t="s">
        <v>8955</v>
      </c>
      <c r="Q1409" s="1" t="s">
        <v>8956</v>
      </c>
      <c r="R1409" s="1" t="s">
        <v>8958</v>
      </c>
      <c r="S1409" s="1" t="s">
        <v>19555</v>
      </c>
      <c r="T1409" s="1" t="s">
        <v>17</v>
      </c>
      <c r="U1409" s="1" t="s">
        <v>43</v>
      </c>
    </row>
    <row r="1410" spans="1:21" x14ac:dyDescent="0.2">
      <c r="A1410" s="88" t="s">
        <v>17049</v>
      </c>
      <c r="B1410" s="88" t="e">
        <f>VLOOKUP(C1410,#REF!,1,0)</f>
        <v>#REF!</v>
      </c>
      <c r="C1410" s="1" t="s">
        <v>4771</v>
      </c>
      <c r="D1410" s="1" t="s">
        <v>4772</v>
      </c>
      <c r="E1410" s="1" t="s">
        <v>9317</v>
      </c>
      <c r="F1410" s="1" t="s">
        <v>8959</v>
      </c>
      <c r="G1410" t="s">
        <v>8959</v>
      </c>
      <c r="H1410" s="1" t="s">
        <v>9154</v>
      </c>
      <c r="I1410" s="1" t="s">
        <v>9155</v>
      </c>
      <c r="J1410" s="2" t="s">
        <v>10099</v>
      </c>
      <c r="K1410" s="1" t="s">
        <v>10099</v>
      </c>
      <c r="L1410" s="1" t="s">
        <v>8987</v>
      </c>
      <c r="M1410" s="1">
        <v>25</v>
      </c>
      <c r="N1410" s="1" t="s">
        <v>9059</v>
      </c>
      <c r="O1410" s="1" t="s">
        <v>8954</v>
      </c>
      <c r="P1410" s="1" t="s">
        <v>8955</v>
      </c>
      <c r="Q1410" s="1" t="s">
        <v>8956</v>
      </c>
      <c r="R1410" s="1" t="s">
        <v>8958</v>
      </c>
      <c r="S1410" s="1" t="s">
        <v>4773</v>
      </c>
      <c r="T1410" s="1" t="s">
        <v>17</v>
      </c>
      <c r="U1410" s="1" t="s">
        <v>126</v>
      </c>
    </row>
    <row r="1411" spans="1:21" x14ac:dyDescent="0.2">
      <c r="A1411" s="88" t="s">
        <v>17050</v>
      </c>
      <c r="B1411" s="88" t="e">
        <f>VLOOKUP(C1411,#REF!,1,0)</f>
        <v>#REF!</v>
      </c>
      <c r="C1411" s="1" t="s">
        <v>4778</v>
      </c>
      <c r="D1411" s="1" t="s">
        <v>4779</v>
      </c>
      <c r="E1411" s="1" t="s">
        <v>9010</v>
      </c>
      <c r="F1411" s="1" t="s">
        <v>9060</v>
      </c>
      <c r="G1411" t="s">
        <v>8959</v>
      </c>
      <c r="H1411" s="1" t="s">
        <v>9035</v>
      </c>
      <c r="I1411" s="1" t="s">
        <v>9155</v>
      </c>
      <c r="J1411" s="2" t="s">
        <v>9036</v>
      </c>
      <c r="K1411" s="1" t="s">
        <v>9036</v>
      </c>
      <c r="L1411" s="1" t="s">
        <v>9292</v>
      </c>
      <c r="M1411" s="1">
        <v>944</v>
      </c>
      <c r="N1411" s="1" t="s">
        <v>8953</v>
      </c>
      <c r="O1411" s="1" t="s">
        <v>8954</v>
      </c>
      <c r="P1411" s="1" t="s">
        <v>8955</v>
      </c>
      <c r="Q1411" s="1" t="s">
        <v>8956</v>
      </c>
      <c r="R1411" s="1" t="s">
        <v>8975</v>
      </c>
      <c r="S1411" s="1" t="s">
        <v>4780</v>
      </c>
      <c r="T1411" s="1" t="s">
        <v>17</v>
      </c>
      <c r="U1411" s="1" t="s">
        <v>686</v>
      </c>
    </row>
    <row r="1412" spans="1:21" x14ac:dyDescent="0.2">
      <c r="A1412" s="88" t="s">
        <v>17051</v>
      </c>
      <c r="B1412" s="88" t="e">
        <f>VLOOKUP(C1412,#REF!,1,0)</f>
        <v>#REF!</v>
      </c>
      <c r="C1412" s="1" t="s">
        <v>4781</v>
      </c>
      <c r="D1412" s="1" t="s">
        <v>4782</v>
      </c>
      <c r="E1412" s="1" t="s">
        <v>9380</v>
      </c>
      <c r="F1412" s="1" t="s">
        <v>9060</v>
      </c>
      <c r="G1412" t="s">
        <v>8959</v>
      </c>
      <c r="H1412" s="1" t="s">
        <v>20714</v>
      </c>
      <c r="I1412" s="1" t="s">
        <v>20725</v>
      </c>
      <c r="J1412" s="2" t="s">
        <v>10492</v>
      </c>
      <c r="K1412" s="1" t="s">
        <v>10492</v>
      </c>
      <c r="L1412" s="1" t="s">
        <v>21602</v>
      </c>
      <c r="M1412" s="1">
        <v>530</v>
      </c>
      <c r="N1412" s="1" t="s">
        <v>8953</v>
      </c>
      <c r="O1412" s="1" t="s">
        <v>8954</v>
      </c>
      <c r="P1412" s="1" t="s">
        <v>8955</v>
      </c>
      <c r="Q1412" s="1" t="s">
        <v>8956</v>
      </c>
      <c r="R1412" s="1" t="s">
        <v>8958</v>
      </c>
      <c r="S1412" s="1" t="s">
        <v>19556</v>
      </c>
      <c r="T1412" s="1" t="s">
        <v>17</v>
      </c>
      <c r="U1412" s="1" t="s">
        <v>126</v>
      </c>
    </row>
    <row r="1413" spans="1:21" x14ac:dyDescent="0.2">
      <c r="A1413" s="88" t="s">
        <v>17052</v>
      </c>
      <c r="B1413" s="88" t="e">
        <f>VLOOKUP(C1413,#REF!,1,0)</f>
        <v>#REF!</v>
      </c>
      <c r="C1413" s="1" t="s">
        <v>4783</v>
      </c>
      <c r="D1413" s="1" t="s">
        <v>4784</v>
      </c>
      <c r="E1413" s="1" t="s">
        <v>9380</v>
      </c>
      <c r="F1413" s="1" t="s">
        <v>8957</v>
      </c>
      <c r="G1413" t="s">
        <v>8959</v>
      </c>
      <c r="H1413" s="1" t="s">
        <v>9100</v>
      </c>
      <c r="I1413" s="1" t="s">
        <v>9155</v>
      </c>
      <c r="J1413" s="2" t="s">
        <v>21465</v>
      </c>
      <c r="K1413" s="1" t="s">
        <v>21465</v>
      </c>
      <c r="L1413" s="1" t="s">
        <v>9133</v>
      </c>
      <c r="M1413" s="1">
        <v>2402</v>
      </c>
      <c r="N1413" s="1" t="s">
        <v>8953</v>
      </c>
      <c r="O1413" s="1" t="s">
        <v>8989</v>
      </c>
      <c r="P1413" s="1" t="s">
        <v>8955</v>
      </c>
      <c r="Q1413" s="1" t="s">
        <v>8956</v>
      </c>
      <c r="R1413" s="1" t="s">
        <v>8958</v>
      </c>
      <c r="S1413" s="1" t="s">
        <v>4785</v>
      </c>
      <c r="T1413" s="1" t="s">
        <v>11</v>
      </c>
      <c r="U1413" s="1" t="s">
        <v>24</v>
      </c>
    </row>
    <row r="1414" spans="1:21" x14ac:dyDescent="0.2">
      <c r="A1414" s="88" t="s">
        <v>17053</v>
      </c>
      <c r="B1414" s="88" t="e">
        <f>VLOOKUP(C1414,#REF!,1,0)</f>
        <v>#REF!</v>
      </c>
      <c r="C1414" s="1" t="s">
        <v>4786</v>
      </c>
      <c r="D1414" s="1" t="s">
        <v>4787</v>
      </c>
      <c r="E1414" s="1" t="s">
        <v>9380</v>
      </c>
      <c r="F1414" s="1" t="s">
        <v>8957</v>
      </c>
      <c r="G1414" t="s">
        <v>8959</v>
      </c>
      <c r="H1414" s="1" t="s">
        <v>9100</v>
      </c>
      <c r="I1414" s="1" t="s">
        <v>9725</v>
      </c>
      <c r="J1414" s="2" t="s">
        <v>9041</v>
      </c>
      <c r="K1414" s="1" t="s">
        <v>9041</v>
      </c>
      <c r="L1414" s="1" t="s">
        <v>9133</v>
      </c>
      <c r="M1414" s="1">
        <v>1051</v>
      </c>
      <c r="N1414" s="1" t="s">
        <v>8953</v>
      </c>
      <c r="O1414" s="1" t="s">
        <v>8989</v>
      </c>
      <c r="P1414" s="1" t="s">
        <v>8955</v>
      </c>
      <c r="Q1414" s="1" t="s">
        <v>8956</v>
      </c>
      <c r="R1414" s="1" t="s">
        <v>8958</v>
      </c>
      <c r="S1414" s="1" t="s">
        <v>4785</v>
      </c>
      <c r="T1414" s="1" t="s">
        <v>11</v>
      </c>
      <c r="U1414" s="1" t="s">
        <v>126</v>
      </c>
    </row>
    <row r="1415" spans="1:21" x14ac:dyDescent="0.2">
      <c r="A1415" s="88" t="s">
        <v>17054</v>
      </c>
      <c r="B1415" s="88" t="e">
        <f>VLOOKUP(C1415,#REF!,1,0)</f>
        <v>#REF!</v>
      </c>
      <c r="C1415" s="1" t="s">
        <v>4788</v>
      </c>
      <c r="D1415" s="1" t="s">
        <v>4789</v>
      </c>
      <c r="E1415" s="1" t="s">
        <v>9310</v>
      </c>
      <c r="F1415" s="1" t="s">
        <v>8957</v>
      </c>
      <c r="G1415" t="s">
        <v>8959</v>
      </c>
      <c r="H1415" s="1" t="s">
        <v>8984</v>
      </c>
      <c r="I1415" s="1" t="s">
        <v>8998</v>
      </c>
      <c r="J1415" s="2" t="s">
        <v>9036</v>
      </c>
      <c r="K1415" s="1" t="s">
        <v>9036</v>
      </c>
      <c r="L1415" s="1" t="s">
        <v>21600</v>
      </c>
      <c r="M1415" s="1">
        <v>118</v>
      </c>
      <c r="N1415" s="1" t="s">
        <v>9059</v>
      </c>
      <c r="O1415" s="1" t="s">
        <v>8954</v>
      </c>
      <c r="P1415" s="1" t="s">
        <v>8955</v>
      </c>
      <c r="Q1415" s="1" t="s">
        <v>8956</v>
      </c>
      <c r="R1415" s="1" t="s">
        <v>8958</v>
      </c>
      <c r="S1415" s="1" t="s">
        <v>4790</v>
      </c>
      <c r="T1415" s="1" t="s">
        <v>4</v>
      </c>
      <c r="U1415" s="1" t="s">
        <v>64</v>
      </c>
    </row>
    <row r="1416" spans="1:21" x14ac:dyDescent="0.2">
      <c r="A1416" s="88" t="s">
        <v>17055</v>
      </c>
      <c r="B1416" s="88" t="e">
        <f>VLOOKUP(C1416,#REF!,1,0)</f>
        <v>#REF!</v>
      </c>
      <c r="C1416" s="1" t="s">
        <v>4791</v>
      </c>
      <c r="D1416" s="1" t="s">
        <v>4792</v>
      </c>
      <c r="E1416" s="1" t="s">
        <v>18502</v>
      </c>
      <c r="F1416" s="1" t="s">
        <v>8957</v>
      </c>
      <c r="G1416" t="s">
        <v>9061</v>
      </c>
      <c r="H1416" s="1" t="s">
        <v>9035</v>
      </c>
      <c r="I1416" s="1" t="s">
        <v>8998</v>
      </c>
      <c r="J1416" s="2" t="s">
        <v>20779</v>
      </c>
      <c r="K1416" s="1" t="s">
        <v>9036</v>
      </c>
      <c r="L1416" s="1" t="s">
        <v>8951</v>
      </c>
      <c r="M1416" s="1">
        <v>1313</v>
      </c>
      <c r="N1416" s="1" t="s">
        <v>9059</v>
      </c>
      <c r="O1416" s="1" t="s">
        <v>8954</v>
      </c>
      <c r="P1416" s="1" t="s">
        <v>8955</v>
      </c>
      <c r="Q1416" s="1" t="s">
        <v>8956</v>
      </c>
      <c r="R1416" s="1" t="s">
        <v>8975</v>
      </c>
      <c r="S1416" s="1" t="s">
        <v>19557</v>
      </c>
      <c r="T1416" s="1" t="s">
        <v>7</v>
      </c>
      <c r="U1416" s="1" t="s">
        <v>147</v>
      </c>
    </row>
    <row r="1417" spans="1:21" x14ac:dyDescent="0.2">
      <c r="A1417" s="88" t="s">
        <v>17056</v>
      </c>
      <c r="B1417" s="88" t="e">
        <f>VLOOKUP(C1417,#REF!,1,0)</f>
        <v>#REF!</v>
      </c>
      <c r="C1417" s="1" t="s">
        <v>4793</v>
      </c>
      <c r="D1417" s="1" t="s">
        <v>4794</v>
      </c>
      <c r="E1417" s="1" t="s">
        <v>9010</v>
      </c>
      <c r="F1417" s="1" t="s">
        <v>8957</v>
      </c>
      <c r="G1417" t="s">
        <v>9061</v>
      </c>
      <c r="H1417" s="1" t="s">
        <v>9035</v>
      </c>
      <c r="I1417" s="1" t="s">
        <v>9308</v>
      </c>
      <c r="J1417" s="2" t="s">
        <v>9112</v>
      </c>
      <c r="K1417" s="1" t="s">
        <v>21782</v>
      </c>
      <c r="L1417" s="1" t="s">
        <v>8987</v>
      </c>
      <c r="M1417" s="1">
        <v>57813</v>
      </c>
      <c r="N1417" s="1" t="s">
        <v>9059</v>
      </c>
      <c r="O1417" s="1" t="s">
        <v>8954</v>
      </c>
      <c r="P1417" s="1" t="s">
        <v>8955</v>
      </c>
      <c r="Q1417" s="1" t="s">
        <v>8956</v>
      </c>
      <c r="R1417" s="1" t="s">
        <v>8958</v>
      </c>
      <c r="S1417" s="1" t="s">
        <v>4795</v>
      </c>
      <c r="T1417" s="1" t="s">
        <v>17</v>
      </c>
      <c r="U1417" s="1" t="s">
        <v>1918</v>
      </c>
    </row>
    <row r="1418" spans="1:21" x14ac:dyDescent="0.2">
      <c r="A1418" s="88" t="s">
        <v>17057</v>
      </c>
      <c r="B1418" s="88" t="e">
        <f>VLOOKUP(C1418,#REF!,1,0)</f>
        <v>#REF!</v>
      </c>
      <c r="C1418" s="1" t="s">
        <v>4796</v>
      </c>
      <c r="D1418" s="1" t="s">
        <v>4797</v>
      </c>
      <c r="E1418" s="1" t="s">
        <v>18502</v>
      </c>
      <c r="F1418" s="1" t="s">
        <v>8957</v>
      </c>
      <c r="G1418" t="s">
        <v>9061</v>
      </c>
      <c r="H1418" s="1" t="s">
        <v>9035</v>
      </c>
      <c r="I1418" s="1" t="s">
        <v>8998</v>
      </c>
      <c r="J1418" s="2" t="s">
        <v>18489</v>
      </c>
      <c r="K1418" s="1" t="s">
        <v>18489</v>
      </c>
      <c r="L1418" s="1" t="s">
        <v>8951</v>
      </c>
      <c r="M1418" s="1">
        <v>52964</v>
      </c>
      <c r="N1418" s="1" t="s">
        <v>8953</v>
      </c>
      <c r="O1418" s="1" t="s">
        <v>8954</v>
      </c>
      <c r="P1418" s="1" t="s">
        <v>8955</v>
      </c>
      <c r="Q1418" s="1" t="s">
        <v>8956</v>
      </c>
      <c r="R1418" s="1" t="s">
        <v>8958</v>
      </c>
      <c r="S1418" s="1" t="s">
        <v>19558</v>
      </c>
      <c r="T1418" s="1" t="s">
        <v>7</v>
      </c>
      <c r="U1418" s="1" t="s">
        <v>4798</v>
      </c>
    </row>
    <row r="1419" spans="1:21" x14ac:dyDescent="0.2">
      <c r="A1419" s="88" t="s">
        <v>17058</v>
      </c>
      <c r="B1419" s="88" t="e">
        <f>VLOOKUP(C1419,#REF!,1,0)</f>
        <v>#REF!</v>
      </c>
      <c r="C1419" s="1" t="s">
        <v>4799</v>
      </c>
      <c r="D1419" s="1" t="s">
        <v>4800</v>
      </c>
      <c r="E1419" s="1" t="s">
        <v>9310</v>
      </c>
      <c r="F1419" s="1" t="s">
        <v>8957</v>
      </c>
      <c r="G1419" t="s">
        <v>8959</v>
      </c>
      <c r="H1419" s="1" t="s">
        <v>8948</v>
      </c>
      <c r="I1419" s="1" t="s">
        <v>12453</v>
      </c>
      <c r="J1419" s="2" t="s">
        <v>14305</v>
      </c>
      <c r="K1419" s="1" t="s">
        <v>14305</v>
      </c>
      <c r="L1419" s="1" t="s">
        <v>8987</v>
      </c>
      <c r="M1419" s="1">
        <v>280</v>
      </c>
      <c r="N1419" s="1" t="s">
        <v>8953</v>
      </c>
      <c r="O1419" s="1" t="s">
        <v>8989</v>
      </c>
      <c r="P1419" s="1" t="s">
        <v>8955</v>
      </c>
      <c r="Q1419" s="1" t="s">
        <v>8956</v>
      </c>
      <c r="R1419" s="1" t="s">
        <v>8958</v>
      </c>
      <c r="S1419" s="1" t="s">
        <v>4801</v>
      </c>
      <c r="T1419" s="1" t="s">
        <v>4</v>
      </c>
      <c r="U1419" s="1" t="s">
        <v>4802</v>
      </c>
    </row>
    <row r="1420" spans="1:21" x14ac:dyDescent="0.2">
      <c r="A1420" s="88" t="s">
        <v>20880</v>
      </c>
      <c r="B1420" s="88" t="e">
        <f>VLOOKUP(C1420,#REF!,1,0)</f>
        <v>#REF!</v>
      </c>
      <c r="C1420" s="1" t="s">
        <v>4803</v>
      </c>
      <c r="D1420" s="1" t="s">
        <v>4804</v>
      </c>
      <c r="E1420" s="1" t="s">
        <v>9310</v>
      </c>
      <c r="F1420" s="1" t="s">
        <v>8957</v>
      </c>
      <c r="G1420" t="s">
        <v>8959</v>
      </c>
      <c r="H1420" s="1" t="s">
        <v>9605</v>
      </c>
      <c r="I1420" s="1" t="s">
        <v>8959</v>
      </c>
      <c r="J1420" s="2" t="s">
        <v>10629</v>
      </c>
      <c r="K1420" s="1" t="s">
        <v>10629</v>
      </c>
      <c r="L1420" s="1" t="s">
        <v>9076</v>
      </c>
      <c r="M1420" s="1">
        <v>16740</v>
      </c>
      <c r="N1420" s="1" t="s">
        <v>8953</v>
      </c>
      <c r="O1420" s="1" t="s">
        <v>8989</v>
      </c>
      <c r="P1420" s="1" t="s">
        <v>8955</v>
      </c>
      <c r="Q1420" s="1" t="s">
        <v>8956</v>
      </c>
      <c r="R1420" s="1" t="s">
        <v>8958</v>
      </c>
      <c r="S1420" s="1" t="s">
        <v>19559</v>
      </c>
      <c r="T1420" s="1" t="s">
        <v>7</v>
      </c>
      <c r="U1420" s="1" t="s">
        <v>1833</v>
      </c>
    </row>
    <row r="1421" spans="1:21" x14ac:dyDescent="0.2">
      <c r="A1421" s="88" t="s">
        <v>17059</v>
      </c>
      <c r="B1421" s="88" t="e">
        <f>VLOOKUP(C1421,#REF!,1,0)</f>
        <v>#REF!</v>
      </c>
      <c r="C1421" s="1" t="s">
        <v>4805</v>
      </c>
      <c r="D1421" s="1" t="s">
        <v>4806</v>
      </c>
      <c r="E1421" s="1" t="s">
        <v>18502</v>
      </c>
      <c r="F1421" s="1" t="s">
        <v>8957</v>
      </c>
      <c r="G1421" t="s">
        <v>9061</v>
      </c>
      <c r="H1421" s="1" t="s">
        <v>9035</v>
      </c>
      <c r="I1421" s="1" t="s">
        <v>9725</v>
      </c>
      <c r="J1421" s="2" t="s">
        <v>21447</v>
      </c>
      <c r="K1421" s="1" t="s">
        <v>21447</v>
      </c>
      <c r="L1421" s="1" t="s">
        <v>9464</v>
      </c>
      <c r="M1421" s="1">
        <v>10</v>
      </c>
      <c r="N1421" s="1" t="s">
        <v>9059</v>
      </c>
      <c r="O1421" s="1" t="s">
        <v>8989</v>
      </c>
      <c r="P1421" s="1" t="s">
        <v>8955</v>
      </c>
      <c r="Q1421" s="1" t="s">
        <v>8956</v>
      </c>
      <c r="R1421" s="1" t="s">
        <v>8958</v>
      </c>
      <c r="S1421" s="1" t="s">
        <v>19560</v>
      </c>
      <c r="T1421" s="1" t="s">
        <v>17</v>
      </c>
      <c r="U1421" s="1" t="s">
        <v>378</v>
      </c>
    </row>
    <row r="1422" spans="1:21" x14ac:dyDescent="0.2">
      <c r="A1422" s="88" t="s">
        <v>17060</v>
      </c>
      <c r="B1422" s="88" t="e">
        <f>VLOOKUP(C1422,#REF!,1,0)</f>
        <v>#REF!</v>
      </c>
      <c r="C1422" s="1" t="s">
        <v>4807</v>
      </c>
      <c r="D1422" s="1" t="s">
        <v>4808</v>
      </c>
      <c r="E1422" s="1" t="s">
        <v>9317</v>
      </c>
      <c r="F1422" s="1" t="s">
        <v>8957</v>
      </c>
      <c r="G1422" t="s">
        <v>8959</v>
      </c>
      <c r="H1422" s="1" t="s">
        <v>9605</v>
      </c>
      <c r="I1422" s="1" t="s">
        <v>9308</v>
      </c>
      <c r="J1422" s="2" t="s">
        <v>10258</v>
      </c>
      <c r="K1422" s="1" t="s">
        <v>10258</v>
      </c>
      <c r="L1422" s="1" t="s">
        <v>21600</v>
      </c>
      <c r="M1422" s="1">
        <v>3</v>
      </c>
      <c r="N1422" s="1" t="s">
        <v>9059</v>
      </c>
      <c r="O1422" s="1" t="s">
        <v>8989</v>
      </c>
      <c r="P1422" s="1" t="s">
        <v>8955</v>
      </c>
      <c r="Q1422" s="1" t="s">
        <v>8956</v>
      </c>
      <c r="R1422" s="1" t="s">
        <v>8975</v>
      </c>
      <c r="S1422" s="1" t="s">
        <v>4809</v>
      </c>
      <c r="T1422" s="1" t="s">
        <v>17</v>
      </c>
      <c r="U1422" s="1" t="s">
        <v>93</v>
      </c>
    </row>
    <row r="1423" spans="1:21" x14ac:dyDescent="0.2">
      <c r="A1423" s="88" t="s">
        <v>17061</v>
      </c>
      <c r="B1423" s="88" t="e">
        <f>VLOOKUP(C1423,#REF!,1,0)</f>
        <v>#REF!</v>
      </c>
      <c r="C1423" s="1" t="s">
        <v>4810</v>
      </c>
      <c r="D1423" s="1" t="s">
        <v>4811</v>
      </c>
      <c r="E1423" s="1" t="s">
        <v>18502</v>
      </c>
      <c r="F1423" s="1" t="s">
        <v>8959</v>
      </c>
      <c r="G1423" t="s">
        <v>8959</v>
      </c>
      <c r="H1423" s="1" t="s">
        <v>20712</v>
      </c>
      <c r="I1423" s="1" t="s">
        <v>9155</v>
      </c>
      <c r="J1423" s="2" t="s">
        <v>21371</v>
      </c>
      <c r="K1423" s="1" t="s">
        <v>21371</v>
      </c>
      <c r="L1423" s="1" t="s">
        <v>21600</v>
      </c>
      <c r="M1423" s="1">
        <v>961</v>
      </c>
      <c r="N1423" s="1" t="s">
        <v>8953</v>
      </c>
      <c r="O1423" s="1" t="s">
        <v>8954</v>
      </c>
      <c r="P1423" s="1" t="s">
        <v>8955</v>
      </c>
      <c r="Q1423" s="1" t="s">
        <v>8956</v>
      </c>
      <c r="R1423" s="1" t="s">
        <v>8975</v>
      </c>
      <c r="S1423" s="1" t="s">
        <v>19561</v>
      </c>
      <c r="T1423" s="1" t="s">
        <v>7</v>
      </c>
      <c r="U1423" s="1" t="s">
        <v>61</v>
      </c>
    </row>
    <row r="1424" spans="1:21" x14ac:dyDescent="0.2">
      <c r="A1424" s="88" t="s">
        <v>17062</v>
      </c>
      <c r="B1424" s="88" t="e">
        <f>VLOOKUP(C1424,#REF!,1,0)</f>
        <v>#REF!</v>
      </c>
      <c r="C1424" s="1" t="s">
        <v>4812</v>
      </c>
      <c r="D1424" s="1" t="s">
        <v>4813</v>
      </c>
      <c r="E1424" s="1" t="s">
        <v>10850</v>
      </c>
      <c r="F1424" s="1" t="s">
        <v>8959</v>
      </c>
      <c r="G1424" t="s">
        <v>9061</v>
      </c>
      <c r="H1424" s="1" t="s">
        <v>8948</v>
      </c>
      <c r="I1424" s="1" t="s">
        <v>8949</v>
      </c>
      <c r="J1424" s="2" t="s">
        <v>10492</v>
      </c>
      <c r="K1424" s="1" t="s">
        <v>10492</v>
      </c>
      <c r="L1424" s="1" t="s">
        <v>21600</v>
      </c>
      <c r="M1424" s="1">
        <v>239</v>
      </c>
      <c r="N1424" s="1" t="s">
        <v>8953</v>
      </c>
      <c r="O1424" s="1" t="s">
        <v>8954</v>
      </c>
      <c r="P1424" s="1" t="s">
        <v>8955</v>
      </c>
      <c r="Q1424" s="1" t="s">
        <v>8956</v>
      </c>
      <c r="R1424" s="1" t="s">
        <v>9103</v>
      </c>
      <c r="S1424" s="1" t="s">
        <v>19562</v>
      </c>
      <c r="T1424" s="1" t="s">
        <v>7</v>
      </c>
      <c r="U1424" s="1" t="s">
        <v>46</v>
      </c>
    </row>
    <row r="1425" spans="1:21" x14ac:dyDescent="0.2">
      <c r="A1425" s="88" t="s">
        <v>17063</v>
      </c>
      <c r="B1425" s="88" t="e">
        <f>VLOOKUP(C1425,#REF!,1,0)</f>
        <v>#REF!</v>
      </c>
      <c r="C1425" s="1" t="s">
        <v>4819</v>
      </c>
      <c r="D1425" s="1" t="s">
        <v>4820</v>
      </c>
      <c r="E1425" s="1" t="s">
        <v>9246</v>
      </c>
      <c r="F1425" s="1" t="s">
        <v>8957</v>
      </c>
      <c r="G1425" t="s">
        <v>8959</v>
      </c>
      <c r="H1425" s="1" t="s">
        <v>9075</v>
      </c>
      <c r="I1425" s="1" t="s">
        <v>9269</v>
      </c>
      <c r="J1425" s="2" t="s">
        <v>9112</v>
      </c>
      <c r="K1425" s="1" t="s">
        <v>21782</v>
      </c>
      <c r="L1425" s="1" t="s">
        <v>8987</v>
      </c>
      <c r="M1425" s="1">
        <v>96</v>
      </c>
      <c r="N1425" s="1" t="s">
        <v>8953</v>
      </c>
      <c r="O1425" s="1" t="s">
        <v>8989</v>
      </c>
      <c r="P1425" s="1" t="s">
        <v>8955</v>
      </c>
      <c r="Q1425" s="1" t="s">
        <v>8956</v>
      </c>
      <c r="R1425" s="1" t="s">
        <v>8975</v>
      </c>
      <c r="S1425" s="1" t="s">
        <v>4821</v>
      </c>
      <c r="T1425" s="1" t="s">
        <v>17</v>
      </c>
      <c r="U1425" s="1" t="s">
        <v>4822</v>
      </c>
    </row>
    <row r="1426" spans="1:21" x14ac:dyDescent="0.2">
      <c r="A1426" s="88" t="s">
        <v>17064</v>
      </c>
      <c r="B1426" s="88" t="e">
        <f>VLOOKUP(C1426,#REF!,1,0)</f>
        <v>#REF!</v>
      </c>
      <c r="C1426" s="1" t="s">
        <v>4823</v>
      </c>
      <c r="D1426" s="1" t="s">
        <v>4824</v>
      </c>
      <c r="E1426" s="1" t="s">
        <v>9246</v>
      </c>
      <c r="F1426" s="1" t="s">
        <v>8957</v>
      </c>
      <c r="G1426" t="s">
        <v>8959</v>
      </c>
      <c r="H1426" s="1" t="s">
        <v>9075</v>
      </c>
      <c r="I1426" s="1" t="s">
        <v>9131</v>
      </c>
      <c r="J1426" s="2" t="s">
        <v>21281</v>
      </c>
      <c r="K1426" s="1" t="s">
        <v>21281</v>
      </c>
      <c r="L1426" s="1" t="s">
        <v>8987</v>
      </c>
      <c r="M1426" s="1">
        <v>66500</v>
      </c>
      <c r="N1426" s="1" t="s">
        <v>8953</v>
      </c>
      <c r="O1426" s="1" t="s">
        <v>8989</v>
      </c>
      <c r="P1426" s="1" t="s">
        <v>8955</v>
      </c>
      <c r="Q1426" s="1" t="s">
        <v>8956</v>
      </c>
      <c r="R1426" s="1" t="s">
        <v>8958</v>
      </c>
      <c r="S1426" s="1" t="s">
        <v>19563</v>
      </c>
      <c r="T1426" s="1" t="s">
        <v>17</v>
      </c>
      <c r="U1426" s="1" t="s">
        <v>4825</v>
      </c>
    </row>
    <row r="1427" spans="1:21" x14ac:dyDescent="0.2">
      <c r="A1427" s="88" t="s">
        <v>17065</v>
      </c>
      <c r="B1427" s="88" t="e">
        <f>VLOOKUP(C1427,#REF!,1,0)</f>
        <v>#REF!</v>
      </c>
      <c r="C1427" s="1" t="s">
        <v>4826</v>
      </c>
      <c r="D1427" s="1" t="s">
        <v>4827</v>
      </c>
      <c r="E1427" s="1" t="s">
        <v>10873</v>
      </c>
      <c r="F1427" s="1" t="s">
        <v>8957</v>
      </c>
      <c r="G1427" t="s">
        <v>8959</v>
      </c>
      <c r="H1427" s="1" t="s">
        <v>8948</v>
      </c>
      <c r="I1427" s="1" t="s">
        <v>8949</v>
      </c>
      <c r="J1427" s="2" t="s">
        <v>8972</v>
      </c>
      <c r="K1427" s="1" t="s">
        <v>21768</v>
      </c>
      <c r="L1427" s="1" t="s">
        <v>21600</v>
      </c>
      <c r="M1427" s="1">
        <v>476</v>
      </c>
      <c r="N1427" s="1" t="s">
        <v>8953</v>
      </c>
      <c r="O1427" s="1" t="s">
        <v>8954</v>
      </c>
      <c r="P1427" s="1" t="s">
        <v>8955</v>
      </c>
      <c r="Q1427" s="1" t="s">
        <v>8956</v>
      </c>
      <c r="R1427" s="1" t="s">
        <v>8958</v>
      </c>
      <c r="S1427" s="1" t="s">
        <v>4828</v>
      </c>
      <c r="T1427" s="1" t="s">
        <v>17</v>
      </c>
      <c r="U1427" s="1" t="s">
        <v>8</v>
      </c>
    </row>
    <row r="1428" spans="1:21" x14ac:dyDescent="0.2">
      <c r="A1428" s="88" t="s">
        <v>17066</v>
      </c>
      <c r="B1428" s="88" t="e">
        <f>VLOOKUP(C1428,#REF!,1,0)</f>
        <v>#REF!</v>
      </c>
      <c r="C1428" s="1" t="s">
        <v>4829</v>
      </c>
      <c r="D1428" s="1" t="s">
        <v>4830</v>
      </c>
      <c r="E1428" s="1" t="s">
        <v>9010</v>
      </c>
      <c r="F1428" s="1" t="s">
        <v>8957</v>
      </c>
      <c r="G1428" t="s">
        <v>9061</v>
      </c>
      <c r="H1428" s="1" t="s">
        <v>9100</v>
      </c>
      <c r="I1428" s="1" t="s">
        <v>8971</v>
      </c>
      <c r="J1428" s="2" t="s">
        <v>18498</v>
      </c>
      <c r="K1428" s="1" t="s">
        <v>18498</v>
      </c>
      <c r="L1428" s="1" t="s">
        <v>8951</v>
      </c>
      <c r="M1428" s="1">
        <v>25000</v>
      </c>
      <c r="N1428" s="1" t="s">
        <v>8953</v>
      </c>
      <c r="O1428" s="1" t="s">
        <v>8954</v>
      </c>
      <c r="P1428" s="1" t="s">
        <v>8955</v>
      </c>
      <c r="Q1428" s="1" t="s">
        <v>8956</v>
      </c>
      <c r="R1428" s="1" t="s">
        <v>9103</v>
      </c>
      <c r="S1428" s="1" t="s">
        <v>4831</v>
      </c>
      <c r="T1428" s="1" t="s">
        <v>11</v>
      </c>
      <c r="U1428" s="1" t="s">
        <v>61</v>
      </c>
    </row>
    <row r="1429" spans="1:21" x14ac:dyDescent="0.2">
      <c r="A1429" s="88" t="s">
        <v>17067</v>
      </c>
      <c r="B1429" s="88" t="e">
        <f>VLOOKUP(C1429,#REF!,1,0)</f>
        <v>#REF!</v>
      </c>
      <c r="C1429" s="1" t="s">
        <v>4832</v>
      </c>
      <c r="D1429" s="1" t="s">
        <v>4833</v>
      </c>
      <c r="E1429" s="1" t="s">
        <v>9010</v>
      </c>
      <c r="F1429" s="1" t="s">
        <v>8959</v>
      </c>
      <c r="G1429" t="s">
        <v>9009</v>
      </c>
      <c r="H1429" s="1" t="s">
        <v>8984</v>
      </c>
      <c r="I1429" s="1" t="s">
        <v>8971</v>
      </c>
      <c r="J1429" s="2" t="s">
        <v>9041</v>
      </c>
      <c r="K1429" s="1" t="s">
        <v>9041</v>
      </c>
      <c r="L1429" s="1" t="s">
        <v>9076</v>
      </c>
      <c r="M1429" s="1">
        <v>20000</v>
      </c>
      <c r="N1429" s="1" t="s">
        <v>8953</v>
      </c>
      <c r="O1429" s="1" t="s">
        <v>8954</v>
      </c>
      <c r="P1429" s="1" t="s">
        <v>8955</v>
      </c>
      <c r="Q1429" s="1" t="s">
        <v>8956</v>
      </c>
      <c r="R1429" s="1" t="s">
        <v>9103</v>
      </c>
      <c r="S1429" s="1" t="s">
        <v>4831</v>
      </c>
      <c r="T1429" s="1" t="s">
        <v>17</v>
      </c>
      <c r="U1429" s="1" t="s">
        <v>378</v>
      </c>
    </row>
    <row r="1430" spans="1:21" x14ac:dyDescent="0.2">
      <c r="A1430" s="88" t="s">
        <v>17068</v>
      </c>
      <c r="B1430" s="88" t="e">
        <f>VLOOKUP(C1430,#REF!,1,0)</f>
        <v>#REF!</v>
      </c>
      <c r="C1430" s="1" t="s">
        <v>4834</v>
      </c>
      <c r="D1430" s="1" t="s">
        <v>4835</v>
      </c>
      <c r="E1430" s="1" t="s">
        <v>9317</v>
      </c>
      <c r="F1430" s="1" t="s">
        <v>8957</v>
      </c>
      <c r="G1430" t="s">
        <v>9183</v>
      </c>
      <c r="H1430" s="1" t="s">
        <v>9035</v>
      </c>
      <c r="I1430" s="1" t="s">
        <v>9121</v>
      </c>
      <c r="J1430" s="2" t="s">
        <v>9036</v>
      </c>
      <c r="K1430" s="1" t="s">
        <v>9036</v>
      </c>
      <c r="L1430" s="1" t="s">
        <v>8987</v>
      </c>
      <c r="M1430" s="1">
        <v>6691</v>
      </c>
      <c r="N1430" s="1" t="s">
        <v>8953</v>
      </c>
      <c r="O1430" s="1" t="s">
        <v>8989</v>
      </c>
      <c r="P1430" s="1" t="s">
        <v>8955</v>
      </c>
      <c r="Q1430" s="1" t="s">
        <v>8956</v>
      </c>
      <c r="R1430" s="1" t="s">
        <v>9103</v>
      </c>
      <c r="S1430" s="1" t="s">
        <v>4836</v>
      </c>
      <c r="T1430" s="1" t="s">
        <v>11</v>
      </c>
      <c r="U1430" s="1" t="s">
        <v>64</v>
      </c>
    </row>
    <row r="1431" spans="1:21" x14ac:dyDescent="0.2">
      <c r="A1431" s="88" t="s">
        <v>17069</v>
      </c>
      <c r="B1431" s="88" t="e">
        <f>VLOOKUP(C1431,#REF!,1,0)</f>
        <v>#REF!</v>
      </c>
      <c r="C1431" s="1" t="s">
        <v>4837</v>
      </c>
      <c r="D1431" s="1" t="s">
        <v>4838</v>
      </c>
      <c r="E1431" s="1" t="s">
        <v>18502</v>
      </c>
      <c r="F1431" s="1" t="s">
        <v>8957</v>
      </c>
      <c r="G1431" t="s">
        <v>9009</v>
      </c>
      <c r="H1431" s="1" t="s">
        <v>9100</v>
      </c>
      <c r="I1431" s="1" t="s">
        <v>8949</v>
      </c>
      <c r="J1431" s="2" t="s">
        <v>20830</v>
      </c>
      <c r="K1431" s="1" t="s">
        <v>9041</v>
      </c>
      <c r="L1431" s="1" t="s">
        <v>8987</v>
      </c>
      <c r="M1431" s="1">
        <v>92</v>
      </c>
      <c r="N1431" s="1" t="s">
        <v>9059</v>
      </c>
      <c r="O1431" s="1" t="s">
        <v>8989</v>
      </c>
      <c r="P1431" s="1" t="s">
        <v>8955</v>
      </c>
      <c r="Q1431" s="1" t="s">
        <v>8956</v>
      </c>
      <c r="R1431" s="1" t="s">
        <v>8975</v>
      </c>
      <c r="S1431" s="1" t="s">
        <v>19564</v>
      </c>
      <c r="T1431" s="1" t="s">
        <v>17</v>
      </c>
      <c r="U1431" s="1" t="s">
        <v>4839</v>
      </c>
    </row>
    <row r="1432" spans="1:21" x14ac:dyDescent="0.2">
      <c r="A1432" s="88" t="s">
        <v>17070</v>
      </c>
      <c r="B1432" s="88" t="e">
        <f>VLOOKUP(C1432,#REF!,1,0)</f>
        <v>#REF!</v>
      </c>
      <c r="C1432" s="1" t="s">
        <v>4840</v>
      </c>
      <c r="D1432" s="1" t="s">
        <v>4841</v>
      </c>
      <c r="E1432" s="1" t="s">
        <v>18502</v>
      </c>
      <c r="F1432" s="1" t="s">
        <v>8957</v>
      </c>
      <c r="G1432" t="s">
        <v>8959</v>
      </c>
      <c r="H1432" s="1" t="s">
        <v>9605</v>
      </c>
      <c r="I1432" s="1" t="s">
        <v>9101</v>
      </c>
      <c r="J1432" s="2" t="s">
        <v>10492</v>
      </c>
      <c r="K1432" s="1" t="s">
        <v>10492</v>
      </c>
      <c r="L1432" s="1" t="s">
        <v>21600</v>
      </c>
      <c r="M1432" s="1">
        <v>1000</v>
      </c>
      <c r="N1432" s="1" t="s">
        <v>8953</v>
      </c>
      <c r="O1432" s="1" t="s">
        <v>8989</v>
      </c>
      <c r="P1432" s="1" t="s">
        <v>8955</v>
      </c>
      <c r="Q1432" s="1" t="s">
        <v>8956</v>
      </c>
      <c r="R1432" s="1" t="s">
        <v>9103</v>
      </c>
      <c r="S1432" s="1" t="s">
        <v>19565</v>
      </c>
      <c r="T1432" s="1" t="s">
        <v>7</v>
      </c>
      <c r="U1432" s="1" t="s">
        <v>808</v>
      </c>
    </row>
    <row r="1433" spans="1:21" x14ac:dyDescent="0.2">
      <c r="A1433" s="88" t="s">
        <v>17072</v>
      </c>
      <c r="B1433" s="88" t="e">
        <f>VLOOKUP(C1433,#REF!,1,0)</f>
        <v>#REF!</v>
      </c>
      <c r="C1433" s="1" t="s">
        <v>4847</v>
      </c>
      <c r="D1433" s="1" t="s">
        <v>4848</v>
      </c>
      <c r="E1433" s="1" t="s">
        <v>9310</v>
      </c>
      <c r="F1433" s="1" t="s">
        <v>8957</v>
      </c>
      <c r="G1433" t="s">
        <v>8959</v>
      </c>
      <c r="H1433" s="1" t="s">
        <v>9154</v>
      </c>
      <c r="I1433" s="1" t="s">
        <v>8949</v>
      </c>
      <c r="J1433" s="2" t="s">
        <v>10492</v>
      </c>
      <c r="K1433" s="1" t="s">
        <v>10492</v>
      </c>
      <c r="L1433" s="1" t="s">
        <v>21600</v>
      </c>
      <c r="M1433" s="1">
        <v>1700</v>
      </c>
      <c r="N1433" s="1" t="s">
        <v>8953</v>
      </c>
      <c r="O1433" s="1" t="s">
        <v>8989</v>
      </c>
      <c r="P1433" s="1" t="s">
        <v>8955</v>
      </c>
      <c r="Q1433" s="1" t="s">
        <v>8956</v>
      </c>
      <c r="R1433" s="1" t="s">
        <v>9103</v>
      </c>
      <c r="S1433" s="1" t="s">
        <v>19567</v>
      </c>
      <c r="T1433" s="1" t="s">
        <v>7</v>
      </c>
      <c r="U1433" s="1" t="s">
        <v>110</v>
      </c>
    </row>
    <row r="1434" spans="1:21" x14ac:dyDescent="0.2">
      <c r="A1434" s="88" t="s">
        <v>17073</v>
      </c>
      <c r="B1434" s="88" t="e">
        <f>VLOOKUP(C1434,#REF!,1,0)</f>
        <v>#REF!</v>
      </c>
      <c r="C1434" s="1" t="s">
        <v>4849</v>
      </c>
      <c r="D1434" s="1" t="s">
        <v>4850</v>
      </c>
      <c r="E1434" s="1" t="s">
        <v>9310</v>
      </c>
      <c r="F1434" s="1" t="s">
        <v>8957</v>
      </c>
      <c r="G1434" t="s">
        <v>8959</v>
      </c>
      <c r="H1434" s="1" t="s">
        <v>9154</v>
      </c>
      <c r="I1434" s="1" t="s">
        <v>8949</v>
      </c>
      <c r="J1434" s="2" t="s">
        <v>9599</v>
      </c>
      <c r="K1434" s="1" t="s">
        <v>9599</v>
      </c>
      <c r="L1434" s="1" t="s">
        <v>21600</v>
      </c>
      <c r="M1434" s="1">
        <v>453</v>
      </c>
      <c r="N1434" s="1" t="s">
        <v>9059</v>
      </c>
      <c r="O1434" s="1" t="s">
        <v>8954</v>
      </c>
      <c r="P1434" s="1" t="s">
        <v>8955</v>
      </c>
      <c r="Q1434" s="1" t="s">
        <v>8956</v>
      </c>
      <c r="R1434" s="1" t="s">
        <v>8975</v>
      </c>
      <c r="S1434" s="1" t="s">
        <v>4851</v>
      </c>
      <c r="T1434" s="1" t="s">
        <v>7</v>
      </c>
      <c r="U1434" s="1" t="s">
        <v>126</v>
      </c>
    </row>
    <row r="1435" spans="1:21" x14ac:dyDescent="0.2">
      <c r="A1435" s="88" t="s">
        <v>17074</v>
      </c>
      <c r="B1435" s="88" t="e">
        <f>VLOOKUP(C1435,#REF!,1,0)</f>
        <v>#REF!</v>
      </c>
      <c r="C1435" s="1" t="s">
        <v>4852</v>
      </c>
      <c r="D1435" s="1" t="s">
        <v>4853</v>
      </c>
      <c r="E1435" s="1" t="s">
        <v>9310</v>
      </c>
      <c r="F1435" s="1" t="s">
        <v>8957</v>
      </c>
      <c r="G1435" t="s">
        <v>9009</v>
      </c>
      <c r="H1435" s="1" t="s">
        <v>8984</v>
      </c>
      <c r="I1435" s="1" t="s">
        <v>9131</v>
      </c>
      <c r="J1435" s="2" t="s">
        <v>9132</v>
      </c>
      <c r="K1435" s="1" t="s">
        <v>9132</v>
      </c>
      <c r="L1435" s="1" t="s">
        <v>9133</v>
      </c>
      <c r="M1435" s="1">
        <v>1036496</v>
      </c>
      <c r="N1435" s="1" t="s">
        <v>8953</v>
      </c>
      <c r="O1435" s="1" t="s">
        <v>8954</v>
      </c>
      <c r="P1435" s="1" t="s">
        <v>8955</v>
      </c>
      <c r="Q1435" s="1" t="s">
        <v>8956</v>
      </c>
      <c r="R1435" s="1" t="s">
        <v>8975</v>
      </c>
      <c r="S1435" s="1" t="s">
        <v>4854</v>
      </c>
      <c r="T1435" s="1" t="s">
        <v>17</v>
      </c>
      <c r="U1435" s="1" t="s">
        <v>956</v>
      </c>
    </row>
    <row r="1436" spans="1:21" x14ac:dyDescent="0.2">
      <c r="A1436" s="88" t="s">
        <v>17075</v>
      </c>
      <c r="B1436" s="88" t="e">
        <f>VLOOKUP(C1436,#REF!,1,0)</f>
        <v>#REF!</v>
      </c>
      <c r="C1436" s="1" t="s">
        <v>4855</v>
      </c>
      <c r="D1436" s="1" t="s">
        <v>4856</v>
      </c>
      <c r="E1436" s="1" t="s">
        <v>9310</v>
      </c>
      <c r="F1436" s="1" t="s">
        <v>8957</v>
      </c>
      <c r="G1436" t="s">
        <v>9061</v>
      </c>
      <c r="H1436" s="1" t="s">
        <v>8984</v>
      </c>
      <c r="I1436" s="1" t="s">
        <v>8998</v>
      </c>
      <c r="J1436" s="2" t="s">
        <v>20809</v>
      </c>
      <c r="K1436" s="1" t="s">
        <v>21698</v>
      </c>
      <c r="L1436" s="1" t="s">
        <v>21600</v>
      </c>
      <c r="M1436" s="1">
        <v>120</v>
      </c>
      <c r="N1436" s="1" t="s">
        <v>9059</v>
      </c>
      <c r="O1436" s="1" t="s">
        <v>8989</v>
      </c>
      <c r="P1436" s="1" t="s">
        <v>8955</v>
      </c>
      <c r="Q1436" s="1" t="s">
        <v>8956</v>
      </c>
      <c r="R1436" s="1" t="s">
        <v>8975</v>
      </c>
      <c r="S1436" s="1" t="s">
        <v>19568</v>
      </c>
      <c r="T1436" s="1" t="s">
        <v>7</v>
      </c>
      <c r="U1436" s="1" t="s">
        <v>184</v>
      </c>
    </row>
    <row r="1437" spans="1:21" ht="42.75" x14ac:dyDescent="0.2">
      <c r="A1437" s="88" t="s">
        <v>17076</v>
      </c>
      <c r="B1437" s="88" t="e">
        <f>VLOOKUP(C1437,#REF!,1,0)</f>
        <v>#REF!</v>
      </c>
      <c r="C1437" s="1" t="s">
        <v>4857</v>
      </c>
      <c r="D1437" s="1" t="s">
        <v>4858</v>
      </c>
      <c r="E1437" s="1" t="s">
        <v>9310</v>
      </c>
      <c r="F1437" s="1" t="s">
        <v>8957</v>
      </c>
      <c r="G1437" t="s">
        <v>8959</v>
      </c>
      <c r="H1437" s="1" t="s">
        <v>9605</v>
      </c>
      <c r="I1437" s="1" t="s">
        <v>9101</v>
      </c>
      <c r="J1437" s="132" t="s">
        <v>21448</v>
      </c>
      <c r="K1437" s="1" t="s">
        <v>21448</v>
      </c>
      <c r="L1437" s="1" t="s">
        <v>8987</v>
      </c>
      <c r="M1437" s="1">
        <v>500</v>
      </c>
      <c r="N1437" s="1" t="s">
        <v>8953</v>
      </c>
      <c r="O1437" s="1" t="s">
        <v>8989</v>
      </c>
      <c r="P1437" s="1" t="s">
        <v>8955</v>
      </c>
      <c r="Q1437" s="1" t="s">
        <v>8956</v>
      </c>
      <c r="R1437" s="1" t="s">
        <v>8958</v>
      </c>
      <c r="S1437" s="1" t="s">
        <v>19569</v>
      </c>
      <c r="T1437" s="1" t="s">
        <v>17</v>
      </c>
      <c r="U1437" s="1" t="s">
        <v>46</v>
      </c>
    </row>
    <row r="1438" spans="1:21" x14ac:dyDescent="0.2">
      <c r="A1438" s="88" t="s">
        <v>17077</v>
      </c>
      <c r="B1438" s="88" t="e">
        <f>VLOOKUP(C1438,#REF!,1,0)</f>
        <v>#REF!</v>
      </c>
      <c r="C1438" s="1" t="s">
        <v>4859</v>
      </c>
      <c r="D1438" s="1" t="s">
        <v>4860</v>
      </c>
      <c r="E1438" s="1" t="s">
        <v>9310</v>
      </c>
      <c r="F1438" s="1" t="s">
        <v>8957</v>
      </c>
      <c r="G1438" t="s">
        <v>8959</v>
      </c>
      <c r="H1438" s="1" t="s">
        <v>9252</v>
      </c>
      <c r="I1438" s="1" t="s">
        <v>8949</v>
      </c>
      <c r="J1438" s="2" t="s">
        <v>10178</v>
      </c>
      <c r="K1438" s="1" t="s">
        <v>21524</v>
      </c>
      <c r="L1438" s="1" t="s">
        <v>9157</v>
      </c>
      <c r="M1438" s="1">
        <v>172</v>
      </c>
      <c r="N1438" s="1" t="s">
        <v>9059</v>
      </c>
      <c r="O1438" s="1" t="s">
        <v>8989</v>
      </c>
      <c r="P1438" s="1" t="s">
        <v>8955</v>
      </c>
      <c r="Q1438" s="1" t="s">
        <v>8956</v>
      </c>
      <c r="R1438" s="1" t="s">
        <v>8958</v>
      </c>
      <c r="S1438" s="1" t="s">
        <v>4861</v>
      </c>
      <c r="T1438" s="1" t="s">
        <v>11</v>
      </c>
      <c r="U1438" s="1" t="s">
        <v>378</v>
      </c>
    </row>
    <row r="1439" spans="1:21" x14ac:dyDescent="0.2">
      <c r="A1439" s="88" t="s">
        <v>17078</v>
      </c>
      <c r="B1439" s="88" t="e">
        <f>VLOOKUP(C1439,#REF!,1,0)</f>
        <v>#REF!</v>
      </c>
      <c r="C1439" s="1" t="s">
        <v>4862</v>
      </c>
      <c r="D1439" s="1" t="s">
        <v>4863</v>
      </c>
      <c r="E1439" s="1" t="s">
        <v>9310</v>
      </c>
      <c r="F1439" s="1" t="s">
        <v>8957</v>
      </c>
      <c r="G1439" t="s">
        <v>8959</v>
      </c>
      <c r="H1439" s="1" t="s">
        <v>9035</v>
      </c>
      <c r="I1439" s="1" t="s">
        <v>9308</v>
      </c>
      <c r="J1439" s="2" t="s">
        <v>20881</v>
      </c>
      <c r="K1439" s="1" t="s">
        <v>20881</v>
      </c>
      <c r="L1439" s="1" t="s">
        <v>8987</v>
      </c>
      <c r="M1439" s="84">
        <v>303646</v>
      </c>
      <c r="N1439" s="1" t="s">
        <v>8953</v>
      </c>
      <c r="O1439" s="1" t="s">
        <v>8954</v>
      </c>
      <c r="P1439" s="1" t="s">
        <v>8955</v>
      </c>
      <c r="Q1439" s="1" t="s">
        <v>8956</v>
      </c>
      <c r="R1439" s="1" t="s">
        <v>8958</v>
      </c>
      <c r="S1439" s="1" t="s">
        <v>19570</v>
      </c>
      <c r="T1439" s="1" t="s">
        <v>7</v>
      </c>
      <c r="U1439" s="1" t="s">
        <v>61</v>
      </c>
    </row>
    <row r="1440" spans="1:21" x14ac:dyDescent="0.2">
      <c r="A1440" s="88" t="s">
        <v>17079</v>
      </c>
      <c r="B1440" s="88" t="e">
        <f>VLOOKUP(C1440,#REF!,1,0)</f>
        <v>#REF!</v>
      </c>
      <c r="C1440" s="1" t="s">
        <v>4868</v>
      </c>
      <c r="D1440" s="1" t="s">
        <v>4869</v>
      </c>
      <c r="E1440" s="1" t="s">
        <v>9310</v>
      </c>
      <c r="F1440" s="1" t="s">
        <v>8957</v>
      </c>
      <c r="G1440" t="s">
        <v>9061</v>
      </c>
      <c r="H1440" s="1" t="s">
        <v>9075</v>
      </c>
      <c r="I1440" s="1" t="s">
        <v>8949</v>
      </c>
      <c r="J1440" s="2" t="s">
        <v>18497</v>
      </c>
      <c r="K1440" s="1" t="s">
        <v>18497</v>
      </c>
      <c r="L1440" s="1" t="s">
        <v>8951</v>
      </c>
      <c r="M1440" s="1">
        <v>495</v>
      </c>
      <c r="N1440" s="1" t="s">
        <v>9059</v>
      </c>
      <c r="O1440" s="1" t="s">
        <v>8989</v>
      </c>
      <c r="P1440" s="1" t="s">
        <v>8955</v>
      </c>
      <c r="Q1440" s="1" t="s">
        <v>8956</v>
      </c>
      <c r="R1440" s="1" t="s">
        <v>8975</v>
      </c>
      <c r="S1440" s="1" t="s">
        <v>19572</v>
      </c>
      <c r="T1440" s="1" t="s">
        <v>7</v>
      </c>
      <c r="U1440" s="1" t="s">
        <v>4870</v>
      </c>
    </row>
    <row r="1441" spans="1:21" x14ac:dyDescent="0.2">
      <c r="A1441" s="88" t="s">
        <v>17080</v>
      </c>
      <c r="B1441" s="88" t="e">
        <f>VLOOKUP(C1441,#REF!,1,0)</f>
        <v>#REF!</v>
      </c>
      <c r="C1441" s="1" t="s">
        <v>4871</v>
      </c>
      <c r="D1441" s="1" t="s">
        <v>4872</v>
      </c>
      <c r="E1441" s="1" t="s">
        <v>9642</v>
      </c>
      <c r="F1441" s="1" t="s">
        <v>8957</v>
      </c>
      <c r="G1441" t="s">
        <v>8959</v>
      </c>
      <c r="H1441" s="1" t="s">
        <v>9605</v>
      </c>
      <c r="I1441" s="1" t="s">
        <v>9101</v>
      </c>
      <c r="J1441" s="2" t="s">
        <v>8972</v>
      </c>
      <c r="K1441" s="1" t="s">
        <v>8972</v>
      </c>
      <c r="L1441" s="1" t="s">
        <v>9076</v>
      </c>
      <c r="M1441" s="1">
        <v>825</v>
      </c>
      <c r="N1441" s="1" t="s">
        <v>8953</v>
      </c>
      <c r="O1441" s="1" t="s">
        <v>8954</v>
      </c>
      <c r="P1441" s="1" t="s">
        <v>8955</v>
      </c>
      <c r="Q1441" s="1" t="s">
        <v>8956</v>
      </c>
      <c r="R1441" s="1" t="s">
        <v>8958</v>
      </c>
      <c r="S1441" s="1" t="s">
        <v>4873</v>
      </c>
      <c r="T1441" s="1" t="s">
        <v>17</v>
      </c>
      <c r="U1441" s="1" t="s">
        <v>4874</v>
      </c>
    </row>
    <row r="1442" spans="1:21" x14ac:dyDescent="0.2">
      <c r="A1442" s="88" t="s">
        <v>17081</v>
      </c>
      <c r="B1442" s="88" t="e">
        <f>VLOOKUP(C1442,#REF!,1,0)</f>
        <v>#REF!</v>
      </c>
      <c r="C1442" s="1" t="s">
        <v>4875</v>
      </c>
      <c r="D1442" s="1" t="s">
        <v>4876</v>
      </c>
      <c r="E1442" s="1" t="s">
        <v>9246</v>
      </c>
      <c r="F1442" s="1" t="s">
        <v>8974</v>
      </c>
      <c r="G1442" t="s">
        <v>9061</v>
      </c>
      <c r="H1442" s="1" t="s">
        <v>8984</v>
      </c>
      <c r="I1442" s="1" t="s">
        <v>8998</v>
      </c>
      <c r="J1442" s="2" t="s">
        <v>9036</v>
      </c>
      <c r="K1442" s="1" t="s">
        <v>9036</v>
      </c>
      <c r="L1442" s="1" t="s">
        <v>9157</v>
      </c>
      <c r="M1442" s="1">
        <v>20</v>
      </c>
      <c r="N1442" s="1" t="s">
        <v>8953</v>
      </c>
      <c r="O1442" s="1" t="s">
        <v>8989</v>
      </c>
      <c r="P1442" s="1" t="s">
        <v>8955</v>
      </c>
      <c r="Q1442" s="1" t="s">
        <v>8956</v>
      </c>
      <c r="R1442" s="1" t="s">
        <v>8975</v>
      </c>
      <c r="S1442" s="1" t="s">
        <v>4877</v>
      </c>
      <c r="T1442" s="1" t="s">
        <v>11</v>
      </c>
      <c r="U1442" s="1" t="s">
        <v>1780</v>
      </c>
    </row>
    <row r="1443" spans="1:21" x14ac:dyDescent="0.2">
      <c r="A1443" s="88" t="s">
        <v>17082</v>
      </c>
      <c r="B1443" s="88" t="e">
        <f>VLOOKUP(C1443,#REF!,1,0)</f>
        <v>#REF!</v>
      </c>
      <c r="C1443" s="1" t="s">
        <v>4878</v>
      </c>
      <c r="D1443" s="1" t="s">
        <v>4879</v>
      </c>
      <c r="E1443" s="1" t="s">
        <v>9310</v>
      </c>
      <c r="F1443" s="1" t="s">
        <v>8957</v>
      </c>
      <c r="G1443" t="s">
        <v>8959</v>
      </c>
      <c r="H1443" s="1" t="s">
        <v>8984</v>
      </c>
      <c r="I1443" s="1" t="s">
        <v>8949</v>
      </c>
      <c r="J1443" s="2" t="s">
        <v>21563</v>
      </c>
      <c r="K1443" s="1" t="s">
        <v>21563</v>
      </c>
      <c r="L1443" s="1" t="s">
        <v>9076</v>
      </c>
      <c r="M1443" s="1">
        <v>451</v>
      </c>
      <c r="N1443" s="1" t="s">
        <v>8953</v>
      </c>
      <c r="O1443" s="1" t="s">
        <v>8989</v>
      </c>
      <c r="P1443" s="1" t="s">
        <v>8955</v>
      </c>
      <c r="Q1443" s="1" t="s">
        <v>8956</v>
      </c>
      <c r="R1443" s="1" t="s">
        <v>8958</v>
      </c>
      <c r="S1443" s="1" t="s">
        <v>4880</v>
      </c>
      <c r="T1443" s="1" t="s">
        <v>11</v>
      </c>
      <c r="U1443" s="1" t="s">
        <v>93</v>
      </c>
    </row>
    <row r="1444" spans="1:21" x14ac:dyDescent="0.2">
      <c r="A1444" s="88" t="s">
        <v>17083</v>
      </c>
      <c r="B1444" s="88" t="e">
        <f>VLOOKUP(C1444,#REF!,1,0)</f>
        <v>#REF!</v>
      </c>
      <c r="C1444" s="1" t="s">
        <v>4881</v>
      </c>
      <c r="D1444" s="1" t="s">
        <v>4882</v>
      </c>
      <c r="E1444" s="1" t="s">
        <v>9465</v>
      </c>
      <c r="F1444" s="1" t="s">
        <v>8957</v>
      </c>
      <c r="G1444" t="s">
        <v>8959</v>
      </c>
      <c r="H1444" s="1" t="s">
        <v>20712</v>
      </c>
      <c r="I1444" s="1" t="s">
        <v>9155</v>
      </c>
      <c r="J1444" s="2" t="s">
        <v>21372</v>
      </c>
      <c r="K1444" s="1" t="s">
        <v>21372</v>
      </c>
      <c r="L1444" s="1" t="s">
        <v>8987</v>
      </c>
      <c r="M1444" s="1">
        <v>44800</v>
      </c>
      <c r="N1444" s="1" t="s">
        <v>20806</v>
      </c>
      <c r="O1444" s="1" t="s">
        <v>8954</v>
      </c>
      <c r="P1444" s="1" t="s">
        <v>8955</v>
      </c>
      <c r="Q1444" s="1" t="s">
        <v>8956</v>
      </c>
      <c r="R1444" s="1" t="s">
        <v>9103</v>
      </c>
      <c r="S1444" s="1" t="s">
        <v>19573</v>
      </c>
      <c r="T1444" s="1" t="s">
        <v>7</v>
      </c>
      <c r="U1444" s="1" t="s">
        <v>74</v>
      </c>
    </row>
    <row r="1445" spans="1:21" x14ac:dyDescent="0.2">
      <c r="A1445" s="88" t="s">
        <v>17084</v>
      </c>
      <c r="B1445" s="88" t="e">
        <f>VLOOKUP(C1445,#REF!,1,0)</f>
        <v>#REF!</v>
      </c>
      <c r="C1445" s="1" t="s">
        <v>4883</v>
      </c>
      <c r="D1445" s="1" t="s">
        <v>4884</v>
      </c>
      <c r="E1445" s="1" t="s">
        <v>9380</v>
      </c>
      <c r="F1445" s="1" t="s">
        <v>9060</v>
      </c>
      <c r="G1445" t="s">
        <v>8959</v>
      </c>
      <c r="H1445" s="1" t="s">
        <v>9100</v>
      </c>
      <c r="I1445" s="1" t="s">
        <v>8949</v>
      </c>
      <c r="J1445" s="2" t="s">
        <v>20785</v>
      </c>
      <c r="K1445" s="1" t="s">
        <v>18491</v>
      </c>
      <c r="L1445" s="1" t="s">
        <v>8987</v>
      </c>
      <c r="M1445" s="1">
        <v>1954</v>
      </c>
      <c r="N1445" s="1" t="s">
        <v>9059</v>
      </c>
      <c r="O1445" s="1" t="s">
        <v>8954</v>
      </c>
      <c r="P1445" s="1" t="s">
        <v>8955</v>
      </c>
      <c r="Q1445" s="1" t="s">
        <v>8956</v>
      </c>
      <c r="R1445" s="1" t="s">
        <v>8958</v>
      </c>
      <c r="S1445" s="1" t="s">
        <v>19574</v>
      </c>
      <c r="T1445" s="1" t="s">
        <v>7</v>
      </c>
      <c r="U1445" s="1" t="s">
        <v>938</v>
      </c>
    </row>
    <row r="1446" spans="1:21" x14ac:dyDescent="0.2">
      <c r="A1446" s="88" t="s">
        <v>17085</v>
      </c>
      <c r="B1446" s="88" t="e">
        <f>VLOOKUP(C1446,#REF!,1,0)</f>
        <v>#REF!</v>
      </c>
      <c r="C1446" s="1" t="s">
        <v>4885</v>
      </c>
      <c r="D1446" s="1" t="s">
        <v>4886</v>
      </c>
      <c r="E1446" s="1" t="s">
        <v>9310</v>
      </c>
      <c r="F1446" s="1" t="s">
        <v>8957</v>
      </c>
      <c r="G1446" t="s">
        <v>8959</v>
      </c>
      <c r="H1446" s="1" t="s">
        <v>9943</v>
      </c>
      <c r="I1446" s="1" t="s">
        <v>8971</v>
      </c>
      <c r="J1446" s="2" t="s">
        <v>20841</v>
      </c>
      <c r="K1446" s="1" t="s">
        <v>21647</v>
      </c>
      <c r="L1446" s="1" t="s">
        <v>9292</v>
      </c>
      <c r="M1446" s="1">
        <v>10637</v>
      </c>
      <c r="N1446" s="1" t="s">
        <v>8953</v>
      </c>
      <c r="O1446" s="1" t="s">
        <v>8954</v>
      </c>
      <c r="P1446" s="1" t="s">
        <v>8955</v>
      </c>
      <c r="Q1446" s="1" t="s">
        <v>8956</v>
      </c>
      <c r="R1446" s="1" t="s">
        <v>8975</v>
      </c>
      <c r="S1446" s="1" t="s">
        <v>19575</v>
      </c>
      <c r="T1446" s="1" t="s">
        <v>7</v>
      </c>
      <c r="U1446" s="1" t="s">
        <v>1651</v>
      </c>
    </row>
    <row r="1447" spans="1:21" x14ac:dyDescent="0.2">
      <c r="A1447" s="88" t="s">
        <v>17086</v>
      </c>
      <c r="B1447" s="88" t="e">
        <f>VLOOKUP(C1447,#REF!,1,0)</f>
        <v>#REF!</v>
      </c>
      <c r="C1447" s="1" t="s">
        <v>4891</v>
      </c>
      <c r="D1447" s="1" t="s">
        <v>4892</v>
      </c>
      <c r="E1447" s="1" t="s">
        <v>9310</v>
      </c>
      <c r="F1447" s="1" t="s">
        <v>8957</v>
      </c>
      <c r="G1447" t="s">
        <v>8959</v>
      </c>
      <c r="H1447" s="1" t="s">
        <v>9035</v>
      </c>
      <c r="I1447" s="1" t="s">
        <v>8998</v>
      </c>
      <c r="J1447" s="2" t="s">
        <v>10492</v>
      </c>
      <c r="K1447" s="1" t="s">
        <v>10492</v>
      </c>
      <c r="L1447" s="1" t="s">
        <v>21600</v>
      </c>
      <c r="M1447" s="1">
        <v>713</v>
      </c>
      <c r="N1447" s="1" t="s">
        <v>8953</v>
      </c>
      <c r="O1447" s="1" t="s">
        <v>8954</v>
      </c>
      <c r="P1447" s="1" t="s">
        <v>8955</v>
      </c>
      <c r="Q1447" s="1" t="s">
        <v>8956</v>
      </c>
      <c r="R1447" s="1" t="s">
        <v>8975</v>
      </c>
      <c r="S1447" s="1" t="s">
        <v>19577</v>
      </c>
      <c r="T1447" s="1" t="s">
        <v>7</v>
      </c>
      <c r="U1447" s="1" t="s">
        <v>93</v>
      </c>
    </row>
    <row r="1448" spans="1:21" x14ac:dyDescent="0.2">
      <c r="A1448" s="88" t="s">
        <v>17087</v>
      </c>
      <c r="B1448" s="88" t="e">
        <f>VLOOKUP(C1448,#REF!,1,0)</f>
        <v>#REF!</v>
      </c>
      <c r="C1448" s="1" t="s">
        <v>4893</v>
      </c>
      <c r="D1448" s="1" t="s">
        <v>4894</v>
      </c>
      <c r="E1448" s="1" t="s">
        <v>18502</v>
      </c>
      <c r="F1448" s="1" t="s">
        <v>8957</v>
      </c>
      <c r="G1448" t="s">
        <v>8959</v>
      </c>
      <c r="H1448" s="1" t="s">
        <v>8984</v>
      </c>
      <c r="I1448" s="1" t="s">
        <v>8949</v>
      </c>
      <c r="J1448" s="2" t="s">
        <v>18497</v>
      </c>
      <c r="K1448" s="1" t="s">
        <v>18497</v>
      </c>
      <c r="L1448" s="1" t="s">
        <v>8987</v>
      </c>
      <c r="M1448" s="1">
        <v>2111</v>
      </c>
      <c r="N1448" s="1" t="s">
        <v>8953</v>
      </c>
      <c r="O1448" s="1" t="s">
        <v>8954</v>
      </c>
      <c r="P1448" s="1" t="s">
        <v>8955</v>
      </c>
      <c r="Q1448" s="1" t="s">
        <v>8956</v>
      </c>
      <c r="R1448" s="1" t="s">
        <v>8975</v>
      </c>
      <c r="S1448" s="1" t="s">
        <v>20638</v>
      </c>
      <c r="T1448" s="1" t="s">
        <v>7</v>
      </c>
      <c r="U1448" s="1" t="s">
        <v>1050</v>
      </c>
    </row>
    <row r="1449" spans="1:21" x14ac:dyDescent="0.2">
      <c r="A1449" s="88" t="s">
        <v>17088</v>
      </c>
      <c r="B1449" s="88" t="e">
        <f>VLOOKUP(C1449,#REF!,1,0)</f>
        <v>#REF!</v>
      </c>
      <c r="C1449" s="1" t="s">
        <v>4895</v>
      </c>
      <c r="D1449" s="1" t="s">
        <v>4896</v>
      </c>
      <c r="E1449" s="1" t="s">
        <v>9310</v>
      </c>
      <c r="F1449" s="1" t="s">
        <v>8957</v>
      </c>
      <c r="G1449" t="s">
        <v>9183</v>
      </c>
      <c r="H1449" s="1" t="s">
        <v>9092</v>
      </c>
      <c r="I1449" s="1" t="s">
        <v>8949</v>
      </c>
      <c r="J1449" s="2" t="s">
        <v>21373</v>
      </c>
      <c r="K1449" s="1" t="s">
        <v>21901</v>
      </c>
      <c r="L1449" s="1" t="s">
        <v>8951</v>
      </c>
      <c r="M1449" s="1">
        <v>1500</v>
      </c>
      <c r="N1449" s="1" t="s">
        <v>9059</v>
      </c>
      <c r="O1449" s="1" t="s">
        <v>8989</v>
      </c>
      <c r="P1449" s="1" t="s">
        <v>8955</v>
      </c>
      <c r="Q1449" s="1" t="s">
        <v>8956</v>
      </c>
      <c r="R1449" s="1" t="s">
        <v>9103</v>
      </c>
      <c r="S1449" s="1" t="s">
        <v>19578</v>
      </c>
      <c r="T1449" s="1" t="s">
        <v>7</v>
      </c>
      <c r="U1449" s="1" t="s">
        <v>4602</v>
      </c>
    </row>
    <row r="1450" spans="1:21" x14ac:dyDescent="0.2">
      <c r="A1450" s="88" t="s">
        <v>17089</v>
      </c>
      <c r="B1450" s="88" t="e">
        <f>VLOOKUP(C1450,#REF!,1,0)</f>
        <v>#REF!</v>
      </c>
      <c r="C1450" s="1" t="s">
        <v>4897</v>
      </c>
      <c r="D1450" s="1" t="s">
        <v>4898</v>
      </c>
      <c r="E1450" s="1" t="s">
        <v>9010</v>
      </c>
      <c r="F1450" s="1" t="s">
        <v>8957</v>
      </c>
      <c r="G1450" t="s">
        <v>9061</v>
      </c>
      <c r="H1450" s="1" t="s">
        <v>9075</v>
      </c>
      <c r="I1450" s="1" t="s">
        <v>8998</v>
      </c>
      <c r="J1450" s="2" t="s">
        <v>8972</v>
      </c>
      <c r="K1450" s="1" t="s">
        <v>21768</v>
      </c>
      <c r="L1450" s="1" t="s">
        <v>21600</v>
      </c>
      <c r="M1450" s="1">
        <v>173</v>
      </c>
      <c r="N1450" s="1" t="s">
        <v>9059</v>
      </c>
      <c r="O1450" s="1" t="s">
        <v>8989</v>
      </c>
      <c r="P1450" s="1" t="s">
        <v>8955</v>
      </c>
      <c r="Q1450" s="1" t="s">
        <v>8956</v>
      </c>
      <c r="R1450" s="1" t="s">
        <v>8975</v>
      </c>
      <c r="S1450" s="1" t="s">
        <v>4899</v>
      </c>
      <c r="T1450" s="1" t="s">
        <v>17</v>
      </c>
      <c r="U1450" s="1" t="s">
        <v>93</v>
      </c>
    </row>
    <row r="1451" spans="1:21" x14ac:dyDescent="0.2">
      <c r="A1451" s="88" t="s">
        <v>17090</v>
      </c>
      <c r="B1451" s="88" t="e">
        <f>VLOOKUP(C1451,#REF!,1,0)</f>
        <v>#REF!</v>
      </c>
      <c r="C1451" s="1" t="s">
        <v>4900</v>
      </c>
      <c r="D1451" s="1" t="s">
        <v>4901</v>
      </c>
      <c r="E1451" s="1" t="s">
        <v>9310</v>
      </c>
      <c r="F1451" s="1" t="s">
        <v>8957</v>
      </c>
      <c r="G1451" t="s">
        <v>8959</v>
      </c>
      <c r="H1451" s="1" t="s">
        <v>9252</v>
      </c>
      <c r="I1451" s="1" t="s">
        <v>8949</v>
      </c>
      <c r="J1451" s="2" t="s">
        <v>10629</v>
      </c>
      <c r="K1451" s="1" t="s">
        <v>21702</v>
      </c>
      <c r="L1451" s="1" t="s">
        <v>21600</v>
      </c>
      <c r="M1451" s="1">
        <v>100</v>
      </c>
      <c r="N1451" s="1" t="s">
        <v>9059</v>
      </c>
      <c r="O1451" s="1" t="s">
        <v>8989</v>
      </c>
      <c r="P1451" s="1" t="s">
        <v>8955</v>
      </c>
      <c r="Q1451" s="1" t="s">
        <v>8956</v>
      </c>
      <c r="R1451" s="1" t="s">
        <v>8975</v>
      </c>
      <c r="S1451" s="1" t="s">
        <v>19579</v>
      </c>
      <c r="T1451" s="1" t="s">
        <v>7</v>
      </c>
      <c r="U1451" s="1" t="s">
        <v>378</v>
      </c>
    </row>
    <row r="1452" spans="1:21" x14ac:dyDescent="0.2">
      <c r="A1452" s="88" t="s">
        <v>17091</v>
      </c>
      <c r="B1452" s="88" t="e">
        <f>VLOOKUP(C1452,#REF!,1,0)</f>
        <v>#REF!</v>
      </c>
      <c r="C1452" s="1" t="s">
        <v>4902</v>
      </c>
      <c r="D1452" s="1" t="s">
        <v>4903</v>
      </c>
      <c r="E1452" s="1" t="s">
        <v>9010</v>
      </c>
      <c r="F1452" s="1" t="s">
        <v>8957</v>
      </c>
      <c r="G1452" t="s">
        <v>9061</v>
      </c>
      <c r="H1452" s="1" t="s">
        <v>9252</v>
      </c>
      <c r="I1452" s="1" t="s">
        <v>9253</v>
      </c>
      <c r="J1452" s="2" t="s">
        <v>9036</v>
      </c>
      <c r="K1452" s="1" t="s">
        <v>9036</v>
      </c>
      <c r="L1452" s="1" t="s">
        <v>9292</v>
      </c>
      <c r="M1452" s="1">
        <v>1024</v>
      </c>
      <c r="N1452" s="1" t="s">
        <v>8953</v>
      </c>
      <c r="O1452" s="1" t="s">
        <v>8954</v>
      </c>
      <c r="P1452" s="1" t="s">
        <v>8955</v>
      </c>
      <c r="Q1452" s="1" t="s">
        <v>8956</v>
      </c>
      <c r="R1452" s="1" t="s">
        <v>8958</v>
      </c>
      <c r="S1452" s="1" t="s">
        <v>4904</v>
      </c>
      <c r="T1452" s="1" t="s">
        <v>17</v>
      </c>
      <c r="U1452" s="1" t="s">
        <v>93</v>
      </c>
    </row>
    <row r="1453" spans="1:21" x14ac:dyDescent="0.2">
      <c r="A1453" s="88" t="s">
        <v>17092</v>
      </c>
      <c r="B1453" s="88" t="e">
        <f>VLOOKUP(C1453,#REF!,1,0)</f>
        <v>#REF!</v>
      </c>
      <c r="C1453" s="1" t="s">
        <v>4905</v>
      </c>
      <c r="D1453" s="1" t="s">
        <v>4906</v>
      </c>
      <c r="E1453" s="1" t="s">
        <v>9310</v>
      </c>
      <c r="F1453" s="1" t="s">
        <v>8957</v>
      </c>
      <c r="G1453" t="s">
        <v>8959</v>
      </c>
      <c r="H1453" s="1" t="s">
        <v>9075</v>
      </c>
      <c r="I1453" s="1" t="s">
        <v>9101</v>
      </c>
      <c r="J1453" s="2" t="s">
        <v>10525</v>
      </c>
      <c r="K1453" s="1" t="s">
        <v>21650</v>
      </c>
      <c r="L1453" s="1" t="s">
        <v>9133</v>
      </c>
      <c r="M1453" s="1">
        <v>141467</v>
      </c>
      <c r="N1453" s="1" t="s">
        <v>8953</v>
      </c>
      <c r="O1453" s="1" t="s">
        <v>8989</v>
      </c>
      <c r="P1453" s="1" t="s">
        <v>8955</v>
      </c>
      <c r="Q1453" s="1" t="s">
        <v>8956</v>
      </c>
      <c r="R1453" s="1" t="s">
        <v>8975</v>
      </c>
      <c r="S1453" s="1" t="s">
        <v>19580</v>
      </c>
      <c r="T1453" s="1" t="s">
        <v>17</v>
      </c>
      <c r="U1453" s="1" t="s">
        <v>1076</v>
      </c>
    </row>
    <row r="1454" spans="1:21" x14ac:dyDescent="0.2">
      <c r="A1454" s="88" t="s">
        <v>17093</v>
      </c>
      <c r="B1454" s="88" t="e">
        <f>VLOOKUP(C1454,#REF!,1,0)</f>
        <v>#REF!</v>
      </c>
      <c r="C1454" s="1" t="s">
        <v>4907</v>
      </c>
      <c r="D1454" s="1" t="s">
        <v>4908</v>
      </c>
      <c r="E1454" s="1" t="s">
        <v>9310</v>
      </c>
      <c r="F1454" s="1" t="s">
        <v>8957</v>
      </c>
      <c r="G1454" t="s">
        <v>9061</v>
      </c>
      <c r="H1454" s="1" t="s">
        <v>9252</v>
      </c>
      <c r="I1454" s="1" t="s">
        <v>18504</v>
      </c>
      <c r="J1454" s="2" t="s">
        <v>21794</v>
      </c>
      <c r="K1454" s="1" t="s">
        <v>21857</v>
      </c>
      <c r="L1454" s="1" t="s">
        <v>9076</v>
      </c>
      <c r="M1454" s="1">
        <v>10239</v>
      </c>
      <c r="N1454" s="1" t="s">
        <v>8953</v>
      </c>
      <c r="O1454" s="1" t="s">
        <v>8954</v>
      </c>
      <c r="P1454" s="1" t="s">
        <v>8955</v>
      </c>
      <c r="Q1454" s="1" t="s">
        <v>8956</v>
      </c>
      <c r="R1454" s="1" t="s">
        <v>8958</v>
      </c>
      <c r="S1454" s="1" t="s">
        <v>19581</v>
      </c>
      <c r="T1454" s="1" t="s">
        <v>7</v>
      </c>
      <c r="U1454" s="1" t="s">
        <v>46</v>
      </c>
    </row>
    <row r="1455" spans="1:21" x14ac:dyDescent="0.2">
      <c r="A1455" s="88" t="s">
        <v>17094</v>
      </c>
      <c r="B1455" s="88" t="e">
        <f>VLOOKUP(C1455,#REF!,1,0)</f>
        <v>#REF!</v>
      </c>
      <c r="C1455" s="1" t="s">
        <v>4909</v>
      </c>
      <c r="D1455" s="1" t="s">
        <v>4910</v>
      </c>
      <c r="E1455" s="1" t="s">
        <v>9310</v>
      </c>
      <c r="F1455" s="1" t="s">
        <v>8957</v>
      </c>
      <c r="G1455" t="s">
        <v>8959</v>
      </c>
      <c r="H1455" s="1" t="s">
        <v>9154</v>
      </c>
      <c r="I1455" s="1" t="s">
        <v>8949</v>
      </c>
      <c r="J1455" s="2" t="s">
        <v>10492</v>
      </c>
      <c r="K1455" s="1" t="s">
        <v>10492</v>
      </c>
      <c r="L1455" s="1" t="s">
        <v>21600</v>
      </c>
      <c r="M1455" s="1">
        <v>150</v>
      </c>
      <c r="N1455" s="1" t="s">
        <v>9059</v>
      </c>
      <c r="O1455" s="1" t="s">
        <v>8989</v>
      </c>
      <c r="P1455" s="1" t="s">
        <v>8955</v>
      </c>
      <c r="Q1455" s="1" t="s">
        <v>8956</v>
      </c>
      <c r="R1455" s="1" t="s">
        <v>8975</v>
      </c>
      <c r="S1455" s="1" t="s">
        <v>19582</v>
      </c>
      <c r="T1455" s="1" t="s">
        <v>17</v>
      </c>
      <c r="U1455" s="1" t="s">
        <v>93</v>
      </c>
    </row>
    <row r="1456" spans="1:21" x14ac:dyDescent="0.2">
      <c r="A1456" s="88" t="s">
        <v>17095</v>
      </c>
      <c r="B1456" s="88" t="e">
        <f>VLOOKUP(C1456,#REF!,1,0)</f>
        <v>#REF!</v>
      </c>
      <c r="C1456" s="1" t="s">
        <v>4911</v>
      </c>
      <c r="D1456" s="1" t="s">
        <v>4912</v>
      </c>
      <c r="E1456" s="1" t="s">
        <v>9010</v>
      </c>
      <c r="F1456" s="1" t="s">
        <v>8957</v>
      </c>
      <c r="G1456" t="s">
        <v>9061</v>
      </c>
      <c r="H1456" s="1" t="s">
        <v>9100</v>
      </c>
      <c r="I1456" s="1" t="s">
        <v>8998</v>
      </c>
      <c r="J1456" s="2" t="s">
        <v>9036</v>
      </c>
      <c r="K1456" s="1" t="s">
        <v>9036</v>
      </c>
      <c r="L1456" s="1" t="s">
        <v>8987</v>
      </c>
      <c r="M1456" s="1">
        <v>1018</v>
      </c>
      <c r="N1456" s="1" t="s">
        <v>8953</v>
      </c>
      <c r="O1456" s="1" t="s">
        <v>8954</v>
      </c>
      <c r="P1456" s="1" t="s">
        <v>8955</v>
      </c>
      <c r="Q1456" s="1" t="s">
        <v>8956</v>
      </c>
      <c r="R1456" s="1" t="s">
        <v>9103</v>
      </c>
      <c r="S1456" s="1" t="s">
        <v>4913</v>
      </c>
      <c r="T1456" s="1" t="s">
        <v>11</v>
      </c>
      <c r="U1456" s="1" t="s">
        <v>93</v>
      </c>
    </row>
    <row r="1457" spans="1:21" x14ac:dyDescent="0.2">
      <c r="A1457" s="88" t="s">
        <v>17096</v>
      </c>
      <c r="B1457" s="88" t="e">
        <f>VLOOKUP(C1457,#REF!,1,0)</f>
        <v>#REF!</v>
      </c>
      <c r="C1457" s="1" t="s">
        <v>4914</v>
      </c>
      <c r="D1457" s="1" t="s">
        <v>4915</v>
      </c>
      <c r="E1457" s="1" t="s">
        <v>9010</v>
      </c>
      <c r="F1457" s="1" t="s">
        <v>8974</v>
      </c>
      <c r="G1457" t="s">
        <v>8959</v>
      </c>
      <c r="H1457" s="1" t="s">
        <v>9154</v>
      </c>
      <c r="I1457" s="1" t="s">
        <v>8971</v>
      </c>
      <c r="J1457" s="2" t="s">
        <v>9051</v>
      </c>
      <c r="K1457" s="1" t="s">
        <v>9051</v>
      </c>
      <c r="L1457" s="1" t="s">
        <v>9133</v>
      </c>
      <c r="M1457" s="1">
        <v>103102</v>
      </c>
      <c r="N1457" s="1" t="s">
        <v>8953</v>
      </c>
      <c r="O1457" s="1" t="s">
        <v>8989</v>
      </c>
      <c r="P1457" s="1" t="s">
        <v>8955</v>
      </c>
      <c r="Q1457" s="1" t="s">
        <v>8956</v>
      </c>
      <c r="R1457" s="1" t="s">
        <v>8958</v>
      </c>
      <c r="S1457" s="1" t="s">
        <v>4916</v>
      </c>
      <c r="T1457" s="1" t="s">
        <v>11</v>
      </c>
      <c r="U1457" s="1" t="s">
        <v>2819</v>
      </c>
    </row>
    <row r="1458" spans="1:21" x14ac:dyDescent="0.2">
      <c r="A1458" s="88" t="s">
        <v>17097</v>
      </c>
      <c r="B1458" s="88" t="e">
        <f>VLOOKUP(C1458,#REF!,1,0)</f>
        <v>#REF!</v>
      </c>
      <c r="C1458" s="1" t="s">
        <v>4917</v>
      </c>
      <c r="D1458" s="1" t="s">
        <v>4918</v>
      </c>
      <c r="E1458" s="1" t="s">
        <v>9010</v>
      </c>
      <c r="F1458" s="1" t="s">
        <v>8957</v>
      </c>
      <c r="G1458" t="s">
        <v>8959</v>
      </c>
      <c r="H1458" s="1" t="s">
        <v>9605</v>
      </c>
      <c r="I1458" s="1" t="s">
        <v>9101</v>
      </c>
      <c r="J1458" s="2" t="s">
        <v>9036</v>
      </c>
      <c r="K1458" s="1" t="s">
        <v>9036</v>
      </c>
      <c r="L1458" s="1" t="s">
        <v>8951</v>
      </c>
      <c r="M1458" s="1">
        <v>2000</v>
      </c>
      <c r="N1458" s="1" t="s">
        <v>8953</v>
      </c>
      <c r="O1458" s="1" t="s">
        <v>8954</v>
      </c>
      <c r="P1458" s="1" t="s">
        <v>8955</v>
      </c>
      <c r="Q1458" s="1" t="s">
        <v>8956</v>
      </c>
      <c r="R1458" s="1" t="s">
        <v>9103</v>
      </c>
      <c r="S1458" s="1" t="s">
        <v>4919</v>
      </c>
      <c r="T1458" s="1" t="s">
        <v>17</v>
      </c>
      <c r="U1458" s="1" t="s">
        <v>700</v>
      </c>
    </row>
    <row r="1459" spans="1:21" x14ac:dyDescent="0.2">
      <c r="A1459" s="88" t="s">
        <v>17099</v>
      </c>
      <c r="B1459" s="88" t="e">
        <f>VLOOKUP(C1459,#REF!,1,0)</f>
        <v>#REF!</v>
      </c>
      <c r="C1459" s="1" t="s">
        <v>4923</v>
      </c>
      <c r="D1459" s="1" t="s">
        <v>4924</v>
      </c>
      <c r="E1459" s="1" t="s">
        <v>9176</v>
      </c>
      <c r="F1459" s="1" t="s">
        <v>8959</v>
      </c>
      <c r="G1459" t="s">
        <v>8959</v>
      </c>
      <c r="H1459" s="1" t="s">
        <v>20714</v>
      </c>
      <c r="I1459" s="1" t="s">
        <v>20725</v>
      </c>
      <c r="J1459" s="2" t="s">
        <v>20779</v>
      </c>
      <c r="K1459" s="1" t="s">
        <v>9036</v>
      </c>
      <c r="L1459" s="1" t="s">
        <v>8951</v>
      </c>
      <c r="M1459" s="1">
        <v>1110</v>
      </c>
      <c r="N1459" s="1" t="s">
        <v>8953</v>
      </c>
      <c r="O1459" s="1" t="s">
        <v>8989</v>
      </c>
      <c r="P1459" s="1" t="s">
        <v>8955</v>
      </c>
      <c r="Q1459" s="1" t="s">
        <v>8956</v>
      </c>
      <c r="R1459" s="1" t="s">
        <v>8958</v>
      </c>
      <c r="S1459" s="1" t="s">
        <v>19584</v>
      </c>
      <c r="T1459" s="1" t="s">
        <v>17</v>
      </c>
      <c r="U1459" s="1" t="s">
        <v>110</v>
      </c>
    </row>
    <row r="1460" spans="1:21" x14ac:dyDescent="0.2">
      <c r="A1460" s="88" t="s">
        <v>17100</v>
      </c>
      <c r="B1460" s="88" t="e">
        <f>VLOOKUP(C1460,#REF!,1,0)</f>
        <v>#REF!</v>
      </c>
      <c r="C1460" s="1" t="s">
        <v>4925</v>
      </c>
      <c r="D1460" s="1" t="s">
        <v>4926</v>
      </c>
      <c r="E1460" s="1" t="s">
        <v>9636</v>
      </c>
      <c r="F1460" s="1" t="s">
        <v>8957</v>
      </c>
      <c r="G1460" t="s">
        <v>9009</v>
      </c>
      <c r="H1460" s="1" t="s">
        <v>9173</v>
      </c>
      <c r="I1460" s="1" t="s">
        <v>9174</v>
      </c>
      <c r="J1460" s="2" t="s">
        <v>10800</v>
      </c>
      <c r="K1460" s="1" t="s">
        <v>21795</v>
      </c>
      <c r="L1460" s="1" t="s">
        <v>8987</v>
      </c>
      <c r="M1460" s="1">
        <v>2787</v>
      </c>
      <c r="N1460" s="1" t="s">
        <v>8953</v>
      </c>
      <c r="O1460" s="1" t="s">
        <v>8954</v>
      </c>
      <c r="P1460" s="1" t="s">
        <v>8955</v>
      </c>
      <c r="Q1460" s="1" t="s">
        <v>8956</v>
      </c>
      <c r="R1460" s="1" t="s">
        <v>8958</v>
      </c>
      <c r="S1460" s="1" t="s">
        <v>4927</v>
      </c>
      <c r="T1460" s="1" t="s">
        <v>17</v>
      </c>
      <c r="U1460" s="1" t="s">
        <v>43</v>
      </c>
    </row>
    <row r="1461" spans="1:21" x14ac:dyDescent="0.2">
      <c r="A1461" s="88" t="s">
        <v>17101</v>
      </c>
      <c r="B1461" s="88" t="e">
        <f>VLOOKUP(C1461,#REF!,1,0)</f>
        <v>#REF!</v>
      </c>
      <c r="C1461" s="1" t="s">
        <v>4928</v>
      </c>
      <c r="D1461" s="1" t="s">
        <v>4929</v>
      </c>
      <c r="E1461" s="1" t="s">
        <v>9636</v>
      </c>
      <c r="F1461" s="1" t="s">
        <v>8957</v>
      </c>
      <c r="G1461" t="s">
        <v>9183</v>
      </c>
      <c r="H1461" s="1" t="s">
        <v>9173</v>
      </c>
      <c r="I1461" s="1" t="s">
        <v>9174</v>
      </c>
      <c r="J1461" s="2" t="s">
        <v>18497</v>
      </c>
      <c r="K1461" s="1" t="s">
        <v>21658</v>
      </c>
      <c r="L1461" s="1" t="s">
        <v>8987</v>
      </c>
      <c r="M1461" s="1">
        <v>2912</v>
      </c>
      <c r="N1461" s="1" t="s">
        <v>8953</v>
      </c>
      <c r="O1461" s="1" t="s">
        <v>8954</v>
      </c>
      <c r="P1461" s="1" t="s">
        <v>8955</v>
      </c>
      <c r="Q1461" s="1" t="s">
        <v>8956</v>
      </c>
      <c r="R1461" s="1" t="s">
        <v>8958</v>
      </c>
      <c r="S1461" s="1" t="s">
        <v>19585</v>
      </c>
      <c r="T1461" s="1" t="s">
        <v>7</v>
      </c>
      <c r="U1461" s="1" t="s">
        <v>184</v>
      </c>
    </row>
    <row r="1462" spans="1:21" x14ac:dyDescent="0.2">
      <c r="A1462" s="88" t="s">
        <v>17102</v>
      </c>
      <c r="B1462" s="88" t="e">
        <f>VLOOKUP(C1462,#REF!,1,0)</f>
        <v>#REF!</v>
      </c>
      <c r="C1462" s="1" t="s">
        <v>4930</v>
      </c>
      <c r="D1462" s="1" t="s">
        <v>4931</v>
      </c>
      <c r="E1462" s="1" t="s">
        <v>9636</v>
      </c>
      <c r="F1462" s="1" t="s">
        <v>8957</v>
      </c>
      <c r="G1462" t="s">
        <v>9183</v>
      </c>
      <c r="H1462" s="1" t="s">
        <v>9173</v>
      </c>
      <c r="I1462" s="1" t="s">
        <v>9174</v>
      </c>
      <c r="J1462" s="2" t="s">
        <v>21350</v>
      </c>
      <c r="K1462" s="1" t="s">
        <v>21350</v>
      </c>
      <c r="L1462" s="1" t="s">
        <v>8987</v>
      </c>
      <c r="M1462" s="1">
        <v>2750</v>
      </c>
      <c r="N1462" s="1" t="s">
        <v>8953</v>
      </c>
      <c r="O1462" s="1" t="s">
        <v>8954</v>
      </c>
      <c r="P1462" s="1" t="s">
        <v>8955</v>
      </c>
      <c r="Q1462" s="1" t="s">
        <v>8956</v>
      </c>
      <c r="R1462" s="1" t="s">
        <v>8958</v>
      </c>
      <c r="S1462" s="1" t="s">
        <v>20639</v>
      </c>
      <c r="T1462" s="1" t="s">
        <v>7</v>
      </c>
      <c r="U1462" s="1" t="s">
        <v>184</v>
      </c>
    </row>
    <row r="1463" spans="1:21" x14ac:dyDescent="0.2">
      <c r="A1463" s="88" t="s">
        <v>17103</v>
      </c>
      <c r="B1463" s="88" t="e">
        <f>VLOOKUP(C1463,#REF!,1,0)</f>
        <v>#REF!</v>
      </c>
      <c r="C1463" s="1" t="s">
        <v>4932</v>
      </c>
      <c r="D1463" s="1" t="s">
        <v>4933</v>
      </c>
      <c r="E1463" s="1" t="s">
        <v>9010</v>
      </c>
      <c r="F1463" s="1" t="s">
        <v>8959</v>
      </c>
      <c r="G1463" t="s">
        <v>8959</v>
      </c>
      <c r="H1463" s="1" t="s">
        <v>8984</v>
      </c>
      <c r="I1463" s="1" t="s">
        <v>9131</v>
      </c>
      <c r="J1463" s="2" t="s">
        <v>9051</v>
      </c>
      <c r="K1463" s="1" t="s">
        <v>9051</v>
      </c>
      <c r="L1463" s="1" t="s">
        <v>8951</v>
      </c>
      <c r="M1463" s="1">
        <v>200000</v>
      </c>
      <c r="N1463" s="1" t="s">
        <v>8953</v>
      </c>
      <c r="O1463" s="1" t="s">
        <v>8954</v>
      </c>
      <c r="P1463" s="1" t="s">
        <v>8955</v>
      </c>
      <c r="Q1463" s="1" t="s">
        <v>8956</v>
      </c>
      <c r="R1463" s="1" t="s">
        <v>9103</v>
      </c>
      <c r="S1463" s="1" t="s">
        <v>4934</v>
      </c>
      <c r="T1463" s="1" t="s">
        <v>11</v>
      </c>
      <c r="U1463" s="1" t="s">
        <v>61</v>
      </c>
    </row>
    <row r="1464" spans="1:21" x14ac:dyDescent="0.2">
      <c r="A1464" s="88" t="s">
        <v>17104</v>
      </c>
      <c r="B1464" s="88" t="e">
        <f>VLOOKUP(C1464,#REF!,1,0)</f>
        <v>#REF!</v>
      </c>
      <c r="C1464" s="1" t="s">
        <v>4935</v>
      </c>
      <c r="D1464" s="1" t="s">
        <v>4936</v>
      </c>
      <c r="E1464" s="1" t="s">
        <v>9010</v>
      </c>
      <c r="F1464" s="1" t="s">
        <v>8959</v>
      </c>
      <c r="G1464" t="s">
        <v>8959</v>
      </c>
      <c r="H1464" s="1" t="s">
        <v>9100</v>
      </c>
      <c r="I1464" s="1" t="s">
        <v>9131</v>
      </c>
      <c r="J1464" s="2" t="s">
        <v>9051</v>
      </c>
      <c r="K1464" s="1" t="s">
        <v>21784</v>
      </c>
      <c r="L1464" s="1" t="s">
        <v>8951</v>
      </c>
      <c r="M1464" s="1">
        <v>200000</v>
      </c>
      <c r="N1464" s="1" t="s">
        <v>8953</v>
      </c>
      <c r="O1464" s="1" t="s">
        <v>8989</v>
      </c>
      <c r="P1464" s="1" t="s">
        <v>8955</v>
      </c>
      <c r="Q1464" s="1" t="s">
        <v>8956</v>
      </c>
      <c r="R1464" s="1" t="s">
        <v>8958</v>
      </c>
      <c r="S1464" s="1" t="s">
        <v>4937</v>
      </c>
      <c r="T1464" s="1" t="s">
        <v>11</v>
      </c>
      <c r="U1464" s="1" t="s">
        <v>378</v>
      </c>
    </row>
    <row r="1465" spans="1:21" x14ac:dyDescent="0.2">
      <c r="A1465" s="88" t="s">
        <v>17105</v>
      </c>
      <c r="B1465" s="88" t="e">
        <f>VLOOKUP(C1465,#REF!,1,0)</f>
        <v>#REF!</v>
      </c>
      <c r="C1465" s="1" t="s">
        <v>4938</v>
      </c>
      <c r="D1465" s="1" t="s">
        <v>4939</v>
      </c>
      <c r="E1465" s="1" t="s">
        <v>9010</v>
      </c>
      <c r="F1465" s="1" t="s">
        <v>8957</v>
      </c>
      <c r="G1465" t="s">
        <v>9061</v>
      </c>
      <c r="H1465" s="1" t="s">
        <v>9075</v>
      </c>
      <c r="I1465" s="1" t="s">
        <v>9131</v>
      </c>
      <c r="J1465" s="2" t="s">
        <v>9036</v>
      </c>
      <c r="K1465" s="1" t="s">
        <v>9036</v>
      </c>
      <c r="L1465" s="1" t="s">
        <v>9076</v>
      </c>
      <c r="M1465" s="1">
        <v>200000</v>
      </c>
      <c r="N1465" s="1" t="s">
        <v>8953</v>
      </c>
      <c r="O1465" s="1" t="s">
        <v>8989</v>
      </c>
      <c r="P1465" s="1" t="s">
        <v>8955</v>
      </c>
      <c r="Q1465" s="1" t="s">
        <v>8956</v>
      </c>
      <c r="R1465" s="1" t="s">
        <v>9103</v>
      </c>
      <c r="S1465" s="1" t="s">
        <v>4940</v>
      </c>
      <c r="T1465" s="1" t="s">
        <v>11</v>
      </c>
      <c r="U1465" s="1" t="s">
        <v>126</v>
      </c>
    </row>
    <row r="1466" spans="1:21" x14ac:dyDescent="0.2">
      <c r="A1466" s="88" t="s">
        <v>17107</v>
      </c>
      <c r="B1466" s="88" t="e">
        <f>VLOOKUP(C1466,#REF!,1,0)</f>
        <v>#REF!</v>
      </c>
      <c r="C1466" s="1" t="s">
        <v>4943</v>
      </c>
      <c r="D1466" s="1" t="s">
        <v>4944</v>
      </c>
      <c r="E1466" s="1" t="s">
        <v>20882</v>
      </c>
      <c r="F1466" s="1" t="s">
        <v>8959</v>
      </c>
      <c r="G1466" t="s">
        <v>8959</v>
      </c>
      <c r="H1466" s="1" t="s">
        <v>9035</v>
      </c>
      <c r="I1466" s="1" t="s">
        <v>9308</v>
      </c>
      <c r="J1466" s="2" t="s">
        <v>20779</v>
      </c>
      <c r="K1466" s="1" t="s">
        <v>9036</v>
      </c>
      <c r="L1466" s="1" t="s">
        <v>8951</v>
      </c>
      <c r="M1466" s="1">
        <v>6161</v>
      </c>
      <c r="N1466" s="1" t="s">
        <v>8953</v>
      </c>
      <c r="O1466" s="1" t="s">
        <v>8954</v>
      </c>
      <c r="P1466" s="1" t="s">
        <v>8955</v>
      </c>
      <c r="Q1466" s="1" t="s">
        <v>8956</v>
      </c>
      <c r="R1466" s="1" t="s">
        <v>9103</v>
      </c>
      <c r="S1466" s="1" t="s">
        <v>19587</v>
      </c>
      <c r="T1466" s="1" t="s">
        <v>7</v>
      </c>
      <c r="U1466" s="1" t="s">
        <v>74</v>
      </c>
    </row>
    <row r="1467" spans="1:21" x14ac:dyDescent="0.2">
      <c r="A1467" s="88" t="s">
        <v>20883</v>
      </c>
      <c r="B1467" s="88" t="e">
        <f>VLOOKUP(C1467,#REF!,1,0)</f>
        <v>#REF!</v>
      </c>
      <c r="C1467" s="1" t="s">
        <v>4948</v>
      </c>
      <c r="D1467" s="1" t="s">
        <v>4949</v>
      </c>
      <c r="E1467" s="1" t="s">
        <v>18502</v>
      </c>
      <c r="F1467" s="1" t="s">
        <v>8959</v>
      </c>
      <c r="G1467" t="s">
        <v>8959</v>
      </c>
      <c r="H1467" s="1" t="s">
        <v>9035</v>
      </c>
      <c r="I1467" s="1" t="s">
        <v>9308</v>
      </c>
      <c r="J1467" s="2" t="s">
        <v>20850</v>
      </c>
      <c r="K1467" s="1" t="s">
        <v>20762</v>
      </c>
      <c r="L1467" s="1" t="s">
        <v>8951</v>
      </c>
      <c r="M1467" s="1">
        <v>759611</v>
      </c>
      <c r="N1467" s="1" t="s">
        <v>8953</v>
      </c>
      <c r="O1467" s="1" t="s">
        <v>8954</v>
      </c>
      <c r="P1467" s="1" t="s">
        <v>8955</v>
      </c>
      <c r="Q1467" s="1" t="s">
        <v>8956</v>
      </c>
      <c r="R1467" s="1" t="s">
        <v>8975</v>
      </c>
      <c r="S1467" s="1" t="s">
        <v>19589</v>
      </c>
      <c r="T1467" s="1" t="s">
        <v>7</v>
      </c>
      <c r="U1467" s="1" t="s">
        <v>180</v>
      </c>
    </row>
    <row r="1468" spans="1:21" x14ac:dyDescent="0.2">
      <c r="A1468" s="88" t="s">
        <v>17108</v>
      </c>
      <c r="B1468" s="88" t="e">
        <f>VLOOKUP(C1468,#REF!,1,0)</f>
        <v>#REF!</v>
      </c>
      <c r="C1468" s="1" t="s">
        <v>4950</v>
      </c>
      <c r="D1468" s="1" t="s">
        <v>4951</v>
      </c>
      <c r="E1468" s="1" t="s">
        <v>9333</v>
      </c>
      <c r="F1468" s="1" t="s">
        <v>8959</v>
      </c>
      <c r="G1468" t="s">
        <v>9183</v>
      </c>
      <c r="H1468" s="1" t="s">
        <v>9605</v>
      </c>
      <c r="I1468" s="1" t="s">
        <v>8949</v>
      </c>
      <c r="J1468" s="2" t="s">
        <v>9036</v>
      </c>
      <c r="K1468" s="1" t="s">
        <v>9036</v>
      </c>
      <c r="L1468" s="1" t="s">
        <v>8987</v>
      </c>
      <c r="M1468" s="1">
        <v>31861</v>
      </c>
      <c r="N1468" s="1" t="s">
        <v>8953</v>
      </c>
      <c r="O1468" s="1" t="s">
        <v>8989</v>
      </c>
      <c r="P1468" s="1" t="s">
        <v>8955</v>
      </c>
      <c r="Q1468" s="1" t="s">
        <v>8956</v>
      </c>
      <c r="R1468" s="1" t="s">
        <v>8975</v>
      </c>
      <c r="S1468" s="1" t="s">
        <v>4952</v>
      </c>
      <c r="T1468" s="1" t="s">
        <v>7</v>
      </c>
      <c r="U1468" s="1" t="s">
        <v>4953</v>
      </c>
    </row>
    <row r="1469" spans="1:21" x14ac:dyDescent="0.2">
      <c r="A1469" s="88" t="s">
        <v>17109</v>
      </c>
      <c r="B1469" s="88" t="e">
        <f>VLOOKUP(C1469,#REF!,1,0)</f>
        <v>#REF!</v>
      </c>
      <c r="C1469" s="1" t="s">
        <v>4954</v>
      </c>
      <c r="D1469" s="1" t="s">
        <v>4955</v>
      </c>
      <c r="E1469" s="1" t="s">
        <v>20834</v>
      </c>
      <c r="F1469" s="1" t="s">
        <v>8957</v>
      </c>
      <c r="G1469" t="s">
        <v>8959</v>
      </c>
      <c r="H1469" s="1" t="s">
        <v>8948</v>
      </c>
      <c r="I1469" s="1" t="s">
        <v>9101</v>
      </c>
      <c r="J1469" s="2" t="s">
        <v>10492</v>
      </c>
      <c r="K1469" s="1" t="s">
        <v>10492</v>
      </c>
      <c r="L1469" s="1" t="s">
        <v>9076</v>
      </c>
      <c r="M1469" s="1">
        <v>2254</v>
      </c>
      <c r="N1469" s="1" t="s">
        <v>8953</v>
      </c>
      <c r="O1469" s="1" t="s">
        <v>8989</v>
      </c>
      <c r="P1469" s="1" t="s">
        <v>8955</v>
      </c>
      <c r="Q1469" s="1" t="s">
        <v>8956</v>
      </c>
      <c r="R1469" s="1" t="s">
        <v>8958</v>
      </c>
      <c r="S1469" s="1" t="s">
        <v>19590</v>
      </c>
      <c r="T1469" s="1" t="s">
        <v>7</v>
      </c>
      <c r="U1469" s="1" t="s">
        <v>316</v>
      </c>
    </row>
    <row r="1470" spans="1:21" x14ac:dyDescent="0.2">
      <c r="A1470" s="88" t="s">
        <v>17110</v>
      </c>
      <c r="B1470" s="88" t="e">
        <f>VLOOKUP(C1470,#REF!,1,0)</f>
        <v>#REF!</v>
      </c>
      <c r="C1470" s="1" t="s">
        <v>4956</v>
      </c>
      <c r="D1470" s="1" t="s">
        <v>4957</v>
      </c>
      <c r="E1470" s="1" t="s">
        <v>9213</v>
      </c>
      <c r="F1470" s="1" t="s">
        <v>8957</v>
      </c>
      <c r="G1470" t="s">
        <v>8959</v>
      </c>
      <c r="H1470" s="1" t="s">
        <v>9092</v>
      </c>
      <c r="I1470" s="1" t="s">
        <v>8998</v>
      </c>
      <c r="J1470" s="2" t="s">
        <v>20785</v>
      </c>
      <c r="K1470" s="1" t="s">
        <v>18491</v>
      </c>
      <c r="L1470" s="1" t="s">
        <v>21600</v>
      </c>
      <c r="M1470" s="1">
        <v>8040</v>
      </c>
      <c r="N1470" s="1" t="s">
        <v>8953</v>
      </c>
      <c r="O1470" s="1" t="s">
        <v>8954</v>
      </c>
      <c r="P1470" s="1" t="s">
        <v>8955</v>
      </c>
      <c r="Q1470" s="1" t="s">
        <v>8956</v>
      </c>
      <c r="R1470" s="1" t="s">
        <v>9103</v>
      </c>
      <c r="S1470" s="1" t="s">
        <v>19591</v>
      </c>
      <c r="T1470" s="1" t="s">
        <v>7</v>
      </c>
      <c r="U1470" s="1" t="s">
        <v>46</v>
      </c>
    </row>
    <row r="1471" spans="1:21" x14ac:dyDescent="0.2">
      <c r="A1471" s="88" t="s">
        <v>17111</v>
      </c>
      <c r="B1471" s="88" t="e">
        <f>VLOOKUP(C1471,#REF!,1,0)</f>
        <v>#REF!</v>
      </c>
      <c r="C1471" s="1" t="s">
        <v>4958</v>
      </c>
      <c r="D1471" s="1" t="s">
        <v>4959</v>
      </c>
      <c r="E1471" s="1" t="s">
        <v>9176</v>
      </c>
      <c r="F1471" s="1" t="s">
        <v>8959</v>
      </c>
      <c r="G1471" t="s">
        <v>8959</v>
      </c>
      <c r="H1471" s="1" t="s">
        <v>9252</v>
      </c>
      <c r="I1471" s="1" t="s">
        <v>18504</v>
      </c>
      <c r="J1471" s="2" t="s">
        <v>21282</v>
      </c>
      <c r="K1471" s="1" t="s">
        <v>21282</v>
      </c>
      <c r="L1471" s="1" t="s">
        <v>8951</v>
      </c>
      <c r="M1471" s="1">
        <v>11894</v>
      </c>
      <c r="N1471" s="1" t="s">
        <v>8953</v>
      </c>
      <c r="O1471" s="1" t="s">
        <v>8954</v>
      </c>
      <c r="P1471" s="1" t="s">
        <v>8955</v>
      </c>
      <c r="Q1471" s="1" t="s">
        <v>8956</v>
      </c>
      <c r="R1471" s="1" t="s">
        <v>9103</v>
      </c>
      <c r="S1471" s="1" t="s">
        <v>19592</v>
      </c>
      <c r="T1471" s="1" t="s">
        <v>17</v>
      </c>
      <c r="U1471" s="1" t="s">
        <v>87</v>
      </c>
    </row>
    <row r="1472" spans="1:21" x14ac:dyDescent="0.2">
      <c r="A1472" s="88" t="s">
        <v>17112</v>
      </c>
      <c r="B1472" s="88" t="e">
        <f>VLOOKUP(C1472,#REF!,1,0)</f>
        <v>#REF!</v>
      </c>
      <c r="C1472" s="1" t="s">
        <v>4960</v>
      </c>
      <c r="D1472" s="1" t="s">
        <v>4961</v>
      </c>
      <c r="E1472" s="1" t="s">
        <v>9465</v>
      </c>
      <c r="F1472" s="1" t="s">
        <v>20884</v>
      </c>
      <c r="G1472" t="s">
        <v>8959</v>
      </c>
      <c r="H1472" s="1" t="s">
        <v>20714</v>
      </c>
      <c r="I1472" s="1" t="s">
        <v>20725</v>
      </c>
      <c r="J1472" s="2" t="s">
        <v>10492</v>
      </c>
      <c r="K1472" s="1" t="s">
        <v>21645</v>
      </c>
      <c r="L1472" s="1" t="s">
        <v>21600</v>
      </c>
      <c r="M1472" s="1">
        <v>6210</v>
      </c>
      <c r="N1472" s="1" t="s">
        <v>8953</v>
      </c>
      <c r="O1472" s="1" t="s">
        <v>8954</v>
      </c>
      <c r="P1472" s="1" t="s">
        <v>8955</v>
      </c>
      <c r="Q1472" s="1" t="s">
        <v>8956</v>
      </c>
      <c r="R1472" s="1" t="s">
        <v>8975</v>
      </c>
      <c r="S1472" s="1" t="s">
        <v>19593</v>
      </c>
      <c r="T1472" s="1" t="s">
        <v>17</v>
      </c>
      <c r="U1472" s="1" t="s">
        <v>110</v>
      </c>
    </row>
    <row r="1473" spans="1:21" x14ac:dyDescent="0.2">
      <c r="A1473" s="88" t="s">
        <v>17113</v>
      </c>
      <c r="B1473" s="88" t="e">
        <f>VLOOKUP(C1473,#REF!,1,0)</f>
        <v>#REF!</v>
      </c>
      <c r="C1473" s="1" t="s">
        <v>4966</v>
      </c>
      <c r="D1473" s="1" t="s">
        <v>4967</v>
      </c>
      <c r="E1473" s="1" t="s">
        <v>9310</v>
      </c>
      <c r="F1473" s="1" t="s">
        <v>8959</v>
      </c>
      <c r="G1473" t="s">
        <v>8959</v>
      </c>
      <c r="H1473" s="1" t="s">
        <v>8984</v>
      </c>
      <c r="I1473" s="1" t="s">
        <v>8998</v>
      </c>
      <c r="J1473" s="2" t="s">
        <v>21428</v>
      </c>
      <c r="K1473" s="1" t="s">
        <v>21428</v>
      </c>
      <c r="L1473" s="1" t="s">
        <v>21600</v>
      </c>
      <c r="M1473" s="1">
        <v>82</v>
      </c>
      <c r="N1473" s="1" t="s">
        <v>8953</v>
      </c>
      <c r="O1473" s="1" t="s">
        <v>8989</v>
      </c>
      <c r="P1473" s="1" t="s">
        <v>8955</v>
      </c>
      <c r="Q1473" s="1" t="s">
        <v>8956</v>
      </c>
      <c r="R1473" s="1" t="s">
        <v>8958</v>
      </c>
      <c r="S1473" s="1" t="s">
        <v>19594</v>
      </c>
      <c r="T1473" s="1" t="s">
        <v>17</v>
      </c>
      <c r="U1473" s="1" t="s">
        <v>61</v>
      </c>
    </row>
    <row r="1474" spans="1:21" x14ac:dyDescent="0.2">
      <c r="A1474" s="88" t="s">
        <v>17114</v>
      </c>
      <c r="B1474" s="88" t="e">
        <f>VLOOKUP(C1474,#REF!,1,0)</f>
        <v>#REF!</v>
      </c>
      <c r="C1474" s="1" t="s">
        <v>4968</v>
      </c>
      <c r="D1474" s="1" t="s">
        <v>4969</v>
      </c>
      <c r="E1474" s="1" t="s">
        <v>9465</v>
      </c>
      <c r="F1474" s="1" t="s">
        <v>8959</v>
      </c>
      <c r="G1474" t="s">
        <v>9061</v>
      </c>
      <c r="H1474" s="1" t="s">
        <v>9154</v>
      </c>
      <c r="I1474" s="1" t="s">
        <v>8998</v>
      </c>
      <c r="J1474" s="2" t="s">
        <v>9102</v>
      </c>
      <c r="K1474" s="1" t="s">
        <v>9102</v>
      </c>
      <c r="L1474" s="1" t="s">
        <v>8987</v>
      </c>
      <c r="M1474" s="1">
        <v>87</v>
      </c>
      <c r="N1474" s="1" t="s">
        <v>9059</v>
      </c>
      <c r="O1474" s="1" t="s">
        <v>8989</v>
      </c>
      <c r="P1474" s="1" t="s">
        <v>8955</v>
      </c>
      <c r="Q1474" s="1" t="s">
        <v>8956</v>
      </c>
      <c r="R1474" s="1" t="s">
        <v>8958</v>
      </c>
      <c r="S1474" s="1" t="s">
        <v>4970</v>
      </c>
      <c r="T1474" s="1" t="s">
        <v>11</v>
      </c>
      <c r="U1474" s="1" t="s">
        <v>666</v>
      </c>
    </row>
    <row r="1475" spans="1:21" x14ac:dyDescent="0.2">
      <c r="A1475" s="88" t="s">
        <v>17115</v>
      </c>
      <c r="B1475" s="88" t="e">
        <f>VLOOKUP(C1475,#REF!,1,0)</f>
        <v>#REF!</v>
      </c>
      <c r="C1475" s="1" t="s">
        <v>4971</v>
      </c>
      <c r="D1475" s="1" t="s">
        <v>4972</v>
      </c>
      <c r="E1475" s="1" t="s">
        <v>20810</v>
      </c>
      <c r="F1475" s="1" t="s">
        <v>8974</v>
      </c>
      <c r="G1475" t="s">
        <v>8959</v>
      </c>
      <c r="H1475" s="1" t="s">
        <v>20712</v>
      </c>
      <c r="I1475" s="1" t="s">
        <v>9308</v>
      </c>
      <c r="J1475" s="2" t="s">
        <v>21212</v>
      </c>
      <c r="K1475" s="1" t="s">
        <v>21212</v>
      </c>
      <c r="L1475" s="1" t="s">
        <v>9464</v>
      </c>
      <c r="M1475" s="1">
        <v>1047</v>
      </c>
      <c r="N1475" s="1" t="s">
        <v>8953</v>
      </c>
      <c r="O1475" s="1" t="s">
        <v>8954</v>
      </c>
      <c r="P1475" s="1" t="s">
        <v>8955</v>
      </c>
      <c r="Q1475" s="1" t="s">
        <v>8956</v>
      </c>
      <c r="R1475" s="1" t="s">
        <v>9103</v>
      </c>
      <c r="S1475" s="1" t="s">
        <v>19595</v>
      </c>
      <c r="T1475" s="1" t="s">
        <v>7</v>
      </c>
      <c r="U1475" s="1" t="s">
        <v>342</v>
      </c>
    </row>
    <row r="1476" spans="1:21" x14ac:dyDescent="0.2">
      <c r="A1476" s="88" t="s">
        <v>17116</v>
      </c>
      <c r="B1476" s="88" t="e">
        <f>VLOOKUP(C1476,#REF!,1,0)</f>
        <v>#REF!</v>
      </c>
      <c r="C1476" s="1" t="s">
        <v>4973</v>
      </c>
      <c r="D1476" s="1" t="s">
        <v>4974</v>
      </c>
      <c r="E1476" s="1" t="s">
        <v>9010</v>
      </c>
      <c r="F1476" s="1" t="s">
        <v>8957</v>
      </c>
      <c r="G1476" t="s">
        <v>8959</v>
      </c>
      <c r="H1476" s="1" t="s">
        <v>9049</v>
      </c>
      <c r="I1476" s="1" t="s">
        <v>8949</v>
      </c>
      <c r="J1476" s="2" t="s">
        <v>21467</v>
      </c>
      <c r="K1476" s="1" t="s">
        <v>21467</v>
      </c>
      <c r="L1476" s="1" t="s">
        <v>21600</v>
      </c>
      <c r="M1476" s="1">
        <v>165</v>
      </c>
      <c r="N1476" s="1" t="s">
        <v>9059</v>
      </c>
      <c r="O1476" s="1" t="s">
        <v>8989</v>
      </c>
      <c r="P1476" s="1" t="s">
        <v>8955</v>
      </c>
      <c r="Q1476" s="1" t="s">
        <v>8956</v>
      </c>
      <c r="R1476" s="1" t="s">
        <v>8958</v>
      </c>
      <c r="S1476" s="1" t="s">
        <v>4975</v>
      </c>
      <c r="T1476" s="1" t="s">
        <v>242</v>
      </c>
      <c r="U1476" s="1" t="s">
        <v>61</v>
      </c>
    </row>
    <row r="1477" spans="1:21" x14ac:dyDescent="0.2">
      <c r="A1477" s="88" t="s">
        <v>17117</v>
      </c>
      <c r="B1477" s="88" t="e">
        <f>VLOOKUP(C1477,#REF!,1,0)</f>
        <v>#REF!</v>
      </c>
      <c r="C1477" s="1" t="s">
        <v>4976</v>
      </c>
      <c r="D1477" s="1" t="s">
        <v>4977</v>
      </c>
      <c r="E1477" s="1" t="s">
        <v>9010</v>
      </c>
      <c r="F1477" s="1" t="s">
        <v>8957</v>
      </c>
      <c r="G1477" t="s">
        <v>9009</v>
      </c>
      <c r="H1477" s="1" t="s">
        <v>9035</v>
      </c>
      <c r="I1477" s="1" t="s">
        <v>8998</v>
      </c>
      <c r="J1477" s="2" t="s">
        <v>21462</v>
      </c>
      <c r="K1477" s="1" t="s">
        <v>21462</v>
      </c>
      <c r="L1477" s="1" t="s">
        <v>21600</v>
      </c>
      <c r="M1477" s="1">
        <v>314</v>
      </c>
      <c r="N1477" s="1" t="s">
        <v>9059</v>
      </c>
      <c r="O1477" s="1" t="s">
        <v>8989</v>
      </c>
      <c r="P1477" s="1" t="s">
        <v>8955</v>
      </c>
      <c r="Q1477" s="1" t="s">
        <v>8956</v>
      </c>
      <c r="R1477" s="1" t="s">
        <v>8958</v>
      </c>
      <c r="S1477" s="1" t="s">
        <v>4978</v>
      </c>
      <c r="T1477" s="1" t="s">
        <v>4</v>
      </c>
      <c r="U1477" s="1" t="s">
        <v>53</v>
      </c>
    </row>
    <row r="1478" spans="1:21" x14ac:dyDescent="0.2">
      <c r="A1478" s="88" t="s">
        <v>17118</v>
      </c>
      <c r="B1478" s="88" t="e">
        <f>VLOOKUP(C1478,#REF!,1,0)</f>
        <v>#REF!</v>
      </c>
      <c r="C1478" s="1" t="s">
        <v>4979</v>
      </c>
      <c r="D1478" s="1" t="s">
        <v>4980</v>
      </c>
      <c r="E1478" s="1" t="s">
        <v>9010</v>
      </c>
      <c r="F1478" s="1" t="s">
        <v>8957</v>
      </c>
      <c r="G1478" t="s">
        <v>9183</v>
      </c>
      <c r="H1478" s="1" t="s">
        <v>9035</v>
      </c>
      <c r="I1478" s="1" t="s">
        <v>9308</v>
      </c>
      <c r="J1478" s="2" t="s">
        <v>21465</v>
      </c>
      <c r="K1478" s="1" t="s">
        <v>21465</v>
      </c>
      <c r="L1478" s="1" t="s">
        <v>8987</v>
      </c>
      <c r="M1478" s="1">
        <v>41</v>
      </c>
      <c r="N1478" s="1" t="s">
        <v>8953</v>
      </c>
      <c r="O1478" s="1" t="s">
        <v>8989</v>
      </c>
      <c r="P1478" s="1" t="s">
        <v>8955</v>
      </c>
      <c r="Q1478" s="1" t="s">
        <v>8956</v>
      </c>
      <c r="R1478" s="1" t="s">
        <v>8958</v>
      </c>
      <c r="S1478" s="1" t="s">
        <v>4981</v>
      </c>
      <c r="T1478" s="1" t="s">
        <v>242</v>
      </c>
      <c r="U1478" s="1" t="s">
        <v>46</v>
      </c>
    </row>
    <row r="1479" spans="1:21" x14ac:dyDescent="0.2">
      <c r="A1479" s="88" t="s">
        <v>17119</v>
      </c>
      <c r="B1479" s="88" t="e">
        <f>VLOOKUP(C1479,#REF!,1,0)</f>
        <v>#REF!</v>
      </c>
      <c r="C1479" s="1" t="s">
        <v>4982</v>
      </c>
      <c r="D1479" s="1" t="s">
        <v>4983</v>
      </c>
      <c r="E1479" s="1" t="s">
        <v>9310</v>
      </c>
      <c r="F1479" s="1" t="s">
        <v>8959</v>
      </c>
      <c r="G1479" t="s">
        <v>8959</v>
      </c>
      <c r="H1479" s="1" t="s">
        <v>20714</v>
      </c>
      <c r="I1479" s="1" t="s">
        <v>20725</v>
      </c>
      <c r="J1479" s="2" t="s">
        <v>10492</v>
      </c>
      <c r="K1479" s="1" t="s">
        <v>10492</v>
      </c>
      <c r="L1479" s="1" t="s">
        <v>21600</v>
      </c>
      <c r="M1479" s="1">
        <v>5120</v>
      </c>
      <c r="N1479" s="1" t="s">
        <v>8953</v>
      </c>
      <c r="O1479" s="1" t="s">
        <v>8989</v>
      </c>
      <c r="P1479" s="1" t="s">
        <v>8955</v>
      </c>
      <c r="Q1479" s="1" t="s">
        <v>8956</v>
      </c>
      <c r="R1479" s="1" t="s">
        <v>8975</v>
      </c>
      <c r="S1479" s="1" t="s">
        <v>19596</v>
      </c>
      <c r="T1479" s="1" t="s">
        <v>7</v>
      </c>
      <c r="U1479" s="1" t="s">
        <v>46</v>
      </c>
    </row>
    <row r="1480" spans="1:21" x14ac:dyDescent="0.2">
      <c r="A1480" s="88" t="s">
        <v>17120</v>
      </c>
      <c r="B1480" s="88" t="e">
        <f>VLOOKUP(C1480,#REF!,1,0)</f>
        <v>#REF!</v>
      </c>
      <c r="C1480" s="1" t="s">
        <v>4984</v>
      </c>
      <c r="D1480" s="1" t="s">
        <v>4985</v>
      </c>
      <c r="E1480" s="1" t="s">
        <v>18502</v>
      </c>
      <c r="F1480" s="1" t="s">
        <v>8957</v>
      </c>
      <c r="G1480" t="s">
        <v>8959</v>
      </c>
      <c r="H1480" s="1" t="s">
        <v>9605</v>
      </c>
      <c r="I1480" s="1" t="s">
        <v>9101</v>
      </c>
      <c r="J1480" s="2" t="s">
        <v>20870</v>
      </c>
      <c r="K1480" s="1" t="s">
        <v>21851</v>
      </c>
      <c r="L1480" s="1" t="s">
        <v>8951</v>
      </c>
      <c r="M1480" s="1">
        <v>7180</v>
      </c>
      <c r="N1480" s="1" t="s">
        <v>8953</v>
      </c>
      <c r="O1480" s="1" t="s">
        <v>8989</v>
      </c>
      <c r="P1480" s="1" t="s">
        <v>8955</v>
      </c>
      <c r="Q1480" s="1" t="s">
        <v>8956</v>
      </c>
      <c r="R1480" s="1" t="s">
        <v>9103</v>
      </c>
      <c r="S1480" s="1" t="s">
        <v>19597</v>
      </c>
      <c r="T1480" s="1" t="s">
        <v>17</v>
      </c>
      <c r="U1480" s="1" t="s">
        <v>126</v>
      </c>
    </row>
    <row r="1481" spans="1:21" x14ac:dyDescent="0.2">
      <c r="A1481" s="88" t="s">
        <v>17121</v>
      </c>
      <c r="B1481" s="88" t="e">
        <f>VLOOKUP(C1481,#REF!,1,0)</f>
        <v>#REF!</v>
      </c>
      <c r="C1481" s="1" t="s">
        <v>4986</v>
      </c>
      <c r="D1481" s="1" t="s">
        <v>4987</v>
      </c>
      <c r="E1481" s="1" t="s">
        <v>9010</v>
      </c>
      <c r="F1481" s="1" t="s">
        <v>8957</v>
      </c>
      <c r="G1481" t="s">
        <v>9009</v>
      </c>
      <c r="H1481" s="1" t="s">
        <v>9173</v>
      </c>
      <c r="I1481" s="1" t="s">
        <v>9174</v>
      </c>
      <c r="J1481" s="2" t="s">
        <v>9036</v>
      </c>
      <c r="K1481" s="1" t="s">
        <v>9036</v>
      </c>
      <c r="L1481" s="1" t="s">
        <v>8987</v>
      </c>
      <c r="M1481" s="1">
        <v>100</v>
      </c>
      <c r="N1481" s="1" t="s">
        <v>8953</v>
      </c>
      <c r="O1481" s="1" t="s">
        <v>8989</v>
      </c>
      <c r="P1481" s="1" t="s">
        <v>8955</v>
      </c>
      <c r="Q1481" s="1" t="s">
        <v>8956</v>
      </c>
      <c r="R1481" s="1" t="s">
        <v>8975</v>
      </c>
      <c r="S1481" s="1" t="s">
        <v>4988</v>
      </c>
      <c r="T1481" s="1" t="s">
        <v>11</v>
      </c>
      <c r="U1481" s="1" t="s">
        <v>1558</v>
      </c>
    </row>
    <row r="1482" spans="1:21" x14ac:dyDescent="0.2">
      <c r="A1482" s="88" t="s">
        <v>17122</v>
      </c>
      <c r="B1482" s="88" t="e">
        <f>VLOOKUP(C1482,#REF!,1,0)</f>
        <v>#REF!</v>
      </c>
      <c r="C1482" s="1" t="s">
        <v>4989</v>
      </c>
      <c r="D1482" s="1" t="s">
        <v>4990</v>
      </c>
      <c r="E1482" s="1" t="s">
        <v>9010</v>
      </c>
      <c r="F1482" s="1" t="s">
        <v>8957</v>
      </c>
      <c r="G1482" t="s">
        <v>9009</v>
      </c>
      <c r="H1482" s="1" t="s">
        <v>9173</v>
      </c>
      <c r="I1482" s="1" t="s">
        <v>9174</v>
      </c>
      <c r="J1482" s="2" t="s">
        <v>20830</v>
      </c>
      <c r="K1482" s="1" t="s">
        <v>9041</v>
      </c>
      <c r="L1482" s="1" t="s">
        <v>9133</v>
      </c>
      <c r="M1482" s="1">
        <v>2750</v>
      </c>
      <c r="N1482" s="1" t="s">
        <v>8953</v>
      </c>
      <c r="O1482" s="1" t="s">
        <v>8954</v>
      </c>
      <c r="P1482" s="1" t="s">
        <v>8955</v>
      </c>
      <c r="Q1482" s="1" t="s">
        <v>8956</v>
      </c>
      <c r="R1482" s="1" t="s">
        <v>8975</v>
      </c>
      <c r="S1482" s="1" t="s">
        <v>19598</v>
      </c>
      <c r="T1482" s="1" t="s">
        <v>7</v>
      </c>
      <c r="U1482" s="1" t="s">
        <v>1558</v>
      </c>
    </row>
    <row r="1483" spans="1:21" x14ac:dyDescent="0.2">
      <c r="A1483" s="88" t="s">
        <v>17123</v>
      </c>
      <c r="B1483" s="88" t="e">
        <f>VLOOKUP(C1483,#REF!,1,0)</f>
        <v>#REF!</v>
      </c>
      <c r="C1483" s="1" t="s">
        <v>4991</v>
      </c>
      <c r="D1483" s="1" t="s">
        <v>4992</v>
      </c>
      <c r="E1483" s="1" t="s">
        <v>18502</v>
      </c>
      <c r="F1483" s="1" t="s">
        <v>8957</v>
      </c>
      <c r="G1483" t="s">
        <v>9061</v>
      </c>
      <c r="H1483" s="1" t="s">
        <v>20712</v>
      </c>
      <c r="I1483" s="1" t="s">
        <v>8949</v>
      </c>
      <c r="J1483" s="2" t="s">
        <v>20785</v>
      </c>
      <c r="K1483" s="1" t="s">
        <v>9386</v>
      </c>
      <c r="L1483" s="1" t="s">
        <v>9076</v>
      </c>
      <c r="M1483" s="1">
        <v>72512</v>
      </c>
      <c r="N1483" s="1" t="s">
        <v>8953</v>
      </c>
      <c r="O1483" s="1" t="s">
        <v>8989</v>
      </c>
      <c r="P1483" s="1" t="s">
        <v>8955</v>
      </c>
      <c r="Q1483" s="1" t="s">
        <v>8956</v>
      </c>
      <c r="R1483" s="1" t="s">
        <v>8958</v>
      </c>
      <c r="S1483" s="1" t="s">
        <v>19599</v>
      </c>
      <c r="T1483" s="1" t="s">
        <v>17</v>
      </c>
      <c r="U1483" s="1" t="s">
        <v>61</v>
      </c>
    </row>
    <row r="1484" spans="1:21" x14ac:dyDescent="0.2">
      <c r="A1484" s="88" t="s">
        <v>17124</v>
      </c>
      <c r="B1484" s="88" t="e">
        <f>VLOOKUP(C1484,#REF!,1,0)</f>
        <v>#REF!</v>
      </c>
      <c r="C1484" s="1" t="s">
        <v>4993</v>
      </c>
      <c r="D1484" s="1" t="s">
        <v>4994</v>
      </c>
      <c r="E1484" s="1" t="s">
        <v>18502</v>
      </c>
      <c r="F1484" s="1" t="s">
        <v>8957</v>
      </c>
      <c r="G1484" t="s">
        <v>9061</v>
      </c>
      <c r="H1484" s="1" t="s">
        <v>20714</v>
      </c>
      <c r="I1484" s="1" t="s">
        <v>20725</v>
      </c>
      <c r="J1484" s="2" t="s">
        <v>18497</v>
      </c>
      <c r="K1484" s="1" t="s">
        <v>18497</v>
      </c>
      <c r="L1484" s="1" t="s">
        <v>21600</v>
      </c>
      <c r="M1484" s="1">
        <v>25285</v>
      </c>
      <c r="N1484" s="1" t="s">
        <v>8953</v>
      </c>
      <c r="O1484" s="1" t="s">
        <v>8989</v>
      </c>
      <c r="P1484" s="1" t="s">
        <v>8955</v>
      </c>
      <c r="Q1484" s="1" t="s">
        <v>8956</v>
      </c>
      <c r="R1484" s="1" t="s">
        <v>8958</v>
      </c>
      <c r="S1484" s="1" t="s">
        <v>19600</v>
      </c>
      <c r="T1484" s="1" t="s">
        <v>7</v>
      </c>
      <c r="U1484" s="1" t="s">
        <v>24</v>
      </c>
    </row>
    <row r="1485" spans="1:21" x14ac:dyDescent="0.2">
      <c r="A1485" s="88" t="s">
        <v>17125</v>
      </c>
      <c r="B1485" s="88" t="e">
        <f>VLOOKUP(C1485,#REF!,1,0)</f>
        <v>#REF!</v>
      </c>
      <c r="C1485" s="1" t="s">
        <v>4995</v>
      </c>
      <c r="D1485" s="1" t="s">
        <v>4996</v>
      </c>
      <c r="E1485" s="1" t="s">
        <v>9317</v>
      </c>
      <c r="F1485" s="1" t="s">
        <v>8957</v>
      </c>
      <c r="G1485" t="s">
        <v>8959</v>
      </c>
      <c r="H1485" s="1" t="s">
        <v>9173</v>
      </c>
      <c r="I1485" s="1" t="s">
        <v>9174</v>
      </c>
      <c r="J1485" s="2" t="s">
        <v>18497</v>
      </c>
      <c r="K1485" s="1" t="s">
        <v>21658</v>
      </c>
      <c r="L1485" s="1" t="s">
        <v>8987</v>
      </c>
      <c r="M1485" s="1">
        <v>11444</v>
      </c>
      <c r="N1485" s="1" t="s">
        <v>8953</v>
      </c>
      <c r="O1485" s="1" t="s">
        <v>8954</v>
      </c>
      <c r="P1485" s="1" t="s">
        <v>8955</v>
      </c>
      <c r="Q1485" s="1" t="s">
        <v>8956</v>
      </c>
      <c r="R1485" s="1" t="s">
        <v>8975</v>
      </c>
      <c r="S1485" s="1" t="s">
        <v>20640</v>
      </c>
      <c r="T1485" s="1" t="s">
        <v>17</v>
      </c>
      <c r="U1485" s="1" t="s">
        <v>910</v>
      </c>
    </row>
    <row r="1486" spans="1:21" x14ac:dyDescent="0.2">
      <c r="A1486" s="88" t="s">
        <v>17126</v>
      </c>
      <c r="B1486" s="88" t="e">
        <f>VLOOKUP(C1486,#REF!,1,0)</f>
        <v>#REF!</v>
      </c>
      <c r="C1486" s="1" t="s">
        <v>4997</v>
      </c>
      <c r="D1486" s="1" t="s">
        <v>4998</v>
      </c>
      <c r="E1486" s="1" t="s">
        <v>18502</v>
      </c>
      <c r="F1486" s="1" t="s">
        <v>8957</v>
      </c>
      <c r="G1486" t="s">
        <v>8959</v>
      </c>
      <c r="H1486" s="1" t="s">
        <v>8948</v>
      </c>
      <c r="I1486" s="1" t="s">
        <v>8959</v>
      </c>
      <c r="J1486" s="2" t="s">
        <v>10492</v>
      </c>
      <c r="K1486" s="1" t="s">
        <v>10492</v>
      </c>
      <c r="L1486" s="1" t="s">
        <v>9076</v>
      </c>
      <c r="M1486" s="1">
        <v>300</v>
      </c>
      <c r="N1486" s="1" t="s">
        <v>8953</v>
      </c>
      <c r="O1486" s="1" t="s">
        <v>8989</v>
      </c>
      <c r="P1486" s="1" t="s">
        <v>8955</v>
      </c>
      <c r="Q1486" s="1" t="s">
        <v>8956</v>
      </c>
      <c r="R1486" s="1" t="s">
        <v>8958</v>
      </c>
      <c r="S1486" s="1" t="s">
        <v>19601</v>
      </c>
      <c r="T1486" s="1" t="s">
        <v>7</v>
      </c>
      <c r="U1486" s="1" t="s">
        <v>1797</v>
      </c>
    </row>
    <row r="1487" spans="1:21" x14ac:dyDescent="0.2">
      <c r="A1487" s="88" t="s">
        <v>17127</v>
      </c>
      <c r="B1487" s="88" t="e">
        <f>VLOOKUP(C1487,#REF!,1,0)</f>
        <v>#REF!</v>
      </c>
      <c r="C1487" s="1" t="s">
        <v>4999</v>
      </c>
      <c r="D1487" s="1" t="s">
        <v>5000</v>
      </c>
      <c r="E1487" s="1" t="s">
        <v>9010</v>
      </c>
      <c r="F1487" s="1" t="s">
        <v>8957</v>
      </c>
      <c r="G1487" t="s">
        <v>9183</v>
      </c>
      <c r="H1487" s="1" t="s">
        <v>9075</v>
      </c>
      <c r="I1487" s="1" t="s">
        <v>9121</v>
      </c>
      <c r="J1487" s="2" t="s">
        <v>9036</v>
      </c>
      <c r="K1487" s="1" t="s">
        <v>9036</v>
      </c>
      <c r="L1487" s="1" t="s">
        <v>21600</v>
      </c>
      <c r="M1487" s="1">
        <v>48</v>
      </c>
      <c r="N1487" s="1" t="s">
        <v>8953</v>
      </c>
      <c r="O1487" s="1" t="s">
        <v>8989</v>
      </c>
      <c r="P1487" s="1" t="s">
        <v>8955</v>
      </c>
      <c r="Q1487" s="1" t="s">
        <v>8956</v>
      </c>
      <c r="R1487" s="1" t="s">
        <v>8975</v>
      </c>
      <c r="S1487" s="1" t="s">
        <v>5001</v>
      </c>
      <c r="T1487" s="1" t="s">
        <v>11</v>
      </c>
      <c r="U1487" s="1" t="s">
        <v>61</v>
      </c>
    </row>
    <row r="1488" spans="1:21" x14ac:dyDescent="0.2">
      <c r="A1488" s="88" t="s">
        <v>17128</v>
      </c>
      <c r="B1488" s="88" t="e">
        <f>VLOOKUP(C1488,#REF!,1,0)</f>
        <v>#REF!</v>
      </c>
      <c r="C1488" s="1" t="s">
        <v>5002</v>
      </c>
      <c r="D1488" s="1" t="s">
        <v>5003</v>
      </c>
      <c r="E1488" s="1" t="s">
        <v>11671</v>
      </c>
      <c r="F1488" s="1" t="s">
        <v>8957</v>
      </c>
      <c r="G1488" t="s">
        <v>9009</v>
      </c>
      <c r="H1488" s="1" t="s">
        <v>9100</v>
      </c>
      <c r="I1488" s="1" t="s">
        <v>8949</v>
      </c>
      <c r="J1488" s="2" t="s">
        <v>20813</v>
      </c>
      <c r="K1488" s="1" t="s">
        <v>20770</v>
      </c>
      <c r="L1488" s="1" t="s">
        <v>8987</v>
      </c>
      <c r="M1488" s="1">
        <v>3117</v>
      </c>
      <c r="N1488" s="1" t="s">
        <v>8953</v>
      </c>
      <c r="O1488" s="1" t="s">
        <v>8954</v>
      </c>
      <c r="P1488" s="1" t="s">
        <v>8955</v>
      </c>
      <c r="Q1488" s="1" t="s">
        <v>8956</v>
      </c>
      <c r="R1488" s="1" t="s">
        <v>8975</v>
      </c>
      <c r="S1488" s="1" t="s">
        <v>20641</v>
      </c>
      <c r="T1488" s="1" t="s">
        <v>7</v>
      </c>
      <c r="U1488" s="1" t="s">
        <v>126</v>
      </c>
    </row>
    <row r="1489" spans="1:21" x14ac:dyDescent="0.2">
      <c r="A1489" s="88" t="s">
        <v>17129</v>
      </c>
      <c r="B1489" s="88" t="e">
        <f>VLOOKUP(C1489,#REF!,1,0)</f>
        <v>#REF!</v>
      </c>
      <c r="C1489" s="1" t="s">
        <v>5004</v>
      </c>
      <c r="D1489" s="1" t="s">
        <v>5005</v>
      </c>
      <c r="E1489" s="1" t="s">
        <v>9650</v>
      </c>
      <c r="F1489" s="1" t="s">
        <v>8957</v>
      </c>
      <c r="G1489" t="s">
        <v>9183</v>
      </c>
      <c r="H1489" s="1" t="s">
        <v>9100</v>
      </c>
      <c r="I1489" s="1" t="s">
        <v>8949</v>
      </c>
      <c r="J1489" s="2" t="s">
        <v>9036</v>
      </c>
      <c r="K1489" s="1" t="s">
        <v>9036</v>
      </c>
      <c r="L1489" s="1" t="s">
        <v>9464</v>
      </c>
      <c r="M1489" s="1">
        <v>642</v>
      </c>
      <c r="N1489" s="1" t="s">
        <v>8953</v>
      </c>
      <c r="O1489" s="1" t="s">
        <v>8989</v>
      </c>
      <c r="P1489" s="1" t="s">
        <v>8955</v>
      </c>
      <c r="Q1489" s="1" t="s">
        <v>8956</v>
      </c>
      <c r="R1489" s="1" t="s">
        <v>8958</v>
      </c>
      <c r="S1489" s="1" t="s">
        <v>5006</v>
      </c>
      <c r="T1489" s="1" t="s">
        <v>11</v>
      </c>
      <c r="U1489" s="1" t="s">
        <v>359</v>
      </c>
    </row>
    <row r="1490" spans="1:21" x14ac:dyDescent="0.2">
      <c r="A1490" s="88" t="s">
        <v>17130</v>
      </c>
      <c r="B1490" s="88" t="e">
        <f>VLOOKUP(C1490,#REF!,1,0)</f>
        <v>#REF!</v>
      </c>
      <c r="C1490" s="1" t="s">
        <v>5007</v>
      </c>
      <c r="D1490" s="1" t="s">
        <v>5008</v>
      </c>
      <c r="E1490" s="1" t="s">
        <v>9650</v>
      </c>
      <c r="F1490" s="1" t="s">
        <v>9060</v>
      </c>
      <c r="G1490" t="s">
        <v>8959</v>
      </c>
      <c r="H1490" s="1" t="s">
        <v>9100</v>
      </c>
      <c r="I1490" s="1" t="s">
        <v>8949</v>
      </c>
      <c r="J1490" s="2" t="s">
        <v>20890</v>
      </c>
      <c r="K1490" s="1" t="s">
        <v>21201</v>
      </c>
      <c r="L1490" s="1" t="s">
        <v>8951</v>
      </c>
      <c r="M1490" s="1">
        <v>2182</v>
      </c>
      <c r="N1490" s="1" t="s">
        <v>8953</v>
      </c>
      <c r="O1490" s="1" t="s">
        <v>8954</v>
      </c>
      <c r="P1490" s="1" t="s">
        <v>8955</v>
      </c>
      <c r="Q1490" s="1" t="s">
        <v>8956</v>
      </c>
      <c r="R1490" s="1" t="s">
        <v>8958</v>
      </c>
      <c r="S1490" s="1" t="s">
        <v>19602</v>
      </c>
      <c r="T1490" s="1" t="s">
        <v>7</v>
      </c>
      <c r="U1490" s="1" t="s">
        <v>27</v>
      </c>
    </row>
    <row r="1491" spans="1:21" x14ac:dyDescent="0.2">
      <c r="A1491" s="88" t="s">
        <v>17131</v>
      </c>
      <c r="B1491" s="88" t="e">
        <f>VLOOKUP(C1491,#REF!,1,0)</f>
        <v>#REF!</v>
      </c>
      <c r="C1491" s="1" t="s">
        <v>5009</v>
      </c>
      <c r="D1491" s="1" t="s">
        <v>5010</v>
      </c>
      <c r="E1491" s="1" t="s">
        <v>9650</v>
      </c>
      <c r="F1491" s="1" t="s">
        <v>8957</v>
      </c>
      <c r="G1491" t="s">
        <v>8959</v>
      </c>
      <c r="H1491" s="1" t="s">
        <v>9154</v>
      </c>
      <c r="I1491" s="1" t="s">
        <v>8949</v>
      </c>
      <c r="J1491" s="2" t="s">
        <v>10492</v>
      </c>
      <c r="K1491" s="1" t="s">
        <v>10492</v>
      </c>
      <c r="L1491" s="1" t="s">
        <v>9076</v>
      </c>
      <c r="M1491" s="1">
        <v>130</v>
      </c>
      <c r="N1491" s="1" t="s">
        <v>9059</v>
      </c>
      <c r="O1491" s="1" t="s">
        <v>8954</v>
      </c>
      <c r="P1491" s="1" t="s">
        <v>8955</v>
      </c>
      <c r="Q1491" s="1" t="s">
        <v>8956</v>
      </c>
      <c r="R1491" s="1" t="s">
        <v>8958</v>
      </c>
      <c r="S1491" s="1" t="s">
        <v>19603</v>
      </c>
      <c r="T1491" s="1" t="s">
        <v>7</v>
      </c>
      <c r="U1491" s="1" t="s">
        <v>2723</v>
      </c>
    </row>
    <row r="1492" spans="1:21" x14ac:dyDescent="0.2">
      <c r="A1492" s="88" t="s">
        <v>17132</v>
      </c>
      <c r="B1492" s="88" t="e">
        <f>VLOOKUP(C1492,#REF!,1,0)</f>
        <v>#REF!</v>
      </c>
      <c r="C1492" s="1" t="s">
        <v>5015</v>
      </c>
      <c r="D1492" s="1" t="s">
        <v>5016</v>
      </c>
      <c r="E1492" s="1" t="s">
        <v>10049</v>
      </c>
      <c r="F1492" s="1" t="s">
        <v>8959</v>
      </c>
      <c r="G1492" t="s">
        <v>8959</v>
      </c>
      <c r="H1492" s="1" t="s">
        <v>9154</v>
      </c>
      <c r="I1492" s="1" t="s">
        <v>8949</v>
      </c>
      <c r="J1492" s="2" t="s">
        <v>20779</v>
      </c>
      <c r="K1492" s="1" t="s">
        <v>9036</v>
      </c>
      <c r="L1492" s="1" t="s">
        <v>9133</v>
      </c>
      <c r="M1492" s="1">
        <v>206</v>
      </c>
      <c r="N1492" s="1" t="s">
        <v>9059</v>
      </c>
      <c r="O1492" s="1" t="s">
        <v>8989</v>
      </c>
      <c r="P1492" s="1" t="s">
        <v>8955</v>
      </c>
      <c r="Q1492" s="1" t="s">
        <v>8956</v>
      </c>
      <c r="R1492" s="1" t="s">
        <v>8975</v>
      </c>
      <c r="S1492" s="1" t="s">
        <v>19605</v>
      </c>
      <c r="T1492" s="1" t="s">
        <v>7</v>
      </c>
      <c r="U1492" s="1" t="s">
        <v>571</v>
      </c>
    </row>
    <row r="1493" spans="1:21" x14ac:dyDescent="0.2">
      <c r="A1493" s="88" t="s">
        <v>17133</v>
      </c>
      <c r="B1493" s="88" t="e">
        <f>VLOOKUP(C1493,#REF!,1,0)</f>
        <v>#REF!</v>
      </c>
      <c r="C1493" s="1" t="s">
        <v>5017</v>
      </c>
      <c r="D1493" s="1" t="s">
        <v>5018</v>
      </c>
      <c r="E1493" s="1" t="s">
        <v>12547</v>
      </c>
      <c r="F1493" s="1" t="s">
        <v>8957</v>
      </c>
      <c r="G1493" t="s">
        <v>8959</v>
      </c>
      <c r="H1493" s="1" t="s">
        <v>8948</v>
      </c>
      <c r="I1493" s="1" t="s">
        <v>8949</v>
      </c>
      <c r="J1493" s="2" t="s">
        <v>21205</v>
      </c>
      <c r="K1493" s="1" t="s">
        <v>21205</v>
      </c>
      <c r="L1493" s="1" t="s">
        <v>8951</v>
      </c>
      <c r="M1493" s="1">
        <v>180</v>
      </c>
      <c r="N1493" s="1" t="s">
        <v>8953</v>
      </c>
      <c r="O1493" s="1" t="s">
        <v>8954</v>
      </c>
      <c r="P1493" s="1" t="s">
        <v>8955</v>
      </c>
      <c r="Q1493" s="1" t="s">
        <v>8956</v>
      </c>
      <c r="R1493" s="1" t="s">
        <v>9103</v>
      </c>
      <c r="S1493" s="1" t="s">
        <v>19606</v>
      </c>
      <c r="T1493" s="1" t="s">
        <v>17</v>
      </c>
      <c r="U1493" s="1" t="s">
        <v>46</v>
      </c>
    </row>
    <row r="1494" spans="1:21" x14ac:dyDescent="0.2">
      <c r="A1494" s="88" t="s">
        <v>17134</v>
      </c>
      <c r="B1494" s="88" t="e">
        <f>VLOOKUP(C1494,#REF!,1,0)</f>
        <v>#REF!</v>
      </c>
      <c r="C1494" s="1" t="s">
        <v>5025</v>
      </c>
      <c r="D1494" s="1" t="s">
        <v>5026</v>
      </c>
      <c r="E1494" s="1" t="s">
        <v>9333</v>
      </c>
      <c r="F1494" s="1" t="s">
        <v>8959</v>
      </c>
      <c r="G1494" t="s">
        <v>9061</v>
      </c>
      <c r="H1494" s="1" t="s">
        <v>9100</v>
      </c>
      <c r="I1494" s="1" t="s">
        <v>9155</v>
      </c>
      <c r="J1494" s="2" t="s">
        <v>9658</v>
      </c>
      <c r="K1494" s="1" t="s">
        <v>21771</v>
      </c>
      <c r="L1494" s="1" t="s">
        <v>8987</v>
      </c>
      <c r="M1494" s="1">
        <v>240</v>
      </c>
      <c r="N1494" s="1" t="s">
        <v>8953</v>
      </c>
      <c r="O1494" s="1" t="s">
        <v>8989</v>
      </c>
      <c r="P1494" s="1" t="s">
        <v>8955</v>
      </c>
      <c r="Q1494" s="1" t="s">
        <v>8956</v>
      </c>
      <c r="R1494" s="1" t="s">
        <v>8975</v>
      </c>
      <c r="S1494" s="1" t="s">
        <v>5027</v>
      </c>
      <c r="T1494" s="1" t="s">
        <v>11</v>
      </c>
      <c r="U1494" s="1" t="s">
        <v>234</v>
      </c>
    </row>
    <row r="1495" spans="1:21" x14ac:dyDescent="0.2">
      <c r="A1495" s="88" t="s">
        <v>17135</v>
      </c>
      <c r="B1495" s="88" t="e">
        <f>VLOOKUP(C1495,#REF!,1,0)</f>
        <v>#REF!</v>
      </c>
      <c r="C1495" s="1" t="s">
        <v>5028</v>
      </c>
      <c r="D1495" s="1" t="s">
        <v>5029</v>
      </c>
      <c r="E1495" s="1" t="s">
        <v>20822</v>
      </c>
      <c r="F1495" s="1" t="s">
        <v>8959</v>
      </c>
      <c r="G1495" t="s">
        <v>8959</v>
      </c>
      <c r="H1495" s="1" t="s">
        <v>9100</v>
      </c>
      <c r="I1495" s="1" t="s">
        <v>8949</v>
      </c>
      <c r="J1495" s="2" t="s">
        <v>20779</v>
      </c>
      <c r="K1495" s="1" t="s">
        <v>9036</v>
      </c>
      <c r="L1495" s="1" t="s">
        <v>9133</v>
      </c>
      <c r="M1495" s="1">
        <v>406</v>
      </c>
      <c r="N1495" s="1" t="s">
        <v>9059</v>
      </c>
      <c r="O1495" s="1" t="s">
        <v>8954</v>
      </c>
      <c r="P1495" s="1" t="s">
        <v>8955</v>
      </c>
      <c r="Q1495" s="1" t="s">
        <v>8956</v>
      </c>
      <c r="R1495" s="1" t="s">
        <v>9103</v>
      </c>
      <c r="S1495" s="1" t="s">
        <v>19608</v>
      </c>
      <c r="T1495" s="1" t="s">
        <v>7</v>
      </c>
      <c r="U1495" s="1" t="s">
        <v>110</v>
      </c>
    </row>
    <row r="1496" spans="1:21" x14ac:dyDescent="0.2">
      <c r="A1496" s="88" t="s">
        <v>17136</v>
      </c>
      <c r="B1496" s="88" t="e">
        <f>VLOOKUP(C1496,#REF!,1,0)</f>
        <v>#REF!</v>
      </c>
      <c r="C1496" s="1" t="s">
        <v>20892</v>
      </c>
      <c r="D1496" s="1" t="s">
        <v>5030</v>
      </c>
      <c r="E1496" s="1" t="s">
        <v>10049</v>
      </c>
      <c r="F1496" s="1" t="s">
        <v>8957</v>
      </c>
      <c r="G1496" t="s">
        <v>8959</v>
      </c>
      <c r="H1496" s="1" t="s">
        <v>8984</v>
      </c>
      <c r="I1496" s="1" t="s">
        <v>9131</v>
      </c>
      <c r="J1496" s="2" t="s">
        <v>20785</v>
      </c>
      <c r="K1496" s="1" t="s">
        <v>18491</v>
      </c>
      <c r="L1496" s="1" t="s">
        <v>9076</v>
      </c>
      <c r="M1496" s="1">
        <v>160</v>
      </c>
      <c r="N1496" s="1" t="s">
        <v>8953</v>
      </c>
      <c r="O1496" s="1" t="s">
        <v>8989</v>
      </c>
      <c r="P1496" s="1" t="s">
        <v>8955</v>
      </c>
      <c r="Q1496" s="1" t="s">
        <v>8956</v>
      </c>
      <c r="R1496" s="1" t="s">
        <v>8958</v>
      </c>
      <c r="S1496" s="1" t="s">
        <v>19609</v>
      </c>
      <c r="T1496" s="1" t="s">
        <v>7</v>
      </c>
      <c r="U1496" s="1" t="s">
        <v>184</v>
      </c>
    </row>
    <row r="1497" spans="1:21" x14ac:dyDescent="0.2">
      <c r="A1497" s="88" t="s">
        <v>17137</v>
      </c>
      <c r="B1497" s="88" t="e">
        <f>VLOOKUP(C1497,#REF!,1,0)</f>
        <v>#REF!</v>
      </c>
      <c r="C1497" s="1" t="s">
        <v>5031</v>
      </c>
      <c r="D1497" s="1" t="s">
        <v>5032</v>
      </c>
      <c r="E1497" s="1" t="s">
        <v>9852</v>
      </c>
      <c r="F1497" s="1" t="s">
        <v>8974</v>
      </c>
      <c r="G1497" t="s">
        <v>8959</v>
      </c>
      <c r="H1497" s="1" t="s">
        <v>8984</v>
      </c>
      <c r="I1497" s="1" t="s">
        <v>8998</v>
      </c>
      <c r="J1497" s="2" t="s">
        <v>9212</v>
      </c>
      <c r="K1497" s="1" t="s">
        <v>10607</v>
      </c>
      <c r="L1497" s="1" t="s">
        <v>8951</v>
      </c>
      <c r="M1497" s="1">
        <v>948</v>
      </c>
      <c r="N1497" s="1" t="s">
        <v>8953</v>
      </c>
      <c r="O1497" s="1" t="s">
        <v>8989</v>
      </c>
      <c r="P1497" s="1" t="s">
        <v>8955</v>
      </c>
      <c r="Q1497" s="1" t="s">
        <v>8956</v>
      </c>
      <c r="R1497" s="1" t="s">
        <v>8958</v>
      </c>
      <c r="S1497" s="1" t="s">
        <v>5033</v>
      </c>
      <c r="T1497" s="1" t="s">
        <v>11</v>
      </c>
      <c r="U1497" s="1" t="s">
        <v>598</v>
      </c>
    </row>
    <row r="1498" spans="1:21" x14ac:dyDescent="0.2">
      <c r="A1498" s="88" t="s">
        <v>17138</v>
      </c>
      <c r="B1498" s="88" t="e">
        <f>VLOOKUP(C1498,#REF!,1,0)</f>
        <v>#REF!</v>
      </c>
      <c r="C1498" s="1" t="s">
        <v>5034</v>
      </c>
      <c r="D1498" s="1" t="s">
        <v>5035</v>
      </c>
      <c r="E1498" s="1" t="s">
        <v>18502</v>
      </c>
      <c r="F1498" s="1" t="s">
        <v>8959</v>
      </c>
      <c r="G1498" t="s">
        <v>8959</v>
      </c>
      <c r="H1498" s="1" t="s">
        <v>8984</v>
      </c>
      <c r="I1498" s="1" t="s">
        <v>9155</v>
      </c>
      <c r="J1498" s="2" t="s">
        <v>21449</v>
      </c>
      <c r="K1498" s="1" t="s">
        <v>10629</v>
      </c>
      <c r="L1498" s="1" t="s">
        <v>21605</v>
      </c>
      <c r="M1498" s="1">
        <v>3400</v>
      </c>
      <c r="N1498" s="1" t="s">
        <v>8953</v>
      </c>
      <c r="O1498" s="1" t="s">
        <v>8989</v>
      </c>
      <c r="P1498" s="1" t="s">
        <v>8955</v>
      </c>
      <c r="Q1498" s="1" t="s">
        <v>8956</v>
      </c>
      <c r="R1498" s="1" t="s">
        <v>8958</v>
      </c>
      <c r="S1498" s="1" t="s">
        <v>19610</v>
      </c>
      <c r="T1498" s="1" t="s">
        <v>7</v>
      </c>
      <c r="U1498" s="1" t="s">
        <v>46</v>
      </c>
    </row>
    <row r="1499" spans="1:21" x14ac:dyDescent="0.2">
      <c r="A1499" s="88" t="s">
        <v>17139</v>
      </c>
      <c r="B1499" s="88" t="e">
        <f>VLOOKUP(C1499,#REF!,1,0)</f>
        <v>#REF!</v>
      </c>
      <c r="C1499" s="1" t="s">
        <v>5036</v>
      </c>
      <c r="D1499" s="1" t="s">
        <v>5037</v>
      </c>
      <c r="E1499" s="1" t="s">
        <v>9246</v>
      </c>
      <c r="F1499" s="1" t="s">
        <v>8974</v>
      </c>
      <c r="G1499" t="s">
        <v>9183</v>
      </c>
      <c r="H1499" s="1" t="s">
        <v>9092</v>
      </c>
      <c r="I1499" s="1" t="s">
        <v>8998</v>
      </c>
      <c r="J1499" s="2" t="s">
        <v>9051</v>
      </c>
      <c r="K1499" s="1" t="s">
        <v>9051</v>
      </c>
      <c r="L1499" s="1" t="s">
        <v>9133</v>
      </c>
      <c r="M1499" s="1">
        <v>91</v>
      </c>
      <c r="N1499" s="1" t="s">
        <v>9059</v>
      </c>
      <c r="O1499" s="1" t="s">
        <v>8989</v>
      </c>
      <c r="P1499" s="1" t="s">
        <v>8955</v>
      </c>
      <c r="Q1499" s="1" t="s">
        <v>8956</v>
      </c>
      <c r="R1499" s="1" t="s">
        <v>8975</v>
      </c>
      <c r="S1499" s="1" t="s">
        <v>5038</v>
      </c>
      <c r="T1499" s="1" t="s">
        <v>11</v>
      </c>
      <c r="U1499" s="1" t="s">
        <v>378</v>
      </c>
    </row>
    <row r="1500" spans="1:21" x14ac:dyDescent="0.2">
      <c r="A1500" s="88" t="s">
        <v>17140</v>
      </c>
      <c r="B1500" s="88" t="e">
        <f>VLOOKUP(C1500,#REF!,1,0)</f>
        <v>#REF!</v>
      </c>
      <c r="C1500" s="1" t="s">
        <v>5039</v>
      </c>
      <c r="D1500" s="1" t="s">
        <v>5040</v>
      </c>
      <c r="E1500" s="1" t="s">
        <v>18502</v>
      </c>
      <c r="F1500" s="1" t="s">
        <v>8957</v>
      </c>
      <c r="G1500" t="s">
        <v>9009</v>
      </c>
      <c r="H1500" s="1" t="s">
        <v>9035</v>
      </c>
      <c r="I1500" s="1" t="s">
        <v>8998</v>
      </c>
      <c r="J1500" s="2" t="s">
        <v>21524</v>
      </c>
      <c r="K1500" s="1" t="s">
        <v>9036</v>
      </c>
      <c r="L1500" s="1" t="s">
        <v>8987</v>
      </c>
      <c r="M1500" s="1">
        <f>5972+575</f>
        <v>6547</v>
      </c>
      <c r="N1500" s="1" t="s">
        <v>9059</v>
      </c>
      <c r="O1500" s="1" t="s">
        <v>8954</v>
      </c>
      <c r="P1500" s="1" t="s">
        <v>8955</v>
      </c>
      <c r="Q1500" s="1" t="s">
        <v>8956</v>
      </c>
      <c r="R1500" s="1" t="s">
        <v>8975</v>
      </c>
      <c r="S1500" s="1" t="s">
        <v>20642</v>
      </c>
      <c r="T1500" s="1" t="s">
        <v>7</v>
      </c>
      <c r="U1500" s="1" t="s">
        <v>752</v>
      </c>
    </row>
    <row r="1501" spans="1:21" x14ac:dyDescent="0.2">
      <c r="A1501" s="88" t="s">
        <v>17141</v>
      </c>
      <c r="B1501" s="88" t="e">
        <f>VLOOKUP(C1501,#REF!,1,0)</f>
        <v>#REF!</v>
      </c>
      <c r="C1501" s="1" t="s">
        <v>5041</v>
      </c>
      <c r="D1501" s="1" t="s">
        <v>5042</v>
      </c>
      <c r="E1501" s="1" t="s">
        <v>20895</v>
      </c>
      <c r="F1501" s="1" t="s">
        <v>8959</v>
      </c>
      <c r="G1501" t="s">
        <v>8959</v>
      </c>
      <c r="H1501" s="1" t="s">
        <v>9035</v>
      </c>
      <c r="I1501" s="1" t="s">
        <v>8998</v>
      </c>
      <c r="J1501" s="2" t="s">
        <v>21450</v>
      </c>
      <c r="K1501" s="1" t="s">
        <v>21703</v>
      </c>
      <c r="L1501" s="1" t="s">
        <v>8987</v>
      </c>
      <c r="M1501" s="1">
        <v>1956</v>
      </c>
      <c r="N1501" s="1" t="s">
        <v>8953</v>
      </c>
      <c r="O1501" s="1" t="s">
        <v>8954</v>
      </c>
      <c r="P1501" s="1" t="s">
        <v>8955</v>
      </c>
      <c r="Q1501" s="1" t="s">
        <v>8956</v>
      </c>
      <c r="R1501" s="1" t="s">
        <v>9103</v>
      </c>
      <c r="S1501" s="1" t="s">
        <v>19611</v>
      </c>
      <c r="T1501" s="1" t="s">
        <v>7</v>
      </c>
      <c r="U1501" s="1" t="s">
        <v>234</v>
      </c>
    </row>
    <row r="1502" spans="1:21" x14ac:dyDescent="0.2">
      <c r="A1502" s="88" t="s">
        <v>17142</v>
      </c>
      <c r="B1502" s="88"/>
      <c r="C1502" s="1" t="s">
        <v>5043</v>
      </c>
      <c r="D1502" s="1" t="s">
        <v>5044</v>
      </c>
      <c r="E1502" s="1" t="e">
        <v>#N/A</v>
      </c>
      <c r="F1502" s="1" t="e">
        <v>#N/A</v>
      </c>
      <c r="G1502" t="e">
        <v>#N/A</v>
      </c>
      <c r="H1502" s="1" t="e">
        <v>#N/A</v>
      </c>
      <c r="I1502" s="1" t="e">
        <v>#N/A</v>
      </c>
      <c r="J1502" s="2" t="e">
        <v>#N/A</v>
      </c>
      <c r="K1502" s="1" t="e">
        <v>#N/A</v>
      </c>
      <c r="L1502" s="1" t="e">
        <v>#N/A</v>
      </c>
      <c r="M1502" s="1" t="e">
        <v>#N/A</v>
      </c>
      <c r="N1502" s="1" t="e">
        <v>#N/A</v>
      </c>
      <c r="O1502" s="1" t="e">
        <v>#N/A</v>
      </c>
      <c r="P1502" s="1" t="s">
        <v>8955</v>
      </c>
      <c r="Q1502" s="1" t="s">
        <v>8956</v>
      </c>
      <c r="R1502" s="1" t="s">
        <v>9103</v>
      </c>
      <c r="S1502" s="1" t="s">
        <v>19611</v>
      </c>
      <c r="T1502" s="1" t="s">
        <v>252</v>
      </c>
      <c r="U1502" s="1" t="s">
        <v>64</v>
      </c>
    </row>
    <row r="1503" spans="1:21" x14ac:dyDescent="0.2">
      <c r="A1503" s="88" t="s">
        <v>17143</v>
      </c>
      <c r="B1503" s="88" t="e">
        <f>VLOOKUP(C1503,#REF!,1,0)</f>
        <v>#REF!</v>
      </c>
      <c r="C1503" s="1" t="s">
        <v>5045</v>
      </c>
      <c r="D1503" s="1" t="s">
        <v>5046</v>
      </c>
      <c r="E1503" s="1" t="s">
        <v>9333</v>
      </c>
      <c r="F1503" s="1" t="s">
        <v>8959</v>
      </c>
      <c r="G1503" t="s">
        <v>9183</v>
      </c>
      <c r="H1503" s="1" t="s">
        <v>9049</v>
      </c>
      <c r="I1503" s="1" t="s">
        <v>9050</v>
      </c>
      <c r="J1503" s="2" t="s">
        <v>9036</v>
      </c>
      <c r="K1503" s="1" t="s">
        <v>9036</v>
      </c>
      <c r="L1503" s="1" t="s">
        <v>8951</v>
      </c>
      <c r="M1503" s="1">
        <v>1399</v>
      </c>
      <c r="N1503" s="1" t="s">
        <v>9059</v>
      </c>
      <c r="O1503" s="1" t="s">
        <v>8989</v>
      </c>
      <c r="P1503" s="1" t="s">
        <v>8955</v>
      </c>
      <c r="Q1503" s="1" t="s">
        <v>8956</v>
      </c>
      <c r="R1503" s="1" t="s">
        <v>8958</v>
      </c>
      <c r="S1503" s="1" t="s">
        <v>5047</v>
      </c>
      <c r="T1503" s="1" t="s">
        <v>11</v>
      </c>
      <c r="U1503" s="1" t="s">
        <v>213</v>
      </c>
    </row>
    <row r="1504" spans="1:21" x14ac:dyDescent="0.2">
      <c r="A1504" s="88" t="s">
        <v>17144</v>
      </c>
      <c r="B1504" s="88" t="e">
        <f>VLOOKUP(C1504,#REF!,1,0)</f>
        <v>#REF!</v>
      </c>
      <c r="C1504" s="1" t="s">
        <v>5048</v>
      </c>
      <c r="D1504" s="1" t="s">
        <v>5049</v>
      </c>
      <c r="E1504" s="1" t="s">
        <v>18502</v>
      </c>
      <c r="F1504" s="1" t="s">
        <v>8957</v>
      </c>
      <c r="G1504" t="s">
        <v>9061</v>
      </c>
      <c r="H1504" s="1" t="s">
        <v>9154</v>
      </c>
      <c r="I1504" s="1" t="s">
        <v>8949</v>
      </c>
      <c r="J1504" s="2" t="s">
        <v>10492</v>
      </c>
      <c r="K1504" s="1" t="s">
        <v>21645</v>
      </c>
      <c r="L1504" s="1" t="s">
        <v>9076</v>
      </c>
      <c r="M1504" s="1">
        <v>367</v>
      </c>
      <c r="N1504" s="1" t="s">
        <v>9059</v>
      </c>
      <c r="O1504" s="1" t="s">
        <v>8989</v>
      </c>
      <c r="P1504" s="1" t="s">
        <v>8955</v>
      </c>
      <c r="Q1504" s="1" t="s">
        <v>8956</v>
      </c>
      <c r="R1504" s="1" t="s">
        <v>9103</v>
      </c>
      <c r="S1504" s="1" t="s">
        <v>19612</v>
      </c>
      <c r="T1504" s="1" t="s">
        <v>7</v>
      </c>
      <c r="U1504" s="1" t="s">
        <v>180</v>
      </c>
    </row>
    <row r="1505" spans="1:21" x14ac:dyDescent="0.2">
      <c r="A1505" s="88" t="s">
        <v>17145</v>
      </c>
      <c r="B1505" s="88" t="e">
        <f>VLOOKUP(C1505,#REF!,1,0)</f>
        <v>#REF!</v>
      </c>
      <c r="C1505" s="1" t="s">
        <v>5050</v>
      </c>
      <c r="D1505" s="1" t="s">
        <v>5051</v>
      </c>
      <c r="E1505" s="1" t="s">
        <v>18502</v>
      </c>
      <c r="F1505" s="1" t="s">
        <v>8957</v>
      </c>
      <c r="G1505" t="s">
        <v>8959</v>
      </c>
      <c r="H1505" s="1" t="s">
        <v>9035</v>
      </c>
      <c r="I1505" s="1" t="s">
        <v>8998</v>
      </c>
      <c r="J1505" s="2" t="s">
        <v>20779</v>
      </c>
      <c r="K1505" s="1" t="s">
        <v>9036</v>
      </c>
      <c r="L1505" s="1" t="s">
        <v>8951</v>
      </c>
      <c r="M1505" s="1">
        <v>494</v>
      </c>
      <c r="N1505" s="1" t="s">
        <v>9059</v>
      </c>
      <c r="O1505" s="1" t="s">
        <v>8989</v>
      </c>
      <c r="P1505" s="1" t="s">
        <v>8955</v>
      </c>
      <c r="Q1505" s="1" t="s">
        <v>8956</v>
      </c>
      <c r="R1505" s="1" t="s">
        <v>8975</v>
      </c>
      <c r="S1505" s="1" t="s">
        <v>19613</v>
      </c>
      <c r="T1505" s="1" t="s">
        <v>17</v>
      </c>
      <c r="U1505" s="1" t="s">
        <v>5052</v>
      </c>
    </row>
    <row r="1506" spans="1:21" x14ac:dyDescent="0.2">
      <c r="A1506" s="88" t="s">
        <v>17146</v>
      </c>
      <c r="B1506" s="88" t="e">
        <f>VLOOKUP(C1506,#REF!,1,0)</f>
        <v>#REF!</v>
      </c>
      <c r="C1506" s="1" t="s">
        <v>5053</v>
      </c>
      <c r="D1506" s="1" t="s">
        <v>5054</v>
      </c>
      <c r="E1506" s="1" t="s">
        <v>9815</v>
      </c>
      <c r="F1506" s="1" t="s">
        <v>8959</v>
      </c>
      <c r="G1506" t="s">
        <v>8959</v>
      </c>
      <c r="H1506" s="1" t="s">
        <v>9075</v>
      </c>
      <c r="I1506" s="1" t="s">
        <v>8971</v>
      </c>
      <c r="J1506" s="2" t="s">
        <v>10492</v>
      </c>
      <c r="K1506" s="1" t="s">
        <v>10492</v>
      </c>
      <c r="L1506" s="1" t="s">
        <v>21600</v>
      </c>
      <c r="M1506" s="1">
        <v>13200</v>
      </c>
      <c r="N1506" s="1" t="s">
        <v>8953</v>
      </c>
      <c r="O1506" s="1" t="s">
        <v>8989</v>
      </c>
      <c r="P1506" s="1" t="s">
        <v>8955</v>
      </c>
      <c r="Q1506" s="1" t="s">
        <v>8956</v>
      </c>
      <c r="R1506" s="1" t="s">
        <v>8958</v>
      </c>
      <c r="S1506" s="1" t="s">
        <v>19614</v>
      </c>
      <c r="T1506" s="1" t="s">
        <v>7</v>
      </c>
      <c r="U1506" s="1" t="s">
        <v>46</v>
      </c>
    </row>
    <row r="1507" spans="1:21" x14ac:dyDescent="0.2">
      <c r="A1507" s="88" t="s">
        <v>17147</v>
      </c>
      <c r="B1507" s="88" t="e">
        <f>VLOOKUP(C1507,#REF!,1,0)</f>
        <v>#REF!</v>
      </c>
      <c r="C1507" s="1" t="s">
        <v>5055</v>
      </c>
      <c r="D1507" s="1" t="s">
        <v>5056</v>
      </c>
      <c r="E1507" s="1" t="s">
        <v>9333</v>
      </c>
      <c r="F1507" s="1" t="s">
        <v>8974</v>
      </c>
      <c r="G1507" t="s">
        <v>9183</v>
      </c>
      <c r="H1507" s="1" t="s">
        <v>9092</v>
      </c>
      <c r="I1507" s="1" t="s">
        <v>9308</v>
      </c>
      <c r="J1507" s="2" t="s">
        <v>21283</v>
      </c>
      <c r="K1507" s="1" t="s">
        <v>21704</v>
      </c>
      <c r="L1507" s="1" t="s">
        <v>9292</v>
      </c>
      <c r="M1507" s="1">
        <v>60</v>
      </c>
      <c r="N1507" s="1" t="s">
        <v>8953</v>
      </c>
      <c r="O1507" s="1" t="s">
        <v>8989</v>
      </c>
      <c r="P1507" s="1" t="s">
        <v>8955</v>
      </c>
      <c r="Q1507" s="1" t="s">
        <v>8956</v>
      </c>
      <c r="R1507" s="1" t="s">
        <v>9103</v>
      </c>
      <c r="S1507" s="1" t="s">
        <v>19615</v>
      </c>
      <c r="T1507" s="1" t="s">
        <v>7</v>
      </c>
      <c r="U1507" s="1" t="s">
        <v>24</v>
      </c>
    </row>
    <row r="1508" spans="1:21" x14ac:dyDescent="0.2">
      <c r="A1508" s="88" t="s">
        <v>17148</v>
      </c>
      <c r="B1508" s="88" t="e">
        <f>VLOOKUP(C1508,#REF!,1,0)</f>
        <v>#REF!</v>
      </c>
      <c r="C1508" s="1" t="s">
        <v>5057</v>
      </c>
      <c r="D1508" s="1" t="s">
        <v>5058</v>
      </c>
      <c r="E1508" s="1" t="s">
        <v>9333</v>
      </c>
      <c r="F1508" s="1" t="s">
        <v>8957</v>
      </c>
      <c r="G1508" t="s">
        <v>8959</v>
      </c>
      <c r="H1508" s="1" t="s">
        <v>9075</v>
      </c>
      <c r="I1508" s="1" t="s">
        <v>9422</v>
      </c>
      <c r="J1508" s="2" t="s">
        <v>10492</v>
      </c>
      <c r="K1508" s="1" t="s">
        <v>10492</v>
      </c>
      <c r="L1508" s="1" t="s">
        <v>9133</v>
      </c>
      <c r="M1508" s="1">
        <v>41</v>
      </c>
      <c r="N1508" s="1" t="s">
        <v>9059</v>
      </c>
      <c r="O1508" s="1" t="s">
        <v>8954</v>
      </c>
      <c r="P1508" s="1" t="s">
        <v>8955</v>
      </c>
      <c r="Q1508" s="1" t="s">
        <v>8956</v>
      </c>
      <c r="R1508" s="1" t="s">
        <v>8975</v>
      </c>
      <c r="S1508" s="1" t="s">
        <v>19616</v>
      </c>
      <c r="T1508" s="1" t="s">
        <v>7</v>
      </c>
      <c r="U1508" s="1" t="s">
        <v>1979</v>
      </c>
    </row>
    <row r="1509" spans="1:21" x14ac:dyDescent="0.2">
      <c r="A1509" s="88" t="s">
        <v>17149</v>
      </c>
      <c r="B1509" s="88" t="e">
        <f>VLOOKUP(C1509,#REF!,1,0)</f>
        <v>#REF!</v>
      </c>
      <c r="C1509" s="1" t="s">
        <v>5059</v>
      </c>
      <c r="D1509" s="1" t="s">
        <v>5060</v>
      </c>
      <c r="E1509" s="1" t="s">
        <v>9333</v>
      </c>
      <c r="F1509" s="1" t="s">
        <v>8959</v>
      </c>
      <c r="G1509" t="s">
        <v>9183</v>
      </c>
      <c r="H1509" s="1" t="s">
        <v>9100</v>
      </c>
      <c r="I1509" s="1" t="s">
        <v>9155</v>
      </c>
      <c r="J1509" s="2" t="s">
        <v>20838</v>
      </c>
      <c r="K1509" s="1" t="s">
        <v>20755</v>
      </c>
      <c r="L1509" s="1" t="s">
        <v>9133</v>
      </c>
      <c r="M1509" s="1">
        <v>217</v>
      </c>
      <c r="N1509" s="1" t="s">
        <v>9059</v>
      </c>
      <c r="O1509" s="1" t="s">
        <v>8989</v>
      </c>
      <c r="P1509" s="1" t="s">
        <v>8955</v>
      </c>
      <c r="Q1509" s="1" t="s">
        <v>8956</v>
      </c>
      <c r="R1509" s="1" t="s">
        <v>8975</v>
      </c>
      <c r="S1509" s="1" t="s">
        <v>19617</v>
      </c>
      <c r="T1509" s="1" t="s">
        <v>7</v>
      </c>
      <c r="U1509" s="1" t="s">
        <v>5061</v>
      </c>
    </row>
    <row r="1510" spans="1:21" x14ac:dyDescent="0.2">
      <c r="A1510" s="88" t="s">
        <v>17150</v>
      </c>
      <c r="B1510" s="88" t="e">
        <f>VLOOKUP(C1510,#REF!,1,0)</f>
        <v>#REF!</v>
      </c>
      <c r="C1510" s="1" t="s">
        <v>5062</v>
      </c>
      <c r="D1510" s="1" t="s">
        <v>5063</v>
      </c>
      <c r="E1510" s="1" t="s">
        <v>9333</v>
      </c>
      <c r="F1510" s="1" t="s">
        <v>8974</v>
      </c>
      <c r="G1510" t="s">
        <v>9061</v>
      </c>
      <c r="H1510" s="1" t="s">
        <v>9075</v>
      </c>
      <c r="I1510" s="1" t="s">
        <v>8971</v>
      </c>
      <c r="J1510" s="2" t="s">
        <v>10525</v>
      </c>
      <c r="K1510" s="1" t="s">
        <v>10525</v>
      </c>
      <c r="L1510" s="1" t="s">
        <v>8951</v>
      </c>
      <c r="M1510" s="1">
        <v>108</v>
      </c>
      <c r="N1510" s="1" t="s">
        <v>9059</v>
      </c>
      <c r="O1510" s="1" t="s">
        <v>20828</v>
      </c>
      <c r="P1510" s="1" t="s">
        <v>8955</v>
      </c>
      <c r="Q1510" s="1" t="s">
        <v>8956</v>
      </c>
      <c r="R1510" s="1" t="s">
        <v>8958</v>
      </c>
      <c r="S1510" s="1" t="s">
        <v>20643</v>
      </c>
      <c r="T1510" s="1" t="s">
        <v>17</v>
      </c>
      <c r="U1510" s="1" t="s">
        <v>110</v>
      </c>
    </row>
    <row r="1511" spans="1:21" x14ac:dyDescent="0.2">
      <c r="A1511" s="88" t="s">
        <v>17151</v>
      </c>
      <c r="B1511" s="88" t="e">
        <f>VLOOKUP(C1511,#REF!,1,0)</f>
        <v>#REF!</v>
      </c>
      <c r="C1511" s="1" t="s">
        <v>5064</v>
      </c>
      <c r="D1511" s="1" t="s">
        <v>5065</v>
      </c>
      <c r="E1511" s="1" t="s">
        <v>9333</v>
      </c>
      <c r="F1511" s="1" t="s">
        <v>8957</v>
      </c>
      <c r="G1511" t="s">
        <v>8959</v>
      </c>
      <c r="H1511" s="1" t="s">
        <v>9154</v>
      </c>
      <c r="I1511" s="1" t="s">
        <v>9308</v>
      </c>
      <c r="J1511" s="2" t="s">
        <v>10525</v>
      </c>
      <c r="K1511" s="1" t="s">
        <v>10525</v>
      </c>
      <c r="L1511" s="1" t="s">
        <v>9133</v>
      </c>
      <c r="M1511" s="1">
        <v>952</v>
      </c>
      <c r="N1511" s="1" t="s">
        <v>8953</v>
      </c>
      <c r="O1511" s="1" t="s">
        <v>8989</v>
      </c>
      <c r="P1511" s="1" t="s">
        <v>8955</v>
      </c>
      <c r="Q1511" s="1" t="s">
        <v>8956</v>
      </c>
      <c r="R1511" s="1" t="s">
        <v>8975</v>
      </c>
      <c r="S1511" s="1" t="s">
        <v>20644</v>
      </c>
      <c r="T1511" s="1" t="s">
        <v>7</v>
      </c>
      <c r="U1511" s="1" t="s">
        <v>5066</v>
      </c>
    </row>
    <row r="1512" spans="1:21" x14ac:dyDescent="0.2">
      <c r="A1512" s="88" t="s">
        <v>17152</v>
      </c>
      <c r="B1512" s="88" t="e">
        <f>VLOOKUP(C1512,#REF!,1,0)</f>
        <v>#REF!</v>
      </c>
      <c r="C1512" s="1" t="s">
        <v>5067</v>
      </c>
      <c r="D1512" s="1" t="s">
        <v>5068</v>
      </c>
      <c r="E1512" s="1" t="s">
        <v>11671</v>
      </c>
      <c r="F1512" s="1" t="s">
        <v>8957</v>
      </c>
      <c r="G1512" t="s">
        <v>8959</v>
      </c>
      <c r="H1512" s="1" t="s">
        <v>9605</v>
      </c>
      <c r="I1512" s="1" t="s">
        <v>9101</v>
      </c>
      <c r="J1512" s="2" t="s">
        <v>10492</v>
      </c>
      <c r="K1512" s="1" t="s">
        <v>21645</v>
      </c>
      <c r="L1512" s="1" t="s">
        <v>9292</v>
      </c>
      <c r="M1512" s="1">
        <v>1077</v>
      </c>
      <c r="N1512" s="1" t="s">
        <v>8953</v>
      </c>
      <c r="O1512" s="1" t="s">
        <v>8989</v>
      </c>
      <c r="P1512" s="1" t="s">
        <v>8955</v>
      </c>
      <c r="Q1512" s="1" t="s">
        <v>8956</v>
      </c>
      <c r="R1512" s="1" t="s">
        <v>9103</v>
      </c>
      <c r="S1512" s="1" t="s">
        <v>19618</v>
      </c>
      <c r="T1512" s="1" t="s">
        <v>17</v>
      </c>
      <c r="U1512" s="1" t="s">
        <v>184</v>
      </c>
    </row>
    <row r="1513" spans="1:21" x14ac:dyDescent="0.2">
      <c r="A1513" s="88" t="s">
        <v>17154</v>
      </c>
      <c r="B1513" s="88" t="e">
        <f>VLOOKUP(C1513,#REF!,1,0)</f>
        <v>#REF!</v>
      </c>
      <c r="C1513" s="1" t="s">
        <v>5078</v>
      </c>
      <c r="D1513" s="1" t="s">
        <v>5079</v>
      </c>
      <c r="E1513" s="1" t="s">
        <v>18502</v>
      </c>
      <c r="F1513" s="1" t="s">
        <v>9060</v>
      </c>
      <c r="G1513" t="s">
        <v>9061</v>
      </c>
      <c r="H1513" s="1" t="s">
        <v>9092</v>
      </c>
      <c r="I1513" s="1" t="s">
        <v>8949</v>
      </c>
      <c r="J1513" s="2" t="s">
        <v>10492</v>
      </c>
      <c r="K1513" s="1" t="s">
        <v>10492</v>
      </c>
      <c r="L1513" s="1" t="s">
        <v>21600</v>
      </c>
      <c r="M1513" s="1">
        <v>1880</v>
      </c>
      <c r="N1513" s="1" t="s">
        <v>8953</v>
      </c>
      <c r="O1513" s="1" t="s">
        <v>8989</v>
      </c>
      <c r="P1513" s="1" t="s">
        <v>8955</v>
      </c>
      <c r="Q1513" s="1" t="s">
        <v>8956</v>
      </c>
      <c r="R1513" s="1" t="s">
        <v>8975</v>
      </c>
      <c r="S1513" s="1" t="s">
        <v>20645</v>
      </c>
      <c r="T1513" s="1" t="s">
        <v>17</v>
      </c>
      <c r="U1513" s="1" t="s">
        <v>1202</v>
      </c>
    </row>
    <row r="1514" spans="1:21" x14ac:dyDescent="0.2">
      <c r="A1514" s="88" t="s">
        <v>17155</v>
      </c>
      <c r="B1514" s="88" t="e">
        <f>VLOOKUP(C1514,#REF!,1,0)</f>
        <v>#REF!</v>
      </c>
      <c r="C1514" s="1" t="s">
        <v>5080</v>
      </c>
      <c r="D1514" s="1" t="s">
        <v>5081</v>
      </c>
      <c r="E1514" s="1" t="s">
        <v>18502</v>
      </c>
      <c r="F1514" s="1" t="s">
        <v>8957</v>
      </c>
      <c r="G1514" t="s">
        <v>9061</v>
      </c>
      <c r="H1514" s="1" t="s">
        <v>8948</v>
      </c>
      <c r="I1514" s="1" t="s">
        <v>9155</v>
      </c>
      <c r="J1514" s="2" t="s">
        <v>20785</v>
      </c>
      <c r="K1514" s="1" t="s">
        <v>18491</v>
      </c>
      <c r="L1514" s="1" t="s">
        <v>9464</v>
      </c>
      <c r="M1514" s="1">
        <v>16700</v>
      </c>
      <c r="N1514" s="1" t="s">
        <v>8953</v>
      </c>
      <c r="O1514" s="1" t="s">
        <v>8989</v>
      </c>
      <c r="P1514" s="1" t="s">
        <v>8955</v>
      </c>
      <c r="Q1514" s="1" t="s">
        <v>8956</v>
      </c>
      <c r="R1514" s="1" t="s">
        <v>8958</v>
      </c>
      <c r="S1514" s="1" t="s">
        <v>19622</v>
      </c>
      <c r="T1514" s="1" t="s">
        <v>7</v>
      </c>
      <c r="U1514" s="1" t="s">
        <v>93</v>
      </c>
    </row>
    <row r="1515" spans="1:21" x14ac:dyDescent="0.2">
      <c r="A1515" s="88" t="s">
        <v>17156</v>
      </c>
      <c r="B1515" s="88" t="e">
        <f>VLOOKUP(C1515,#REF!,1,0)</f>
        <v>#REF!</v>
      </c>
      <c r="C1515" s="1" t="s">
        <v>5082</v>
      </c>
      <c r="D1515" s="1" t="s">
        <v>5083</v>
      </c>
      <c r="E1515" s="1" t="s">
        <v>9465</v>
      </c>
      <c r="F1515" s="1" t="s">
        <v>8959</v>
      </c>
      <c r="G1515" t="s">
        <v>9061</v>
      </c>
      <c r="H1515" s="1" t="s">
        <v>9100</v>
      </c>
      <c r="I1515" s="1" t="s">
        <v>8949</v>
      </c>
      <c r="J1515" s="2" t="s">
        <v>10492</v>
      </c>
      <c r="K1515" s="1" t="s">
        <v>10492</v>
      </c>
      <c r="L1515" s="1" t="s">
        <v>8951</v>
      </c>
      <c r="M1515" s="1">
        <v>112</v>
      </c>
      <c r="N1515" s="1" t="s">
        <v>9059</v>
      </c>
      <c r="O1515" s="1" t="s">
        <v>8954</v>
      </c>
      <c r="P1515" s="1" t="s">
        <v>8955</v>
      </c>
      <c r="Q1515" s="1" t="s">
        <v>8956</v>
      </c>
      <c r="R1515" s="1" t="s">
        <v>8975</v>
      </c>
      <c r="S1515" s="1" t="s">
        <v>20646</v>
      </c>
      <c r="T1515" s="1" t="s">
        <v>7</v>
      </c>
      <c r="U1515" s="1" t="s">
        <v>57</v>
      </c>
    </row>
    <row r="1516" spans="1:21" x14ac:dyDescent="0.2">
      <c r="A1516" s="88" t="s">
        <v>17157</v>
      </c>
      <c r="B1516" s="88" t="e">
        <f>VLOOKUP(C1516,#REF!,1,0)</f>
        <v>#REF!</v>
      </c>
      <c r="C1516" s="1" t="s">
        <v>15482</v>
      </c>
      <c r="D1516" s="1" t="s">
        <v>5084</v>
      </c>
      <c r="E1516" s="1" t="s">
        <v>9010</v>
      </c>
      <c r="F1516" s="1" t="s">
        <v>8957</v>
      </c>
      <c r="G1516" t="s">
        <v>8959</v>
      </c>
      <c r="H1516" s="1" t="s">
        <v>9605</v>
      </c>
      <c r="I1516" s="1" t="s">
        <v>9155</v>
      </c>
      <c r="J1516" s="2" t="s">
        <v>8972</v>
      </c>
      <c r="K1516" s="1" t="s">
        <v>8972</v>
      </c>
      <c r="L1516" s="1" t="s">
        <v>8951</v>
      </c>
      <c r="M1516" s="1">
        <v>3456</v>
      </c>
      <c r="N1516" s="1" t="s">
        <v>8953</v>
      </c>
      <c r="O1516" s="1" t="s">
        <v>8989</v>
      </c>
      <c r="P1516" s="1" t="s">
        <v>8955</v>
      </c>
      <c r="Q1516" s="1" t="s">
        <v>8956</v>
      </c>
      <c r="R1516" s="1" t="s">
        <v>8975</v>
      </c>
      <c r="S1516" s="1" t="s">
        <v>5085</v>
      </c>
      <c r="T1516" s="1" t="s">
        <v>11</v>
      </c>
      <c r="U1516" s="1" t="s">
        <v>5086</v>
      </c>
    </row>
    <row r="1517" spans="1:21" x14ac:dyDescent="0.2">
      <c r="A1517" s="88" t="s">
        <v>17159</v>
      </c>
      <c r="B1517" s="88" t="e">
        <f>VLOOKUP(C1517,#REF!,1,0)</f>
        <v>#REF!</v>
      </c>
      <c r="C1517" s="1" t="s">
        <v>5089</v>
      </c>
      <c r="D1517" s="1" t="s">
        <v>5090</v>
      </c>
      <c r="E1517" s="1" t="s">
        <v>9010</v>
      </c>
      <c r="F1517" s="1" t="s">
        <v>8957</v>
      </c>
      <c r="G1517" t="s">
        <v>9061</v>
      </c>
      <c r="H1517" s="1" t="s">
        <v>9049</v>
      </c>
      <c r="I1517" s="1" t="s">
        <v>9155</v>
      </c>
      <c r="J1517" s="2" t="s">
        <v>9036</v>
      </c>
      <c r="K1517" s="1" t="s">
        <v>9036</v>
      </c>
      <c r="L1517" s="1" t="s">
        <v>8987</v>
      </c>
      <c r="M1517" s="1">
        <v>6292</v>
      </c>
      <c r="N1517" s="1" t="s">
        <v>8953</v>
      </c>
      <c r="O1517" s="1" t="s">
        <v>8989</v>
      </c>
      <c r="P1517" s="1" t="s">
        <v>8955</v>
      </c>
      <c r="Q1517" s="1" t="s">
        <v>8956</v>
      </c>
      <c r="R1517" s="1" t="s">
        <v>9103</v>
      </c>
      <c r="S1517" s="1" t="s">
        <v>5091</v>
      </c>
      <c r="T1517" s="1" t="s">
        <v>17</v>
      </c>
      <c r="U1517" s="1" t="s">
        <v>447</v>
      </c>
    </row>
    <row r="1518" spans="1:21" x14ac:dyDescent="0.2">
      <c r="A1518" s="88" t="s">
        <v>17160</v>
      </c>
      <c r="B1518" s="88" t="e">
        <f>VLOOKUP(C1518,#REF!,1,0)</f>
        <v>#REF!</v>
      </c>
      <c r="C1518" s="1" t="s">
        <v>5092</v>
      </c>
      <c r="D1518" s="1" t="s">
        <v>5093</v>
      </c>
      <c r="E1518" s="1" t="s">
        <v>9380</v>
      </c>
      <c r="F1518" s="1" t="s">
        <v>8957</v>
      </c>
      <c r="G1518" t="s">
        <v>8959</v>
      </c>
      <c r="H1518" s="1" t="s">
        <v>13832</v>
      </c>
      <c r="I1518" s="1" t="s">
        <v>9155</v>
      </c>
      <c r="J1518" s="2" t="s">
        <v>8972</v>
      </c>
      <c r="K1518" s="1" t="s">
        <v>8972</v>
      </c>
      <c r="L1518" s="1" t="s">
        <v>21600</v>
      </c>
      <c r="M1518" s="1">
        <v>26250</v>
      </c>
      <c r="N1518" s="1" t="s">
        <v>8953</v>
      </c>
      <c r="O1518" s="1" t="s">
        <v>8954</v>
      </c>
      <c r="P1518" s="1" t="s">
        <v>8955</v>
      </c>
      <c r="Q1518" s="1" t="s">
        <v>8956</v>
      </c>
      <c r="R1518" s="1" t="s">
        <v>8975</v>
      </c>
      <c r="S1518" s="1" t="s">
        <v>5094</v>
      </c>
      <c r="T1518" s="1" t="s">
        <v>4</v>
      </c>
      <c r="U1518" s="1" t="s">
        <v>53</v>
      </c>
    </row>
    <row r="1519" spans="1:21" x14ac:dyDescent="0.2">
      <c r="A1519" s="88" t="s">
        <v>17161</v>
      </c>
      <c r="B1519" s="88" t="e">
        <f>VLOOKUP(C1519,#REF!,1,0)</f>
        <v>#REF!</v>
      </c>
      <c r="C1519" s="1" t="s">
        <v>5095</v>
      </c>
      <c r="D1519" s="1" t="s">
        <v>5096</v>
      </c>
      <c r="E1519" s="1" t="s">
        <v>9246</v>
      </c>
      <c r="F1519" s="1" t="s">
        <v>9060</v>
      </c>
      <c r="G1519" t="s">
        <v>9009</v>
      </c>
      <c r="H1519" s="1" t="s">
        <v>9100</v>
      </c>
      <c r="I1519" s="1" t="s">
        <v>8949</v>
      </c>
      <c r="J1519" s="2" t="s">
        <v>20838</v>
      </c>
      <c r="K1519" s="1" t="s">
        <v>20755</v>
      </c>
      <c r="L1519" s="1" t="s">
        <v>8951</v>
      </c>
      <c r="M1519" s="1">
        <v>366</v>
      </c>
      <c r="N1519" s="1" t="s">
        <v>9059</v>
      </c>
      <c r="O1519" s="1" t="s">
        <v>8989</v>
      </c>
      <c r="P1519" s="1" t="s">
        <v>8955</v>
      </c>
      <c r="Q1519" s="1" t="s">
        <v>8956</v>
      </c>
      <c r="R1519" s="1" t="s">
        <v>8975</v>
      </c>
      <c r="S1519" s="1" t="s">
        <v>19623</v>
      </c>
      <c r="T1519" s="1" t="s">
        <v>7</v>
      </c>
      <c r="U1519" s="1" t="s">
        <v>778</v>
      </c>
    </row>
    <row r="1520" spans="1:21" x14ac:dyDescent="0.2">
      <c r="A1520" s="88" t="s">
        <v>17162</v>
      </c>
      <c r="B1520" s="88" t="e">
        <f>VLOOKUP(C1520,#REF!,1,0)</f>
        <v>#REF!</v>
      </c>
      <c r="C1520" s="1" t="s">
        <v>5097</v>
      </c>
      <c r="D1520" s="1" t="s">
        <v>5098</v>
      </c>
      <c r="E1520" s="1" t="s">
        <v>9010</v>
      </c>
      <c r="F1520" s="1" t="s">
        <v>8957</v>
      </c>
      <c r="G1520" t="s">
        <v>9183</v>
      </c>
      <c r="H1520" s="1" t="s">
        <v>8984</v>
      </c>
      <c r="I1520" s="1" t="s">
        <v>8998</v>
      </c>
      <c r="J1520" s="2" t="s">
        <v>10258</v>
      </c>
      <c r="K1520" s="1" t="s">
        <v>21766</v>
      </c>
      <c r="L1520" s="1" t="s">
        <v>21600</v>
      </c>
      <c r="M1520" s="1">
        <v>100</v>
      </c>
      <c r="N1520" s="1" t="s">
        <v>9059</v>
      </c>
      <c r="O1520" s="1" t="s">
        <v>8954</v>
      </c>
      <c r="P1520" s="1" t="s">
        <v>8955</v>
      </c>
      <c r="Q1520" s="1" t="s">
        <v>8956</v>
      </c>
      <c r="R1520" s="1" t="s">
        <v>8975</v>
      </c>
      <c r="S1520" s="1" t="s">
        <v>5099</v>
      </c>
      <c r="T1520" s="1" t="s">
        <v>17</v>
      </c>
      <c r="U1520" s="1" t="s">
        <v>4602</v>
      </c>
    </row>
    <row r="1521" spans="1:21" x14ac:dyDescent="0.2">
      <c r="A1521" s="88" t="s">
        <v>17163</v>
      </c>
      <c r="B1521" s="88" t="e">
        <f>VLOOKUP(C1521,#REF!,1,0)</f>
        <v>#REF!</v>
      </c>
      <c r="C1521" s="1" t="s">
        <v>5100</v>
      </c>
      <c r="D1521" s="1" t="s">
        <v>5101</v>
      </c>
      <c r="E1521" s="1" t="s">
        <v>9310</v>
      </c>
      <c r="F1521" s="1" t="s">
        <v>8974</v>
      </c>
      <c r="G1521" t="s">
        <v>9009</v>
      </c>
      <c r="H1521" s="1" t="s">
        <v>8948</v>
      </c>
      <c r="I1521" s="1" t="s">
        <v>8998</v>
      </c>
      <c r="J1521" s="2" t="s">
        <v>9018</v>
      </c>
      <c r="K1521" s="1" t="s">
        <v>9018</v>
      </c>
      <c r="L1521" s="1" t="s">
        <v>21600</v>
      </c>
      <c r="M1521" s="1">
        <v>230</v>
      </c>
      <c r="N1521" s="1" t="s">
        <v>9059</v>
      </c>
      <c r="O1521" s="1" t="s">
        <v>8989</v>
      </c>
      <c r="P1521" s="1" t="s">
        <v>8955</v>
      </c>
      <c r="Q1521" s="1" t="s">
        <v>8956</v>
      </c>
      <c r="R1521" s="1" t="s">
        <v>8958</v>
      </c>
      <c r="S1521" s="1" t="s">
        <v>5102</v>
      </c>
      <c r="T1521" s="1" t="s">
        <v>4</v>
      </c>
      <c r="U1521" s="1" t="s">
        <v>2377</v>
      </c>
    </row>
    <row r="1522" spans="1:21" x14ac:dyDescent="0.2">
      <c r="A1522" s="88" t="s">
        <v>17164</v>
      </c>
      <c r="B1522" s="88" t="e">
        <f>VLOOKUP(C1522,#REF!,1,0)</f>
        <v>#REF!</v>
      </c>
      <c r="C1522" s="1" t="s">
        <v>5103</v>
      </c>
      <c r="D1522" s="1" t="s">
        <v>5104</v>
      </c>
      <c r="E1522" s="1" t="s">
        <v>9310</v>
      </c>
      <c r="F1522" s="1" t="s">
        <v>8957</v>
      </c>
      <c r="G1522" t="s">
        <v>9009</v>
      </c>
      <c r="H1522" s="1" t="s">
        <v>8984</v>
      </c>
      <c r="I1522" s="1" t="s">
        <v>8998</v>
      </c>
      <c r="J1522" s="2" t="s">
        <v>11623</v>
      </c>
      <c r="K1522" s="1" t="s">
        <v>21796</v>
      </c>
      <c r="L1522" s="1" t="s">
        <v>21600</v>
      </c>
      <c r="M1522" s="1">
        <v>278</v>
      </c>
      <c r="N1522" s="1" t="s">
        <v>9059</v>
      </c>
      <c r="O1522" s="1" t="s">
        <v>8989</v>
      </c>
      <c r="P1522" s="1" t="s">
        <v>8955</v>
      </c>
      <c r="Q1522" s="1" t="s">
        <v>8956</v>
      </c>
      <c r="R1522" s="1" t="s">
        <v>9103</v>
      </c>
      <c r="S1522" s="1" t="s">
        <v>5105</v>
      </c>
      <c r="T1522" s="1" t="s">
        <v>4</v>
      </c>
      <c r="U1522" s="1" t="s">
        <v>93</v>
      </c>
    </row>
    <row r="1523" spans="1:21" x14ac:dyDescent="0.2">
      <c r="A1523" s="88" t="s">
        <v>17165</v>
      </c>
      <c r="B1523" s="88" t="e">
        <f>VLOOKUP(C1523,#REF!,1,0)</f>
        <v>#REF!</v>
      </c>
      <c r="C1523" s="1" t="s">
        <v>5106</v>
      </c>
      <c r="D1523" s="1" t="s">
        <v>5107</v>
      </c>
      <c r="E1523" s="1" t="s">
        <v>9010</v>
      </c>
      <c r="F1523" s="1" t="s">
        <v>8957</v>
      </c>
      <c r="G1523" t="s">
        <v>8959</v>
      </c>
      <c r="H1523" s="1" t="s">
        <v>8948</v>
      </c>
      <c r="I1523" s="1" t="s">
        <v>9121</v>
      </c>
      <c r="J1523" s="2" t="s">
        <v>9036</v>
      </c>
      <c r="K1523" s="1" t="s">
        <v>9036</v>
      </c>
      <c r="L1523" s="1" t="s">
        <v>21600</v>
      </c>
      <c r="M1523" s="1">
        <v>14651</v>
      </c>
      <c r="N1523" s="1" t="s">
        <v>8953</v>
      </c>
      <c r="O1523" s="1" t="s">
        <v>8989</v>
      </c>
      <c r="P1523" s="1" t="s">
        <v>8955</v>
      </c>
      <c r="Q1523" s="1" t="s">
        <v>8956</v>
      </c>
      <c r="R1523" s="1" t="s">
        <v>8975</v>
      </c>
      <c r="S1523" s="1" t="s">
        <v>5108</v>
      </c>
      <c r="T1523" s="1" t="s">
        <v>17</v>
      </c>
      <c r="U1523" s="1" t="s">
        <v>93</v>
      </c>
    </row>
    <row r="1524" spans="1:21" x14ac:dyDescent="0.2">
      <c r="A1524" s="88" t="s">
        <v>17166</v>
      </c>
      <c r="B1524" s="88" t="e">
        <f>VLOOKUP(C1524,#REF!,1,0)</f>
        <v>#REF!</v>
      </c>
      <c r="C1524" s="1" t="s">
        <v>5109</v>
      </c>
      <c r="D1524" s="1" t="s">
        <v>5110</v>
      </c>
      <c r="E1524" s="1" t="s">
        <v>9310</v>
      </c>
      <c r="F1524" s="1" t="s">
        <v>8957</v>
      </c>
      <c r="G1524" t="s">
        <v>8959</v>
      </c>
      <c r="H1524" s="1" t="s">
        <v>8948</v>
      </c>
      <c r="I1524" s="1" t="s">
        <v>8998</v>
      </c>
      <c r="J1524" s="2" t="s">
        <v>20779</v>
      </c>
      <c r="K1524" s="1" t="s">
        <v>9036</v>
      </c>
      <c r="L1524" s="1" t="s">
        <v>20897</v>
      </c>
      <c r="M1524" s="1">
        <v>784</v>
      </c>
      <c r="N1524" s="1" t="s">
        <v>9059</v>
      </c>
      <c r="O1524" s="1" t="s">
        <v>8954</v>
      </c>
      <c r="P1524" s="1" t="s">
        <v>8955</v>
      </c>
      <c r="Q1524" s="1" t="s">
        <v>8956</v>
      </c>
      <c r="R1524" s="1" t="s">
        <v>8958</v>
      </c>
      <c r="S1524" s="1" t="s">
        <v>19624</v>
      </c>
      <c r="T1524" s="1" t="s">
        <v>17</v>
      </c>
      <c r="U1524" s="1" t="s">
        <v>4044</v>
      </c>
    </row>
    <row r="1525" spans="1:21" x14ac:dyDescent="0.2">
      <c r="A1525" s="88" t="s">
        <v>17167</v>
      </c>
      <c r="B1525" s="88" t="e">
        <f>VLOOKUP(C1525,#REF!,1,0)</f>
        <v>#REF!</v>
      </c>
      <c r="C1525" s="1" t="s">
        <v>5111</v>
      </c>
      <c r="D1525" s="1" t="s">
        <v>5112</v>
      </c>
      <c r="E1525" s="1" t="s">
        <v>9310</v>
      </c>
      <c r="F1525" s="1" t="s">
        <v>8957</v>
      </c>
      <c r="G1525" t="s">
        <v>9183</v>
      </c>
      <c r="H1525" s="1" t="s">
        <v>9252</v>
      </c>
      <c r="I1525" s="1" t="s">
        <v>8998</v>
      </c>
      <c r="J1525" s="2" t="s">
        <v>10258</v>
      </c>
      <c r="K1525" s="1" t="s">
        <v>21766</v>
      </c>
      <c r="L1525" s="1" t="s">
        <v>21600</v>
      </c>
      <c r="M1525" s="1">
        <v>800</v>
      </c>
      <c r="N1525" s="1" t="s">
        <v>9059</v>
      </c>
      <c r="O1525" s="1" t="s">
        <v>8954</v>
      </c>
      <c r="P1525" s="1" t="s">
        <v>8955</v>
      </c>
      <c r="Q1525" s="1" t="s">
        <v>8956</v>
      </c>
      <c r="R1525" s="1" t="s">
        <v>8975</v>
      </c>
      <c r="S1525" s="1" t="s">
        <v>5113</v>
      </c>
      <c r="T1525" s="1" t="s">
        <v>11</v>
      </c>
      <c r="U1525" s="1" t="s">
        <v>2434</v>
      </c>
    </row>
    <row r="1526" spans="1:21" x14ac:dyDescent="0.2">
      <c r="A1526" s="88" t="s">
        <v>17168</v>
      </c>
      <c r="B1526" s="88" t="e">
        <f>VLOOKUP(C1526,#REF!,1,0)</f>
        <v>#REF!</v>
      </c>
      <c r="C1526" s="1" t="s">
        <v>5114</v>
      </c>
      <c r="D1526" s="1" t="s">
        <v>5115</v>
      </c>
      <c r="E1526" s="1" t="s">
        <v>10049</v>
      </c>
      <c r="F1526" s="1" t="s">
        <v>8959</v>
      </c>
      <c r="G1526" t="s">
        <v>8959</v>
      </c>
      <c r="H1526" s="1" t="s">
        <v>9605</v>
      </c>
      <c r="I1526" s="1" t="s">
        <v>9101</v>
      </c>
      <c r="J1526" s="2" t="s">
        <v>20779</v>
      </c>
      <c r="K1526" s="1" t="s">
        <v>9036</v>
      </c>
      <c r="L1526" s="1" t="s">
        <v>8987</v>
      </c>
      <c r="M1526" s="1">
        <v>2400</v>
      </c>
      <c r="N1526" s="1" t="s">
        <v>8953</v>
      </c>
      <c r="O1526" s="1" t="s">
        <v>8989</v>
      </c>
      <c r="P1526" s="1" t="s">
        <v>8955</v>
      </c>
      <c r="Q1526" s="1" t="s">
        <v>8956</v>
      </c>
      <c r="R1526" s="1" t="s">
        <v>8975</v>
      </c>
      <c r="S1526" s="1" t="s">
        <v>19625</v>
      </c>
      <c r="T1526" s="1" t="s">
        <v>7</v>
      </c>
      <c r="U1526" s="1" t="s">
        <v>24</v>
      </c>
    </row>
    <row r="1527" spans="1:21" x14ac:dyDescent="0.2">
      <c r="A1527" s="88" t="s">
        <v>17169</v>
      </c>
      <c r="B1527" s="88" t="e">
        <f>VLOOKUP(C1527,#REF!,1,0)</f>
        <v>#REF!</v>
      </c>
      <c r="C1527" s="1" t="s">
        <v>5116</v>
      </c>
      <c r="D1527" s="1" t="s">
        <v>5117</v>
      </c>
      <c r="E1527" s="1" t="s">
        <v>18502</v>
      </c>
      <c r="F1527" s="1" t="s">
        <v>8957</v>
      </c>
      <c r="G1527" t="s">
        <v>8959</v>
      </c>
      <c r="H1527" s="1" t="s">
        <v>9252</v>
      </c>
      <c r="I1527" s="1" t="s">
        <v>18504</v>
      </c>
      <c r="J1527" s="2" t="s">
        <v>10525</v>
      </c>
      <c r="K1527" s="1" t="s">
        <v>21650</v>
      </c>
      <c r="L1527" s="1" t="s">
        <v>8987</v>
      </c>
      <c r="M1527" s="1">
        <v>76</v>
      </c>
      <c r="N1527" s="1" t="s">
        <v>9059</v>
      </c>
      <c r="O1527" s="1" t="s">
        <v>8989</v>
      </c>
      <c r="P1527" s="1" t="s">
        <v>8955</v>
      </c>
      <c r="Q1527" s="1" t="s">
        <v>8956</v>
      </c>
      <c r="R1527" s="1" t="s">
        <v>9103</v>
      </c>
      <c r="S1527" s="1" t="s">
        <v>19626</v>
      </c>
      <c r="T1527" s="1" t="s">
        <v>17</v>
      </c>
      <c r="U1527" s="1" t="s">
        <v>562</v>
      </c>
    </row>
    <row r="1528" spans="1:21" x14ac:dyDescent="0.2">
      <c r="A1528" s="88" t="s">
        <v>17171</v>
      </c>
      <c r="B1528" s="88" t="e">
        <f>VLOOKUP(C1528,#REF!,1,0)</f>
        <v>#REF!</v>
      </c>
      <c r="C1528" s="1" t="s">
        <v>5124</v>
      </c>
      <c r="D1528" s="1" t="s">
        <v>5125</v>
      </c>
      <c r="E1528" s="1" t="s">
        <v>13122</v>
      </c>
      <c r="F1528" s="1" t="e">
        <v>#N/A</v>
      </c>
      <c r="G1528" t="s">
        <v>8959</v>
      </c>
      <c r="H1528" s="1" t="s">
        <v>9092</v>
      </c>
      <c r="I1528" s="1" t="s">
        <v>9308</v>
      </c>
      <c r="J1528" s="2" t="s">
        <v>20805</v>
      </c>
      <c r="K1528" s="1" t="s">
        <v>9212</v>
      </c>
      <c r="L1528" s="1" t="s">
        <v>21600</v>
      </c>
      <c r="M1528" s="1">
        <v>290</v>
      </c>
      <c r="N1528" s="1" t="s">
        <v>8953</v>
      </c>
      <c r="O1528" s="1" t="s">
        <v>8989</v>
      </c>
      <c r="P1528" s="1" t="s">
        <v>8955</v>
      </c>
      <c r="Q1528" s="1" t="s">
        <v>8956</v>
      </c>
      <c r="R1528" s="1" t="s">
        <v>8975</v>
      </c>
      <c r="S1528" s="1" t="s">
        <v>19628</v>
      </c>
      <c r="T1528" s="1" t="s">
        <v>17</v>
      </c>
      <c r="U1528" s="1" t="s">
        <v>4538</v>
      </c>
    </row>
    <row r="1529" spans="1:21" x14ac:dyDescent="0.2">
      <c r="A1529" s="88" t="s">
        <v>17172</v>
      </c>
      <c r="B1529" s="88" t="e">
        <f>VLOOKUP(C1529,#REF!,1,0)</f>
        <v>#REF!</v>
      </c>
      <c r="C1529" s="1" t="s">
        <v>5126</v>
      </c>
      <c r="D1529" s="1" t="s">
        <v>5127</v>
      </c>
      <c r="E1529" s="1" t="s">
        <v>9310</v>
      </c>
      <c r="F1529" s="1" t="s">
        <v>8957</v>
      </c>
      <c r="G1529" t="s">
        <v>8959</v>
      </c>
      <c r="H1529" s="1" t="s">
        <v>9605</v>
      </c>
      <c r="I1529" s="1" t="s">
        <v>20900</v>
      </c>
      <c r="J1529" s="2" t="s">
        <v>20779</v>
      </c>
      <c r="K1529" s="1" t="s">
        <v>9036</v>
      </c>
      <c r="L1529" s="1" t="s">
        <v>8987</v>
      </c>
      <c r="M1529" s="1">
        <v>908000</v>
      </c>
      <c r="N1529" s="1" t="s">
        <v>8953</v>
      </c>
      <c r="O1529" s="1" t="s">
        <v>8989</v>
      </c>
      <c r="P1529" s="1" t="s">
        <v>8955</v>
      </c>
      <c r="Q1529" s="1" t="s">
        <v>8956</v>
      </c>
      <c r="R1529" s="1" t="s">
        <v>9103</v>
      </c>
      <c r="S1529" s="1" t="s">
        <v>19629</v>
      </c>
      <c r="T1529" s="1" t="s">
        <v>17</v>
      </c>
      <c r="U1529" s="1" t="s">
        <v>27</v>
      </c>
    </row>
    <row r="1530" spans="1:21" x14ac:dyDescent="0.2">
      <c r="A1530" s="88" t="s">
        <v>17173</v>
      </c>
      <c r="B1530" s="88" t="e">
        <f>VLOOKUP(C1530,#REF!,1,0)</f>
        <v>#REF!</v>
      </c>
      <c r="C1530" s="1" t="s">
        <v>5128</v>
      </c>
      <c r="D1530" s="1" t="s">
        <v>5129</v>
      </c>
      <c r="E1530" s="1" t="s">
        <v>10873</v>
      </c>
      <c r="F1530" s="1" t="s">
        <v>8974</v>
      </c>
      <c r="G1530" t="s">
        <v>8959</v>
      </c>
      <c r="H1530" s="1" t="s">
        <v>20712</v>
      </c>
      <c r="I1530" s="1" t="s">
        <v>8971</v>
      </c>
      <c r="J1530" s="2" t="s">
        <v>10525</v>
      </c>
      <c r="K1530" s="1" t="s">
        <v>10525</v>
      </c>
      <c r="L1530" s="1" t="s">
        <v>8987</v>
      </c>
      <c r="M1530" s="1">
        <v>2964</v>
      </c>
      <c r="N1530" s="1" t="s">
        <v>8953</v>
      </c>
      <c r="O1530" s="1" t="s">
        <v>8989</v>
      </c>
      <c r="P1530" s="1" t="s">
        <v>8955</v>
      </c>
      <c r="Q1530" s="1" t="s">
        <v>8956</v>
      </c>
      <c r="R1530" s="1" t="s">
        <v>8958</v>
      </c>
      <c r="S1530" s="1" t="s">
        <v>19630</v>
      </c>
      <c r="T1530" s="1" t="s">
        <v>7</v>
      </c>
      <c r="U1530" s="1" t="s">
        <v>61</v>
      </c>
    </row>
    <row r="1531" spans="1:21" x14ac:dyDescent="0.2">
      <c r="A1531" s="88" t="s">
        <v>17174</v>
      </c>
      <c r="B1531" s="88" t="e">
        <f>VLOOKUP(C1531,#REF!,1,0)</f>
        <v>#REF!</v>
      </c>
      <c r="C1531" s="1" t="s">
        <v>5130</v>
      </c>
      <c r="D1531" s="1" t="s">
        <v>5131</v>
      </c>
      <c r="E1531" s="1" t="s">
        <v>10873</v>
      </c>
      <c r="F1531" s="1" t="s">
        <v>9060</v>
      </c>
      <c r="G1531" t="s">
        <v>8959</v>
      </c>
      <c r="H1531" s="1" t="s">
        <v>20712</v>
      </c>
      <c r="I1531" s="1" t="s">
        <v>8971</v>
      </c>
      <c r="J1531" s="2" t="s">
        <v>20805</v>
      </c>
      <c r="K1531" s="1" t="s">
        <v>9212</v>
      </c>
      <c r="L1531" s="1" t="s">
        <v>21600</v>
      </c>
      <c r="M1531" s="1">
        <v>8283</v>
      </c>
      <c r="N1531" s="1" t="s">
        <v>8953</v>
      </c>
      <c r="O1531" s="1" t="s">
        <v>8989</v>
      </c>
      <c r="P1531" s="1" t="s">
        <v>8955</v>
      </c>
      <c r="Q1531" s="1" t="s">
        <v>8956</v>
      </c>
      <c r="R1531" s="1" t="s">
        <v>8975</v>
      </c>
      <c r="S1531" s="1" t="s">
        <v>19631</v>
      </c>
      <c r="T1531" s="1" t="s">
        <v>17</v>
      </c>
      <c r="U1531" s="1" t="s">
        <v>61</v>
      </c>
    </row>
    <row r="1532" spans="1:21" x14ac:dyDescent="0.2">
      <c r="A1532" s="88" t="s">
        <v>17175</v>
      </c>
      <c r="B1532" s="88" t="e">
        <f>VLOOKUP(C1532,#REF!,1,0)</f>
        <v>#REF!</v>
      </c>
      <c r="C1532" s="1" t="s">
        <v>5132</v>
      </c>
      <c r="D1532" s="1" t="s">
        <v>5133</v>
      </c>
      <c r="E1532" s="1" t="s">
        <v>9010</v>
      </c>
      <c r="F1532" s="1" t="s">
        <v>8974</v>
      </c>
      <c r="G1532" t="s">
        <v>8959</v>
      </c>
      <c r="H1532" s="1" t="s">
        <v>9092</v>
      </c>
      <c r="I1532" s="1" t="s">
        <v>8949</v>
      </c>
      <c r="J1532" s="2" t="s">
        <v>9036</v>
      </c>
      <c r="K1532" s="1" t="s">
        <v>9036</v>
      </c>
      <c r="L1532" s="1" t="s">
        <v>21600</v>
      </c>
      <c r="M1532" s="1">
        <v>30</v>
      </c>
      <c r="N1532" s="1" t="s">
        <v>9059</v>
      </c>
      <c r="O1532" s="1" t="s">
        <v>8989</v>
      </c>
      <c r="P1532" s="1" t="s">
        <v>8955</v>
      </c>
      <c r="Q1532" s="1" t="s">
        <v>8956</v>
      </c>
      <c r="R1532" s="1" t="s">
        <v>8975</v>
      </c>
      <c r="S1532" s="1" t="s">
        <v>5134</v>
      </c>
      <c r="T1532" s="1" t="s">
        <v>17</v>
      </c>
      <c r="U1532" s="1" t="s">
        <v>110</v>
      </c>
    </row>
    <row r="1533" spans="1:21" x14ac:dyDescent="0.2">
      <c r="A1533" s="88" t="s">
        <v>17176</v>
      </c>
      <c r="B1533" s="88" t="e">
        <f>VLOOKUP(C1533,#REF!,1,0)</f>
        <v>#REF!</v>
      </c>
      <c r="C1533" s="1" t="s">
        <v>5138</v>
      </c>
      <c r="D1533" s="1" t="s">
        <v>5139</v>
      </c>
      <c r="E1533" s="1" t="s">
        <v>11671</v>
      </c>
      <c r="F1533" s="1" t="s">
        <v>8957</v>
      </c>
      <c r="G1533" t="s">
        <v>9183</v>
      </c>
      <c r="H1533" s="1" t="s">
        <v>9035</v>
      </c>
      <c r="I1533" s="1" t="s">
        <v>9422</v>
      </c>
      <c r="J1533" s="2" t="s">
        <v>20838</v>
      </c>
      <c r="K1533" s="1" t="s">
        <v>20755</v>
      </c>
      <c r="L1533" s="1" t="s">
        <v>8987</v>
      </c>
      <c r="M1533" s="1">
        <v>57</v>
      </c>
      <c r="N1533" s="1" t="s">
        <v>9059</v>
      </c>
      <c r="O1533" s="1" t="s">
        <v>8989</v>
      </c>
      <c r="P1533" s="1" t="s">
        <v>8955</v>
      </c>
      <c r="Q1533" s="1" t="s">
        <v>8956</v>
      </c>
      <c r="R1533" s="1" t="s">
        <v>8958</v>
      </c>
      <c r="S1533" s="1" t="s">
        <v>20647</v>
      </c>
      <c r="T1533" s="1" t="s">
        <v>11</v>
      </c>
      <c r="U1533" s="1" t="s">
        <v>31</v>
      </c>
    </row>
    <row r="1534" spans="1:21" x14ac:dyDescent="0.2">
      <c r="A1534" s="88" t="s">
        <v>17177</v>
      </c>
      <c r="B1534" s="88" t="e">
        <f>VLOOKUP(C1534,#REF!,1,0)</f>
        <v>#REF!</v>
      </c>
      <c r="C1534" s="1" t="s">
        <v>5140</v>
      </c>
      <c r="D1534" s="1" t="s">
        <v>5141</v>
      </c>
      <c r="E1534" s="1" t="s">
        <v>9310</v>
      </c>
      <c r="F1534" s="1" t="s">
        <v>8957</v>
      </c>
      <c r="G1534" t="s">
        <v>9061</v>
      </c>
      <c r="H1534" s="1" t="s">
        <v>9252</v>
      </c>
      <c r="I1534" s="1" t="s">
        <v>8971</v>
      </c>
      <c r="J1534" s="2" t="s">
        <v>12408</v>
      </c>
      <c r="K1534" s="1" t="s">
        <v>12408</v>
      </c>
      <c r="L1534" s="1" t="s">
        <v>8951</v>
      </c>
      <c r="M1534" s="1">
        <v>540</v>
      </c>
      <c r="N1534" s="1" t="s">
        <v>8953</v>
      </c>
      <c r="O1534" s="1" t="s">
        <v>8989</v>
      </c>
      <c r="P1534" s="1" t="s">
        <v>8955</v>
      </c>
      <c r="Q1534" s="1" t="s">
        <v>8956</v>
      </c>
      <c r="R1534" s="1" t="s">
        <v>8975</v>
      </c>
      <c r="S1534" s="1" t="s">
        <v>5142</v>
      </c>
      <c r="T1534" s="1" t="s">
        <v>11</v>
      </c>
      <c r="U1534" s="1" t="s">
        <v>200</v>
      </c>
    </row>
    <row r="1535" spans="1:21" x14ac:dyDescent="0.2">
      <c r="A1535" s="88" t="s">
        <v>17178</v>
      </c>
      <c r="B1535" s="88" t="e">
        <f>VLOOKUP(C1535,#REF!,1,0)</f>
        <v>#REF!</v>
      </c>
      <c r="C1535" s="1" t="s">
        <v>5143</v>
      </c>
      <c r="D1535" s="1" t="s">
        <v>5144</v>
      </c>
      <c r="E1535" s="1" t="s">
        <v>9333</v>
      </c>
      <c r="F1535" s="1" t="s">
        <v>8957</v>
      </c>
      <c r="G1535" t="s">
        <v>8959</v>
      </c>
      <c r="H1535" s="1" t="s">
        <v>9605</v>
      </c>
      <c r="I1535" s="1" t="s">
        <v>9101</v>
      </c>
      <c r="J1535" s="2" t="s">
        <v>10525</v>
      </c>
      <c r="K1535" s="1" t="s">
        <v>10525</v>
      </c>
      <c r="L1535" s="1" t="s">
        <v>9076</v>
      </c>
      <c r="M1535" s="1">
        <v>18000</v>
      </c>
      <c r="N1535" s="1" t="s">
        <v>8953</v>
      </c>
      <c r="O1535" s="1" t="s">
        <v>8989</v>
      </c>
      <c r="P1535" s="1" t="s">
        <v>8955</v>
      </c>
      <c r="Q1535" s="1" t="s">
        <v>8956</v>
      </c>
      <c r="R1535" s="1" t="s">
        <v>8975</v>
      </c>
      <c r="S1535" s="1" t="s">
        <v>19633</v>
      </c>
      <c r="T1535" s="1" t="s">
        <v>7</v>
      </c>
      <c r="U1535" s="1" t="s">
        <v>580</v>
      </c>
    </row>
    <row r="1536" spans="1:21" x14ac:dyDescent="0.2">
      <c r="A1536" s="88" t="s">
        <v>17179</v>
      </c>
      <c r="B1536" s="88" t="e">
        <f>VLOOKUP(C1536,#REF!,1,0)</f>
        <v>#REF!</v>
      </c>
      <c r="C1536" s="1" t="s">
        <v>5145</v>
      </c>
      <c r="D1536" s="1" t="s">
        <v>5146</v>
      </c>
      <c r="E1536" s="1" t="s">
        <v>10850</v>
      </c>
      <c r="F1536" s="1" t="s">
        <v>20818</v>
      </c>
      <c r="G1536" t="s">
        <v>9183</v>
      </c>
      <c r="H1536" s="1" t="s">
        <v>20714</v>
      </c>
      <c r="I1536" s="1" t="s">
        <v>9050</v>
      </c>
      <c r="J1536" s="2" t="s">
        <v>21329</v>
      </c>
      <c r="K1536" s="1" t="s">
        <v>21329</v>
      </c>
      <c r="L1536" s="1" t="s">
        <v>8951</v>
      </c>
      <c r="M1536" s="1">
        <v>15846</v>
      </c>
      <c r="N1536" s="1" t="s">
        <v>8953</v>
      </c>
      <c r="O1536" s="1" t="s">
        <v>8954</v>
      </c>
      <c r="P1536" s="1" t="s">
        <v>8955</v>
      </c>
      <c r="Q1536" s="1" t="s">
        <v>8956</v>
      </c>
      <c r="R1536" s="1" t="s">
        <v>8975</v>
      </c>
      <c r="S1536" s="1" t="s">
        <v>20648</v>
      </c>
      <c r="T1536" s="1" t="s">
        <v>7</v>
      </c>
      <c r="U1536" s="1" t="s">
        <v>5147</v>
      </c>
    </row>
    <row r="1537" spans="1:21" x14ac:dyDescent="0.2">
      <c r="A1537" s="88" t="s">
        <v>17180</v>
      </c>
      <c r="B1537" s="88" t="e">
        <f>VLOOKUP(C1537,#REF!,1,0)</f>
        <v>#REF!</v>
      </c>
      <c r="C1537" s="1" t="s">
        <v>5148</v>
      </c>
      <c r="D1537" s="1" t="s">
        <v>5149</v>
      </c>
      <c r="E1537" s="1" t="s">
        <v>10049</v>
      </c>
      <c r="F1537" s="1" t="s">
        <v>8959</v>
      </c>
      <c r="G1537" t="s">
        <v>9061</v>
      </c>
      <c r="H1537" s="1" t="s">
        <v>9154</v>
      </c>
      <c r="I1537" s="1" t="s">
        <v>8998</v>
      </c>
      <c r="J1537" s="2" t="s">
        <v>20838</v>
      </c>
      <c r="K1537" s="1" t="s">
        <v>20755</v>
      </c>
      <c r="L1537" s="1" t="s">
        <v>21600</v>
      </c>
      <c r="M1537" s="1">
        <v>25223</v>
      </c>
      <c r="N1537" s="1" t="s">
        <v>8953</v>
      </c>
      <c r="O1537" s="1" t="s">
        <v>8989</v>
      </c>
      <c r="P1537" s="1" t="s">
        <v>8955</v>
      </c>
      <c r="Q1537" s="1" t="s">
        <v>8956</v>
      </c>
      <c r="R1537" s="1" t="s">
        <v>8975</v>
      </c>
      <c r="S1537" s="1" t="s">
        <v>19634</v>
      </c>
      <c r="T1537" s="1" t="s">
        <v>17</v>
      </c>
      <c r="U1537" s="1" t="s">
        <v>74</v>
      </c>
    </row>
    <row r="1538" spans="1:21" x14ac:dyDescent="0.2">
      <c r="A1538" s="88" t="s">
        <v>17181</v>
      </c>
      <c r="B1538" s="88" t="e">
        <f>VLOOKUP(C1538,#REF!,1,0)</f>
        <v>#REF!</v>
      </c>
      <c r="C1538" s="1" t="s">
        <v>5155</v>
      </c>
      <c r="D1538" s="1" t="s">
        <v>5156</v>
      </c>
      <c r="E1538" s="1" t="s">
        <v>9010</v>
      </c>
      <c r="F1538" s="1" t="s">
        <v>8959</v>
      </c>
      <c r="G1538" t="s">
        <v>9061</v>
      </c>
      <c r="H1538" s="1" t="s">
        <v>9035</v>
      </c>
      <c r="I1538" s="1" t="s">
        <v>9155</v>
      </c>
      <c r="J1538" s="2" t="s">
        <v>11022</v>
      </c>
      <c r="K1538" s="1" t="s">
        <v>11022</v>
      </c>
      <c r="L1538" s="1" t="s">
        <v>9464</v>
      </c>
      <c r="M1538" s="1">
        <v>108948</v>
      </c>
      <c r="N1538" s="1" t="s">
        <v>8953</v>
      </c>
      <c r="O1538" s="1" t="s">
        <v>8954</v>
      </c>
      <c r="P1538" s="1" t="s">
        <v>8955</v>
      </c>
      <c r="Q1538" s="1" t="s">
        <v>8956</v>
      </c>
      <c r="R1538" s="1" t="s">
        <v>9103</v>
      </c>
      <c r="S1538" s="1" t="s">
        <v>5153</v>
      </c>
      <c r="T1538" s="1" t="s">
        <v>17</v>
      </c>
      <c r="U1538" s="1" t="s">
        <v>496</v>
      </c>
    </row>
    <row r="1539" spans="1:21" x14ac:dyDescent="0.2">
      <c r="A1539" s="88" t="s">
        <v>17182</v>
      </c>
      <c r="B1539" s="88" t="e">
        <f>VLOOKUP(C1539,#REF!,1,0)</f>
        <v>#REF!</v>
      </c>
      <c r="C1539" s="1" t="s">
        <v>5157</v>
      </c>
      <c r="D1539" s="1" t="s">
        <v>5158</v>
      </c>
      <c r="E1539" s="1" t="s">
        <v>9010</v>
      </c>
      <c r="F1539" s="1" t="s">
        <v>8957</v>
      </c>
      <c r="G1539" t="s">
        <v>8959</v>
      </c>
      <c r="H1539" s="1" t="s">
        <v>9605</v>
      </c>
      <c r="I1539" s="1" t="s">
        <v>9155</v>
      </c>
      <c r="J1539" s="2" t="s">
        <v>10637</v>
      </c>
      <c r="K1539" s="1" t="s">
        <v>10637</v>
      </c>
      <c r="L1539" s="1" t="s">
        <v>21600</v>
      </c>
      <c r="M1539" s="1">
        <v>45</v>
      </c>
      <c r="N1539" s="1" t="s">
        <v>9059</v>
      </c>
      <c r="O1539" s="1" t="s">
        <v>8954</v>
      </c>
      <c r="P1539" s="1" t="s">
        <v>8955</v>
      </c>
      <c r="Q1539" s="1" t="s">
        <v>8956</v>
      </c>
      <c r="R1539" s="1" t="s">
        <v>8958</v>
      </c>
      <c r="S1539" s="1" t="s">
        <v>5159</v>
      </c>
      <c r="T1539" s="1" t="s">
        <v>17</v>
      </c>
      <c r="U1539" s="1" t="s">
        <v>27</v>
      </c>
    </row>
    <row r="1540" spans="1:21" x14ac:dyDescent="0.2">
      <c r="A1540" s="88" t="s">
        <v>17183</v>
      </c>
      <c r="B1540" s="88" t="e">
        <f>VLOOKUP(C1540,#REF!,1,0)</f>
        <v>#REF!</v>
      </c>
      <c r="C1540" s="1" t="s">
        <v>5160</v>
      </c>
      <c r="D1540" s="1" t="s">
        <v>5161</v>
      </c>
      <c r="E1540" s="1" t="s">
        <v>9213</v>
      </c>
      <c r="F1540" s="1" t="e">
        <v>#N/A</v>
      </c>
      <c r="G1540" t="s">
        <v>9009</v>
      </c>
      <c r="H1540" s="1" t="s">
        <v>9154</v>
      </c>
      <c r="I1540" s="1" t="s">
        <v>20725</v>
      </c>
      <c r="J1540" s="2" t="s">
        <v>20723</v>
      </c>
      <c r="K1540" s="1" t="s">
        <v>20723</v>
      </c>
      <c r="L1540" s="1" t="s">
        <v>8951</v>
      </c>
      <c r="M1540" s="1">
        <v>45400</v>
      </c>
      <c r="N1540" s="1" t="s">
        <v>8953</v>
      </c>
      <c r="O1540" s="1" t="e">
        <v>#N/A</v>
      </c>
      <c r="P1540" s="1" t="s">
        <v>8955</v>
      </c>
      <c r="Q1540" s="1" t="s">
        <v>8956</v>
      </c>
      <c r="R1540" s="1" t="s">
        <v>8975</v>
      </c>
      <c r="S1540" s="1" t="s">
        <v>19636</v>
      </c>
      <c r="T1540" s="1" t="s">
        <v>7</v>
      </c>
      <c r="U1540" s="1" t="s">
        <v>5162</v>
      </c>
    </row>
    <row r="1541" spans="1:21" x14ac:dyDescent="0.2">
      <c r="A1541" s="88" t="s">
        <v>17184</v>
      </c>
      <c r="B1541" s="88" t="e">
        <f>VLOOKUP(C1541,#REF!,1,0)</f>
        <v>#REF!</v>
      </c>
      <c r="C1541" s="1" t="s">
        <v>5168</v>
      </c>
      <c r="D1541" s="1" t="s">
        <v>5169</v>
      </c>
      <c r="E1541" s="1" t="s">
        <v>18502</v>
      </c>
      <c r="F1541" s="1" t="s">
        <v>8957</v>
      </c>
      <c r="G1541" t="s">
        <v>8959</v>
      </c>
      <c r="H1541" s="1" t="s">
        <v>9035</v>
      </c>
      <c r="I1541" s="1" t="s">
        <v>9308</v>
      </c>
      <c r="J1541" s="2" t="s">
        <v>21332</v>
      </c>
      <c r="K1541" s="1" t="s">
        <v>21332</v>
      </c>
      <c r="L1541" s="1" t="s">
        <v>8951</v>
      </c>
      <c r="M1541" s="1">
        <v>500</v>
      </c>
      <c r="N1541" s="1" t="s">
        <v>8953</v>
      </c>
      <c r="O1541" s="1" t="s">
        <v>8954</v>
      </c>
      <c r="P1541" s="1" t="s">
        <v>8955</v>
      </c>
      <c r="Q1541" s="1" t="s">
        <v>8956</v>
      </c>
      <c r="R1541" s="1" t="s">
        <v>8958</v>
      </c>
      <c r="S1541" s="1" t="s">
        <v>19637</v>
      </c>
      <c r="T1541" s="1" t="s">
        <v>7</v>
      </c>
      <c r="U1541" s="1" t="s">
        <v>126</v>
      </c>
    </row>
    <row r="1542" spans="1:21" x14ac:dyDescent="0.2">
      <c r="A1542" s="88" t="s">
        <v>17185</v>
      </c>
      <c r="B1542" s="88" t="e">
        <f>VLOOKUP(C1542,#REF!,1,0)</f>
        <v>#REF!</v>
      </c>
      <c r="C1542" s="1" t="s">
        <v>5170</v>
      </c>
      <c r="D1542" s="1" t="s">
        <v>5171</v>
      </c>
      <c r="E1542" s="1" t="s">
        <v>18502</v>
      </c>
      <c r="F1542" s="1" t="s">
        <v>8957</v>
      </c>
      <c r="G1542" t="s">
        <v>8959</v>
      </c>
      <c r="H1542" s="1" t="s">
        <v>8948</v>
      </c>
      <c r="I1542" s="1" t="s">
        <v>8949</v>
      </c>
      <c r="J1542" s="2" t="s">
        <v>21205</v>
      </c>
      <c r="K1542" s="1" t="s">
        <v>21205</v>
      </c>
      <c r="L1542" s="1" t="s">
        <v>9292</v>
      </c>
      <c r="M1542" s="1">
        <v>227</v>
      </c>
      <c r="N1542" s="1" t="s">
        <v>9059</v>
      </c>
      <c r="O1542" s="1" t="s">
        <v>8989</v>
      </c>
      <c r="P1542" s="1" t="s">
        <v>8955</v>
      </c>
      <c r="Q1542" s="1" t="s">
        <v>8956</v>
      </c>
      <c r="R1542" s="1" t="s">
        <v>8975</v>
      </c>
      <c r="S1542" s="1" t="s">
        <v>19638</v>
      </c>
      <c r="T1542" s="1" t="s">
        <v>17</v>
      </c>
      <c r="U1542" s="1" t="s">
        <v>61</v>
      </c>
    </row>
    <row r="1543" spans="1:21" x14ac:dyDescent="0.2">
      <c r="A1543" s="88" t="s">
        <v>17186</v>
      </c>
      <c r="B1543" s="88" t="e">
        <f>VLOOKUP(C1543,#REF!,1,0)</f>
        <v>#REF!</v>
      </c>
      <c r="C1543" s="1" t="s">
        <v>5172</v>
      </c>
      <c r="D1543" s="1" t="s">
        <v>5173</v>
      </c>
      <c r="E1543" s="1" t="s">
        <v>9010</v>
      </c>
      <c r="F1543" s="1" t="s">
        <v>8957</v>
      </c>
      <c r="G1543" t="s">
        <v>8959</v>
      </c>
      <c r="H1543" s="1" t="s">
        <v>8948</v>
      </c>
      <c r="I1543" s="1" t="s">
        <v>8949</v>
      </c>
      <c r="J1543" s="2" t="s">
        <v>21417</v>
      </c>
      <c r="K1543" s="1" t="s">
        <v>21417</v>
      </c>
      <c r="L1543" s="1" t="s">
        <v>9292</v>
      </c>
      <c r="M1543" s="1">
        <v>114</v>
      </c>
      <c r="N1543" s="1" t="s">
        <v>9059</v>
      </c>
      <c r="O1543" s="1" t="s">
        <v>8989</v>
      </c>
      <c r="P1543" s="1" t="s">
        <v>8955</v>
      </c>
      <c r="Q1543" s="1" t="s">
        <v>8956</v>
      </c>
      <c r="R1543" s="1" t="s">
        <v>8975</v>
      </c>
      <c r="S1543" s="1" t="s">
        <v>5174</v>
      </c>
      <c r="T1543" s="1" t="s">
        <v>11</v>
      </c>
      <c r="U1543" s="1" t="s">
        <v>46</v>
      </c>
    </row>
    <row r="1544" spans="1:21" x14ac:dyDescent="0.2">
      <c r="A1544" s="88" t="s">
        <v>17187</v>
      </c>
      <c r="B1544" s="88" t="e">
        <f>VLOOKUP(C1544,#REF!,1,0)</f>
        <v>#REF!</v>
      </c>
      <c r="C1544" s="1" t="s">
        <v>5175</v>
      </c>
      <c r="D1544" s="1" t="s">
        <v>5176</v>
      </c>
      <c r="E1544" s="1" t="s">
        <v>11671</v>
      </c>
      <c r="F1544" s="1" t="s">
        <v>8957</v>
      </c>
      <c r="G1544" t="s">
        <v>9061</v>
      </c>
      <c r="H1544" s="1" t="s">
        <v>9092</v>
      </c>
      <c r="I1544" s="1" t="s">
        <v>8959</v>
      </c>
      <c r="J1544" s="2" t="s">
        <v>20779</v>
      </c>
      <c r="K1544" s="1" t="s">
        <v>9036</v>
      </c>
      <c r="L1544" s="1" t="s">
        <v>9464</v>
      </c>
      <c r="M1544" s="1">
        <v>10000</v>
      </c>
      <c r="N1544" s="1" t="s">
        <v>8953</v>
      </c>
      <c r="O1544" s="1" t="s">
        <v>8989</v>
      </c>
      <c r="P1544" s="1" t="s">
        <v>8955</v>
      </c>
      <c r="Q1544" s="1" t="s">
        <v>8956</v>
      </c>
      <c r="R1544" s="1" t="s">
        <v>9103</v>
      </c>
      <c r="S1544" s="1" t="s">
        <v>19639</v>
      </c>
      <c r="T1544" s="1" t="s">
        <v>7</v>
      </c>
      <c r="U1544" s="1" t="s">
        <v>733</v>
      </c>
    </row>
    <row r="1545" spans="1:21" x14ac:dyDescent="0.2">
      <c r="A1545" s="88" t="s">
        <v>17189</v>
      </c>
      <c r="B1545" s="88" t="e">
        <f>VLOOKUP(C1545,#REF!,1,0)</f>
        <v>#REF!</v>
      </c>
      <c r="C1545" s="1" t="s">
        <v>5183</v>
      </c>
      <c r="D1545" s="1" t="s">
        <v>5184</v>
      </c>
      <c r="E1545" s="1" t="s">
        <v>9333</v>
      </c>
      <c r="F1545" s="1" t="s">
        <v>8959</v>
      </c>
      <c r="G1545" t="s">
        <v>9061</v>
      </c>
      <c r="H1545" s="1" t="s">
        <v>9075</v>
      </c>
      <c r="I1545" s="1" t="s">
        <v>8998</v>
      </c>
      <c r="J1545" s="2" t="s">
        <v>10492</v>
      </c>
      <c r="K1545" s="1" t="s">
        <v>10492</v>
      </c>
      <c r="L1545" s="1" t="s">
        <v>9076</v>
      </c>
      <c r="M1545" s="1">
        <v>126</v>
      </c>
      <c r="N1545" s="1" t="s">
        <v>9059</v>
      </c>
      <c r="O1545" s="1" t="s">
        <v>8989</v>
      </c>
      <c r="P1545" s="1" t="s">
        <v>8955</v>
      </c>
      <c r="Q1545" s="1" t="s">
        <v>8956</v>
      </c>
      <c r="R1545" s="1" t="s">
        <v>8975</v>
      </c>
      <c r="S1545" s="1" t="s">
        <v>19642</v>
      </c>
      <c r="T1545" s="1" t="s">
        <v>7</v>
      </c>
      <c r="U1545" s="1" t="s">
        <v>267</v>
      </c>
    </row>
    <row r="1546" spans="1:21" x14ac:dyDescent="0.2">
      <c r="A1546" s="88" t="s">
        <v>17190</v>
      </c>
      <c r="B1546" s="88" t="e">
        <f>VLOOKUP(C1546,#REF!,1,0)</f>
        <v>#REF!</v>
      </c>
      <c r="C1546" s="1" t="s">
        <v>5185</v>
      </c>
      <c r="D1546" s="1" t="s">
        <v>5186</v>
      </c>
      <c r="E1546" s="1" t="s">
        <v>9333</v>
      </c>
      <c r="F1546" s="1" t="s">
        <v>8957</v>
      </c>
      <c r="G1546" t="s">
        <v>9009</v>
      </c>
      <c r="H1546" s="1" t="s">
        <v>8948</v>
      </c>
      <c r="I1546" s="1" t="s">
        <v>9121</v>
      </c>
      <c r="J1546" s="2" t="s">
        <v>9599</v>
      </c>
      <c r="K1546" s="1" t="s">
        <v>9599</v>
      </c>
      <c r="L1546" s="1" t="s">
        <v>9133</v>
      </c>
      <c r="M1546" s="1">
        <v>170</v>
      </c>
      <c r="N1546" s="1" t="s">
        <v>8953</v>
      </c>
      <c r="O1546" s="1" t="s">
        <v>8954</v>
      </c>
      <c r="P1546" s="1" t="s">
        <v>8955</v>
      </c>
      <c r="Q1546" s="1" t="s">
        <v>8956</v>
      </c>
      <c r="R1546" s="1" t="s">
        <v>8975</v>
      </c>
      <c r="S1546" s="1" t="s">
        <v>5187</v>
      </c>
      <c r="T1546" s="1" t="s">
        <v>17</v>
      </c>
      <c r="U1546" s="1" t="s">
        <v>5188</v>
      </c>
    </row>
    <row r="1547" spans="1:21" x14ac:dyDescent="0.2">
      <c r="A1547" s="88" t="s">
        <v>17191</v>
      </c>
      <c r="B1547" s="88" t="e">
        <f>VLOOKUP(C1547,#REF!,1,0)</f>
        <v>#REF!</v>
      </c>
      <c r="C1547" s="1" t="s">
        <v>5189</v>
      </c>
      <c r="D1547" s="1" t="s">
        <v>5190</v>
      </c>
      <c r="E1547" s="1" t="s">
        <v>9815</v>
      </c>
      <c r="F1547" s="1" t="s">
        <v>8959</v>
      </c>
      <c r="G1547" t="s">
        <v>8959</v>
      </c>
      <c r="H1547" s="1" t="s">
        <v>9035</v>
      </c>
      <c r="I1547" s="1" t="s">
        <v>8998</v>
      </c>
      <c r="J1547" s="131" t="s">
        <v>21284</v>
      </c>
      <c r="K1547" s="77" t="s">
        <v>21705</v>
      </c>
      <c r="L1547" s="1" t="s">
        <v>9292</v>
      </c>
      <c r="M1547" s="1">
        <v>757</v>
      </c>
      <c r="N1547" s="1" t="s">
        <v>8953</v>
      </c>
      <c r="O1547" s="1" t="s">
        <v>8954</v>
      </c>
      <c r="P1547" s="1" t="s">
        <v>8955</v>
      </c>
      <c r="Q1547" s="1" t="s">
        <v>8956</v>
      </c>
      <c r="R1547" s="1" t="s">
        <v>9103</v>
      </c>
      <c r="S1547" s="1" t="s">
        <v>20649</v>
      </c>
      <c r="T1547" s="1" t="s">
        <v>7</v>
      </c>
      <c r="U1547" s="1" t="s">
        <v>35</v>
      </c>
    </row>
    <row r="1548" spans="1:21" x14ac:dyDescent="0.2">
      <c r="A1548" s="88" t="s">
        <v>17192</v>
      </c>
      <c r="B1548" s="88" t="e">
        <f>VLOOKUP(C1548,#REF!,1,0)</f>
        <v>#REF!</v>
      </c>
      <c r="C1548" s="1" t="s">
        <v>5191</v>
      </c>
      <c r="D1548" s="1" t="s">
        <v>5192</v>
      </c>
      <c r="E1548" s="1" t="s">
        <v>18502</v>
      </c>
      <c r="F1548" s="1" t="s">
        <v>8957</v>
      </c>
      <c r="G1548" t="s">
        <v>9061</v>
      </c>
      <c r="H1548" s="1" t="s">
        <v>20714</v>
      </c>
      <c r="I1548" s="1" t="s">
        <v>20725</v>
      </c>
      <c r="J1548" s="2" t="s">
        <v>10492</v>
      </c>
      <c r="K1548" s="1" t="s">
        <v>10492</v>
      </c>
      <c r="L1548" s="1" t="s">
        <v>21600</v>
      </c>
      <c r="M1548" s="1">
        <v>42</v>
      </c>
      <c r="N1548" s="1" t="s">
        <v>9059</v>
      </c>
      <c r="O1548" s="1" t="s">
        <v>8989</v>
      </c>
      <c r="P1548" s="1" t="s">
        <v>8955</v>
      </c>
      <c r="Q1548" s="1" t="s">
        <v>8956</v>
      </c>
      <c r="R1548" s="1" t="s">
        <v>8958</v>
      </c>
      <c r="S1548" s="1" t="s">
        <v>19643</v>
      </c>
      <c r="T1548" s="1" t="s">
        <v>7</v>
      </c>
      <c r="U1548" s="1" t="s">
        <v>24</v>
      </c>
    </row>
    <row r="1549" spans="1:21" x14ac:dyDescent="0.2">
      <c r="A1549" s="88" t="s">
        <v>17193</v>
      </c>
      <c r="B1549" s="88" t="e">
        <f>VLOOKUP(C1549,#REF!,1,0)</f>
        <v>#REF!</v>
      </c>
      <c r="C1549" s="1" t="s">
        <v>5193</v>
      </c>
      <c r="D1549" s="1" t="s">
        <v>5194</v>
      </c>
      <c r="E1549" s="1" t="s">
        <v>18502</v>
      </c>
      <c r="F1549" s="1" t="s">
        <v>8959</v>
      </c>
      <c r="G1549" t="s">
        <v>9061</v>
      </c>
      <c r="H1549" s="1" t="s">
        <v>8984</v>
      </c>
      <c r="I1549" s="1" t="s">
        <v>8998</v>
      </c>
      <c r="J1549" s="2" t="s">
        <v>18497</v>
      </c>
      <c r="K1549" s="1" t="s">
        <v>21658</v>
      </c>
      <c r="L1549" s="1" t="s">
        <v>9076</v>
      </c>
      <c r="M1549" s="1">
        <v>225000</v>
      </c>
      <c r="N1549" s="1" t="s">
        <v>8953</v>
      </c>
      <c r="O1549" s="1" t="s">
        <v>8989</v>
      </c>
      <c r="P1549" s="1" t="s">
        <v>8955</v>
      </c>
      <c r="Q1549" s="1" t="s">
        <v>8956</v>
      </c>
      <c r="R1549" s="1" t="s">
        <v>8958</v>
      </c>
      <c r="S1549" s="1" t="s">
        <v>19644</v>
      </c>
      <c r="T1549" s="1" t="s">
        <v>7</v>
      </c>
      <c r="U1549" s="1" t="s">
        <v>93</v>
      </c>
    </row>
    <row r="1550" spans="1:21" x14ac:dyDescent="0.2">
      <c r="A1550" s="88" t="s">
        <v>17194</v>
      </c>
      <c r="B1550" s="88" t="e">
        <f>VLOOKUP(C1550,#REF!,1,0)</f>
        <v>#REF!</v>
      </c>
      <c r="C1550" s="1" t="s">
        <v>5195</v>
      </c>
      <c r="D1550" s="1" t="s">
        <v>5196</v>
      </c>
      <c r="E1550" s="1" t="s">
        <v>10687</v>
      </c>
      <c r="F1550" s="1" t="s">
        <v>8957</v>
      </c>
      <c r="G1550" t="s">
        <v>8959</v>
      </c>
      <c r="H1550" s="1" t="s">
        <v>9035</v>
      </c>
      <c r="I1550" s="1" t="s">
        <v>9155</v>
      </c>
      <c r="J1550" s="2" t="s">
        <v>21199</v>
      </c>
      <c r="K1550" s="1" t="s">
        <v>21199</v>
      </c>
      <c r="L1550" s="1" t="s">
        <v>8987</v>
      </c>
      <c r="M1550" s="1">
        <v>12246</v>
      </c>
      <c r="N1550" s="1" t="s">
        <v>8953</v>
      </c>
      <c r="O1550" s="1" t="s">
        <v>8954</v>
      </c>
      <c r="P1550" s="1" t="s">
        <v>8955</v>
      </c>
      <c r="Q1550" s="1" t="s">
        <v>8956</v>
      </c>
      <c r="R1550" s="1" t="s">
        <v>8958</v>
      </c>
      <c r="S1550" s="1" t="s">
        <v>19645</v>
      </c>
      <c r="T1550" s="1" t="s">
        <v>7</v>
      </c>
      <c r="U1550" s="1" t="s">
        <v>74</v>
      </c>
    </row>
    <row r="1551" spans="1:21" x14ac:dyDescent="0.2">
      <c r="A1551" s="88" t="s">
        <v>17195</v>
      </c>
      <c r="B1551" s="88" t="e">
        <f>VLOOKUP(C1551,#REF!,1,0)</f>
        <v>#REF!</v>
      </c>
      <c r="C1551" s="1" t="s">
        <v>5197</v>
      </c>
      <c r="D1551" s="1" t="s">
        <v>5198</v>
      </c>
      <c r="E1551" s="1" t="s">
        <v>9815</v>
      </c>
      <c r="F1551" s="1" t="s">
        <v>8959</v>
      </c>
      <c r="G1551" t="s">
        <v>9183</v>
      </c>
      <c r="H1551" s="1" t="s">
        <v>9049</v>
      </c>
      <c r="I1551" s="1" t="s">
        <v>9050</v>
      </c>
      <c r="J1551" s="2" t="s">
        <v>9036</v>
      </c>
      <c r="K1551" s="1" t="s">
        <v>9036</v>
      </c>
      <c r="L1551" s="1" t="s">
        <v>9133</v>
      </c>
      <c r="M1551" s="1">
        <v>11200</v>
      </c>
      <c r="N1551" s="1" t="s">
        <v>8953</v>
      </c>
      <c r="O1551" s="1" t="s">
        <v>8954</v>
      </c>
      <c r="P1551" s="1" t="s">
        <v>8955</v>
      </c>
      <c r="Q1551" s="1" t="s">
        <v>8956</v>
      </c>
      <c r="R1551" s="1" t="s">
        <v>8958</v>
      </c>
      <c r="S1551" s="1" t="s">
        <v>5199</v>
      </c>
      <c r="T1551" s="1" t="s">
        <v>11</v>
      </c>
      <c r="U1551" s="1" t="s">
        <v>184</v>
      </c>
    </row>
    <row r="1552" spans="1:21" x14ac:dyDescent="0.2">
      <c r="A1552" s="88" t="s">
        <v>17196</v>
      </c>
      <c r="B1552" s="88" t="e">
        <f>VLOOKUP(C1552,#REF!,1,0)</f>
        <v>#REF!</v>
      </c>
      <c r="C1552" s="1" t="s">
        <v>5200</v>
      </c>
      <c r="D1552" s="1" t="s">
        <v>5201</v>
      </c>
      <c r="E1552" s="1" t="s">
        <v>9333</v>
      </c>
      <c r="F1552" s="1" t="s">
        <v>8959</v>
      </c>
      <c r="G1552" t="s">
        <v>9061</v>
      </c>
      <c r="H1552" s="1" t="s">
        <v>8984</v>
      </c>
      <c r="I1552" s="1" t="s">
        <v>9308</v>
      </c>
      <c r="J1552" s="2" t="s">
        <v>10492</v>
      </c>
      <c r="K1552" s="1" t="s">
        <v>21645</v>
      </c>
      <c r="L1552" s="1" t="s">
        <v>8951</v>
      </c>
      <c r="M1552" s="1">
        <v>300</v>
      </c>
      <c r="N1552" s="1" t="s">
        <v>8953</v>
      </c>
      <c r="O1552" s="1" t="s">
        <v>8989</v>
      </c>
      <c r="P1552" s="1" t="s">
        <v>8955</v>
      </c>
      <c r="Q1552" s="1" t="s">
        <v>8956</v>
      </c>
      <c r="R1552" s="1" t="s">
        <v>8958</v>
      </c>
      <c r="S1552" s="1" t="s">
        <v>19646</v>
      </c>
      <c r="T1552" s="1" t="s">
        <v>17</v>
      </c>
      <c r="U1552" s="1" t="s">
        <v>2434</v>
      </c>
    </row>
    <row r="1553" spans="1:21" x14ac:dyDescent="0.2">
      <c r="A1553" s="88" t="s">
        <v>17197</v>
      </c>
      <c r="B1553" s="88" t="e">
        <f>VLOOKUP(C1553,#REF!,1,0)</f>
        <v>#REF!</v>
      </c>
      <c r="C1553" s="1" t="s">
        <v>5202</v>
      </c>
      <c r="D1553" s="1" t="s">
        <v>5203</v>
      </c>
      <c r="E1553" s="1" t="s">
        <v>9333</v>
      </c>
      <c r="F1553" s="1" t="s">
        <v>8974</v>
      </c>
      <c r="G1553" t="s">
        <v>9183</v>
      </c>
      <c r="H1553" s="1" t="s">
        <v>9605</v>
      </c>
      <c r="I1553" s="1" t="s">
        <v>8985</v>
      </c>
      <c r="J1553" s="2" t="s">
        <v>20779</v>
      </c>
      <c r="K1553" s="1" t="s">
        <v>9036</v>
      </c>
      <c r="L1553" s="1" t="s">
        <v>9133</v>
      </c>
      <c r="M1553" s="1">
        <v>91203</v>
      </c>
      <c r="N1553" s="1" t="s">
        <v>20915</v>
      </c>
      <c r="O1553" s="1" t="s">
        <v>8989</v>
      </c>
      <c r="P1553" s="1" t="s">
        <v>8955</v>
      </c>
      <c r="Q1553" s="1" t="s">
        <v>8956</v>
      </c>
      <c r="R1553" s="1" t="s">
        <v>8975</v>
      </c>
      <c r="S1553" s="1" t="s">
        <v>19647</v>
      </c>
      <c r="T1553" s="1" t="s">
        <v>7</v>
      </c>
      <c r="U1553" s="1" t="s">
        <v>5204</v>
      </c>
    </row>
    <row r="1554" spans="1:21" x14ac:dyDescent="0.2">
      <c r="A1554" s="88" t="s">
        <v>17198</v>
      </c>
      <c r="B1554" s="88" t="e">
        <f>VLOOKUP(C1554,#REF!,1,0)</f>
        <v>#REF!</v>
      </c>
      <c r="C1554" s="1" t="s">
        <v>5205</v>
      </c>
      <c r="D1554" s="1" t="s">
        <v>5206</v>
      </c>
      <c r="E1554" s="1" t="s">
        <v>9333</v>
      </c>
      <c r="F1554" s="1" t="s">
        <v>8974</v>
      </c>
      <c r="G1554" t="s">
        <v>9009</v>
      </c>
      <c r="H1554" s="1" t="s">
        <v>9154</v>
      </c>
      <c r="I1554" s="1" t="s">
        <v>8959</v>
      </c>
      <c r="J1554" s="2" t="s">
        <v>20785</v>
      </c>
      <c r="K1554" s="1" t="s">
        <v>9386</v>
      </c>
      <c r="L1554" s="1" t="s">
        <v>8987</v>
      </c>
      <c r="M1554" s="1">
        <v>971</v>
      </c>
      <c r="N1554" s="1" t="s">
        <v>8953</v>
      </c>
      <c r="O1554" s="1" t="s">
        <v>8954</v>
      </c>
      <c r="P1554" s="1" t="s">
        <v>8955</v>
      </c>
      <c r="Q1554" s="1" t="s">
        <v>8956</v>
      </c>
      <c r="R1554" s="1" t="s">
        <v>9103</v>
      </c>
      <c r="S1554" s="1" t="s">
        <v>19648</v>
      </c>
      <c r="T1554" s="1" t="s">
        <v>7</v>
      </c>
      <c r="U1554" s="1" t="s">
        <v>5207</v>
      </c>
    </row>
    <row r="1555" spans="1:21" x14ac:dyDescent="0.2">
      <c r="A1555" s="88" t="s">
        <v>17199</v>
      </c>
      <c r="B1555" s="88" t="e">
        <f>VLOOKUP(C1555,#REF!,1,0)</f>
        <v>#REF!</v>
      </c>
      <c r="C1555" s="1" t="s">
        <v>5208</v>
      </c>
      <c r="D1555" s="1" t="s">
        <v>5209</v>
      </c>
      <c r="E1555" s="1" t="s">
        <v>10032</v>
      </c>
      <c r="F1555" s="1" t="s">
        <v>8957</v>
      </c>
      <c r="G1555" t="s">
        <v>8959</v>
      </c>
      <c r="H1555" s="1" t="s">
        <v>8948</v>
      </c>
      <c r="I1555" s="1" t="s">
        <v>8949</v>
      </c>
      <c r="J1555" s="2" t="s">
        <v>9036</v>
      </c>
      <c r="K1555" s="1" t="s">
        <v>9036</v>
      </c>
      <c r="L1555" s="1" t="s">
        <v>21600</v>
      </c>
      <c r="M1555" s="1">
        <v>285</v>
      </c>
      <c r="N1555" s="1" t="s">
        <v>8953</v>
      </c>
      <c r="O1555" s="1" t="s">
        <v>8954</v>
      </c>
      <c r="P1555" s="1" t="s">
        <v>8955</v>
      </c>
      <c r="Q1555" s="1" t="s">
        <v>8956</v>
      </c>
      <c r="R1555" s="1" t="s">
        <v>8958</v>
      </c>
      <c r="S1555" s="1" t="s">
        <v>5210</v>
      </c>
      <c r="T1555" s="1" t="s">
        <v>17</v>
      </c>
      <c r="U1555" s="1" t="s">
        <v>43</v>
      </c>
    </row>
    <row r="1556" spans="1:21" x14ac:dyDescent="0.2">
      <c r="A1556" s="88" t="s">
        <v>17200</v>
      </c>
      <c r="B1556" s="88" t="e">
        <f>VLOOKUP(C1556,#REF!,1,0)</f>
        <v>#REF!</v>
      </c>
      <c r="C1556" s="1" t="s">
        <v>5211</v>
      </c>
      <c r="D1556" s="1" t="s">
        <v>5212</v>
      </c>
      <c r="E1556" s="1" t="s">
        <v>10049</v>
      </c>
      <c r="F1556" s="1" t="s">
        <v>8959</v>
      </c>
      <c r="G1556" t="s">
        <v>8959</v>
      </c>
      <c r="H1556" s="1" t="s">
        <v>9154</v>
      </c>
      <c r="I1556" s="1" t="s">
        <v>8949</v>
      </c>
      <c r="J1556" s="2" t="s">
        <v>9212</v>
      </c>
      <c r="K1556" s="1" t="s">
        <v>10607</v>
      </c>
      <c r="L1556" s="1" t="s">
        <v>21600</v>
      </c>
      <c r="M1556" s="1">
        <v>250</v>
      </c>
      <c r="N1556" s="1" t="s">
        <v>8953</v>
      </c>
      <c r="O1556" s="1" t="s">
        <v>8954</v>
      </c>
      <c r="P1556" s="1" t="s">
        <v>8955</v>
      </c>
      <c r="Q1556" s="1" t="s">
        <v>8956</v>
      </c>
      <c r="R1556" s="1" t="s">
        <v>8958</v>
      </c>
      <c r="S1556" s="1" t="s">
        <v>5213</v>
      </c>
      <c r="T1556" s="1" t="s">
        <v>17</v>
      </c>
      <c r="U1556" s="1" t="s">
        <v>5214</v>
      </c>
    </row>
    <row r="1557" spans="1:21" x14ac:dyDescent="0.2">
      <c r="A1557" s="88" t="s">
        <v>17201</v>
      </c>
      <c r="B1557" s="88" t="e">
        <f>VLOOKUP(C1557,#REF!,1,0)</f>
        <v>#REF!</v>
      </c>
      <c r="C1557" s="1" t="s">
        <v>5215</v>
      </c>
      <c r="D1557" s="1" t="s">
        <v>5216</v>
      </c>
      <c r="E1557" s="1" t="s">
        <v>18502</v>
      </c>
      <c r="F1557" s="1" t="s">
        <v>8957</v>
      </c>
      <c r="G1557" t="s">
        <v>8959</v>
      </c>
      <c r="H1557" s="1" t="s">
        <v>9605</v>
      </c>
      <c r="I1557" s="1" t="s">
        <v>9101</v>
      </c>
      <c r="J1557" s="2" t="s">
        <v>21630</v>
      </c>
      <c r="K1557" s="1" t="s">
        <v>9167</v>
      </c>
      <c r="L1557" s="1" t="s">
        <v>9076</v>
      </c>
      <c r="M1557" s="1" t="s">
        <v>9479</v>
      </c>
      <c r="N1557" s="1" t="s">
        <v>9479</v>
      </c>
      <c r="O1557" s="1" t="s">
        <v>8989</v>
      </c>
      <c r="P1557" s="1" t="s">
        <v>8955</v>
      </c>
      <c r="Q1557" s="1" t="s">
        <v>8956</v>
      </c>
      <c r="R1557" s="1" t="s">
        <v>9103</v>
      </c>
      <c r="S1557" s="1" t="s">
        <v>19649</v>
      </c>
      <c r="T1557" s="1" t="s">
        <v>7</v>
      </c>
      <c r="U1557" s="1" t="s">
        <v>2121</v>
      </c>
    </row>
    <row r="1558" spans="1:21" x14ac:dyDescent="0.2">
      <c r="A1558" s="88" t="s">
        <v>17202</v>
      </c>
      <c r="B1558" s="88" t="e">
        <f>VLOOKUP(C1558,#REF!,1,0)</f>
        <v>#REF!</v>
      </c>
      <c r="C1558" s="1" t="s">
        <v>5220</v>
      </c>
      <c r="D1558" s="1" t="s">
        <v>5221</v>
      </c>
      <c r="E1558" s="1" t="s">
        <v>9246</v>
      </c>
      <c r="F1558" s="1" t="s">
        <v>8957</v>
      </c>
      <c r="G1558" t="s">
        <v>9009</v>
      </c>
      <c r="H1558" s="1" t="s">
        <v>8948</v>
      </c>
      <c r="I1558" s="1" t="s">
        <v>8949</v>
      </c>
      <c r="J1558" s="2" t="s">
        <v>9036</v>
      </c>
      <c r="K1558" s="1" t="s">
        <v>9036</v>
      </c>
      <c r="L1558" s="1" t="s">
        <v>21600</v>
      </c>
      <c r="M1558" s="1">
        <v>226</v>
      </c>
      <c r="N1558" s="1" t="s">
        <v>9059</v>
      </c>
      <c r="O1558" s="1" t="s">
        <v>8954</v>
      </c>
      <c r="P1558" s="1" t="s">
        <v>8955</v>
      </c>
      <c r="Q1558" s="1" t="s">
        <v>8956</v>
      </c>
      <c r="R1558" s="1" t="s">
        <v>8958</v>
      </c>
      <c r="S1558" s="1" t="s">
        <v>5222</v>
      </c>
      <c r="T1558" s="1" t="s">
        <v>11</v>
      </c>
      <c r="U1558" s="1" t="s">
        <v>57</v>
      </c>
    </row>
    <row r="1559" spans="1:21" x14ac:dyDescent="0.2">
      <c r="A1559" s="88" t="s">
        <v>17203</v>
      </c>
      <c r="B1559" s="88" t="e">
        <f>VLOOKUP(C1559,#REF!,1,0)</f>
        <v>#REF!</v>
      </c>
      <c r="C1559" s="1" t="s">
        <v>5223</v>
      </c>
      <c r="D1559" s="1" t="s">
        <v>5224</v>
      </c>
      <c r="E1559" s="1" t="s">
        <v>9968</v>
      </c>
      <c r="F1559" s="1" t="s">
        <v>8959</v>
      </c>
      <c r="G1559" t="s">
        <v>8959</v>
      </c>
      <c r="H1559" s="1" t="s">
        <v>8984</v>
      </c>
      <c r="I1559" s="1" t="s">
        <v>8998</v>
      </c>
      <c r="J1559" s="2" t="s">
        <v>21451</v>
      </c>
      <c r="K1559" s="1" t="s">
        <v>21706</v>
      </c>
      <c r="L1559" s="1" t="s">
        <v>21600</v>
      </c>
      <c r="M1559" s="1">
        <v>135</v>
      </c>
      <c r="N1559" s="1" t="s">
        <v>8953</v>
      </c>
      <c r="O1559" s="1" t="s">
        <v>20828</v>
      </c>
      <c r="P1559" s="1" t="s">
        <v>8955</v>
      </c>
      <c r="Q1559" s="1" t="s">
        <v>8956</v>
      </c>
      <c r="R1559" s="1" t="s">
        <v>9103</v>
      </c>
      <c r="S1559" s="1" t="s">
        <v>19651</v>
      </c>
      <c r="T1559" s="1" t="s">
        <v>7</v>
      </c>
      <c r="U1559" s="1" t="s">
        <v>64</v>
      </c>
    </row>
    <row r="1560" spans="1:21" x14ac:dyDescent="0.2">
      <c r="A1560" s="88" t="s">
        <v>17204</v>
      </c>
      <c r="B1560" s="88" t="e">
        <f>VLOOKUP(C1560,#REF!,1,0)</f>
        <v>#REF!</v>
      </c>
      <c r="C1560" s="1" t="s">
        <v>5225</v>
      </c>
      <c r="D1560" s="1" t="s">
        <v>5226</v>
      </c>
      <c r="E1560" s="1" t="s">
        <v>9010</v>
      </c>
      <c r="F1560" s="1" t="s">
        <v>8957</v>
      </c>
      <c r="G1560" t="s">
        <v>9061</v>
      </c>
      <c r="H1560" s="1" t="s">
        <v>9252</v>
      </c>
      <c r="I1560" s="1" t="s">
        <v>9253</v>
      </c>
      <c r="J1560" s="2" t="s">
        <v>9036</v>
      </c>
      <c r="K1560" s="1" t="s">
        <v>9036</v>
      </c>
      <c r="L1560" s="1" t="s">
        <v>8987</v>
      </c>
      <c r="M1560" s="1">
        <v>22000</v>
      </c>
      <c r="N1560" s="1" t="s">
        <v>8953</v>
      </c>
      <c r="O1560" s="1" t="s">
        <v>8989</v>
      </c>
      <c r="P1560" s="1" t="s">
        <v>8955</v>
      </c>
      <c r="Q1560" s="1" t="s">
        <v>8956</v>
      </c>
      <c r="R1560" s="1" t="s">
        <v>8958</v>
      </c>
      <c r="S1560" s="1" t="s">
        <v>5227</v>
      </c>
      <c r="T1560" s="1" t="s">
        <v>11</v>
      </c>
      <c r="U1560" s="1" t="s">
        <v>93</v>
      </c>
    </row>
    <row r="1561" spans="1:21" x14ac:dyDescent="0.2">
      <c r="A1561" s="88" t="s">
        <v>17205</v>
      </c>
      <c r="B1561" s="88" t="e">
        <f>VLOOKUP(C1561,#REF!,1,0)</f>
        <v>#REF!</v>
      </c>
      <c r="C1561" s="1" t="s">
        <v>5228</v>
      </c>
      <c r="D1561" s="1" t="s">
        <v>5229</v>
      </c>
      <c r="E1561" s="1" t="s">
        <v>9010</v>
      </c>
      <c r="F1561" s="1" t="s">
        <v>9060</v>
      </c>
      <c r="G1561" t="s">
        <v>9061</v>
      </c>
      <c r="H1561" s="1" t="s">
        <v>9252</v>
      </c>
      <c r="I1561" s="1" t="s">
        <v>9253</v>
      </c>
      <c r="J1561" s="2" t="s">
        <v>9036</v>
      </c>
      <c r="K1561" s="1" t="s">
        <v>9036</v>
      </c>
      <c r="L1561" s="1" t="s">
        <v>9157</v>
      </c>
      <c r="M1561" s="1">
        <v>15415</v>
      </c>
      <c r="N1561" s="1" t="s">
        <v>8953</v>
      </c>
      <c r="O1561" s="1" t="s">
        <v>8954</v>
      </c>
      <c r="P1561" s="1" t="s">
        <v>8955</v>
      </c>
      <c r="Q1561" s="1" t="s">
        <v>8956</v>
      </c>
      <c r="R1561" s="1" t="s">
        <v>8958</v>
      </c>
      <c r="S1561" s="1" t="s">
        <v>5230</v>
      </c>
      <c r="T1561" s="1" t="s">
        <v>11</v>
      </c>
      <c r="U1561" s="1" t="s">
        <v>87</v>
      </c>
    </row>
    <row r="1562" spans="1:21" x14ac:dyDescent="0.2">
      <c r="A1562" s="88" t="s">
        <v>17206</v>
      </c>
      <c r="B1562" s="88" t="e">
        <f>VLOOKUP(C1562,#REF!,1,0)</f>
        <v>#REF!</v>
      </c>
      <c r="C1562" s="1" t="s">
        <v>5231</v>
      </c>
      <c r="D1562" s="1" t="s">
        <v>5232</v>
      </c>
      <c r="E1562" s="1" t="s">
        <v>9010</v>
      </c>
      <c r="F1562" s="1" t="s">
        <v>8957</v>
      </c>
      <c r="G1562" t="s">
        <v>9183</v>
      </c>
      <c r="H1562" s="1" t="s">
        <v>8948</v>
      </c>
      <c r="I1562" s="1" t="s">
        <v>8949</v>
      </c>
      <c r="J1562" s="2" t="s">
        <v>9036</v>
      </c>
      <c r="K1562" s="1" t="s">
        <v>9036</v>
      </c>
      <c r="L1562" s="1" t="s">
        <v>9133</v>
      </c>
      <c r="M1562" s="1">
        <v>134</v>
      </c>
      <c r="N1562" s="1" t="s">
        <v>8953</v>
      </c>
      <c r="O1562" s="1" t="s">
        <v>8989</v>
      </c>
      <c r="P1562" s="1" t="s">
        <v>8955</v>
      </c>
      <c r="Q1562" s="1" t="s">
        <v>8956</v>
      </c>
      <c r="R1562" s="1" t="s">
        <v>8958</v>
      </c>
      <c r="S1562" s="1" t="s">
        <v>5233</v>
      </c>
      <c r="T1562" s="1" t="s">
        <v>17</v>
      </c>
      <c r="U1562" s="1" t="s">
        <v>61</v>
      </c>
    </row>
    <row r="1563" spans="1:21" x14ac:dyDescent="0.2">
      <c r="A1563" s="88" t="s">
        <v>17207</v>
      </c>
      <c r="B1563" s="88" t="e">
        <f>VLOOKUP(C1563,#REF!,1,0)</f>
        <v>#REF!</v>
      </c>
      <c r="C1563" s="1" t="s">
        <v>5234</v>
      </c>
      <c r="D1563" s="1" t="s">
        <v>5235</v>
      </c>
      <c r="E1563" s="1" t="s">
        <v>18502</v>
      </c>
      <c r="F1563" s="1" t="s">
        <v>8957</v>
      </c>
      <c r="G1563" t="s">
        <v>9009</v>
      </c>
      <c r="H1563" s="1" t="s">
        <v>9100</v>
      </c>
      <c r="I1563" s="1" t="s">
        <v>9101</v>
      </c>
      <c r="J1563" s="2" t="s">
        <v>10492</v>
      </c>
      <c r="K1563" s="1" t="s">
        <v>21645</v>
      </c>
      <c r="L1563" s="1" t="s">
        <v>21600</v>
      </c>
      <c r="M1563" s="1">
        <v>280</v>
      </c>
      <c r="N1563" s="1" t="s">
        <v>8953</v>
      </c>
      <c r="O1563" s="1" t="s">
        <v>8989</v>
      </c>
      <c r="P1563" s="1" t="s">
        <v>8955</v>
      </c>
      <c r="Q1563" s="1" t="s">
        <v>8956</v>
      </c>
      <c r="R1563" s="1" t="s">
        <v>9103</v>
      </c>
      <c r="S1563" s="1" t="s">
        <v>19652</v>
      </c>
      <c r="T1563" s="1" t="s">
        <v>17</v>
      </c>
      <c r="U1563" s="1" t="s">
        <v>5236</v>
      </c>
    </row>
    <row r="1564" spans="1:21" x14ac:dyDescent="0.2">
      <c r="A1564" s="88" t="s">
        <v>17208</v>
      </c>
      <c r="B1564" s="88" t="e">
        <f>VLOOKUP(C1564,#REF!,1,0)</f>
        <v>#REF!</v>
      </c>
      <c r="C1564" s="1" t="s">
        <v>5237</v>
      </c>
      <c r="D1564" s="1" t="s">
        <v>5238</v>
      </c>
      <c r="E1564" s="1" t="s">
        <v>9815</v>
      </c>
      <c r="F1564" s="1" t="s">
        <v>8959</v>
      </c>
      <c r="G1564" t="s">
        <v>8959</v>
      </c>
      <c r="H1564" s="1" t="s">
        <v>9035</v>
      </c>
      <c r="I1564" s="1" t="s">
        <v>9155</v>
      </c>
      <c r="J1564" s="2" t="s">
        <v>20870</v>
      </c>
      <c r="K1564" s="1" t="s">
        <v>21851</v>
      </c>
      <c r="L1564" s="1" t="s">
        <v>9157</v>
      </c>
      <c r="M1564" s="1">
        <v>211</v>
      </c>
      <c r="N1564" s="1" t="s">
        <v>9059</v>
      </c>
      <c r="O1564" s="1" t="s">
        <v>8989</v>
      </c>
      <c r="P1564" s="1" t="s">
        <v>8955</v>
      </c>
      <c r="Q1564" s="1" t="s">
        <v>8956</v>
      </c>
      <c r="R1564" s="1" t="s">
        <v>9103</v>
      </c>
      <c r="S1564" s="1" t="s">
        <v>20650</v>
      </c>
      <c r="T1564" s="1" t="s">
        <v>7</v>
      </c>
      <c r="U1564" s="1" t="s">
        <v>87</v>
      </c>
    </row>
    <row r="1565" spans="1:21" x14ac:dyDescent="0.2">
      <c r="A1565" s="88" t="s">
        <v>17209</v>
      </c>
      <c r="B1565" s="88" t="e">
        <f>VLOOKUP(C1565,#REF!,1,0)</f>
        <v>#REF!</v>
      </c>
      <c r="C1565" s="1" t="s">
        <v>5239</v>
      </c>
      <c r="D1565" s="1" t="s">
        <v>5240</v>
      </c>
      <c r="E1565" s="1" t="s">
        <v>18502</v>
      </c>
      <c r="F1565" s="1" t="s">
        <v>8957</v>
      </c>
      <c r="G1565" t="s">
        <v>8959</v>
      </c>
      <c r="H1565" s="1" t="s">
        <v>9252</v>
      </c>
      <c r="I1565" s="1" t="s">
        <v>20725</v>
      </c>
      <c r="J1565" s="2" t="s">
        <v>20779</v>
      </c>
      <c r="K1565" s="1" t="s">
        <v>9036</v>
      </c>
      <c r="L1565" s="1" t="s">
        <v>8987</v>
      </c>
      <c r="M1565" s="1">
        <v>36800</v>
      </c>
      <c r="N1565" s="1" t="s">
        <v>8953</v>
      </c>
      <c r="O1565" s="1" t="s">
        <v>8989</v>
      </c>
      <c r="P1565" s="1" t="s">
        <v>8955</v>
      </c>
      <c r="Q1565" s="1" t="s">
        <v>8956</v>
      </c>
      <c r="R1565" s="1" t="s">
        <v>8975</v>
      </c>
      <c r="S1565" s="1" t="s">
        <v>19653</v>
      </c>
      <c r="T1565" s="1" t="s">
        <v>7</v>
      </c>
      <c r="U1565" s="1" t="s">
        <v>562</v>
      </c>
    </row>
    <row r="1566" spans="1:21" x14ac:dyDescent="0.2">
      <c r="A1566" s="88" t="s">
        <v>17210</v>
      </c>
      <c r="B1566" s="88" t="e">
        <f>VLOOKUP(C1566,#REF!,1,0)</f>
        <v>#REF!</v>
      </c>
      <c r="C1566" s="1" t="s">
        <v>5247</v>
      </c>
      <c r="D1566" s="1" t="s">
        <v>5248</v>
      </c>
      <c r="E1566" s="1" t="s">
        <v>10873</v>
      </c>
      <c r="F1566" s="1" t="s">
        <v>8957</v>
      </c>
      <c r="G1566" t="s">
        <v>8959</v>
      </c>
      <c r="H1566" s="1" t="s">
        <v>8948</v>
      </c>
      <c r="I1566" s="1" t="s">
        <v>8998</v>
      </c>
      <c r="J1566" s="2" t="s">
        <v>20779</v>
      </c>
      <c r="K1566" s="1" t="s">
        <v>9036</v>
      </c>
      <c r="L1566" s="1" t="s">
        <v>21600</v>
      </c>
      <c r="M1566" s="1">
        <v>1415</v>
      </c>
      <c r="N1566" s="1" t="s">
        <v>8953</v>
      </c>
      <c r="O1566" s="1" t="s">
        <v>8954</v>
      </c>
      <c r="P1566" s="1" t="s">
        <v>8955</v>
      </c>
      <c r="Q1566" s="1" t="s">
        <v>8956</v>
      </c>
      <c r="R1566" s="1" t="s">
        <v>8975</v>
      </c>
      <c r="S1566" s="1" t="s">
        <v>19655</v>
      </c>
      <c r="T1566" s="1" t="s">
        <v>7</v>
      </c>
      <c r="U1566" s="1" t="s">
        <v>686</v>
      </c>
    </row>
    <row r="1567" spans="1:21" x14ac:dyDescent="0.2">
      <c r="A1567" s="88" t="s">
        <v>17211</v>
      </c>
      <c r="B1567" s="88" t="e">
        <f>VLOOKUP(C1567,#REF!,1,0)</f>
        <v>#REF!</v>
      </c>
      <c r="C1567" s="1" t="s">
        <v>5252</v>
      </c>
      <c r="D1567" s="1" t="s">
        <v>5253</v>
      </c>
      <c r="E1567" s="1" t="s">
        <v>9010</v>
      </c>
      <c r="F1567" s="1" t="s">
        <v>8959</v>
      </c>
      <c r="G1567" t="s">
        <v>9009</v>
      </c>
      <c r="H1567" s="1" t="s">
        <v>8948</v>
      </c>
      <c r="I1567" s="1" t="s">
        <v>8998</v>
      </c>
      <c r="J1567" s="2" t="s">
        <v>9036</v>
      </c>
      <c r="K1567" s="1" t="s">
        <v>9036</v>
      </c>
      <c r="L1567" s="1" t="s">
        <v>9076</v>
      </c>
      <c r="M1567" s="1">
        <v>105</v>
      </c>
      <c r="N1567" s="1" t="s">
        <v>8953</v>
      </c>
      <c r="O1567" s="1" t="s">
        <v>8989</v>
      </c>
      <c r="P1567" s="1" t="s">
        <v>8955</v>
      </c>
      <c r="Q1567" s="1" t="s">
        <v>8956</v>
      </c>
      <c r="R1567" s="1" t="s">
        <v>8958</v>
      </c>
      <c r="S1567" s="1" t="s">
        <v>5254</v>
      </c>
      <c r="T1567" s="1" t="s">
        <v>11</v>
      </c>
      <c r="U1567" s="1" t="s">
        <v>1202</v>
      </c>
    </row>
    <row r="1568" spans="1:21" x14ac:dyDescent="0.2">
      <c r="A1568" s="88" t="s">
        <v>17212</v>
      </c>
      <c r="B1568" s="88" t="e">
        <f>VLOOKUP(C1568,#REF!,1,0)</f>
        <v>#REF!</v>
      </c>
      <c r="C1568" s="1" t="s">
        <v>5258</v>
      </c>
      <c r="D1568" s="1" t="s">
        <v>5259</v>
      </c>
      <c r="E1568" s="1" t="s">
        <v>18502</v>
      </c>
      <c r="F1568" s="1" t="s">
        <v>8959</v>
      </c>
      <c r="G1568" t="s">
        <v>8959</v>
      </c>
      <c r="H1568" s="1" t="s">
        <v>8984</v>
      </c>
      <c r="I1568" s="1" t="s">
        <v>8998</v>
      </c>
      <c r="J1568" s="2" t="s">
        <v>18497</v>
      </c>
      <c r="K1568" s="1" t="s">
        <v>18497</v>
      </c>
      <c r="L1568" s="1" t="s">
        <v>21600</v>
      </c>
      <c r="M1568" s="1">
        <v>56</v>
      </c>
      <c r="N1568" s="1" t="s">
        <v>9059</v>
      </c>
      <c r="O1568" s="1" t="s">
        <v>8989</v>
      </c>
      <c r="P1568" s="1" t="s">
        <v>8955</v>
      </c>
      <c r="Q1568" s="1" t="s">
        <v>8956</v>
      </c>
      <c r="R1568" s="1" t="s">
        <v>8975</v>
      </c>
      <c r="S1568" s="1" t="s">
        <v>20652</v>
      </c>
      <c r="T1568" s="1" t="s">
        <v>17</v>
      </c>
      <c r="U1568" s="1" t="s">
        <v>74</v>
      </c>
    </row>
    <row r="1569" spans="1:21" x14ac:dyDescent="0.2">
      <c r="A1569" s="88" t="s">
        <v>17213</v>
      </c>
      <c r="B1569" s="88" t="e">
        <f>VLOOKUP(C1569,#REF!,1,0)</f>
        <v>#REF!</v>
      </c>
      <c r="C1569" s="1" t="s">
        <v>5260</v>
      </c>
      <c r="D1569" s="1" t="s">
        <v>5261</v>
      </c>
      <c r="E1569" s="1" t="s">
        <v>9968</v>
      </c>
      <c r="F1569" s="1" t="s">
        <v>8974</v>
      </c>
      <c r="G1569" t="s">
        <v>8959</v>
      </c>
      <c r="H1569" s="1" t="s">
        <v>9154</v>
      </c>
      <c r="I1569" s="1" t="s">
        <v>8971</v>
      </c>
      <c r="J1569" s="2" t="s">
        <v>8972</v>
      </c>
      <c r="K1569" s="1" t="s">
        <v>21768</v>
      </c>
      <c r="L1569" s="1" t="s">
        <v>21600</v>
      </c>
      <c r="M1569" s="1">
        <v>1370</v>
      </c>
      <c r="N1569" s="1" t="s">
        <v>8953</v>
      </c>
      <c r="O1569" s="1" t="s">
        <v>8954</v>
      </c>
      <c r="P1569" s="1" t="s">
        <v>8955</v>
      </c>
      <c r="Q1569" s="1" t="s">
        <v>8956</v>
      </c>
      <c r="R1569" s="1" t="s">
        <v>8975</v>
      </c>
      <c r="S1569" s="1" t="s">
        <v>5262</v>
      </c>
      <c r="T1569" s="1" t="s">
        <v>17</v>
      </c>
      <c r="U1569" s="1" t="s">
        <v>2434</v>
      </c>
    </row>
    <row r="1570" spans="1:21" x14ac:dyDescent="0.2">
      <c r="A1570" s="88" t="s">
        <v>17214</v>
      </c>
      <c r="B1570" s="88" t="e">
        <f>VLOOKUP(C1570,#REF!,1,0)</f>
        <v>#REF!</v>
      </c>
      <c r="C1570" s="1" t="s">
        <v>5263</v>
      </c>
      <c r="D1570" s="1" t="s">
        <v>5264</v>
      </c>
      <c r="E1570" s="1" t="s">
        <v>10032</v>
      </c>
      <c r="F1570" s="1" t="s">
        <v>8957</v>
      </c>
      <c r="G1570" t="s">
        <v>8959</v>
      </c>
      <c r="H1570" s="1" t="s">
        <v>9092</v>
      </c>
      <c r="I1570" s="1" t="s">
        <v>9155</v>
      </c>
      <c r="J1570" s="2" t="s">
        <v>10492</v>
      </c>
      <c r="K1570" s="1" t="s">
        <v>10492</v>
      </c>
      <c r="L1570" s="1" t="s">
        <v>21600</v>
      </c>
      <c r="M1570" s="1">
        <v>24</v>
      </c>
      <c r="N1570" s="1" t="s">
        <v>9059</v>
      </c>
      <c r="O1570" s="1" t="s">
        <v>20853</v>
      </c>
      <c r="P1570" s="1" t="s">
        <v>8955</v>
      </c>
      <c r="Q1570" s="1" t="s">
        <v>8956</v>
      </c>
      <c r="R1570" s="1" t="s">
        <v>8975</v>
      </c>
      <c r="S1570" s="1" t="s">
        <v>20653</v>
      </c>
      <c r="T1570" s="1" t="s">
        <v>7</v>
      </c>
      <c r="U1570" s="1" t="s">
        <v>46</v>
      </c>
    </row>
    <row r="1571" spans="1:21" x14ac:dyDescent="0.2">
      <c r="A1571" s="88" t="s">
        <v>17215</v>
      </c>
      <c r="B1571" s="88" t="e">
        <f>VLOOKUP(C1571,#REF!,1,0)</f>
        <v>#REF!</v>
      </c>
      <c r="C1571" s="1" t="s">
        <v>5269</v>
      </c>
      <c r="D1571" s="1" t="s">
        <v>5270</v>
      </c>
      <c r="E1571" s="1" t="s">
        <v>9333</v>
      </c>
      <c r="F1571" s="1" t="s">
        <v>8959</v>
      </c>
      <c r="G1571" t="s">
        <v>8959</v>
      </c>
      <c r="H1571" s="1" t="s">
        <v>20712</v>
      </c>
      <c r="I1571" s="1" t="s">
        <v>8998</v>
      </c>
      <c r="J1571" s="2" t="s">
        <v>21374</v>
      </c>
      <c r="K1571" s="1" t="s">
        <v>21374</v>
      </c>
      <c r="L1571" s="1" t="s">
        <v>9076</v>
      </c>
      <c r="M1571" s="1">
        <v>440000</v>
      </c>
      <c r="N1571" s="1" t="s">
        <v>8953</v>
      </c>
      <c r="O1571" s="1" t="s">
        <v>8989</v>
      </c>
      <c r="P1571" s="1" t="s">
        <v>8955</v>
      </c>
      <c r="Q1571" s="1" t="s">
        <v>8956</v>
      </c>
      <c r="R1571" s="1" t="s">
        <v>9103</v>
      </c>
      <c r="S1571" s="1" t="s">
        <v>19659</v>
      </c>
      <c r="T1571" s="1" t="s">
        <v>17</v>
      </c>
      <c r="U1571" s="1" t="s">
        <v>2434</v>
      </c>
    </row>
    <row r="1572" spans="1:21" x14ac:dyDescent="0.2">
      <c r="A1572" s="88" t="s">
        <v>17216</v>
      </c>
      <c r="B1572" s="88" t="e">
        <f>VLOOKUP(C1572,#REF!,1,0)</f>
        <v>#REF!</v>
      </c>
      <c r="C1572" s="1" t="s">
        <v>5277</v>
      </c>
      <c r="D1572" s="1" t="s">
        <v>5278</v>
      </c>
      <c r="E1572" s="1" t="s">
        <v>9333</v>
      </c>
      <c r="F1572" s="1" t="s">
        <v>8959</v>
      </c>
      <c r="G1572" t="s">
        <v>9183</v>
      </c>
      <c r="H1572" s="1" t="s">
        <v>9049</v>
      </c>
      <c r="I1572" s="1" t="s">
        <v>9325</v>
      </c>
      <c r="J1572" s="2" t="s">
        <v>9036</v>
      </c>
      <c r="K1572" s="1" t="s">
        <v>9036</v>
      </c>
      <c r="L1572" s="1" t="s">
        <v>8987</v>
      </c>
      <c r="M1572" s="1">
        <v>518</v>
      </c>
      <c r="N1572" s="1" t="s">
        <v>8953</v>
      </c>
      <c r="O1572" s="1" t="s">
        <v>8954</v>
      </c>
      <c r="P1572" s="1" t="s">
        <v>8955</v>
      </c>
      <c r="Q1572" s="1" t="s">
        <v>8956</v>
      </c>
      <c r="R1572" s="1" t="s">
        <v>8975</v>
      </c>
      <c r="S1572" s="1" t="s">
        <v>5279</v>
      </c>
      <c r="T1572" s="1" t="s">
        <v>17</v>
      </c>
      <c r="U1572" s="1" t="s">
        <v>5280</v>
      </c>
    </row>
    <row r="1573" spans="1:21" x14ac:dyDescent="0.2">
      <c r="A1573" s="88" t="s">
        <v>17217</v>
      </c>
      <c r="B1573" s="88"/>
      <c r="C1573" s="1" t="s">
        <v>5281</v>
      </c>
      <c r="D1573" s="1" t="s">
        <v>5282</v>
      </c>
      <c r="E1573" s="1" t="e">
        <v>#N/A</v>
      </c>
      <c r="F1573" s="1" t="e">
        <v>#N/A</v>
      </c>
      <c r="G1573" t="e">
        <v>#N/A</v>
      </c>
      <c r="H1573" s="1" t="e">
        <v>#N/A</v>
      </c>
      <c r="I1573" s="1" t="e">
        <v>#N/A</v>
      </c>
      <c r="J1573" s="2" t="e">
        <v>#N/A</v>
      </c>
      <c r="K1573" s="1" t="e">
        <v>#N/A</v>
      </c>
      <c r="L1573" s="1" t="e">
        <v>#N/A</v>
      </c>
      <c r="M1573" s="1" t="e">
        <v>#N/A</v>
      </c>
      <c r="N1573" s="1" t="e">
        <v>#N/A</v>
      </c>
      <c r="O1573" s="1" t="e">
        <v>#N/A</v>
      </c>
      <c r="P1573" s="1" t="s">
        <v>8955</v>
      </c>
      <c r="Q1573" s="1" t="s">
        <v>8956</v>
      </c>
      <c r="R1573" s="1" t="s">
        <v>8975</v>
      </c>
      <c r="S1573" s="1" t="s">
        <v>19662</v>
      </c>
      <c r="T1573" s="1" t="s">
        <v>252</v>
      </c>
      <c r="U1573" s="1" t="s">
        <v>126</v>
      </c>
    </row>
    <row r="1574" spans="1:21" x14ac:dyDescent="0.2">
      <c r="A1574" s="88" t="s">
        <v>17218</v>
      </c>
      <c r="B1574" s="88" t="e">
        <f>VLOOKUP(C1574,#REF!,1,0)</f>
        <v>#REF!</v>
      </c>
      <c r="C1574" s="1" t="s">
        <v>5286</v>
      </c>
      <c r="D1574" s="1" t="s">
        <v>5287</v>
      </c>
      <c r="E1574" s="1" t="s">
        <v>9407</v>
      </c>
      <c r="F1574" s="1" t="s">
        <v>8957</v>
      </c>
      <c r="G1574" t="s">
        <v>8959</v>
      </c>
      <c r="H1574" s="1" t="s">
        <v>9173</v>
      </c>
      <c r="I1574" s="1" t="s">
        <v>9174</v>
      </c>
      <c r="J1574" s="2" t="s">
        <v>9036</v>
      </c>
      <c r="K1574" s="1" t="s">
        <v>9036</v>
      </c>
      <c r="L1574" s="1" t="s">
        <v>9292</v>
      </c>
      <c r="M1574" s="1">
        <v>39100</v>
      </c>
      <c r="N1574" s="1" t="s">
        <v>8953</v>
      </c>
      <c r="O1574" s="1" t="s">
        <v>8989</v>
      </c>
      <c r="P1574" s="1" t="s">
        <v>8955</v>
      </c>
      <c r="Q1574" s="1" t="s">
        <v>8956</v>
      </c>
      <c r="R1574" s="1" t="s">
        <v>8958</v>
      </c>
      <c r="S1574" s="1" t="s">
        <v>5288</v>
      </c>
      <c r="T1574" s="1" t="s">
        <v>17</v>
      </c>
      <c r="U1574" s="1" t="s">
        <v>93</v>
      </c>
    </row>
    <row r="1575" spans="1:21" x14ac:dyDescent="0.2">
      <c r="A1575" s="88" t="s">
        <v>17219</v>
      </c>
      <c r="B1575" s="88" t="e">
        <f>VLOOKUP(C1575,#REF!,1,0)</f>
        <v>#REF!</v>
      </c>
      <c r="C1575" s="1" t="s">
        <v>5289</v>
      </c>
      <c r="D1575" s="1" t="s">
        <v>5290</v>
      </c>
      <c r="E1575" s="1" t="s">
        <v>9968</v>
      </c>
      <c r="F1575" s="1" t="s">
        <v>8959</v>
      </c>
      <c r="G1575" t="s">
        <v>8959</v>
      </c>
      <c r="H1575" s="1" t="s">
        <v>9075</v>
      </c>
      <c r="I1575" s="1" t="s">
        <v>9101</v>
      </c>
      <c r="J1575" s="2" t="s">
        <v>20811</v>
      </c>
      <c r="K1575" s="1" t="s">
        <v>21707</v>
      </c>
      <c r="L1575" s="1" t="s">
        <v>21600</v>
      </c>
      <c r="M1575" s="1">
        <v>20</v>
      </c>
      <c r="N1575" s="1" t="s">
        <v>8953</v>
      </c>
      <c r="O1575" s="1" t="s">
        <v>8989</v>
      </c>
      <c r="P1575" s="1" t="s">
        <v>8955</v>
      </c>
      <c r="Q1575" s="1" t="s">
        <v>8956</v>
      </c>
      <c r="R1575" s="1" t="s">
        <v>9103</v>
      </c>
      <c r="S1575" s="1" t="s">
        <v>19663</v>
      </c>
      <c r="T1575" s="1" t="s">
        <v>17</v>
      </c>
      <c r="U1575" s="1" t="s">
        <v>74</v>
      </c>
    </row>
    <row r="1576" spans="1:21" x14ac:dyDescent="0.2">
      <c r="A1576" s="88" t="s">
        <v>17221</v>
      </c>
      <c r="B1576" s="88" t="e">
        <f>VLOOKUP(C1576,#REF!,1,0)</f>
        <v>#REF!</v>
      </c>
      <c r="C1576" s="1" t="s">
        <v>5293</v>
      </c>
      <c r="D1576" s="1" t="s">
        <v>5294</v>
      </c>
      <c r="E1576" s="1" t="s">
        <v>18502</v>
      </c>
      <c r="F1576" s="1" t="s">
        <v>8957</v>
      </c>
      <c r="G1576" t="s">
        <v>9009</v>
      </c>
      <c r="H1576" s="1" t="s">
        <v>9035</v>
      </c>
      <c r="I1576" s="1" t="s">
        <v>9155</v>
      </c>
      <c r="J1576" s="2" t="s">
        <v>18497</v>
      </c>
      <c r="K1576" s="1" t="s">
        <v>18497</v>
      </c>
      <c r="L1576" s="1" t="s">
        <v>8951</v>
      </c>
      <c r="M1576" s="1">
        <v>13583</v>
      </c>
      <c r="N1576" s="1" t="s">
        <v>8953</v>
      </c>
      <c r="O1576" s="1" t="s">
        <v>8954</v>
      </c>
      <c r="P1576" s="1" t="s">
        <v>8955</v>
      </c>
      <c r="Q1576" s="1" t="s">
        <v>8956</v>
      </c>
      <c r="R1576" s="1" t="s">
        <v>8975</v>
      </c>
      <c r="S1576" s="1" t="s">
        <v>19665</v>
      </c>
      <c r="T1576" s="1" t="s">
        <v>7</v>
      </c>
      <c r="U1576" s="1" t="s">
        <v>580</v>
      </c>
    </row>
    <row r="1577" spans="1:21" x14ac:dyDescent="0.2">
      <c r="A1577" s="88" t="s">
        <v>17222</v>
      </c>
      <c r="B1577" s="88" t="e">
        <f>VLOOKUP(C1577,#REF!,1,0)</f>
        <v>#REF!</v>
      </c>
      <c r="C1577" s="1" t="s">
        <v>5295</v>
      </c>
      <c r="D1577" s="1" t="s">
        <v>5296</v>
      </c>
      <c r="E1577" s="1" t="s">
        <v>9310</v>
      </c>
      <c r="F1577" s="1" t="s">
        <v>8957</v>
      </c>
      <c r="G1577" t="s">
        <v>8959</v>
      </c>
      <c r="H1577" s="1" t="s">
        <v>8948</v>
      </c>
      <c r="I1577" s="1" t="s">
        <v>8949</v>
      </c>
      <c r="J1577" s="2" t="s">
        <v>10525</v>
      </c>
      <c r="K1577" s="1" t="s">
        <v>10525</v>
      </c>
      <c r="L1577" s="1" t="s">
        <v>21600</v>
      </c>
      <c r="M1577" s="1">
        <v>12150</v>
      </c>
      <c r="N1577" s="1" t="s">
        <v>8953</v>
      </c>
      <c r="O1577" s="1" t="s">
        <v>8954</v>
      </c>
      <c r="P1577" s="1" t="s">
        <v>8955</v>
      </c>
      <c r="Q1577" s="1" t="s">
        <v>8956</v>
      </c>
      <c r="R1577" s="1" t="s">
        <v>9103</v>
      </c>
      <c r="S1577" s="1" t="s">
        <v>19666</v>
      </c>
      <c r="T1577" s="1" t="s">
        <v>17</v>
      </c>
      <c r="U1577" s="1" t="s">
        <v>97</v>
      </c>
    </row>
    <row r="1578" spans="1:21" x14ac:dyDescent="0.2">
      <c r="A1578" s="88" t="s">
        <v>17223</v>
      </c>
      <c r="B1578" s="88" t="e">
        <f>VLOOKUP(C1578,#REF!,1,0)</f>
        <v>#REF!</v>
      </c>
      <c r="C1578" s="1" t="s">
        <v>5297</v>
      </c>
      <c r="D1578" s="1" t="s">
        <v>5298</v>
      </c>
      <c r="E1578" s="1" t="s">
        <v>9010</v>
      </c>
      <c r="F1578" s="1" t="s">
        <v>8974</v>
      </c>
      <c r="G1578" t="s">
        <v>9009</v>
      </c>
      <c r="H1578" s="1" t="s">
        <v>9049</v>
      </c>
      <c r="I1578" s="1" t="s">
        <v>9325</v>
      </c>
      <c r="J1578" s="2" t="s">
        <v>9036</v>
      </c>
      <c r="K1578" s="1" t="s">
        <v>9036</v>
      </c>
      <c r="L1578" s="1" t="s">
        <v>8987</v>
      </c>
      <c r="M1578" s="1">
        <v>102</v>
      </c>
      <c r="N1578" s="1" t="s">
        <v>9059</v>
      </c>
      <c r="O1578" s="1" t="s">
        <v>8989</v>
      </c>
      <c r="P1578" s="1" t="s">
        <v>8955</v>
      </c>
      <c r="Q1578" s="1" t="s">
        <v>8956</v>
      </c>
      <c r="R1578" s="1" t="s">
        <v>8975</v>
      </c>
      <c r="S1578" s="1" t="s">
        <v>5299</v>
      </c>
      <c r="T1578" s="1" t="s">
        <v>4</v>
      </c>
      <c r="U1578" s="1" t="s">
        <v>213</v>
      </c>
    </row>
    <row r="1579" spans="1:21" x14ac:dyDescent="0.2">
      <c r="A1579" s="88" t="s">
        <v>17224</v>
      </c>
      <c r="B1579" s="88" t="e">
        <f>VLOOKUP(C1579,#REF!,1,0)</f>
        <v>#REF!</v>
      </c>
      <c r="C1579" s="1" t="s">
        <v>5300</v>
      </c>
      <c r="D1579" s="1" t="s">
        <v>5301</v>
      </c>
      <c r="E1579" s="1" t="s">
        <v>9317</v>
      </c>
      <c r="F1579" s="1" t="s">
        <v>8957</v>
      </c>
      <c r="G1579" t="s">
        <v>8959</v>
      </c>
      <c r="H1579" s="1" t="s">
        <v>8948</v>
      </c>
      <c r="I1579" s="1" t="s">
        <v>8949</v>
      </c>
      <c r="J1579" s="2" t="s">
        <v>10492</v>
      </c>
      <c r="K1579" s="1" t="s">
        <v>10492</v>
      </c>
      <c r="L1579" s="1" t="s">
        <v>21600</v>
      </c>
      <c r="M1579" s="1">
        <v>542</v>
      </c>
      <c r="N1579" s="1" t="s">
        <v>9059</v>
      </c>
      <c r="O1579" s="1" t="s">
        <v>8954</v>
      </c>
      <c r="P1579" s="1" t="s">
        <v>8955</v>
      </c>
      <c r="Q1579" s="1" t="s">
        <v>8956</v>
      </c>
      <c r="R1579" s="1" t="s">
        <v>9103</v>
      </c>
      <c r="S1579" s="1" t="s">
        <v>19667</v>
      </c>
      <c r="T1579" s="1" t="s">
        <v>7</v>
      </c>
      <c r="U1579" s="1" t="s">
        <v>286</v>
      </c>
    </row>
    <row r="1580" spans="1:21" x14ac:dyDescent="0.2">
      <c r="A1580" s="88" t="s">
        <v>17225</v>
      </c>
      <c r="B1580" s="88" t="e">
        <f>VLOOKUP(C1580,#REF!,1,0)</f>
        <v>#REF!</v>
      </c>
      <c r="C1580" s="1" t="s">
        <v>5302</v>
      </c>
      <c r="D1580" s="1" t="s">
        <v>5303</v>
      </c>
      <c r="E1580" s="1" t="s">
        <v>9010</v>
      </c>
      <c r="F1580" s="1" t="s">
        <v>8957</v>
      </c>
      <c r="G1580" t="s">
        <v>8959</v>
      </c>
      <c r="H1580" s="1" t="s">
        <v>9605</v>
      </c>
      <c r="I1580" s="1" t="s">
        <v>9050</v>
      </c>
      <c r="J1580" s="2" t="s">
        <v>11393</v>
      </c>
      <c r="K1580" s="1" t="s">
        <v>11393</v>
      </c>
      <c r="L1580" s="1" t="s">
        <v>9292</v>
      </c>
      <c r="M1580" s="1">
        <v>7174</v>
      </c>
      <c r="N1580" s="1" t="s">
        <v>8953</v>
      </c>
      <c r="O1580" s="1" t="s">
        <v>8989</v>
      </c>
      <c r="P1580" s="1" t="s">
        <v>8955</v>
      </c>
      <c r="Q1580" s="1" t="s">
        <v>8956</v>
      </c>
      <c r="R1580" s="1" t="s">
        <v>9103</v>
      </c>
      <c r="S1580" s="1" t="s">
        <v>5304</v>
      </c>
      <c r="T1580" s="1" t="s">
        <v>11</v>
      </c>
      <c r="U1580" s="1" t="s">
        <v>5305</v>
      </c>
    </row>
    <row r="1581" spans="1:21" x14ac:dyDescent="0.2">
      <c r="A1581" s="88" t="s">
        <v>17226</v>
      </c>
      <c r="B1581" s="88" t="e">
        <f>VLOOKUP(C1581,#REF!,1,0)</f>
        <v>#REF!</v>
      </c>
      <c r="C1581" s="1" t="s">
        <v>5309</v>
      </c>
      <c r="D1581" s="1" t="s">
        <v>5310</v>
      </c>
      <c r="E1581" s="1" t="s">
        <v>9333</v>
      </c>
      <c r="F1581" s="1" t="s">
        <v>8957</v>
      </c>
      <c r="G1581" t="s">
        <v>8959</v>
      </c>
      <c r="H1581" s="1" t="s">
        <v>9075</v>
      </c>
      <c r="I1581" s="1" t="s">
        <v>8998</v>
      </c>
      <c r="J1581" s="2" t="s">
        <v>20785</v>
      </c>
      <c r="K1581" s="1" t="s">
        <v>18491</v>
      </c>
      <c r="L1581" s="1" t="s">
        <v>8951</v>
      </c>
      <c r="M1581" s="1">
        <v>90</v>
      </c>
      <c r="N1581" s="1" t="s">
        <v>9059</v>
      </c>
      <c r="O1581" s="1" t="s">
        <v>8989</v>
      </c>
      <c r="P1581" s="1" t="s">
        <v>8955</v>
      </c>
      <c r="Q1581" s="1" t="s">
        <v>8956</v>
      </c>
      <c r="R1581" s="1" t="s">
        <v>8958</v>
      </c>
      <c r="S1581" s="1" t="s">
        <v>19669</v>
      </c>
      <c r="T1581" s="1" t="s">
        <v>7</v>
      </c>
      <c r="U1581" s="1" t="s">
        <v>110</v>
      </c>
    </row>
    <row r="1582" spans="1:21" x14ac:dyDescent="0.2">
      <c r="A1582" s="88" t="s">
        <v>17227</v>
      </c>
      <c r="B1582" s="88" t="e">
        <f>VLOOKUP(C1582,#REF!,1,0)</f>
        <v>#REF!</v>
      </c>
      <c r="C1582" s="1" t="s">
        <v>5311</v>
      </c>
      <c r="D1582" s="1" t="s">
        <v>5312</v>
      </c>
      <c r="E1582" s="1" t="s">
        <v>9333</v>
      </c>
      <c r="F1582" s="1" t="s">
        <v>8957</v>
      </c>
      <c r="G1582" t="s">
        <v>8959</v>
      </c>
      <c r="H1582" s="1" t="s">
        <v>9252</v>
      </c>
      <c r="I1582" s="1" t="s">
        <v>18504</v>
      </c>
      <c r="J1582" s="2" t="s">
        <v>21366</v>
      </c>
      <c r="K1582" s="1" t="s">
        <v>21708</v>
      </c>
      <c r="L1582" s="1" t="s">
        <v>8987</v>
      </c>
      <c r="M1582" s="1">
        <v>2425</v>
      </c>
      <c r="N1582" s="1" t="s">
        <v>8953</v>
      </c>
      <c r="O1582" s="1" t="s">
        <v>8954</v>
      </c>
      <c r="P1582" s="1" t="s">
        <v>8955</v>
      </c>
      <c r="Q1582" s="1" t="s">
        <v>8956</v>
      </c>
      <c r="R1582" s="1" t="s">
        <v>8975</v>
      </c>
      <c r="S1582" s="1" t="s">
        <v>19670</v>
      </c>
      <c r="T1582" s="1" t="s">
        <v>7</v>
      </c>
      <c r="U1582" s="1" t="s">
        <v>74</v>
      </c>
    </row>
    <row r="1583" spans="1:21" x14ac:dyDescent="0.2">
      <c r="A1583" s="88" t="s">
        <v>17229</v>
      </c>
      <c r="B1583" s="88" t="e">
        <f>VLOOKUP(C1583,#REF!,1,0)</f>
        <v>#REF!</v>
      </c>
      <c r="C1583" s="1" t="s">
        <v>5315</v>
      </c>
      <c r="D1583" s="1" t="s">
        <v>5316</v>
      </c>
      <c r="E1583" s="1" t="s">
        <v>9333</v>
      </c>
      <c r="F1583" s="1" t="s">
        <v>8959</v>
      </c>
      <c r="G1583" t="s">
        <v>9061</v>
      </c>
      <c r="H1583" s="1" t="s">
        <v>8948</v>
      </c>
      <c r="I1583" s="1" t="s">
        <v>8998</v>
      </c>
      <c r="J1583" s="2" t="s">
        <v>20736</v>
      </c>
      <c r="K1583" s="1" t="s">
        <v>20736</v>
      </c>
      <c r="L1583" s="1" t="s">
        <v>8987</v>
      </c>
      <c r="M1583" s="1">
        <v>6000</v>
      </c>
      <c r="N1583" s="1" t="s">
        <v>8953</v>
      </c>
      <c r="O1583" s="1" t="s">
        <v>8989</v>
      </c>
      <c r="P1583" s="1" t="s">
        <v>8955</v>
      </c>
      <c r="Q1583" s="1" t="s">
        <v>8956</v>
      </c>
      <c r="R1583" s="1" t="s">
        <v>8975</v>
      </c>
      <c r="S1583" s="1" t="s">
        <v>19672</v>
      </c>
      <c r="T1583" s="1" t="s">
        <v>17</v>
      </c>
      <c r="U1583" s="1" t="s">
        <v>416</v>
      </c>
    </row>
    <row r="1584" spans="1:21" x14ac:dyDescent="0.2">
      <c r="A1584" s="88" t="s">
        <v>17230</v>
      </c>
      <c r="B1584" s="88" t="e">
        <f>VLOOKUP(C1584,#REF!,1,0)</f>
        <v>#REF!</v>
      </c>
      <c r="C1584" s="1" t="s">
        <v>5317</v>
      </c>
      <c r="D1584" s="1" t="s">
        <v>5318</v>
      </c>
      <c r="E1584" s="1" t="s">
        <v>10049</v>
      </c>
      <c r="F1584" s="1" t="s">
        <v>8959</v>
      </c>
      <c r="G1584" t="s">
        <v>9009</v>
      </c>
      <c r="H1584" s="1" t="s">
        <v>9154</v>
      </c>
      <c r="I1584" s="1" t="s">
        <v>8998</v>
      </c>
      <c r="J1584" s="2" t="s">
        <v>20779</v>
      </c>
      <c r="K1584" s="1" t="s">
        <v>9036</v>
      </c>
      <c r="L1584" s="1" t="s">
        <v>8987</v>
      </c>
      <c r="M1584" s="1">
        <v>288</v>
      </c>
      <c r="N1584" s="1" t="s">
        <v>9059</v>
      </c>
      <c r="O1584" s="1" t="s">
        <v>8989</v>
      </c>
      <c r="P1584" s="1" t="s">
        <v>8955</v>
      </c>
      <c r="Q1584" s="1" t="s">
        <v>8956</v>
      </c>
      <c r="R1584" s="1" t="s">
        <v>8975</v>
      </c>
      <c r="S1584" s="1" t="s">
        <v>20654</v>
      </c>
      <c r="T1584" s="1" t="s">
        <v>7</v>
      </c>
      <c r="U1584" s="1" t="s">
        <v>5319</v>
      </c>
    </row>
    <row r="1585" spans="1:21" x14ac:dyDescent="0.2">
      <c r="A1585" s="88" t="s">
        <v>17232</v>
      </c>
      <c r="B1585" s="88" t="e">
        <f>VLOOKUP(C1585,#REF!,1,0)</f>
        <v>#REF!</v>
      </c>
      <c r="C1585" s="1" t="s">
        <v>5322</v>
      </c>
      <c r="D1585" s="1" t="s">
        <v>5323</v>
      </c>
      <c r="E1585" s="1" t="s">
        <v>9010</v>
      </c>
      <c r="F1585" s="1" t="s">
        <v>8959</v>
      </c>
      <c r="G1585" t="s">
        <v>9009</v>
      </c>
      <c r="H1585" s="1" t="s">
        <v>9092</v>
      </c>
      <c r="I1585" s="1" t="s">
        <v>9121</v>
      </c>
      <c r="J1585" s="2" t="s">
        <v>9018</v>
      </c>
      <c r="K1585" s="1" t="s">
        <v>21762</v>
      </c>
      <c r="L1585" s="1" t="s">
        <v>9133</v>
      </c>
      <c r="M1585" s="1">
        <v>10289</v>
      </c>
      <c r="N1585" s="1" t="s">
        <v>8953</v>
      </c>
      <c r="O1585" s="1" t="s">
        <v>8954</v>
      </c>
      <c r="P1585" s="1" t="s">
        <v>8955</v>
      </c>
      <c r="Q1585" s="1" t="s">
        <v>8956</v>
      </c>
      <c r="R1585" s="1" t="s">
        <v>8958</v>
      </c>
      <c r="S1585" s="1" t="s">
        <v>5324</v>
      </c>
      <c r="T1585" s="1" t="s">
        <v>11</v>
      </c>
      <c r="U1585" s="1" t="s">
        <v>87</v>
      </c>
    </row>
    <row r="1586" spans="1:21" x14ac:dyDescent="0.2">
      <c r="A1586" s="88" t="s">
        <v>17233</v>
      </c>
      <c r="B1586" s="88" t="e">
        <f>VLOOKUP(C1586,#REF!,1,0)</f>
        <v>#REF!</v>
      </c>
      <c r="C1586" s="1" t="s">
        <v>5325</v>
      </c>
      <c r="D1586" s="1" t="s">
        <v>5326</v>
      </c>
      <c r="E1586" s="1" t="s">
        <v>9010</v>
      </c>
      <c r="F1586" s="1" t="s">
        <v>8957</v>
      </c>
      <c r="G1586" t="s">
        <v>8959</v>
      </c>
      <c r="H1586" s="1" t="s">
        <v>9605</v>
      </c>
      <c r="I1586" s="1" t="s">
        <v>8971</v>
      </c>
      <c r="J1586" s="2" t="s">
        <v>9036</v>
      </c>
      <c r="K1586" s="1" t="s">
        <v>9036</v>
      </c>
      <c r="L1586" s="1" t="s">
        <v>8951</v>
      </c>
      <c r="M1586" s="1">
        <v>6700</v>
      </c>
      <c r="N1586" s="1" t="s">
        <v>8953</v>
      </c>
      <c r="O1586" s="1" t="s">
        <v>8954</v>
      </c>
      <c r="P1586" s="1" t="s">
        <v>8955</v>
      </c>
      <c r="Q1586" s="1" t="s">
        <v>8956</v>
      </c>
      <c r="R1586" s="1" t="s">
        <v>9103</v>
      </c>
      <c r="S1586" s="1" t="s">
        <v>5327</v>
      </c>
      <c r="T1586" s="1" t="s">
        <v>17</v>
      </c>
      <c r="U1586" s="1" t="s">
        <v>64</v>
      </c>
    </row>
    <row r="1587" spans="1:21" x14ac:dyDescent="0.2">
      <c r="A1587" s="88" t="s">
        <v>17234</v>
      </c>
      <c r="B1587" s="88" t="e">
        <f>VLOOKUP(C1587,#REF!,1,0)</f>
        <v>#REF!</v>
      </c>
      <c r="C1587" s="1" t="s">
        <v>5328</v>
      </c>
      <c r="D1587" s="1" t="s">
        <v>5329</v>
      </c>
      <c r="E1587" s="1" t="s">
        <v>9176</v>
      </c>
      <c r="F1587" s="1" t="s">
        <v>8957</v>
      </c>
      <c r="G1587" t="s">
        <v>9009</v>
      </c>
      <c r="H1587" s="1" t="s">
        <v>10014</v>
      </c>
      <c r="I1587" s="1" t="s">
        <v>9121</v>
      </c>
      <c r="J1587" s="2" t="s">
        <v>9658</v>
      </c>
      <c r="K1587" s="1" t="s">
        <v>21771</v>
      </c>
      <c r="L1587" s="1" t="s">
        <v>8951</v>
      </c>
      <c r="M1587" s="1">
        <v>29</v>
      </c>
      <c r="N1587" s="1" t="s">
        <v>9059</v>
      </c>
      <c r="O1587" s="1" t="s">
        <v>8954</v>
      </c>
      <c r="P1587" s="1" t="s">
        <v>8955</v>
      </c>
      <c r="Q1587" s="1" t="s">
        <v>8956</v>
      </c>
      <c r="R1587" s="1" t="s">
        <v>8958</v>
      </c>
      <c r="S1587" s="1" t="s">
        <v>5330</v>
      </c>
      <c r="T1587" s="1" t="s">
        <v>17</v>
      </c>
      <c r="U1587" s="1" t="s">
        <v>93</v>
      </c>
    </row>
    <row r="1588" spans="1:21" x14ac:dyDescent="0.2">
      <c r="A1588" s="88" t="s">
        <v>17235</v>
      </c>
      <c r="B1588" s="88" t="e">
        <f>VLOOKUP(C1588,#REF!,1,0)</f>
        <v>#REF!</v>
      </c>
      <c r="C1588" s="1" t="s">
        <v>5331</v>
      </c>
      <c r="D1588" s="1" t="s">
        <v>5332</v>
      </c>
      <c r="E1588" s="1" t="s">
        <v>20895</v>
      </c>
      <c r="F1588" s="1" t="s">
        <v>8959</v>
      </c>
      <c r="G1588" t="s">
        <v>8959</v>
      </c>
      <c r="H1588" s="1" t="s">
        <v>9100</v>
      </c>
      <c r="I1588" s="1" t="s">
        <v>8949</v>
      </c>
      <c r="J1588" s="2" t="s">
        <v>20811</v>
      </c>
      <c r="K1588" s="1" t="s">
        <v>21707</v>
      </c>
      <c r="L1588" s="1" t="s">
        <v>8987</v>
      </c>
      <c r="M1588" s="1">
        <v>284</v>
      </c>
      <c r="N1588" s="1" t="s">
        <v>9059</v>
      </c>
      <c r="O1588" s="1" t="s">
        <v>8954</v>
      </c>
      <c r="P1588" s="1" t="s">
        <v>8955</v>
      </c>
      <c r="Q1588" s="1" t="s">
        <v>8956</v>
      </c>
      <c r="R1588" s="1" t="s">
        <v>8958</v>
      </c>
      <c r="S1588" s="1" t="s">
        <v>19673</v>
      </c>
      <c r="T1588" s="1" t="s">
        <v>7</v>
      </c>
      <c r="U1588" s="1" t="s">
        <v>87</v>
      </c>
    </row>
    <row r="1589" spans="1:21" x14ac:dyDescent="0.2">
      <c r="A1589" s="88" t="s">
        <v>17236</v>
      </c>
      <c r="B1589" s="88" t="e">
        <f>VLOOKUP(C1589,#REF!,1,0)</f>
        <v>#REF!</v>
      </c>
      <c r="C1589" s="1" t="s">
        <v>5333</v>
      </c>
      <c r="D1589" s="1" t="s">
        <v>5334</v>
      </c>
      <c r="E1589" s="1" t="s">
        <v>10032</v>
      </c>
      <c r="F1589" s="1" t="s">
        <v>8959</v>
      </c>
      <c r="G1589" t="s">
        <v>9183</v>
      </c>
      <c r="H1589" s="1" t="s">
        <v>8948</v>
      </c>
      <c r="I1589" s="1" t="s">
        <v>8949</v>
      </c>
      <c r="J1589" s="2" t="s">
        <v>9036</v>
      </c>
      <c r="K1589" s="1" t="s">
        <v>9036</v>
      </c>
      <c r="L1589" s="1" t="s">
        <v>21600</v>
      </c>
      <c r="M1589" s="1">
        <v>285</v>
      </c>
      <c r="N1589" s="1" t="s">
        <v>8953</v>
      </c>
      <c r="O1589" s="1" t="s">
        <v>8989</v>
      </c>
      <c r="P1589" s="1" t="s">
        <v>8955</v>
      </c>
      <c r="Q1589" s="1" t="s">
        <v>8956</v>
      </c>
      <c r="R1589" s="1" t="s">
        <v>9103</v>
      </c>
      <c r="S1589" s="1" t="s">
        <v>5335</v>
      </c>
      <c r="T1589" s="1" t="s">
        <v>11</v>
      </c>
      <c r="U1589" s="1" t="s">
        <v>184</v>
      </c>
    </row>
    <row r="1590" spans="1:21" x14ac:dyDescent="0.2">
      <c r="A1590" s="88" t="s">
        <v>17237</v>
      </c>
      <c r="B1590" s="88" t="e">
        <f>VLOOKUP(C1590,#REF!,1,0)</f>
        <v>#REF!</v>
      </c>
      <c r="C1590" s="1" t="s">
        <v>5343</v>
      </c>
      <c r="D1590" s="1" t="s">
        <v>5344</v>
      </c>
      <c r="E1590" s="1" t="s">
        <v>9333</v>
      </c>
      <c r="F1590" s="1" t="s">
        <v>8974</v>
      </c>
      <c r="G1590" t="s">
        <v>9009</v>
      </c>
      <c r="H1590" s="1" t="s">
        <v>20714</v>
      </c>
      <c r="I1590" s="1" t="s">
        <v>20725</v>
      </c>
      <c r="J1590" s="2" t="s">
        <v>10525</v>
      </c>
      <c r="K1590" s="1" t="s">
        <v>10525</v>
      </c>
      <c r="L1590" s="1" t="s">
        <v>8951</v>
      </c>
      <c r="M1590" s="1">
        <v>322</v>
      </c>
      <c r="N1590" s="1" t="s">
        <v>8953</v>
      </c>
      <c r="O1590" s="1" t="s">
        <v>8954</v>
      </c>
      <c r="P1590" s="1" t="s">
        <v>8955</v>
      </c>
      <c r="Q1590" s="1" t="s">
        <v>8956</v>
      </c>
      <c r="R1590" s="1" t="s">
        <v>8975</v>
      </c>
      <c r="S1590" s="1" t="s">
        <v>19676</v>
      </c>
      <c r="T1590" s="1" t="s">
        <v>17</v>
      </c>
      <c r="U1590" s="1" t="s">
        <v>110</v>
      </c>
    </row>
    <row r="1591" spans="1:21" x14ac:dyDescent="0.2">
      <c r="A1591" s="88" t="s">
        <v>17239</v>
      </c>
      <c r="B1591" s="88" t="e">
        <f>VLOOKUP(C1591,#REF!,1,0)</f>
        <v>#REF!</v>
      </c>
      <c r="C1591" s="1" t="s">
        <v>5348</v>
      </c>
      <c r="D1591" s="1" t="s">
        <v>5349</v>
      </c>
      <c r="E1591" s="1" t="s">
        <v>20882</v>
      </c>
      <c r="F1591" s="1" t="s">
        <v>8959</v>
      </c>
      <c r="G1591" t="s">
        <v>8959</v>
      </c>
      <c r="H1591" s="1" t="s">
        <v>9035</v>
      </c>
      <c r="I1591" s="1" t="s">
        <v>9308</v>
      </c>
      <c r="J1591" s="2" t="s">
        <v>20779</v>
      </c>
      <c r="K1591" s="1" t="s">
        <v>9036</v>
      </c>
      <c r="L1591" s="1" t="s">
        <v>9292</v>
      </c>
      <c r="M1591" s="1">
        <v>5856</v>
      </c>
      <c r="N1591" s="1" t="s">
        <v>8953</v>
      </c>
      <c r="O1591" s="1" t="s">
        <v>8989</v>
      </c>
      <c r="P1591" s="1" t="s">
        <v>8955</v>
      </c>
      <c r="Q1591" s="1" t="s">
        <v>8956</v>
      </c>
      <c r="R1591" s="1" t="s">
        <v>8958</v>
      </c>
      <c r="S1591" s="1" t="s">
        <v>19678</v>
      </c>
      <c r="T1591" s="1" t="s">
        <v>7</v>
      </c>
      <c r="U1591" s="1" t="s">
        <v>210</v>
      </c>
    </row>
    <row r="1592" spans="1:21" x14ac:dyDescent="0.2">
      <c r="A1592" s="88" t="s">
        <v>17240</v>
      </c>
      <c r="B1592" s="88" t="e">
        <f>VLOOKUP(C1592,#REF!,1,0)</f>
        <v>#REF!</v>
      </c>
      <c r="C1592" s="1" t="s">
        <v>5350</v>
      </c>
      <c r="D1592" s="1" t="s">
        <v>5351</v>
      </c>
      <c r="E1592" s="1" t="s">
        <v>9380</v>
      </c>
      <c r="F1592" s="1" t="s">
        <v>8957</v>
      </c>
      <c r="G1592" t="s">
        <v>8959</v>
      </c>
      <c r="H1592" s="1" t="s">
        <v>8948</v>
      </c>
      <c r="I1592" s="1" t="s">
        <v>8949</v>
      </c>
      <c r="J1592" s="2" t="s">
        <v>9036</v>
      </c>
      <c r="K1592" s="1" t="s">
        <v>9036</v>
      </c>
      <c r="L1592" s="1" t="s">
        <v>8951</v>
      </c>
      <c r="M1592" s="1">
        <v>2684</v>
      </c>
      <c r="N1592" s="1" t="s">
        <v>8953</v>
      </c>
      <c r="O1592" s="1" t="s">
        <v>8954</v>
      </c>
      <c r="P1592" s="1" t="s">
        <v>8955</v>
      </c>
      <c r="Q1592" s="1" t="s">
        <v>8956</v>
      </c>
      <c r="R1592" s="1" t="s">
        <v>8958</v>
      </c>
      <c r="S1592" s="1" t="s">
        <v>5352</v>
      </c>
      <c r="T1592" s="1" t="s">
        <v>7</v>
      </c>
      <c r="U1592" s="1" t="s">
        <v>126</v>
      </c>
    </row>
    <row r="1593" spans="1:21" x14ac:dyDescent="0.2">
      <c r="A1593" s="88" t="s">
        <v>17241</v>
      </c>
      <c r="B1593" s="88" t="e">
        <f>VLOOKUP(C1593,#REF!,1,0)</f>
        <v>#REF!</v>
      </c>
      <c r="C1593" s="1" t="s">
        <v>5353</v>
      </c>
      <c r="D1593" s="1" t="s">
        <v>5354</v>
      </c>
      <c r="E1593" s="1" t="s">
        <v>9333</v>
      </c>
      <c r="F1593" s="1" t="s">
        <v>8959</v>
      </c>
      <c r="G1593" t="s">
        <v>9009</v>
      </c>
      <c r="H1593" s="1" t="s">
        <v>9092</v>
      </c>
      <c r="I1593" s="1" t="s">
        <v>9101</v>
      </c>
      <c r="J1593" s="2" t="s">
        <v>9036</v>
      </c>
      <c r="K1593" s="1" t="s">
        <v>9036</v>
      </c>
      <c r="L1593" s="1" t="s">
        <v>9292</v>
      </c>
      <c r="M1593" s="1">
        <v>39</v>
      </c>
      <c r="N1593" s="1" t="s">
        <v>9059</v>
      </c>
      <c r="O1593" s="1" t="s">
        <v>8989</v>
      </c>
      <c r="P1593" s="1" t="s">
        <v>8955</v>
      </c>
      <c r="Q1593" s="1" t="s">
        <v>8956</v>
      </c>
      <c r="R1593" s="1" t="s">
        <v>8958</v>
      </c>
      <c r="S1593" s="1" t="s">
        <v>5355</v>
      </c>
      <c r="T1593" s="1" t="s">
        <v>4</v>
      </c>
      <c r="U1593" s="1" t="s">
        <v>322</v>
      </c>
    </row>
    <row r="1594" spans="1:21" x14ac:dyDescent="0.2">
      <c r="A1594" s="88" t="s">
        <v>17242</v>
      </c>
      <c r="B1594" s="88" t="e">
        <f>VLOOKUP(C1594,#REF!,1,0)</f>
        <v>#REF!</v>
      </c>
      <c r="C1594" s="1" t="s">
        <v>5356</v>
      </c>
      <c r="D1594" s="1" t="s">
        <v>5357</v>
      </c>
      <c r="E1594" s="1" t="s">
        <v>9333</v>
      </c>
      <c r="F1594" s="1" t="s">
        <v>8957</v>
      </c>
      <c r="G1594" t="s">
        <v>8959</v>
      </c>
      <c r="H1594" s="1" t="s">
        <v>9035</v>
      </c>
      <c r="I1594" s="1" t="s">
        <v>8998</v>
      </c>
      <c r="J1594" s="2" t="s">
        <v>10492</v>
      </c>
      <c r="K1594" s="1" t="s">
        <v>21645</v>
      </c>
      <c r="L1594" s="1" t="s">
        <v>9076</v>
      </c>
      <c r="M1594" s="1">
        <v>8880</v>
      </c>
      <c r="N1594" s="1" t="s">
        <v>8953</v>
      </c>
      <c r="O1594" s="1" t="s">
        <v>8954</v>
      </c>
      <c r="P1594" s="1" t="s">
        <v>8955</v>
      </c>
      <c r="Q1594" s="1" t="s">
        <v>8956</v>
      </c>
      <c r="R1594" s="1" t="s">
        <v>8958</v>
      </c>
      <c r="S1594" s="1" t="s">
        <v>19679</v>
      </c>
      <c r="T1594" s="1" t="s">
        <v>7</v>
      </c>
      <c r="U1594" s="1" t="s">
        <v>562</v>
      </c>
    </row>
    <row r="1595" spans="1:21" x14ac:dyDescent="0.2">
      <c r="A1595" s="88" t="s">
        <v>17243</v>
      </c>
      <c r="B1595" s="88" t="e">
        <f>VLOOKUP(C1595,#REF!,1,0)</f>
        <v>#REF!</v>
      </c>
      <c r="C1595" s="1" t="s">
        <v>5369</v>
      </c>
      <c r="D1595" s="1" t="s">
        <v>5370</v>
      </c>
      <c r="E1595" s="1" t="s">
        <v>10687</v>
      </c>
      <c r="F1595" s="1" t="s">
        <v>8957</v>
      </c>
      <c r="G1595" t="s">
        <v>8959</v>
      </c>
      <c r="H1595" s="1" t="s">
        <v>8948</v>
      </c>
      <c r="I1595" s="1" t="s">
        <v>8949</v>
      </c>
      <c r="J1595" s="2" t="s">
        <v>10492</v>
      </c>
      <c r="K1595" s="1" t="s">
        <v>10492</v>
      </c>
      <c r="L1595" s="1" t="s">
        <v>21600</v>
      </c>
      <c r="M1595" s="1">
        <v>990</v>
      </c>
      <c r="N1595" s="1" t="s">
        <v>9059</v>
      </c>
      <c r="O1595" s="1" t="s">
        <v>8954</v>
      </c>
      <c r="P1595" s="1" t="s">
        <v>8955</v>
      </c>
      <c r="Q1595" s="1" t="s">
        <v>8956</v>
      </c>
      <c r="R1595" s="1" t="s">
        <v>8975</v>
      </c>
      <c r="S1595" s="1" t="s">
        <v>19682</v>
      </c>
      <c r="T1595" s="1" t="s">
        <v>7</v>
      </c>
      <c r="U1595" s="1" t="s">
        <v>8</v>
      </c>
    </row>
    <row r="1596" spans="1:21" x14ac:dyDescent="0.2">
      <c r="A1596" s="88" t="s">
        <v>17244</v>
      </c>
      <c r="B1596" s="88" t="e">
        <f>VLOOKUP(C1596,#REF!,1,0)</f>
        <v>#REF!</v>
      </c>
      <c r="C1596" s="1" t="s">
        <v>5371</v>
      </c>
      <c r="D1596" s="1" t="s">
        <v>5372</v>
      </c>
      <c r="E1596" s="1" t="s">
        <v>9213</v>
      </c>
      <c r="F1596" s="1" t="s">
        <v>8957</v>
      </c>
      <c r="G1596" t="s">
        <v>9061</v>
      </c>
      <c r="H1596" s="1" t="s">
        <v>9035</v>
      </c>
      <c r="I1596" s="1" t="s">
        <v>8998</v>
      </c>
      <c r="J1596" s="2" t="s">
        <v>9036</v>
      </c>
      <c r="K1596" s="1" t="s">
        <v>9036</v>
      </c>
      <c r="L1596" s="1" t="s">
        <v>8951</v>
      </c>
      <c r="M1596" s="1">
        <v>34676</v>
      </c>
      <c r="N1596" s="1" t="s">
        <v>8953</v>
      </c>
      <c r="O1596" s="1" t="s">
        <v>8954</v>
      </c>
      <c r="P1596" s="1" t="s">
        <v>8955</v>
      </c>
      <c r="Q1596" s="1" t="s">
        <v>8956</v>
      </c>
      <c r="R1596" s="1" t="s">
        <v>8975</v>
      </c>
      <c r="S1596" s="1" t="s">
        <v>5373</v>
      </c>
      <c r="T1596" s="1" t="s">
        <v>17</v>
      </c>
      <c r="U1596" s="1" t="s">
        <v>180</v>
      </c>
    </row>
    <row r="1597" spans="1:21" x14ac:dyDescent="0.2">
      <c r="A1597" s="88" t="s">
        <v>17245</v>
      </c>
      <c r="B1597" s="88" t="e">
        <f>VLOOKUP(C1597,#REF!,1,0)</f>
        <v>#REF!</v>
      </c>
      <c r="C1597" s="1" t="s">
        <v>5374</v>
      </c>
      <c r="D1597" s="1" t="s">
        <v>5375</v>
      </c>
      <c r="E1597" s="1" t="s">
        <v>9213</v>
      </c>
      <c r="F1597" s="1" t="s">
        <v>8957</v>
      </c>
      <c r="G1597" t="s">
        <v>9061</v>
      </c>
      <c r="H1597" s="1" t="s">
        <v>8948</v>
      </c>
      <c r="I1597" s="1" t="s">
        <v>8949</v>
      </c>
      <c r="J1597" s="2" t="s">
        <v>20779</v>
      </c>
      <c r="K1597" s="1" t="s">
        <v>9036</v>
      </c>
      <c r="L1597" s="1" t="s">
        <v>8951</v>
      </c>
      <c r="M1597" s="1">
        <v>1242</v>
      </c>
      <c r="N1597" s="1" t="s">
        <v>9059</v>
      </c>
      <c r="O1597" s="1" t="s">
        <v>8954</v>
      </c>
      <c r="P1597" s="1" t="s">
        <v>8955</v>
      </c>
      <c r="Q1597" s="1" t="s">
        <v>8956</v>
      </c>
      <c r="R1597" s="1" t="s">
        <v>8975</v>
      </c>
      <c r="S1597" s="1" t="s">
        <v>19683</v>
      </c>
      <c r="T1597" s="1" t="s">
        <v>7</v>
      </c>
      <c r="U1597" s="1" t="s">
        <v>2051</v>
      </c>
    </row>
    <row r="1598" spans="1:21" x14ac:dyDescent="0.2">
      <c r="A1598" s="88" t="s">
        <v>17246</v>
      </c>
      <c r="B1598" s="88" t="e">
        <f>VLOOKUP(C1598,#REF!,1,0)</f>
        <v>#REF!</v>
      </c>
      <c r="C1598" s="1" t="s">
        <v>5379</v>
      </c>
      <c r="D1598" s="1" t="s">
        <v>5380</v>
      </c>
      <c r="E1598" s="1" t="s">
        <v>18502</v>
      </c>
      <c r="F1598" s="1" t="s">
        <v>8957</v>
      </c>
      <c r="G1598" t="s">
        <v>9061</v>
      </c>
      <c r="H1598" s="1" t="s">
        <v>9100</v>
      </c>
      <c r="I1598" s="1" t="s">
        <v>8949</v>
      </c>
      <c r="J1598" s="2" t="s">
        <v>10492</v>
      </c>
      <c r="K1598" s="1" t="s">
        <v>10492</v>
      </c>
      <c r="L1598" s="1" t="s">
        <v>21600</v>
      </c>
      <c r="M1598" s="1">
        <v>1008</v>
      </c>
      <c r="N1598" s="1" t="s">
        <v>9059</v>
      </c>
      <c r="O1598" s="1" t="s">
        <v>8954</v>
      </c>
      <c r="P1598" s="1" t="s">
        <v>8955</v>
      </c>
      <c r="Q1598" s="1" t="s">
        <v>8956</v>
      </c>
      <c r="R1598" s="1" t="s">
        <v>8958</v>
      </c>
      <c r="S1598" s="1" t="s">
        <v>19685</v>
      </c>
      <c r="T1598" s="1" t="s">
        <v>7</v>
      </c>
      <c r="U1598" s="1" t="s">
        <v>21</v>
      </c>
    </row>
    <row r="1599" spans="1:21" x14ac:dyDescent="0.2">
      <c r="A1599" s="88" t="s">
        <v>17247</v>
      </c>
      <c r="B1599" s="88" t="e">
        <f>VLOOKUP(C1599,#REF!,1,0)</f>
        <v>#REF!</v>
      </c>
      <c r="C1599" s="1" t="s">
        <v>5381</v>
      </c>
      <c r="D1599" s="1" t="s">
        <v>5382</v>
      </c>
      <c r="E1599" s="1" t="s">
        <v>18502</v>
      </c>
      <c r="F1599" s="1" t="s">
        <v>9060</v>
      </c>
      <c r="G1599" t="s">
        <v>9061</v>
      </c>
      <c r="H1599" s="1" t="s">
        <v>9100</v>
      </c>
      <c r="I1599" s="1" t="s">
        <v>8949</v>
      </c>
      <c r="J1599" s="2" t="s">
        <v>10525</v>
      </c>
      <c r="K1599" s="1" t="s">
        <v>10525</v>
      </c>
      <c r="L1599" s="1" t="s">
        <v>8987</v>
      </c>
      <c r="M1599" s="1">
        <v>1970</v>
      </c>
      <c r="N1599" s="1" t="s">
        <v>8953</v>
      </c>
      <c r="O1599" s="1" t="s">
        <v>8954</v>
      </c>
      <c r="P1599" s="1" t="s">
        <v>8955</v>
      </c>
      <c r="Q1599" s="1" t="s">
        <v>8956</v>
      </c>
      <c r="R1599" s="1" t="s">
        <v>8958</v>
      </c>
      <c r="S1599" s="1" t="s">
        <v>19686</v>
      </c>
      <c r="T1599" s="1" t="s">
        <v>7</v>
      </c>
      <c r="U1599" s="1" t="s">
        <v>180</v>
      </c>
    </row>
    <row r="1600" spans="1:21" x14ac:dyDescent="0.2">
      <c r="A1600" s="88" t="s">
        <v>17248</v>
      </c>
      <c r="B1600" s="88" t="e">
        <f>VLOOKUP(C1600,#REF!,1,0)</f>
        <v>#REF!</v>
      </c>
      <c r="C1600" s="1" t="s">
        <v>5383</v>
      </c>
      <c r="D1600" s="1" t="s">
        <v>5384</v>
      </c>
      <c r="E1600" s="1" t="s">
        <v>18502</v>
      </c>
      <c r="F1600" s="1" t="s">
        <v>8957</v>
      </c>
      <c r="G1600" t="s">
        <v>9061</v>
      </c>
      <c r="H1600" s="1" t="s">
        <v>9035</v>
      </c>
      <c r="I1600" s="1" t="s">
        <v>8998</v>
      </c>
      <c r="J1600" s="2" t="s">
        <v>10492</v>
      </c>
      <c r="K1600" s="1" t="s">
        <v>21645</v>
      </c>
      <c r="L1600" s="1" t="s">
        <v>9076</v>
      </c>
      <c r="M1600" s="1">
        <v>2100</v>
      </c>
      <c r="N1600" s="1" t="s">
        <v>8953</v>
      </c>
      <c r="O1600" s="1" t="s">
        <v>8989</v>
      </c>
      <c r="P1600" s="1" t="s">
        <v>8955</v>
      </c>
      <c r="Q1600" s="1" t="s">
        <v>8956</v>
      </c>
      <c r="R1600" s="1" t="s">
        <v>9103</v>
      </c>
      <c r="S1600" s="1" t="s">
        <v>19687</v>
      </c>
      <c r="T1600" s="1" t="s">
        <v>17</v>
      </c>
      <c r="U1600" s="1" t="s">
        <v>921</v>
      </c>
    </row>
    <row r="1601" spans="1:21" x14ac:dyDescent="0.2">
      <c r="A1601" s="88" t="s">
        <v>17249</v>
      </c>
      <c r="B1601" s="88" t="e">
        <f>VLOOKUP(C1601,#REF!,1,0)</f>
        <v>#REF!</v>
      </c>
      <c r="C1601" s="1" t="s">
        <v>5385</v>
      </c>
      <c r="D1601" s="1" t="s">
        <v>5386</v>
      </c>
      <c r="E1601" s="1" t="s">
        <v>9010</v>
      </c>
      <c r="F1601" s="1" t="s">
        <v>8957</v>
      </c>
      <c r="G1601" t="s">
        <v>9183</v>
      </c>
      <c r="H1601" s="1" t="s">
        <v>9035</v>
      </c>
      <c r="I1601" s="1" t="s">
        <v>8998</v>
      </c>
      <c r="J1601" s="2" t="s">
        <v>9036</v>
      </c>
      <c r="K1601" s="1" t="s">
        <v>9036</v>
      </c>
      <c r="L1601" s="1" t="s">
        <v>21600</v>
      </c>
      <c r="M1601" s="1">
        <v>21</v>
      </c>
      <c r="N1601" s="1" t="s">
        <v>8953</v>
      </c>
      <c r="O1601" s="1" t="s">
        <v>8989</v>
      </c>
      <c r="P1601" s="1" t="s">
        <v>8955</v>
      </c>
      <c r="Q1601" s="1" t="s">
        <v>8956</v>
      </c>
      <c r="R1601" s="1" t="s">
        <v>8975</v>
      </c>
      <c r="S1601" s="1" t="s">
        <v>5387</v>
      </c>
      <c r="T1601" s="1" t="s">
        <v>11</v>
      </c>
      <c r="U1601" s="1" t="s">
        <v>61</v>
      </c>
    </row>
    <row r="1602" spans="1:21" x14ac:dyDescent="0.2">
      <c r="A1602" s="88" t="s">
        <v>17250</v>
      </c>
      <c r="B1602" s="88" t="e">
        <f>VLOOKUP(C1602,#REF!,1,0)</f>
        <v>#REF!</v>
      </c>
      <c r="C1602" s="1" t="s">
        <v>5388</v>
      </c>
      <c r="D1602" s="1" t="s">
        <v>5389</v>
      </c>
      <c r="E1602" s="1" t="s">
        <v>9815</v>
      </c>
      <c r="F1602" s="1" t="s">
        <v>8957</v>
      </c>
      <c r="G1602" t="s">
        <v>8959</v>
      </c>
      <c r="H1602" s="1" t="s">
        <v>20714</v>
      </c>
      <c r="I1602" s="1" t="s">
        <v>20725</v>
      </c>
      <c r="J1602" s="2" t="s">
        <v>10492</v>
      </c>
      <c r="K1602" s="1" t="s">
        <v>10492</v>
      </c>
      <c r="L1602" s="1" t="s">
        <v>21600</v>
      </c>
      <c r="M1602" s="1">
        <v>1920</v>
      </c>
      <c r="N1602" s="1" t="s">
        <v>8953</v>
      </c>
      <c r="O1602" s="1" t="s">
        <v>8989</v>
      </c>
      <c r="P1602" s="1" t="s">
        <v>8955</v>
      </c>
      <c r="Q1602" s="1" t="s">
        <v>8956</v>
      </c>
      <c r="R1602" s="1" t="s">
        <v>9103</v>
      </c>
      <c r="S1602" s="1" t="s">
        <v>19688</v>
      </c>
      <c r="T1602" s="1" t="s">
        <v>17</v>
      </c>
      <c r="U1602" s="1" t="s">
        <v>46</v>
      </c>
    </row>
    <row r="1603" spans="1:21" x14ac:dyDescent="0.2">
      <c r="A1603" s="88" t="s">
        <v>17252</v>
      </c>
      <c r="B1603" s="88" t="e">
        <f>VLOOKUP(C1603,#REF!,1,0)</f>
        <v>#REF!</v>
      </c>
      <c r="C1603" s="1" t="s">
        <v>5392</v>
      </c>
      <c r="D1603" s="1" t="s">
        <v>5393</v>
      </c>
      <c r="E1603" s="1" t="s">
        <v>20911</v>
      </c>
      <c r="F1603" s="1" t="s">
        <v>8957</v>
      </c>
      <c r="G1603" t="s">
        <v>8959</v>
      </c>
      <c r="H1603" s="1" t="s">
        <v>9605</v>
      </c>
      <c r="I1603" s="1" t="s">
        <v>9101</v>
      </c>
      <c r="J1603" s="2" t="s">
        <v>21452</v>
      </c>
      <c r="K1603" s="1" t="s">
        <v>21709</v>
      </c>
      <c r="L1603" s="1" t="s">
        <v>21600</v>
      </c>
      <c r="M1603" s="1">
        <v>130</v>
      </c>
      <c r="N1603" s="1" t="s">
        <v>8953</v>
      </c>
      <c r="O1603" s="1" t="s">
        <v>8989</v>
      </c>
      <c r="P1603" s="1" t="s">
        <v>8955</v>
      </c>
      <c r="Q1603" s="1" t="s">
        <v>8956</v>
      </c>
      <c r="R1603" s="1" t="s">
        <v>9103</v>
      </c>
      <c r="S1603" s="1" t="s">
        <v>19690</v>
      </c>
      <c r="T1603" s="1" t="s">
        <v>7</v>
      </c>
      <c r="U1603" s="1" t="s">
        <v>46</v>
      </c>
    </row>
    <row r="1604" spans="1:21" x14ac:dyDescent="0.2">
      <c r="A1604" s="88" t="s">
        <v>17253</v>
      </c>
      <c r="B1604" s="88" t="e">
        <f>VLOOKUP(C1604,#REF!,1,0)</f>
        <v>#REF!</v>
      </c>
      <c r="C1604" s="1" t="s">
        <v>5394</v>
      </c>
      <c r="D1604" s="1" t="s">
        <v>5395</v>
      </c>
      <c r="E1604" s="1" t="s">
        <v>9380</v>
      </c>
      <c r="F1604" s="1" t="s">
        <v>8957</v>
      </c>
      <c r="G1604" t="s">
        <v>8959</v>
      </c>
      <c r="H1604" s="1" t="s">
        <v>9035</v>
      </c>
      <c r="I1604" s="1" t="s">
        <v>9308</v>
      </c>
      <c r="J1604" s="2" t="s">
        <v>20838</v>
      </c>
      <c r="K1604" s="1" t="s">
        <v>20755</v>
      </c>
      <c r="L1604" s="1" t="s">
        <v>9133</v>
      </c>
      <c r="M1604" s="1">
        <v>929</v>
      </c>
      <c r="N1604" s="1" t="s">
        <v>9059</v>
      </c>
      <c r="O1604" s="1" t="s">
        <v>8989</v>
      </c>
      <c r="P1604" s="1" t="s">
        <v>8955</v>
      </c>
      <c r="Q1604" s="1" t="s">
        <v>8956</v>
      </c>
      <c r="R1604" s="1" t="s">
        <v>8975</v>
      </c>
      <c r="S1604" s="1" t="s">
        <v>20655</v>
      </c>
      <c r="T1604" s="1" t="s">
        <v>7</v>
      </c>
      <c r="U1604" s="1" t="s">
        <v>24</v>
      </c>
    </row>
    <row r="1605" spans="1:21" x14ac:dyDescent="0.2">
      <c r="A1605" s="88" t="s">
        <v>17254</v>
      </c>
      <c r="B1605" s="88" t="e">
        <f>VLOOKUP(C1605,#REF!,1,0)</f>
        <v>#REF!</v>
      </c>
      <c r="C1605" s="1" t="s">
        <v>5396</v>
      </c>
      <c r="D1605" s="1" t="s">
        <v>5397</v>
      </c>
      <c r="E1605" s="1" t="s">
        <v>9650</v>
      </c>
      <c r="F1605" s="1" t="s">
        <v>8974</v>
      </c>
      <c r="G1605" t="s">
        <v>8959</v>
      </c>
      <c r="H1605" s="1" t="s">
        <v>9173</v>
      </c>
      <c r="I1605" s="1" t="s">
        <v>9174</v>
      </c>
      <c r="J1605" s="2" t="s">
        <v>10525</v>
      </c>
      <c r="K1605" s="1" t="s">
        <v>21650</v>
      </c>
      <c r="L1605" s="1" t="s">
        <v>8987</v>
      </c>
      <c r="M1605" s="1">
        <v>1796</v>
      </c>
      <c r="N1605" s="1" t="s">
        <v>8953</v>
      </c>
      <c r="O1605" s="1" t="s">
        <v>8989</v>
      </c>
      <c r="P1605" s="1" t="s">
        <v>8955</v>
      </c>
      <c r="Q1605" s="1" t="s">
        <v>8956</v>
      </c>
      <c r="R1605" s="1" t="s">
        <v>9103</v>
      </c>
      <c r="S1605" s="1" t="s">
        <v>19691</v>
      </c>
      <c r="T1605" s="1" t="s">
        <v>7</v>
      </c>
      <c r="U1605" s="1" t="s">
        <v>15</v>
      </c>
    </row>
    <row r="1606" spans="1:21" x14ac:dyDescent="0.2">
      <c r="A1606" s="88" t="s">
        <v>17255</v>
      </c>
      <c r="B1606" s="88" t="e">
        <f>VLOOKUP(C1606,#REF!,1,0)</f>
        <v>#REF!</v>
      </c>
      <c r="C1606" s="1" t="s">
        <v>5398</v>
      </c>
      <c r="D1606" s="1" t="s">
        <v>5399</v>
      </c>
      <c r="E1606" s="1" t="s">
        <v>9968</v>
      </c>
      <c r="F1606" s="1" t="s">
        <v>8959</v>
      </c>
      <c r="G1606" t="s">
        <v>8959</v>
      </c>
      <c r="H1606" s="1" t="s">
        <v>9173</v>
      </c>
      <c r="I1606" s="1" t="s">
        <v>9121</v>
      </c>
      <c r="J1606" s="2" t="s">
        <v>9036</v>
      </c>
      <c r="K1606" s="1" t="s">
        <v>9036</v>
      </c>
      <c r="L1606" s="1" t="s">
        <v>8951</v>
      </c>
      <c r="M1606" s="1">
        <v>6120</v>
      </c>
      <c r="N1606" s="1" t="s">
        <v>8953</v>
      </c>
      <c r="O1606" s="1" t="s">
        <v>8989</v>
      </c>
      <c r="P1606" s="1" t="s">
        <v>8955</v>
      </c>
      <c r="Q1606" s="1" t="s">
        <v>8956</v>
      </c>
      <c r="R1606" s="1" t="s">
        <v>8958</v>
      </c>
      <c r="S1606" s="1" t="s">
        <v>5400</v>
      </c>
      <c r="T1606" s="1" t="s">
        <v>242</v>
      </c>
      <c r="U1606" s="1" t="s">
        <v>46</v>
      </c>
    </row>
    <row r="1607" spans="1:21" x14ac:dyDescent="0.2">
      <c r="A1607" s="88" t="s">
        <v>17256</v>
      </c>
      <c r="B1607" s="88" t="e">
        <f>VLOOKUP(C1607,#REF!,1,0)</f>
        <v>#REF!</v>
      </c>
      <c r="C1607" s="1" t="s">
        <v>5401</v>
      </c>
      <c r="D1607" s="1" t="s">
        <v>5402</v>
      </c>
      <c r="E1607" s="1" t="s">
        <v>9968</v>
      </c>
      <c r="F1607" s="1" t="s">
        <v>8959</v>
      </c>
      <c r="G1607" t="s">
        <v>8959</v>
      </c>
      <c r="H1607" s="1" t="s">
        <v>9154</v>
      </c>
      <c r="I1607" s="1" t="s">
        <v>9308</v>
      </c>
      <c r="J1607" s="2" t="s">
        <v>9036</v>
      </c>
      <c r="K1607" s="1" t="s">
        <v>9036</v>
      </c>
      <c r="L1607" s="1" t="s">
        <v>8951</v>
      </c>
      <c r="M1607" s="1">
        <v>44</v>
      </c>
      <c r="N1607" s="1" t="s">
        <v>8953</v>
      </c>
      <c r="O1607" s="1" t="s">
        <v>8989</v>
      </c>
      <c r="P1607" s="1" t="s">
        <v>8955</v>
      </c>
      <c r="Q1607" s="1" t="s">
        <v>8956</v>
      </c>
      <c r="R1607" s="1" t="s">
        <v>8975</v>
      </c>
      <c r="S1607" s="1" t="s">
        <v>5403</v>
      </c>
      <c r="T1607" s="1" t="s">
        <v>242</v>
      </c>
      <c r="U1607" s="1" t="s">
        <v>46</v>
      </c>
    </row>
    <row r="1608" spans="1:21" x14ac:dyDescent="0.2">
      <c r="A1608" s="88" t="s">
        <v>17257</v>
      </c>
      <c r="B1608" s="88" t="e">
        <f>VLOOKUP(C1608,#REF!,1,0)</f>
        <v>#REF!</v>
      </c>
      <c r="C1608" s="1" t="s">
        <v>5404</v>
      </c>
      <c r="D1608" s="1" t="s">
        <v>5405</v>
      </c>
      <c r="E1608" s="1" t="s">
        <v>9310</v>
      </c>
      <c r="F1608" s="1" t="s">
        <v>8957</v>
      </c>
      <c r="G1608" t="s">
        <v>8959</v>
      </c>
      <c r="H1608" s="1" t="s">
        <v>9035</v>
      </c>
      <c r="I1608" s="1" t="s">
        <v>8998</v>
      </c>
      <c r="J1608" s="2" t="s">
        <v>21375</v>
      </c>
      <c r="K1608" s="1" t="s">
        <v>21906</v>
      </c>
      <c r="L1608" s="1" t="s">
        <v>20856</v>
      </c>
      <c r="M1608" s="1">
        <v>1906</v>
      </c>
      <c r="N1608" s="1" t="s">
        <v>9059</v>
      </c>
      <c r="O1608" s="1" t="s">
        <v>8954</v>
      </c>
      <c r="P1608" s="1" t="s">
        <v>8955</v>
      </c>
      <c r="Q1608" s="1" t="s">
        <v>8956</v>
      </c>
      <c r="R1608" s="1" t="s">
        <v>8958</v>
      </c>
      <c r="S1608" s="1" t="s">
        <v>19692</v>
      </c>
      <c r="T1608" s="1" t="s">
        <v>17</v>
      </c>
      <c r="U1608" s="1" t="s">
        <v>210</v>
      </c>
    </row>
    <row r="1609" spans="1:21" x14ac:dyDescent="0.2">
      <c r="A1609" s="88" t="s">
        <v>17258</v>
      </c>
      <c r="B1609" s="88" t="e">
        <f>VLOOKUP(C1609,#REF!,1,0)</f>
        <v>#REF!</v>
      </c>
      <c r="C1609" s="1" t="s">
        <v>5406</v>
      </c>
      <c r="D1609" s="1" t="s">
        <v>5407</v>
      </c>
      <c r="E1609" s="1" t="s">
        <v>9010</v>
      </c>
      <c r="F1609" s="1" t="s">
        <v>8957</v>
      </c>
      <c r="G1609" t="s">
        <v>8959</v>
      </c>
      <c r="H1609" s="1" t="s">
        <v>8948</v>
      </c>
      <c r="I1609" s="1" t="s">
        <v>8949</v>
      </c>
      <c r="J1609" s="2" t="s">
        <v>9937</v>
      </c>
      <c r="K1609" s="1" t="s">
        <v>9937</v>
      </c>
      <c r="L1609" s="1" t="s">
        <v>9076</v>
      </c>
      <c r="M1609" s="1">
        <v>567</v>
      </c>
      <c r="N1609" s="1" t="s">
        <v>8953</v>
      </c>
      <c r="O1609" s="1" t="s">
        <v>8954</v>
      </c>
      <c r="P1609" s="1" t="s">
        <v>8955</v>
      </c>
      <c r="Q1609" s="1" t="s">
        <v>8956</v>
      </c>
      <c r="R1609" s="1" t="s">
        <v>8975</v>
      </c>
      <c r="S1609" s="1" t="s">
        <v>5408</v>
      </c>
      <c r="T1609" s="1" t="s">
        <v>17</v>
      </c>
      <c r="U1609" s="1" t="s">
        <v>21</v>
      </c>
    </row>
    <row r="1610" spans="1:21" x14ac:dyDescent="0.2">
      <c r="A1610" s="88" t="s">
        <v>17259</v>
      </c>
      <c r="B1610" s="88" t="e">
        <f>VLOOKUP(C1610,#REF!,1,0)</f>
        <v>#REF!</v>
      </c>
      <c r="C1610" s="1" t="s">
        <v>5409</v>
      </c>
      <c r="D1610" s="1" t="s">
        <v>5410</v>
      </c>
      <c r="E1610" s="1" t="s">
        <v>18502</v>
      </c>
      <c r="F1610" s="1" t="s">
        <v>8959</v>
      </c>
      <c r="G1610" t="s">
        <v>8959</v>
      </c>
      <c r="H1610" s="1" t="s">
        <v>20712</v>
      </c>
      <c r="I1610" s="1" t="s">
        <v>9155</v>
      </c>
      <c r="J1610" s="2" t="s">
        <v>10629</v>
      </c>
      <c r="K1610" s="1" t="s">
        <v>10629</v>
      </c>
      <c r="L1610" s="1" t="s">
        <v>21600</v>
      </c>
      <c r="M1610" s="1">
        <v>544</v>
      </c>
      <c r="N1610" s="1" t="s">
        <v>9059</v>
      </c>
      <c r="O1610" s="1" t="s">
        <v>8954</v>
      </c>
      <c r="P1610" s="1" t="s">
        <v>8955</v>
      </c>
      <c r="Q1610" s="1" t="s">
        <v>8956</v>
      </c>
      <c r="R1610" s="1" t="s">
        <v>8958</v>
      </c>
      <c r="S1610" s="1" t="s">
        <v>20656</v>
      </c>
      <c r="T1610" s="1" t="s">
        <v>7</v>
      </c>
      <c r="U1610" s="1" t="s">
        <v>61</v>
      </c>
    </row>
    <row r="1611" spans="1:21" x14ac:dyDescent="0.2">
      <c r="A1611" s="88" t="s">
        <v>17260</v>
      </c>
      <c r="B1611" s="88" t="e">
        <f>VLOOKUP(C1611,#REF!,1,0)</f>
        <v>#REF!</v>
      </c>
      <c r="C1611" s="1" t="s">
        <v>5411</v>
      </c>
      <c r="D1611" s="1" t="s">
        <v>5412</v>
      </c>
      <c r="E1611" s="1" t="s">
        <v>9815</v>
      </c>
      <c r="F1611" s="1" t="s">
        <v>8959</v>
      </c>
      <c r="G1611" t="s">
        <v>8959</v>
      </c>
      <c r="H1611" s="1" t="s">
        <v>8984</v>
      </c>
      <c r="I1611" s="1" t="s">
        <v>8998</v>
      </c>
      <c r="J1611" s="2" t="s">
        <v>9212</v>
      </c>
      <c r="K1611" s="1" t="s">
        <v>9212</v>
      </c>
      <c r="L1611" s="1" t="s">
        <v>9133</v>
      </c>
      <c r="M1611" s="1">
        <v>60</v>
      </c>
      <c r="N1611" s="1" t="s">
        <v>9059</v>
      </c>
      <c r="O1611" s="1" t="s">
        <v>8954</v>
      </c>
      <c r="P1611" s="1" t="s">
        <v>8955</v>
      </c>
      <c r="Q1611" s="1" t="s">
        <v>8956</v>
      </c>
      <c r="R1611" s="1" t="s">
        <v>8958</v>
      </c>
      <c r="S1611" s="1" t="s">
        <v>5413</v>
      </c>
      <c r="T1611" s="1" t="s">
        <v>17</v>
      </c>
      <c r="U1611" s="1" t="s">
        <v>64</v>
      </c>
    </row>
    <row r="1612" spans="1:21" x14ac:dyDescent="0.2">
      <c r="A1612" s="88" t="s">
        <v>17261</v>
      </c>
      <c r="B1612" s="88" t="e">
        <f>VLOOKUP(C1612,#REF!,1,0)</f>
        <v>#REF!</v>
      </c>
      <c r="C1612" s="1" t="s">
        <v>5417</v>
      </c>
      <c r="D1612" s="1" t="s">
        <v>5418</v>
      </c>
      <c r="E1612" s="1" t="s">
        <v>10032</v>
      </c>
      <c r="F1612" s="1" t="s">
        <v>8957</v>
      </c>
      <c r="G1612" t="s">
        <v>8959</v>
      </c>
      <c r="H1612" s="1" t="s">
        <v>9252</v>
      </c>
      <c r="I1612" s="1" t="s">
        <v>9269</v>
      </c>
      <c r="J1612" s="2" t="s">
        <v>15166</v>
      </c>
      <c r="K1612" s="1" t="s">
        <v>21909</v>
      </c>
      <c r="L1612" s="1" t="s">
        <v>21600</v>
      </c>
      <c r="M1612" s="1">
        <v>80</v>
      </c>
      <c r="N1612" s="1" t="s">
        <v>8953</v>
      </c>
      <c r="O1612" s="1" t="s">
        <v>8954</v>
      </c>
      <c r="P1612" s="1" t="s">
        <v>8955</v>
      </c>
      <c r="Q1612" s="1" t="s">
        <v>8956</v>
      </c>
      <c r="R1612" s="1" t="s">
        <v>8958</v>
      </c>
      <c r="S1612" s="1" t="s">
        <v>5419</v>
      </c>
      <c r="T1612" s="1" t="s">
        <v>17</v>
      </c>
      <c r="U1612" s="1" t="s">
        <v>61</v>
      </c>
    </row>
    <row r="1613" spans="1:21" x14ac:dyDescent="0.2">
      <c r="A1613" s="88" t="s">
        <v>17263</v>
      </c>
      <c r="B1613" s="88" t="e">
        <f>VLOOKUP(C1613,#REF!,1,0)</f>
        <v>#REF!</v>
      </c>
      <c r="C1613" s="1" t="s">
        <v>5422</v>
      </c>
      <c r="D1613" s="1" t="s">
        <v>5423</v>
      </c>
      <c r="E1613" s="1" t="s">
        <v>18502</v>
      </c>
      <c r="F1613" s="1" t="s">
        <v>8959</v>
      </c>
      <c r="G1613" t="s">
        <v>8959</v>
      </c>
      <c r="H1613" s="1" t="s">
        <v>9035</v>
      </c>
      <c r="I1613" s="1" t="s">
        <v>8998</v>
      </c>
      <c r="J1613" s="2" t="s">
        <v>21564</v>
      </c>
      <c r="K1613" s="1" t="s">
        <v>21710</v>
      </c>
      <c r="L1613" s="1" t="s">
        <v>9133</v>
      </c>
      <c r="M1613" s="1">
        <v>18793</v>
      </c>
      <c r="N1613" s="1" t="s">
        <v>20915</v>
      </c>
      <c r="O1613" s="1" t="s">
        <v>8954</v>
      </c>
      <c r="P1613" s="1" t="s">
        <v>8955</v>
      </c>
      <c r="Q1613" s="1" t="s">
        <v>8956</v>
      </c>
      <c r="R1613" s="1" t="s">
        <v>9103</v>
      </c>
      <c r="S1613" s="1" t="s">
        <v>19695</v>
      </c>
      <c r="T1613" s="1" t="s">
        <v>17</v>
      </c>
      <c r="U1613" s="1" t="s">
        <v>46</v>
      </c>
    </row>
    <row r="1614" spans="1:21" x14ac:dyDescent="0.2">
      <c r="A1614" s="88" t="s">
        <v>17265</v>
      </c>
      <c r="B1614" s="88" t="e">
        <f>VLOOKUP(C1614,#REF!,1,0)</f>
        <v>#REF!</v>
      </c>
      <c r="C1614" s="1" t="s">
        <v>5427</v>
      </c>
      <c r="D1614" s="1" t="s">
        <v>5428</v>
      </c>
      <c r="E1614" s="1" t="s">
        <v>9387</v>
      </c>
      <c r="F1614" s="1" t="s">
        <v>8957</v>
      </c>
      <c r="G1614" t="s">
        <v>8959</v>
      </c>
      <c r="H1614" s="1" t="s">
        <v>9605</v>
      </c>
      <c r="I1614" s="1" t="s">
        <v>9101</v>
      </c>
      <c r="J1614" s="2" t="s">
        <v>20779</v>
      </c>
      <c r="K1614" s="1" t="s">
        <v>9036</v>
      </c>
      <c r="L1614" s="1" t="s">
        <v>9076</v>
      </c>
      <c r="M1614" s="1">
        <v>20000</v>
      </c>
      <c r="N1614" s="1" t="s">
        <v>8953</v>
      </c>
      <c r="O1614" s="1" t="s">
        <v>8989</v>
      </c>
      <c r="P1614" s="1" t="s">
        <v>8955</v>
      </c>
      <c r="Q1614" s="1" t="s">
        <v>8956</v>
      </c>
      <c r="R1614" s="1" t="s">
        <v>8975</v>
      </c>
      <c r="S1614" s="1" t="s">
        <v>19697</v>
      </c>
      <c r="T1614" s="1" t="s">
        <v>7</v>
      </c>
      <c r="U1614" s="1" t="s">
        <v>700</v>
      </c>
    </row>
    <row r="1615" spans="1:21" x14ac:dyDescent="0.2">
      <c r="A1615" s="88" t="s">
        <v>17266</v>
      </c>
      <c r="B1615" s="88" t="e">
        <f>VLOOKUP(C1615,#REF!,1,0)</f>
        <v>#REF!</v>
      </c>
      <c r="C1615" s="1" t="s">
        <v>5429</v>
      </c>
      <c r="D1615" s="1" t="s">
        <v>5430</v>
      </c>
      <c r="E1615" s="1" t="s">
        <v>9010</v>
      </c>
      <c r="F1615" s="1" t="s">
        <v>8957</v>
      </c>
      <c r="G1615" t="s">
        <v>9061</v>
      </c>
      <c r="H1615" s="1" t="s">
        <v>9100</v>
      </c>
      <c r="I1615" s="1" t="s">
        <v>9121</v>
      </c>
      <c r="J1615" s="2" t="s">
        <v>9102</v>
      </c>
      <c r="K1615" s="1" t="s">
        <v>9102</v>
      </c>
      <c r="L1615" s="1" t="s">
        <v>9292</v>
      </c>
      <c r="M1615" s="1">
        <v>1000</v>
      </c>
      <c r="N1615" s="1" t="s">
        <v>8953</v>
      </c>
      <c r="O1615" s="1" t="s">
        <v>8989</v>
      </c>
      <c r="P1615" s="1" t="s">
        <v>8955</v>
      </c>
      <c r="Q1615" s="1" t="s">
        <v>8956</v>
      </c>
      <c r="R1615" s="1" t="s">
        <v>9103</v>
      </c>
      <c r="S1615" s="1" t="s">
        <v>5431</v>
      </c>
      <c r="T1615" s="1" t="s">
        <v>11</v>
      </c>
      <c r="U1615" s="1" t="s">
        <v>3167</v>
      </c>
    </row>
    <row r="1616" spans="1:21" x14ac:dyDescent="0.2">
      <c r="A1616" s="88" t="s">
        <v>17267</v>
      </c>
      <c r="B1616" s="88" t="e">
        <f>VLOOKUP(C1616,#REF!,1,0)</f>
        <v>#REF!</v>
      </c>
      <c r="C1616" s="1" t="s">
        <v>5432</v>
      </c>
      <c r="D1616" s="1" t="s">
        <v>5433</v>
      </c>
      <c r="E1616" s="1" t="s">
        <v>9333</v>
      </c>
      <c r="F1616" s="1" t="s">
        <v>8959</v>
      </c>
      <c r="G1616" t="s">
        <v>9061</v>
      </c>
      <c r="H1616" s="1" t="s">
        <v>9035</v>
      </c>
      <c r="I1616" s="1" t="s">
        <v>8998</v>
      </c>
      <c r="J1616" s="2" t="s">
        <v>10492</v>
      </c>
      <c r="K1616" s="1" t="s">
        <v>10492</v>
      </c>
      <c r="L1616" s="1" t="s">
        <v>21600</v>
      </c>
      <c r="M1616" s="1">
        <v>232</v>
      </c>
      <c r="N1616" s="1" t="s">
        <v>9059</v>
      </c>
      <c r="O1616" s="1" t="s">
        <v>8989</v>
      </c>
      <c r="P1616" s="1" t="s">
        <v>8955</v>
      </c>
      <c r="Q1616" s="1" t="s">
        <v>8956</v>
      </c>
      <c r="R1616" s="1" t="s">
        <v>8958</v>
      </c>
      <c r="S1616" s="1" t="s">
        <v>19698</v>
      </c>
      <c r="T1616" s="1" t="s">
        <v>7</v>
      </c>
      <c r="U1616" s="1" t="s">
        <v>3852</v>
      </c>
    </row>
    <row r="1617" spans="1:21" x14ac:dyDescent="0.2">
      <c r="A1617" s="88" t="s">
        <v>17268</v>
      </c>
      <c r="B1617" s="88" t="e">
        <f>VLOOKUP(C1617,#REF!,1,0)</f>
        <v>#REF!</v>
      </c>
      <c r="C1617" s="1" t="s">
        <v>5434</v>
      </c>
      <c r="D1617" s="1" t="s">
        <v>5435</v>
      </c>
      <c r="E1617" s="1" t="s">
        <v>9333</v>
      </c>
      <c r="F1617" s="1" t="s">
        <v>8957</v>
      </c>
      <c r="G1617" t="s">
        <v>9061</v>
      </c>
      <c r="H1617" s="1" t="s">
        <v>9075</v>
      </c>
      <c r="I1617" s="1" t="s">
        <v>8998</v>
      </c>
      <c r="J1617" s="2" t="s">
        <v>10492</v>
      </c>
      <c r="K1617" s="1" t="s">
        <v>10492</v>
      </c>
      <c r="L1617" s="1" t="s">
        <v>21600</v>
      </c>
      <c r="M1617" s="1">
        <v>556</v>
      </c>
      <c r="N1617" s="1" t="s">
        <v>9059</v>
      </c>
      <c r="O1617" s="1" t="s">
        <v>8989</v>
      </c>
      <c r="P1617" s="1" t="s">
        <v>8955</v>
      </c>
      <c r="Q1617" s="1" t="s">
        <v>8956</v>
      </c>
      <c r="R1617" s="1" t="s">
        <v>8958</v>
      </c>
      <c r="S1617" s="1" t="s">
        <v>19699</v>
      </c>
      <c r="T1617" s="1" t="s">
        <v>7</v>
      </c>
      <c r="U1617" s="1" t="s">
        <v>2434</v>
      </c>
    </row>
    <row r="1618" spans="1:21" x14ac:dyDescent="0.2">
      <c r="A1618" s="88" t="s">
        <v>17269</v>
      </c>
      <c r="B1618" s="88" t="e">
        <f>VLOOKUP(C1618,#REF!,1,0)</f>
        <v>#REF!</v>
      </c>
      <c r="C1618" s="1" t="s">
        <v>5439</v>
      </c>
      <c r="D1618" s="1" t="s">
        <v>5440</v>
      </c>
      <c r="E1618" s="1" t="s">
        <v>9317</v>
      </c>
      <c r="F1618" s="1" t="s">
        <v>8957</v>
      </c>
      <c r="G1618" t="s">
        <v>9061</v>
      </c>
      <c r="H1618" s="1" t="s">
        <v>8948</v>
      </c>
      <c r="I1618" s="1" t="s">
        <v>9155</v>
      </c>
      <c r="J1618" s="2" t="s">
        <v>10492</v>
      </c>
      <c r="K1618" s="1" t="s">
        <v>10492</v>
      </c>
      <c r="L1618" s="1" t="s">
        <v>9076</v>
      </c>
      <c r="M1618" s="1">
        <v>89</v>
      </c>
      <c r="N1618" s="1" t="s">
        <v>9059</v>
      </c>
      <c r="O1618" s="1" t="s">
        <v>8989</v>
      </c>
      <c r="P1618" s="1" t="s">
        <v>8955</v>
      </c>
      <c r="Q1618" s="1" t="s">
        <v>8956</v>
      </c>
      <c r="R1618" s="1" t="s">
        <v>8975</v>
      </c>
      <c r="S1618" s="1" t="s">
        <v>20657</v>
      </c>
      <c r="T1618" s="1" t="s">
        <v>17</v>
      </c>
      <c r="U1618" s="1" t="s">
        <v>5441</v>
      </c>
    </row>
    <row r="1619" spans="1:21" x14ac:dyDescent="0.2">
      <c r="A1619" s="88" t="s">
        <v>17270</v>
      </c>
      <c r="B1619" s="88" t="e">
        <f>VLOOKUP(C1619,#REF!,1,0)</f>
        <v>#REF!</v>
      </c>
      <c r="C1619" s="1" t="s">
        <v>5442</v>
      </c>
      <c r="D1619" s="1" t="s">
        <v>5443</v>
      </c>
      <c r="E1619" s="1" t="s">
        <v>14341</v>
      </c>
      <c r="F1619" s="1" t="s">
        <v>8957</v>
      </c>
      <c r="G1619" t="s">
        <v>8959</v>
      </c>
      <c r="H1619" s="1" t="s">
        <v>9154</v>
      </c>
      <c r="I1619" s="1" t="s">
        <v>8949</v>
      </c>
      <c r="J1619" s="2" t="s">
        <v>12500</v>
      </c>
      <c r="K1619" s="1" t="s">
        <v>12500</v>
      </c>
      <c r="L1619" s="1" t="s">
        <v>21600</v>
      </c>
      <c r="M1619" s="1">
        <v>270</v>
      </c>
      <c r="N1619" s="1" t="s">
        <v>8953</v>
      </c>
      <c r="O1619" s="1" t="s">
        <v>8989</v>
      </c>
      <c r="P1619" s="1" t="s">
        <v>8955</v>
      </c>
      <c r="Q1619" s="1" t="s">
        <v>8956</v>
      </c>
      <c r="R1619" s="1" t="s">
        <v>9103</v>
      </c>
      <c r="S1619" s="1" t="s">
        <v>5444</v>
      </c>
      <c r="T1619" s="1" t="s">
        <v>4</v>
      </c>
      <c r="U1619" s="1" t="s">
        <v>126</v>
      </c>
    </row>
    <row r="1620" spans="1:21" x14ac:dyDescent="0.2">
      <c r="A1620" s="88" t="s">
        <v>17271</v>
      </c>
      <c r="B1620" s="88" t="e">
        <f>VLOOKUP(C1620,#REF!,1,0)</f>
        <v>#REF!</v>
      </c>
      <c r="C1620" s="1" t="s">
        <v>5445</v>
      </c>
      <c r="D1620" s="1" t="s">
        <v>5446</v>
      </c>
      <c r="E1620" s="1" t="s">
        <v>9213</v>
      </c>
      <c r="F1620" s="1" t="s">
        <v>8957</v>
      </c>
      <c r="G1620" t="s">
        <v>8959</v>
      </c>
      <c r="H1620" s="1" t="s">
        <v>9943</v>
      </c>
      <c r="I1620" s="1" t="s">
        <v>8971</v>
      </c>
      <c r="J1620" s="2" t="s">
        <v>18497</v>
      </c>
      <c r="K1620" s="1" t="s">
        <v>18497</v>
      </c>
      <c r="L1620" s="1" t="s">
        <v>9133</v>
      </c>
      <c r="M1620" s="1">
        <v>450</v>
      </c>
      <c r="N1620" s="1" t="s">
        <v>8953</v>
      </c>
      <c r="O1620" s="1" t="s">
        <v>8989</v>
      </c>
      <c r="P1620" s="1" t="s">
        <v>8955</v>
      </c>
      <c r="Q1620" s="1" t="s">
        <v>8956</v>
      </c>
      <c r="R1620" s="1" t="s">
        <v>8958</v>
      </c>
      <c r="S1620" s="1" t="s">
        <v>19701</v>
      </c>
      <c r="T1620" s="1" t="s">
        <v>7</v>
      </c>
      <c r="U1620" s="1" t="s">
        <v>210</v>
      </c>
    </row>
    <row r="1621" spans="1:21" x14ac:dyDescent="0.2">
      <c r="A1621" s="88" t="s">
        <v>17272</v>
      </c>
      <c r="B1621" s="88" t="e">
        <f>VLOOKUP(C1621,#REF!,1,0)</f>
        <v>#REF!</v>
      </c>
      <c r="C1621" s="1" t="s">
        <v>5447</v>
      </c>
      <c r="D1621" s="1" t="s">
        <v>5448</v>
      </c>
      <c r="E1621" s="1" t="s">
        <v>9213</v>
      </c>
      <c r="F1621" s="1" t="s">
        <v>8957</v>
      </c>
      <c r="G1621" t="s">
        <v>9183</v>
      </c>
      <c r="H1621" s="1" t="s">
        <v>9049</v>
      </c>
      <c r="I1621" s="1" t="s">
        <v>9050</v>
      </c>
      <c r="J1621" s="2" t="s">
        <v>9018</v>
      </c>
      <c r="K1621" s="1" t="s">
        <v>9018</v>
      </c>
      <c r="L1621" s="1" t="s">
        <v>8951</v>
      </c>
      <c r="M1621" s="1">
        <v>1200</v>
      </c>
      <c r="N1621" s="1" t="s">
        <v>8953</v>
      </c>
      <c r="O1621" s="1" t="s">
        <v>8954</v>
      </c>
      <c r="P1621" s="1" t="s">
        <v>8955</v>
      </c>
      <c r="Q1621" s="1" t="s">
        <v>8956</v>
      </c>
      <c r="R1621" s="1" t="s">
        <v>8958</v>
      </c>
      <c r="S1621" s="1" t="s">
        <v>5449</v>
      </c>
      <c r="T1621" s="1" t="s">
        <v>11</v>
      </c>
      <c r="U1621" s="1" t="s">
        <v>210</v>
      </c>
    </row>
    <row r="1622" spans="1:21" x14ac:dyDescent="0.2">
      <c r="A1622" s="88" t="s">
        <v>17275</v>
      </c>
      <c r="B1622" s="88" t="e">
        <f>VLOOKUP(C1622,#REF!,1,0)</f>
        <v>#REF!</v>
      </c>
      <c r="C1622" s="1" t="s">
        <v>5454</v>
      </c>
      <c r="D1622" s="1" t="s">
        <v>5455</v>
      </c>
      <c r="E1622" s="1" t="s">
        <v>9010</v>
      </c>
      <c r="F1622" s="1" t="s">
        <v>8959</v>
      </c>
      <c r="G1622" t="s">
        <v>8959</v>
      </c>
      <c r="H1622" s="1" t="s">
        <v>9605</v>
      </c>
      <c r="I1622" s="1" t="s">
        <v>9101</v>
      </c>
      <c r="J1622" s="2" t="s">
        <v>9036</v>
      </c>
      <c r="K1622" s="1" t="s">
        <v>9036</v>
      </c>
      <c r="L1622" s="1" t="s">
        <v>8951</v>
      </c>
      <c r="M1622" s="1">
        <v>1206</v>
      </c>
      <c r="N1622" s="1" t="s">
        <v>8953</v>
      </c>
      <c r="O1622" s="1" t="s">
        <v>8954</v>
      </c>
      <c r="P1622" s="1" t="s">
        <v>8955</v>
      </c>
      <c r="Q1622" s="1" t="s">
        <v>8956</v>
      </c>
      <c r="R1622" s="1" t="s">
        <v>8958</v>
      </c>
      <c r="S1622" s="1" t="s">
        <v>5456</v>
      </c>
      <c r="T1622" s="1" t="s">
        <v>4</v>
      </c>
      <c r="U1622" s="1" t="s">
        <v>4874</v>
      </c>
    </row>
    <row r="1623" spans="1:21" x14ac:dyDescent="0.2">
      <c r="A1623" s="88" t="s">
        <v>17276</v>
      </c>
      <c r="B1623" s="88" t="e">
        <f>VLOOKUP(C1623,#REF!,1,0)</f>
        <v>#REF!</v>
      </c>
      <c r="C1623" s="1" t="s">
        <v>5461</v>
      </c>
      <c r="D1623" s="1" t="s">
        <v>5462</v>
      </c>
      <c r="E1623" s="1" t="s">
        <v>9310</v>
      </c>
      <c r="F1623" s="1" t="s">
        <v>8957</v>
      </c>
      <c r="G1623" t="s">
        <v>8959</v>
      </c>
      <c r="H1623" s="1" t="s">
        <v>9083</v>
      </c>
      <c r="I1623" s="1" t="s">
        <v>8998</v>
      </c>
      <c r="J1623" s="2" t="s">
        <v>21376</v>
      </c>
      <c r="K1623" s="1" t="s">
        <v>21376</v>
      </c>
      <c r="L1623" s="1" t="s">
        <v>21600</v>
      </c>
      <c r="M1623" s="1">
        <v>4993</v>
      </c>
      <c r="N1623" s="1" t="s">
        <v>8953</v>
      </c>
      <c r="O1623" s="1" t="s">
        <v>8954</v>
      </c>
      <c r="P1623" s="1" t="s">
        <v>8955</v>
      </c>
      <c r="Q1623" s="1" t="s">
        <v>8956</v>
      </c>
      <c r="R1623" s="1" t="s">
        <v>8958</v>
      </c>
      <c r="S1623" s="1" t="s">
        <v>5463</v>
      </c>
      <c r="T1623" s="1" t="s">
        <v>7</v>
      </c>
      <c r="U1623" s="1" t="s">
        <v>184</v>
      </c>
    </row>
    <row r="1624" spans="1:21" x14ac:dyDescent="0.2">
      <c r="A1624" s="88" t="s">
        <v>17277</v>
      </c>
      <c r="B1624" s="88" t="e">
        <f>VLOOKUP(C1624,#REF!,1,0)</f>
        <v>#REF!</v>
      </c>
      <c r="C1624" s="1" t="s">
        <v>5464</v>
      </c>
      <c r="D1624" s="1" t="s">
        <v>5465</v>
      </c>
      <c r="E1624" s="1" t="s">
        <v>18502</v>
      </c>
      <c r="F1624" s="1" t="s">
        <v>8959</v>
      </c>
      <c r="G1624" t="s">
        <v>9061</v>
      </c>
      <c r="H1624" s="1" t="s">
        <v>8984</v>
      </c>
      <c r="I1624" s="1" t="s">
        <v>9155</v>
      </c>
      <c r="J1624" s="2" t="s">
        <v>18497</v>
      </c>
      <c r="K1624" s="1" t="s">
        <v>21658</v>
      </c>
      <c r="L1624" s="1" t="s">
        <v>8987</v>
      </c>
      <c r="M1624" s="1">
        <v>1375</v>
      </c>
      <c r="N1624" s="1" t="s">
        <v>8953</v>
      </c>
      <c r="O1624" s="1" t="s">
        <v>8989</v>
      </c>
      <c r="P1624" s="1" t="s">
        <v>8955</v>
      </c>
      <c r="Q1624" s="1" t="s">
        <v>8956</v>
      </c>
      <c r="R1624" s="1" t="s">
        <v>8975</v>
      </c>
      <c r="S1624" s="1" t="s">
        <v>19705</v>
      </c>
      <c r="T1624" s="1" t="s">
        <v>7</v>
      </c>
      <c r="U1624" s="1" t="s">
        <v>4870</v>
      </c>
    </row>
    <row r="1625" spans="1:21" x14ac:dyDescent="0.2">
      <c r="A1625" s="88" t="s">
        <v>17278</v>
      </c>
      <c r="B1625" s="88" t="e">
        <f>VLOOKUP(C1625,#REF!,1,0)</f>
        <v>#REF!</v>
      </c>
      <c r="C1625" s="1" t="s">
        <v>5466</v>
      </c>
      <c r="D1625" s="1" t="s">
        <v>5467</v>
      </c>
      <c r="E1625" s="1" t="s">
        <v>9310</v>
      </c>
      <c r="F1625" s="1" t="s">
        <v>8959</v>
      </c>
      <c r="G1625" t="s">
        <v>9061</v>
      </c>
      <c r="H1625" s="1" t="s">
        <v>9035</v>
      </c>
      <c r="I1625" s="1" t="s">
        <v>8998</v>
      </c>
      <c r="J1625" s="2" t="s">
        <v>10492</v>
      </c>
      <c r="K1625" s="1" t="s">
        <v>10492</v>
      </c>
      <c r="L1625" s="1" t="s">
        <v>8951</v>
      </c>
      <c r="M1625" s="1">
        <v>14531</v>
      </c>
      <c r="N1625" s="1" t="s">
        <v>9059</v>
      </c>
      <c r="O1625" s="1" t="s">
        <v>8954</v>
      </c>
      <c r="P1625" s="1" t="s">
        <v>8955</v>
      </c>
      <c r="Q1625" s="1" t="s">
        <v>8956</v>
      </c>
      <c r="R1625" s="1" t="s">
        <v>8975</v>
      </c>
      <c r="S1625" s="1" t="s">
        <v>19706</v>
      </c>
      <c r="T1625" s="1" t="s">
        <v>7</v>
      </c>
      <c r="U1625" s="1" t="s">
        <v>147</v>
      </c>
    </row>
    <row r="1626" spans="1:21" x14ac:dyDescent="0.2">
      <c r="A1626" s="88" t="s">
        <v>17279</v>
      </c>
      <c r="B1626" s="88" t="e">
        <f>VLOOKUP(C1626,#REF!,1,0)</f>
        <v>#REF!</v>
      </c>
      <c r="C1626" s="1" t="s">
        <v>5468</v>
      </c>
      <c r="D1626" s="1" t="s">
        <v>5469</v>
      </c>
      <c r="E1626" s="1" t="s">
        <v>9010</v>
      </c>
      <c r="F1626" s="1" t="s">
        <v>9060</v>
      </c>
      <c r="G1626" t="s">
        <v>9009</v>
      </c>
      <c r="H1626" s="1" t="s">
        <v>8984</v>
      </c>
      <c r="I1626" s="1" t="s">
        <v>9101</v>
      </c>
      <c r="J1626" s="2" t="s">
        <v>9658</v>
      </c>
      <c r="K1626" s="1" t="s">
        <v>9658</v>
      </c>
      <c r="L1626" s="1" t="s">
        <v>9292</v>
      </c>
      <c r="M1626" s="1">
        <v>33</v>
      </c>
      <c r="N1626" s="1" t="s">
        <v>8953</v>
      </c>
      <c r="O1626" s="1" t="s">
        <v>8989</v>
      </c>
      <c r="P1626" s="1" t="s">
        <v>8955</v>
      </c>
      <c r="Q1626" s="1" t="s">
        <v>8956</v>
      </c>
      <c r="R1626" s="1" t="s">
        <v>8958</v>
      </c>
      <c r="S1626" s="1" t="s">
        <v>5470</v>
      </c>
      <c r="T1626" s="1" t="s">
        <v>11</v>
      </c>
      <c r="U1626" s="1" t="s">
        <v>110</v>
      </c>
    </row>
    <row r="1627" spans="1:21" x14ac:dyDescent="0.2">
      <c r="A1627" s="88" t="s">
        <v>17280</v>
      </c>
      <c r="B1627" s="88" t="e">
        <f>VLOOKUP(C1627,#REF!,1,0)</f>
        <v>#REF!</v>
      </c>
      <c r="C1627" s="1" t="s">
        <v>5471</v>
      </c>
      <c r="D1627" s="1" t="s">
        <v>5472</v>
      </c>
      <c r="E1627" s="1" t="s">
        <v>9176</v>
      </c>
      <c r="F1627" s="1" t="s">
        <v>8957</v>
      </c>
      <c r="G1627" t="s">
        <v>8959</v>
      </c>
      <c r="H1627" s="1" t="s">
        <v>9035</v>
      </c>
      <c r="I1627" s="1" t="s">
        <v>8998</v>
      </c>
      <c r="J1627" s="2" t="s">
        <v>10258</v>
      </c>
      <c r="K1627" s="1" t="s">
        <v>10258</v>
      </c>
      <c r="L1627" s="1" t="s">
        <v>8987</v>
      </c>
      <c r="M1627" s="1">
        <v>1010</v>
      </c>
      <c r="N1627" s="1" t="s">
        <v>9059</v>
      </c>
      <c r="O1627" s="1" t="s">
        <v>8989</v>
      </c>
      <c r="P1627" s="1" t="s">
        <v>8955</v>
      </c>
      <c r="Q1627" s="1" t="s">
        <v>8956</v>
      </c>
      <c r="R1627" s="1" t="s">
        <v>9103</v>
      </c>
      <c r="S1627" s="1" t="s">
        <v>5473</v>
      </c>
      <c r="T1627" s="1" t="s">
        <v>4</v>
      </c>
      <c r="U1627" s="1" t="s">
        <v>64</v>
      </c>
    </row>
    <row r="1628" spans="1:21" x14ac:dyDescent="0.2">
      <c r="A1628" s="88" t="s">
        <v>17281</v>
      </c>
      <c r="B1628" s="88" t="e">
        <f>VLOOKUP(C1628,#REF!,1,0)</f>
        <v>#REF!</v>
      </c>
      <c r="C1628" s="1" t="s">
        <v>5474</v>
      </c>
      <c r="D1628" s="1" t="s">
        <v>5475</v>
      </c>
      <c r="E1628" s="1" t="s">
        <v>9852</v>
      </c>
      <c r="F1628" s="1" t="s">
        <v>9060</v>
      </c>
      <c r="G1628" t="s">
        <v>8959</v>
      </c>
      <c r="H1628" s="1" t="s">
        <v>9173</v>
      </c>
      <c r="I1628" s="1" t="s">
        <v>9174</v>
      </c>
      <c r="J1628" s="2" t="s">
        <v>10328</v>
      </c>
      <c r="K1628" s="1" t="s">
        <v>10328</v>
      </c>
      <c r="L1628" s="1" t="s">
        <v>21600</v>
      </c>
      <c r="M1628" s="1">
        <v>61280</v>
      </c>
      <c r="N1628" s="1" t="s">
        <v>8953</v>
      </c>
      <c r="O1628" s="1" t="s">
        <v>8954</v>
      </c>
      <c r="P1628" s="1" t="s">
        <v>8955</v>
      </c>
      <c r="Q1628" s="1" t="s">
        <v>8956</v>
      </c>
      <c r="R1628" s="1" t="s">
        <v>8958</v>
      </c>
      <c r="S1628" s="1" t="s">
        <v>5476</v>
      </c>
      <c r="T1628" s="1" t="s">
        <v>17</v>
      </c>
      <c r="U1628" s="1" t="s">
        <v>200</v>
      </c>
    </row>
    <row r="1629" spans="1:21" x14ac:dyDescent="0.2">
      <c r="A1629" s="88" t="s">
        <v>17282</v>
      </c>
      <c r="B1629" s="88" t="e">
        <f>VLOOKUP(C1629,#REF!,1,0)</f>
        <v>#REF!</v>
      </c>
      <c r="C1629" s="1" t="s">
        <v>5477</v>
      </c>
      <c r="D1629" s="1" t="s">
        <v>5478</v>
      </c>
      <c r="E1629" s="1" t="s">
        <v>18502</v>
      </c>
      <c r="F1629" s="1" t="s">
        <v>8957</v>
      </c>
      <c r="G1629" t="s">
        <v>8959</v>
      </c>
      <c r="H1629" s="1" t="s">
        <v>9100</v>
      </c>
      <c r="I1629" s="1" t="s">
        <v>8949</v>
      </c>
      <c r="J1629" s="2" t="s">
        <v>20779</v>
      </c>
      <c r="K1629" s="1" t="s">
        <v>9036</v>
      </c>
      <c r="L1629" s="1" t="s">
        <v>9157</v>
      </c>
      <c r="M1629" s="1">
        <v>93</v>
      </c>
      <c r="N1629" s="1" t="s">
        <v>9059</v>
      </c>
      <c r="O1629" s="1" t="s">
        <v>8989</v>
      </c>
      <c r="P1629" s="1" t="s">
        <v>8955</v>
      </c>
      <c r="Q1629" s="1" t="s">
        <v>8956</v>
      </c>
      <c r="R1629" s="1" t="s">
        <v>8975</v>
      </c>
      <c r="S1629" s="1" t="s">
        <v>19707</v>
      </c>
      <c r="T1629" s="1" t="s">
        <v>17</v>
      </c>
      <c r="U1629" s="1" t="s">
        <v>24</v>
      </c>
    </row>
    <row r="1630" spans="1:21" x14ac:dyDescent="0.2">
      <c r="A1630" s="88" t="s">
        <v>17283</v>
      </c>
      <c r="B1630" s="88" t="e">
        <f>VLOOKUP(C1630,#REF!,1,0)</f>
        <v>#REF!</v>
      </c>
      <c r="C1630" s="1" t="s">
        <v>5479</v>
      </c>
      <c r="D1630" s="1" t="s">
        <v>5480</v>
      </c>
      <c r="E1630" s="1" t="s">
        <v>9010</v>
      </c>
      <c r="F1630" s="1" t="s">
        <v>8959</v>
      </c>
      <c r="G1630" t="s">
        <v>9061</v>
      </c>
      <c r="H1630" s="1" t="s">
        <v>8948</v>
      </c>
      <c r="I1630" s="1" t="s">
        <v>9155</v>
      </c>
      <c r="J1630" s="2" t="s">
        <v>11875</v>
      </c>
      <c r="K1630" s="1" t="s">
        <v>11875</v>
      </c>
      <c r="L1630" s="1" t="s">
        <v>8987</v>
      </c>
      <c r="M1630" s="1">
        <v>22</v>
      </c>
      <c r="N1630" s="1" t="s">
        <v>8953</v>
      </c>
      <c r="O1630" s="1" t="s">
        <v>8954</v>
      </c>
      <c r="P1630" s="1" t="s">
        <v>8955</v>
      </c>
      <c r="Q1630" s="1" t="s">
        <v>8956</v>
      </c>
      <c r="R1630" s="1" t="s">
        <v>8958</v>
      </c>
      <c r="S1630" s="1" t="s">
        <v>5481</v>
      </c>
      <c r="T1630" s="1" t="s">
        <v>4</v>
      </c>
      <c r="U1630" s="1" t="s">
        <v>921</v>
      </c>
    </row>
    <row r="1631" spans="1:21" x14ac:dyDescent="0.2">
      <c r="A1631" s="88" t="s">
        <v>17284</v>
      </c>
      <c r="B1631" s="88" t="e">
        <f>VLOOKUP(C1631,#REF!,1,0)</f>
        <v>#REF!</v>
      </c>
      <c r="C1631" s="1" t="s">
        <v>5482</v>
      </c>
      <c r="D1631" s="1" t="s">
        <v>5483</v>
      </c>
      <c r="E1631" s="1" t="s">
        <v>9310</v>
      </c>
      <c r="F1631" s="1" t="s">
        <v>8957</v>
      </c>
      <c r="G1631" t="s">
        <v>9183</v>
      </c>
      <c r="H1631" s="1" t="s">
        <v>8948</v>
      </c>
      <c r="I1631" s="1" t="s">
        <v>9155</v>
      </c>
      <c r="J1631" s="2" t="s">
        <v>11875</v>
      </c>
      <c r="K1631" s="1" t="s">
        <v>11875</v>
      </c>
      <c r="L1631" s="1" t="s">
        <v>9133</v>
      </c>
      <c r="M1631" s="1">
        <v>16</v>
      </c>
      <c r="N1631" s="1" t="s">
        <v>9059</v>
      </c>
      <c r="O1631" s="1" t="s">
        <v>8954</v>
      </c>
      <c r="P1631" s="1" t="s">
        <v>8955</v>
      </c>
      <c r="Q1631" s="1" t="s">
        <v>8956</v>
      </c>
      <c r="R1631" s="1" t="s">
        <v>8975</v>
      </c>
      <c r="S1631" s="1" t="s">
        <v>5484</v>
      </c>
      <c r="T1631" s="1" t="s">
        <v>11</v>
      </c>
      <c r="U1631" s="1" t="s">
        <v>1076</v>
      </c>
    </row>
    <row r="1632" spans="1:21" x14ac:dyDescent="0.2">
      <c r="A1632" s="88" t="s">
        <v>17285</v>
      </c>
      <c r="B1632" s="88" t="e">
        <f>VLOOKUP(C1632,#REF!,1,0)</f>
        <v>#REF!</v>
      </c>
      <c r="C1632" s="1" t="s">
        <v>5485</v>
      </c>
      <c r="D1632" s="1" t="s">
        <v>5486</v>
      </c>
      <c r="E1632" s="1" t="s">
        <v>9010</v>
      </c>
      <c r="F1632" s="1" t="s">
        <v>8957</v>
      </c>
      <c r="G1632" t="s">
        <v>9061</v>
      </c>
      <c r="H1632" s="1" t="s">
        <v>8948</v>
      </c>
      <c r="I1632" s="1" t="s">
        <v>9155</v>
      </c>
      <c r="J1632" s="2" t="s">
        <v>9036</v>
      </c>
      <c r="K1632" s="1" t="s">
        <v>9036</v>
      </c>
      <c r="L1632" s="1" t="s">
        <v>8987</v>
      </c>
      <c r="M1632" s="1">
        <v>69</v>
      </c>
      <c r="N1632" s="1" t="s">
        <v>9059</v>
      </c>
      <c r="O1632" s="1" t="s">
        <v>8989</v>
      </c>
      <c r="P1632" s="1" t="s">
        <v>8955</v>
      </c>
      <c r="Q1632" s="1" t="s">
        <v>8956</v>
      </c>
      <c r="R1632" s="1" t="s">
        <v>8958</v>
      </c>
      <c r="S1632" s="1" t="s">
        <v>5487</v>
      </c>
      <c r="T1632" s="1" t="s">
        <v>242</v>
      </c>
      <c r="U1632" s="1" t="s">
        <v>921</v>
      </c>
    </row>
    <row r="1633" spans="1:21" x14ac:dyDescent="0.2">
      <c r="A1633" s="88" t="s">
        <v>17286</v>
      </c>
      <c r="B1633" s="88" t="e">
        <f>VLOOKUP(C1633,#REF!,1,0)</f>
        <v>#REF!</v>
      </c>
      <c r="C1633" s="1" t="s">
        <v>5488</v>
      </c>
      <c r="D1633" s="1" t="s">
        <v>5489</v>
      </c>
      <c r="E1633" s="1" t="s">
        <v>12526</v>
      </c>
      <c r="F1633" s="1" t="s">
        <v>8974</v>
      </c>
      <c r="G1633" t="s">
        <v>9009</v>
      </c>
      <c r="H1633" s="1" t="s">
        <v>8948</v>
      </c>
      <c r="I1633" s="1" t="s">
        <v>8949</v>
      </c>
      <c r="J1633" s="2" t="s">
        <v>9036</v>
      </c>
      <c r="K1633" s="1" t="s">
        <v>9036</v>
      </c>
      <c r="L1633" s="1" t="s">
        <v>9292</v>
      </c>
      <c r="M1633" s="1">
        <v>222</v>
      </c>
      <c r="N1633" s="1" t="s">
        <v>9059</v>
      </c>
      <c r="O1633" s="1" t="s">
        <v>8989</v>
      </c>
      <c r="P1633" s="1" t="s">
        <v>8955</v>
      </c>
      <c r="Q1633" s="1" t="s">
        <v>8956</v>
      </c>
      <c r="R1633" s="1" t="s">
        <v>8958</v>
      </c>
      <c r="S1633" s="1" t="s">
        <v>5490</v>
      </c>
      <c r="T1633" s="1" t="s">
        <v>11</v>
      </c>
      <c r="U1633" s="1" t="s">
        <v>544</v>
      </c>
    </row>
    <row r="1634" spans="1:21" x14ac:dyDescent="0.2">
      <c r="A1634" s="88" t="s">
        <v>17287</v>
      </c>
      <c r="B1634" s="88" t="e">
        <f>VLOOKUP(C1634,#REF!,1,0)</f>
        <v>#REF!</v>
      </c>
      <c r="C1634" s="1" t="s">
        <v>5495</v>
      </c>
      <c r="D1634" s="1" t="s">
        <v>5496</v>
      </c>
      <c r="E1634" s="1" t="s">
        <v>18502</v>
      </c>
      <c r="F1634" s="1" t="s">
        <v>8957</v>
      </c>
      <c r="G1634" t="s">
        <v>8959</v>
      </c>
      <c r="H1634" s="1" t="s">
        <v>8948</v>
      </c>
      <c r="I1634" s="1" t="s">
        <v>8949</v>
      </c>
      <c r="J1634" s="2" t="s">
        <v>20779</v>
      </c>
      <c r="K1634" s="1" t="s">
        <v>9036</v>
      </c>
      <c r="L1634" s="1" t="s">
        <v>9464</v>
      </c>
      <c r="M1634" s="1">
        <v>318</v>
      </c>
      <c r="N1634" s="1" t="s">
        <v>8953</v>
      </c>
      <c r="O1634" s="1" t="s">
        <v>8954</v>
      </c>
      <c r="P1634" s="1" t="s">
        <v>8955</v>
      </c>
      <c r="Q1634" s="1" t="s">
        <v>8956</v>
      </c>
      <c r="R1634" s="1" t="s">
        <v>9103</v>
      </c>
      <c r="S1634" s="1" t="s">
        <v>19709</v>
      </c>
      <c r="T1634" s="1" t="s">
        <v>17</v>
      </c>
      <c r="U1634" s="1" t="s">
        <v>5497</v>
      </c>
    </row>
    <row r="1635" spans="1:21" x14ac:dyDescent="0.2">
      <c r="A1635" s="88" t="s">
        <v>17288</v>
      </c>
      <c r="B1635" s="88" t="e">
        <f>VLOOKUP(C1635,#REF!,1,0)</f>
        <v>#REF!</v>
      </c>
      <c r="C1635" s="1" t="s">
        <v>5498</v>
      </c>
      <c r="D1635" s="1" t="s">
        <v>5499</v>
      </c>
      <c r="E1635" s="1" t="s">
        <v>9333</v>
      </c>
      <c r="F1635" s="1" t="s">
        <v>9060</v>
      </c>
      <c r="G1635" t="s">
        <v>8959</v>
      </c>
      <c r="H1635" s="1" t="s">
        <v>9605</v>
      </c>
      <c r="I1635" s="1" t="s">
        <v>9121</v>
      </c>
      <c r="J1635" s="2" t="s">
        <v>9036</v>
      </c>
      <c r="K1635" s="1" t="s">
        <v>9036</v>
      </c>
      <c r="L1635" s="1" t="s">
        <v>8987</v>
      </c>
      <c r="M1635" s="1">
        <v>1400</v>
      </c>
      <c r="N1635" s="1" t="s">
        <v>8953</v>
      </c>
      <c r="O1635" s="1" t="s">
        <v>8989</v>
      </c>
      <c r="P1635" s="1" t="s">
        <v>8955</v>
      </c>
      <c r="Q1635" s="1" t="s">
        <v>8956</v>
      </c>
      <c r="R1635" s="1" t="s">
        <v>8958</v>
      </c>
      <c r="S1635" s="1" t="s">
        <v>5500</v>
      </c>
      <c r="T1635" s="1" t="s">
        <v>11</v>
      </c>
      <c r="U1635" s="1" t="s">
        <v>5501</v>
      </c>
    </row>
    <row r="1636" spans="1:21" x14ac:dyDescent="0.2">
      <c r="A1636" s="88" t="s">
        <v>17289</v>
      </c>
      <c r="B1636" s="88" t="e">
        <f>VLOOKUP(C1636,#REF!,1,0)</f>
        <v>#REF!</v>
      </c>
      <c r="C1636" s="1" t="s">
        <v>5502</v>
      </c>
      <c r="D1636" s="1" t="s">
        <v>5503</v>
      </c>
      <c r="E1636" s="1" t="s">
        <v>9310</v>
      </c>
      <c r="F1636" s="1" t="s">
        <v>8957</v>
      </c>
      <c r="G1636" t="s">
        <v>8959</v>
      </c>
      <c r="H1636" s="1" t="s">
        <v>9035</v>
      </c>
      <c r="I1636" s="1" t="s">
        <v>8998</v>
      </c>
      <c r="J1636" s="2" t="s">
        <v>18489</v>
      </c>
      <c r="K1636" s="1" t="s">
        <v>18489</v>
      </c>
      <c r="L1636" s="1" t="s">
        <v>9157</v>
      </c>
      <c r="M1636" s="1">
        <v>169933</v>
      </c>
      <c r="N1636" s="1" t="s">
        <v>8953</v>
      </c>
      <c r="O1636" s="1" t="s">
        <v>8954</v>
      </c>
      <c r="P1636" s="1" t="s">
        <v>8955</v>
      </c>
      <c r="Q1636" s="1" t="s">
        <v>8956</v>
      </c>
      <c r="R1636" s="1" t="s">
        <v>8975</v>
      </c>
      <c r="S1636" s="1" t="s">
        <v>19710</v>
      </c>
      <c r="T1636" s="1" t="s">
        <v>7</v>
      </c>
      <c r="U1636" s="1" t="s">
        <v>4369</v>
      </c>
    </row>
    <row r="1637" spans="1:21" x14ac:dyDescent="0.2">
      <c r="A1637" s="88" t="s">
        <v>17290</v>
      </c>
      <c r="B1637" s="88" t="e">
        <f>VLOOKUP(C1637,#REF!,1,0)</f>
        <v>#REF!</v>
      </c>
      <c r="C1637" s="1" t="s">
        <v>5504</v>
      </c>
      <c r="D1637" s="1" t="s">
        <v>5505</v>
      </c>
      <c r="E1637" s="1" t="s">
        <v>9310</v>
      </c>
      <c r="F1637" s="1" t="s">
        <v>8957</v>
      </c>
      <c r="G1637" t="s">
        <v>9183</v>
      </c>
      <c r="H1637" s="1" t="s">
        <v>8984</v>
      </c>
      <c r="I1637" s="1" t="s">
        <v>8998</v>
      </c>
      <c r="J1637" s="2" t="s">
        <v>9658</v>
      </c>
      <c r="K1637" s="1" t="s">
        <v>21771</v>
      </c>
      <c r="L1637" s="1" t="s">
        <v>8987</v>
      </c>
      <c r="M1637" s="1">
        <v>231</v>
      </c>
      <c r="N1637" s="1" t="s">
        <v>8953</v>
      </c>
      <c r="O1637" s="1" t="s">
        <v>8954</v>
      </c>
      <c r="P1637" s="1" t="s">
        <v>8955</v>
      </c>
      <c r="Q1637" s="1" t="s">
        <v>8956</v>
      </c>
      <c r="R1637" s="1" t="s">
        <v>8975</v>
      </c>
      <c r="S1637" s="1" t="s">
        <v>5506</v>
      </c>
      <c r="T1637" s="1" t="s">
        <v>17</v>
      </c>
      <c r="U1637" s="1" t="s">
        <v>27</v>
      </c>
    </row>
    <row r="1638" spans="1:21" x14ac:dyDescent="0.2">
      <c r="A1638" s="88" t="s">
        <v>17291</v>
      </c>
      <c r="B1638" s="88" t="e">
        <f>VLOOKUP(C1638,#REF!,1,0)</f>
        <v>#REF!</v>
      </c>
      <c r="C1638" s="1" t="s">
        <v>5507</v>
      </c>
      <c r="D1638" s="1" t="s">
        <v>5508</v>
      </c>
      <c r="E1638" s="1" t="s">
        <v>9333</v>
      </c>
      <c r="F1638" s="1" t="s">
        <v>8959</v>
      </c>
      <c r="G1638" t="s">
        <v>8959</v>
      </c>
      <c r="H1638" s="1" t="s">
        <v>9035</v>
      </c>
      <c r="I1638" s="1" t="s">
        <v>9725</v>
      </c>
      <c r="J1638" s="2" t="s">
        <v>20736</v>
      </c>
      <c r="K1638" s="1" t="s">
        <v>20736</v>
      </c>
      <c r="L1638" s="1" t="s">
        <v>9157</v>
      </c>
      <c r="M1638" s="1">
        <v>205</v>
      </c>
      <c r="N1638" s="1" t="s">
        <v>8953</v>
      </c>
      <c r="O1638" s="1" t="s">
        <v>8954</v>
      </c>
      <c r="P1638" s="1" t="s">
        <v>8955</v>
      </c>
      <c r="Q1638" s="1" t="s">
        <v>8956</v>
      </c>
      <c r="R1638" s="1" t="s">
        <v>9103</v>
      </c>
      <c r="S1638" s="1" t="s">
        <v>19711</v>
      </c>
      <c r="T1638" s="1" t="s">
        <v>7</v>
      </c>
      <c r="U1638" s="1" t="s">
        <v>2434</v>
      </c>
    </row>
    <row r="1639" spans="1:21" x14ac:dyDescent="0.2">
      <c r="A1639" s="88" t="s">
        <v>17292</v>
      </c>
      <c r="B1639" s="88" t="e">
        <f>VLOOKUP(C1639,#REF!,1,0)</f>
        <v>#REF!</v>
      </c>
      <c r="C1639" s="1" t="s">
        <v>5509</v>
      </c>
      <c r="D1639" s="1" t="s">
        <v>5510</v>
      </c>
      <c r="E1639" s="1" t="s">
        <v>9380</v>
      </c>
      <c r="F1639" s="1" t="s">
        <v>9060</v>
      </c>
      <c r="G1639" t="s">
        <v>8959</v>
      </c>
      <c r="H1639" s="1" t="s">
        <v>9075</v>
      </c>
      <c r="I1639" s="1" t="s">
        <v>9422</v>
      </c>
      <c r="J1639" s="2" t="s">
        <v>9036</v>
      </c>
      <c r="K1639" s="1" t="s">
        <v>9036</v>
      </c>
      <c r="L1639" s="1" t="s">
        <v>9157</v>
      </c>
      <c r="M1639" s="1">
        <v>231</v>
      </c>
      <c r="N1639" s="1" t="s">
        <v>9059</v>
      </c>
      <c r="O1639" s="1" t="s">
        <v>8989</v>
      </c>
      <c r="P1639" s="1" t="s">
        <v>8955</v>
      </c>
      <c r="Q1639" s="1" t="s">
        <v>8956</v>
      </c>
      <c r="R1639" s="1" t="s">
        <v>8975</v>
      </c>
      <c r="S1639" s="1" t="s">
        <v>5511</v>
      </c>
      <c r="T1639" s="1" t="s">
        <v>17</v>
      </c>
      <c r="U1639" s="1" t="s">
        <v>1918</v>
      </c>
    </row>
    <row r="1640" spans="1:21" x14ac:dyDescent="0.2">
      <c r="A1640" s="88" t="s">
        <v>17293</v>
      </c>
      <c r="B1640" s="88" t="e">
        <f>VLOOKUP(C1640,#REF!,1,0)</f>
        <v>#REF!</v>
      </c>
      <c r="C1640" s="1" t="s">
        <v>5512</v>
      </c>
      <c r="D1640" s="1" t="s">
        <v>5513</v>
      </c>
      <c r="E1640" s="1" t="s">
        <v>9010</v>
      </c>
      <c r="F1640" s="1" t="s">
        <v>9060</v>
      </c>
      <c r="G1640" t="s">
        <v>9009</v>
      </c>
      <c r="H1640" s="1" t="s">
        <v>9154</v>
      </c>
      <c r="I1640" s="1" t="s">
        <v>9269</v>
      </c>
      <c r="J1640" s="2" t="s">
        <v>9036</v>
      </c>
      <c r="K1640" s="1" t="s">
        <v>9036</v>
      </c>
      <c r="L1640" s="1" t="s">
        <v>8987</v>
      </c>
      <c r="M1640" s="1">
        <v>209</v>
      </c>
      <c r="N1640" s="1" t="s">
        <v>9059</v>
      </c>
      <c r="O1640" s="1" t="s">
        <v>8989</v>
      </c>
      <c r="P1640" s="1" t="s">
        <v>8955</v>
      </c>
      <c r="Q1640" s="1" t="s">
        <v>8956</v>
      </c>
      <c r="R1640" s="1" t="s">
        <v>8958</v>
      </c>
      <c r="S1640" s="1" t="s">
        <v>5514</v>
      </c>
      <c r="T1640" s="1" t="s">
        <v>11</v>
      </c>
      <c r="U1640" s="1" t="s">
        <v>110</v>
      </c>
    </row>
    <row r="1641" spans="1:21" x14ac:dyDescent="0.2">
      <c r="A1641" s="88" t="s">
        <v>17294</v>
      </c>
      <c r="B1641" s="88" t="e">
        <f>VLOOKUP(C1641,#REF!,1,0)</f>
        <v>#REF!</v>
      </c>
      <c r="C1641" s="1" t="s">
        <v>5515</v>
      </c>
      <c r="D1641" s="1" t="s">
        <v>5516</v>
      </c>
      <c r="E1641" s="1" t="s">
        <v>9333</v>
      </c>
      <c r="F1641" s="1" t="s">
        <v>8957</v>
      </c>
      <c r="G1641" t="s">
        <v>9183</v>
      </c>
      <c r="H1641" s="1" t="s">
        <v>9100</v>
      </c>
      <c r="I1641" s="1" t="s">
        <v>8998</v>
      </c>
      <c r="J1641" s="2" t="s">
        <v>10492</v>
      </c>
      <c r="K1641" s="1" t="s">
        <v>10492</v>
      </c>
      <c r="L1641" s="1" t="s">
        <v>9157</v>
      </c>
      <c r="M1641" s="1">
        <v>324</v>
      </c>
      <c r="N1641" s="1" t="s">
        <v>9059</v>
      </c>
      <c r="O1641" s="1" t="s">
        <v>8954</v>
      </c>
      <c r="P1641" s="1" t="s">
        <v>8955</v>
      </c>
      <c r="Q1641" s="1" t="s">
        <v>8956</v>
      </c>
      <c r="R1641" s="1" t="s">
        <v>8975</v>
      </c>
      <c r="S1641" s="1" t="s">
        <v>19712</v>
      </c>
      <c r="T1641" s="1" t="s">
        <v>7</v>
      </c>
      <c r="U1641" s="1" t="s">
        <v>544</v>
      </c>
    </row>
    <row r="1642" spans="1:21" x14ac:dyDescent="0.2">
      <c r="A1642" s="88" t="s">
        <v>17297</v>
      </c>
      <c r="B1642" s="88" t="e">
        <f>VLOOKUP(C1642,#REF!,1,0)</f>
        <v>#REF!</v>
      </c>
      <c r="C1642" s="1" t="s">
        <v>5526</v>
      </c>
      <c r="D1642" s="1" t="s">
        <v>5527</v>
      </c>
      <c r="E1642" s="1" t="s">
        <v>9333</v>
      </c>
      <c r="F1642" s="1" t="s">
        <v>8959</v>
      </c>
      <c r="G1642" t="s">
        <v>9183</v>
      </c>
      <c r="H1642" s="1" t="s">
        <v>8948</v>
      </c>
      <c r="I1642" s="1" t="s">
        <v>9308</v>
      </c>
      <c r="J1642" s="2" t="s">
        <v>9036</v>
      </c>
      <c r="K1642" s="1" t="s">
        <v>9036</v>
      </c>
      <c r="L1642" s="1" t="s">
        <v>8951</v>
      </c>
      <c r="M1642" s="1">
        <v>219</v>
      </c>
      <c r="N1642" s="1" t="s">
        <v>8953</v>
      </c>
      <c r="O1642" s="1" t="s">
        <v>8954</v>
      </c>
      <c r="P1642" s="1" t="s">
        <v>8955</v>
      </c>
      <c r="Q1642" s="1" t="s">
        <v>8956</v>
      </c>
      <c r="R1642" s="1" t="s">
        <v>8958</v>
      </c>
      <c r="S1642" s="1" t="s">
        <v>5528</v>
      </c>
      <c r="T1642" s="1" t="s">
        <v>17</v>
      </c>
      <c r="U1642" s="1" t="s">
        <v>4316</v>
      </c>
    </row>
    <row r="1643" spans="1:21" x14ac:dyDescent="0.2">
      <c r="A1643" s="88" t="s">
        <v>17298</v>
      </c>
      <c r="B1643" s="88" t="e">
        <f>VLOOKUP(C1643,#REF!,1,0)</f>
        <v>#REF!</v>
      </c>
      <c r="C1643" s="1" t="s">
        <v>5529</v>
      </c>
      <c r="D1643" s="1" t="s">
        <v>5530</v>
      </c>
      <c r="E1643" s="1" t="s">
        <v>9333</v>
      </c>
      <c r="F1643" s="1" t="s">
        <v>8957</v>
      </c>
      <c r="G1643" t="s">
        <v>8959</v>
      </c>
      <c r="H1643" s="1" t="s">
        <v>9605</v>
      </c>
      <c r="I1643" s="1" t="s">
        <v>9101</v>
      </c>
      <c r="J1643" s="2" t="s">
        <v>10525</v>
      </c>
      <c r="K1643" s="1" t="s">
        <v>21650</v>
      </c>
      <c r="L1643" s="1" t="s">
        <v>9292</v>
      </c>
      <c r="M1643" s="1">
        <v>2128</v>
      </c>
      <c r="N1643" s="1" t="s">
        <v>8953</v>
      </c>
      <c r="O1643" s="1" t="s">
        <v>8989</v>
      </c>
      <c r="P1643" s="1" t="s">
        <v>8955</v>
      </c>
      <c r="Q1643" s="1" t="s">
        <v>8956</v>
      </c>
      <c r="R1643" s="1" t="s">
        <v>8958</v>
      </c>
      <c r="S1643" s="1" t="s">
        <v>19715</v>
      </c>
      <c r="T1643" s="1" t="s">
        <v>17</v>
      </c>
      <c r="U1643" s="1" t="s">
        <v>110</v>
      </c>
    </row>
    <row r="1644" spans="1:21" x14ac:dyDescent="0.2">
      <c r="A1644" s="88" t="s">
        <v>17299</v>
      </c>
      <c r="B1644" s="88" t="e">
        <f>VLOOKUP(C1644,#REF!,1,0)</f>
        <v>#REF!</v>
      </c>
      <c r="C1644" s="1" t="s">
        <v>5531</v>
      </c>
      <c r="D1644" s="1" t="s">
        <v>5532</v>
      </c>
      <c r="E1644" s="1" t="s">
        <v>9317</v>
      </c>
      <c r="F1644" s="1" t="s">
        <v>8957</v>
      </c>
      <c r="G1644" t="s">
        <v>9061</v>
      </c>
      <c r="H1644" s="1" t="s">
        <v>9100</v>
      </c>
      <c r="I1644" s="1" t="s">
        <v>8959</v>
      </c>
      <c r="J1644" s="2" t="s">
        <v>18497</v>
      </c>
      <c r="K1644" s="1" t="s">
        <v>18497</v>
      </c>
      <c r="L1644" s="1" t="s">
        <v>8951</v>
      </c>
      <c r="M1644" s="1">
        <v>42</v>
      </c>
      <c r="N1644" s="1" t="s">
        <v>20919</v>
      </c>
      <c r="O1644" s="1" t="s">
        <v>8989</v>
      </c>
      <c r="P1644" s="1" t="s">
        <v>8955</v>
      </c>
      <c r="Q1644" s="1" t="s">
        <v>8956</v>
      </c>
      <c r="R1644" s="1" t="s">
        <v>8975</v>
      </c>
      <c r="S1644" s="1" t="s">
        <v>19716</v>
      </c>
      <c r="T1644" s="1" t="s">
        <v>7</v>
      </c>
      <c r="U1644" s="1" t="s">
        <v>24</v>
      </c>
    </row>
    <row r="1645" spans="1:21" x14ac:dyDescent="0.2">
      <c r="A1645" s="88" t="s">
        <v>17300</v>
      </c>
      <c r="B1645" s="88" t="e">
        <f>VLOOKUP(C1645,#REF!,1,0)</f>
        <v>#REF!</v>
      </c>
      <c r="C1645" s="1" t="s">
        <v>5533</v>
      </c>
      <c r="D1645" s="1" t="s">
        <v>5534</v>
      </c>
      <c r="E1645" s="1" t="s">
        <v>9333</v>
      </c>
      <c r="F1645" s="1" t="s">
        <v>8959</v>
      </c>
      <c r="G1645" t="s">
        <v>8959</v>
      </c>
      <c r="H1645" s="1" t="s">
        <v>9035</v>
      </c>
      <c r="I1645" s="1" t="s">
        <v>8959</v>
      </c>
      <c r="J1645" s="2" t="s">
        <v>21377</v>
      </c>
      <c r="K1645" s="1" t="s">
        <v>21377</v>
      </c>
      <c r="L1645" s="1" t="s">
        <v>21606</v>
      </c>
      <c r="M1645" s="1">
        <v>1890</v>
      </c>
      <c r="N1645" s="1" t="s">
        <v>8953</v>
      </c>
      <c r="O1645" s="1" t="s">
        <v>8989</v>
      </c>
      <c r="P1645" s="1" t="s">
        <v>8955</v>
      </c>
      <c r="Q1645" s="1" t="s">
        <v>8956</v>
      </c>
      <c r="R1645" s="1" t="s">
        <v>9103</v>
      </c>
      <c r="S1645" s="1" t="s">
        <v>19717</v>
      </c>
      <c r="T1645" s="1" t="s">
        <v>7</v>
      </c>
      <c r="U1645" s="1" t="s">
        <v>46</v>
      </c>
    </row>
    <row r="1646" spans="1:21" x14ac:dyDescent="0.2">
      <c r="A1646" s="88" t="s">
        <v>17301</v>
      </c>
      <c r="B1646" s="88" t="e">
        <f>VLOOKUP(C1646,#REF!,1,0)</f>
        <v>#REF!</v>
      </c>
      <c r="C1646" s="1" t="s">
        <v>5538</v>
      </c>
      <c r="D1646" s="1" t="s">
        <v>5539</v>
      </c>
      <c r="E1646" s="1" t="s">
        <v>9380</v>
      </c>
      <c r="F1646" s="1" t="s">
        <v>9060</v>
      </c>
      <c r="G1646" t="s">
        <v>9009</v>
      </c>
      <c r="H1646" s="1" t="s">
        <v>9100</v>
      </c>
      <c r="I1646" s="1" t="s">
        <v>8949</v>
      </c>
      <c r="J1646" s="2" t="e">
        <v>#N/A</v>
      </c>
      <c r="K1646" s="1" t="e">
        <v>#N/A</v>
      </c>
      <c r="L1646" s="1" t="s">
        <v>21600</v>
      </c>
      <c r="M1646" s="1">
        <v>452</v>
      </c>
      <c r="N1646" s="1" t="s">
        <v>8953</v>
      </c>
      <c r="O1646" s="1" t="s">
        <v>8954</v>
      </c>
      <c r="P1646" s="1" t="s">
        <v>8955</v>
      </c>
      <c r="Q1646" s="1" t="s">
        <v>8956</v>
      </c>
      <c r="R1646" s="1" t="s">
        <v>8975</v>
      </c>
      <c r="S1646" s="1" t="s">
        <v>19719</v>
      </c>
      <c r="T1646" s="1" t="s">
        <v>17</v>
      </c>
      <c r="U1646" s="1" t="s">
        <v>392</v>
      </c>
    </row>
    <row r="1647" spans="1:21" x14ac:dyDescent="0.2">
      <c r="A1647" s="88" t="s">
        <v>17302</v>
      </c>
      <c r="B1647" s="88" t="e">
        <f>VLOOKUP(C1647,#REF!,1,0)</f>
        <v>#REF!</v>
      </c>
      <c r="C1647" s="1" t="s">
        <v>5540</v>
      </c>
      <c r="D1647" s="1" t="s">
        <v>5541</v>
      </c>
      <c r="E1647" s="1" t="s">
        <v>9333</v>
      </c>
      <c r="F1647" s="1" t="s">
        <v>8957</v>
      </c>
      <c r="G1647" t="s">
        <v>9061</v>
      </c>
      <c r="H1647" s="1" t="s">
        <v>8948</v>
      </c>
      <c r="I1647" s="1" t="s">
        <v>8949</v>
      </c>
      <c r="J1647" s="2" t="s">
        <v>9355</v>
      </c>
      <c r="K1647" s="1" t="s">
        <v>9355</v>
      </c>
      <c r="L1647" s="1" t="s">
        <v>8987</v>
      </c>
      <c r="M1647" s="1">
        <v>78</v>
      </c>
      <c r="N1647" s="1" t="s">
        <v>9059</v>
      </c>
      <c r="O1647" s="1" t="s">
        <v>8989</v>
      </c>
      <c r="P1647" s="1" t="s">
        <v>8955</v>
      </c>
      <c r="Q1647" s="1" t="s">
        <v>8956</v>
      </c>
      <c r="R1647" s="1" t="s">
        <v>8975</v>
      </c>
      <c r="S1647" s="1" t="s">
        <v>5542</v>
      </c>
      <c r="T1647" s="1" t="s">
        <v>11</v>
      </c>
      <c r="U1647" s="1" t="s">
        <v>2172</v>
      </c>
    </row>
    <row r="1648" spans="1:21" x14ac:dyDescent="0.2">
      <c r="A1648" s="88" t="s">
        <v>17303</v>
      </c>
      <c r="B1648" s="88" t="e">
        <f>VLOOKUP(C1648,#REF!,1,0)</f>
        <v>#REF!</v>
      </c>
      <c r="C1648" s="1" t="s">
        <v>5543</v>
      </c>
      <c r="D1648" s="1" t="s">
        <v>5544</v>
      </c>
      <c r="E1648" s="1" t="s">
        <v>9333</v>
      </c>
      <c r="F1648" s="1" t="s">
        <v>8957</v>
      </c>
      <c r="G1648" t="s">
        <v>9061</v>
      </c>
      <c r="H1648" s="1" t="s">
        <v>8948</v>
      </c>
      <c r="I1648" s="1" t="s">
        <v>8949</v>
      </c>
      <c r="J1648" s="2" t="s">
        <v>9355</v>
      </c>
      <c r="K1648" s="1" t="s">
        <v>21646</v>
      </c>
      <c r="L1648" s="1" t="s">
        <v>9133</v>
      </c>
      <c r="M1648" s="1">
        <v>3000</v>
      </c>
      <c r="N1648" s="1" t="s">
        <v>8953</v>
      </c>
      <c r="O1648" s="1" t="s">
        <v>8989</v>
      </c>
      <c r="P1648" s="1" t="s">
        <v>8955</v>
      </c>
      <c r="Q1648" s="1" t="s">
        <v>8956</v>
      </c>
      <c r="R1648" s="1" t="s">
        <v>8975</v>
      </c>
      <c r="S1648" s="1" t="s">
        <v>5545</v>
      </c>
      <c r="T1648" s="1" t="s">
        <v>7</v>
      </c>
      <c r="U1648" s="1" t="s">
        <v>3658</v>
      </c>
    </row>
    <row r="1649" spans="1:21" x14ac:dyDescent="0.2">
      <c r="A1649" s="88" t="s">
        <v>17304</v>
      </c>
      <c r="B1649" s="88" t="e">
        <f>VLOOKUP(C1649,#REF!,1,0)</f>
        <v>#REF!</v>
      </c>
      <c r="C1649" s="1" t="s">
        <v>5546</v>
      </c>
      <c r="D1649" s="1" t="s">
        <v>5547</v>
      </c>
      <c r="E1649" s="1" t="s">
        <v>9333</v>
      </c>
      <c r="F1649" s="1" t="s">
        <v>8957</v>
      </c>
      <c r="G1649" t="s">
        <v>9061</v>
      </c>
      <c r="H1649" s="1" t="s">
        <v>8948</v>
      </c>
      <c r="I1649" s="1" t="s">
        <v>8998</v>
      </c>
      <c r="J1649" s="2" t="s">
        <v>8972</v>
      </c>
      <c r="K1649" s="1" t="s">
        <v>21768</v>
      </c>
      <c r="L1649" s="1" t="s">
        <v>9464</v>
      </c>
      <c r="M1649" s="1">
        <v>3600</v>
      </c>
      <c r="N1649" s="1" t="s">
        <v>8953</v>
      </c>
      <c r="O1649" s="1" t="s">
        <v>8954</v>
      </c>
      <c r="P1649" s="1" t="s">
        <v>8955</v>
      </c>
      <c r="Q1649" s="1" t="s">
        <v>8956</v>
      </c>
      <c r="R1649" s="1" t="s">
        <v>8958</v>
      </c>
      <c r="S1649" s="1" t="s">
        <v>5548</v>
      </c>
      <c r="T1649" s="1" t="s">
        <v>17</v>
      </c>
      <c r="U1649" s="1" t="s">
        <v>93</v>
      </c>
    </row>
    <row r="1650" spans="1:21" x14ac:dyDescent="0.2">
      <c r="A1650" s="88" t="s">
        <v>17305</v>
      </c>
      <c r="B1650" s="88" t="e">
        <f>VLOOKUP(C1650,#REF!,1,0)</f>
        <v>#REF!</v>
      </c>
      <c r="C1650" s="1" t="s">
        <v>5549</v>
      </c>
      <c r="D1650" s="1" t="s">
        <v>5550</v>
      </c>
      <c r="E1650" s="1" t="s">
        <v>10873</v>
      </c>
      <c r="F1650" s="1" t="s">
        <v>8957</v>
      </c>
      <c r="G1650" t="s">
        <v>8959</v>
      </c>
      <c r="H1650" s="1" t="s">
        <v>9049</v>
      </c>
      <c r="I1650" s="1" t="s">
        <v>9422</v>
      </c>
      <c r="J1650" s="2" t="s">
        <v>9599</v>
      </c>
      <c r="K1650" s="1" t="s">
        <v>9599</v>
      </c>
      <c r="L1650" s="1" t="s">
        <v>8987</v>
      </c>
      <c r="M1650" s="1">
        <v>25</v>
      </c>
      <c r="N1650" s="1" t="s">
        <v>8953</v>
      </c>
      <c r="O1650" s="1" t="s">
        <v>8989</v>
      </c>
      <c r="P1650" s="1" t="s">
        <v>8955</v>
      </c>
      <c r="Q1650" s="1" t="s">
        <v>8956</v>
      </c>
      <c r="R1650" s="1" t="s">
        <v>8958</v>
      </c>
      <c r="S1650" s="1" t="s">
        <v>5551</v>
      </c>
      <c r="T1650" s="1" t="s">
        <v>4</v>
      </c>
      <c r="U1650" s="1" t="s">
        <v>210</v>
      </c>
    </row>
    <row r="1651" spans="1:21" x14ac:dyDescent="0.2">
      <c r="A1651" s="88" t="s">
        <v>17307</v>
      </c>
      <c r="B1651" s="88" t="e">
        <f>VLOOKUP(C1651,#REF!,1,0)</f>
        <v>#REF!</v>
      </c>
      <c r="C1651" s="1" t="s">
        <v>5555</v>
      </c>
      <c r="D1651" s="1" t="s">
        <v>5556</v>
      </c>
      <c r="E1651" s="1" t="s">
        <v>9246</v>
      </c>
      <c r="F1651" s="1" t="s">
        <v>9060</v>
      </c>
      <c r="G1651" t="s">
        <v>9061</v>
      </c>
      <c r="H1651" s="1" t="s">
        <v>20712</v>
      </c>
      <c r="I1651" s="1" t="s">
        <v>9155</v>
      </c>
      <c r="J1651" s="2" t="s">
        <v>18497</v>
      </c>
      <c r="K1651" s="1" t="s">
        <v>21658</v>
      </c>
      <c r="L1651" s="1" t="s">
        <v>8951</v>
      </c>
      <c r="M1651" s="1">
        <v>1133</v>
      </c>
      <c r="N1651" s="1" t="s">
        <v>8953</v>
      </c>
      <c r="O1651" s="1" t="s">
        <v>8954</v>
      </c>
      <c r="P1651" s="1" t="s">
        <v>8955</v>
      </c>
      <c r="Q1651" s="1" t="s">
        <v>8956</v>
      </c>
      <c r="R1651" s="1" t="s">
        <v>8975</v>
      </c>
      <c r="S1651" s="1" t="s">
        <v>19721</v>
      </c>
      <c r="T1651" s="1" t="s">
        <v>7</v>
      </c>
      <c r="U1651" s="1" t="s">
        <v>61</v>
      </c>
    </row>
    <row r="1652" spans="1:21" x14ac:dyDescent="0.2">
      <c r="A1652" s="88" t="s">
        <v>17308</v>
      </c>
      <c r="B1652" s="88" t="e">
        <f>VLOOKUP(C1652,#REF!,1,0)</f>
        <v>#REF!</v>
      </c>
      <c r="C1652" s="1" t="s">
        <v>5557</v>
      </c>
      <c r="D1652" s="1" t="s">
        <v>5558</v>
      </c>
      <c r="E1652" s="1" t="s">
        <v>9010</v>
      </c>
      <c r="F1652" s="1" t="s">
        <v>8974</v>
      </c>
      <c r="G1652" t="s">
        <v>9061</v>
      </c>
      <c r="H1652" s="1" t="s">
        <v>9092</v>
      </c>
      <c r="I1652" s="1" t="s">
        <v>8949</v>
      </c>
      <c r="J1652" s="2" t="s">
        <v>8972</v>
      </c>
      <c r="K1652" s="1" t="s">
        <v>8972</v>
      </c>
      <c r="L1652" s="1" t="s">
        <v>21600</v>
      </c>
      <c r="M1652" s="1">
        <v>638</v>
      </c>
      <c r="N1652" s="1" t="s">
        <v>8953</v>
      </c>
      <c r="O1652" s="1" t="s">
        <v>8954</v>
      </c>
      <c r="P1652" s="1" t="s">
        <v>8955</v>
      </c>
      <c r="Q1652" s="1" t="s">
        <v>8956</v>
      </c>
      <c r="R1652" s="1" t="s">
        <v>9103</v>
      </c>
      <c r="S1652" s="1" t="s">
        <v>5559</v>
      </c>
      <c r="T1652" s="1" t="s">
        <v>11</v>
      </c>
      <c r="U1652" s="1" t="s">
        <v>180</v>
      </c>
    </row>
    <row r="1653" spans="1:21" x14ac:dyDescent="0.2">
      <c r="A1653" s="88" t="s">
        <v>17309</v>
      </c>
      <c r="B1653" s="88" t="e">
        <f>VLOOKUP(C1653,#REF!,1,0)</f>
        <v>#REF!</v>
      </c>
      <c r="C1653" s="1" t="s">
        <v>5560</v>
      </c>
      <c r="D1653" s="1" t="s">
        <v>5561</v>
      </c>
      <c r="E1653" s="1" t="s">
        <v>9636</v>
      </c>
      <c r="F1653" s="1" t="s">
        <v>8974</v>
      </c>
      <c r="G1653" t="s">
        <v>8959</v>
      </c>
      <c r="H1653" s="1" t="s">
        <v>8984</v>
      </c>
      <c r="I1653" s="1" t="s">
        <v>8998</v>
      </c>
      <c r="J1653" s="2" t="s">
        <v>21443</v>
      </c>
      <c r="K1653" s="1" t="s">
        <v>21443</v>
      </c>
      <c r="L1653" s="1" t="s">
        <v>21600</v>
      </c>
      <c r="M1653" s="1">
        <v>22</v>
      </c>
      <c r="N1653" s="1" t="s">
        <v>9059</v>
      </c>
      <c r="O1653" s="1" t="s">
        <v>8989</v>
      </c>
      <c r="P1653" s="1" t="s">
        <v>8955</v>
      </c>
      <c r="Q1653" s="1" t="s">
        <v>8956</v>
      </c>
      <c r="R1653" s="1" t="s">
        <v>8958</v>
      </c>
      <c r="S1653" s="1" t="s">
        <v>19722</v>
      </c>
      <c r="T1653" s="1" t="s">
        <v>17</v>
      </c>
      <c r="U1653" s="1" t="s">
        <v>61</v>
      </c>
    </row>
    <row r="1654" spans="1:21" x14ac:dyDescent="0.2">
      <c r="A1654" s="88" t="s">
        <v>17310</v>
      </c>
      <c r="B1654" s="88" t="e">
        <f>VLOOKUP(C1654,#REF!,1,0)</f>
        <v>#REF!</v>
      </c>
      <c r="C1654" s="1" t="s">
        <v>5562</v>
      </c>
      <c r="D1654" s="1" t="s">
        <v>5563</v>
      </c>
      <c r="E1654" s="1" t="s">
        <v>10008</v>
      </c>
      <c r="F1654" s="1" t="s">
        <v>8957</v>
      </c>
      <c r="G1654" t="s">
        <v>8959</v>
      </c>
      <c r="H1654" s="1" t="s">
        <v>9075</v>
      </c>
      <c r="I1654" s="1" t="s">
        <v>8998</v>
      </c>
      <c r="J1654" s="2" t="s">
        <v>20917</v>
      </c>
      <c r="K1654" s="1" t="s">
        <v>21711</v>
      </c>
      <c r="L1654" s="1" t="s">
        <v>8987</v>
      </c>
      <c r="M1654" s="1">
        <v>908</v>
      </c>
      <c r="N1654" s="1" t="s">
        <v>8953</v>
      </c>
      <c r="O1654" s="1" t="s">
        <v>8989</v>
      </c>
      <c r="P1654" s="1" t="s">
        <v>8955</v>
      </c>
      <c r="Q1654" s="1" t="s">
        <v>8956</v>
      </c>
      <c r="R1654" s="1" t="s">
        <v>8958</v>
      </c>
      <c r="S1654" s="1" t="s">
        <v>20658</v>
      </c>
      <c r="T1654" s="1" t="s">
        <v>7</v>
      </c>
      <c r="U1654" s="1" t="s">
        <v>5564</v>
      </c>
    </row>
    <row r="1655" spans="1:21" x14ac:dyDescent="0.2">
      <c r="A1655" s="88" t="s">
        <v>17312</v>
      </c>
      <c r="B1655" s="88" t="e">
        <f>VLOOKUP(C1655,#REF!,1,0)</f>
        <v>#REF!</v>
      </c>
      <c r="C1655" s="1" t="s">
        <v>5568</v>
      </c>
      <c r="D1655" s="1" t="s">
        <v>5569</v>
      </c>
      <c r="E1655" s="1" t="s">
        <v>9010</v>
      </c>
      <c r="F1655" s="1" t="s">
        <v>8957</v>
      </c>
      <c r="G1655" t="s">
        <v>9061</v>
      </c>
      <c r="H1655" s="1" t="s">
        <v>9605</v>
      </c>
      <c r="I1655" s="1" t="s">
        <v>9121</v>
      </c>
      <c r="J1655" s="2" t="s">
        <v>9036</v>
      </c>
      <c r="K1655" s="1" t="s">
        <v>9036</v>
      </c>
      <c r="L1655" s="1" t="s">
        <v>9292</v>
      </c>
      <c r="M1655" s="1">
        <v>558</v>
      </c>
      <c r="N1655" s="1" t="s">
        <v>8953</v>
      </c>
      <c r="O1655" s="1" t="s">
        <v>8954</v>
      </c>
      <c r="P1655" s="1" t="s">
        <v>8955</v>
      </c>
      <c r="Q1655" s="1" t="s">
        <v>8956</v>
      </c>
      <c r="R1655" s="1" t="s">
        <v>8958</v>
      </c>
      <c r="S1655" s="1" t="s">
        <v>5570</v>
      </c>
      <c r="T1655" s="1" t="s">
        <v>17</v>
      </c>
      <c r="U1655" s="1" t="s">
        <v>93</v>
      </c>
    </row>
    <row r="1656" spans="1:21" x14ac:dyDescent="0.2">
      <c r="A1656" s="88" t="s">
        <v>17313</v>
      </c>
      <c r="B1656" s="88" t="e">
        <f>VLOOKUP(C1656,#REF!,1,0)</f>
        <v>#REF!</v>
      </c>
      <c r="C1656" s="1" t="s">
        <v>5571</v>
      </c>
      <c r="D1656" s="1" t="s">
        <v>5572</v>
      </c>
      <c r="E1656" s="1" t="s">
        <v>9387</v>
      </c>
      <c r="F1656" s="1" t="s">
        <v>8957</v>
      </c>
      <c r="G1656" t="s">
        <v>8959</v>
      </c>
      <c r="H1656" s="1" t="s">
        <v>9075</v>
      </c>
      <c r="I1656" s="1" t="s">
        <v>9101</v>
      </c>
      <c r="J1656" s="2" t="s">
        <v>18491</v>
      </c>
      <c r="K1656" s="1" t="s">
        <v>18491</v>
      </c>
      <c r="L1656" s="1" t="s">
        <v>9076</v>
      </c>
      <c r="M1656" s="1">
        <v>18</v>
      </c>
      <c r="N1656" s="1" t="s">
        <v>9059</v>
      </c>
      <c r="O1656" s="1" t="s">
        <v>8989</v>
      </c>
      <c r="P1656" s="1" t="s">
        <v>8955</v>
      </c>
      <c r="Q1656" s="1" t="s">
        <v>8956</v>
      </c>
      <c r="R1656" s="1" t="s">
        <v>8975</v>
      </c>
      <c r="S1656" s="1" t="s">
        <v>19724</v>
      </c>
      <c r="T1656" s="1" t="s">
        <v>7</v>
      </c>
      <c r="U1656" s="1" t="s">
        <v>2121</v>
      </c>
    </row>
    <row r="1657" spans="1:21" x14ac:dyDescent="0.2">
      <c r="A1657" s="88" t="s">
        <v>17315</v>
      </c>
      <c r="B1657" s="88" t="e">
        <f>VLOOKUP(C1657,#REF!,1,0)</f>
        <v>#REF!</v>
      </c>
      <c r="C1657" s="1" t="s">
        <v>5576</v>
      </c>
      <c r="D1657" s="1" t="s">
        <v>5577</v>
      </c>
      <c r="E1657" s="1" t="s">
        <v>9176</v>
      </c>
      <c r="F1657" s="1" t="s">
        <v>8959</v>
      </c>
      <c r="G1657" t="s">
        <v>9061</v>
      </c>
      <c r="H1657" s="1" t="s">
        <v>9605</v>
      </c>
      <c r="I1657" s="1" t="s">
        <v>8998</v>
      </c>
      <c r="J1657" s="2" t="s">
        <v>9036</v>
      </c>
      <c r="K1657" s="1" t="s">
        <v>9036</v>
      </c>
      <c r="L1657" s="1" t="s">
        <v>8987</v>
      </c>
      <c r="M1657" s="1">
        <v>15957</v>
      </c>
      <c r="N1657" s="1" t="s">
        <v>8953</v>
      </c>
      <c r="O1657" s="1" t="s">
        <v>8989</v>
      </c>
      <c r="P1657" s="1" t="s">
        <v>8955</v>
      </c>
      <c r="Q1657" s="1" t="s">
        <v>8956</v>
      </c>
      <c r="R1657" s="1" t="s">
        <v>8958</v>
      </c>
      <c r="S1657" s="1" t="s">
        <v>5578</v>
      </c>
      <c r="T1657" s="1" t="s">
        <v>4</v>
      </c>
      <c r="U1657" s="1" t="s">
        <v>24</v>
      </c>
    </row>
    <row r="1658" spans="1:21" x14ac:dyDescent="0.2">
      <c r="A1658" s="88" t="s">
        <v>17316</v>
      </c>
      <c r="B1658" s="88" t="e">
        <f>VLOOKUP(C1658,#REF!,1,0)</f>
        <v>#REF!</v>
      </c>
      <c r="C1658" s="1" t="s">
        <v>5579</v>
      </c>
      <c r="D1658" s="1" t="s">
        <v>5580</v>
      </c>
      <c r="E1658" s="1" t="s">
        <v>18502</v>
      </c>
      <c r="F1658" s="1" t="s">
        <v>9060</v>
      </c>
      <c r="G1658" t="s">
        <v>8959</v>
      </c>
      <c r="H1658" s="1" t="s">
        <v>9075</v>
      </c>
      <c r="I1658" s="1" t="s">
        <v>8998</v>
      </c>
      <c r="J1658" s="2" t="s">
        <v>9036</v>
      </c>
      <c r="K1658" s="1" t="s">
        <v>9036</v>
      </c>
      <c r="L1658" s="1" t="s">
        <v>8987</v>
      </c>
      <c r="M1658" s="1">
        <v>143</v>
      </c>
      <c r="N1658" s="1" t="s">
        <v>9059</v>
      </c>
      <c r="O1658" s="1" t="s">
        <v>8989</v>
      </c>
      <c r="P1658" s="1" t="s">
        <v>8955</v>
      </c>
      <c r="Q1658" s="1" t="s">
        <v>8956</v>
      </c>
      <c r="R1658" s="1" t="s">
        <v>8975</v>
      </c>
      <c r="S1658" s="1" t="s">
        <v>19725</v>
      </c>
      <c r="T1658" s="1" t="s">
        <v>7</v>
      </c>
      <c r="U1658" s="1" t="s">
        <v>670</v>
      </c>
    </row>
    <row r="1659" spans="1:21" x14ac:dyDescent="0.2">
      <c r="A1659" s="88" t="s">
        <v>17317</v>
      </c>
      <c r="B1659" s="88" t="e">
        <f>VLOOKUP(C1659,#REF!,1,0)</f>
        <v>#REF!</v>
      </c>
      <c r="C1659" s="1" t="s">
        <v>5581</v>
      </c>
      <c r="D1659" s="1" t="s">
        <v>5582</v>
      </c>
      <c r="E1659" s="1" t="s">
        <v>9333</v>
      </c>
      <c r="F1659" s="1" t="s">
        <v>8957</v>
      </c>
      <c r="G1659" t="s">
        <v>8959</v>
      </c>
      <c r="H1659" s="1" t="s">
        <v>8984</v>
      </c>
      <c r="I1659" s="1" t="s">
        <v>8998</v>
      </c>
      <c r="J1659" s="2" t="s">
        <v>10492</v>
      </c>
      <c r="K1659" s="1" t="s">
        <v>10492</v>
      </c>
      <c r="L1659" s="1" t="s">
        <v>21600</v>
      </c>
      <c r="M1659" s="1">
        <v>300000</v>
      </c>
      <c r="N1659" s="1" t="s">
        <v>20915</v>
      </c>
      <c r="O1659" s="1" t="s">
        <v>8989</v>
      </c>
      <c r="P1659" s="1" t="s">
        <v>8955</v>
      </c>
      <c r="Q1659" s="1" t="s">
        <v>8956</v>
      </c>
      <c r="R1659" s="1" t="s">
        <v>8958</v>
      </c>
      <c r="S1659" s="1" t="s">
        <v>19726</v>
      </c>
      <c r="T1659" s="1" t="s">
        <v>17</v>
      </c>
      <c r="U1659" s="1" t="s">
        <v>64</v>
      </c>
    </row>
    <row r="1660" spans="1:21" x14ac:dyDescent="0.2">
      <c r="A1660" s="88" t="s">
        <v>17318</v>
      </c>
      <c r="B1660" s="88" t="e">
        <f>VLOOKUP(C1660,#REF!,1,0)</f>
        <v>#REF!</v>
      </c>
      <c r="C1660" s="1" t="s">
        <v>5583</v>
      </c>
      <c r="D1660" s="1" t="s">
        <v>5584</v>
      </c>
      <c r="E1660" s="1" t="s">
        <v>9213</v>
      </c>
      <c r="F1660" s="1" t="s">
        <v>8957</v>
      </c>
      <c r="G1660" t="s">
        <v>8959</v>
      </c>
      <c r="H1660" s="1" t="s">
        <v>9100</v>
      </c>
      <c r="I1660" s="1" t="s">
        <v>8949</v>
      </c>
      <c r="J1660" s="2" t="s">
        <v>20890</v>
      </c>
      <c r="K1660" s="1" t="s">
        <v>21712</v>
      </c>
      <c r="L1660" s="1" t="s">
        <v>8987</v>
      </c>
      <c r="M1660" s="1">
        <v>144</v>
      </c>
      <c r="N1660" s="1" t="s">
        <v>9059</v>
      </c>
      <c r="O1660" s="1" t="s">
        <v>8989</v>
      </c>
      <c r="P1660" s="1" t="s">
        <v>8955</v>
      </c>
      <c r="Q1660" s="1" t="s">
        <v>8956</v>
      </c>
      <c r="R1660" s="1" t="s">
        <v>8958</v>
      </c>
      <c r="S1660" s="1" t="s">
        <v>19727</v>
      </c>
      <c r="T1660" s="1" t="s">
        <v>17</v>
      </c>
      <c r="U1660" s="1" t="s">
        <v>5585</v>
      </c>
    </row>
    <row r="1661" spans="1:21" x14ac:dyDescent="0.2">
      <c r="A1661" s="88" t="s">
        <v>17319</v>
      </c>
      <c r="B1661" s="88" t="e">
        <f>VLOOKUP(C1661,#REF!,1,0)</f>
        <v>#REF!</v>
      </c>
      <c r="C1661" s="1" t="s">
        <v>5586</v>
      </c>
      <c r="D1661" s="1" t="s">
        <v>5587</v>
      </c>
      <c r="E1661" s="1" t="s">
        <v>9213</v>
      </c>
      <c r="F1661" s="1" t="s">
        <v>8957</v>
      </c>
      <c r="G1661" t="s">
        <v>8959</v>
      </c>
      <c r="H1661" s="1" t="s">
        <v>9035</v>
      </c>
      <c r="I1661" s="1" t="s">
        <v>9308</v>
      </c>
      <c r="J1661" s="2" t="s">
        <v>20723</v>
      </c>
      <c r="K1661" s="1" t="s">
        <v>20723</v>
      </c>
      <c r="L1661" s="1" t="s">
        <v>9133</v>
      </c>
      <c r="M1661" s="1">
        <v>385</v>
      </c>
      <c r="N1661" s="1" t="s">
        <v>8953</v>
      </c>
      <c r="O1661" s="1" t="s">
        <v>8954</v>
      </c>
      <c r="P1661" s="1" t="s">
        <v>8955</v>
      </c>
      <c r="Q1661" s="1" t="s">
        <v>8956</v>
      </c>
      <c r="R1661" s="1" t="s">
        <v>9103</v>
      </c>
      <c r="S1661" s="1" t="s">
        <v>19728</v>
      </c>
      <c r="T1661" s="1" t="s">
        <v>7</v>
      </c>
      <c r="U1661" s="1" t="s">
        <v>61</v>
      </c>
    </row>
    <row r="1662" spans="1:21" x14ac:dyDescent="0.2">
      <c r="A1662" s="88" t="s">
        <v>17320</v>
      </c>
      <c r="B1662" s="88" t="e">
        <f>VLOOKUP(C1662,#REF!,1,0)</f>
        <v>#REF!</v>
      </c>
      <c r="C1662" s="1" t="s">
        <v>5588</v>
      </c>
      <c r="D1662" s="1" t="s">
        <v>5589</v>
      </c>
      <c r="E1662" s="1" t="s">
        <v>9333</v>
      </c>
      <c r="F1662" s="1" t="s">
        <v>8959</v>
      </c>
      <c r="G1662" t="s">
        <v>9009</v>
      </c>
      <c r="H1662" s="1" t="s">
        <v>8948</v>
      </c>
      <c r="I1662" s="1" t="s">
        <v>9131</v>
      </c>
      <c r="J1662" s="2" t="s">
        <v>20779</v>
      </c>
      <c r="K1662" s="1" t="s">
        <v>9036</v>
      </c>
      <c r="L1662" s="1" t="s">
        <v>8951</v>
      </c>
      <c r="M1662" s="1">
        <v>23289</v>
      </c>
      <c r="N1662" s="1" t="s">
        <v>8953</v>
      </c>
      <c r="O1662" s="1" t="s">
        <v>8989</v>
      </c>
      <c r="P1662" s="1" t="s">
        <v>8955</v>
      </c>
      <c r="Q1662" s="1" t="s">
        <v>8956</v>
      </c>
      <c r="R1662" s="1" t="s">
        <v>8975</v>
      </c>
      <c r="S1662" s="1" t="s">
        <v>19729</v>
      </c>
      <c r="T1662" s="1" t="s">
        <v>7</v>
      </c>
      <c r="U1662" s="1" t="s">
        <v>1020</v>
      </c>
    </row>
    <row r="1663" spans="1:21" x14ac:dyDescent="0.2">
      <c r="A1663" s="88" t="s">
        <v>17321</v>
      </c>
      <c r="B1663" s="88" t="e">
        <f>VLOOKUP(C1663,#REF!,1,0)</f>
        <v>#REF!</v>
      </c>
      <c r="C1663" s="1" t="s">
        <v>5590</v>
      </c>
      <c r="D1663" s="1" t="s">
        <v>5591</v>
      </c>
      <c r="E1663" s="1" t="s">
        <v>9333</v>
      </c>
      <c r="F1663" s="1" t="s">
        <v>8974</v>
      </c>
      <c r="G1663" t="s">
        <v>9061</v>
      </c>
      <c r="H1663" s="1" t="s">
        <v>9035</v>
      </c>
      <c r="I1663" s="1" t="s">
        <v>8998</v>
      </c>
      <c r="J1663" s="2" t="s">
        <v>20779</v>
      </c>
      <c r="K1663" s="1" t="s">
        <v>9036</v>
      </c>
      <c r="L1663" s="1" t="s">
        <v>8951</v>
      </c>
      <c r="M1663" s="1">
        <v>437</v>
      </c>
      <c r="N1663" s="1" t="s">
        <v>9059</v>
      </c>
      <c r="O1663" s="1" t="s">
        <v>8989</v>
      </c>
      <c r="P1663" s="1" t="s">
        <v>8955</v>
      </c>
      <c r="Q1663" s="1" t="s">
        <v>8956</v>
      </c>
      <c r="R1663" s="1" t="s">
        <v>8975</v>
      </c>
      <c r="S1663" s="1" t="s">
        <v>19730</v>
      </c>
      <c r="T1663" s="1" t="s">
        <v>7</v>
      </c>
      <c r="U1663" s="1" t="s">
        <v>180</v>
      </c>
    </row>
    <row r="1664" spans="1:21" x14ac:dyDescent="0.2">
      <c r="A1664" s="88" t="s">
        <v>17323</v>
      </c>
      <c r="B1664" s="88" t="e">
        <f>VLOOKUP(C1664,#REF!,1,0)</f>
        <v>#REF!</v>
      </c>
      <c r="C1664" s="1" t="s">
        <v>5595</v>
      </c>
      <c r="D1664" s="1" t="s">
        <v>5596</v>
      </c>
      <c r="E1664" s="1" t="s">
        <v>14748</v>
      </c>
      <c r="F1664" s="1" t="s">
        <v>8957</v>
      </c>
      <c r="G1664" t="s">
        <v>8959</v>
      </c>
      <c r="H1664" s="1" t="s">
        <v>9154</v>
      </c>
      <c r="I1664" s="1" t="s">
        <v>8949</v>
      </c>
      <c r="J1664" s="2" t="s">
        <v>10492</v>
      </c>
      <c r="K1664" s="1" t="s">
        <v>10492</v>
      </c>
      <c r="L1664" s="1" t="s">
        <v>21600</v>
      </c>
      <c r="M1664" s="1">
        <v>4000</v>
      </c>
      <c r="N1664" s="1" t="s">
        <v>9059</v>
      </c>
      <c r="O1664" s="1" t="s">
        <v>8954</v>
      </c>
      <c r="P1664" s="1" t="s">
        <v>8955</v>
      </c>
      <c r="Q1664" s="1" t="s">
        <v>8956</v>
      </c>
      <c r="R1664" s="1" t="s">
        <v>8975</v>
      </c>
      <c r="S1664" s="1" t="s">
        <v>19732</v>
      </c>
      <c r="T1664" s="1" t="s">
        <v>7</v>
      </c>
      <c r="U1664" s="1" t="s">
        <v>61</v>
      </c>
    </row>
    <row r="1665" spans="1:21" x14ac:dyDescent="0.2">
      <c r="A1665" s="88" t="s">
        <v>17324</v>
      </c>
      <c r="B1665" s="88" t="e">
        <f>VLOOKUP(C1665,#REF!,1,0)</f>
        <v>#REF!</v>
      </c>
      <c r="C1665" s="1" t="s">
        <v>5597</v>
      </c>
      <c r="D1665" s="1" t="s">
        <v>5598</v>
      </c>
      <c r="E1665" s="1" t="s">
        <v>10873</v>
      </c>
      <c r="F1665" s="1" t="s">
        <v>8957</v>
      </c>
      <c r="G1665" t="s">
        <v>8959</v>
      </c>
      <c r="H1665" s="1" t="s">
        <v>9154</v>
      </c>
      <c r="I1665" s="1" t="s">
        <v>8949</v>
      </c>
      <c r="J1665" s="2" t="s">
        <v>21596</v>
      </c>
      <c r="K1665" s="1" t="s">
        <v>21596</v>
      </c>
      <c r="L1665" s="1" t="s">
        <v>21597</v>
      </c>
      <c r="M1665" s="1">
        <v>3510</v>
      </c>
      <c r="N1665" s="1" t="s">
        <v>8953</v>
      </c>
      <c r="O1665" s="1" t="s">
        <v>8989</v>
      </c>
      <c r="P1665" s="1" t="s">
        <v>8955</v>
      </c>
      <c r="Q1665" s="1" t="s">
        <v>8956</v>
      </c>
      <c r="R1665" s="1" t="s">
        <v>8975</v>
      </c>
      <c r="S1665" s="1" t="s">
        <v>5599</v>
      </c>
      <c r="T1665" s="1" t="s">
        <v>17</v>
      </c>
      <c r="U1665" s="1" t="s">
        <v>126</v>
      </c>
    </row>
    <row r="1666" spans="1:21" x14ac:dyDescent="0.2">
      <c r="A1666" s="88" t="s">
        <v>17325</v>
      </c>
      <c r="B1666" s="88" t="e">
        <f>VLOOKUP(C1666,#REF!,1,0)</f>
        <v>#REF!</v>
      </c>
      <c r="C1666" s="1" t="s">
        <v>5600</v>
      </c>
      <c r="D1666" s="1" t="s">
        <v>5601</v>
      </c>
      <c r="E1666" s="1" t="s">
        <v>10873</v>
      </c>
      <c r="F1666" s="1" t="s">
        <v>8974</v>
      </c>
      <c r="G1666" t="s">
        <v>8959</v>
      </c>
      <c r="H1666" s="1" t="s">
        <v>20712</v>
      </c>
      <c r="I1666" s="1" t="s">
        <v>8998</v>
      </c>
      <c r="J1666" s="2" t="s">
        <v>10492</v>
      </c>
      <c r="K1666" s="1" t="s">
        <v>10492</v>
      </c>
      <c r="L1666" s="1" t="s">
        <v>21600</v>
      </c>
      <c r="M1666" s="1">
        <v>761</v>
      </c>
      <c r="N1666" s="1" t="s">
        <v>8953</v>
      </c>
      <c r="O1666" s="1" t="s">
        <v>8954</v>
      </c>
      <c r="P1666" s="1" t="s">
        <v>8955</v>
      </c>
      <c r="Q1666" s="1" t="s">
        <v>8956</v>
      </c>
      <c r="R1666" s="1" t="s">
        <v>8975</v>
      </c>
      <c r="S1666" s="1" t="s">
        <v>19733</v>
      </c>
      <c r="T1666" s="1" t="s">
        <v>7</v>
      </c>
      <c r="U1666" s="1" t="s">
        <v>1918</v>
      </c>
    </row>
    <row r="1667" spans="1:21" x14ac:dyDescent="0.2">
      <c r="A1667" s="88" t="s">
        <v>17326</v>
      </c>
      <c r="B1667" s="88" t="e">
        <f>VLOOKUP(C1667,#REF!,1,0)</f>
        <v>#REF!</v>
      </c>
      <c r="C1667" s="1" t="s">
        <v>5602</v>
      </c>
      <c r="D1667" s="1" t="s">
        <v>5603</v>
      </c>
      <c r="E1667" s="1" t="s">
        <v>9246</v>
      </c>
      <c r="F1667" s="1" t="s">
        <v>8974</v>
      </c>
      <c r="G1667" t="s">
        <v>9061</v>
      </c>
      <c r="H1667" s="1" t="s">
        <v>8984</v>
      </c>
      <c r="I1667" s="1" t="s">
        <v>8949</v>
      </c>
      <c r="J1667" s="2" t="s">
        <v>10492</v>
      </c>
      <c r="K1667" s="1" t="s">
        <v>10492</v>
      </c>
      <c r="L1667" s="1" t="s">
        <v>9076</v>
      </c>
      <c r="M1667" s="1">
        <v>1620</v>
      </c>
      <c r="N1667" s="1" t="s">
        <v>20915</v>
      </c>
      <c r="O1667" s="1" t="s">
        <v>8989</v>
      </c>
      <c r="P1667" s="1" t="s">
        <v>8955</v>
      </c>
      <c r="Q1667" s="1" t="s">
        <v>8956</v>
      </c>
      <c r="R1667" s="1" t="s">
        <v>8958</v>
      </c>
      <c r="S1667" s="1" t="s">
        <v>19734</v>
      </c>
      <c r="T1667" s="1" t="s">
        <v>7</v>
      </c>
      <c r="U1667" s="1" t="s">
        <v>2434</v>
      </c>
    </row>
    <row r="1668" spans="1:21" x14ac:dyDescent="0.2">
      <c r="A1668" s="88" t="s">
        <v>17327</v>
      </c>
      <c r="B1668" s="88" t="e">
        <f>VLOOKUP(C1668,#REF!,1,0)</f>
        <v>#REF!</v>
      </c>
      <c r="C1668" s="1" t="s">
        <v>5604</v>
      </c>
      <c r="D1668" s="1" t="s">
        <v>5605</v>
      </c>
      <c r="E1668" s="1" t="s">
        <v>18502</v>
      </c>
      <c r="F1668" s="1" t="s">
        <v>8957</v>
      </c>
      <c r="G1668" t="s">
        <v>9061</v>
      </c>
      <c r="H1668" s="1" t="s">
        <v>9252</v>
      </c>
      <c r="I1668" s="1" t="s">
        <v>9155</v>
      </c>
      <c r="J1668" s="2" t="s">
        <v>10629</v>
      </c>
      <c r="K1668" s="1" t="s">
        <v>10629</v>
      </c>
      <c r="L1668" s="1" t="s">
        <v>9076</v>
      </c>
      <c r="M1668" s="1">
        <v>8442</v>
      </c>
      <c r="N1668" s="1" t="s">
        <v>8953</v>
      </c>
      <c r="O1668" s="1" t="s">
        <v>8989</v>
      </c>
      <c r="P1668" s="1" t="s">
        <v>8955</v>
      </c>
      <c r="Q1668" s="1" t="s">
        <v>8956</v>
      </c>
      <c r="R1668" s="1" t="s">
        <v>8975</v>
      </c>
      <c r="S1668" s="1" t="s">
        <v>19735</v>
      </c>
      <c r="T1668" s="1" t="s">
        <v>17</v>
      </c>
      <c r="U1668" s="1" t="s">
        <v>93</v>
      </c>
    </row>
    <row r="1669" spans="1:21" x14ac:dyDescent="0.2">
      <c r="A1669" s="88" t="s">
        <v>17328</v>
      </c>
      <c r="B1669" s="88" t="e">
        <f>VLOOKUP(C1669,#REF!,1,0)</f>
        <v>#REF!</v>
      </c>
      <c r="C1669" s="1" t="s">
        <v>5606</v>
      </c>
      <c r="D1669" s="1" t="s">
        <v>5607</v>
      </c>
      <c r="E1669" s="1" t="s">
        <v>11671</v>
      </c>
      <c r="F1669" s="1" t="s">
        <v>8957</v>
      </c>
      <c r="G1669" t="s">
        <v>9009</v>
      </c>
      <c r="H1669" s="1" t="s">
        <v>9092</v>
      </c>
      <c r="I1669" s="1" t="s">
        <v>9308</v>
      </c>
      <c r="J1669" s="2" t="s">
        <v>9018</v>
      </c>
      <c r="K1669" s="1" t="s">
        <v>9018</v>
      </c>
      <c r="L1669" s="1" t="s">
        <v>9292</v>
      </c>
      <c r="M1669" s="1">
        <v>256458</v>
      </c>
      <c r="N1669" s="1" t="s">
        <v>8953</v>
      </c>
      <c r="O1669" s="1" t="s">
        <v>8954</v>
      </c>
      <c r="P1669" s="1" t="s">
        <v>8955</v>
      </c>
      <c r="Q1669" s="1" t="s">
        <v>8956</v>
      </c>
      <c r="R1669" s="1" t="s">
        <v>8975</v>
      </c>
      <c r="S1669" s="1" t="s">
        <v>5608</v>
      </c>
      <c r="T1669" s="1" t="s">
        <v>4</v>
      </c>
      <c r="U1669" s="1" t="s">
        <v>1472</v>
      </c>
    </row>
    <row r="1670" spans="1:21" x14ac:dyDescent="0.2">
      <c r="A1670" s="88" t="s">
        <v>17329</v>
      </c>
      <c r="B1670" s="88" t="e">
        <f>VLOOKUP(C1670,#REF!,1,0)</f>
        <v>#REF!</v>
      </c>
      <c r="C1670" s="1" t="s">
        <v>5609</v>
      </c>
      <c r="D1670" s="1" t="s">
        <v>5610</v>
      </c>
      <c r="E1670" s="1" t="s">
        <v>18502</v>
      </c>
      <c r="F1670" s="1" t="s">
        <v>8957</v>
      </c>
      <c r="G1670" t="s">
        <v>8959</v>
      </c>
      <c r="H1670" s="1" t="s">
        <v>9154</v>
      </c>
      <c r="I1670" s="1" t="s">
        <v>8971</v>
      </c>
      <c r="J1670" s="2" t="s">
        <v>20779</v>
      </c>
      <c r="K1670" s="1" t="s">
        <v>9036</v>
      </c>
      <c r="L1670" s="1" t="s">
        <v>8987</v>
      </c>
      <c r="M1670" s="1">
        <v>5104</v>
      </c>
      <c r="N1670" s="1" t="s">
        <v>20915</v>
      </c>
      <c r="O1670" s="1" t="s">
        <v>8989</v>
      </c>
      <c r="P1670" s="1" t="s">
        <v>8955</v>
      </c>
      <c r="Q1670" s="1" t="s">
        <v>8956</v>
      </c>
      <c r="R1670" s="1" t="s">
        <v>8958</v>
      </c>
      <c r="S1670" s="1" t="s">
        <v>19736</v>
      </c>
      <c r="T1670" s="1" t="s">
        <v>7</v>
      </c>
      <c r="U1670" s="1" t="s">
        <v>5611</v>
      </c>
    </row>
    <row r="1671" spans="1:21" x14ac:dyDescent="0.2">
      <c r="A1671" s="88" t="s">
        <v>17330</v>
      </c>
      <c r="B1671" s="88" t="e">
        <f>VLOOKUP(C1671,#REF!,1,0)</f>
        <v>#REF!</v>
      </c>
      <c r="C1671" s="1" t="s">
        <v>5612</v>
      </c>
      <c r="D1671" s="1" t="s">
        <v>5613</v>
      </c>
      <c r="E1671" s="1" t="s">
        <v>9650</v>
      </c>
      <c r="F1671" s="1" t="s">
        <v>8957</v>
      </c>
      <c r="G1671" t="s">
        <v>9009</v>
      </c>
      <c r="H1671" s="1" t="s">
        <v>9100</v>
      </c>
      <c r="I1671" s="1" t="s">
        <v>8998</v>
      </c>
      <c r="J1671" s="2" t="s">
        <v>20723</v>
      </c>
      <c r="K1671" s="1" t="s">
        <v>20723</v>
      </c>
      <c r="L1671" s="1" t="s">
        <v>9292</v>
      </c>
      <c r="M1671" s="1">
        <v>1453</v>
      </c>
      <c r="N1671" s="1" t="s">
        <v>9059</v>
      </c>
      <c r="O1671" s="1" t="s">
        <v>8954</v>
      </c>
      <c r="P1671" s="1" t="s">
        <v>8955</v>
      </c>
      <c r="Q1671" s="1" t="s">
        <v>8956</v>
      </c>
      <c r="R1671" s="1" t="s">
        <v>8975</v>
      </c>
      <c r="S1671" s="1" t="s">
        <v>20659</v>
      </c>
      <c r="T1671" s="1" t="s">
        <v>7</v>
      </c>
      <c r="U1671" s="1" t="s">
        <v>544</v>
      </c>
    </row>
    <row r="1672" spans="1:21" x14ac:dyDescent="0.2">
      <c r="A1672" s="88" t="s">
        <v>17331</v>
      </c>
      <c r="B1672" s="88" t="e">
        <f>VLOOKUP(C1672,#REF!,1,0)</f>
        <v>#REF!</v>
      </c>
      <c r="C1672" s="1" t="s">
        <v>5614</v>
      </c>
      <c r="D1672" s="1" t="s">
        <v>5615</v>
      </c>
      <c r="E1672" s="1" t="s">
        <v>10873</v>
      </c>
      <c r="F1672" s="1" t="s">
        <v>8957</v>
      </c>
      <c r="G1672" t="s">
        <v>8959</v>
      </c>
      <c r="H1672" s="1" t="s">
        <v>9154</v>
      </c>
      <c r="I1672" s="1" t="s">
        <v>8971</v>
      </c>
      <c r="J1672" s="2" t="s">
        <v>9036</v>
      </c>
      <c r="K1672" s="1" t="s">
        <v>9036</v>
      </c>
      <c r="L1672" s="1" t="s">
        <v>8987</v>
      </c>
      <c r="M1672" s="1">
        <v>90</v>
      </c>
      <c r="N1672" s="1" t="s">
        <v>8953</v>
      </c>
      <c r="O1672" s="1" t="s">
        <v>8954</v>
      </c>
      <c r="P1672" s="1" t="s">
        <v>8955</v>
      </c>
      <c r="Q1672" s="1" t="s">
        <v>8956</v>
      </c>
      <c r="R1672" s="1" t="s">
        <v>8958</v>
      </c>
      <c r="S1672" s="1" t="s">
        <v>5616</v>
      </c>
      <c r="T1672" s="1" t="s">
        <v>11</v>
      </c>
      <c r="U1672" s="1" t="s">
        <v>46</v>
      </c>
    </row>
    <row r="1673" spans="1:21" x14ac:dyDescent="0.2">
      <c r="A1673" s="88" t="s">
        <v>17332</v>
      </c>
      <c r="B1673" s="88" t="e">
        <f>VLOOKUP(C1673,#REF!,1,0)</f>
        <v>#REF!</v>
      </c>
      <c r="C1673" s="1" t="s">
        <v>5617</v>
      </c>
      <c r="D1673" s="1" t="s">
        <v>5618</v>
      </c>
      <c r="E1673" s="1" t="s">
        <v>18502</v>
      </c>
      <c r="F1673" s="1" t="s">
        <v>8959</v>
      </c>
      <c r="G1673" t="s">
        <v>9061</v>
      </c>
      <c r="H1673" s="1" t="s">
        <v>9035</v>
      </c>
      <c r="I1673" s="1" t="s">
        <v>8998</v>
      </c>
      <c r="J1673" s="2" t="s">
        <v>21565</v>
      </c>
      <c r="K1673" s="1" t="s">
        <v>21713</v>
      </c>
      <c r="L1673" s="1" t="s">
        <v>8987</v>
      </c>
      <c r="M1673" s="1">
        <v>244527</v>
      </c>
      <c r="N1673" s="1" t="s">
        <v>8953</v>
      </c>
      <c r="O1673" s="1" t="s">
        <v>8954</v>
      </c>
      <c r="P1673" s="1" t="s">
        <v>8955</v>
      </c>
      <c r="Q1673" s="1" t="s">
        <v>8956</v>
      </c>
      <c r="R1673" s="1" t="s">
        <v>8958</v>
      </c>
      <c r="S1673" s="1" t="s">
        <v>19737</v>
      </c>
      <c r="T1673" s="1" t="s">
        <v>17</v>
      </c>
      <c r="U1673" s="1" t="s">
        <v>93</v>
      </c>
    </row>
    <row r="1674" spans="1:21" x14ac:dyDescent="0.2">
      <c r="A1674" s="88" t="s">
        <v>17333</v>
      </c>
      <c r="B1674" s="88" t="e">
        <f>VLOOKUP(C1674,#REF!,1,0)</f>
        <v>#REF!</v>
      </c>
      <c r="C1674" s="1" t="s">
        <v>5619</v>
      </c>
      <c r="D1674" s="1" t="s">
        <v>5620</v>
      </c>
      <c r="E1674" s="1" t="s">
        <v>18502</v>
      </c>
      <c r="F1674" s="1" t="s">
        <v>8957</v>
      </c>
      <c r="G1674" t="s">
        <v>9061</v>
      </c>
      <c r="H1674" s="1" t="s">
        <v>9035</v>
      </c>
      <c r="I1674" s="1" t="s">
        <v>8998</v>
      </c>
      <c r="J1674" s="2" t="s">
        <v>20922</v>
      </c>
      <c r="K1674" s="1" t="s">
        <v>20922</v>
      </c>
      <c r="L1674" s="1" t="s">
        <v>9464</v>
      </c>
      <c r="M1674" s="1">
        <v>10</v>
      </c>
      <c r="N1674" s="1" t="s">
        <v>9059</v>
      </c>
      <c r="O1674" s="1" t="s">
        <v>8989</v>
      </c>
      <c r="P1674" s="1" t="s">
        <v>8955</v>
      </c>
      <c r="Q1674" s="1" t="s">
        <v>8956</v>
      </c>
      <c r="R1674" s="1" t="s">
        <v>9103</v>
      </c>
      <c r="S1674" s="1" t="s">
        <v>19738</v>
      </c>
      <c r="T1674" s="1" t="s">
        <v>11</v>
      </c>
      <c r="U1674" s="1" t="s">
        <v>2431</v>
      </c>
    </row>
    <row r="1675" spans="1:21" x14ac:dyDescent="0.2">
      <c r="A1675" s="88" t="s">
        <v>17334</v>
      </c>
      <c r="B1675" s="88" t="e">
        <f>VLOOKUP(C1675,#REF!,1,0)</f>
        <v>#REF!</v>
      </c>
      <c r="C1675" s="1" t="s">
        <v>5621</v>
      </c>
      <c r="D1675" s="1" t="s">
        <v>5622</v>
      </c>
      <c r="E1675" s="1" t="s">
        <v>9010</v>
      </c>
      <c r="F1675" s="1" t="s">
        <v>8957</v>
      </c>
      <c r="G1675" t="s">
        <v>8959</v>
      </c>
      <c r="H1675" s="1" t="s">
        <v>8984</v>
      </c>
      <c r="I1675" s="1" t="s">
        <v>8998</v>
      </c>
      <c r="J1675" s="2" t="s">
        <v>9036</v>
      </c>
      <c r="K1675" s="1" t="s">
        <v>9036</v>
      </c>
      <c r="L1675" s="1" t="s">
        <v>8951</v>
      </c>
      <c r="M1675" s="1">
        <v>504</v>
      </c>
      <c r="N1675" s="1" t="s">
        <v>8953</v>
      </c>
      <c r="O1675" s="1" t="s">
        <v>8989</v>
      </c>
      <c r="P1675" s="1" t="s">
        <v>8955</v>
      </c>
      <c r="Q1675" s="1" t="s">
        <v>8956</v>
      </c>
      <c r="R1675" s="1" t="s">
        <v>8958</v>
      </c>
      <c r="S1675" s="1" t="s">
        <v>5623</v>
      </c>
      <c r="T1675" s="1" t="s">
        <v>11</v>
      </c>
      <c r="U1675" s="1" t="s">
        <v>53</v>
      </c>
    </row>
    <row r="1676" spans="1:21" x14ac:dyDescent="0.2">
      <c r="A1676" s="88" t="s">
        <v>17335</v>
      </c>
      <c r="B1676" s="88" t="e">
        <f>VLOOKUP(C1676,#REF!,1,0)</f>
        <v>#REF!</v>
      </c>
      <c r="C1676" s="1" t="s">
        <v>5624</v>
      </c>
      <c r="D1676" s="1" t="s">
        <v>5625</v>
      </c>
      <c r="E1676" s="1" t="s">
        <v>9333</v>
      </c>
      <c r="F1676" s="1" t="s">
        <v>8957</v>
      </c>
      <c r="G1676" t="s">
        <v>8959</v>
      </c>
      <c r="H1676" s="1" t="s">
        <v>9035</v>
      </c>
      <c r="I1676" s="1" t="s">
        <v>8998</v>
      </c>
      <c r="J1676" s="2" t="s">
        <v>21378</v>
      </c>
      <c r="K1676" s="1" t="s">
        <v>21708</v>
      </c>
      <c r="L1676" s="1" t="s">
        <v>8987</v>
      </c>
      <c r="M1676" s="1">
        <v>60</v>
      </c>
      <c r="N1676" s="1" t="s">
        <v>9059</v>
      </c>
      <c r="O1676" s="1" t="s">
        <v>8989</v>
      </c>
      <c r="P1676" s="1" t="s">
        <v>8955</v>
      </c>
      <c r="Q1676" s="1" t="s">
        <v>8956</v>
      </c>
      <c r="R1676" s="1" t="s">
        <v>8975</v>
      </c>
      <c r="S1676" s="1" t="s">
        <v>19739</v>
      </c>
      <c r="T1676" s="1" t="s">
        <v>7</v>
      </c>
      <c r="U1676" s="1" t="s">
        <v>2183</v>
      </c>
    </row>
    <row r="1677" spans="1:21" x14ac:dyDescent="0.2">
      <c r="A1677" s="88" t="s">
        <v>17336</v>
      </c>
      <c r="B1677" s="88" t="e">
        <f>VLOOKUP(C1677,#REF!,1,0)</f>
        <v>#REF!</v>
      </c>
      <c r="C1677" s="1" t="s">
        <v>5626</v>
      </c>
      <c r="D1677" s="1" t="s">
        <v>5627</v>
      </c>
      <c r="E1677" s="1" t="s">
        <v>18502</v>
      </c>
      <c r="F1677" s="1" t="s">
        <v>8957</v>
      </c>
      <c r="G1677" t="s">
        <v>9061</v>
      </c>
      <c r="H1677" s="1" t="s">
        <v>9075</v>
      </c>
      <c r="I1677" s="1" t="s">
        <v>8949</v>
      </c>
      <c r="J1677" s="2" t="s">
        <v>10492</v>
      </c>
      <c r="K1677" s="1" t="s">
        <v>10492</v>
      </c>
      <c r="L1677" s="1" t="s">
        <v>21600</v>
      </c>
      <c r="M1677" s="1">
        <v>600</v>
      </c>
      <c r="N1677" s="1" t="s">
        <v>8953</v>
      </c>
      <c r="O1677" s="1" t="s">
        <v>8954</v>
      </c>
      <c r="P1677" s="1" t="s">
        <v>8955</v>
      </c>
      <c r="Q1677" s="1" t="s">
        <v>8956</v>
      </c>
      <c r="R1677" s="1" t="s">
        <v>8975</v>
      </c>
      <c r="S1677" s="1" t="s">
        <v>19740</v>
      </c>
      <c r="T1677" s="1" t="s">
        <v>17</v>
      </c>
      <c r="U1677" s="1" t="s">
        <v>1050</v>
      </c>
    </row>
    <row r="1678" spans="1:21" x14ac:dyDescent="0.2">
      <c r="A1678" s="88" t="s">
        <v>17338</v>
      </c>
      <c r="B1678" s="88" t="e">
        <f>VLOOKUP(C1678,#REF!,1,0)</f>
        <v>#REF!</v>
      </c>
      <c r="C1678" s="1" t="s">
        <v>5630</v>
      </c>
      <c r="D1678" s="1" t="s">
        <v>5631</v>
      </c>
      <c r="E1678" s="1" t="s">
        <v>9010</v>
      </c>
      <c r="F1678" s="1" t="s">
        <v>8957</v>
      </c>
      <c r="G1678" t="s">
        <v>9061</v>
      </c>
      <c r="H1678" s="1" t="s">
        <v>8948</v>
      </c>
      <c r="I1678" s="1" t="s">
        <v>9155</v>
      </c>
      <c r="J1678" s="2" t="s">
        <v>8972</v>
      </c>
      <c r="K1678" s="1" t="s">
        <v>8972</v>
      </c>
      <c r="L1678" s="1" t="s">
        <v>21600</v>
      </c>
      <c r="M1678" s="1">
        <v>18</v>
      </c>
      <c r="N1678" s="1" t="s">
        <v>9059</v>
      </c>
      <c r="O1678" s="1" t="s">
        <v>8989</v>
      </c>
      <c r="P1678" s="1" t="s">
        <v>8955</v>
      </c>
      <c r="Q1678" s="1" t="s">
        <v>8956</v>
      </c>
      <c r="R1678" s="1" t="s">
        <v>9103</v>
      </c>
      <c r="S1678" s="1" t="s">
        <v>5632</v>
      </c>
      <c r="T1678" s="1" t="s">
        <v>17</v>
      </c>
      <c r="U1678" s="1" t="s">
        <v>61</v>
      </c>
    </row>
    <row r="1679" spans="1:21" x14ac:dyDescent="0.2">
      <c r="A1679" s="88" t="s">
        <v>17339</v>
      </c>
      <c r="B1679" s="88" t="e">
        <f>VLOOKUP(C1679,#REF!,1,0)</f>
        <v>#REF!</v>
      </c>
      <c r="C1679" s="1" t="s">
        <v>5633</v>
      </c>
      <c r="D1679" s="1" t="s">
        <v>5634</v>
      </c>
      <c r="E1679" s="1" t="s">
        <v>9310</v>
      </c>
      <c r="F1679" s="1" t="s">
        <v>9060</v>
      </c>
      <c r="G1679" t="s">
        <v>8959</v>
      </c>
      <c r="H1679" s="1" t="s">
        <v>9075</v>
      </c>
      <c r="I1679" s="1" t="s">
        <v>8998</v>
      </c>
      <c r="J1679" s="2" t="s">
        <v>18489</v>
      </c>
      <c r="K1679" s="1" t="s">
        <v>18489</v>
      </c>
      <c r="L1679" s="1" t="s">
        <v>8951</v>
      </c>
      <c r="M1679" s="1">
        <v>10078</v>
      </c>
      <c r="N1679" s="1" t="s">
        <v>8953</v>
      </c>
      <c r="O1679" s="1" t="s">
        <v>8989</v>
      </c>
      <c r="P1679" s="1" t="s">
        <v>8955</v>
      </c>
      <c r="Q1679" s="1" t="s">
        <v>8956</v>
      </c>
      <c r="R1679" s="1" t="s">
        <v>8958</v>
      </c>
      <c r="S1679" s="1" t="s">
        <v>19742</v>
      </c>
      <c r="T1679" s="1" t="s">
        <v>7</v>
      </c>
      <c r="U1679" s="1" t="s">
        <v>2024</v>
      </c>
    </row>
    <row r="1680" spans="1:21" x14ac:dyDescent="0.2">
      <c r="A1680" s="88" t="s">
        <v>17340</v>
      </c>
      <c r="B1680" s="88" t="e">
        <f>VLOOKUP(C1680,#REF!,1,0)</f>
        <v>#REF!</v>
      </c>
      <c r="C1680" s="1" t="s">
        <v>5635</v>
      </c>
      <c r="D1680" s="1" t="s">
        <v>5636</v>
      </c>
      <c r="E1680" s="1" t="s">
        <v>14748</v>
      </c>
      <c r="F1680" s="1" t="s">
        <v>8959</v>
      </c>
      <c r="G1680" t="s">
        <v>9061</v>
      </c>
      <c r="H1680" s="1" t="s">
        <v>8948</v>
      </c>
      <c r="I1680" s="1" t="s">
        <v>8998</v>
      </c>
      <c r="J1680" s="2" t="s">
        <v>10492</v>
      </c>
      <c r="K1680" s="1" t="s">
        <v>10492</v>
      </c>
      <c r="L1680" s="1" t="s">
        <v>8951</v>
      </c>
      <c r="M1680" s="1">
        <v>4053</v>
      </c>
      <c r="N1680" s="1" t="s">
        <v>8953</v>
      </c>
      <c r="O1680" s="1" t="s">
        <v>8954</v>
      </c>
      <c r="P1680" s="1" t="s">
        <v>8955</v>
      </c>
      <c r="Q1680" s="1" t="s">
        <v>8956</v>
      </c>
      <c r="R1680" s="1" t="s">
        <v>8958</v>
      </c>
      <c r="S1680" s="1" t="s">
        <v>19743</v>
      </c>
      <c r="T1680" s="1" t="s">
        <v>7</v>
      </c>
      <c r="U1680" s="1" t="s">
        <v>5637</v>
      </c>
    </row>
    <row r="1681" spans="1:21" x14ac:dyDescent="0.2">
      <c r="A1681" s="88" t="s">
        <v>17341</v>
      </c>
      <c r="B1681" s="88" t="e">
        <f>VLOOKUP(C1681,#REF!,1,0)</f>
        <v>#REF!</v>
      </c>
      <c r="C1681" s="1" t="s">
        <v>5638</v>
      </c>
      <c r="D1681" s="1" t="s">
        <v>5639</v>
      </c>
      <c r="E1681" s="1" t="s">
        <v>9636</v>
      </c>
      <c r="F1681" s="1" t="s">
        <v>8957</v>
      </c>
      <c r="G1681" t="s">
        <v>9061</v>
      </c>
      <c r="H1681" s="1" t="s">
        <v>9049</v>
      </c>
      <c r="I1681" s="1" t="s">
        <v>9050</v>
      </c>
      <c r="J1681" s="2" t="s">
        <v>21285</v>
      </c>
      <c r="K1681" s="1" t="s">
        <v>21285</v>
      </c>
      <c r="L1681" s="1" t="s">
        <v>8987</v>
      </c>
      <c r="M1681" s="1">
        <v>1200</v>
      </c>
      <c r="N1681" s="1" t="s">
        <v>8953</v>
      </c>
      <c r="O1681" s="1" t="s">
        <v>8989</v>
      </c>
      <c r="P1681" s="1" t="s">
        <v>8955</v>
      </c>
      <c r="Q1681" s="1" t="s">
        <v>8956</v>
      </c>
      <c r="R1681" s="1" t="s">
        <v>8975</v>
      </c>
      <c r="S1681" s="1" t="s">
        <v>5640</v>
      </c>
      <c r="T1681" s="1" t="s">
        <v>7</v>
      </c>
      <c r="U1681" s="1" t="s">
        <v>126</v>
      </c>
    </row>
    <row r="1682" spans="1:21" x14ac:dyDescent="0.2">
      <c r="A1682" s="88" t="s">
        <v>17342</v>
      </c>
      <c r="B1682" s="88" t="e">
        <f>VLOOKUP(C1682,#REF!,1,0)</f>
        <v>#REF!</v>
      </c>
      <c r="C1682" s="1" t="s">
        <v>5641</v>
      </c>
      <c r="D1682" s="1" t="s">
        <v>5642</v>
      </c>
      <c r="E1682" s="1" t="s">
        <v>9636</v>
      </c>
      <c r="F1682" s="1" t="s">
        <v>8959</v>
      </c>
      <c r="G1682" t="s">
        <v>9183</v>
      </c>
      <c r="H1682" s="1" t="s">
        <v>20714</v>
      </c>
      <c r="I1682" s="1" t="s">
        <v>20725</v>
      </c>
      <c r="J1682" s="2" t="s">
        <v>10492</v>
      </c>
      <c r="K1682" s="1" t="s">
        <v>10492</v>
      </c>
      <c r="L1682" s="1" t="s">
        <v>21600</v>
      </c>
      <c r="M1682" s="1">
        <v>40</v>
      </c>
      <c r="N1682" s="1" t="s">
        <v>9059</v>
      </c>
      <c r="O1682" s="1" t="s">
        <v>8954</v>
      </c>
      <c r="P1682" s="1" t="s">
        <v>8955</v>
      </c>
      <c r="Q1682" s="1" t="s">
        <v>8956</v>
      </c>
      <c r="R1682" s="1" t="s">
        <v>8975</v>
      </c>
      <c r="S1682" s="1" t="s">
        <v>20660</v>
      </c>
      <c r="T1682" s="1" t="s">
        <v>7</v>
      </c>
      <c r="U1682" s="1" t="s">
        <v>24</v>
      </c>
    </row>
    <row r="1683" spans="1:21" x14ac:dyDescent="0.2">
      <c r="A1683" s="88" t="s">
        <v>17343</v>
      </c>
      <c r="B1683" s="88" t="e">
        <f>VLOOKUP(C1683,#REF!,1,0)</f>
        <v>#REF!</v>
      </c>
      <c r="C1683" s="1" t="s">
        <v>5643</v>
      </c>
      <c r="D1683" s="1" t="s">
        <v>5644</v>
      </c>
      <c r="E1683" s="1" t="s">
        <v>13311</v>
      </c>
      <c r="F1683" s="1" t="s">
        <v>9060</v>
      </c>
      <c r="G1683" t="s">
        <v>8959</v>
      </c>
      <c r="H1683" s="1" t="s">
        <v>9049</v>
      </c>
      <c r="I1683" s="1" t="s">
        <v>9155</v>
      </c>
      <c r="J1683" s="2" t="s">
        <v>9036</v>
      </c>
      <c r="K1683" s="1" t="s">
        <v>9036</v>
      </c>
      <c r="L1683" s="1" t="s">
        <v>8951</v>
      </c>
      <c r="M1683" s="1">
        <v>1339</v>
      </c>
      <c r="N1683" s="1" t="s">
        <v>8953</v>
      </c>
      <c r="O1683" s="1" t="s">
        <v>8954</v>
      </c>
      <c r="P1683" s="1" t="s">
        <v>8955</v>
      </c>
      <c r="Q1683" s="1" t="s">
        <v>8956</v>
      </c>
      <c r="R1683" s="1" t="s">
        <v>8958</v>
      </c>
      <c r="S1683" s="1" t="s">
        <v>5645</v>
      </c>
      <c r="T1683" s="1" t="s">
        <v>11</v>
      </c>
      <c r="U1683" s="1" t="s">
        <v>184</v>
      </c>
    </row>
    <row r="1684" spans="1:21" x14ac:dyDescent="0.2">
      <c r="A1684" s="88" t="s">
        <v>17345</v>
      </c>
      <c r="B1684" s="88" t="e">
        <f>VLOOKUP(C1684,#REF!,1,0)</f>
        <v>#REF!</v>
      </c>
      <c r="C1684" s="1" t="s">
        <v>5649</v>
      </c>
      <c r="D1684" s="1" t="s">
        <v>5650</v>
      </c>
      <c r="E1684" s="1" t="s">
        <v>9650</v>
      </c>
      <c r="F1684" s="1" t="s">
        <v>8957</v>
      </c>
      <c r="G1684" t="s">
        <v>8959</v>
      </c>
      <c r="H1684" s="1" t="s">
        <v>8948</v>
      </c>
      <c r="I1684" s="1" t="s">
        <v>9155</v>
      </c>
      <c r="J1684" s="2" t="s">
        <v>14324</v>
      </c>
      <c r="K1684" s="1" t="s">
        <v>14324</v>
      </c>
      <c r="L1684" s="1" t="s">
        <v>8987</v>
      </c>
      <c r="M1684" s="1">
        <v>275</v>
      </c>
      <c r="N1684" s="1" t="s">
        <v>8953</v>
      </c>
      <c r="O1684" s="1" t="s">
        <v>8989</v>
      </c>
      <c r="P1684" s="1" t="s">
        <v>8955</v>
      </c>
      <c r="Q1684" s="1" t="s">
        <v>8956</v>
      </c>
      <c r="R1684" s="1" t="s">
        <v>8958</v>
      </c>
      <c r="S1684" s="1" t="s">
        <v>5651</v>
      </c>
      <c r="T1684" s="1" t="s">
        <v>242</v>
      </c>
      <c r="U1684" s="1" t="s">
        <v>359</v>
      </c>
    </row>
    <row r="1685" spans="1:21" x14ac:dyDescent="0.2">
      <c r="A1685" s="88" t="s">
        <v>17347</v>
      </c>
      <c r="B1685" s="88" t="e">
        <f>VLOOKUP(C1685,#REF!,1,0)</f>
        <v>#REF!</v>
      </c>
      <c r="C1685" s="1" t="s">
        <v>5654</v>
      </c>
      <c r="D1685" s="1" t="s">
        <v>5655</v>
      </c>
      <c r="E1685" s="1" t="s">
        <v>9630</v>
      </c>
      <c r="F1685" s="1" t="s">
        <v>8957</v>
      </c>
      <c r="G1685" t="s">
        <v>9009</v>
      </c>
      <c r="H1685" s="1" t="s">
        <v>9035</v>
      </c>
      <c r="I1685" s="1" t="s">
        <v>8971</v>
      </c>
      <c r="J1685" s="2" t="s">
        <v>21566</v>
      </c>
      <c r="K1685" s="1" t="s">
        <v>21797</v>
      </c>
      <c r="L1685" s="1" t="s">
        <v>8987</v>
      </c>
      <c r="M1685" s="1">
        <v>7500</v>
      </c>
      <c r="N1685" s="1" t="s">
        <v>8953</v>
      </c>
      <c r="O1685" s="1" t="s">
        <v>8954</v>
      </c>
      <c r="P1685" s="1" t="s">
        <v>8955</v>
      </c>
      <c r="Q1685" s="1" t="s">
        <v>8956</v>
      </c>
      <c r="R1685" s="1" t="s">
        <v>8958</v>
      </c>
      <c r="S1685" s="1" t="s">
        <v>5656</v>
      </c>
      <c r="T1685" s="1" t="s">
        <v>17</v>
      </c>
      <c r="U1685" s="1" t="s">
        <v>1524</v>
      </c>
    </row>
    <row r="1686" spans="1:21" x14ac:dyDescent="0.2">
      <c r="A1686" s="88" t="s">
        <v>17348</v>
      </c>
      <c r="B1686" s="88" t="e">
        <f>VLOOKUP(C1686,#REF!,1,0)</f>
        <v>#REF!</v>
      </c>
      <c r="C1686" s="1" t="s">
        <v>5657</v>
      </c>
      <c r="D1686" s="1" t="s">
        <v>5658</v>
      </c>
      <c r="E1686" s="1" t="s">
        <v>10032</v>
      </c>
      <c r="F1686" s="1" t="s">
        <v>8957</v>
      </c>
      <c r="G1686" t="s">
        <v>8959</v>
      </c>
      <c r="H1686" s="1" t="s">
        <v>8984</v>
      </c>
      <c r="I1686" s="1" t="s">
        <v>8998</v>
      </c>
      <c r="J1686" s="2" t="s">
        <v>8972</v>
      </c>
      <c r="K1686" s="1" t="s">
        <v>8972</v>
      </c>
      <c r="L1686" s="1" t="s">
        <v>21600</v>
      </c>
      <c r="M1686" s="1">
        <v>104</v>
      </c>
      <c r="N1686" s="1" t="s">
        <v>8953</v>
      </c>
      <c r="O1686" s="1" t="s">
        <v>8989</v>
      </c>
      <c r="P1686" s="1" t="s">
        <v>8955</v>
      </c>
      <c r="Q1686" s="1" t="s">
        <v>8956</v>
      </c>
      <c r="R1686" s="1" t="s">
        <v>8958</v>
      </c>
      <c r="S1686" s="1" t="s">
        <v>5659</v>
      </c>
      <c r="T1686" s="1" t="s">
        <v>17</v>
      </c>
      <c r="U1686" s="1" t="s">
        <v>64</v>
      </c>
    </row>
    <row r="1687" spans="1:21" x14ac:dyDescent="0.2">
      <c r="A1687" s="88" t="s">
        <v>17349</v>
      </c>
      <c r="B1687" s="88" t="e">
        <f>VLOOKUP(C1687,#REF!,1,0)</f>
        <v>#REF!</v>
      </c>
      <c r="C1687" s="1" t="s">
        <v>5660</v>
      </c>
      <c r="D1687" s="1" t="s">
        <v>5661</v>
      </c>
      <c r="E1687" s="1" t="s">
        <v>18502</v>
      </c>
      <c r="F1687" s="1" t="s">
        <v>9060</v>
      </c>
      <c r="G1687" t="s">
        <v>9009</v>
      </c>
      <c r="H1687" s="1" t="s">
        <v>9154</v>
      </c>
      <c r="I1687" s="1" t="s">
        <v>11607</v>
      </c>
      <c r="J1687" s="2" t="s">
        <v>20826</v>
      </c>
      <c r="K1687" s="1" t="s">
        <v>21847</v>
      </c>
      <c r="L1687" s="1" t="s">
        <v>21600</v>
      </c>
      <c r="M1687" s="1">
        <v>10030</v>
      </c>
      <c r="N1687" s="1" t="s">
        <v>11658</v>
      </c>
      <c r="O1687" s="1" t="s">
        <v>8989</v>
      </c>
      <c r="P1687" s="1" t="s">
        <v>8955</v>
      </c>
      <c r="Q1687" s="1" t="s">
        <v>8956</v>
      </c>
      <c r="R1687" s="1" t="s">
        <v>8975</v>
      </c>
      <c r="S1687" s="1" t="s">
        <v>19746</v>
      </c>
      <c r="T1687" s="1" t="s">
        <v>7</v>
      </c>
      <c r="U1687" s="1" t="s">
        <v>2782</v>
      </c>
    </row>
    <row r="1688" spans="1:21" x14ac:dyDescent="0.2">
      <c r="A1688" s="88" t="s">
        <v>17350</v>
      </c>
      <c r="B1688" s="88" t="e">
        <f>VLOOKUP(C1688,#REF!,1,0)</f>
        <v>#REF!</v>
      </c>
      <c r="C1688" s="1" t="s">
        <v>5662</v>
      </c>
      <c r="D1688" s="1" t="s">
        <v>5663</v>
      </c>
      <c r="E1688" s="1" t="s">
        <v>18502</v>
      </c>
      <c r="F1688" s="1" t="s">
        <v>9060</v>
      </c>
      <c r="G1688" t="s">
        <v>9061</v>
      </c>
      <c r="H1688" s="1" t="s">
        <v>9100</v>
      </c>
      <c r="I1688" s="1" t="s">
        <v>9725</v>
      </c>
      <c r="J1688" s="2" t="s">
        <v>21379</v>
      </c>
      <c r="K1688" s="1" t="s">
        <v>21864</v>
      </c>
      <c r="L1688" s="1" t="s">
        <v>9076</v>
      </c>
      <c r="M1688" s="1">
        <v>39</v>
      </c>
      <c r="N1688" s="1" t="s">
        <v>9059</v>
      </c>
      <c r="O1688" s="1" t="s">
        <v>8989</v>
      </c>
      <c r="P1688" s="1" t="s">
        <v>8955</v>
      </c>
      <c r="Q1688" s="1" t="s">
        <v>8956</v>
      </c>
      <c r="R1688" s="1" t="s">
        <v>8958</v>
      </c>
      <c r="S1688" s="1" t="s">
        <v>19747</v>
      </c>
      <c r="T1688" s="1" t="s">
        <v>17</v>
      </c>
      <c r="U1688" s="1" t="s">
        <v>93</v>
      </c>
    </row>
    <row r="1689" spans="1:21" x14ac:dyDescent="0.2">
      <c r="A1689" s="88" t="s">
        <v>17351</v>
      </c>
      <c r="B1689" s="88" t="e">
        <f>VLOOKUP(C1689,#REF!,1,0)</f>
        <v>#REF!</v>
      </c>
      <c r="C1689" s="1" t="s">
        <v>5664</v>
      </c>
      <c r="D1689" s="1" t="s">
        <v>5665</v>
      </c>
      <c r="E1689" s="1" t="s">
        <v>10032</v>
      </c>
      <c r="F1689" s="1" t="s">
        <v>8959</v>
      </c>
      <c r="G1689" t="s">
        <v>8959</v>
      </c>
      <c r="H1689" s="1" t="s">
        <v>9605</v>
      </c>
      <c r="I1689" s="1" t="s">
        <v>9101</v>
      </c>
      <c r="J1689" s="2" t="s">
        <v>9309</v>
      </c>
      <c r="K1689" s="1" t="s">
        <v>9309</v>
      </c>
      <c r="L1689" s="1" t="s">
        <v>9076</v>
      </c>
      <c r="M1689" s="1">
        <v>1000</v>
      </c>
      <c r="N1689" s="1" t="s">
        <v>8953</v>
      </c>
      <c r="O1689" s="1" t="s">
        <v>8989</v>
      </c>
      <c r="P1689" s="1" t="s">
        <v>8955</v>
      </c>
      <c r="Q1689" s="1" t="s">
        <v>8956</v>
      </c>
      <c r="R1689" s="1" t="s">
        <v>8958</v>
      </c>
      <c r="S1689" s="1" t="s">
        <v>5666</v>
      </c>
      <c r="T1689" s="1" t="s">
        <v>11</v>
      </c>
      <c r="U1689" s="1" t="s">
        <v>2540</v>
      </c>
    </row>
    <row r="1690" spans="1:21" x14ac:dyDescent="0.2">
      <c r="A1690" s="88" t="s">
        <v>17352</v>
      </c>
      <c r="B1690" s="88" t="e">
        <f>VLOOKUP(C1690,#REF!,1,0)</f>
        <v>#REF!</v>
      </c>
      <c r="C1690" s="1" t="s">
        <v>5667</v>
      </c>
      <c r="D1690" s="1" t="s">
        <v>5668</v>
      </c>
      <c r="E1690" s="1" t="s">
        <v>11671</v>
      </c>
      <c r="F1690" s="1" t="s">
        <v>8974</v>
      </c>
      <c r="G1690" t="s">
        <v>8959</v>
      </c>
      <c r="H1690" s="1" t="s">
        <v>9605</v>
      </c>
      <c r="I1690" s="1" t="s">
        <v>9101</v>
      </c>
      <c r="J1690" s="2" t="s">
        <v>20727</v>
      </c>
      <c r="K1690" s="1" t="s">
        <v>20727</v>
      </c>
      <c r="L1690" s="1" t="s">
        <v>8987</v>
      </c>
      <c r="M1690" s="1">
        <v>78000</v>
      </c>
      <c r="N1690" s="1" t="s">
        <v>8953</v>
      </c>
      <c r="O1690" s="1" t="s">
        <v>8954</v>
      </c>
      <c r="P1690" s="1" t="s">
        <v>8955</v>
      </c>
      <c r="Q1690" s="1" t="s">
        <v>8956</v>
      </c>
      <c r="R1690" s="1" t="s">
        <v>8975</v>
      </c>
      <c r="S1690" s="1" t="s">
        <v>19748</v>
      </c>
      <c r="T1690" s="1" t="s">
        <v>17</v>
      </c>
      <c r="U1690" s="1" t="s">
        <v>700</v>
      </c>
    </row>
    <row r="1691" spans="1:21" x14ac:dyDescent="0.2">
      <c r="A1691" s="88" t="s">
        <v>17353</v>
      </c>
      <c r="B1691" s="88" t="e">
        <f>VLOOKUP(C1691,#REF!,1,0)</f>
        <v>#REF!</v>
      </c>
      <c r="C1691" s="1" t="s">
        <v>5669</v>
      </c>
      <c r="D1691" s="1" t="s">
        <v>5670</v>
      </c>
      <c r="E1691" s="1" t="s">
        <v>9310</v>
      </c>
      <c r="F1691" s="1" t="s">
        <v>8959</v>
      </c>
      <c r="G1691" t="s">
        <v>9061</v>
      </c>
      <c r="H1691" s="1" t="s">
        <v>9035</v>
      </c>
      <c r="I1691" s="1" t="s">
        <v>8998</v>
      </c>
      <c r="J1691" s="2" t="s">
        <v>18497</v>
      </c>
      <c r="K1691" s="1" t="s">
        <v>21658</v>
      </c>
      <c r="L1691" s="1" t="s">
        <v>9133</v>
      </c>
      <c r="M1691" s="1">
        <v>4943</v>
      </c>
      <c r="N1691" s="1" t="s">
        <v>8953</v>
      </c>
      <c r="O1691" s="1" t="s">
        <v>8954</v>
      </c>
      <c r="P1691" s="1" t="s">
        <v>8955</v>
      </c>
      <c r="Q1691" s="1" t="s">
        <v>8956</v>
      </c>
      <c r="R1691" s="1" t="s">
        <v>8975</v>
      </c>
      <c r="S1691" s="1" t="s">
        <v>19749</v>
      </c>
      <c r="T1691" s="1" t="s">
        <v>7</v>
      </c>
      <c r="U1691" s="1" t="s">
        <v>61</v>
      </c>
    </row>
    <row r="1692" spans="1:21" x14ac:dyDescent="0.2">
      <c r="A1692" s="88" t="s">
        <v>17354</v>
      </c>
      <c r="B1692" s="88" t="e">
        <f>VLOOKUP(C1692,#REF!,1,0)</f>
        <v>#REF!</v>
      </c>
      <c r="C1692" s="1" t="s">
        <v>5671</v>
      </c>
      <c r="D1692" s="1" t="s">
        <v>5672</v>
      </c>
      <c r="E1692" s="1" t="s">
        <v>9310</v>
      </c>
      <c r="F1692" s="1" t="s">
        <v>8959</v>
      </c>
      <c r="G1692" t="s">
        <v>8959</v>
      </c>
      <c r="H1692" s="1" t="s">
        <v>9035</v>
      </c>
      <c r="I1692" s="1" t="s">
        <v>9308</v>
      </c>
      <c r="J1692" s="2" t="s">
        <v>21595</v>
      </c>
      <c r="K1692" s="1" t="s">
        <v>20755</v>
      </c>
      <c r="L1692" s="1" t="s">
        <v>8987</v>
      </c>
      <c r="M1692" s="1">
        <v>112120</v>
      </c>
      <c r="N1692" s="1" t="s">
        <v>8953</v>
      </c>
      <c r="O1692" s="1" t="s">
        <v>8954</v>
      </c>
      <c r="P1692" s="1" t="s">
        <v>8955</v>
      </c>
      <c r="Q1692" s="1" t="s">
        <v>8956</v>
      </c>
      <c r="R1692" s="1" t="s">
        <v>8975</v>
      </c>
      <c r="S1692" s="1" t="s">
        <v>19750</v>
      </c>
      <c r="T1692" s="1" t="s">
        <v>7</v>
      </c>
      <c r="U1692" s="1" t="s">
        <v>61</v>
      </c>
    </row>
    <row r="1693" spans="1:21" x14ac:dyDescent="0.2">
      <c r="A1693" s="88" t="s">
        <v>17355</v>
      </c>
      <c r="B1693" s="88" t="e">
        <f>VLOOKUP(C1693,#REF!,1,0)</f>
        <v>#REF!</v>
      </c>
      <c r="C1693" s="1" t="s">
        <v>5673</v>
      </c>
      <c r="D1693" s="1" t="s">
        <v>5674</v>
      </c>
      <c r="E1693" s="1" t="s">
        <v>9213</v>
      </c>
      <c r="F1693" s="1" t="s">
        <v>8957</v>
      </c>
      <c r="G1693" t="s">
        <v>8959</v>
      </c>
      <c r="H1693" s="1" t="s">
        <v>8984</v>
      </c>
      <c r="I1693" s="1" t="s">
        <v>9131</v>
      </c>
      <c r="J1693" s="2" t="s">
        <v>9449</v>
      </c>
      <c r="K1693" s="1" t="s">
        <v>9449</v>
      </c>
      <c r="L1693" s="1" t="s">
        <v>8987</v>
      </c>
      <c r="M1693" s="1">
        <v>52471</v>
      </c>
      <c r="N1693" s="1" t="s">
        <v>8953</v>
      </c>
      <c r="O1693" s="1" t="s">
        <v>8954</v>
      </c>
      <c r="P1693" s="1" t="s">
        <v>8955</v>
      </c>
      <c r="Q1693" s="1" t="s">
        <v>8956</v>
      </c>
      <c r="R1693" s="1" t="s">
        <v>8958</v>
      </c>
      <c r="S1693" s="1" t="s">
        <v>5675</v>
      </c>
      <c r="T1693" s="1" t="s">
        <v>17</v>
      </c>
      <c r="U1693" s="1" t="s">
        <v>434</v>
      </c>
    </row>
    <row r="1694" spans="1:21" x14ac:dyDescent="0.2">
      <c r="A1694" s="88" t="s">
        <v>17356</v>
      </c>
      <c r="B1694" s="88" t="e">
        <f>VLOOKUP(C1694,#REF!,1,0)</f>
        <v>#REF!</v>
      </c>
      <c r="C1694" s="1" t="s">
        <v>5676</v>
      </c>
      <c r="D1694" s="1" t="s">
        <v>5677</v>
      </c>
      <c r="E1694" s="1" t="s">
        <v>9213</v>
      </c>
      <c r="F1694" s="1" t="s">
        <v>8957</v>
      </c>
      <c r="G1694" t="s">
        <v>8959</v>
      </c>
      <c r="H1694" s="1" t="s">
        <v>8984</v>
      </c>
      <c r="I1694" s="1" t="s">
        <v>9131</v>
      </c>
      <c r="J1694" s="2" t="s">
        <v>21335</v>
      </c>
      <c r="K1694" s="1" t="s">
        <v>21865</v>
      </c>
      <c r="L1694" s="1" t="s">
        <v>8987</v>
      </c>
      <c r="M1694" s="1">
        <v>77</v>
      </c>
      <c r="N1694" s="1" t="s">
        <v>11658</v>
      </c>
      <c r="O1694" s="1" t="s">
        <v>8954</v>
      </c>
      <c r="P1694" s="1" t="s">
        <v>8955</v>
      </c>
      <c r="Q1694" s="1" t="s">
        <v>8956</v>
      </c>
      <c r="R1694" s="1" t="s">
        <v>8958</v>
      </c>
      <c r="S1694" s="1" t="s">
        <v>19751</v>
      </c>
      <c r="T1694" s="1" t="s">
        <v>7</v>
      </c>
      <c r="U1694" s="1" t="s">
        <v>2284</v>
      </c>
    </row>
    <row r="1695" spans="1:21" x14ac:dyDescent="0.2">
      <c r="A1695" s="88" t="s">
        <v>17357</v>
      </c>
      <c r="B1695" s="88" t="e">
        <f>VLOOKUP(C1695,#REF!,1,0)</f>
        <v>#REF!</v>
      </c>
      <c r="C1695" s="1" t="s">
        <v>5678</v>
      </c>
      <c r="D1695" s="1" t="s">
        <v>5679</v>
      </c>
      <c r="E1695" s="1" t="s">
        <v>9465</v>
      </c>
      <c r="F1695" s="1" t="s">
        <v>8957</v>
      </c>
      <c r="G1695" t="s">
        <v>8959</v>
      </c>
      <c r="H1695" s="1" t="s">
        <v>9092</v>
      </c>
      <c r="I1695" s="1" t="s">
        <v>8949</v>
      </c>
      <c r="J1695" s="2" t="s">
        <v>8972</v>
      </c>
      <c r="K1695" s="1" t="s">
        <v>8972</v>
      </c>
      <c r="L1695" s="1" t="s">
        <v>21600</v>
      </c>
      <c r="M1695" s="1">
        <v>10874</v>
      </c>
      <c r="N1695" s="1" t="s">
        <v>8953</v>
      </c>
      <c r="O1695" s="1" t="s">
        <v>8954</v>
      </c>
      <c r="P1695" s="1" t="s">
        <v>8955</v>
      </c>
      <c r="Q1695" s="1" t="s">
        <v>8956</v>
      </c>
      <c r="R1695" s="1" t="s">
        <v>9103</v>
      </c>
      <c r="S1695" s="1" t="s">
        <v>5680</v>
      </c>
      <c r="T1695" s="1" t="s">
        <v>17</v>
      </c>
      <c r="U1695" s="1" t="s">
        <v>64</v>
      </c>
    </row>
    <row r="1696" spans="1:21" x14ac:dyDescent="0.2">
      <c r="A1696" s="88" t="s">
        <v>17358</v>
      </c>
      <c r="B1696" s="88" t="e">
        <f>VLOOKUP(C1696,#REF!,1,0)</f>
        <v>#REF!</v>
      </c>
      <c r="C1696" s="1" t="s">
        <v>5684</v>
      </c>
      <c r="D1696" s="1" t="s">
        <v>5685</v>
      </c>
      <c r="E1696" s="1" t="s">
        <v>14748</v>
      </c>
      <c r="F1696" s="1" t="s">
        <v>8959</v>
      </c>
      <c r="G1696" t="s">
        <v>9061</v>
      </c>
      <c r="H1696" s="1" t="s">
        <v>9035</v>
      </c>
      <c r="I1696" s="1" t="s">
        <v>9308</v>
      </c>
      <c r="J1696" s="2" t="s">
        <v>20841</v>
      </c>
      <c r="K1696" s="1" t="s">
        <v>20724</v>
      </c>
      <c r="L1696" s="1" t="s">
        <v>8951</v>
      </c>
      <c r="M1696" s="1">
        <v>1127</v>
      </c>
      <c r="N1696" s="1" t="s">
        <v>8953</v>
      </c>
      <c r="O1696" s="1" t="s">
        <v>8954</v>
      </c>
      <c r="P1696" s="1" t="s">
        <v>8955</v>
      </c>
      <c r="Q1696" s="1" t="s">
        <v>8956</v>
      </c>
      <c r="R1696" s="1" t="s">
        <v>8958</v>
      </c>
      <c r="S1696" s="1" t="s">
        <v>19753</v>
      </c>
      <c r="T1696" s="1" t="s">
        <v>7</v>
      </c>
      <c r="U1696" s="1" t="s">
        <v>74</v>
      </c>
    </row>
    <row r="1697" spans="1:21" x14ac:dyDescent="0.2">
      <c r="A1697" s="88" t="s">
        <v>17359</v>
      </c>
      <c r="B1697" s="88" t="e">
        <f>VLOOKUP(C1697,#REF!,1,0)</f>
        <v>#REF!</v>
      </c>
      <c r="C1697" s="1" t="s">
        <v>5686</v>
      </c>
      <c r="D1697" s="1" t="s">
        <v>5687</v>
      </c>
      <c r="E1697" s="1" t="s">
        <v>14748</v>
      </c>
      <c r="F1697" s="1" t="s">
        <v>8959</v>
      </c>
      <c r="G1697" t="s">
        <v>8959</v>
      </c>
      <c r="H1697" s="1" t="s">
        <v>9100</v>
      </c>
      <c r="I1697" s="1" t="s">
        <v>8949</v>
      </c>
      <c r="J1697" s="2" t="s">
        <v>20926</v>
      </c>
      <c r="K1697" s="1" t="s">
        <v>21714</v>
      </c>
      <c r="L1697" s="1" t="s">
        <v>8951</v>
      </c>
      <c r="M1697" s="1">
        <v>500</v>
      </c>
      <c r="N1697" s="1" t="s">
        <v>8953</v>
      </c>
      <c r="O1697" s="1" t="s">
        <v>8989</v>
      </c>
      <c r="P1697" s="1" t="s">
        <v>8955</v>
      </c>
      <c r="Q1697" s="1" t="s">
        <v>8956</v>
      </c>
      <c r="R1697" s="1" t="s">
        <v>9103</v>
      </c>
      <c r="S1697" s="1" t="s">
        <v>19754</v>
      </c>
      <c r="T1697" s="1" t="s">
        <v>7</v>
      </c>
      <c r="U1697" s="1" t="s">
        <v>948</v>
      </c>
    </row>
    <row r="1698" spans="1:21" x14ac:dyDescent="0.2">
      <c r="A1698" s="88" t="s">
        <v>17360</v>
      </c>
      <c r="B1698" s="88" t="e">
        <f>VLOOKUP(C1698,#REF!,1,0)</f>
        <v>#REF!</v>
      </c>
      <c r="C1698" s="1" t="s">
        <v>5688</v>
      </c>
      <c r="D1698" s="1" t="s">
        <v>5689</v>
      </c>
      <c r="E1698" s="1" t="s">
        <v>9815</v>
      </c>
      <c r="F1698" s="1" t="s">
        <v>8959</v>
      </c>
      <c r="G1698" t="s">
        <v>8959</v>
      </c>
      <c r="H1698" s="1" t="s">
        <v>9075</v>
      </c>
      <c r="I1698" s="1" t="s">
        <v>9101</v>
      </c>
      <c r="J1698" s="2" t="s">
        <v>20779</v>
      </c>
      <c r="K1698" s="1" t="s">
        <v>9036</v>
      </c>
      <c r="L1698" s="1" t="s">
        <v>20856</v>
      </c>
      <c r="M1698" s="1">
        <v>45000</v>
      </c>
      <c r="N1698" s="1" t="s">
        <v>8953</v>
      </c>
      <c r="O1698" s="1" t="s">
        <v>8989</v>
      </c>
      <c r="P1698" s="1" t="s">
        <v>8955</v>
      </c>
      <c r="Q1698" s="1" t="s">
        <v>8956</v>
      </c>
      <c r="R1698" s="1" t="s">
        <v>9103</v>
      </c>
      <c r="S1698" s="1" t="s">
        <v>19755</v>
      </c>
      <c r="T1698" s="1" t="s">
        <v>17</v>
      </c>
      <c r="U1698" s="1" t="s">
        <v>3451</v>
      </c>
    </row>
    <row r="1699" spans="1:21" x14ac:dyDescent="0.2">
      <c r="A1699" s="88" t="s">
        <v>17362</v>
      </c>
      <c r="B1699" s="88" t="e">
        <f>VLOOKUP(C1699,#REF!,1,0)</f>
        <v>#REF!</v>
      </c>
      <c r="C1699" s="1" t="s">
        <v>5698</v>
      </c>
      <c r="D1699" s="1" t="s">
        <v>5699</v>
      </c>
      <c r="E1699" s="1" t="s">
        <v>18502</v>
      </c>
      <c r="F1699" s="1" t="s">
        <v>8959</v>
      </c>
      <c r="G1699" t="s">
        <v>8959</v>
      </c>
      <c r="H1699" s="1" t="s">
        <v>9035</v>
      </c>
      <c r="I1699" s="1" t="s">
        <v>9308</v>
      </c>
      <c r="J1699" s="2" t="s">
        <v>21336</v>
      </c>
      <c r="K1699" s="1" t="s">
        <v>21715</v>
      </c>
      <c r="L1699" s="1" t="s">
        <v>8987</v>
      </c>
      <c r="M1699" s="1">
        <v>1112120</v>
      </c>
      <c r="N1699" s="1" t="s">
        <v>8953</v>
      </c>
      <c r="O1699" s="1" t="s">
        <v>8954</v>
      </c>
      <c r="P1699" s="1" t="s">
        <v>8955</v>
      </c>
      <c r="Q1699" s="1" t="s">
        <v>8956</v>
      </c>
      <c r="R1699" s="1" t="s">
        <v>9103</v>
      </c>
      <c r="S1699" s="1" t="s">
        <v>19759</v>
      </c>
      <c r="T1699" s="1" t="s">
        <v>17</v>
      </c>
      <c r="U1699" s="1" t="s">
        <v>87</v>
      </c>
    </row>
    <row r="1700" spans="1:21" x14ac:dyDescent="0.2">
      <c r="A1700" s="88" t="s">
        <v>17363</v>
      </c>
      <c r="B1700" s="88"/>
      <c r="C1700" s="1" t="s">
        <v>5700</v>
      </c>
      <c r="D1700" s="1" t="s">
        <v>5701</v>
      </c>
      <c r="E1700" s="1" t="e">
        <v>#N/A</v>
      </c>
      <c r="F1700" s="1" t="e">
        <v>#N/A</v>
      </c>
      <c r="G1700" t="e">
        <v>#N/A</v>
      </c>
      <c r="H1700" s="1" t="e">
        <v>#N/A</v>
      </c>
      <c r="I1700" s="1" t="e">
        <v>#N/A</v>
      </c>
      <c r="J1700" s="2" t="e">
        <v>#N/A</v>
      </c>
      <c r="K1700" s="1" t="e">
        <v>#N/A</v>
      </c>
      <c r="L1700" s="1" t="e">
        <v>#N/A</v>
      </c>
      <c r="M1700" s="1" t="e">
        <v>#N/A</v>
      </c>
      <c r="N1700" s="1" t="e">
        <v>#N/A</v>
      </c>
      <c r="O1700" s="1" t="e">
        <v>#N/A</v>
      </c>
      <c r="P1700" s="1" t="s">
        <v>8955</v>
      </c>
      <c r="Q1700" s="1" t="s">
        <v>8956</v>
      </c>
      <c r="R1700" s="1" t="s">
        <v>8958</v>
      </c>
      <c r="S1700" s="1" t="s">
        <v>19760</v>
      </c>
      <c r="T1700" s="1" t="s">
        <v>252</v>
      </c>
      <c r="U1700" s="1" t="s">
        <v>5702</v>
      </c>
    </row>
    <row r="1701" spans="1:21" x14ac:dyDescent="0.2">
      <c r="A1701" s="88" t="s">
        <v>17365</v>
      </c>
      <c r="B1701" s="88" t="e">
        <f>VLOOKUP(C1701,#REF!,1,0)</f>
        <v>#REF!</v>
      </c>
      <c r="C1701" s="1" t="s">
        <v>5705</v>
      </c>
      <c r="D1701" s="1" t="s">
        <v>5706</v>
      </c>
      <c r="E1701" s="1" t="s">
        <v>9310</v>
      </c>
      <c r="F1701" s="1" t="s">
        <v>9060</v>
      </c>
      <c r="G1701" t="s">
        <v>9061</v>
      </c>
      <c r="H1701" s="1" t="s">
        <v>9035</v>
      </c>
      <c r="I1701" s="1" t="s">
        <v>9308</v>
      </c>
      <c r="J1701" s="2" t="s">
        <v>21380</v>
      </c>
      <c r="K1701" s="1" t="s">
        <v>21866</v>
      </c>
      <c r="L1701" s="1" t="s">
        <v>20839</v>
      </c>
      <c r="M1701" s="1">
        <v>5208</v>
      </c>
      <c r="N1701" s="1" t="s">
        <v>8953</v>
      </c>
      <c r="O1701" s="1" t="s">
        <v>8989</v>
      </c>
      <c r="P1701" s="1" t="s">
        <v>8955</v>
      </c>
      <c r="Q1701" s="1" t="s">
        <v>8956</v>
      </c>
      <c r="R1701" s="1" t="s">
        <v>8958</v>
      </c>
      <c r="S1701" s="1" t="s">
        <v>19762</v>
      </c>
      <c r="T1701" s="1" t="s">
        <v>17</v>
      </c>
      <c r="U1701" s="1" t="s">
        <v>2211</v>
      </c>
    </row>
    <row r="1702" spans="1:21" x14ac:dyDescent="0.2">
      <c r="A1702" s="88" t="s">
        <v>17366</v>
      </c>
      <c r="B1702" s="88" t="e">
        <f>VLOOKUP(C1702,#REF!,1,0)</f>
        <v>#REF!</v>
      </c>
      <c r="C1702" s="1" t="s">
        <v>5707</v>
      </c>
      <c r="D1702" s="1" t="s">
        <v>5708</v>
      </c>
      <c r="E1702" s="1" t="s">
        <v>9310</v>
      </c>
      <c r="F1702" s="1" t="s">
        <v>8957</v>
      </c>
      <c r="G1702" t="s">
        <v>9061</v>
      </c>
      <c r="H1702" s="1" t="s">
        <v>9035</v>
      </c>
      <c r="I1702" s="1" t="s">
        <v>8998</v>
      </c>
      <c r="J1702" s="2" t="s">
        <v>10492</v>
      </c>
      <c r="K1702" s="1" t="s">
        <v>10492</v>
      </c>
      <c r="L1702" s="1" t="s">
        <v>8951</v>
      </c>
      <c r="M1702" s="1">
        <v>7000</v>
      </c>
      <c r="N1702" s="1" t="s">
        <v>20915</v>
      </c>
      <c r="O1702" s="1" t="s">
        <v>8989</v>
      </c>
      <c r="P1702" s="1" t="s">
        <v>8955</v>
      </c>
      <c r="Q1702" s="1" t="s">
        <v>8956</v>
      </c>
      <c r="R1702" s="1" t="s">
        <v>8958</v>
      </c>
      <c r="S1702" s="1" t="s">
        <v>19763</v>
      </c>
      <c r="T1702" s="1" t="s">
        <v>7</v>
      </c>
      <c r="U1702" s="1" t="s">
        <v>147</v>
      </c>
    </row>
    <row r="1703" spans="1:21" x14ac:dyDescent="0.2">
      <c r="A1703" s="88" t="s">
        <v>17370</v>
      </c>
      <c r="B1703" s="88" t="e">
        <f>VLOOKUP(C1703,#REF!,1,0)</f>
        <v>#REF!</v>
      </c>
      <c r="C1703" s="1" t="s">
        <v>5715</v>
      </c>
      <c r="D1703" s="1" t="s">
        <v>5716</v>
      </c>
      <c r="E1703" s="1" t="s">
        <v>9310</v>
      </c>
      <c r="F1703" s="1" t="s">
        <v>8957</v>
      </c>
      <c r="G1703" t="s">
        <v>8959</v>
      </c>
      <c r="H1703" s="1" t="s">
        <v>8984</v>
      </c>
      <c r="I1703" s="1" t="s">
        <v>8998</v>
      </c>
      <c r="J1703" s="2" t="s">
        <v>8972</v>
      </c>
      <c r="K1703" s="1" t="s">
        <v>8972</v>
      </c>
      <c r="L1703" s="1" t="s">
        <v>9292</v>
      </c>
      <c r="M1703" s="1">
        <v>223846</v>
      </c>
      <c r="N1703" s="1" t="s">
        <v>8953</v>
      </c>
      <c r="O1703" s="1" t="s">
        <v>8989</v>
      </c>
      <c r="P1703" s="1" t="s">
        <v>8955</v>
      </c>
      <c r="Q1703" s="1" t="s">
        <v>8956</v>
      </c>
      <c r="R1703" s="1" t="s">
        <v>8958</v>
      </c>
      <c r="S1703" s="1" t="s">
        <v>5717</v>
      </c>
      <c r="T1703" s="1" t="s">
        <v>17</v>
      </c>
      <c r="U1703" s="1" t="s">
        <v>110</v>
      </c>
    </row>
    <row r="1704" spans="1:21" x14ac:dyDescent="0.2">
      <c r="A1704" s="88" t="s">
        <v>17371</v>
      </c>
      <c r="B1704" s="88" t="e">
        <f>VLOOKUP(C1704,#REF!,1,0)</f>
        <v>#REF!</v>
      </c>
      <c r="C1704" s="1" t="s">
        <v>5718</v>
      </c>
      <c r="D1704" s="1" t="s">
        <v>5719</v>
      </c>
      <c r="E1704" s="1" t="s">
        <v>9310</v>
      </c>
      <c r="F1704" s="1" t="s">
        <v>8957</v>
      </c>
      <c r="G1704" t="s">
        <v>8959</v>
      </c>
      <c r="H1704" s="1" t="s">
        <v>8948</v>
      </c>
      <c r="I1704" s="1" t="s">
        <v>9155</v>
      </c>
      <c r="J1704" s="2" t="s">
        <v>11890</v>
      </c>
      <c r="K1704" s="1" t="s">
        <v>11890</v>
      </c>
      <c r="L1704" s="1" t="s">
        <v>8987</v>
      </c>
      <c r="M1704" s="1">
        <v>499</v>
      </c>
      <c r="N1704" s="1" t="s">
        <v>8953</v>
      </c>
      <c r="O1704" s="1" t="s">
        <v>8954</v>
      </c>
      <c r="P1704" s="1" t="s">
        <v>8955</v>
      </c>
      <c r="Q1704" s="1" t="s">
        <v>8956</v>
      </c>
      <c r="R1704" s="1" t="s">
        <v>8958</v>
      </c>
      <c r="S1704" s="1" t="s">
        <v>5720</v>
      </c>
      <c r="T1704" s="1" t="s">
        <v>17</v>
      </c>
      <c r="U1704" s="1" t="s">
        <v>5</v>
      </c>
    </row>
    <row r="1705" spans="1:21" x14ac:dyDescent="0.2">
      <c r="A1705" s="88" t="s">
        <v>17372</v>
      </c>
      <c r="B1705" s="88" t="e">
        <f>VLOOKUP(C1705,#REF!,1,0)</f>
        <v>#REF!</v>
      </c>
      <c r="C1705" s="1" t="s">
        <v>5721</v>
      </c>
      <c r="D1705" s="1" t="s">
        <v>5722</v>
      </c>
      <c r="E1705" s="1" t="s">
        <v>9310</v>
      </c>
      <c r="F1705" s="1" t="s">
        <v>8957</v>
      </c>
      <c r="G1705" t="s">
        <v>9061</v>
      </c>
      <c r="H1705" s="1" t="s">
        <v>9100</v>
      </c>
      <c r="I1705" s="1" t="s">
        <v>8949</v>
      </c>
      <c r="J1705" s="2" t="s">
        <v>21205</v>
      </c>
      <c r="K1705" s="1" t="s">
        <v>21205</v>
      </c>
      <c r="L1705" s="1" t="s">
        <v>21600</v>
      </c>
      <c r="M1705" s="1">
        <v>135</v>
      </c>
      <c r="N1705" s="1" t="s">
        <v>9059</v>
      </c>
      <c r="O1705" s="1" t="s">
        <v>8954</v>
      </c>
      <c r="P1705" s="1" t="s">
        <v>8955</v>
      </c>
      <c r="Q1705" s="1" t="s">
        <v>8956</v>
      </c>
      <c r="R1705" s="1" t="s">
        <v>8975</v>
      </c>
      <c r="S1705" s="1" t="s">
        <v>19766</v>
      </c>
      <c r="T1705" s="1" t="s">
        <v>17</v>
      </c>
      <c r="U1705" s="1" t="s">
        <v>61</v>
      </c>
    </row>
    <row r="1706" spans="1:21" x14ac:dyDescent="0.2">
      <c r="A1706" s="88" t="s">
        <v>17373</v>
      </c>
      <c r="B1706" s="88" t="e">
        <f>VLOOKUP(C1706,#REF!,1,0)</f>
        <v>#REF!</v>
      </c>
      <c r="C1706" s="1" t="s">
        <v>5723</v>
      </c>
      <c r="D1706" s="1" t="s">
        <v>5724</v>
      </c>
      <c r="E1706" s="1" t="s">
        <v>9176</v>
      </c>
      <c r="F1706" s="1" t="s">
        <v>8957</v>
      </c>
      <c r="G1706" t="s">
        <v>8959</v>
      </c>
      <c r="H1706" s="1" t="s">
        <v>8948</v>
      </c>
      <c r="I1706" s="1" t="s">
        <v>8998</v>
      </c>
      <c r="J1706" s="2" t="s">
        <v>9036</v>
      </c>
      <c r="K1706" s="1" t="s">
        <v>9036</v>
      </c>
      <c r="L1706" s="1" t="s">
        <v>9133</v>
      </c>
      <c r="M1706" s="1">
        <v>256</v>
      </c>
      <c r="N1706" s="1" t="s">
        <v>8953</v>
      </c>
      <c r="O1706" s="1" t="s">
        <v>8989</v>
      </c>
      <c r="P1706" s="1" t="s">
        <v>8955</v>
      </c>
      <c r="Q1706" s="1" t="s">
        <v>8956</v>
      </c>
      <c r="R1706" s="1" t="s">
        <v>9103</v>
      </c>
      <c r="S1706" s="1" t="s">
        <v>5725</v>
      </c>
      <c r="T1706" s="1" t="s">
        <v>11</v>
      </c>
      <c r="U1706" s="1" t="s">
        <v>184</v>
      </c>
    </row>
    <row r="1707" spans="1:21" x14ac:dyDescent="0.2">
      <c r="A1707" s="88" t="s">
        <v>17374</v>
      </c>
      <c r="B1707" s="88" t="e">
        <f>VLOOKUP(C1707,#REF!,1,0)</f>
        <v>#REF!</v>
      </c>
      <c r="C1707" s="1" t="s">
        <v>5726</v>
      </c>
      <c r="D1707" s="1" t="s">
        <v>5727</v>
      </c>
      <c r="E1707" s="1" t="s">
        <v>9310</v>
      </c>
      <c r="F1707" s="1" t="s">
        <v>8957</v>
      </c>
      <c r="G1707" t="s">
        <v>8959</v>
      </c>
      <c r="H1707" s="1" t="s">
        <v>9092</v>
      </c>
      <c r="I1707" s="1" t="s">
        <v>8949</v>
      </c>
      <c r="J1707" s="2" t="s">
        <v>20779</v>
      </c>
      <c r="K1707" s="1" t="s">
        <v>9036</v>
      </c>
      <c r="L1707" s="1" t="s">
        <v>8951</v>
      </c>
      <c r="M1707" s="1">
        <v>215</v>
      </c>
      <c r="N1707" s="1" t="s">
        <v>9059</v>
      </c>
      <c r="O1707" s="1" t="s">
        <v>8954</v>
      </c>
      <c r="P1707" s="1" t="s">
        <v>8955</v>
      </c>
      <c r="Q1707" s="1" t="s">
        <v>8956</v>
      </c>
      <c r="R1707" s="1" t="s">
        <v>8958</v>
      </c>
      <c r="S1707" s="1" t="s">
        <v>19767</v>
      </c>
      <c r="T1707" s="1" t="s">
        <v>17</v>
      </c>
      <c r="U1707" s="1" t="s">
        <v>126</v>
      </c>
    </row>
    <row r="1708" spans="1:21" x14ac:dyDescent="0.2">
      <c r="A1708" s="88" t="s">
        <v>17375</v>
      </c>
      <c r="B1708" s="88" t="e">
        <f>VLOOKUP(C1708,#REF!,1,0)</f>
        <v>#REF!</v>
      </c>
      <c r="C1708" s="1" t="s">
        <v>5728</v>
      </c>
      <c r="D1708" s="1" t="s">
        <v>5729</v>
      </c>
      <c r="E1708" s="1" t="s">
        <v>9310</v>
      </c>
      <c r="F1708" s="1" t="s">
        <v>8957</v>
      </c>
      <c r="G1708" t="s">
        <v>8959</v>
      </c>
      <c r="H1708" s="1" t="s">
        <v>8984</v>
      </c>
      <c r="I1708" s="1" t="s">
        <v>8998</v>
      </c>
      <c r="J1708" s="2" t="s">
        <v>21567</v>
      </c>
      <c r="K1708" s="1" t="s">
        <v>21567</v>
      </c>
      <c r="L1708" s="1" t="s">
        <v>9133</v>
      </c>
      <c r="M1708" s="1">
        <v>1300</v>
      </c>
      <c r="N1708" s="1" t="s">
        <v>8953</v>
      </c>
      <c r="O1708" s="1" t="s">
        <v>8989</v>
      </c>
      <c r="P1708" s="1" t="s">
        <v>8955</v>
      </c>
      <c r="Q1708" s="1" t="s">
        <v>8956</v>
      </c>
      <c r="R1708" s="1" t="s">
        <v>8958</v>
      </c>
      <c r="S1708" s="1" t="s">
        <v>5730</v>
      </c>
      <c r="T1708" s="1" t="s">
        <v>17</v>
      </c>
      <c r="U1708" s="1" t="s">
        <v>110</v>
      </c>
    </row>
    <row r="1709" spans="1:21" x14ac:dyDescent="0.2">
      <c r="A1709" s="88" t="s">
        <v>17376</v>
      </c>
      <c r="B1709" s="88" t="e">
        <f>VLOOKUP(C1709,#REF!,1,0)</f>
        <v>#REF!</v>
      </c>
      <c r="C1709" s="1" t="s">
        <v>5731</v>
      </c>
      <c r="D1709" s="1" t="s">
        <v>5732</v>
      </c>
      <c r="E1709" s="1" t="s">
        <v>9310</v>
      </c>
      <c r="F1709" s="1" t="s">
        <v>8957</v>
      </c>
      <c r="G1709" t="s">
        <v>8959</v>
      </c>
      <c r="H1709" s="1" t="s">
        <v>9605</v>
      </c>
      <c r="I1709" s="1" t="s">
        <v>9155</v>
      </c>
      <c r="J1709" s="2" t="s">
        <v>9036</v>
      </c>
      <c r="K1709" s="1" t="s">
        <v>9036</v>
      </c>
      <c r="L1709" s="1" t="s">
        <v>8987</v>
      </c>
      <c r="M1709" s="1">
        <v>1555</v>
      </c>
      <c r="N1709" s="1" t="s">
        <v>8953</v>
      </c>
      <c r="O1709" s="1" t="s">
        <v>8954</v>
      </c>
      <c r="P1709" s="1" t="s">
        <v>8955</v>
      </c>
      <c r="Q1709" s="1" t="s">
        <v>8956</v>
      </c>
      <c r="R1709" s="1" t="s">
        <v>9103</v>
      </c>
      <c r="S1709" s="1" t="s">
        <v>5733</v>
      </c>
      <c r="T1709" s="1" t="s">
        <v>4</v>
      </c>
      <c r="U1709" s="1" t="s">
        <v>184</v>
      </c>
    </row>
    <row r="1710" spans="1:21" x14ac:dyDescent="0.2">
      <c r="A1710" s="88" t="s">
        <v>17377</v>
      </c>
      <c r="B1710" s="88" t="e">
        <f>VLOOKUP(C1710,#REF!,1,0)</f>
        <v>#REF!</v>
      </c>
      <c r="C1710" s="1" t="s">
        <v>5734</v>
      </c>
      <c r="D1710" s="1" t="s">
        <v>5735</v>
      </c>
      <c r="E1710" s="1" t="s">
        <v>9815</v>
      </c>
      <c r="F1710" s="1" t="s">
        <v>8959</v>
      </c>
      <c r="G1710" t="s">
        <v>8959</v>
      </c>
      <c r="H1710" s="1" t="s">
        <v>9035</v>
      </c>
      <c r="I1710" s="1" t="s">
        <v>9155</v>
      </c>
      <c r="J1710" s="2" t="s">
        <v>10525</v>
      </c>
      <c r="K1710" s="1" t="s">
        <v>10525</v>
      </c>
      <c r="L1710" s="1" t="s">
        <v>8951</v>
      </c>
      <c r="M1710" s="1">
        <v>8864</v>
      </c>
      <c r="N1710" s="1" t="s">
        <v>8953</v>
      </c>
      <c r="O1710" s="1" t="s">
        <v>8954</v>
      </c>
      <c r="P1710" s="1" t="s">
        <v>8955</v>
      </c>
      <c r="Q1710" s="1" t="s">
        <v>8956</v>
      </c>
      <c r="R1710" s="1" t="s">
        <v>8958</v>
      </c>
      <c r="S1710" s="1" t="s">
        <v>19768</v>
      </c>
      <c r="T1710" s="1" t="s">
        <v>7</v>
      </c>
      <c r="U1710" s="1" t="s">
        <v>5736</v>
      </c>
    </row>
    <row r="1711" spans="1:21" x14ac:dyDescent="0.2">
      <c r="A1711" s="88" t="s">
        <v>17378</v>
      </c>
      <c r="B1711" s="88" t="e">
        <f>VLOOKUP(C1711,#REF!,1,0)</f>
        <v>#REF!</v>
      </c>
      <c r="C1711" s="1" t="s">
        <v>5737</v>
      </c>
      <c r="D1711" s="1" t="s">
        <v>5738</v>
      </c>
      <c r="E1711" s="1" t="s">
        <v>9815</v>
      </c>
      <c r="F1711" s="1" t="s">
        <v>8959</v>
      </c>
      <c r="G1711" t="s">
        <v>8959</v>
      </c>
      <c r="H1711" s="1" t="s">
        <v>9035</v>
      </c>
      <c r="I1711" s="1" t="s">
        <v>9155</v>
      </c>
      <c r="J1711" s="2" t="s">
        <v>10525</v>
      </c>
      <c r="K1711" s="1" t="s">
        <v>10525</v>
      </c>
      <c r="L1711" s="1" t="s">
        <v>8951</v>
      </c>
      <c r="M1711" s="1">
        <v>570</v>
      </c>
      <c r="N1711" s="1" t="s">
        <v>8953</v>
      </c>
      <c r="O1711" s="1" t="s">
        <v>8989</v>
      </c>
      <c r="P1711" s="1" t="s">
        <v>8955</v>
      </c>
      <c r="Q1711" s="1" t="s">
        <v>8956</v>
      </c>
      <c r="R1711" s="1" t="s">
        <v>8958</v>
      </c>
      <c r="S1711" s="1" t="s">
        <v>20662</v>
      </c>
      <c r="T1711" s="1" t="s">
        <v>17</v>
      </c>
      <c r="U1711" s="1" t="s">
        <v>5739</v>
      </c>
    </row>
    <row r="1712" spans="1:21" x14ac:dyDescent="0.2">
      <c r="A1712" s="88" t="s">
        <v>17379</v>
      </c>
      <c r="B1712" s="88" t="e">
        <f>VLOOKUP(C1712,#REF!,1,0)</f>
        <v>#REF!</v>
      </c>
      <c r="C1712" s="1" t="s">
        <v>20931</v>
      </c>
      <c r="D1712" s="1" t="s">
        <v>5740</v>
      </c>
      <c r="E1712" s="1" t="s">
        <v>10008</v>
      </c>
      <c r="F1712" s="1" t="s">
        <v>8959</v>
      </c>
      <c r="G1712" t="s">
        <v>8959</v>
      </c>
      <c r="H1712" s="1" t="s">
        <v>9075</v>
      </c>
      <c r="I1712" s="1" t="s">
        <v>8998</v>
      </c>
      <c r="J1712" s="2" t="s">
        <v>21568</v>
      </c>
      <c r="K1712" s="1" t="s">
        <v>21716</v>
      </c>
      <c r="L1712" s="1" t="s">
        <v>8987</v>
      </c>
      <c r="M1712" s="1">
        <v>970</v>
      </c>
      <c r="N1712" s="1" t="s">
        <v>8953</v>
      </c>
      <c r="O1712" s="1" t="s">
        <v>8989</v>
      </c>
      <c r="P1712" s="1" t="s">
        <v>8955</v>
      </c>
      <c r="Q1712" s="1" t="s">
        <v>8956</v>
      </c>
      <c r="R1712" s="1" t="s">
        <v>9103</v>
      </c>
      <c r="S1712" s="1" t="s">
        <v>20663</v>
      </c>
      <c r="T1712" s="1" t="s">
        <v>7</v>
      </c>
      <c r="U1712" s="1" t="s">
        <v>110</v>
      </c>
    </row>
    <row r="1713" spans="1:21" x14ac:dyDescent="0.2">
      <c r="A1713" s="88" t="s">
        <v>17380</v>
      </c>
      <c r="B1713" s="88" t="e">
        <f>VLOOKUP(C1713,#REF!,1,0)</f>
        <v>#REF!</v>
      </c>
      <c r="C1713" s="1" t="s">
        <v>5741</v>
      </c>
      <c r="D1713" s="1" t="s">
        <v>5742</v>
      </c>
      <c r="E1713" s="1" t="s">
        <v>10008</v>
      </c>
      <c r="F1713" s="1" t="s">
        <v>8959</v>
      </c>
      <c r="G1713" t="s">
        <v>8959</v>
      </c>
      <c r="H1713" s="1" t="s">
        <v>9075</v>
      </c>
      <c r="I1713" s="1" t="s">
        <v>20930</v>
      </c>
      <c r="J1713" s="2" t="s">
        <v>21568</v>
      </c>
      <c r="K1713" s="1" t="s">
        <v>21716</v>
      </c>
      <c r="L1713" s="1" t="s">
        <v>8987</v>
      </c>
      <c r="M1713" s="1">
        <v>778</v>
      </c>
      <c r="N1713" s="1" t="s">
        <v>8953</v>
      </c>
      <c r="O1713" s="1" t="s">
        <v>8989</v>
      </c>
      <c r="P1713" s="1" t="s">
        <v>8955</v>
      </c>
      <c r="Q1713" s="1" t="s">
        <v>8956</v>
      </c>
      <c r="R1713" s="1" t="s">
        <v>9103</v>
      </c>
      <c r="S1713" s="1" t="s">
        <v>20663</v>
      </c>
      <c r="T1713" s="1" t="s">
        <v>7</v>
      </c>
      <c r="U1713" s="1" t="s">
        <v>2024</v>
      </c>
    </row>
    <row r="1714" spans="1:21" x14ac:dyDescent="0.2">
      <c r="A1714" s="88" t="s">
        <v>17381</v>
      </c>
      <c r="B1714" s="88" t="e">
        <f>VLOOKUP(C1714,#REF!,1,0)</f>
        <v>#REF!</v>
      </c>
      <c r="C1714" s="1" t="s">
        <v>5743</v>
      </c>
      <c r="D1714" s="1" t="s">
        <v>5744</v>
      </c>
      <c r="E1714" s="1" t="s">
        <v>10008</v>
      </c>
      <c r="F1714" s="1" t="s">
        <v>8959</v>
      </c>
      <c r="G1714" t="s">
        <v>8959</v>
      </c>
      <c r="H1714" s="1" t="s">
        <v>9075</v>
      </c>
      <c r="I1714" s="1" t="s">
        <v>20930</v>
      </c>
      <c r="J1714" s="2" t="s">
        <v>21276</v>
      </c>
      <c r="K1714" s="1" t="s">
        <v>21717</v>
      </c>
      <c r="L1714" s="1" t="s">
        <v>9292</v>
      </c>
      <c r="M1714" s="1">
        <v>778</v>
      </c>
      <c r="N1714" s="1" t="s">
        <v>8953</v>
      </c>
      <c r="O1714" s="1" t="s">
        <v>8989</v>
      </c>
      <c r="P1714" s="1" t="s">
        <v>8955</v>
      </c>
      <c r="Q1714" s="1" t="s">
        <v>8956</v>
      </c>
      <c r="R1714" s="1" t="s">
        <v>9103</v>
      </c>
      <c r="S1714" s="1" t="s">
        <v>20664</v>
      </c>
      <c r="T1714" s="1" t="s">
        <v>7</v>
      </c>
      <c r="U1714" s="1" t="s">
        <v>5745</v>
      </c>
    </row>
    <row r="1715" spans="1:21" x14ac:dyDescent="0.2">
      <c r="A1715" s="88" t="s">
        <v>17382</v>
      </c>
      <c r="B1715" s="88" t="e">
        <f>VLOOKUP(C1715,#REF!,1,0)</f>
        <v>#REF!</v>
      </c>
      <c r="C1715" s="1" t="s">
        <v>5746</v>
      </c>
      <c r="D1715" s="1" t="s">
        <v>5747</v>
      </c>
      <c r="E1715" s="1" t="s">
        <v>18502</v>
      </c>
      <c r="F1715" s="1" t="s">
        <v>8957</v>
      </c>
      <c r="G1715" t="s">
        <v>9061</v>
      </c>
      <c r="H1715" s="1" t="s">
        <v>9252</v>
      </c>
      <c r="I1715" s="1" t="s">
        <v>8949</v>
      </c>
      <c r="J1715" s="2" t="s">
        <v>20933</v>
      </c>
      <c r="K1715" s="1" t="s">
        <v>21858</v>
      </c>
      <c r="L1715" s="1" t="s">
        <v>21604</v>
      </c>
      <c r="M1715" s="1">
        <v>195</v>
      </c>
      <c r="N1715" s="1" t="s">
        <v>9059</v>
      </c>
      <c r="O1715" s="1" t="s">
        <v>8954</v>
      </c>
      <c r="P1715" s="1" t="s">
        <v>8955</v>
      </c>
      <c r="Q1715" s="1" t="s">
        <v>8956</v>
      </c>
      <c r="R1715" s="1" t="s">
        <v>8958</v>
      </c>
      <c r="S1715" s="1" t="s">
        <v>19769</v>
      </c>
      <c r="T1715" s="1" t="s">
        <v>7</v>
      </c>
      <c r="U1715" s="1" t="s">
        <v>93</v>
      </c>
    </row>
    <row r="1716" spans="1:21" x14ac:dyDescent="0.2">
      <c r="A1716" s="88" t="s">
        <v>17383</v>
      </c>
      <c r="B1716" s="88" t="e">
        <f>VLOOKUP(C1716,#REF!,1,0)</f>
        <v>#REF!</v>
      </c>
      <c r="C1716" s="1" t="s">
        <v>5748</v>
      </c>
      <c r="D1716" s="1" t="s">
        <v>5749</v>
      </c>
      <c r="E1716" s="1" t="s">
        <v>9010</v>
      </c>
      <c r="F1716" s="1" t="s">
        <v>8957</v>
      </c>
      <c r="G1716" t="s">
        <v>8959</v>
      </c>
      <c r="H1716" s="1" t="s">
        <v>8948</v>
      </c>
      <c r="I1716" s="1" t="s">
        <v>8998</v>
      </c>
      <c r="J1716" s="2" t="s">
        <v>10218</v>
      </c>
      <c r="K1716" s="1" t="s">
        <v>10218</v>
      </c>
      <c r="L1716" s="1" t="s">
        <v>9133</v>
      </c>
      <c r="M1716" s="1">
        <v>9455</v>
      </c>
      <c r="N1716" s="1" t="s">
        <v>8953</v>
      </c>
      <c r="O1716" s="1" t="s">
        <v>8989</v>
      </c>
      <c r="P1716" s="1" t="s">
        <v>8955</v>
      </c>
      <c r="Q1716" s="1" t="s">
        <v>8956</v>
      </c>
      <c r="R1716" s="1" t="s">
        <v>8975</v>
      </c>
      <c r="S1716" s="1" t="s">
        <v>5750</v>
      </c>
      <c r="T1716" s="1" t="s">
        <v>17</v>
      </c>
      <c r="U1716" s="1" t="s">
        <v>1918</v>
      </c>
    </row>
    <row r="1717" spans="1:21" x14ac:dyDescent="0.2">
      <c r="A1717" s="88" t="s">
        <v>17385</v>
      </c>
      <c r="B1717" s="88" t="e">
        <f>VLOOKUP(C1717,#REF!,1,0)</f>
        <v>#REF!</v>
      </c>
      <c r="C1717" s="1" t="s">
        <v>5753</v>
      </c>
      <c r="D1717" s="1" t="s">
        <v>5754</v>
      </c>
      <c r="E1717" s="1" t="s">
        <v>9213</v>
      </c>
      <c r="F1717" s="1" t="s">
        <v>8957</v>
      </c>
      <c r="G1717" t="s">
        <v>8959</v>
      </c>
      <c r="H1717" s="1" t="s">
        <v>9075</v>
      </c>
      <c r="I1717" s="1" t="s">
        <v>8971</v>
      </c>
      <c r="J1717" s="2" t="s">
        <v>9523</v>
      </c>
      <c r="K1717" s="1" t="s">
        <v>9523</v>
      </c>
      <c r="L1717" s="1" t="s">
        <v>21600</v>
      </c>
      <c r="M1717" s="1">
        <v>3372</v>
      </c>
      <c r="N1717" s="1" t="s">
        <v>8953</v>
      </c>
      <c r="O1717" s="1" t="s">
        <v>8954</v>
      </c>
      <c r="P1717" s="1" t="s">
        <v>8955</v>
      </c>
      <c r="Q1717" s="1" t="s">
        <v>8956</v>
      </c>
      <c r="R1717" s="1" t="s">
        <v>8975</v>
      </c>
      <c r="S1717" s="1" t="s">
        <v>5755</v>
      </c>
      <c r="T1717" s="1" t="s">
        <v>17</v>
      </c>
      <c r="U1717" s="1" t="s">
        <v>93</v>
      </c>
    </row>
    <row r="1718" spans="1:21" x14ac:dyDescent="0.2">
      <c r="A1718" s="88" t="s">
        <v>17386</v>
      </c>
      <c r="B1718" s="88" t="e">
        <f>VLOOKUP(C1718,#REF!,1,0)</f>
        <v>#REF!</v>
      </c>
      <c r="C1718" s="1" t="s">
        <v>5756</v>
      </c>
      <c r="D1718" s="1" t="s">
        <v>5757</v>
      </c>
      <c r="E1718" s="1" t="s">
        <v>9213</v>
      </c>
      <c r="F1718" s="1" t="s">
        <v>8957</v>
      </c>
      <c r="G1718" t="s">
        <v>9061</v>
      </c>
      <c r="H1718" s="1" t="s">
        <v>8984</v>
      </c>
      <c r="I1718" s="1" t="s">
        <v>8998</v>
      </c>
      <c r="J1718" s="2" t="s">
        <v>20805</v>
      </c>
      <c r="K1718" s="1" t="s">
        <v>9212</v>
      </c>
      <c r="L1718" s="1" t="s">
        <v>21600</v>
      </c>
      <c r="M1718" s="1">
        <v>11167</v>
      </c>
      <c r="N1718" s="1" t="s">
        <v>8953</v>
      </c>
      <c r="O1718" s="1" t="s">
        <v>8954</v>
      </c>
      <c r="P1718" s="1" t="s">
        <v>8955</v>
      </c>
      <c r="Q1718" s="1" t="s">
        <v>8956</v>
      </c>
      <c r="R1718" s="1" t="s">
        <v>8975</v>
      </c>
      <c r="S1718" s="1" t="s">
        <v>19770</v>
      </c>
      <c r="T1718" s="1" t="s">
        <v>7</v>
      </c>
      <c r="U1718" s="1" t="s">
        <v>138</v>
      </c>
    </row>
    <row r="1719" spans="1:21" x14ac:dyDescent="0.2">
      <c r="A1719" s="88" t="s">
        <v>17387</v>
      </c>
      <c r="B1719" s="88" t="e">
        <f>VLOOKUP(C1719,#REF!,1,0)</f>
        <v>#REF!</v>
      </c>
      <c r="C1719" s="1" t="s">
        <v>5758</v>
      </c>
      <c r="D1719" s="1" t="s">
        <v>5759</v>
      </c>
      <c r="E1719" s="1" t="s">
        <v>9213</v>
      </c>
      <c r="F1719" s="1" t="s">
        <v>9060</v>
      </c>
      <c r="G1719" t="s">
        <v>9183</v>
      </c>
      <c r="H1719" s="1" t="s">
        <v>9092</v>
      </c>
      <c r="I1719" s="1" t="s">
        <v>8998</v>
      </c>
      <c r="J1719" s="2" t="s">
        <v>8972</v>
      </c>
      <c r="K1719" s="1" t="s">
        <v>8972</v>
      </c>
      <c r="L1719" s="1" t="s">
        <v>9464</v>
      </c>
      <c r="M1719" s="1">
        <v>3500</v>
      </c>
      <c r="N1719" s="1" t="s">
        <v>8953</v>
      </c>
      <c r="O1719" s="1" t="s">
        <v>8989</v>
      </c>
      <c r="P1719" s="1" t="s">
        <v>8955</v>
      </c>
      <c r="Q1719" s="1" t="s">
        <v>8956</v>
      </c>
      <c r="R1719" s="1" t="s">
        <v>8958</v>
      </c>
      <c r="S1719" s="1" t="s">
        <v>5760</v>
      </c>
      <c r="T1719" s="1" t="s">
        <v>11</v>
      </c>
      <c r="U1719" s="1" t="s">
        <v>93</v>
      </c>
    </row>
    <row r="1720" spans="1:21" x14ac:dyDescent="0.2">
      <c r="A1720" s="88" t="s">
        <v>17388</v>
      </c>
      <c r="B1720" s="88" t="e">
        <f>VLOOKUP(C1720,#REF!,1,0)</f>
        <v>#REF!</v>
      </c>
      <c r="C1720" s="1" t="s">
        <v>5761</v>
      </c>
      <c r="D1720" s="1" t="s">
        <v>5762</v>
      </c>
      <c r="E1720" s="1" t="s">
        <v>9213</v>
      </c>
      <c r="F1720" s="1" t="s">
        <v>8959</v>
      </c>
      <c r="G1720" t="s">
        <v>8959</v>
      </c>
      <c r="H1720" s="1" t="s">
        <v>9075</v>
      </c>
      <c r="I1720" s="1" t="s">
        <v>9155</v>
      </c>
      <c r="J1720" s="2" t="s">
        <v>10492</v>
      </c>
      <c r="K1720" s="1" t="s">
        <v>10492</v>
      </c>
      <c r="L1720" s="1" t="s">
        <v>21600</v>
      </c>
      <c r="M1720" s="1">
        <v>456</v>
      </c>
      <c r="N1720" s="1" t="s">
        <v>9059</v>
      </c>
      <c r="O1720" s="1" t="s">
        <v>8989</v>
      </c>
      <c r="P1720" s="1" t="s">
        <v>8955</v>
      </c>
      <c r="Q1720" s="1" t="s">
        <v>8956</v>
      </c>
      <c r="R1720" s="1" t="s">
        <v>8975</v>
      </c>
      <c r="S1720" s="1" t="s">
        <v>19771</v>
      </c>
      <c r="T1720" s="1" t="s">
        <v>17</v>
      </c>
      <c r="U1720" s="1" t="s">
        <v>24</v>
      </c>
    </row>
    <row r="1721" spans="1:21" x14ac:dyDescent="0.2">
      <c r="A1721" s="88" t="s">
        <v>17389</v>
      </c>
      <c r="B1721" s="88" t="e">
        <f>VLOOKUP(C1721,#REF!,1,0)</f>
        <v>#REF!</v>
      </c>
      <c r="C1721" s="1" t="s">
        <v>5763</v>
      </c>
      <c r="D1721" s="1" t="s">
        <v>5764</v>
      </c>
      <c r="E1721" s="1" t="s">
        <v>9213</v>
      </c>
      <c r="F1721" s="1" t="s">
        <v>8957</v>
      </c>
      <c r="G1721" t="s">
        <v>9183</v>
      </c>
      <c r="H1721" s="1" t="s">
        <v>9100</v>
      </c>
      <c r="I1721" s="1" t="s">
        <v>8998</v>
      </c>
      <c r="J1721" s="2" t="s">
        <v>8972</v>
      </c>
      <c r="K1721" s="1" t="s">
        <v>21768</v>
      </c>
      <c r="L1721" s="1" t="s">
        <v>9464</v>
      </c>
      <c r="M1721" s="1">
        <v>7670</v>
      </c>
      <c r="N1721" s="1" t="s">
        <v>8953</v>
      </c>
      <c r="O1721" s="1" t="s">
        <v>8989</v>
      </c>
      <c r="P1721" s="1" t="s">
        <v>8955</v>
      </c>
      <c r="Q1721" s="1" t="s">
        <v>8956</v>
      </c>
      <c r="R1721" s="1" t="s">
        <v>8958</v>
      </c>
      <c r="S1721" s="1" t="s">
        <v>5765</v>
      </c>
      <c r="T1721" s="1" t="s">
        <v>11</v>
      </c>
      <c r="U1721" s="1" t="s">
        <v>378</v>
      </c>
    </row>
    <row r="1722" spans="1:21" x14ac:dyDescent="0.2">
      <c r="A1722" s="88" t="s">
        <v>17390</v>
      </c>
      <c r="B1722" s="88" t="e">
        <f>VLOOKUP(C1722,#REF!,1,0)</f>
        <v>#REF!</v>
      </c>
      <c r="C1722" s="1" t="s">
        <v>5766</v>
      </c>
      <c r="D1722" s="1" t="s">
        <v>5767</v>
      </c>
      <c r="E1722" s="1" t="s">
        <v>9213</v>
      </c>
      <c r="F1722" s="1" t="s">
        <v>8957</v>
      </c>
      <c r="G1722" t="s">
        <v>9183</v>
      </c>
      <c r="H1722" s="1" t="s">
        <v>20714</v>
      </c>
      <c r="I1722" s="1" t="s">
        <v>20935</v>
      </c>
      <c r="J1722" s="2" t="s">
        <v>18489</v>
      </c>
      <c r="K1722" s="1" t="s">
        <v>18489</v>
      </c>
      <c r="L1722" s="1" t="s">
        <v>9076</v>
      </c>
      <c r="M1722" s="1">
        <v>1819</v>
      </c>
      <c r="N1722" s="1" t="s">
        <v>9059</v>
      </c>
      <c r="O1722" s="1" t="s">
        <v>8989</v>
      </c>
      <c r="P1722" s="1" t="s">
        <v>8955</v>
      </c>
      <c r="Q1722" s="1" t="s">
        <v>8956</v>
      </c>
      <c r="R1722" s="1" t="s">
        <v>9103</v>
      </c>
      <c r="S1722" s="1" t="s">
        <v>19772</v>
      </c>
      <c r="T1722" s="1" t="s">
        <v>7</v>
      </c>
      <c r="U1722" s="1" t="s">
        <v>110</v>
      </c>
    </row>
    <row r="1723" spans="1:21" x14ac:dyDescent="0.2">
      <c r="A1723" s="88" t="s">
        <v>17391</v>
      </c>
      <c r="B1723" s="88" t="e">
        <f>VLOOKUP(C1723,#REF!,1,0)</f>
        <v>#REF!</v>
      </c>
      <c r="C1723" s="1" t="s">
        <v>5768</v>
      </c>
      <c r="D1723" s="1" t="s">
        <v>5769</v>
      </c>
      <c r="E1723" s="1" t="s">
        <v>18502</v>
      </c>
      <c r="F1723" s="1" t="s">
        <v>8974</v>
      </c>
      <c r="G1723" t="s">
        <v>9061</v>
      </c>
      <c r="H1723" s="1" t="s">
        <v>8984</v>
      </c>
      <c r="I1723" s="1" t="s">
        <v>8998</v>
      </c>
      <c r="J1723" s="2" t="s">
        <v>20830</v>
      </c>
      <c r="K1723" s="1" t="s">
        <v>9041</v>
      </c>
      <c r="L1723" s="1" t="s">
        <v>21600</v>
      </c>
      <c r="M1723" s="1">
        <v>1150</v>
      </c>
      <c r="N1723" s="1" t="s">
        <v>8953</v>
      </c>
      <c r="O1723" s="1" t="s">
        <v>8989</v>
      </c>
      <c r="P1723" s="1" t="s">
        <v>8955</v>
      </c>
      <c r="Q1723" s="1" t="s">
        <v>8956</v>
      </c>
      <c r="R1723" s="1" t="s">
        <v>8975</v>
      </c>
      <c r="S1723" s="1" t="s">
        <v>19773</v>
      </c>
      <c r="T1723" s="1" t="s">
        <v>7</v>
      </c>
      <c r="U1723" s="1" t="s">
        <v>2865</v>
      </c>
    </row>
    <row r="1724" spans="1:21" x14ac:dyDescent="0.2">
      <c r="A1724" s="88" t="s">
        <v>17392</v>
      </c>
      <c r="B1724" s="88" t="e">
        <f>VLOOKUP(C1724,#REF!,1,0)</f>
        <v>#REF!</v>
      </c>
      <c r="C1724" s="1" t="s">
        <v>5770</v>
      </c>
      <c r="D1724" s="1" t="s">
        <v>5771</v>
      </c>
      <c r="E1724" s="1" t="s">
        <v>9213</v>
      </c>
      <c r="F1724" s="1" t="s">
        <v>8957</v>
      </c>
      <c r="G1724" t="s">
        <v>20937</v>
      </c>
      <c r="H1724" s="1" t="s">
        <v>9035</v>
      </c>
      <c r="I1724" s="1" t="s">
        <v>8998</v>
      </c>
      <c r="J1724" s="2" t="s">
        <v>20779</v>
      </c>
      <c r="K1724" s="1" t="s">
        <v>9036</v>
      </c>
      <c r="L1724" s="1" t="s">
        <v>21600</v>
      </c>
      <c r="M1724" s="1">
        <v>100</v>
      </c>
      <c r="N1724" s="1" t="s">
        <v>9059</v>
      </c>
      <c r="O1724" s="1" t="s">
        <v>8989</v>
      </c>
      <c r="P1724" s="1" t="s">
        <v>8955</v>
      </c>
      <c r="Q1724" s="1" t="s">
        <v>8956</v>
      </c>
      <c r="R1724" s="1" t="s">
        <v>8975</v>
      </c>
      <c r="S1724" s="1" t="s">
        <v>19774</v>
      </c>
      <c r="T1724" s="1" t="s">
        <v>17</v>
      </c>
      <c r="U1724" s="1" t="s">
        <v>138</v>
      </c>
    </row>
    <row r="1725" spans="1:21" x14ac:dyDescent="0.2">
      <c r="A1725" s="88" t="s">
        <v>17393</v>
      </c>
      <c r="B1725" s="88" t="e">
        <f>VLOOKUP(C1725,#REF!,1,0)</f>
        <v>#REF!</v>
      </c>
      <c r="C1725" s="1" t="s">
        <v>5772</v>
      </c>
      <c r="D1725" s="1" t="s">
        <v>5773</v>
      </c>
      <c r="E1725" s="1" t="s">
        <v>9213</v>
      </c>
      <c r="F1725" s="1" t="s">
        <v>8957</v>
      </c>
      <c r="G1725" t="s">
        <v>9061</v>
      </c>
      <c r="H1725" s="1" t="s">
        <v>9035</v>
      </c>
      <c r="I1725" s="1" t="s">
        <v>9308</v>
      </c>
      <c r="J1725" s="2" t="s">
        <v>9036</v>
      </c>
      <c r="K1725" s="1" t="s">
        <v>9036</v>
      </c>
      <c r="L1725" s="1" t="s">
        <v>8951</v>
      </c>
      <c r="M1725" s="1">
        <v>11137</v>
      </c>
      <c r="N1725" s="1" t="s">
        <v>8953</v>
      </c>
      <c r="O1725" s="1" t="s">
        <v>8954</v>
      </c>
      <c r="P1725" s="1" t="s">
        <v>8955</v>
      </c>
      <c r="Q1725" s="1" t="s">
        <v>8956</v>
      </c>
      <c r="R1725" s="1" t="s">
        <v>8958</v>
      </c>
      <c r="S1725" s="1" t="s">
        <v>5774</v>
      </c>
      <c r="T1725" s="1" t="s">
        <v>17</v>
      </c>
      <c r="U1725" s="1" t="s">
        <v>147</v>
      </c>
    </row>
    <row r="1726" spans="1:21" x14ac:dyDescent="0.2">
      <c r="A1726" s="88" t="s">
        <v>17394</v>
      </c>
      <c r="B1726" s="88" t="e">
        <f>VLOOKUP(C1726,#REF!,1,0)</f>
        <v>#REF!</v>
      </c>
      <c r="C1726" s="1" t="s">
        <v>5775</v>
      </c>
      <c r="D1726" s="1" t="s">
        <v>5776</v>
      </c>
      <c r="E1726" s="1" t="s">
        <v>9213</v>
      </c>
      <c r="F1726" s="1" t="s">
        <v>8957</v>
      </c>
      <c r="G1726" t="s">
        <v>9061</v>
      </c>
      <c r="H1726" s="1" t="s">
        <v>9035</v>
      </c>
      <c r="I1726" s="1" t="s">
        <v>9308</v>
      </c>
      <c r="J1726" s="2" t="s">
        <v>20779</v>
      </c>
      <c r="K1726" s="1" t="s">
        <v>9036</v>
      </c>
      <c r="L1726" s="1" t="s">
        <v>8951</v>
      </c>
      <c r="M1726" s="1">
        <v>15809</v>
      </c>
      <c r="N1726" s="1" t="s">
        <v>8953</v>
      </c>
      <c r="O1726" s="1" t="s">
        <v>8954</v>
      </c>
      <c r="P1726" s="1" t="s">
        <v>8955</v>
      </c>
      <c r="Q1726" s="1" t="s">
        <v>8956</v>
      </c>
      <c r="R1726" s="1" t="s">
        <v>8958</v>
      </c>
      <c r="S1726" s="1" t="s">
        <v>19775</v>
      </c>
      <c r="T1726" s="1" t="s">
        <v>7</v>
      </c>
      <c r="U1726" s="1" t="s">
        <v>147</v>
      </c>
    </row>
    <row r="1727" spans="1:21" x14ac:dyDescent="0.2">
      <c r="A1727" s="88" t="s">
        <v>17395</v>
      </c>
      <c r="B1727" s="88" t="e">
        <f>VLOOKUP(C1727,#REF!,1,0)</f>
        <v>#REF!</v>
      </c>
      <c r="C1727" s="1" t="s">
        <v>15483</v>
      </c>
      <c r="D1727" s="1" t="s">
        <v>5777</v>
      </c>
      <c r="E1727" s="1" t="s">
        <v>9213</v>
      </c>
      <c r="F1727" s="1" t="s">
        <v>9060</v>
      </c>
      <c r="G1727" t="s">
        <v>9061</v>
      </c>
      <c r="H1727" s="1" t="s">
        <v>9943</v>
      </c>
      <c r="I1727" s="1" t="s">
        <v>8971</v>
      </c>
      <c r="J1727" s="2" t="s">
        <v>21234</v>
      </c>
      <c r="K1727" s="1" t="s">
        <v>21234</v>
      </c>
      <c r="L1727" s="1" t="s">
        <v>21609</v>
      </c>
      <c r="M1727" s="1">
        <v>4919</v>
      </c>
      <c r="N1727" s="1" t="s">
        <v>8953</v>
      </c>
      <c r="O1727" s="1" t="s">
        <v>8954</v>
      </c>
      <c r="P1727" s="1" t="s">
        <v>8955</v>
      </c>
      <c r="Q1727" s="1" t="s">
        <v>8956</v>
      </c>
      <c r="R1727" s="1" t="s">
        <v>8975</v>
      </c>
      <c r="S1727" s="1" t="s">
        <v>19776</v>
      </c>
      <c r="T1727" s="1" t="s">
        <v>17</v>
      </c>
      <c r="U1727" s="1" t="s">
        <v>24</v>
      </c>
    </row>
    <row r="1728" spans="1:21" x14ac:dyDescent="0.2">
      <c r="A1728" s="88" t="s">
        <v>17396</v>
      </c>
      <c r="B1728" s="88" t="e">
        <f>VLOOKUP(C1728,#REF!,1,0)</f>
        <v>#REF!</v>
      </c>
      <c r="C1728" s="1" t="s">
        <v>5781</v>
      </c>
      <c r="D1728" s="1" t="s">
        <v>5782</v>
      </c>
      <c r="E1728" s="1" t="s">
        <v>9176</v>
      </c>
      <c r="F1728" s="1" t="s">
        <v>8959</v>
      </c>
      <c r="G1728" t="s">
        <v>9183</v>
      </c>
      <c r="H1728" s="1" t="s">
        <v>8948</v>
      </c>
      <c r="I1728" s="1" t="s">
        <v>8998</v>
      </c>
      <c r="J1728" s="2" t="s">
        <v>18489</v>
      </c>
      <c r="K1728" s="1" t="s">
        <v>18489</v>
      </c>
      <c r="L1728" s="1" t="s">
        <v>9292</v>
      </c>
      <c r="M1728" s="1">
        <v>447</v>
      </c>
      <c r="N1728" s="1" t="s">
        <v>8953</v>
      </c>
      <c r="O1728" s="1" t="s">
        <v>8989</v>
      </c>
      <c r="P1728" s="1" t="s">
        <v>8955</v>
      </c>
      <c r="Q1728" s="1" t="s">
        <v>8956</v>
      </c>
      <c r="R1728" s="1" t="s">
        <v>8975</v>
      </c>
      <c r="S1728" s="1" t="s">
        <v>19778</v>
      </c>
      <c r="T1728" s="1" t="s">
        <v>7</v>
      </c>
      <c r="U1728" s="1" t="s">
        <v>3021</v>
      </c>
    </row>
    <row r="1729" spans="1:21" x14ac:dyDescent="0.2">
      <c r="A1729" s="88" t="s">
        <v>17397</v>
      </c>
      <c r="B1729" s="88" t="e">
        <f>VLOOKUP(C1729,#REF!,1,0)</f>
        <v>#REF!</v>
      </c>
      <c r="C1729" s="1" t="s">
        <v>5783</v>
      </c>
      <c r="D1729" s="1" t="s">
        <v>5784</v>
      </c>
      <c r="E1729" s="1" t="s">
        <v>9407</v>
      </c>
      <c r="F1729" s="1" t="s">
        <v>8957</v>
      </c>
      <c r="G1729" t="s">
        <v>8959</v>
      </c>
      <c r="H1729" s="1" t="s">
        <v>9605</v>
      </c>
      <c r="I1729" s="1" t="s">
        <v>9101</v>
      </c>
      <c r="J1729" s="2" t="s">
        <v>9036</v>
      </c>
      <c r="K1729" s="1" t="s">
        <v>9036</v>
      </c>
      <c r="L1729" s="1" t="s">
        <v>8987</v>
      </c>
      <c r="M1729" s="1">
        <f>65000+12500+12500</f>
        <v>90000</v>
      </c>
      <c r="N1729" s="1" t="s">
        <v>20915</v>
      </c>
      <c r="O1729" s="1" t="s">
        <v>8989</v>
      </c>
      <c r="P1729" s="1" t="s">
        <v>8955</v>
      </c>
      <c r="Q1729" s="1" t="s">
        <v>8956</v>
      </c>
      <c r="R1729" s="1" t="s">
        <v>9103</v>
      </c>
      <c r="S1729" s="1" t="s">
        <v>5785</v>
      </c>
      <c r="T1729" s="1" t="s">
        <v>4</v>
      </c>
      <c r="U1729" s="1" t="s">
        <v>5786</v>
      </c>
    </row>
    <row r="1730" spans="1:21" x14ac:dyDescent="0.2">
      <c r="A1730" s="88" t="s">
        <v>17398</v>
      </c>
      <c r="B1730" s="88" t="e">
        <f>VLOOKUP(C1730,#REF!,1,0)</f>
        <v>#REF!</v>
      </c>
      <c r="C1730" s="1" t="s">
        <v>5787</v>
      </c>
      <c r="D1730" s="1" t="s">
        <v>5788</v>
      </c>
      <c r="E1730" s="1" t="s">
        <v>18502</v>
      </c>
      <c r="F1730" s="1" t="s">
        <v>8957</v>
      </c>
      <c r="G1730" t="s">
        <v>8959</v>
      </c>
      <c r="H1730" s="1" t="s">
        <v>8948</v>
      </c>
      <c r="I1730" s="1" t="s">
        <v>8949</v>
      </c>
      <c r="J1730" s="2" t="s">
        <v>10492</v>
      </c>
      <c r="K1730" s="1" t="s">
        <v>10492</v>
      </c>
      <c r="L1730" s="1" t="s">
        <v>8951</v>
      </c>
      <c r="M1730" s="1">
        <v>1424</v>
      </c>
      <c r="N1730" s="1" t="s">
        <v>9059</v>
      </c>
      <c r="O1730" s="1" t="s">
        <v>8954</v>
      </c>
      <c r="P1730" s="1" t="s">
        <v>8955</v>
      </c>
      <c r="Q1730" s="1" t="s">
        <v>8956</v>
      </c>
      <c r="R1730" s="1" t="s">
        <v>8975</v>
      </c>
      <c r="S1730" s="1" t="s">
        <v>20665</v>
      </c>
      <c r="T1730" s="1" t="s">
        <v>17</v>
      </c>
      <c r="U1730" s="1" t="s">
        <v>322</v>
      </c>
    </row>
    <row r="1731" spans="1:21" x14ac:dyDescent="0.2">
      <c r="A1731" s="88" t="s">
        <v>17399</v>
      </c>
      <c r="B1731" s="88" t="e">
        <f>VLOOKUP(C1731,#REF!,1,0)</f>
        <v>#REF!</v>
      </c>
      <c r="C1731" s="1" t="s">
        <v>5789</v>
      </c>
      <c r="D1731" s="1" t="s">
        <v>5790</v>
      </c>
      <c r="E1731" s="1" t="s">
        <v>9317</v>
      </c>
      <c r="F1731" s="1" t="s">
        <v>8957</v>
      </c>
      <c r="G1731" t="s">
        <v>8959</v>
      </c>
      <c r="H1731" s="1" t="s">
        <v>9035</v>
      </c>
      <c r="I1731" s="1" t="s">
        <v>9308</v>
      </c>
      <c r="J1731" s="2" t="s">
        <v>20736</v>
      </c>
      <c r="K1731" s="1" t="s">
        <v>21640</v>
      </c>
      <c r="L1731" s="1" t="s">
        <v>8987</v>
      </c>
      <c r="M1731" s="1">
        <v>1104</v>
      </c>
      <c r="N1731" s="1" t="s">
        <v>9059</v>
      </c>
      <c r="O1731" s="1" t="s">
        <v>8954</v>
      </c>
      <c r="P1731" s="1" t="s">
        <v>8955</v>
      </c>
      <c r="Q1731" s="1" t="s">
        <v>8956</v>
      </c>
      <c r="R1731" s="1" t="s">
        <v>8958</v>
      </c>
      <c r="S1731" s="1" t="s">
        <v>19779</v>
      </c>
      <c r="T1731" s="1" t="s">
        <v>17</v>
      </c>
      <c r="U1731" s="1" t="s">
        <v>24</v>
      </c>
    </row>
    <row r="1732" spans="1:21" x14ac:dyDescent="0.2">
      <c r="A1732" s="88" t="s">
        <v>17402</v>
      </c>
      <c r="B1732" s="88" t="e">
        <f>VLOOKUP(C1732,#REF!,1,0)</f>
        <v>#REF!</v>
      </c>
      <c r="C1732" s="1" t="s">
        <v>5796</v>
      </c>
      <c r="D1732" s="1" t="s">
        <v>5797</v>
      </c>
      <c r="E1732" s="1" t="s">
        <v>18502</v>
      </c>
      <c r="F1732" s="1" t="s">
        <v>8959</v>
      </c>
      <c r="G1732" t="s">
        <v>8959</v>
      </c>
      <c r="H1732" s="1" t="s">
        <v>9154</v>
      </c>
      <c r="I1732" s="1" t="s">
        <v>8971</v>
      </c>
      <c r="J1732" s="131" t="s">
        <v>21569</v>
      </c>
      <c r="K1732" s="1" t="s">
        <v>21569</v>
      </c>
      <c r="L1732" s="1" t="s">
        <v>8951</v>
      </c>
      <c r="M1732" s="1">
        <v>2100</v>
      </c>
      <c r="N1732" s="1" t="s">
        <v>8953</v>
      </c>
      <c r="O1732" s="1" t="s">
        <v>8989</v>
      </c>
      <c r="P1732" s="1" t="s">
        <v>8955</v>
      </c>
      <c r="Q1732" s="1" t="s">
        <v>8956</v>
      </c>
      <c r="R1732" s="1" t="s">
        <v>9103</v>
      </c>
      <c r="S1732" s="1" t="s">
        <v>20666</v>
      </c>
      <c r="T1732" s="1" t="s">
        <v>17</v>
      </c>
      <c r="U1732" s="1" t="s">
        <v>46</v>
      </c>
    </row>
    <row r="1733" spans="1:21" x14ac:dyDescent="0.2">
      <c r="A1733" s="88" t="s">
        <v>17403</v>
      </c>
      <c r="B1733" s="88" t="e">
        <f>VLOOKUP(C1733,#REF!,1,0)</f>
        <v>#REF!</v>
      </c>
      <c r="C1733" s="1" t="s">
        <v>5798</v>
      </c>
      <c r="D1733" s="1" t="s">
        <v>5799</v>
      </c>
      <c r="E1733" s="1" t="s">
        <v>10873</v>
      </c>
      <c r="F1733" s="1" t="s">
        <v>9060</v>
      </c>
      <c r="G1733" t="s">
        <v>8959</v>
      </c>
      <c r="H1733" s="1" t="s">
        <v>20712</v>
      </c>
      <c r="I1733" s="1" t="s">
        <v>8971</v>
      </c>
      <c r="J1733" s="2" t="s">
        <v>21429</v>
      </c>
      <c r="K1733" s="1" t="s">
        <v>21429</v>
      </c>
      <c r="L1733" s="1" t="s">
        <v>8987</v>
      </c>
      <c r="M1733" s="1">
        <v>89</v>
      </c>
      <c r="N1733" s="1" t="s">
        <v>9059</v>
      </c>
      <c r="O1733" s="1" t="s">
        <v>8989</v>
      </c>
      <c r="P1733" s="1" t="s">
        <v>8955</v>
      </c>
      <c r="Q1733" s="1" t="s">
        <v>8956</v>
      </c>
      <c r="R1733" s="1" t="s">
        <v>8958</v>
      </c>
      <c r="S1733" s="1" t="s">
        <v>19782</v>
      </c>
      <c r="T1733" s="1" t="s">
        <v>17</v>
      </c>
      <c r="U1733" s="1" t="s">
        <v>921</v>
      </c>
    </row>
    <row r="1734" spans="1:21" x14ac:dyDescent="0.2">
      <c r="A1734" s="88" t="s">
        <v>17404</v>
      </c>
      <c r="B1734" s="88" t="e">
        <f>VLOOKUP(C1734,#REF!,1,0)</f>
        <v>#REF!</v>
      </c>
      <c r="C1734" s="1" t="s">
        <v>5800</v>
      </c>
      <c r="D1734" s="1" t="s">
        <v>5801</v>
      </c>
      <c r="E1734" s="1" t="s">
        <v>10049</v>
      </c>
      <c r="F1734" s="1" t="s">
        <v>8959</v>
      </c>
      <c r="G1734" t="s">
        <v>8959</v>
      </c>
      <c r="H1734" s="1" t="s">
        <v>8948</v>
      </c>
      <c r="I1734" s="1" t="s">
        <v>8959</v>
      </c>
      <c r="J1734" s="2" t="s">
        <v>21287</v>
      </c>
      <c r="K1734" s="1" t="s">
        <v>21718</v>
      </c>
      <c r="L1734" s="1" t="s">
        <v>8987</v>
      </c>
      <c r="M1734" s="1">
        <v>18</v>
      </c>
      <c r="N1734" s="1" t="s">
        <v>11658</v>
      </c>
      <c r="O1734" s="1" t="s">
        <v>8989</v>
      </c>
      <c r="P1734" s="1" t="s">
        <v>8955</v>
      </c>
      <c r="Q1734" s="1" t="s">
        <v>8956</v>
      </c>
      <c r="R1734" s="1" t="s">
        <v>8958</v>
      </c>
      <c r="S1734" s="1" t="s">
        <v>19783</v>
      </c>
      <c r="T1734" s="1" t="s">
        <v>7</v>
      </c>
      <c r="U1734" s="1" t="s">
        <v>5</v>
      </c>
    </row>
    <row r="1735" spans="1:21" x14ac:dyDescent="0.2">
      <c r="A1735" s="88" t="s">
        <v>17405</v>
      </c>
      <c r="B1735" s="88" t="e">
        <f>VLOOKUP(C1735,#REF!,1,0)</f>
        <v>#REF!</v>
      </c>
      <c r="C1735" s="1" t="s">
        <v>5802</v>
      </c>
      <c r="D1735" s="1" t="s">
        <v>5803</v>
      </c>
      <c r="E1735" s="1" t="s">
        <v>10032</v>
      </c>
      <c r="F1735" s="1" t="s">
        <v>8957</v>
      </c>
      <c r="G1735" t="s">
        <v>8959</v>
      </c>
      <c r="H1735" s="1" t="s">
        <v>9092</v>
      </c>
      <c r="I1735" s="1" t="s">
        <v>8949</v>
      </c>
      <c r="J1735" s="2" t="s">
        <v>21527</v>
      </c>
      <c r="K1735" s="1" t="s">
        <v>21527</v>
      </c>
      <c r="L1735" s="1" t="s">
        <v>21600</v>
      </c>
      <c r="M1735" s="1">
        <v>946</v>
      </c>
      <c r="N1735" s="1" t="s">
        <v>8953</v>
      </c>
      <c r="O1735" s="1" t="s">
        <v>8989</v>
      </c>
      <c r="P1735" s="1" t="s">
        <v>8955</v>
      </c>
      <c r="Q1735" s="1" t="s">
        <v>8956</v>
      </c>
      <c r="R1735" s="1" t="s">
        <v>8958</v>
      </c>
      <c r="S1735" s="1" t="s">
        <v>19784</v>
      </c>
      <c r="T1735" s="1" t="s">
        <v>17</v>
      </c>
      <c r="U1735" s="1" t="s">
        <v>21</v>
      </c>
    </row>
    <row r="1736" spans="1:21" x14ac:dyDescent="0.2">
      <c r="A1736" s="88" t="s">
        <v>17406</v>
      </c>
      <c r="B1736" s="88" t="e">
        <f>VLOOKUP(C1736,#REF!,1,0)</f>
        <v>#REF!</v>
      </c>
      <c r="C1736" s="1" t="s">
        <v>5804</v>
      </c>
      <c r="D1736" s="1" t="s">
        <v>5805</v>
      </c>
      <c r="E1736" s="1" t="s">
        <v>18502</v>
      </c>
      <c r="F1736" s="1" t="s">
        <v>8957</v>
      </c>
      <c r="G1736" t="s">
        <v>8959</v>
      </c>
      <c r="H1736" s="1" t="s">
        <v>9035</v>
      </c>
      <c r="I1736" s="1" t="s">
        <v>8998</v>
      </c>
      <c r="J1736" s="2" t="s">
        <v>10525</v>
      </c>
      <c r="K1736" s="1" t="s">
        <v>21650</v>
      </c>
      <c r="L1736" s="1" t="s">
        <v>9292</v>
      </c>
      <c r="M1736" s="1">
        <v>185</v>
      </c>
      <c r="N1736" s="1" t="s">
        <v>9059</v>
      </c>
      <c r="O1736" s="1" t="s">
        <v>8989</v>
      </c>
      <c r="P1736" s="1" t="s">
        <v>8955</v>
      </c>
      <c r="Q1736" s="1" t="s">
        <v>8956</v>
      </c>
      <c r="R1736" s="1" t="s">
        <v>8975</v>
      </c>
      <c r="S1736" s="1" t="s">
        <v>19785</v>
      </c>
      <c r="T1736" s="1" t="s">
        <v>17</v>
      </c>
      <c r="U1736" s="1" t="s">
        <v>5806</v>
      </c>
    </row>
    <row r="1737" spans="1:21" x14ac:dyDescent="0.2">
      <c r="A1737" s="88" t="s">
        <v>17408</v>
      </c>
      <c r="B1737" s="88" t="e">
        <f>VLOOKUP(C1737,#REF!,1,0)</f>
        <v>#REF!</v>
      </c>
      <c r="C1737" s="1" t="s">
        <v>5817</v>
      </c>
      <c r="D1737" s="1" t="s">
        <v>5818</v>
      </c>
      <c r="E1737" s="1" t="s">
        <v>18502</v>
      </c>
      <c r="F1737" s="1" t="s">
        <v>9060</v>
      </c>
      <c r="G1737" t="s">
        <v>9061</v>
      </c>
      <c r="H1737" s="1" t="s">
        <v>9092</v>
      </c>
      <c r="I1737" s="1" t="s">
        <v>8949</v>
      </c>
      <c r="J1737" s="2" t="s">
        <v>10492</v>
      </c>
      <c r="K1737" s="1" t="s">
        <v>21645</v>
      </c>
      <c r="L1737" s="1" t="s">
        <v>20856</v>
      </c>
      <c r="M1737" s="1">
        <v>1478</v>
      </c>
      <c r="N1737" s="1" t="s">
        <v>8953</v>
      </c>
      <c r="O1737" s="1" t="s">
        <v>8989</v>
      </c>
      <c r="P1737" s="1" t="s">
        <v>8955</v>
      </c>
      <c r="Q1737" s="1" t="s">
        <v>8956</v>
      </c>
      <c r="R1737" s="1" t="s">
        <v>8958</v>
      </c>
      <c r="S1737" s="1" t="s">
        <v>19788</v>
      </c>
      <c r="T1737" s="1" t="s">
        <v>17</v>
      </c>
      <c r="U1737" s="1" t="s">
        <v>619</v>
      </c>
    </row>
    <row r="1738" spans="1:21" x14ac:dyDescent="0.2">
      <c r="A1738" s="88" t="s">
        <v>17409</v>
      </c>
      <c r="B1738" s="88" t="e">
        <f>VLOOKUP(C1738,#REF!,1,0)</f>
        <v>#REF!</v>
      </c>
      <c r="C1738" s="1" t="s">
        <v>5819</v>
      </c>
      <c r="D1738" s="1" t="s">
        <v>5820</v>
      </c>
      <c r="E1738" s="1" t="s">
        <v>9317</v>
      </c>
      <c r="F1738" s="1" t="s">
        <v>8957</v>
      </c>
      <c r="G1738" t="s">
        <v>9061</v>
      </c>
      <c r="H1738" s="1" t="s">
        <v>9100</v>
      </c>
      <c r="I1738" s="1" t="s">
        <v>8949</v>
      </c>
      <c r="J1738" s="2" t="s">
        <v>20838</v>
      </c>
      <c r="K1738" s="1" t="s">
        <v>20755</v>
      </c>
      <c r="L1738" s="1" t="s">
        <v>9076</v>
      </c>
      <c r="M1738" s="1">
        <v>33</v>
      </c>
      <c r="N1738" s="1" t="s">
        <v>9059</v>
      </c>
      <c r="O1738" s="1" t="s">
        <v>8989</v>
      </c>
      <c r="P1738" s="1" t="s">
        <v>8955</v>
      </c>
      <c r="Q1738" s="1" t="s">
        <v>8956</v>
      </c>
      <c r="R1738" s="1" t="s">
        <v>8975</v>
      </c>
      <c r="S1738" s="1" t="s">
        <v>19789</v>
      </c>
      <c r="T1738" s="1" t="s">
        <v>17</v>
      </c>
      <c r="U1738" s="1" t="s">
        <v>1780</v>
      </c>
    </row>
    <row r="1739" spans="1:21" x14ac:dyDescent="0.2">
      <c r="A1739" s="88" t="s">
        <v>17410</v>
      </c>
      <c r="B1739" s="88" t="e">
        <f>VLOOKUP(C1739,#REF!,1,0)</f>
        <v>#REF!</v>
      </c>
      <c r="C1739" s="1" t="s">
        <v>5821</v>
      </c>
      <c r="D1739" s="1" t="s">
        <v>5822</v>
      </c>
      <c r="E1739" s="1" t="s">
        <v>18502</v>
      </c>
      <c r="F1739" s="1" t="s">
        <v>8957</v>
      </c>
      <c r="G1739" t="s">
        <v>8959</v>
      </c>
      <c r="H1739" s="1" t="s">
        <v>20714</v>
      </c>
      <c r="I1739" s="1" t="s">
        <v>20725</v>
      </c>
      <c r="J1739" s="2" t="s">
        <v>20723</v>
      </c>
      <c r="K1739" s="1" t="s">
        <v>20723</v>
      </c>
      <c r="L1739" s="1" t="s">
        <v>21600</v>
      </c>
      <c r="M1739" s="1">
        <v>50</v>
      </c>
      <c r="N1739" s="1" t="s">
        <v>8953</v>
      </c>
      <c r="O1739" s="1" t="s">
        <v>8989</v>
      </c>
      <c r="P1739" s="1" t="s">
        <v>8955</v>
      </c>
      <c r="Q1739" s="1" t="s">
        <v>8956</v>
      </c>
      <c r="R1739" s="1" t="s">
        <v>8958</v>
      </c>
      <c r="S1739" s="1" t="s">
        <v>19790</v>
      </c>
      <c r="T1739" s="1" t="s">
        <v>17</v>
      </c>
      <c r="U1739" s="1" t="s">
        <v>74</v>
      </c>
    </row>
    <row r="1740" spans="1:21" x14ac:dyDescent="0.2">
      <c r="A1740" s="88" t="s">
        <v>17411</v>
      </c>
      <c r="B1740" s="88" t="e">
        <f>VLOOKUP(C1740,#REF!,1,0)</f>
        <v>#REF!</v>
      </c>
      <c r="C1740" s="1" t="s">
        <v>5823</v>
      </c>
      <c r="D1740" s="1" t="s">
        <v>5824</v>
      </c>
      <c r="E1740" s="1" t="s">
        <v>9317</v>
      </c>
      <c r="F1740" s="1" t="s">
        <v>9060</v>
      </c>
      <c r="G1740" t="s">
        <v>8959</v>
      </c>
      <c r="H1740" s="1" t="s">
        <v>9100</v>
      </c>
      <c r="I1740" s="1" t="s">
        <v>8949</v>
      </c>
      <c r="J1740" s="134" t="s">
        <v>21288</v>
      </c>
      <c r="K1740" s="1" t="s">
        <v>21867</v>
      </c>
      <c r="L1740" s="1" t="s">
        <v>8951</v>
      </c>
      <c r="M1740" s="1">
        <v>120</v>
      </c>
      <c r="N1740" s="1" t="s">
        <v>9059</v>
      </c>
      <c r="O1740" s="1" t="s">
        <v>8954</v>
      </c>
      <c r="P1740" s="1" t="s">
        <v>8955</v>
      </c>
      <c r="Q1740" s="1" t="s">
        <v>8956</v>
      </c>
      <c r="R1740" s="1" t="s">
        <v>8975</v>
      </c>
      <c r="S1740" s="1" t="s">
        <v>19791</v>
      </c>
      <c r="T1740" s="1" t="s">
        <v>7</v>
      </c>
      <c r="U1740" s="1" t="s">
        <v>110</v>
      </c>
    </row>
    <row r="1741" spans="1:21" x14ac:dyDescent="0.2">
      <c r="A1741" s="88" t="s">
        <v>17412</v>
      </c>
      <c r="B1741" s="88" t="e">
        <f>VLOOKUP(C1741,#REF!,1,0)</f>
        <v>#REF!</v>
      </c>
      <c r="C1741" s="1" t="s">
        <v>5825</v>
      </c>
      <c r="D1741" s="1" t="s">
        <v>5826</v>
      </c>
      <c r="E1741" s="1" t="s">
        <v>9317</v>
      </c>
      <c r="F1741" s="1" t="s">
        <v>8957</v>
      </c>
      <c r="G1741" t="s">
        <v>8959</v>
      </c>
      <c r="H1741" s="1" t="s">
        <v>20712</v>
      </c>
      <c r="I1741" s="1" t="s">
        <v>9155</v>
      </c>
      <c r="J1741" s="2" t="s">
        <v>21633</v>
      </c>
      <c r="K1741" s="1" t="s">
        <v>9245</v>
      </c>
      <c r="L1741" s="1" t="s">
        <v>8987</v>
      </c>
      <c r="M1741" s="1">
        <v>122386</v>
      </c>
      <c r="N1741" s="1" t="s">
        <v>8953</v>
      </c>
      <c r="O1741" s="1" t="s">
        <v>8954</v>
      </c>
      <c r="P1741" s="1" t="s">
        <v>8955</v>
      </c>
      <c r="Q1741" s="1" t="s">
        <v>8956</v>
      </c>
      <c r="R1741" s="1" t="s">
        <v>9103</v>
      </c>
      <c r="S1741" s="1" t="s">
        <v>19792</v>
      </c>
      <c r="T1741" s="1" t="s">
        <v>17</v>
      </c>
      <c r="U1741" s="1" t="s">
        <v>46</v>
      </c>
    </row>
    <row r="1742" spans="1:21" x14ac:dyDescent="0.2">
      <c r="A1742" s="88" t="s">
        <v>17413</v>
      </c>
      <c r="B1742" s="88" t="e">
        <f>VLOOKUP(C1742,#REF!,1,0)</f>
        <v>#REF!</v>
      </c>
      <c r="C1742" s="1" t="s">
        <v>5827</v>
      </c>
      <c r="D1742" s="1" t="s">
        <v>5828</v>
      </c>
      <c r="E1742" s="1" t="s">
        <v>9310</v>
      </c>
      <c r="F1742" s="1" t="s">
        <v>8957</v>
      </c>
      <c r="G1742" t="s">
        <v>9061</v>
      </c>
      <c r="H1742" s="1" t="s">
        <v>8948</v>
      </c>
      <c r="I1742" s="1" t="s">
        <v>9155</v>
      </c>
      <c r="J1742" s="2" t="s">
        <v>20779</v>
      </c>
      <c r="K1742" s="1" t="s">
        <v>9036</v>
      </c>
      <c r="L1742" s="1" t="s">
        <v>9157</v>
      </c>
      <c r="M1742" s="1">
        <v>707</v>
      </c>
      <c r="N1742" s="1" t="s">
        <v>8953</v>
      </c>
      <c r="O1742" s="1" t="s">
        <v>8989</v>
      </c>
      <c r="P1742" s="1" t="s">
        <v>8955</v>
      </c>
      <c r="Q1742" s="1" t="s">
        <v>8956</v>
      </c>
      <c r="R1742" s="1" t="s">
        <v>8975</v>
      </c>
      <c r="S1742" s="1" t="s">
        <v>19793</v>
      </c>
      <c r="T1742" s="1" t="s">
        <v>17</v>
      </c>
      <c r="U1742" s="1" t="s">
        <v>39</v>
      </c>
    </row>
    <row r="1743" spans="1:21" x14ac:dyDescent="0.2">
      <c r="A1743" s="88" t="s">
        <v>17415</v>
      </c>
      <c r="B1743" s="88" t="e">
        <f>VLOOKUP(C1743,#REF!,1,0)</f>
        <v>#REF!</v>
      </c>
      <c r="C1743" s="1" t="s">
        <v>5831</v>
      </c>
      <c r="D1743" s="1" t="s">
        <v>5832</v>
      </c>
      <c r="E1743" s="1" t="s">
        <v>9310</v>
      </c>
      <c r="F1743" s="1" t="s">
        <v>8957</v>
      </c>
      <c r="G1743" t="s">
        <v>9009</v>
      </c>
      <c r="H1743" s="1" t="s">
        <v>8984</v>
      </c>
      <c r="I1743" s="1" t="s">
        <v>8998</v>
      </c>
      <c r="J1743" s="2" t="s">
        <v>18497</v>
      </c>
      <c r="K1743" s="1" t="s">
        <v>18497</v>
      </c>
      <c r="L1743" s="1" t="s">
        <v>8951</v>
      </c>
      <c r="M1743" s="1">
        <v>789</v>
      </c>
      <c r="N1743" s="1" t="s">
        <v>9059</v>
      </c>
      <c r="O1743" s="1" t="s">
        <v>8954</v>
      </c>
      <c r="P1743" s="1" t="s">
        <v>8955</v>
      </c>
      <c r="Q1743" s="1" t="s">
        <v>8956</v>
      </c>
      <c r="R1743" s="1" t="s">
        <v>8975</v>
      </c>
      <c r="S1743" s="1" t="s">
        <v>19795</v>
      </c>
      <c r="T1743" s="1" t="s">
        <v>7</v>
      </c>
      <c r="U1743" s="1" t="s">
        <v>147</v>
      </c>
    </row>
    <row r="1744" spans="1:21" x14ac:dyDescent="0.2">
      <c r="A1744" s="88" t="s">
        <v>17416</v>
      </c>
      <c r="B1744" s="88" t="e">
        <f>VLOOKUP(C1744,#REF!,1,0)</f>
        <v>#REF!</v>
      </c>
      <c r="C1744" s="1" t="s">
        <v>5833</v>
      </c>
      <c r="D1744" s="1" t="s">
        <v>5834</v>
      </c>
      <c r="E1744" s="1" t="s">
        <v>9310</v>
      </c>
      <c r="F1744" s="1" t="s">
        <v>8957</v>
      </c>
      <c r="G1744" t="s">
        <v>8959</v>
      </c>
      <c r="H1744" s="1" t="s">
        <v>9035</v>
      </c>
      <c r="I1744" s="1" t="s">
        <v>8998</v>
      </c>
      <c r="J1744" s="2" t="s">
        <v>18497</v>
      </c>
      <c r="K1744" s="1" t="s">
        <v>18497</v>
      </c>
      <c r="L1744" s="1" t="s">
        <v>8987</v>
      </c>
      <c r="M1744" s="1">
        <v>1020000</v>
      </c>
      <c r="N1744" s="1" t="s">
        <v>20915</v>
      </c>
      <c r="O1744" s="1" t="s">
        <v>8954</v>
      </c>
      <c r="P1744" s="1" t="s">
        <v>8955</v>
      </c>
      <c r="Q1744" s="1" t="s">
        <v>8956</v>
      </c>
      <c r="R1744" s="1" t="s">
        <v>8975</v>
      </c>
      <c r="S1744" s="1" t="s">
        <v>19796</v>
      </c>
      <c r="T1744" s="1" t="s">
        <v>17</v>
      </c>
      <c r="U1744" s="1" t="s">
        <v>27</v>
      </c>
    </row>
    <row r="1745" spans="1:21" x14ac:dyDescent="0.2">
      <c r="A1745" s="88" t="s">
        <v>17417</v>
      </c>
      <c r="B1745" s="88" t="e">
        <f>VLOOKUP(C1745,#REF!,1,0)</f>
        <v>#REF!</v>
      </c>
      <c r="C1745" s="1" t="s">
        <v>5837</v>
      </c>
      <c r="D1745" s="1" t="s">
        <v>5838</v>
      </c>
      <c r="E1745" s="1" t="s">
        <v>9176</v>
      </c>
      <c r="F1745" s="1" t="s">
        <v>8957</v>
      </c>
      <c r="G1745" t="s">
        <v>8959</v>
      </c>
      <c r="H1745" s="1" t="s">
        <v>9035</v>
      </c>
      <c r="I1745" s="1" t="s">
        <v>9155</v>
      </c>
      <c r="J1745" s="2" t="s">
        <v>20779</v>
      </c>
      <c r="K1745" s="1" t="s">
        <v>9036</v>
      </c>
      <c r="L1745" s="1" t="s">
        <v>8987</v>
      </c>
      <c r="M1745" s="1">
        <v>51</v>
      </c>
      <c r="N1745" s="1" t="s">
        <v>9059</v>
      </c>
      <c r="O1745" s="1" t="s">
        <v>8989</v>
      </c>
      <c r="P1745" s="1" t="s">
        <v>8955</v>
      </c>
      <c r="Q1745" s="1" t="s">
        <v>8956</v>
      </c>
      <c r="R1745" s="1" t="s">
        <v>8958</v>
      </c>
      <c r="S1745" s="1" t="s">
        <v>19798</v>
      </c>
      <c r="T1745" s="1" t="s">
        <v>17</v>
      </c>
      <c r="U1745" s="1" t="s">
        <v>46</v>
      </c>
    </row>
    <row r="1746" spans="1:21" x14ac:dyDescent="0.2">
      <c r="A1746" s="88" t="s">
        <v>17418</v>
      </c>
      <c r="B1746" s="88" t="e">
        <f>VLOOKUP(C1746,#REF!,1,0)</f>
        <v>#REF!</v>
      </c>
      <c r="C1746" s="1" t="s">
        <v>5839</v>
      </c>
      <c r="D1746" s="1" t="s">
        <v>5840</v>
      </c>
      <c r="E1746" s="1" t="s">
        <v>9010</v>
      </c>
      <c r="F1746" s="1" t="s">
        <v>8957</v>
      </c>
      <c r="G1746" t="s">
        <v>8959</v>
      </c>
      <c r="H1746" s="1" t="s">
        <v>9049</v>
      </c>
      <c r="I1746" s="1" t="s">
        <v>9050</v>
      </c>
      <c r="J1746" s="2" t="s">
        <v>9036</v>
      </c>
      <c r="K1746" s="1" t="s">
        <v>9036</v>
      </c>
      <c r="L1746" s="1" t="s">
        <v>8987</v>
      </c>
      <c r="M1746" s="1">
        <v>59302</v>
      </c>
      <c r="N1746" s="1" t="s">
        <v>8953</v>
      </c>
      <c r="O1746" s="1" t="s">
        <v>8954</v>
      </c>
      <c r="P1746" s="1" t="s">
        <v>8955</v>
      </c>
      <c r="Q1746" s="1" t="s">
        <v>8956</v>
      </c>
      <c r="R1746" s="1" t="s">
        <v>8975</v>
      </c>
      <c r="S1746" s="1" t="s">
        <v>5841</v>
      </c>
      <c r="T1746" s="1" t="s">
        <v>17</v>
      </c>
      <c r="U1746" s="1" t="s">
        <v>447</v>
      </c>
    </row>
    <row r="1747" spans="1:21" x14ac:dyDescent="0.2">
      <c r="A1747" s="88" t="s">
        <v>17419</v>
      </c>
      <c r="B1747" s="88" t="e">
        <f>VLOOKUP(C1747,#REF!,1,0)</f>
        <v>#REF!</v>
      </c>
      <c r="C1747" s="1" t="s">
        <v>5842</v>
      </c>
      <c r="D1747" s="1" t="s">
        <v>5843</v>
      </c>
      <c r="E1747" s="1" t="s">
        <v>9327</v>
      </c>
      <c r="F1747" s="1" t="s">
        <v>8974</v>
      </c>
      <c r="G1747" t="s">
        <v>8959</v>
      </c>
      <c r="H1747" s="1" t="s">
        <v>9049</v>
      </c>
      <c r="I1747" s="1" t="s">
        <v>9325</v>
      </c>
      <c r="J1747" s="2" t="s">
        <v>9326</v>
      </c>
      <c r="K1747" s="1" t="s">
        <v>9326</v>
      </c>
      <c r="L1747" s="1" t="s">
        <v>8987</v>
      </c>
      <c r="M1747" s="1">
        <v>9600</v>
      </c>
      <c r="N1747" s="1" t="s">
        <v>8953</v>
      </c>
      <c r="O1747" s="1" t="s">
        <v>8954</v>
      </c>
      <c r="P1747" s="1" t="s">
        <v>8955</v>
      </c>
      <c r="Q1747" s="1" t="s">
        <v>8956</v>
      </c>
      <c r="R1747" s="1" t="s">
        <v>8958</v>
      </c>
      <c r="S1747" s="1" t="s">
        <v>5844</v>
      </c>
      <c r="T1747" s="1" t="s">
        <v>17</v>
      </c>
      <c r="U1747" s="1" t="s">
        <v>184</v>
      </c>
    </row>
    <row r="1748" spans="1:21" x14ac:dyDescent="0.2">
      <c r="A1748" s="88" t="s">
        <v>17420</v>
      </c>
      <c r="B1748" s="88" t="e">
        <f>VLOOKUP(C1748,#REF!,1,0)</f>
        <v>#REF!</v>
      </c>
      <c r="C1748" s="1" t="s">
        <v>5845</v>
      </c>
      <c r="D1748" s="1" t="s">
        <v>5846</v>
      </c>
      <c r="E1748" s="1" t="s">
        <v>12547</v>
      </c>
      <c r="F1748" s="1" t="s">
        <v>8959</v>
      </c>
      <c r="G1748" t="s">
        <v>8959</v>
      </c>
      <c r="H1748" s="1" t="s">
        <v>9035</v>
      </c>
      <c r="I1748" s="1" t="s">
        <v>9308</v>
      </c>
      <c r="J1748" s="2" t="s">
        <v>18489</v>
      </c>
      <c r="K1748" s="1" t="s">
        <v>21673</v>
      </c>
      <c r="L1748" s="1" t="s">
        <v>20947</v>
      </c>
      <c r="M1748" s="1">
        <v>1144</v>
      </c>
      <c r="N1748" s="1" t="s">
        <v>8953</v>
      </c>
      <c r="O1748" s="1" t="s">
        <v>8954</v>
      </c>
      <c r="P1748" s="1" t="s">
        <v>8955</v>
      </c>
      <c r="Q1748" s="1" t="s">
        <v>8956</v>
      </c>
      <c r="R1748" s="1" t="s">
        <v>8958</v>
      </c>
      <c r="S1748" s="1" t="s">
        <v>19799</v>
      </c>
      <c r="T1748" s="1" t="s">
        <v>7</v>
      </c>
      <c r="U1748" s="1" t="s">
        <v>184</v>
      </c>
    </row>
    <row r="1749" spans="1:21" x14ac:dyDescent="0.2">
      <c r="A1749" s="88" t="s">
        <v>17421</v>
      </c>
      <c r="B1749" s="88" t="e">
        <f>VLOOKUP(C1749,#REF!,1,0)</f>
        <v>#REF!</v>
      </c>
      <c r="C1749" s="1" t="s">
        <v>5847</v>
      </c>
      <c r="D1749" s="1" t="s">
        <v>5848</v>
      </c>
      <c r="E1749" s="1" t="s">
        <v>20911</v>
      </c>
      <c r="F1749" s="1" t="s">
        <v>8957</v>
      </c>
      <c r="G1749" t="s">
        <v>8959</v>
      </c>
      <c r="H1749" s="1" t="s">
        <v>9100</v>
      </c>
      <c r="I1749" s="1" t="s">
        <v>8949</v>
      </c>
      <c r="J1749" s="2" t="s">
        <v>10492</v>
      </c>
      <c r="K1749" s="1" t="s">
        <v>10492</v>
      </c>
      <c r="L1749" s="1" t="s">
        <v>21600</v>
      </c>
      <c r="M1749" s="1">
        <v>331</v>
      </c>
      <c r="N1749" s="1" t="s">
        <v>9059</v>
      </c>
      <c r="O1749" s="1" t="s">
        <v>8954</v>
      </c>
      <c r="P1749" s="1" t="s">
        <v>8955</v>
      </c>
      <c r="Q1749" s="1" t="s">
        <v>8956</v>
      </c>
      <c r="R1749" s="1" t="s">
        <v>8958</v>
      </c>
      <c r="S1749" s="1" t="s">
        <v>19800</v>
      </c>
      <c r="T1749" s="1" t="s">
        <v>17</v>
      </c>
      <c r="U1749" s="1" t="s">
        <v>61</v>
      </c>
    </row>
    <row r="1750" spans="1:21" x14ac:dyDescent="0.2">
      <c r="A1750" s="88" t="s">
        <v>17422</v>
      </c>
      <c r="B1750" s="88" t="e">
        <f>VLOOKUP(C1750,#REF!,1,0)</f>
        <v>#REF!</v>
      </c>
      <c r="C1750" s="1" t="s">
        <v>5853</v>
      </c>
      <c r="D1750" s="1" t="s">
        <v>5854</v>
      </c>
      <c r="E1750" s="1" t="s">
        <v>9387</v>
      </c>
      <c r="F1750" s="1" t="s">
        <v>8959</v>
      </c>
      <c r="G1750" t="s">
        <v>9061</v>
      </c>
      <c r="H1750" s="1" t="s">
        <v>9252</v>
      </c>
      <c r="I1750" s="1" t="s">
        <v>9253</v>
      </c>
      <c r="J1750" s="2" t="s">
        <v>9658</v>
      </c>
      <c r="K1750" s="1" t="s">
        <v>9658</v>
      </c>
      <c r="L1750" s="1" t="s">
        <v>8987</v>
      </c>
      <c r="M1750" s="1">
        <v>129</v>
      </c>
      <c r="N1750" s="1" t="s">
        <v>8953</v>
      </c>
      <c r="O1750" s="1" t="s">
        <v>8989</v>
      </c>
      <c r="P1750" s="1" t="s">
        <v>8955</v>
      </c>
      <c r="Q1750" s="1" t="s">
        <v>8956</v>
      </c>
      <c r="R1750" s="1" t="s">
        <v>8958</v>
      </c>
      <c r="S1750" s="1" t="s">
        <v>5855</v>
      </c>
      <c r="T1750" s="1" t="s">
        <v>17</v>
      </c>
      <c r="U1750" s="1" t="s">
        <v>64</v>
      </c>
    </row>
    <row r="1751" spans="1:21" x14ac:dyDescent="0.2">
      <c r="A1751" s="88" t="s">
        <v>17423</v>
      </c>
      <c r="B1751" s="88" t="e">
        <f>VLOOKUP(C1751,#REF!,1,0)</f>
        <v>#REF!</v>
      </c>
      <c r="C1751" s="1" t="s">
        <v>5856</v>
      </c>
      <c r="D1751" s="1" t="s">
        <v>5857</v>
      </c>
      <c r="E1751" s="1" t="s">
        <v>10873</v>
      </c>
      <c r="F1751" s="1" t="s">
        <v>8959</v>
      </c>
      <c r="G1751" t="s">
        <v>8959</v>
      </c>
      <c r="H1751" s="1" t="s">
        <v>8948</v>
      </c>
      <c r="I1751" s="1" t="s">
        <v>8949</v>
      </c>
      <c r="J1751" s="2" t="s">
        <v>9036</v>
      </c>
      <c r="K1751" s="1" t="s">
        <v>9036</v>
      </c>
      <c r="L1751" s="1" t="s">
        <v>21600</v>
      </c>
      <c r="M1751" s="1">
        <v>75</v>
      </c>
      <c r="N1751" s="1" t="s">
        <v>9059</v>
      </c>
      <c r="O1751" s="1" t="s">
        <v>8989</v>
      </c>
      <c r="P1751" s="1" t="s">
        <v>8955</v>
      </c>
      <c r="Q1751" s="1" t="s">
        <v>8956</v>
      </c>
      <c r="R1751" s="1" t="s">
        <v>8958</v>
      </c>
      <c r="S1751" s="1" t="s">
        <v>5858</v>
      </c>
      <c r="T1751" s="1" t="s">
        <v>17</v>
      </c>
      <c r="U1751" s="1" t="s">
        <v>631</v>
      </c>
    </row>
    <row r="1752" spans="1:21" x14ac:dyDescent="0.2">
      <c r="A1752" s="88" t="s">
        <v>17424</v>
      </c>
      <c r="B1752" s="88" t="e">
        <f>VLOOKUP(C1752,#REF!,1,0)</f>
        <v>#REF!</v>
      </c>
      <c r="C1752" s="1" t="s">
        <v>5859</v>
      </c>
      <c r="D1752" s="1" t="s">
        <v>5860</v>
      </c>
      <c r="E1752" s="1" t="s">
        <v>9317</v>
      </c>
      <c r="F1752" s="1" t="s">
        <v>8959</v>
      </c>
      <c r="G1752" t="s">
        <v>9183</v>
      </c>
      <c r="H1752" s="1" t="s">
        <v>9100</v>
      </c>
      <c r="I1752" s="1" t="s">
        <v>8949</v>
      </c>
      <c r="J1752" s="2" t="s">
        <v>9036</v>
      </c>
      <c r="K1752" s="1" t="s">
        <v>9036</v>
      </c>
      <c r="L1752" s="1" t="s">
        <v>21600</v>
      </c>
      <c r="M1752" s="1">
        <v>64</v>
      </c>
      <c r="N1752" s="1" t="s">
        <v>8953</v>
      </c>
      <c r="O1752" s="1" t="s">
        <v>8954</v>
      </c>
      <c r="P1752" s="1" t="s">
        <v>8955</v>
      </c>
      <c r="Q1752" s="1" t="s">
        <v>8956</v>
      </c>
      <c r="R1752" s="1" t="s">
        <v>8975</v>
      </c>
      <c r="S1752" s="1" t="s">
        <v>5861</v>
      </c>
      <c r="T1752" s="1" t="s">
        <v>11</v>
      </c>
      <c r="U1752" s="1" t="s">
        <v>666</v>
      </c>
    </row>
    <row r="1753" spans="1:21" x14ac:dyDescent="0.2">
      <c r="A1753" s="88" t="s">
        <v>17425</v>
      </c>
      <c r="B1753" s="88" t="e">
        <f>VLOOKUP(C1753,#REF!,1,0)</f>
        <v>#REF!</v>
      </c>
      <c r="C1753" s="1" t="s">
        <v>5862</v>
      </c>
      <c r="D1753" s="1" t="s">
        <v>5863</v>
      </c>
      <c r="E1753" s="1" t="s">
        <v>9380</v>
      </c>
      <c r="F1753" s="1" t="s">
        <v>9060</v>
      </c>
      <c r="G1753" t="s">
        <v>8959</v>
      </c>
      <c r="H1753" s="1" t="s">
        <v>9100</v>
      </c>
      <c r="I1753" s="1" t="s">
        <v>8949</v>
      </c>
      <c r="J1753" s="2" t="s">
        <v>8972</v>
      </c>
      <c r="K1753" s="1" t="s">
        <v>8972</v>
      </c>
      <c r="L1753" s="1" t="s">
        <v>21600</v>
      </c>
      <c r="M1753" s="1">
        <v>80</v>
      </c>
      <c r="N1753" s="1" t="s">
        <v>9059</v>
      </c>
      <c r="O1753" s="1" t="s">
        <v>8954</v>
      </c>
      <c r="P1753" s="1" t="s">
        <v>8955</v>
      </c>
      <c r="Q1753" s="1" t="s">
        <v>8956</v>
      </c>
      <c r="R1753" s="1" t="s">
        <v>8958</v>
      </c>
      <c r="S1753" s="1" t="s">
        <v>5864</v>
      </c>
      <c r="T1753" s="1" t="s">
        <v>17</v>
      </c>
      <c r="U1753" s="1" t="s">
        <v>392</v>
      </c>
    </row>
    <row r="1754" spans="1:21" x14ac:dyDescent="0.2">
      <c r="A1754" s="88" t="s">
        <v>17426</v>
      </c>
      <c r="B1754" s="88" t="e">
        <f>VLOOKUP(C1754,#REF!,1,0)</f>
        <v>#REF!</v>
      </c>
      <c r="C1754" s="1" t="s">
        <v>5865</v>
      </c>
      <c r="D1754" s="1" t="s">
        <v>5866</v>
      </c>
      <c r="E1754" s="1" t="s">
        <v>9380</v>
      </c>
      <c r="F1754" s="1" t="s">
        <v>9060</v>
      </c>
      <c r="G1754" t="s">
        <v>8959</v>
      </c>
      <c r="H1754" s="1" t="s">
        <v>9092</v>
      </c>
      <c r="I1754" s="1" t="s">
        <v>8949</v>
      </c>
      <c r="J1754" s="2" t="s">
        <v>8972</v>
      </c>
      <c r="K1754" s="1" t="s">
        <v>8972</v>
      </c>
      <c r="L1754" s="1" t="s">
        <v>21600</v>
      </c>
      <c r="M1754" s="1">
        <v>80</v>
      </c>
      <c r="N1754" s="1" t="s">
        <v>8953</v>
      </c>
      <c r="O1754" s="1" t="s">
        <v>8954</v>
      </c>
      <c r="P1754" s="1" t="s">
        <v>8955</v>
      </c>
      <c r="Q1754" s="1" t="s">
        <v>8956</v>
      </c>
      <c r="R1754" s="1" t="s">
        <v>9103</v>
      </c>
      <c r="S1754" s="1" t="s">
        <v>5867</v>
      </c>
      <c r="T1754" s="1" t="s">
        <v>11</v>
      </c>
      <c r="U1754" s="1" t="s">
        <v>24</v>
      </c>
    </row>
    <row r="1755" spans="1:21" x14ac:dyDescent="0.2">
      <c r="A1755" s="88" t="s">
        <v>17427</v>
      </c>
      <c r="B1755" s="88" t="e">
        <f>VLOOKUP(C1755,#REF!,1,0)</f>
        <v>#REF!</v>
      </c>
      <c r="C1755" s="1" t="s">
        <v>5876</v>
      </c>
      <c r="D1755" s="1" t="s">
        <v>5877</v>
      </c>
      <c r="E1755" s="1" t="s">
        <v>10873</v>
      </c>
      <c r="F1755" s="1" t="s">
        <v>8957</v>
      </c>
      <c r="G1755" t="s">
        <v>9009</v>
      </c>
      <c r="H1755" s="1" t="s">
        <v>9035</v>
      </c>
      <c r="I1755" s="1" t="s">
        <v>9308</v>
      </c>
      <c r="J1755" s="2" t="s">
        <v>9449</v>
      </c>
      <c r="K1755" s="1" t="s">
        <v>9449</v>
      </c>
      <c r="L1755" s="1" t="s">
        <v>8951</v>
      </c>
      <c r="M1755" s="1">
        <v>745479</v>
      </c>
      <c r="N1755" s="1" t="s">
        <v>8953</v>
      </c>
      <c r="O1755" s="1" t="s">
        <v>8989</v>
      </c>
      <c r="P1755" s="1" t="s">
        <v>8955</v>
      </c>
      <c r="Q1755" s="1" t="s">
        <v>8956</v>
      </c>
      <c r="R1755" s="1" t="s">
        <v>8958</v>
      </c>
      <c r="S1755" s="1" t="s">
        <v>5878</v>
      </c>
      <c r="T1755" s="1" t="s">
        <v>17</v>
      </c>
      <c r="U1755" s="1" t="s">
        <v>126</v>
      </c>
    </row>
    <row r="1756" spans="1:21" x14ac:dyDescent="0.2">
      <c r="A1756" s="88" t="s">
        <v>17428</v>
      </c>
      <c r="B1756" s="88" t="e">
        <f>VLOOKUP(C1756,#REF!,1,0)</f>
        <v>#REF!</v>
      </c>
      <c r="C1756" s="1" t="s">
        <v>5879</v>
      </c>
      <c r="D1756" s="1" t="s">
        <v>5880</v>
      </c>
      <c r="E1756" s="1" t="s">
        <v>9380</v>
      </c>
      <c r="F1756" s="1" t="s">
        <v>8957</v>
      </c>
      <c r="G1756" t="s">
        <v>8959</v>
      </c>
      <c r="H1756" s="1" t="s">
        <v>20712</v>
      </c>
      <c r="I1756" s="1" t="s">
        <v>9155</v>
      </c>
      <c r="J1756" s="2" t="s">
        <v>10492</v>
      </c>
      <c r="K1756" s="1" t="s">
        <v>10492</v>
      </c>
      <c r="L1756" s="1" t="s">
        <v>9076</v>
      </c>
      <c r="M1756" s="1" t="s">
        <v>9479</v>
      </c>
      <c r="N1756" s="1" t="s">
        <v>9479</v>
      </c>
      <c r="O1756" s="1" t="s">
        <v>8954</v>
      </c>
      <c r="P1756" s="1" t="s">
        <v>8955</v>
      </c>
      <c r="Q1756" s="1" t="s">
        <v>8956</v>
      </c>
      <c r="R1756" s="1" t="s">
        <v>9103</v>
      </c>
      <c r="S1756" s="1" t="s">
        <v>19802</v>
      </c>
      <c r="T1756" s="1" t="s">
        <v>17</v>
      </c>
      <c r="U1756" s="1" t="s">
        <v>61</v>
      </c>
    </row>
    <row r="1757" spans="1:21" x14ac:dyDescent="0.2">
      <c r="A1757" s="88" t="s">
        <v>17429</v>
      </c>
      <c r="B1757" s="88" t="e">
        <f>VLOOKUP(C1757,#REF!,1,0)</f>
        <v>#REF!</v>
      </c>
      <c r="C1757" s="1" t="s">
        <v>5881</v>
      </c>
      <c r="D1757" s="1" t="s">
        <v>5882</v>
      </c>
      <c r="E1757" s="1" t="s">
        <v>9380</v>
      </c>
      <c r="F1757" s="1" t="s">
        <v>8957</v>
      </c>
      <c r="G1757" t="s">
        <v>8959</v>
      </c>
      <c r="H1757" s="1" t="s">
        <v>8984</v>
      </c>
      <c r="I1757" s="1" t="s">
        <v>8971</v>
      </c>
      <c r="J1757" s="2" t="s">
        <v>9036</v>
      </c>
      <c r="K1757" s="1" t="s">
        <v>9036</v>
      </c>
      <c r="L1757" s="1" t="s">
        <v>9292</v>
      </c>
      <c r="M1757" s="1">
        <v>170000</v>
      </c>
      <c r="N1757" s="1" t="s">
        <v>8953</v>
      </c>
      <c r="O1757" s="1" t="s">
        <v>8954</v>
      </c>
      <c r="P1757" s="1" t="s">
        <v>8955</v>
      </c>
      <c r="Q1757" s="1" t="s">
        <v>8956</v>
      </c>
      <c r="R1757" s="1" t="s">
        <v>8958</v>
      </c>
      <c r="S1757" s="1" t="s">
        <v>5883</v>
      </c>
      <c r="T1757" s="1" t="s">
        <v>11</v>
      </c>
      <c r="U1757" s="1" t="s">
        <v>61</v>
      </c>
    </row>
    <row r="1758" spans="1:21" x14ac:dyDescent="0.2">
      <c r="A1758" s="88" t="s">
        <v>17431</v>
      </c>
      <c r="B1758" s="88" t="e">
        <f>VLOOKUP(C1758,#REF!,1,0)</f>
        <v>#REF!</v>
      </c>
      <c r="C1758" s="1" t="s">
        <v>5886</v>
      </c>
      <c r="D1758" s="1" t="s">
        <v>5887</v>
      </c>
      <c r="E1758" s="1" t="s">
        <v>20718</v>
      </c>
      <c r="F1758" s="1" t="s">
        <v>8959</v>
      </c>
      <c r="G1758" t="s">
        <v>8959</v>
      </c>
      <c r="H1758" s="1" t="s">
        <v>9035</v>
      </c>
      <c r="I1758" s="1" t="s">
        <v>8998</v>
      </c>
      <c r="J1758" s="2" t="s">
        <v>21570</v>
      </c>
      <c r="K1758" s="1" t="s">
        <v>21719</v>
      </c>
      <c r="L1758" s="1" t="s">
        <v>8987</v>
      </c>
      <c r="M1758" s="1">
        <v>746</v>
      </c>
      <c r="N1758" s="1" t="s">
        <v>8953</v>
      </c>
      <c r="O1758" s="1" t="s">
        <v>8954</v>
      </c>
      <c r="P1758" s="1" t="s">
        <v>8955</v>
      </c>
      <c r="Q1758" s="1" t="s">
        <v>8956</v>
      </c>
      <c r="R1758" s="1" t="s">
        <v>9103</v>
      </c>
      <c r="S1758" s="1" t="s">
        <v>5888</v>
      </c>
      <c r="T1758" s="1" t="s">
        <v>7</v>
      </c>
      <c r="U1758" s="1" t="s">
        <v>24</v>
      </c>
    </row>
    <row r="1759" spans="1:21" x14ac:dyDescent="0.2">
      <c r="A1759" s="88" t="s">
        <v>17432</v>
      </c>
      <c r="B1759" s="88" t="e">
        <f>VLOOKUP(C1759,#REF!,1,0)</f>
        <v>#REF!</v>
      </c>
      <c r="C1759" s="1" t="s">
        <v>5889</v>
      </c>
      <c r="D1759" s="1" t="s">
        <v>5890</v>
      </c>
      <c r="E1759" s="1" t="s">
        <v>9176</v>
      </c>
      <c r="F1759" s="1" t="s">
        <v>8957</v>
      </c>
      <c r="G1759" t="s">
        <v>8959</v>
      </c>
      <c r="H1759" s="1" t="s">
        <v>9605</v>
      </c>
      <c r="I1759" s="1" t="s">
        <v>8959</v>
      </c>
      <c r="J1759" s="2" t="s">
        <v>20870</v>
      </c>
      <c r="K1759" s="1" t="s">
        <v>21851</v>
      </c>
      <c r="L1759" s="1" t="s">
        <v>20878</v>
      </c>
      <c r="M1759" s="1">
        <v>1050</v>
      </c>
      <c r="N1759" s="1" t="s">
        <v>8953</v>
      </c>
      <c r="O1759" s="1" t="s">
        <v>8989</v>
      </c>
      <c r="P1759" s="1" t="s">
        <v>8955</v>
      </c>
      <c r="Q1759" s="1" t="s">
        <v>8956</v>
      </c>
      <c r="R1759" s="1" t="s">
        <v>8958</v>
      </c>
      <c r="S1759" s="1" t="s">
        <v>19803</v>
      </c>
      <c r="T1759" s="1" t="s">
        <v>17</v>
      </c>
      <c r="U1759" s="1" t="s">
        <v>61</v>
      </c>
    </row>
    <row r="1760" spans="1:21" x14ac:dyDescent="0.2">
      <c r="A1760" s="88" t="s">
        <v>17433</v>
      </c>
      <c r="B1760" s="88" t="e">
        <f>VLOOKUP(C1760,#REF!,1,0)</f>
        <v>#REF!</v>
      </c>
      <c r="C1760" s="1" t="s">
        <v>5895</v>
      </c>
      <c r="D1760" s="1" t="s">
        <v>5896</v>
      </c>
      <c r="E1760" s="1" t="s">
        <v>9010</v>
      </c>
      <c r="F1760" s="1" t="s">
        <v>8959</v>
      </c>
      <c r="G1760" t="s">
        <v>9061</v>
      </c>
      <c r="H1760" s="1" t="s">
        <v>9035</v>
      </c>
      <c r="I1760" s="1" t="s">
        <v>8998</v>
      </c>
      <c r="J1760" s="2" t="s">
        <v>21571</v>
      </c>
      <c r="K1760" s="1" t="s">
        <v>21571</v>
      </c>
      <c r="L1760" s="1" t="s">
        <v>9464</v>
      </c>
      <c r="M1760" s="1">
        <v>3253</v>
      </c>
      <c r="N1760" s="1" t="s">
        <v>8953</v>
      </c>
      <c r="O1760" s="1" t="s">
        <v>8989</v>
      </c>
      <c r="P1760" s="1" t="s">
        <v>8955</v>
      </c>
      <c r="Q1760" s="1" t="s">
        <v>8956</v>
      </c>
      <c r="R1760" s="1" t="s">
        <v>8975</v>
      </c>
      <c r="S1760" s="1" t="s">
        <v>5897</v>
      </c>
      <c r="T1760" s="1" t="s">
        <v>11</v>
      </c>
      <c r="U1760" s="1" t="s">
        <v>496</v>
      </c>
    </row>
    <row r="1761" spans="1:21" x14ac:dyDescent="0.2">
      <c r="A1761" s="88" t="s">
        <v>17434</v>
      </c>
      <c r="B1761" s="88" t="e">
        <f>VLOOKUP(C1761,#REF!,1,0)</f>
        <v>#REF!</v>
      </c>
      <c r="C1761" s="1" t="s">
        <v>5898</v>
      </c>
      <c r="D1761" s="1" t="s">
        <v>5899</v>
      </c>
      <c r="E1761" s="1" t="s">
        <v>9176</v>
      </c>
      <c r="F1761" s="1" t="s">
        <v>8974</v>
      </c>
      <c r="G1761" t="s">
        <v>8959</v>
      </c>
      <c r="H1761" s="1" t="s">
        <v>9173</v>
      </c>
      <c r="I1761" s="1" t="s">
        <v>9174</v>
      </c>
      <c r="J1761" s="2" t="s">
        <v>20838</v>
      </c>
      <c r="K1761" s="1" t="s">
        <v>20755</v>
      </c>
      <c r="L1761" s="1" t="s">
        <v>8951</v>
      </c>
      <c r="M1761" s="1">
        <v>1550</v>
      </c>
      <c r="N1761" s="1" t="s">
        <v>8953</v>
      </c>
      <c r="O1761" s="1" t="s">
        <v>8954</v>
      </c>
      <c r="P1761" s="1" t="s">
        <v>8955</v>
      </c>
      <c r="Q1761" s="1" t="s">
        <v>8956</v>
      </c>
      <c r="R1761" s="1" t="s">
        <v>8975</v>
      </c>
      <c r="S1761" s="1" t="s">
        <v>19804</v>
      </c>
      <c r="T1761" s="1" t="s">
        <v>17</v>
      </c>
      <c r="U1761" s="1" t="s">
        <v>1918</v>
      </c>
    </row>
    <row r="1762" spans="1:21" x14ac:dyDescent="0.2">
      <c r="A1762" s="88" t="s">
        <v>17435</v>
      </c>
      <c r="B1762" s="88" t="e">
        <f>VLOOKUP(C1762,#REF!,1,0)</f>
        <v>#REF!</v>
      </c>
      <c r="C1762" s="1" t="s">
        <v>5900</v>
      </c>
      <c r="D1762" s="1" t="s">
        <v>5901</v>
      </c>
      <c r="E1762" s="1" t="s">
        <v>10049</v>
      </c>
      <c r="F1762" s="1" t="s">
        <v>8957</v>
      </c>
      <c r="G1762" t="s">
        <v>8959</v>
      </c>
      <c r="H1762" s="1" t="s">
        <v>9252</v>
      </c>
      <c r="I1762" s="1" t="s">
        <v>8949</v>
      </c>
      <c r="J1762" s="2" t="s">
        <v>10492</v>
      </c>
      <c r="K1762" s="1" t="s">
        <v>21645</v>
      </c>
      <c r="L1762" s="1" t="s">
        <v>21600</v>
      </c>
      <c r="M1762" s="1">
        <v>109</v>
      </c>
      <c r="N1762" s="1" t="s">
        <v>9059</v>
      </c>
      <c r="O1762" s="1" t="s">
        <v>8954</v>
      </c>
      <c r="P1762" s="1" t="s">
        <v>8955</v>
      </c>
      <c r="Q1762" s="1" t="s">
        <v>8956</v>
      </c>
      <c r="R1762" s="1" t="s">
        <v>9103</v>
      </c>
      <c r="S1762" s="1" t="s">
        <v>19805</v>
      </c>
      <c r="T1762" s="1" t="s">
        <v>7</v>
      </c>
      <c r="U1762" s="1" t="s">
        <v>8</v>
      </c>
    </row>
    <row r="1763" spans="1:21" x14ac:dyDescent="0.2">
      <c r="A1763" s="88" t="s">
        <v>17436</v>
      </c>
      <c r="B1763" s="88" t="e">
        <f>VLOOKUP(C1763,#REF!,1,0)</f>
        <v>#REF!</v>
      </c>
      <c r="C1763" s="1" t="s">
        <v>5902</v>
      </c>
      <c r="D1763" s="1" t="s">
        <v>5903</v>
      </c>
      <c r="E1763" s="1" t="s">
        <v>18502</v>
      </c>
      <c r="F1763" s="1" t="s">
        <v>8957</v>
      </c>
      <c r="G1763" t="s">
        <v>9061</v>
      </c>
      <c r="H1763" s="1" t="s">
        <v>9154</v>
      </c>
      <c r="I1763" s="1" t="s">
        <v>8998</v>
      </c>
      <c r="J1763" s="2" t="s">
        <v>10492</v>
      </c>
      <c r="K1763" s="1" t="s">
        <v>10492</v>
      </c>
      <c r="L1763" s="1" t="s">
        <v>8951</v>
      </c>
      <c r="M1763" s="1">
        <v>9223</v>
      </c>
      <c r="N1763" s="1" t="s">
        <v>9059</v>
      </c>
      <c r="O1763" s="1" t="s">
        <v>8989</v>
      </c>
      <c r="P1763" s="1" t="s">
        <v>8955</v>
      </c>
      <c r="Q1763" s="1" t="s">
        <v>8956</v>
      </c>
      <c r="R1763" s="1" t="s">
        <v>8958</v>
      </c>
      <c r="S1763" s="1" t="s">
        <v>20668</v>
      </c>
      <c r="T1763" s="1" t="s">
        <v>7</v>
      </c>
      <c r="U1763" s="1" t="s">
        <v>686</v>
      </c>
    </row>
    <row r="1764" spans="1:21" x14ac:dyDescent="0.2">
      <c r="A1764" s="88" t="s">
        <v>17437</v>
      </c>
      <c r="B1764" s="88" t="e">
        <f>VLOOKUP(C1764,#REF!,1,0)</f>
        <v>#REF!</v>
      </c>
      <c r="C1764" s="1" t="s">
        <v>5904</v>
      </c>
      <c r="D1764" s="1" t="s">
        <v>5905</v>
      </c>
      <c r="E1764" s="1" t="s">
        <v>12547</v>
      </c>
      <c r="F1764" s="1" t="s">
        <v>8957</v>
      </c>
      <c r="G1764" t="s">
        <v>8959</v>
      </c>
      <c r="H1764" s="1" t="s">
        <v>8948</v>
      </c>
      <c r="I1764" s="1" t="s">
        <v>8949</v>
      </c>
      <c r="J1764" s="2" t="s">
        <v>14205</v>
      </c>
      <c r="K1764" s="1" t="s">
        <v>14205</v>
      </c>
      <c r="L1764" s="1" t="s">
        <v>8987</v>
      </c>
      <c r="M1764" s="1">
        <v>258</v>
      </c>
      <c r="N1764" s="1" t="s">
        <v>9059</v>
      </c>
      <c r="O1764" s="1" t="s">
        <v>8989</v>
      </c>
      <c r="P1764" s="1" t="s">
        <v>8955</v>
      </c>
      <c r="Q1764" s="1" t="s">
        <v>8956</v>
      </c>
      <c r="R1764" s="1" t="s">
        <v>8975</v>
      </c>
      <c r="S1764" s="1" t="s">
        <v>5906</v>
      </c>
      <c r="T1764" s="1" t="s">
        <v>242</v>
      </c>
      <c r="U1764" s="1" t="s">
        <v>24</v>
      </c>
    </row>
    <row r="1765" spans="1:21" x14ac:dyDescent="0.2">
      <c r="A1765" s="88" t="s">
        <v>17438</v>
      </c>
      <c r="B1765" s="88" t="e">
        <f>VLOOKUP(C1765,#REF!,1,0)</f>
        <v>#REF!</v>
      </c>
      <c r="C1765" s="1" t="s">
        <v>5907</v>
      </c>
      <c r="D1765" s="1" t="s">
        <v>5908</v>
      </c>
      <c r="E1765" s="1" t="s">
        <v>12547</v>
      </c>
      <c r="F1765" s="1" t="s">
        <v>8974</v>
      </c>
      <c r="G1765" t="s">
        <v>8959</v>
      </c>
      <c r="H1765" s="1" t="s">
        <v>9100</v>
      </c>
      <c r="I1765" s="1" t="s">
        <v>8949</v>
      </c>
      <c r="J1765" s="2" t="s">
        <v>21205</v>
      </c>
      <c r="K1765" s="1" t="s">
        <v>21205</v>
      </c>
      <c r="L1765" s="1" t="s">
        <v>20867</v>
      </c>
      <c r="M1765" s="1">
        <v>1376</v>
      </c>
      <c r="N1765" s="1" t="s">
        <v>9059</v>
      </c>
      <c r="O1765" s="1" t="s">
        <v>8954</v>
      </c>
      <c r="P1765" s="1" t="s">
        <v>8955</v>
      </c>
      <c r="Q1765" s="1" t="s">
        <v>8956</v>
      </c>
      <c r="R1765" s="1" t="s">
        <v>9103</v>
      </c>
      <c r="S1765" s="1" t="s">
        <v>19806</v>
      </c>
      <c r="T1765" s="1" t="s">
        <v>17</v>
      </c>
      <c r="U1765" s="1" t="s">
        <v>2988</v>
      </c>
    </row>
    <row r="1766" spans="1:21" x14ac:dyDescent="0.2">
      <c r="A1766" s="88" t="s">
        <v>17439</v>
      </c>
      <c r="B1766" s="88" t="e">
        <f>VLOOKUP(C1766,#REF!,1,0)</f>
        <v>#REF!</v>
      </c>
      <c r="C1766" s="1" t="s">
        <v>5909</v>
      </c>
      <c r="D1766" s="1" t="s">
        <v>5910</v>
      </c>
      <c r="E1766" s="1" t="s">
        <v>9380</v>
      </c>
      <c r="F1766" s="1" t="s">
        <v>8957</v>
      </c>
      <c r="G1766" t="s">
        <v>9183</v>
      </c>
      <c r="H1766" s="1" t="s">
        <v>8948</v>
      </c>
      <c r="I1766" s="1" t="s">
        <v>8949</v>
      </c>
      <c r="J1766" s="2" t="s">
        <v>12121</v>
      </c>
      <c r="K1766" s="1" t="s">
        <v>12121</v>
      </c>
      <c r="L1766" s="1" t="s">
        <v>9292</v>
      </c>
      <c r="M1766" s="1">
        <v>86068</v>
      </c>
      <c r="N1766" s="1" t="s">
        <v>8953</v>
      </c>
      <c r="O1766" s="1" t="s">
        <v>8989</v>
      </c>
      <c r="P1766" s="1" t="s">
        <v>8955</v>
      </c>
      <c r="Q1766" s="1" t="s">
        <v>8956</v>
      </c>
      <c r="R1766" s="1" t="s">
        <v>8958</v>
      </c>
      <c r="S1766" s="1" t="s">
        <v>5911</v>
      </c>
      <c r="T1766" s="1" t="s">
        <v>17</v>
      </c>
      <c r="U1766" s="1" t="s">
        <v>467</v>
      </c>
    </row>
    <row r="1767" spans="1:21" x14ac:dyDescent="0.2">
      <c r="A1767" s="88" t="s">
        <v>17440</v>
      </c>
      <c r="B1767" s="88" t="e">
        <f>VLOOKUP(C1767,#REF!,1,0)</f>
        <v>#REF!</v>
      </c>
      <c r="C1767" s="1" t="s">
        <v>5912</v>
      </c>
      <c r="D1767" s="1" t="s">
        <v>5913</v>
      </c>
      <c r="E1767" s="1" t="s">
        <v>9010</v>
      </c>
      <c r="F1767" s="1" t="s">
        <v>8957</v>
      </c>
      <c r="G1767" t="s">
        <v>9183</v>
      </c>
      <c r="H1767" s="1" t="s">
        <v>9049</v>
      </c>
      <c r="I1767" s="1" t="s">
        <v>8949</v>
      </c>
      <c r="J1767" s="2" t="s">
        <v>9041</v>
      </c>
      <c r="K1767" s="1" t="s">
        <v>9041</v>
      </c>
      <c r="L1767" s="1" t="s">
        <v>8951</v>
      </c>
      <c r="M1767" s="1">
        <v>298</v>
      </c>
      <c r="N1767" s="1" t="s">
        <v>9059</v>
      </c>
      <c r="O1767" s="1" t="s">
        <v>8989</v>
      </c>
      <c r="P1767" s="1" t="s">
        <v>8955</v>
      </c>
      <c r="Q1767" s="1" t="s">
        <v>8956</v>
      </c>
      <c r="R1767" s="1" t="s">
        <v>8975</v>
      </c>
      <c r="S1767" s="1" t="s">
        <v>5914</v>
      </c>
      <c r="T1767" s="1" t="s">
        <v>11</v>
      </c>
      <c r="U1767" s="1" t="s">
        <v>392</v>
      </c>
    </row>
    <row r="1768" spans="1:21" x14ac:dyDescent="0.2">
      <c r="A1768" s="88" t="s">
        <v>17441</v>
      </c>
      <c r="B1768" s="88" t="e">
        <f>VLOOKUP(C1768,#REF!,1,0)</f>
        <v>#REF!</v>
      </c>
      <c r="C1768" s="1" t="s">
        <v>5918</v>
      </c>
      <c r="D1768" s="1" t="s">
        <v>5919</v>
      </c>
      <c r="E1768" s="1" t="s">
        <v>11671</v>
      </c>
      <c r="F1768" s="1" t="s">
        <v>8957</v>
      </c>
      <c r="G1768" t="s">
        <v>9061</v>
      </c>
      <c r="H1768" s="1" t="s">
        <v>9075</v>
      </c>
      <c r="I1768" s="1" t="s">
        <v>9155</v>
      </c>
      <c r="J1768" s="2" t="s">
        <v>20805</v>
      </c>
      <c r="K1768" s="1" t="s">
        <v>9212</v>
      </c>
      <c r="L1768" s="1" t="s">
        <v>9157</v>
      </c>
      <c r="M1768" s="1">
        <v>150</v>
      </c>
      <c r="N1768" s="1" t="s">
        <v>9059</v>
      </c>
      <c r="O1768" s="1" t="s">
        <v>8954</v>
      </c>
      <c r="P1768" s="1" t="s">
        <v>8955</v>
      </c>
      <c r="Q1768" s="1" t="s">
        <v>8956</v>
      </c>
      <c r="R1768" s="1" t="s">
        <v>8975</v>
      </c>
      <c r="S1768" s="1" t="s">
        <v>20670</v>
      </c>
      <c r="T1768" s="1" t="s">
        <v>7</v>
      </c>
      <c r="U1768" s="1" t="s">
        <v>5920</v>
      </c>
    </row>
    <row r="1769" spans="1:21" x14ac:dyDescent="0.2">
      <c r="A1769" s="88" t="s">
        <v>17442</v>
      </c>
      <c r="B1769" s="88" t="e">
        <f>VLOOKUP(C1769,#REF!,1,0)</f>
        <v>#REF!</v>
      </c>
      <c r="C1769" s="1" t="s">
        <v>5921</v>
      </c>
      <c r="D1769" s="1" t="s">
        <v>5922</v>
      </c>
      <c r="E1769" s="1" t="s">
        <v>9310</v>
      </c>
      <c r="F1769" s="1" t="s">
        <v>8957</v>
      </c>
      <c r="G1769" t="s">
        <v>8959</v>
      </c>
      <c r="H1769" s="1" t="s">
        <v>8984</v>
      </c>
      <c r="I1769" s="1" t="s">
        <v>9131</v>
      </c>
      <c r="J1769" s="2" t="s">
        <v>21382</v>
      </c>
      <c r="K1769" s="1" t="s">
        <v>21197</v>
      </c>
      <c r="L1769" s="1" t="s">
        <v>8951</v>
      </c>
      <c r="M1769" s="1">
        <v>291090</v>
      </c>
      <c r="N1769" s="1" t="s">
        <v>8953</v>
      </c>
      <c r="O1769" s="1" t="s">
        <v>8954</v>
      </c>
      <c r="P1769" s="1" t="s">
        <v>8955</v>
      </c>
      <c r="Q1769" s="1" t="s">
        <v>8956</v>
      </c>
      <c r="R1769" s="1" t="s">
        <v>8975</v>
      </c>
      <c r="S1769" s="1" t="s">
        <v>19807</v>
      </c>
      <c r="T1769" s="1" t="s">
        <v>7</v>
      </c>
      <c r="U1769" s="1" t="s">
        <v>2819</v>
      </c>
    </row>
    <row r="1770" spans="1:21" x14ac:dyDescent="0.2">
      <c r="A1770" s="88" t="s">
        <v>17443</v>
      </c>
      <c r="B1770" s="88" t="e">
        <f>VLOOKUP(C1770,#REF!,1,0)</f>
        <v>#REF!</v>
      </c>
      <c r="C1770" s="1" t="s">
        <v>5923</v>
      </c>
      <c r="D1770" s="1" t="s">
        <v>5924</v>
      </c>
      <c r="E1770" s="1" t="s">
        <v>9010</v>
      </c>
      <c r="F1770" s="1" t="s">
        <v>8959</v>
      </c>
      <c r="G1770" t="s">
        <v>8959</v>
      </c>
      <c r="H1770" s="1" t="s">
        <v>9884</v>
      </c>
      <c r="I1770" s="1" t="s">
        <v>9050</v>
      </c>
      <c r="J1770" s="2" t="s">
        <v>9885</v>
      </c>
      <c r="K1770" s="1" t="s">
        <v>9885</v>
      </c>
      <c r="L1770" s="1" t="s">
        <v>9157</v>
      </c>
      <c r="M1770" s="1">
        <v>284335</v>
      </c>
      <c r="N1770" s="1" t="s">
        <v>8953</v>
      </c>
      <c r="O1770" s="1" t="s">
        <v>8954</v>
      </c>
      <c r="P1770" s="1" t="s">
        <v>8955</v>
      </c>
      <c r="Q1770" s="1" t="s">
        <v>8956</v>
      </c>
      <c r="R1770" s="1" t="s">
        <v>8975</v>
      </c>
      <c r="S1770" s="1" t="s">
        <v>5925</v>
      </c>
      <c r="T1770" s="1" t="s">
        <v>11</v>
      </c>
      <c r="U1770" s="1" t="s">
        <v>4369</v>
      </c>
    </row>
    <row r="1771" spans="1:21" x14ac:dyDescent="0.2">
      <c r="A1771" s="88" t="s">
        <v>17445</v>
      </c>
      <c r="B1771" s="88" t="e">
        <f>VLOOKUP(C1771,#REF!,1,0)</f>
        <v>#REF!</v>
      </c>
      <c r="C1771" s="1" t="s">
        <v>5932</v>
      </c>
      <c r="D1771" s="1" t="s">
        <v>5933</v>
      </c>
      <c r="E1771" s="1" t="s">
        <v>10873</v>
      </c>
      <c r="F1771" s="1" t="s">
        <v>8959</v>
      </c>
      <c r="G1771" t="s">
        <v>8959</v>
      </c>
      <c r="H1771" s="1" t="s">
        <v>9173</v>
      </c>
      <c r="I1771" s="1" t="s">
        <v>9174</v>
      </c>
      <c r="J1771" s="2" t="s">
        <v>13433</v>
      </c>
      <c r="K1771" s="1" t="s">
        <v>13433</v>
      </c>
      <c r="L1771" s="1" t="s">
        <v>21600</v>
      </c>
      <c r="M1771" s="1">
        <v>1949</v>
      </c>
      <c r="N1771" s="1" t="s">
        <v>8953</v>
      </c>
      <c r="O1771" s="1" t="s">
        <v>8989</v>
      </c>
      <c r="P1771" s="1" t="s">
        <v>8955</v>
      </c>
      <c r="Q1771" s="1" t="s">
        <v>8956</v>
      </c>
      <c r="R1771" s="1" t="s">
        <v>9103</v>
      </c>
      <c r="S1771" s="1" t="s">
        <v>5934</v>
      </c>
      <c r="T1771" s="1" t="s">
        <v>4</v>
      </c>
      <c r="U1771" s="1" t="s">
        <v>46</v>
      </c>
    </row>
    <row r="1772" spans="1:21" x14ac:dyDescent="0.2">
      <c r="A1772" s="88" t="s">
        <v>17446</v>
      </c>
      <c r="B1772" s="88" t="e">
        <f>VLOOKUP(C1772,#REF!,1,0)</f>
        <v>#REF!</v>
      </c>
      <c r="C1772" s="1" t="s">
        <v>5938</v>
      </c>
      <c r="D1772" s="1" t="s">
        <v>5939</v>
      </c>
      <c r="E1772" s="1" t="s">
        <v>9317</v>
      </c>
      <c r="F1772" s="1" t="s">
        <v>8959</v>
      </c>
      <c r="G1772" t="s">
        <v>9183</v>
      </c>
      <c r="H1772" s="1" t="s">
        <v>9049</v>
      </c>
      <c r="I1772" s="1" t="s">
        <v>9325</v>
      </c>
      <c r="J1772" s="2" t="s">
        <v>10135</v>
      </c>
      <c r="K1772" s="1" t="s">
        <v>10135</v>
      </c>
      <c r="L1772" s="1" t="s">
        <v>8987</v>
      </c>
      <c r="M1772" s="1">
        <v>183402</v>
      </c>
      <c r="N1772" s="1" t="s">
        <v>8953</v>
      </c>
      <c r="O1772" s="1" t="s">
        <v>8989</v>
      </c>
      <c r="P1772" s="1" t="s">
        <v>8955</v>
      </c>
      <c r="Q1772" s="1" t="s">
        <v>8956</v>
      </c>
      <c r="R1772" s="1" t="s">
        <v>8958</v>
      </c>
      <c r="S1772" s="1" t="s">
        <v>5940</v>
      </c>
      <c r="T1772" s="1" t="s">
        <v>11</v>
      </c>
      <c r="U1772" s="1" t="s">
        <v>4060</v>
      </c>
    </row>
    <row r="1773" spans="1:21" x14ac:dyDescent="0.2">
      <c r="A1773" s="88" t="s">
        <v>17447</v>
      </c>
      <c r="B1773" s="88" t="e">
        <f>VLOOKUP(C1773,#REF!,1,0)</f>
        <v>#REF!</v>
      </c>
      <c r="C1773" s="1" t="s">
        <v>5941</v>
      </c>
      <c r="D1773" s="1" t="s">
        <v>5942</v>
      </c>
      <c r="E1773" s="1" t="s">
        <v>9310</v>
      </c>
      <c r="F1773" s="1" t="s">
        <v>8957</v>
      </c>
      <c r="G1773" t="s">
        <v>8959</v>
      </c>
      <c r="H1773" s="1" t="s">
        <v>9092</v>
      </c>
      <c r="I1773" s="1" t="s">
        <v>8998</v>
      </c>
      <c r="J1773" s="2" t="s">
        <v>10099</v>
      </c>
      <c r="K1773" s="1" t="s">
        <v>21798</v>
      </c>
      <c r="L1773" s="1" t="s">
        <v>8987</v>
      </c>
      <c r="M1773" s="1">
        <v>1931</v>
      </c>
      <c r="N1773" s="1" t="s">
        <v>8953</v>
      </c>
      <c r="O1773" s="1" t="s">
        <v>8989</v>
      </c>
      <c r="P1773" s="1" t="s">
        <v>8955</v>
      </c>
      <c r="Q1773" s="1" t="s">
        <v>8956</v>
      </c>
      <c r="R1773" s="1" t="s">
        <v>8958</v>
      </c>
      <c r="S1773" s="1" t="s">
        <v>5943</v>
      </c>
      <c r="T1773" s="1" t="s">
        <v>17</v>
      </c>
      <c r="U1773" s="1" t="s">
        <v>184</v>
      </c>
    </row>
    <row r="1774" spans="1:21" x14ac:dyDescent="0.2">
      <c r="A1774" s="88" t="s">
        <v>17448</v>
      </c>
      <c r="B1774" s="88" t="e">
        <f>VLOOKUP(C1774,#REF!,1,0)</f>
        <v>#REF!</v>
      </c>
      <c r="C1774" s="1" t="s">
        <v>5944</v>
      </c>
      <c r="D1774" s="1" t="s">
        <v>5945</v>
      </c>
      <c r="E1774" s="1" t="s">
        <v>12526</v>
      </c>
      <c r="F1774" s="1" t="s">
        <v>8957</v>
      </c>
      <c r="G1774" t="s">
        <v>8959</v>
      </c>
      <c r="H1774" s="1" t="s">
        <v>9092</v>
      </c>
      <c r="I1774" s="1" t="s">
        <v>8949</v>
      </c>
      <c r="J1774" s="2" t="s">
        <v>9036</v>
      </c>
      <c r="K1774" s="1" t="s">
        <v>9036</v>
      </c>
      <c r="L1774" s="1" t="s">
        <v>21600</v>
      </c>
      <c r="M1774" s="1">
        <v>2114</v>
      </c>
      <c r="N1774" s="1" t="s">
        <v>8953</v>
      </c>
      <c r="O1774" s="1" t="s">
        <v>8954</v>
      </c>
      <c r="P1774" s="1" t="s">
        <v>8955</v>
      </c>
      <c r="Q1774" s="1" t="s">
        <v>8956</v>
      </c>
      <c r="R1774" s="1" t="s">
        <v>8958</v>
      </c>
      <c r="S1774" s="1" t="s">
        <v>5946</v>
      </c>
      <c r="T1774" s="1" t="s">
        <v>920</v>
      </c>
      <c r="U1774" s="1" t="s">
        <v>921</v>
      </c>
    </row>
    <row r="1775" spans="1:21" x14ac:dyDescent="0.2">
      <c r="A1775" s="88" t="s">
        <v>17449</v>
      </c>
      <c r="B1775" s="88" t="e">
        <f>VLOOKUP(C1775,#REF!,1,0)</f>
        <v>#REF!</v>
      </c>
      <c r="C1775" s="1" t="s">
        <v>5947</v>
      </c>
      <c r="D1775" s="1" t="s">
        <v>5948</v>
      </c>
      <c r="E1775" s="1" t="s">
        <v>9815</v>
      </c>
      <c r="F1775" s="1" t="s">
        <v>8957</v>
      </c>
      <c r="G1775" t="s">
        <v>8959</v>
      </c>
      <c r="H1775" s="1" t="s">
        <v>9173</v>
      </c>
      <c r="I1775" s="1" t="s">
        <v>9174</v>
      </c>
      <c r="J1775" s="2" t="s">
        <v>9102</v>
      </c>
      <c r="K1775" s="1" t="s">
        <v>9102</v>
      </c>
      <c r="L1775" s="1" t="s">
        <v>9133</v>
      </c>
      <c r="M1775" s="1">
        <v>992</v>
      </c>
      <c r="N1775" s="1" t="s">
        <v>8953</v>
      </c>
      <c r="O1775" s="1" t="s">
        <v>8954</v>
      </c>
      <c r="P1775" s="1" t="s">
        <v>8955</v>
      </c>
      <c r="Q1775" s="1" t="s">
        <v>8956</v>
      </c>
      <c r="R1775" s="1" t="s">
        <v>9103</v>
      </c>
      <c r="S1775" s="1" t="s">
        <v>5949</v>
      </c>
      <c r="T1775" s="1" t="s">
        <v>242</v>
      </c>
      <c r="U1775" s="1" t="s">
        <v>97</v>
      </c>
    </row>
    <row r="1776" spans="1:21" x14ac:dyDescent="0.2">
      <c r="A1776" s="88" t="s">
        <v>17450</v>
      </c>
      <c r="B1776" s="88" t="e">
        <f>VLOOKUP(C1776,#REF!,1,0)</f>
        <v>#REF!</v>
      </c>
      <c r="C1776" s="1" t="s">
        <v>5950</v>
      </c>
      <c r="D1776" s="1" t="s">
        <v>5951</v>
      </c>
      <c r="E1776" s="1" t="s">
        <v>14347</v>
      </c>
      <c r="F1776" s="1" t="s">
        <v>8957</v>
      </c>
      <c r="G1776" t="s">
        <v>8959</v>
      </c>
      <c r="H1776" s="1" t="s">
        <v>9049</v>
      </c>
      <c r="I1776" s="1" t="s">
        <v>9325</v>
      </c>
      <c r="J1776" s="2" t="s">
        <v>9316</v>
      </c>
      <c r="K1776" s="1" t="s">
        <v>9316</v>
      </c>
      <c r="L1776" s="1" t="s">
        <v>21600</v>
      </c>
      <c r="M1776" s="1">
        <v>80</v>
      </c>
      <c r="N1776" s="1" t="s">
        <v>8953</v>
      </c>
      <c r="O1776" s="1" t="s">
        <v>8989</v>
      </c>
      <c r="P1776" s="1" t="s">
        <v>8955</v>
      </c>
      <c r="Q1776" s="1" t="s">
        <v>8956</v>
      </c>
      <c r="R1776" s="1" t="s">
        <v>8975</v>
      </c>
      <c r="S1776" s="1" t="s">
        <v>5952</v>
      </c>
      <c r="T1776" s="1" t="s">
        <v>242</v>
      </c>
      <c r="U1776" s="1" t="s">
        <v>2287</v>
      </c>
    </row>
    <row r="1777" spans="1:21" x14ac:dyDescent="0.2">
      <c r="A1777" s="88" t="s">
        <v>17451</v>
      </c>
      <c r="B1777" s="88" t="e">
        <f>VLOOKUP(C1777,#REF!,1,0)</f>
        <v>#REF!</v>
      </c>
      <c r="C1777" s="1" t="s">
        <v>5953</v>
      </c>
      <c r="D1777" s="1" t="s">
        <v>5954</v>
      </c>
      <c r="E1777" s="1" t="s">
        <v>9010</v>
      </c>
      <c r="F1777" s="1" t="s">
        <v>8974</v>
      </c>
      <c r="G1777" t="s">
        <v>9061</v>
      </c>
      <c r="H1777" s="1" t="s">
        <v>8948</v>
      </c>
      <c r="I1777" s="1" t="s">
        <v>8998</v>
      </c>
      <c r="J1777" s="2" t="s">
        <v>9036</v>
      </c>
      <c r="K1777" s="1" t="s">
        <v>9036</v>
      </c>
      <c r="L1777" s="1" t="s">
        <v>8951</v>
      </c>
      <c r="M1777" s="1">
        <v>2583</v>
      </c>
      <c r="N1777" s="1" t="s">
        <v>8953</v>
      </c>
      <c r="O1777" s="1" t="s">
        <v>8954</v>
      </c>
      <c r="P1777" s="1" t="s">
        <v>8955</v>
      </c>
      <c r="Q1777" s="1" t="s">
        <v>8956</v>
      </c>
      <c r="R1777" s="1" t="s">
        <v>8958</v>
      </c>
      <c r="S1777" s="1" t="s">
        <v>5955</v>
      </c>
      <c r="T1777" s="1" t="s">
        <v>4</v>
      </c>
      <c r="U1777" s="1" t="s">
        <v>180</v>
      </c>
    </row>
    <row r="1778" spans="1:21" x14ac:dyDescent="0.2">
      <c r="A1778" s="88" t="s">
        <v>17452</v>
      </c>
      <c r="B1778" s="88" t="e">
        <f>VLOOKUP(C1778,#REF!,1,0)</f>
        <v>#REF!</v>
      </c>
      <c r="C1778" s="1" t="s">
        <v>5956</v>
      </c>
      <c r="D1778" s="1" t="s">
        <v>5957</v>
      </c>
      <c r="E1778" s="1" t="s">
        <v>9317</v>
      </c>
      <c r="F1778" s="1" t="s">
        <v>8957</v>
      </c>
      <c r="G1778" t="s">
        <v>9183</v>
      </c>
      <c r="H1778" s="1" t="s">
        <v>9605</v>
      </c>
      <c r="I1778" s="1" t="s">
        <v>8971</v>
      </c>
      <c r="J1778" s="2" t="s">
        <v>9036</v>
      </c>
      <c r="K1778" s="1" t="s">
        <v>9036</v>
      </c>
      <c r="L1778" s="1" t="s">
        <v>8951</v>
      </c>
      <c r="M1778" s="1">
        <v>800</v>
      </c>
      <c r="N1778" s="1" t="s">
        <v>8953</v>
      </c>
      <c r="O1778" s="1" t="s">
        <v>8954</v>
      </c>
      <c r="P1778" s="1" t="s">
        <v>8955</v>
      </c>
      <c r="Q1778" s="1" t="s">
        <v>8956</v>
      </c>
      <c r="R1778" s="1" t="s">
        <v>8975</v>
      </c>
      <c r="S1778" s="1" t="s">
        <v>5958</v>
      </c>
      <c r="T1778" s="1" t="s">
        <v>11</v>
      </c>
      <c r="U1778" s="1" t="s">
        <v>126</v>
      </c>
    </row>
    <row r="1779" spans="1:21" x14ac:dyDescent="0.2">
      <c r="A1779" s="88" t="s">
        <v>17453</v>
      </c>
      <c r="B1779" s="88" t="e">
        <f>VLOOKUP(C1779,#REF!,1,0)</f>
        <v>#REF!</v>
      </c>
      <c r="C1779" s="1" t="s">
        <v>5959</v>
      </c>
      <c r="D1779" s="1" t="s">
        <v>5960</v>
      </c>
      <c r="E1779" s="1" t="s">
        <v>10873</v>
      </c>
      <c r="F1779" s="1" t="s">
        <v>8957</v>
      </c>
      <c r="G1779" t="s">
        <v>9009</v>
      </c>
      <c r="H1779" s="1" t="s">
        <v>8948</v>
      </c>
      <c r="I1779" s="1" t="s">
        <v>8949</v>
      </c>
      <c r="J1779" s="2" t="s">
        <v>10375</v>
      </c>
      <c r="K1779" s="1" t="s">
        <v>10375</v>
      </c>
      <c r="L1779" s="1" t="s">
        <v>21600</v>
      </c>
      <c r="M1779" s="1">
        <v>50</v>
      </c>
      <c r="N1779" s="1" t="s">
        <v>9059</v>
      </c>
      <c r="O1779" s="1" t="s">
        <v>8989</v>
      </c>
      <c r="P1779" s="1" t="s">
        <v>8955</v>
      </c>
      <c r="Q1779" s="1" t="s">
        <v>8956</v>
      </c>
      <c r="R1779" s="1" t="s">
        <v>8975</v>
      </c>
      <c r="S1779" s="1" t="s">
        <v>5961</v>
      </c>
      <c r="T1779" s="1" t="s">
        <v>17</v>
      </c>
      <c r="U1779" s="1" t="s">
        <v>74</v>
      </c>
    </row>
    <row r="1780" spans="1:21" x14ac:dyDescent="0.2">
      <c r="A1780" s="88" t="s">
        <v>17454</v>
      </c>
      <c r="B1780" s="88"/>
      <c r="C1780" s="1" t="s">
        <v>5962</v>
      </c>
      <c r="D1780" s="1" t="s">
        <v>5963</v>
      </c>
      <c r="E1780" s="1" t="e">
        <v>#N/A</v>
      </c>
      <c r="F1780" s="1" t="e">
        <v>#N/A</v>
      </c>
      <c r="G1780" t="e">
        <v>#N/A</v>
      </c>
      <c r="H1780" s="1" t="e">
        <v>#N/A</v>
      </c>
      <c r="I1780" s="1" t="e">
        <v>#N/A</v>
      </c>
      <c r="J1780" s="2" t="e">
        <v>#N/A</v>
      </c>
      <c r="K1780" s="1" t="e">
        <v>#N/A</v>
      </c>
      <c r="L1780" s="1" t="e">
        <v>#N/A</v>
      </c>
      <c r="M1780" s="1" t="e">
        <v>#N/A</v>
      </c>
      <c r="N1780" s="1" t="e">
        <v>#N/A</v>
      </c>
      <c r="O1780" s="1" t="e">
        <v>#N/A</v>
      </c>
      <c r="P1780" s="1" t="s">
        <v>8955</v>
      </c>
      <c r="Q1780" s="1" t="s">
        <v>8956</v>
      </c>
      <c r="R1780" s="1" t="s">
        <v>8975</v>
      </c>
      <c r="S1780" s="1" t="s">
        <v>20671</v>
      </c>
      <c r="T1780" s="1" t="s">
        <v>252</v>
      </c>
      <c r="U1780" s="1" t="s">
        <v>147</v>
      </c>
    </row>
    <row r="1781" spans="1:21" x14ac:dyDescent="0.2">
      <c r="A1781" s="88" t="s">
        <v>17455</v>
      </c>
      <c r="B1781" s="88" t="e">
        <f>VLOOKUP(C1781,#REF!,1,0)</f>
        <v>#REF!</v>
      </c>
      <c r="C1781" s="1" t="s">
        <v>5964</v>
      </c>
      <c r="D1781" s="1" t="s">
        <v>5965</v>
      </c>
      <c r="E1781" s="1" t="s">
        <v>18502</v>
      </c>
      <c r="F1781" s="1" t="s">
        <v>8957</v>
      </c>
      <c r="G1781" t="s">
        <v>8959</v>
      </c>
      <c r="H1781" s="1" t="s">
        <v>9100</v>
      </c>
      <c r="I1781" s="1" t="s">
        <v>8949</v>
      </c>
      <c r="J1781" s="2" t="s">
        <v>20779</v>
      </c>
      <c r="K1781" s="1" t="s">
        <v>9036</v>
      </c>
      <c r="L1781" s="1" t="s">
        <v>8987</v>
      </c>
      <c r="M1781" s="1">
        <v>1299</v>
      </c>
      <c r="N1781" s="1" t="s">
        <v>8953</v>
      </c>
      <c r="O1781" s="1" t="s">
        <v>8954</v>
      </c>
      <c r="P1781" s="1" t="s">
        <v>8955</v>
      </c>
      <c r="Q1781" s="1" t="s">
        <v>8956</v>
      </c>
      <c r="R1781" s="1" t="s">
        <v>8958</v>
      </c>
      <c r="S1781" s="1" t="s">
        <v>19811</v>
      </c>
      <c r="T1781" s="1" t="s">
        <v>17</v>
      </c>
      <c r="U1781" s="1" t="s">
        <v>110</v>
      </c>
    </row>
    <row r="1782" spans="1:21" x14ac:dyDescent="0.2">
      <c r="A1782" s="88" t="s">
        <v>17456</v>
      </c>
      <c r="B1782" s="88" t="e">
        <f>VLOOKUP(C1782,#REF!,1,0)</f>
        <v>#REF!</v>
      </c>
      <c r="C1782" s="1" t="s">
        <v>5968</v>
      </c>
      <c r="D1782" s="1" t="s">
        <v>5969</v>
      </c>
      <c r="E1782" s="1" t="s">
        <v>10873</v>
      </c>
      <c r="F1782" s="1" t="s">
        <v>8959</v>
      </c>
      <c r="G1782" t="s">
        <v>8959</v>
      </c>
      <c r="H1782" s="1" t="s">
        <v>9173</v>
      </c>
      <c r="I1782" s="1" t="s">
        <v>8985</v>
      </c>
      <c r="J1782" s="2" t="s">
        <v>20953</v>
      </c>
      <c r="K1782" s="1" t="s">
        <v>11518</v>
      </c>
      <c r="L1782" s="1" t="s">
        <v>9157</v>
      </c>
      <c r="M1782" s="1">
        <v>172</v>
      </c>
      <c r="N1782" s="1" t="s">
        <v>8953</v>
      </c>
      <c r="O1782" s="1" t="s">
        <v>8989</v>
      </c>
      <c r="P1782" s="1" t="s">
        <v>8955</v>
      </c>
      <c r="Q1782" s="1" t="s">
        <v>8956</v>
      </c>
      <c r="R1782" s="1" t="s">
        <v>9103</v>
      </c>
      <c r="S1782" s="1" t="s">
        <v>19813</v>
      </c>
      <c r="T1782" s="1" t="s">
        <v>17</v>
      </c>
      <c r="U1782" s="1" t="s">
        <v>61</v>
      </c>
    </row>
    <row r="1783" spans="1:21" x14ac:dyDescent="0.2">
      <c r="A1783" s="88" t="s">
        <v>17457</v>
      </c>
      <c r="B1783" s="88" t="e">
        <f>VLOOKUP(C1783,#REF!,1,0)</f>
        <v>#REF!</v>
      </c>
      <c r="C1783" s="1" t="s">
        <v>5970</v>
      </c>
      <c r="D1783" s="1" t="s">
        <v>5971</v>
      </c>
      <c r="E1783" s="1" t="s">
        <v>10032</v>
      </c>
      <c r="F1783" s="1" t="s">
        <v>8957</v>
      </c>
      <c r="G1783" t="s">
        <v>8959</v>
      </c>
      <c r="H1783" s="1" t="s">
        <v>8984</v>
      </c>
      <c r="I1783" s="1" t="s">
        <v>8998</v>
      </c>
      <c r="J1783" s="2" t="s">
        <v>20809</v>
      </c>
      <c r="K1783" s="1" t="s">
        <v>20771</v>
      </c>
      <c r="L1783" s="1" t="s">
        <v>21600</v>
      </c>
      <c r="M1783" s="1">
        <v>380</v>
      </c>
      <c r="N1783" s="1" t="s">
        <v>9059</v>
      </c>
      <c r="O1783" s="1" t="s">
        <v>8954</v>
      </c>
      <c r="P1783" s="1" t="s">
        <v>8955</v>
      </c>
      <c r="Q1783" s="1" t="s">
        <v>8956</v>
      </c>
      <c r="R1783" s="1" t="s">
        <v>9103</v>
      </c>
      <c r="S1783" s="1" t="s">
        <v>20672</v>
      </c>
      <c r="T1783" s="1" t="s">
        <v>7</v>
      </c>
      <c r="U1783" s="1" t="s">
        <v>74</v>
      </c>
    </row>
    <row r="1784" spans="1:21" x14ac:dyDescent="0.2">
      <c r="A1784" s="88" t="s">
        <v>17458</v>
      </c>
      <c r="B1784" s="88" t="e">
        <f>VLOOKUP(C1784,#REF!,1,0)</f>
        <v>#REF!</v>
      </c>
      <c r="C1784" s="1" t="s">
        <v>5972</v>
      </c>
      <c r="D1784" s="1" t="s">
        <v>5973</v>
      </c>
      <c r="E1784" s="1" t="s">
        <v>9310</v>
      </c>
      <c r="F1784" s="1" t="s">
        <v>8957</v>
      </c>
      <c r="G1784" t="s">
        <v>9061</v>
      </c>
      <c r="H1784" s="1" t="s">
        <v>9035</v>
      </c>
      <c r="I1784" s="1" t="s">
        <v>8998</v>
      </c>
      <c r="J1784" s="2" t="s">
        <v>20863</v>
      </c>
      <c r="K1784" s="1" t="s">
        <v>11518</v>
      </c>
      <c r="L1784" s="1" t="s">
        <v>21600</v>
      </c>
      <c r="M1784" s="1">
        <v>573</v>
      </c>
      <c r="N1784" s="1" t="s">
        <v>8953</v>
      </c>
      <c r="O1784" s="1" t="s">
        <v>8989</v>
      </c>
      <c r="P1784" s="1" t="s">
        <v>8955</v>
      </c>
      <c r="Q1784" s="1" t="s">
        <v>8956</v>
      </c>
      <c r="R1784" s="1" t="s">
        <v>8975</v>
      </c>
      <c r="S1784" s="1" t="s">
        <v>19814</v>
      </c>
      <c r="T1784" s="1" t="s">
        <v>7</v>
      </c>
      <c r="U1784" s="1" t="s">
        <v>147</v>
      </c>
    </row>
    <row r="1785" spans="1:21" x14ac:dyDescent="0.2">
      <c r="A1785" s="88" t="s">
        <v>17459</v>
      </c>
      <c r="B1785" s="88" t="e">
        <f>VLOOKUP(C1785,#REF!,1,0)</f>
        <v>#REF!</v>
      </c>
      <c r="C1785" s="1" t="s">
        <v>5974</v>
      </c>
      <c r="D1785" s="1" t="s">
        <v>5975</v>
      </c>
      <c r="E1785" s="1" t="s">
        <v>9310</v>
      </c>
      <c r="F1785" s="1" t="s">
        <v>8957</v>
      </c>
      <c r="G1785" t="s">
        <v>8959</v>
      </c>
      <c r="H1785" s="1" t="s">
        <v>8948</v>
      </c>
      <c r="I1785" s="1" t="s">
        <v>9155</v>
      </c>
      <c r="J1785" s="2" t="s">
        <v>10629</v>
      </c>
      <c r="K1785" s="1" t="s">
        <v>10629</v>
      </c>
      <c r="L1785" s="1" t="s">
        <v>9076</v>
      </c>
      <c r="M1785" s="1">
        <v>5471</v>
      </c>
      <c r="N1785" s="1" t="s">
        <v>8953</v>
      </c>
      <c r="O1785" s="1" t="s">
        <v>8989</v>
      </c>
      <c r="P1785" s="1" t="s">
        <v>8955</v>
      </c>
      <c r="Q1785" s="1" t="s">
        <v>8956</v>
      </c>
      <c r="R1785" s="1" t="s">
        <v>8975</v>
      </c>
      <c r="S1785" s="1" t="s">
        <v>19815</v>
      </c>
      <c r="T1785" s="1" t="s">
        <v>7</v>
      </c>
      <c r="U1785" s="1" t="s">
        <v>93</v>
      </c>
    </row>
    <row r="1786" spans="1:21" x14ac:dyDescent="0.2">
      <c r="A1786" s="88" t="s">
        <v>17460</v>
      </c>
      <c r="B1786" s="88" t="e">
        <f>VLOOKUP(C1786,#REF!,1,0)</f>
        <v>#REF!</v>
      </c>
      <c r="C1786" s="1" t="s">
        <v>5976</v>
      </c>
      <c r="D1786" s="1" t="s">
        <v>5977</v>
      </c>
      <c r="E1786" s="1" t="s">
        <v>9310</v>
      </c>
      <c r="F1786" s="1" t="s">
        <v>9060</v>
      </c>
      <c r="G1786" t="s">
        <v>8959</v>
      </c>
      <c r="H1786" s="1" t="s">
        <v>9252</v>
      </c>
      <c r="I1786" s="1" t="s">
        <v>20800</v>
      </c>
      <c r="J1786" s="2" t="s">
        <v>20736</v>
      </c>
      <c r="K1786" s="1" t="s">
        <v>20736</v>
      </c>
      <c r="L1786" s="1" t="s">
        <v>8987</v>
      </c>
      <c r="M1786" s="1">
        <v>7909</v>
      </c>
      <c r="N1786" s="1" t="s">
        <v>8953</v>
      </c>
      <c r="O1786" s="1" t="s">
        <v>8954</v>
      </c>
      <c r="P1786" s="1" t="s">
        <v>8955</v>
      </c>
      <c r="Q1786" s="1" t="s">
        <v>8956</v>
      </c>
      <c r="R1786" s="1" t="s">
        <v>8958</v>
      </c>
      <c r="S1786" s="1" t="s">
        <v>19816</v>
      </c>
      <c r="T1786" s="1" t="s">
        <v>17</v>
      </c>
      <c r="U1786" s="1" t="s">
        <v>27</v>
      </c>
    </row>
    <row r="1787" spans="1:21" x14ac:dyDescent="0.2">
      <c r="A1787" s="88" t="s">
        <v>17462</v>
      </c>
      <c r="B1787" s="88" t="e">
        <f>VLOOKUP(C1787,#REF!,1,0)</f>
        <v>#REF!</v>
      </c>
      <c r="C1787" s="1" t="s">
        <v>5980</v>
      </c>
      <c r="D1787" s="1" t="s">
        <v>5981</v>
      </c>
      <c r="E1787" s="1" t="s">
        <v>9310</v>
      </c>
      <c r="F1787" s="1" t="s">
        <v>8957</v>
      </c>
      <c r="G1787" t="s">
        <v>8959</v>
      </c>
      <c r="H1787" s="1" t="s">
        <v>9035</v>
      </c>
      <c r="I1787" s="1" t="s">
        <v>8998</v>
      </c>
      <c r="J1787" s="2" t="s">
        <v>18497</v>
      </c>
      <c r="K1787" s="1" t="s">
        <v>21658</v>
      </c>
      <c r="L1787" s="1" t="s">
        <v>8987</v>
      </c>
      <c r="M1787" s="1">
        <v>734</v>
      </c>
      <c r="N1787" s="1" t="s">
        <v>9059</v>
      </c>
      <c r="O1787" s="1" t="s">
        <v>8989</v>
      </c>
      <c r="P1787" s="1" t="s">
        <v>8955</v>
      </c>
      <c r="Q1787" s="1" t="s">
        <v>8956</v>
      </c>
      <c r="R1787" s="1" t="s">
        <v>8958</v>
      </c>
      <c r="S1787" s="1" t="s">
        <v>19818</v>
      </c>
      <c r="T1787" s="1" t="s">
        <v>7</v>
      </c>
      <c r="U1787" s="1" t="s">
        <v>27</v>
      </c>
    </row>
    <row r="1788" spans="1:21" x14ac:dyDescent="0.2">
      <c r="A1788" s="88" t="s">
        <v>17463</v>
      </c>
      <c r="B1788" s="88" t="e">
        <f>VLOOKUP(C1788,#REF!,1,0)</f>
        <v>#REF!</v>
      </c>
      <c r="C1788" s="1" t="s">
        <v>5982</v>
      </c>
      <c r="D1788" s="1" t="s">
        <v>5983</v>
      </c>
      <c r="E1788" s="1" t="s">
        <v>10873</v>
      </c>
      <c r="F1788" s="1" t="s">
        <v>8957</v>
      </c>
      <c r="G1788" t="s">
        <v>8959</v>
      </c>
      <c r="H1788" s="1" t="s">
        <v>9154</v>
      </c>
      <c r="I1788" s="1" t="s">
        <v>8949</v>
      </c>
      <c r="J1788" s="2" t="s">
        <v>20862</v>
      </c>
      <c r="K1788" s="1" t="s">
        <v>9413</v>
      </c>
      <c r="L1788" s="1" t="s">
        <v>9076</v>
      </c>
      <c r="M1788" s="1">
        <v>300</v>
      </c>
      <c r="N1788" s="1" t="s">
        <v>8953</v>
      </c>
      <c r="O1788" s="1" t="s">
        <v>8989</v>
      </c>
      <c r="P1788" s="1" t="s">
        <v>8955</v>
      </c>
      <c r="Q1788" s="1" t="s">
        <v>8956</v>
      </c>
      <c r="R1788" s="1" t="s">
        <v>8958</v>
      </c>
      <c r="S1788" s="1" t="s">
        <v>19819</v>
      </c>
      <c r="T1788" s="1" t="s">
        <v>17</v>
      </c>
      <c r="U1788" s="1" t="s">
        <v>61</v>
      </c>
    </row>
    <row r="1789" spans="1:21" x14ac:dyDescent="0.2">
      <c r="A1789" s="88" t="s">
        <v>17464</v>
      </c>
      <c r="B1789" s="88" t="e">
        <f>VLOOKUP(C1789,#REF!,1,0)</f>
        <v>#REF!</v>
      </c>
      <c r="C1789" s="1" t="s">
        <v>5984</v>
      </c>
      <c r="D1789" s="1" t="s">
        <v>5985</v>
      </c>
      <c r="E1789" s="1" t="s">
        <v>9310</v>
      </c>
      <c r="F1789" s="1" t="s">
        <v>8957</v>
      </c>
      <c r="G1789" t="s">
        <v>8959</v>
      </c>
      <c r="H1789" s="1" t="s">
        <v>9605</v>
      </c>
      <c r="I1789" s="1" t="s">
        <v>9101</v>
      </c>
      <c r="J1789" s="2" t="s">
        <v>21572</v>
      </c>
      <c r="K1789" s="1" t="s">
        <v>21572</v>
      </c>
      <c r="L1789" s="1" t="s">
        <v>8987</v>
      </c>
      <c r="M1789" s="1">
        <v>100000</v>
      </c>
      <c r="N1789" s="1" t="s">
        <v>8953</v>
      </c>
      <c r="O1789" s="1" t="s">
        <v>8954</v>
      </c>
      <c r="P1789" s="1" t="s">
        <v>8955</v>
      </c>
      <c r="Q1789" s="1" t="s">
        <v>8956</v>
      </c>
      <c r="R1789" s="1" t="s">
        <v>8958</v>
      </c>
      <c r="S1789" s="1" t="s">
        <v>5986</v>
      </c>
      <c r="T1789" s="1" t="s">
        <v>11</v>
      </c>
      <c r="U1789" s="1" t="s">
        <v>184</v>
      </c>
    </row>
    <row r="1790" spans="1:21" x14ac:dyDescent="0.2">
      <c r="A1790" s="88" t="s">
        <v>17465</v>
      </c>
      <c r="B1790" s="88" t="e">
        <f>VLOOKUP(C1790,#REF!,1,0)</f>
        <v>#REF!</v>
      </c>
      <c r="C1790" s="1" t="s">
        <v>5987</v>
      </c>
      <c r="D1790" s="1" t="s">
        <v>5988</v>
      </c>
      <c r="E1790" s="1" t="s">
        <v>9310</v>
      </c>
      <c r="F1790" s="1" t="s">
        <v>8959</v>
      </c>
      <c r="G1790" t="s">
        <v>8959</v>
      </c>
      <c r="H1790" s="1" t="s">
        <v>9173</v>
      </c>
      <c r="I1790" s="1" t="s">
        <v>9174</v>
      </c>
      <c r="J1790" s="2" t="s">
        <v>20785</v>
      </c>
      <c r="K1790" s="1" t="s">
        <v>9386</v>
      </c>
      <c r="L1790" s="1" t="s">
        <v>8987</v>
      </c>
      <c r="M1790" s="1">
        <v>10015</v>
      </c>
      <c r="N1790" s="1" t="s">
        <v>8953</v>
      </c>
      <c r="O1790" s="1" t="s">
        <v>8954</v>
      </c>
      <c r="P1790" s="1" t="s">
        <v>8955</v>
      </c>
      <c r="Q1790" s="1" t="s">
        <v>8956</v>
      </c>
      <c r="R1790" s="1" t="s">
        <v>9103</v>
      </c>
      <c r="S1790" s="1" t="s">
        <v>19820</v>
      </c>
      <c r="T1790" s="1" t="s">
        <v>7</v>
      </c>
      <c r="U1790" s="1" t="s">
        <v>184</v>
      </c>
    </row>
    <row r="1791" spans="1:21" x14ac:dyDescent="0.2">
      <c r="A1791" s="88" t="s">
        <v>17466</v>
      </c>
      <c r="B1791" s="88" t="e">
        <f>VLOOKUP(C1791,#REF!,1,0)</f>
        <v>#REF!</v>
      </c>
      <c r="C1791" s="1" t="s">
        <v>5989</v>
      </c>
      <c r="D1791" s="1" t="s">
        <v>5990</v>
      </c>
      <c r="E1791" s="1" t="s">
        <v>9465</v>
      </c>
      <c r="F1791" s="1" t="s">
        <v>8959</v>
      </c>
      <c r="G1791" t="s">
        <v>8959</v>
      </c>
      <c r="H1791" s="1" t="s">
        <v>9035</v>
      </c>
      <c r="I1791" s="1" t="s">
        <v>9308</v>
      </c>
      <c r="J1791" s="2" t="s">
        <v>20838</v>
      </c>
      <c r="K1791" s="1" t="s">
        <v>20755</v>
      </c>
      <c r="L1791" s="1" t="s">
        <v>8951</v>
      </c>
      <c r="M1791" s="1">
        <v>1196</v>
      </c>
      <c r="N1791" s="1" t="s">
        <v>9059</v>
      </c>
      <c r="O1791" s="1" t="s">
        <v>8954</v>
      </c>
      <c r="P1791" s="1" t="s">
        <v>8955</v>
      </c>
      <c r="Q1791" s="1" t="s">
        <v>8956</v>
      </c>
      <c r="R1791" s="1" t="s">
        <v>8975</v>
      </c>
      <c r="S1791" s="1" t="s">
        <v>20673</v>
      </c>
      <c r="T1791" s="1" t="s">
        <v>17</v>
      </c>
      <c r="U1791" s="1" t="s">
        <v>24</v>
      </c>
    </row>
    <row r="1792" spans="1:21" x14ac:dyDescent="0.2">
      <c r="A1792" s="88" t="s">
        <v>17467</v>
      </c>
      <c r="B1792" s="88" t="e">
        <f>VLOOKUP(C1792,#REF!,1,0)</f>
        <v>#REF!</v>
      </c>
      <c r="C1792" s="1" t="s">
        <v>5991</v>
      </c>
      <c r="D1792" s="1" t="s">
        <v>5992</v>
      </c>
      <c r="E1792" s="1" t="s">
        <v>9310</v>
      </c>
      <c r="F1792" s="1" t="s">
        <v>8957</v>
      </c>
      <c r="G1792" t="s">
        <v>8959</v>
      </c>
      <c r="H1792" s="1" t="s">
        <v>9092</v>
      </c>
      <c r="I1792" s="1" t="s">
        <v>8949</v>
      </c>
      <c r="J1792" s="2" t="s">
        <v>21524</v>
      </c>
      <c r="K1792" s="1" t="s">
        <v>9036</v>
      </c>
      <c r="L1792" s="1" t="s">
        <v>9076</v>
      </c>
      <c r="M1792" s="1">
        <v>410</v>
      </c>
      <c r="N1792" s="1" t="s">
        <v>8953</v>
      </c>
      <c r="O1792" s="1" t="s">
        <v>8954</v>
      </c>
      <c r="P1792" s="1" t="s">
        <v>8955</v>
      </c>
      <c r="Q1792" s="1" t="s">
        <v>8956</v>
      </c>
      <c r="R1792" s="1" t="s">
        <v>8958</v>
      </c>
      <c r="S1792" s="1" t="s">
        <v>5993</v>
      </c>
      <c r="T1792" s="1" t="s">
        <v>7</v>
      </c>
      <c r="U1792" s="1" t="s">
        <v>184</v>
      </c>
    </row>
    <row r="1793" spans="1:21" x14ac:dyDescent="0.2">
      <c r="A1793" s="88" t="s">
        <v>17468</v>
      </c>
      <c r="B1793" s="88" t="e">
        <f>VLOOKUP(C1793,#REF!,1,0)</f>
        <v>#REF!</v>
      </c>
      <c r="C1793" s="1" t="s">
        <v>5994</v>
      </c>
      <c r="D1793" s="1" t="s">
        <v>5995</v>
      </c>
      <c r="E1793" s="1" t="s">
        <v>9310</v>
      </c>
      <c r="F1793" s="1" t="s">
        <v>8957</v>
      </c>
      <c r="G1793" t="s">
        <v>8959</v>
      </c>
      <c r="H1793" s="1" t="s">
        <v>20714</v>
      </c>
      <c r="I1793" s="1" t="s">
        <v>20725</v>
      </c>
      <c r="J1793" s="2" t="s">
        <v>18497</v>
      </c>
      <c r="K1793" s="1" t="s">
        <v>18497</v>
      </c>
      <c r="L1793" s="1" t="s">
        <v>8987</v>
      </c>
      <c r="M1793" s="1">
        <v>513</v>
      </c>
      <c r="N1793" s="1" t="s">
        <v>9059</v>
      </c>
      <c r="O1793" s="1" t="s">
        <v>8954</v>
      </c>
      <c r="P1793" s="1" t="s">
        <v>8955</v>
      </c>
      <c r="Q1793" s="1" t="s">
        <v>8956</v>
      </c>
      <c r="R1793" s="1" t="s">
        <v>9103</v>
      </c>
      <c r="S1793" s="1" t="s">
        <v>19821</v>
      </c>
      <c r="T1793" s="1" t="s">
        <v>17</v>
      </c>
      <c r="U1793" s="1" t="s">
        <v>74</v>
      </c>
    </row>
    <row r="1794" spans="1:21" x14ac:dyDescent="0.2">
      <c r="A1794" s="88" t="s">
        <v>17469</v>
      </c>
      <c r="B1794" s="88" t="e">
        <f>VLOOKUP(C1794,#REF!,1,0)</f>
        <v>#REF!</v>
      </c>
      <c r="C1794" s="1" t="s">
        <v>5996</v>
      </c>
      <c r="D1794" s="1" t="s">
        <v>5997</v>
      </c>
      <c r="E1794" s="1" t="s">
        <v>18502</v>
      </c>
      <c r="F1794" s="1" t="s">
        <v>8957</v>
      </c>
      <c r="G1794" t="s">
        <v>8959</v>
      </c>
      <c r="H1794" s="1" t="s">
        <v>9100</v>
      </c>
      <c r="I1794" s="1" t="s">
        <v>8949</v>
      </c>
      <c r="J1794" s="2" t="s">
        <v>20960</v>
      </c>
      <c r="K1794" s="1" t="s">
        <v>21868</v>
      </c>
      <c r="L1794" s="1" t="s">
        <v>8987</v>
      </c>
      <c r="M1794" s="1">
        <v>901</v>
      </c>
      <c r="N1794" s="1" t="s">
        <v>9059</v>
      </c>
      <c r="O1794" s="1" t="s">
        <v>8954</v>
      </c>
      <c r="P1794" s="1" t="s">
        <v>8955</v>
      </c>
      <c r="Q1794" s="1" t="s">
        <v>8956</v>
      </c>
      <c r="R1794" s="1" t="s">
        <v>8975</v>
      </c>
      <c r="S1794" s="1" t="s">
        <v>19822</v>
      </c>
      <c r="T1794" s="1" t="s">
        <v>7</v>
      </c>
      <c r="U1794" s="1" t="s">
        <v>647</v>
      </c>
    </row>
    <row r="1795" spans="1:21" x14ac:dyDescent="0.2">
      <c r="A1795" s="88" t="s">
        <v>17470</v>
      </c>
      <c r="B1795" s="88" t="e">
        <f>VLOOKUP(C1795,#REF!,1,0)</f>
        <v>#REF!</v>
      </c>
      <c r="C1795" s="1" t="s">
        <v>5998</v>
      </c>
      <c r="D1795" s="1" t="s">
        <v>5999</v>
      </c>
      <c r="E1795" s="1" t="s">
        <v>9310</v>
      </c>
      <c r="F1795" s="1" t="s">
        <v>8957</v>
      </c>
      <c r="G1795" t="s">
        <v>8959</v>
      </c>
      <c r="H1795" s="1" t="s">
        <v>8948</v>
      </c>
      <c r="I1795" s="1" t="s">
        <v>8949</v>
      </c>
      <c r="J1795" s="2" t="s">
        <v>20785</v>
      </c>
      <c r="K1795" s="1" t="s">
        <v>9386</v>
      </c>
      <c r="L1795" s="1" t="s">
        <v>9076</v>
      </c>
      <c r="M1795" s="1">
        <v>20587</v>
      </c>
      <c r="N1795" s="1" t="s">
        <v>8953</v>
      </c>
      <c r="O1795" s="1" t="s">
        <v>8954</v>
      </c>
      <c r="P1795" s="1" t="s">
        <v>8955</v>
      </c>
      <c r="Q1795" s="1" t="s">
        <v>8956</v>
      </c>
      <c r="R1795" s="1" t="s">
        <v>8958</v>
      </c>
      <c r="S1795" s="1" t="s">
        <v>19823</v>
      </c>
      <c r="T1795" s="1" t="s">
        <v>7</v>
      </c>
      <c r="U1795" s="1" t="s">
        <v>21</v>
      </c>
    </row>
    <row r="1796" spans="1:21" x14ac:dyDescent="0.2">
      <c r="A1796" s="88" t="s">
        <v>17471</v>
      </c>
      <c r="B1796" s="88" t="e">
        <f>VLOOKUP(C1796,#REF!,1,0)</f>
        <v>#REF!</v>
      </c>
      <c r="C1796" s="1" t="s">
        <v>6000</v>
      </c>
      <c r="D1796" s="1" t="s">
        <v>6001</v>
      </c>
      <c r="E1796" s="1" t="s">
        <v>9010</v>
      </c>
      <c r="F1796" s="1" t="s">
        <v>8957</v>
      </c>
      <c r="G1796" t="s">
        <v>8959</v>
      </c>
      <c r="H1796" s="1" t="s">
        <v>9252</v>
      </c>
      <c r="I1796" s="1" t="s">
        <v>9253</v>
      </c>
      <c r="J1796" s="2" t="s">
        <v>13923</v>
      </c>
      <c r="K1796" s="1" t="s">
        <v>13923</v>
      </c>
      <c r="L1796" s="1" t="s">
        <v>8987</v>
      </c>
      <c r="M1796" s="1">
        <v>560</v>
      </c>
      <c r="N1796" s="1" t="s">
        <v>8953</v>
      </c>
      <c r="O1796" s="1" t="s">
        <v>8989</v>
      </c>
      <c r="P1796" s="1" t="s">
        <v>8955</v>
      </c>
      <c r="Q1796" s="1" t="s">
        <v>8956</v>
      </c>
      <c r="R1796" s="1" t="s">
        <v>8975</v>
      </c>
      <c r="S1796" s="1" t="s">
        <v>6002</v>
      </c>
      <c r="T1796" s="1" t="s">
        <v>4</v>
      </c>
      <c r="U1796" s="1" t="s">
        <v>234</v>
      </c>
    </row>
    <row r="1797" spans="1:21" x14ac:dyDescent="0.2">
      <c r="A1797" s="88" t="s">
        <v>6003</v>
      </c>
      <c r="B1797" s="88" t="e">
        <f>VLOOKUP(C1797,#REF!,1,0)</f>
        <v>#REF!</v>
      </c>
      <c r="C1797" s="1" t="s">
        <v>6004</v>
      </c>
      <c r="D1797" s="1" t="s">
        <v>6005</v>
      </c>
      <c r="E1797" s="1" t="s">
        <v>9333</v>
      </c>
      <c r="F1797" s="1" t="s">
        <v>8959</v>
      </c>
      <c r="G1797" t="s">
        <v>8959</v>
      </c>
      <c r="H1797" s="1" t="s">
        <v>8984</v>
      </c>
      <c r="I1797" s="1" t="s">
        <v>20800</v>
      </c>
      <c r="J1797" s="2" t="s">
        <v>21235</v>
      </c>
      <c r="K1797" s="1" t="s">
        <v>21720</v>
      </c>
      <c r="L1797" s="1" t="s">
        <v>8987</v>
      </c>
      <c r="M1797" s="1">
        <v>97569</v>
      </c>
      <c r="N1797" s="1" t="s">
        <v>20915</v>
      </c>
      <c r="O1797" s="1" t="s">
        <v>8989</v>
      </c>
      <c r="P1797" s="1" t="s">
        <v>8955</v>
      </c>
      <c r="Q1797" s="1" t="s">
        <v>8956</v>
      </c>
      <c r="R1797" s="1" t="s">
        <v>8958</v>
      </c>
      <c r="S1797" s="1" t="s">
        <v>19824</v>
      </c>
      <c r="T1797" s="1" t="s">
        <v>11</v>
      </c>
      <c r="U1797" s="1" t="s">
        <v>35</v>
      </c>
    </row>
    <row r="1798" spans="1:21" x14ac:dyDescent="0.2">
      <c r="A1798" s="88" t="s">
        <v>17472</v>
      </c>
      <c r="B1798" s="88" t="e">
        <f>VLOOKUP(C1798,#REF!,1,0)</f>
        <v>#REF!</v>
      </c>
      <c r="C1798" s="1" t="s">
        <v>6006</v>
      </c>
      <c r="D1798" s="1" t="s">
        <v>6007</v>
      </c>
      <c r="E1798" s="1" t="s">
        <v>9213</v>
      </c>
      <c r="F1798" s="1" t="s">
        <v>8957</v>
      </c>
      <c r="G1798" t="s">
        <v>9183</v>
      </c>
      <c r="H1798" s="1" t="s">
        <v>9100</v>
      </c>
      <c r="I1798" s="1" t="s">
        <v>8949</v>
      </c>
      <c r="J1798" s="2" t="s">
        <v>9051</v>
      </c>
      <c r="K1798" s="1" t="s">
        <v>9051</v>
      </c>
      <c r="L1798" s="1" t="s">
        <v>9076</v>
      </c>
      <c r="M1798" s="1">
        <v>400</v>
      </c>
      <c r="N1798" s="1" t="s">
        <v>8953</v>
      </c>
      <c r="O1798" s="1" t="s">
        <v>8954</v>
      </c>
      <c r="P1798" s="1" t="s">
        <v>8955</v>
      </c>
      <c r="Q1798" s="1" t="s">
        <v>8956</v>
      </c>
      <c r="R1798" s="1" t="s">
        <v>9103</v>
      </c>
      <c r="S1798" s="1" t="s">
        <v>6008</v>
      </c>
      <c r="T1798" s="1" t="s">
        <v>11</v>
      </c>
      <c r="U1798" s="1" t="s">
        <v>61</v>
      </c>
    </row>
    <row r="1799" spans="1:21" x14ac:dyDescent="0.2">
      <c r="A1799" s="88" t="s">
        <v>17473</v>
      </c>
      <c r="B1799" s="88" t="e">
        <f>VLOOKUP(C1799,#REF!,1,0)</f>
        <v>#REF!</v>
      </c>
      <c r="C1799" s="1" t="s">
        <v>6009</v>
      </c>
      <c r="D1799" s="1" t="s">
        <v>6010</v>
      </c>
      <c r="E1799" s="1" t="s">
        <v>10850</v>
      </c>
      <c r="F1799" s="1" t="s">
        <v>8957</v>
      </c>
      <c r="G1799" t="s">
        <v>9183</v>
      </c>
      <c r="H1799" s="1" t="s">
        <v>9154</v>
      </c>
      <c r="I1799" s="1" t="s">
        <v>9308</v>
      </c>
      <c r="J1799" s="2" t="s">
        <v>10942</v>
      </c>
      <c r="K1799" s="1" t="s">
        <v>10942</v>
      </c>
      <c r="L1799" s="1" t="s">
        <v>8951</v>
      </c>
      <c r="M1799" s="1">
        <v>103</v>
      </c>
      <c r="N1799" s="1" t="s">
        <v>8953</v>
      </c>
      <c r="O1799" s="1" t="s">
        <v>8989</v>
      </c>
      <c r="P1799" s="1" t="s">
        <v>8955</v>
      </c>
      <c r="Q1799" s="1" t="s">
        <v>8956</v>
      </c>
      <c r="R1799" s="1" t="s">
        <v>8975</v>
      </c>
      <c r="S1799" s="1" t="s">
        <v>6011</v>
      </c>
      <c r="T1799" s="1" t="s">
        <v>11</v>
      </c>
      <c r="U1799" s="1" t="s">
        <v>46</v>
      </c>
    </row>
    <row r="1800" spans="1:21" x14ac:dyDescent="0.2">
      <c r="A1800" s="88" t="s">
        <v>17474</v>
      </c>
      <c r="B1800" s="88" t="e">
        <f>VLOOKUP(C1800,#REF!,1,0)</f>
        <v>#REF!</v>
      </c>
      <c r="C1800" s="1" t="s">
        <v>6012</v>
      </c>
      <c r="D1800" s="1" t="s">
        <v>6013</v>
      </c>
      <c r="E1800" s="1" t="s">
        <v>10032</v>
      </c>
      <c r="F1800" s="1" t="s">
        <v>8957</v>
      </c>
      <c r="G1800" t="s">
        <v>9009</v>
      </c>
      <c r="H1800" s="1" t="s">
        <v>9049</v>
      </c>
      <c r="I1800" s="1" t="s">
        <v>9050</v>
      </c>
      <c r="J1800" s="2" t="s">
        <v>9036</v>
      </c>
      <c r="K1800" s="1" t="s">
        <v>9036</v>
      </c>
      <c r="L1800" s="1" t="s">
        <v>8951</v>
      </c>
      <c r="M1800" s="1">
        <v>88702</v>
      </c>
      <c r="N1800" s="1" t="s">
        <v>8953</v>
      </c>
      <c r="O1800" s="1" t="s">
        <v>8954</v>
      </c>
      <c r="P1800" s="1" t="s">
        <v>8955</v>
      </c>
      <c r="Q1800" s="1" t="s">
        <v>8956</v>
      </c>
      <c r="R1800" s="1" t="s">
        <v>8958</v>
      </c>
      <c r="S1800" s="1" t="s">
        <v>6014</v>
      </c>
      <c r="T1800" s="1" t="s">
        <v>4</v>
      </c>
      <c r="U1800" s="1" t="s">
        <v>126</v>
      </c>
    </row>
    <row r="1801" spans="1:21" x14ac:dyDescent="0.2">
      <c r="A1801" s="88" t="s">
        <v>17475</v>
      </c>
      <c r="B1801" s="88" t="e">
        <f>VLOOKUP(C1801,#REF!,1,0)</f>
        <v>#REF!</v>
      </c>
      <c r="C1801" s="1" t="s">
        <v>6015</v>
      </c>
      <c r="D1801" s="1" t="s">
        <v>6016</v>
      </c>
      <c r="E1801" s="1" t="s">
        <v>18502</v>
      </c>
      <c r="F1801" s="1" t="s">
        <v>8974</v>
      </c>
      <c r="G1801" t="s">
        <v>9183</v>
      </c>
      <c r="H1801" s="1" t="s">
        <v>9100</v>
      </c>
      <c r="I1801" s="1" t="s">
        <v>8949</v>
      </c>
      <c r="J1801" s="2" t="s">
        <v>21289</v>
      </c>
      <c r="K1801" s="1" t="s">
        <v>21289</v>
      </c>
      <c r="L1801" s="1" t="s">
        <v>20878</v>
      </c>
      <c r="M1801" s="1">
        <v>617</v>
      </c>
      <c r="N1801" s="1" t="s">
        <v>9059</v>
      </c>
      <c r="O1801" s="1" t="s">
        <v>8954</v>
      </c>
      <c r="P1801" s="1" t="s">
        <v>8955</v>
      </c>
      <c r="Q1801" s="1" t="s">
        <v>8956</v>
      </c>
      <c r="R1801" s="1" t="s">
        <v>8975</v>
      </c>
      <c r="S1801" s="1" t="s">
        <v>19825</v>
      </c>
      <c r="T1801" s="1" t="s">
        <v>7</v>
      </c>
      <c r="U1801" s="1" t="s">
        <v>1202</v>
      </c>
    </row>
    <row r="1802" spans="1:21" x14ac:dyDescent="0.2">
      <c r="A1802" s="88" t="s">
        <v>17476</v>
      </c>
      <c r="B1802" s="88" t="e">
        <f>VLOOKUP(C1802,#REF!,1,0)</f>
        <v>#REF!</v>
      </c>
      <c r="C1802" s="1" t="s">
        <v>6017</v>
      </c>
      <c r="D1802" s="1" t="s">
        <v>6018</v>
      </c>
      <c r="E1802" s="1" t="s">
        <v>9380</v>
      </c>
      <c r="F1802" s="1" t="s">
        <v>8957</v>
      </c>
      <c r="G1802" t="s">
        <v>9061</v>
      </c>
      <c r="H1802" s="1" t="s">
        <v>9100</v>
      </c>
      <c r="I1802" s="1" t="s">
        <v>8949</v>
      </c>
      <c r="J1802" s="2" t="s">
        <v>10525</v>
      </c>
      <c r="K1802" s="1" t="s">
        <v>21650</v>
      </c>
      <c r="L1802" s="1" t="s">
        <v>8987</v>
      </c>
      <c r="M1802" s="1">
        <v>72</v>
      </c>
      <c r="N1802" s="1" t="s">
        <v>9059</v>
      </c>
      <c r="O1802" s="1" t="s">
        <v>8954</v>
      </c>
      <c r="P1802" s="1" t="s">
        <v>8955</v>
      </c>
      <c r="Q1802" s="1" t="s">
        <v>8956</v>
      </c>
      <c r="R1802" s="1" t="s">
        <v>9103</v>
      </c>
      <c r="S1802" s="1" t="s">
        <v>19826</v>
      </c>
      <c r="T1802" s="1" t="s">
        <v>17</v>
      </c>
      <c r="U1802" s="1" t="s">
        <v>8</v>
      </c>
    </row>
    <row r="1803" spans="1:21" x14ac:dyDescent="0.2">
      <c r="A1803" s="88" t="s">
        <v>17477</v>
      </c>
      <c r="B1803" s="88" t="e">
        <f>VLOOKUP(C1803,#REF!,1,0)</f>
        <v>#REF!</v>
      </c>
      <c r="C1803" s="1" t="s">
        <v>6023</v>
      </c>
      <c r="D1803" s="1" t="s">
        <v>6024</v>
      </c>
      <c r="E1803" s="1" t="s">
        <v>9815</v>
      </c>
      <c r="F1803" s="1" t="s">
        <v>8959</v>
      </c>
      <c r="G1803" t="s">
        <v>8959</v>
      </c>
      <c r="H1803" s="1" t="s">
        <v>9173</v>
      </c>
      <c r="I1803" s="1" t="s">
        <v>9174</v>
      </c>
      <c r="J1803" s="2" t="s">
        <v>8972</v>
      </c>
      <c r="K1803" s="1" t="s">
        <v>21768</v>
      </c>
      <c r="L1803" s="1" t="s">
        <v>8987</v>
      </c>
      <c r="M1803" s="1">
        <v>1800</v>
      </c>
      <c r="N1803" s="1" t="s">
        <v>8953</v>
      </c>
      <c r="O1803" s="1" t="s">
        <v>8954</v>
      </c>
      <c r="P1803" s="1" t="s">
        <v>8955</v>
      </c>
      <c r="Q1803" s="1" t="s">
        <v>8956</v>
      </c>
      <c r="R1803" s="1" t="s">
        <v>9103</v>
      </c>
      <c r="S1803" s="1" t="s">
        <v>6025</v>
      </c>
      <c r="T1803" s="1" t="s">
        <v>17</v>
      </c>
      <c r="U1803" s="1" t="s">
        <v>3451</v>
      </c>
    </row>
    <row r="1804" spans="1:21" x14ac:dyDescent="0.2">
      <c r="A1804" s="88" t="s">
        <v>17478</v>
      </c>
      <c r="B1804" s="88" t="e">
        <f>VLOOKUP(C1804,#REF!,1,0)</f>
        <v>#REF!</v>
      </c>
      <c r="C1804" s="1" t="s">
        <v>6026</v>
      </c>
      <c r="D1804" s="1" t="s">
        <v>6027</v>
      </c>
      <c r="E1804" s="1" t="s">
        <v>10873</v>
      </c>
      <c r="F1804" s="1" t="s">
        <v>9060</v>
      </c>
      <c r="G1804" t="s">
        <v>8959</v>
      </c>
      <c r="H1804" s="1" t="s">
        <v>8948</v>
      </c>
      <c r="I1804" s="1" t="s">
        <v>8949</v>
      </c>
      <c r="J1804" s="2" t="s">
        <v>12818</v>
      </c>
      <c r="K1804" s="1" t="s">
        <v>21721</v>
      </c>
      <c r="L1804" s="1" t="s">
        <v>21600</v>
      </c>
      <c r="M1804" s="1">
        <v>24</v>
      </c>
      <c r="N1804" s="1" t="s">
        <v>8953</v>
      </c>
      <c r="O1804" s="1" t="s">
        <v>8989</v>
      </c>
      <c r="P1804" s="1" t="s">
        <v>8955</v>
      </c>
      <c r="Q1804" s="1" t="s">
        <v>8956</v>
      </c>
      <c r="R1804" s="1" t="s">
        <v>8958</v>
      </c>
      <c r="S1804" s="1" t="s">
        <v>6028</v>
      </c>
      <c r="T1804" s="1" t="s">
        <v>11</v>
      </c>
      <c r="U1804" s="1" t="s">
        <v>43</v>
      </c>
    </row>
    <row r="1805" spans="1:21" x14ac:dyDescent="0.2">
      <c r="A1805" s="88" t="s">
        <v>17480</v>
      </c>
      <c r="B1805" s="88" t="e">
        <f>VLOOKUP(C1805,#REF!,1,0)</f>
        <v>#REF!</v>
      </c>
      <c r="C1805" s="1" t="s">
        <v>6031</v>
      </c>
      <c r="D1805" s="1" t="s">
        <v>6032</v>
      </c>
      <c r="E1805" s="1" t="s">
        <v>9380</v>
      </c>
      <c r="F1805" s="1" t="s">
        <v>8959</v>
      </c>
      <c r="G1805" t="s">
        <v>8959</v>
      </c>
      <c r="H1805" s="1" t="s">
        <v>9075</v>
      </c>
      <c r="I1805" s="1" t="s">
        <v>9101</v>
      </c>
      <c r="J1805" s="2" t="s">
        <v>20776</v>
      </c>
      <c r="K1805" s="1" t="s">
        <v>20776</v>
      </c>
      <c r="L1805" s="1" t="s">
        <v>21600</v>
      </c>
      <c r="M1805" s="1">
        <v>827</v>
      </c>
      <c r="N1805" s="1" t="s">
        <v>8953</v>
      </c>
      <c r="O1805" s="1" t="s">
        <v>8989</v>
      </c>
      <c r="P1805" s="1" t="s">
        <v>8955</v>
      </c>
      <c r="Q1805" s="1" t="s">
        <v>8956</v>
      </c>
      <c r="R1805" s="1" t="s">
        <v>9103</v>
      </c>
      <c r="S1805" s="1" t="s">
        <v>19828</v>
      </c>
      <c r="T1805" s="1" t="s">
        <v>7</v>
      </c>
      <c r="U1805" s="1" t="s">
        <v>126</v>
      </c>
    </row>
    <row r="1806" spans="1:21" x14ac:dyDescent="0.2">
      <c r="A1806" s="88" t="s">
        <v>17481</v>
      </c>
      <c r="B1806" s="88" t="e">
        <f>VLOOKUP(C1806,#REF!,1,0)</f>
        <v>#REF!</v>
      </c>
      <c r="C1806" s="1" t="s">
        <v>6033</v>
      </c>
      <c r="D1806" s="1" t="s">
        <v>6034</v>
      </c>
      <c r="E1806" s="1" t="s">
        <v>9010</v>
      </c>
      <c r="F1806" s="1" t="s">
        <v>8957</v>
      </c>
      <c r="G1806" t="s">
        <v>8959</v>
      </c>
      <c r="H1806" s="1" t="s">
        <v>9252</v>
      </c>
      <c r="I1806" s="1" t="s">
        <v>9422</v>
      </c>
      <c r="J1806" s="2" t="s">
        <v>9018</v>
      </c>
      <c r="K1806" s="1" t="s">
        <v>9018</v>
      </c>
      <c r="L1806" s="1" t="s">
        <v>8987</v>
      </c>
      <c r="M1806" s="1">
        <v>3700</v>
      </c>
      <c r="N1806" s="1" t="s">
        <v>8953</v>
      </c>
      <c r="O1806" s="1" t="s">
        <v>8954</v>
      </c>
      <c r="P1806" s="1" t="s">
        <v>8955</v>
      </c>
      <c r="Q1806" s="1" t="s">
        <v>8956</v>
      </c>
      <c r="R1806" s="1" t="s">
        <v>8958</v>
      </c>
      <c r="S1806" s="1" t="s">
        <v>6035</v>
      </c>
      <c r="T1806" s="1" t="s">
        <v>4</v>
      </c>
      <c r="U1806" s="1" t="s">
        <v>24</v>
      </c>
    </row>
    <row r="1807" spans="1:21" x14ac:dyDescent="0.2">
      <c r="A1807" s="88" t="s">
        <v>17482</v>
      </c>
      <c r="B1807" s="88" t="e">
        <f>VLOOKUP(C1807,#REF!,1,0)</f>
        <v>#REF!</v>
      </c>
      <c r="C1807" s="1" t="s">
        <v>6036</v>
      </c>
      <c r="D1807" s="1" t="s">
        <v>6037</v>
      </c>
      <c r="E1807" s="1" t="s">
        <v>10032</v>
      </c>
      <c r="F1807" s="1" t="s">
        <v>8959</v>
      </c>
      <c r="G1807" t="s">
        <v>9183</v>
      </c>
      <c r="H1807" s="1" t="s">
        <v>8984</v>
      </c>
      <c r="I1807" s="1" t="s">
        <v>8998</v>
      </c>
      <c r="J1807" s="2" t="s">
        <v>9102</v>
      </c>
      <c r="K1807" s="1" t="s">
        <v>9102</v>
      </c>
      <c r="L1807" s="1" t="s">
        <v>21600</v>
      </c>
      <c r="M1807" s="1">
        <v>9914</v>
      </c>
      <c r="N1807" s="1" t="s">
        <v>8953</v>
      </c>
      <c r="O1807" s="1" t="s">
        <v>8954</v>
      </c>
      <c r="P1807" s="1" t="s">
        <v>8955</v>
      </c>
      <c r="Q1807" s="1" t="s">
        <v>8956</v>
      </c>
      <c r="R1807" s="1" t="s">
        <v>8975</v>
      </c>
      <c r="S1807" s="1" t="s">
        <v>19829</v>
      </c>
      <c r="T1807" s="1" t="s">
        <v>7</v>
      </c>
      <c r="U1807" s="1" t="s">
        <v>6038</v>
      </c>
    </row>
    <row r="1808" spans="1:21" x14ac:dyDescent="0.2">
      <c r="A1808" s="88" t="s">
        <v>17483</v>
      </c>
      <c r="B1808" s="88" t="e">
        <f>VLOOKUP(C1808,#REF!,1,0)</f>
        <v>#REF!</v>
      </c>
      <c r="C1808" s="1" t="s">
        <v>6039</v>
      </c>
      <c r="D1808" s="1" t="s">
        <v>6040</v>
      </c>
      <c r="E1808" s="1" t="s">
        <v>9310</v>
      </c>
      <c r="F1808" s="1" t="s">
        <v>8957</v>
      </c>
      <c r="G1808" t="s">
        <v>8959</v>
      </c>
      <c r="H1808" s="1" t="s">
        <v>9035</v>
      </c>
      <c r="I1808" s="1" t="s">
        <v>9308</v>
      </c>
      <c r="J1808" s="2" t="s">
        <v>21573</v>
      </c>
      <c r="K1808" s="1" t="s">
        <v>21722</v>
      </c>
      <c r="L1808" s="1" t="s">
        <v>9292</v>
      </c>
      <c r="M1808" s="1">
        <v>860</v>
      </c>
      <c r="N1808" s="1" t="s">
        <v>8953</v>
      </c>
      <c r="O1808" s="1" t="s">
        <v>8954</v>
      </c>
      <c r="P1808" s="1" t="s">
        <v>8955</v>
      </c>
      <c r="Q1808" s="1" t="s">
        <v>8956</v>
      </c>
      <c r="R1808" s="1" t="s">
        <v>8975</v>
      </c>
      <c r="S1808" s="1" t="s">
        <v>19830</v>
      </c>
      <c r="T1808" s="1" t="s">
        <v>7</v>
      </c>
      <c r="U1808" s="1" t="s">
        <v>234</v>
      </c>
    </row>
    <row r="1809" spans="1:21" x14ac:dyDescent="0.2">
      <c r="A1809" s="88" t="s">
        <v>17484</v>
      </c>
      <c r="B1809" s="88" t="e">
        <f>VLOOKUP(C1809,#REF!,1,0)</f>
        <v>#REF!</v>
      </c>
      <c r="C1809" s="1" t="s">
        <v>20961</v>
      </c>
      <c r="D1809" s="1" t="s">
        <v>6045</v>
      </c>
      <c r="E1809" s="1" t="s">
        <v>18493</v>
      </c>
      <c r="F1809" s="1" t="s">
        <v>8957</v>
      </c>
      <c r="G1809" t="s">
        <v>8959</v>
      </c>
      <c r="H1809" s="1" t="s">
        <v>9605</v>
      </c>
      <c r="I1809" s="1" t="s">
        <v>9101</v>
      </c>
      <c r="J1809" s="2" t="s">
        <v>21383</v>
      </c>
      <c r="K1809" s="1" t="s">
        <v>21383</v>
      </c>
      <c r="L1809" s="1" t="s">
        <v>8987</v>
      </c>
      <c r="M1809" s="1">
        <v>1364</v>
      </c>
      <c r="N1809" s="1" t="s">
        <v>8953</v>
      </c>
      <c r="O1809" s="1" t="s">
        <v>8989</v>
      </c>
      <c r="P1809" s="1" t="s">
        <v>8955</v>
      </c>
      <c r="Q1809" s="1" t="s">
        <v>8956</v>
      </c>
      <c r="R1809" s="1" t="s">
        <v>8958</v>
      </c>
      <c r="S1809" s="1" t="s">
        <v>19831</v>
      </c>
      <c r="T1809" s="1" t="s">
        <v>7</v>
      </c>
      <c r="U1809" s="1" t="s">
        <v>2953</v>
      </c>
    </row>
    <row r="1810" spans="1:21" x14ac:dyDescent="0.2">
      <c r="A1810" s="88" t="s">
        <v>17485</v>
      </c>
      <c r="B1810" s="88" t="e">
        <f>VLOOKUP(C1810,#REF!,1,0)</f>
        <v>#REF!</v>
      </c>
      <c r="C1810" s="1" t="s">
        <v>6046</v>
      </c>
      <c r="D1810" s="1" t="s">
        <v>6047</v>
      </c>
      <c r="E1810" s="1" t="s">
        <v>10873</v>
      </c>
      <c r="F1810" s="1" t="s">
        <v>8957</v>
      </c>
      <c r="G1810" t="s">
        <v>9009</v>
      </c>
      <c r="H1810" s="1" t="s">
        <v>9100</v>
      </c>
      <c r="I1810" s="1" t="s">
        <v>8949</v>
      </c>
      <c r="J1810" s="2" t="s">
        <v>20779</v>
      </c>
      <c r="K1810" s="1" t="s">
        <v>9036</v>
      </c>
      <c r="L1810" s="1" t="s">
        <v>21600</v>
      </c>
      <c r="M1810" s="1">
        <v>136</v>
      </c>
      <c r="N1810" s="1" t="s">
        <v>9059</v>
      </c>
      <c r="O1810" s="1" t="s">
        <v>8989</v>
      </c>
      <c r="P1810" s="1" t="s">
        <v>8955</v>
      </c>
      <c r="Q1810" s="1" t="s">
        <v>8956</v>
      </c>
      <c r="R1810" s="1" t="s">
        <v>8958</v>
      </c>
      <c r="S1810" s="1" t="s">
        <v>19832</v>
      </c>
      <c r="T1810" s="1" t="s">
        <v>7</v>
      </c>
      <c r="U1810" s="1" t="s">
        <v>74</v>
      </c>
    </row>
    <row r="1811" spans="1:21" x14ac:dyDescent="0.2">
      <c r="A1811" s="88" t="s">
        <v>17486</v>
      </c>
      <c r="B1811" s="88" t="e">
        <f>VLOOKUP(C1811,#REF!,1,0)</f>
        <v>#REF!</v>
      </c>
      <c r="C1811" s="1" t="s">
        <v>6048</v>
      </c>
      <c r="D1811" s="1" t="s">
        <v>6049</v>
      </c>
      <c r="E1811" s="1" t="s">
        <v>9815</v>
      </c>
      <c r="F1811" s="1" t="s">
        <v>8959</v>
      </c>
      <c r="G1811" t="s">
        <v>8959</v>
      </c>
      <c r="H1811" s="1" t="s">
        <v>8948</v>
      </c>
      <c r="I1811" s="1" t="s">
        <v>20930</v>
      </c>
      <c r="J1811" s="2" t="s">
        <v>20779</v>
      </c>
      <c r="K1811" s="1" t="s">
        <v>9036</v>
      </c>
      <c r="L1811" s="1" t="s">
        <v>20867</v>
      </c>
      <c r="M1811" s="1">
        <v>1500</v>
      </c>
      <c r="N1811" s="1" t="s">
        <v>8953</v>
      </c>
      <c r="O1811" s="1" t="s">
        <v>8989</v>
      </c>
      <c r="P1811" s="1" t="s">
        <v>8955</v>
      </c>
      <c r="Q1811" s="1" t="s">
        <v>8956</v>
      </c>
      <c r="R1811" s="1" t="s">
        <v>9103</v>
      </c>
      <c r="S1811" s="1" t="s">
        <v>19833</v>
      </c>
      <c r="T1811" s="1" t="s">
        <v>17</v>
      </c>
      <c r="U1811" s="1" t="s">
        <v>97</v>
      </c>
    </row>
    <row r="1812" spans="1:21" x14ac:dyDescent="0.2">
      <c r="A1812" s="88" t="s">
        <v>17487</v>
      </c>
      <c r="B1812" s="88" t="e">
        <f>VLOOKUP(C1812,#REF!,1,0)</f>
        <v>#REF!</v>
      </c>
      <c r="C1812" s="1" t="s">
        <v>6050</v>
      </c>
      <c r="D1812" s="1" t="s">
        <v>6051</v>
      </c>
      <c r="E1812" s="1" t="s">
        <v>18502</v>
      </c>
      <c r="F1812" s="1" t="s">
        <v>20818</v>
      </c>
      <c r="G1812" t="s">
        <v>8959</v>
      </c>
      <c r="H1812" s="1" t="s">
        <v>9035</v>
      </c>
      <c r="I1812" s="1" t="s">
        <v>9308</v>
      </c>
      <c r="J1812" s="2" t="s">
        <v>21290</v>
      </c>
      <c r="K1812" s="1" t="s">
        <v>21723</v>
      </c>
      <c r="L1812" s="1" t="s">
        <v>8951</v>
      </c>
      <c r="M1812" s="1">
        <v>223648</v>
      </c>
      <c r="N1812" s="1" t="s">
        <v>8953</v>
      </c>
      <c r="O1812" s="1" t="s">
        <v>8954</v>
      </c>
      <c r="P1812" s="1" t="s">
        <v>8955</v>
      </c>
      <c r="Q1812" s="1" t="s">
        <v>8956</v>
      </c>
      <c r="R1812" s="1" t="s">
        <v>9103</v>
      </c>
      <c r="S1812" s="1" t="s">
        <v>19834</v>
      </c>
      <c r="T1812" s="1" t="s">
        <v>7</v>
      </c>
      <c r="U1812" s="1" t="s">
        <v>6052</v>
      </c>
    </row>
    <row r="1813" spans="1:21" x14ac:dyDescent="0.2">
      <c r="A1813" s="88" t="s">
        <v>17488</v>
      </c>
      <c r="B1813" s="88" t="e">
        <f>VLOOKUP(C1813,#REF!,1,0)</f>
        <v>#REF!</v>
      </c>
      <c r="C1813" s="1" t="s">
        <v>6053</v>
      </c>
      <c r="D1813" s="1" t="s">
        <v>6054</v>
      </c>
      <c r="E1813" s="1" t="s">
        <v>18502</v>
      </c>
      <c r="F1813" s="1" t="s">
        <v>8957</v>
      </c>
      <c r="G1813" t="s">
        <v>8959</v>
      </c>
      <c r="H1813" s="1" t="s">
        <v>9035</v>
      </c>
      <c r="I1813" s="1" t="s">
        <v>9308</v>
      </c>
      <c r="J1813" s="131" t="s">
        <v>21574</v>
      </c>
      <c r="K1813" s="1" t="s">
        <v>21724</v>
      </c>
      <c r="L1813" s="1" t="s">
        <v>8951</v>
      </c>
      <c r="M1813" s="1">
        <v>336239</v>
      </c>
      <c r="N1813" s="1" t="s">
        <v>8953</v>
      </c>
      <c r="O1813" s="1" t="s">
        <v>8954</v>
      </c>
      <c r="P1813" s="1" t="s">
        <v>8955</v>
      </c>
      <c r="Q1813" s="1" t="s">
        <v>8956</v>
      </c>
      <c r="R1813" s="1" t="s">
        <v>8958</v>
      </c>
      <c r="S1813" s="1" t="s">
        <v>19835</v>
      </c>
      <c r="T1813" s="1" t="s">
        <v>7</v>
      </c>
      <c r="U1813" s="1" t="s">
        <v>110</v>
      </c>
    </row>
    <row r="1814" spans="1:21" x14ac:dyDescent="0.2">
      <c r="A1814" s="88" t="s">
        <v>17489</v>
      </c>
      <c r="B1814" s="88" t="e">
        <f>VLOOKUP(C1814,#REF!,1,0)</f>
        <v>#REF!</v>
      </c>
      <c r="C1814" s="1" t="s">
        <v>6055</v>
      </c>
      <c r="D1814" s="1" t="s">
        <v>6056</v>
      </c>
      <c r="E1814" s="1" t="s">
        <v>18502</v>
      </c>
      <c r="F1814" s="1" t="s">
        <v>8957</v>
      </c>
      <c r="G1814" t="s">
        <v>8959</v>
      </c>
      <c r="H1814" s="1" t="s">
        <v>9035</v>
      </c>
      <c r="I1814" s="1" t="s">
        <v>9308</v>
      </c>
      <c r="J1814" s="2" t="s">
        <v>21423</v>
      </c>
      <c r="K1814" s="1" t="s">
        <v>21725</v>
      </c>
      <c r="L1814" s="1" t="s">
        <v>20839</v>
      </c>
      <c r="M1814" s="1">
        <v>26684</v>
      </c>
      <c r="N1814" s="1" t="s">
        <v>8953</v>
      </c>
      <c r="O1814" s="1" t="s">
        <v>8954</v>
      </c>
      <c r="P1814" s="1" t="s">
        <v>8955</v>
      </c>
      <c r="Q1814" s="1" t="s">
        <v>8956</v>
      </c>
      <c r="R1814" s="1" t="s">
        <v>9103</v>
      </c>
      <c r="S1814" s="1" t="s">
        <v>19836</v>
      </c>
      <c r="T1814" s="1" t="s">
        <v>17</v>
      </c>
      <c r="U1814" s="1" t="s">
        <v>46</v>
      </c>
    </row>
    <row r="1815" spans="1:21" x14ac:dyDescent="0.2">
      <c r="A1815" s="88" t="s">
        <v>17491</v>
      </c>
      <c r="B1815" s="88" t="e">
        <f>VLOOKUP(C1815,#REF!,1,0)</f>
        <v>#REF!</v>
      </c>
      <c r="C1815" s="1" t="s">
        <v>6063</v>
      </c>
      <c r="D1815" s="1" t="s">
        <v>6064</v>
      </c>
      <c r="E1815" s="1" t="s">
        <v>9010</v>
      </c>
      <c r="F1815" s="1" t="s">
        <v>8959</v>
      </c>
      <c r="G1815" t="s">
        <v>9009</v>
      </c>
      <c r="H1815" s="1" t="s">
        <v>9035</v>
      </c>
      <c r="I1815" s="1" t="s">
        <v>9308</v>
      </c>
      <c r="J1815" s="2" t="s">
        <v>10936</v>
      </c>
      <c r="K1815" s="1" t="s">
        <v>10936</v>
      </c>
      <c r="L1815" s="1" t="s">
        <v>8987</v>
      </c>
      <c r="M1815" s="1">
        <v>1885</v>
      </c>
      <c r="N1815" s="1" t="s">
        <v>8953</v>
      </c>
      <c r="O1815" s="1" t="s">
        <v>8989</v>
      </c>
      <c r="P1815" s="1" t="s">
        <v>8955</v>
      </c>
      <c r="Q1815" s="1" t="s">
        <v>8956</v>
      </c>
      <c r="R1815" s="1" t="s">
        <v>8958</v>
      </c>
      <c r="S1815" s="1" t="s">
        <v>6065</v>
      </c>
      <c r="T1815" s="1" t="s">
        <v>4</v>
      </c>
      <c r="U1815" s="1" t="s">
        <v>87</v>
      </c>
    </row>
    <row r="1816" spans="1:21" x14ac:dyDescent="0.2">
      <c r="A1816" s="88" t="s">
        <v>17492</v>
      </c>
      <c r="B1816" s="88" t="e">
        <f>VLOOKUP(C1816,#REF!,1,0)</f>
        <v>#REF!</v>
      </c>
      <c r="C1816" s="1" t="s">
        <v>6066</v>
      </c>
      <c r="D1816" s="1" t="s">
        <v>6067</v>
      </c>
      <c r="E1816" s="1" t="s">
        <v>9010</v>
      </c>
      <c r="F1816" s="1" t="s">
        <v>8957</v>
      </c>
      <c r="G1816" t="s">
        <v>8959</v>
      </c>
      <c r="H1816" s="1" t="s">
        <v>9035</v>
      </c>
      <c r="I1816" s="1" t="s">
        <v>9308</v>
      </c>
      <c r="J1816" s="2" t="s">
        <v>9270</v>
      </c>
      <c r="K1816" s="1" t="s">
        <v>9270</v>
      </c>
      <c r="L1816" s="1" t="s">
        <v>9133</v>
      </c>
      <c r="M1816" s="1">
        <v>112120</v>
      </c>
      <c r="N1816" s="1" t="s">
        <v>8953</v>
      </c>
      <c r="O1816" s="1" t="s">
        <v>8989</v>
      </c>
      <c r="P1816" s="1" t="s">
        <v>8955</v>
      </c>
      <c r="Q1816" s="1" t="s">
        <v>8956</v>
      </c>
      <c r="R1816" s="1" t="s">
        <v>8975</v>
      </c>
      <c r="S1816" s="1" t="s">
        <v>6068</v>
      </c>
      <c r="T1816" s="1" t="s">
        <v>11</v>
      </c>
      <c r="U1816" s="1" t="s">
        <v>771</v>
      </c>
    </row>
    <row r="1817" spans="1:21" x14ac:dyDescent="0.2">
      <c r="A1817" s="88" t="s">
        <v>17493</v>
      </c>
      <c r="B1817" s="88" t="e">
        <f>VLOOKUP(C1817,#REF!,1,0)</f>
        <v>#REF!</v>
      </c>
      <c r="C1817" s="1" t="s">
        <v>6069</v>
      </c>
      <c r="D1817" s="1" t="s">
        <v>6070</v>
      </c>
      <c r="E1817" s="1" t="s">
        <v>18502</v>
      </c>
      <c r="F1817" s="1" t="s">
        <v>8974</v>
      </c>
      <c r="G1817" t="s">
        <v>8959</v>
      </c>
      <c r="H1817" s="1" t="s">
        <v>8984</v>
      </c>
      <c r="I1817" s="1" t="s">
        <v>8998</v>
      </c>
      <c r="J1817" s="2" t="s">
        <v>21384</v>
      </c>
      <c r="K1817" s="1" t="s">
        <v>21384</v>
      </c>
      <c r="L1817" s="1" t="s">
        <v>9133</v>
      </c>
      <c r="M1817" s="1">
        <v>213335</v>
      </c>
      <c r="N1817" s="1" t="s">
        <v>8953</v>
      </c>
      <c r="O1817" s="1" t="s">
        <v>8989</v>
      </c>
      <c r="P1817" s="1" t="s">
        <v>8955</v>
      </c>
      <c r="Q1817" s="1" t="s">
        <v>8956</v>
      </c>
      <c r="R1817" s="1" t="s">
        <v>8975</v>
      </c>
      <c r="S1817" s="1" t="s">
        <v>19838</v>
      </c>
      <c r="T1817" s="1" t="s">
        <v>7</v>
      </c>
      <c r="U1817" s="1" t="s">
        <v>24</v>
      </c>
    </row>
    <row r="1818" spans="1:21" x14ac:dyDescent="0.2">
      <c r="A1818" s="88" t="s">
        <v>17494</v>
      </c>
      <c r="B1818" s="88" t="e">
        <f>VLOOKUP(C1818,#REF!,1,0)</f>
        <v>#REF!</v>
      </c>
      <c r="C1818" s="1" t="s">
        <v>6071</v>
      </c>
      <c r="D1818" s="1" t="s">
        <v>6072</v>
      </c>
      <c r="E1818" s="1" t="s">
        <v>10873</v>
      </c>
      <c r="F1818" s="1" t="s">
        <v>8957</v>
      </c>
      <c r="G1818" t="s">
        <v>8959</v>
      </c>
      <c r="H1818" s="1" t="s">
        <v>9092</v>
      </c>
      <c r="I1818" s="1" t="s">
        <v>8998</v>
      </c>
      <c r="J1818" s="2" t="s">
        <v>20779</v>
      </c>
      <c r="K1818" s="1" t="s">
        <v>9036</v>
      </c>
      <c r="L1818" s="1" t="s">
        <v>8987</v>
      </c>
      <c r="M1818" s="1">
        <v>52000</v>
      </c>
      <c r="N1818" s="1" t="s">
        <v>8953</v>
      </c>
      <c r="O1818" s="1" t="s">
        <v>8989</v>
      </c>
      <c r="P1818" s="1" t="s">
        <v>8955</v>
      </c>
      <c r="Q1818" s="1" t="s">
        <v>8956</v>
      </c>
      <c r="R1818" s="1" t="s">
        <v>9103</v>
      </c>
      <c r="S1818" s="1" t="s">
        <v>19839</v>
      </c>
      <c r="T1818" s="1" t="s">
        <v>7</v>
      </c>
      <c r="U1818" s="1" t="s">
        <v>110</v>
      </c>
    </row>
    <row r="1819" spans="1:21" x14ac:dyDescent="0.2">
      <c r="A1819" s="88" t="s">
        <v>17495</v>
      </c>
      <c r="B1819" s="88" t="e">
        <f>VLOOKUP(C1819,#REF!,1,0)</f>
        <v>#REF!</v>
      </c>
      <c r="C1819" s="1" t="s">
        <v>6073</v>
      </c>
      <c r="D1819" s="1" t="s">
        <v>6074</v>
      </c>
      <c r="E1819" s="1" t="s">
        <v>9213</v>
      </c>
      <c r="F1819" s="1" t="s">
        <v>8959</v>
      </c>
      <c r="G1819" t="s">
        <v>9061</v>
      </c>
      <c r="H1819" s="1" t="s">
        <v>9100</v>
      </c>
      <c r="I1819" s="1" t="s">
        <v>9269</v>
      </c>
      <c r="J1819" s="2" t="s">
        <v>9036</v>
      </c>
      <c r="K1819" s="1" t="s">
        <v>9036</v>
      </c>
      <c r="L1819" s="1" t="s">
        <v>8951</v>
      </c>
      <c r="M1819" s="1">
        <v>400</v>
      </c>
      <c r="N1819" s="1" t="s">
        <v>8953</v>
      </c>
      <c r="O1819" s="1" t="s">
        <v>8989</v>
      </c>
      <c r="P1819" s="1" t="s">
        <v>8955</v>
      </c>
      <c r="Q1819" s="1" t="s">
        <v>8956</v>
      </c>
      <c r="R1819" s="1" t="s">
        <v>8958</v>
      </c>
      <c r="S1819" s="1" t="s">
        <v>6075</v>
      </c>
      <c r="T1819" s="1" t="s">
        <v>11</v>
      </c>
      <c r="U1819" s="1" t="s">
        <v>6076</v>
      </c>
    </row>
    <row r="1820" spans="1:21" x14ac:dyDescent="0.2">
      <c r="A1820" s="88" t="s">
        <v>17496</v>
      </c>
      <c r="B1820" s="88" t="e">
        <f>VLOOKUP(C1820,#REF!,1,0)</f>
        <v>#REF!</v>
      </c>
      <c r="C1820" s="1" t="s">
        <v>6077</v>
      </c>
      <c r="D1820" s="1" t="s">
        <v>6078</v>
      </c>
      <c r="E1820" s="1" t="s">
        <v>9815</v>
      </c>
      <c r="F1820" s="1" t="s">
        <v>8959</v>
      </c>
      <c r="G1820" t="s">
        <v>8959</v>
      </c>
      <c r="H1820" s="1" t="s">
        <v>8984</v>
      </c>
      <c r="I1820" s="1" t="s">
        <v>8998</v>
      </c>
      <c r="J1820" s="2" t="s">
        <v>21317</v>
      </c>
      <c r="K1820" s="1" t="s">
        <v>21317</v>
      </c>
      <c r="L1820" s="1" t="s">
        <v>20964</v>
      </c>
      <c r="M1820" s="1">
        <v>200</v>
      </c>
      <c r="N1820" s="1" t="s">
        <v>9059</v>
      </c>
      <c r="O1820" s="1" t="s">
        <v>8954</v>
      </c>
      <c r="P1820" s="1" t="s">
        <v>8955</v>
      </c>
      <c r="Q1820" s="1" t="s">
        <v>8956</v>
      </c>
      <c r="R1820" s="1" t="s">
        <v>9103</v>
      </c>
      <c r="S1820" s="1" t="s">
        <v>19840</v>
      </c>
      <c r="T1820" s="1" t="s">
        <v>7</v>
      </c>
      <c r="U1820" s="1" t="s">
        <v>6079</v>
      </c>
    </row>
    <row r="1821" spans="1:21" x14ac:dyDescent="0.2">
      <c r="A1821" s="88" t="s">
        <v>17497</v>
      </c>
      <c r="B1821" s="88" t="e">
        <f>VLOOKUP(C1821,#REF!,1,0)</f>
        <v>#REF!</v>
      </c>
      <c r="C1821" s="1" t="s">
        <v>6085</v>
      </c>
      <c r="D1821" s="1" t="s">
        <v>6086</v>
      </c>
      <c r="E1821" s="1" t="s">
        <v>10873</v>
      </c>
      <c r="F1821" s="1" t="s">
        <v>8957</v>
      </c>
      <c r="G1821" t="s">
        <v>8959</v>
      </c>
      <c r="H1821" s="1" t="s">
        <v>9252</v>
      </c>
      <c r="I1821" s="1" t="s">
        <v>18504</v>
      </c>
      <c r="J1821" s="2" t="s">
        <v>20779</v>
      </c>
      <c r="K1821" s="1" t="s">
        <v>9036</v>
      </c>
      <c r="L1821" s="1" t="s">
        <v>21600</v>
      </c>
      <c r="M1821" s="1">
        <v>14039</v>
      </c>
      <c r="N1821" s="1" t="s">
        <v>8953</v>
      </c>
      <c r="O1821" s="1" t="s">
        <v>8954</v>
      </c>
      <c r="P1821" s="1" t="s">
        <v>8955</v>
      </c>
      <c r="Q1821" s="1" t="s">
        <v>8956</v>
      </c>
      <c r="R1821" s="1" t="s">
        <v>8975</v>
      </c>
      <c r="S1821" s="1" t="s">
        <v>19841</v>
      </c>
      <c r="T1821" s="1" t="s">
        <v>17</v>
      </c>
      <c r="U1821" s="1" t="s">
        <v>126</v>
      </c>
    </row>
    <row r="1822" spans="1:21" x14ac:dyDescent="0.2">
      <c r="A1822" s="88" t="s">
        <v>17498</v>
      </c>
      <c r="B1822" s="88" t="e">
        <f>VLOOKUP(C1822,#REF!,1,0)</f>
        <v>#REF!</v>
      </c>
      <c r="C1822" s="1" t="s">
        <v>6087</v>
      </c>
      <c r="D1822" s="1" t="s">
        <v>6088</v>
      </c>
      <c r="E1822" s="1" t="s">
        <v>9852</v>
      </c>
      <c r="F1822" s="1" t="s">
        <v>9060</v>
      </c>
      <c r="G1822" t="s">
        <v>8959</v>
      </c>
      <c r="H1822" s="1" t="s">
        <v>9100</v>
      </c>
      <c r="I1822" s="1" t="s">
        <v>8949</v>
      </c>
      <c r="J1822" s="2" t="s">
        <v>18497</v>
      </c>
      <c r="K1822" s="1" t="s">
        <v>18497</v>
      </c>
      <c r="L1822" s="1" t="s">
        <v>8987</v>
      </c>
      <c r="M1822" s="1">
        <v>138</v>
      </c>
      <c r="N1822" s="1" t="s">
        <v>9059</v>
      </c>
      <c r="O1822" s="1" t="s">
        <v>8954</v>
      </c>
      <c r="P1822" s="1" t="s">
        <v>8955</v>
      </c>
      <c r="Q1822" s="1" t="s">
        <v>8956</v>
      </c>
      <c r="R1822" s="1" t="s">
        <v>8958</v>
      </c>
      <c r="S1822" s="1" t="s">
        <v>19842</v>
      </c>
      <c r="T1822" s="1" t="s">
        <v>17</v>
      </c>
      <c r="U1822" s="1" t="s">
        <v>97</v>
      </c>
    </row>
    <row r="1823" spans="1:21" x14ac:dyDescent="0.2">
      <c r="A1823" s="88" t="s">
        <v>17499</v>
      </c>
      <c r="B1823" s="88" t="e">
        <f>VLOOKUP(C1823,#REF!,1,0)</f>
        <v>#REF!</v>
      </c>
      <c r="C1823" s="1" t="s">
        <v>6089</v>
      </c>
      <c r="D1823" s="1" t="s">
        <v>6090</v>
      </c>
      <c r="E1823" s="1" t="s">
        <v>9310</v>
      </c>
      <c r="F1823" s="1" t="s">
        <v>8957</v>
      </c>
      <c r="G1823" t="s">
        <v>8959</v>
      </c>
      <c r="H1823" s="1" t="s">
        <v>20714</v>
      </c>
      <c r="I1823" s="1" t="s">
        <v>20725</v>
      </c>
      <c r="J1823" s="2" t="s">
        <v>18497</v>
      </c>
      <c r="K1823" s="1" t="s">
        <v>18497</v>
      </c>
      <c r="L1823" s="1" t="s">
        <v>8951</v>
      </c>
      <c r="M1823" s="1">
        <v>1384200</v>
      </c>
      <c r="N1823" s="1" t="s">
        <v>8953</v>
      </c>
      <c r="O1823" s="1" t="s">
        <v>8954</v>
      </c>
      <c r="P1823" s="1" t="s">
        <v>8955</v>
      </c>
      <c r="Q1823" s="1" t="s">
        <v>8956</v>
      </c>
      <c r="R1823" s="1" t="s">
        <v>8975</v>
      </c>
      <c r="S1823" s="1" t="s">
        <v>19843</v>
      </c>
      <c r="T1823" s="1" t="s">
        <v>17</v>
      </c>
      <c r="U1823" s="1" t="s">
        <v>686</v>
      </c>
    </row>
    <row r="1824" spans="1:21" x14ac:dyDescent="0.2">
      <c r="A1824" s="88" t="s">
        <v>17500</v>
      </c>
      <c r="B1824" s="88" t="e">
        <f>VLOOKUP(C1824,#REF!,1,0)</f>
        <v>#REF!</v>
      </c>
      <c r="C1824" s="1" t="s">
        <v>6094</v>
      </c>
      <c r="D1824" s="1" t="s">
        <v>6095</v>
      </c>
      <c r="E1824" s="1" t="s">
        <v>9310</v>
      </c>
      <c r="F1824" s="1" t="s">
        <v>8957</v>
      </c>
      <c r="G1824" t="s">
        <v>8959</v>
      </c>
      <c r="H1824" s="1" t="s">
        <v>8948</v>
      </c>
      <c r="I1824" s="1" t="s">
        <v>8949</v>
      </c>
      <c r="J1824" s="2" t="s">
        <v>9781</v>
      </c>
      <c r="K1824" s="1" t="s">
        <v>9781</v>
      </c>
      <c r="L1824" s="1" t="s">
        <v>9464</v>
      </c>
      <c r="M1824" s="1">
        <v>110</v>
      </c>
      <c r="N1824" s="1" t="s">
        <v>8953</v>
      </c>
      <c r="O1824" s="1" t="s">
        <v>8954</v>
      </c>
      <c r="P1824" s="1" t="s">
        <v>8955</v>
      </c>
      <c r="Q1824" s="1" t="s">
        <v>8956</v>
      </c>
      <c r="R1824" s="1" t="s">
        <v>8958</v>
      </c>
      <c r="S1824" s="1" t="s">
        <v>6096</v>
      </c>
      <c r="T1824" s="1" t="s">
        <v>17</v>
      </c>
      <c r="U1824" s="1" t="s">
        <v>126</v>
      </c>
    </row>
    <row r="1825" spans="1:21" x14ac:dyDescent="0.2">
      <c r="A1825" s="88" t="s">
        <v>17501</v>
      </c>
      <c r="B1825" s="88" t="e">
        <f>VLOOKUP(C1825,#REF!,1,0)</f>
        <v>#REF!</v>
      </c>
      <c r="C1825" s="1" t="s">
        <v>6097</v>
      </c>
      <c r="D1825" s="1" t="s">
        <v>6098</v>
      </c>
      <c r="E1825" s="1" t="s">
        <v>9010</v>
      </c>
      <c r="F1825" s="1" t="s">
        <v>8957</v>
      </c>
      <c r="G1825" t="s">
        <v>9009</v>
      </c>
      <c r="H1825" s="1" t="s">
        <v>8948</v>
      </c>
      <c r="I1825" s="1" t="s">
        <v>8949</v>
      </c>
      <c r="J1825" s="2" t="s">
        <v>9018</v>
      </c>
      <c r="K1825" s="1" t="s">
        <v>9018</v>
      </c>
      <c r="L1825" s="1" t="s">
        <v>8987</v>
      </c>
      <c r="M1825" s="1">
        <v>14400</v>
      </c>
      <c r="N1825" s="1" t="s">
        <v>8953</v>
      </c>
      <c r="O1825" s="1" t="s">
        <v>8954</v>
      </c>
      <c r="P1825" s="1" t="s">
        <v>8955</v>
      </c>
      <c r="Q1825" s="1" t="s">
        <v>8956</v>
      </c>
      <c r="R1825" s="1" t="s">
        <v>8975</v>
      </c>
      <c r="S1825" s="1" t="s">
        <v>6099</v>
      </c>
      <c r="T1825" s="1" t="s">
        <v>7</v>
      </c>
      <c r="U1825" s="1" t="s">
        <v>87</v>
      </c>
    </row>
    <row r="1826" spans="1:21" x14ac:dyDescent="0.2">
      <c r="A1826" s="88" t="s">
        <v>17502</v>
      </c>
      <c r="B1826" s="88" t="e">
        <f>VLOOKUP(C1826,#REF!,1,0)</f>
        <v>#REF!</v>
      </c>
      <c r="C1826" s="1" t="s">
        <v>6100</v>
      </c>
      <c r="D1826" s="1" t="s">
        <v>6101</v>
      </c>
      <c r="E1826" s="1" t="s">
        <v>9333</v>
      </c>
      <c r="F1826" s="1" t="s">
        <v>8957</v>
      </c>
      <c r="G1826" t="s">
        <v>8959</v>
      </c>
      <c r="H1826" s="1" t="s">
        <v>8948</v>
      </c>
      <c r="I1826" s="1" t="s">
        <v>8949</v>
      </c>
      <c r="J1826" s="2" t="s">
        <v>20779</v>
      </c>
      <c r="K1826" s="1" t="s">
        <v>9036</v>
      </c>
      <c r="L1826" s="1" t="s">
        <v>21600</v>
      </c>
      <c r="M1826" s="1">
        <v>18</v>
      </c>
      <c r="N1826" s="1" t="s">
        <v>9059</v>
      </c>
      <c r="O1826" s="1" t="s">
        <v>8989</v>
      </c>
      <c r="P1826" s="1" t="s">
        <v>8955</v>
      </c>
      <c r="Q1826" s="1" t="s">
        <v>8956</v>
      </c>
      <c r="R1826" s="1" t="s">
        <v>9103</v>
      </c>
      <c r="S1826" s="1" t="s">
        <v>19845</v>
      </c>
      <c r="T1826" s="1" t="s">
        <v>7</v>
      </c>
      <c r="U1826" s="1" t="s">
        <v>378</v>
      </c>
    </row>
    <row r="1827" spans="1:21" x14ac:dyDescent="0.2">
      <c r="A1827" s="88" t="s">
        <v>17503</v>
      </c>
      <c r="B1827" s="88" t="e">
        <f>VLOOKUP(C1827,#REF!,1,0)</f>
        <v>#REF!</v>
      </c>
      <c r="C1827" s="1" t="s">
        <v>6102</v>
      </c>
      <c r="D1827" s="1" t="s">
        <v>6103</v>
      </c>
      <c r="E1827" s="1" t="s">
        <v>9333</v>
      </c>
      <c r="F1827" s="1" t="s">
        <v>8957</v>
      </c>
      <c r="G1827" t="s">
        <v>8959</v>
      </c>
      <c r="H1827" s="1" t="s">
        <v>8948</v>
      </c>
      <c r="I1827" s="1" t="s">
        <v>8949</v>
      </c>
      <c r="J1827" s="2" t="s">
        <v>10492</v>
      </c>
      <c r="K1827" s="1" t="s">
        <v>10492</v>
      </c>
      <c r="L1827" s="1" t="s">
        <v>21600</v>
      </c>
      <c r="M1827" s="1">
        <v>18</v>
      </c>
      <c r="N1827" s="1" t="s">
        <v>9059</v>
      </c>
      <c r="O1827" s="1" t="s">
        <v>8989</v>
      </c>
      <c r="P1827" s="1" t="s">
        <v>8955</v>
      </c>
      <c r="Q1827" s="1" t="s">
        <v>8956</v>
      </c>
      <c r="R1827" s="1" t="s">
        <v>9103</v>
      </c>
      <c r="S1827" s="1" t="s">
        <v>19846</v>
      </c>
      <c r="T1827" s="1" t="s">
        <v>17</v>
      </c>
      <c r="U1827" s="1" t="s">
        <v>392</v>
      </c>
    </row>
    <row r="1828" spans="1:21" x14ac:dyDescent="0.2">
      <c r="A1828" s="88" t="s">
        <v>17504</v>
      </c>
      <c r="B1828" s="88" t="e">
        <f>VLOOKUP(C1828,#REF!,1,0)</f>
        <v>#REF!</v>
      </c>
      <c r="C1828" s="1" t="s">
        <v>6104</v>
      </c>
      <c r="D1828" s="1" t="s">
        <v>6105</v>
      </c>
      <c r="E1828" s="1" t="s">
        <v>9852</v>
      </c>
      <c r="F1828" s="1" t="s">
        <v>8959</v>
      </c>
      <c r="G1828" t="s">
        <v>8959</v>
      </c>
      <c r="H1828" s="1" t="s">
        <v>9173</v>
      </c>
      <c r="I1828" s="1" t="s">
        <v>9174</v>
      </c>
      <c r="J1828" s="2" t="s">
        <v>21340</v>
      </c>
      <c r="K1828" s="1" t="s">
        <v>21340</v>
      </c>
      <c r="L1828" s="1" t="s">
        <v>20966</v>
      </c>
      <c r="M1828" s="1">
        <v>2000</v>
      </c>
      <c r="N1828" s="1" t="s">
        <v>8953</v>
      </c>
      <c r="O1828" s="1" t="s">
        <v>8954</v>
      </c>
      <c r="P1828" s="1" t="s">
        <v>8955</v>
      </c>
      <c r="Q1828" s="1" t="s">
        <v>8956</v>
      </c>
      <c r="R1828" s="1" t="s">
        <v>9103</v>
      </c>
      <c r="S1828" s="1" t="s">
        <v>19847</v>
      </c>
      <c r="T1828" s="1" t="s">
        <v>17</v>
      </c>
      <c r="U1828" s="1" t="s">
        <v>46</v>
      </c>
    </row>
    <row r="1829" spans="1:21" x14ac:dyDescent="0.2">
      <c r="A1829" s="88" t="s">
        <v>17505</v>
      </c>
      <c r="B1829" s="88" t="e">
        <f>VLOOKUP(C1829,#REF!,1,0)</f>
        <v>#REF!</v>
      </c>
      <c r="C1829" s="1" t="s">
        <v>6116</v>
      </c>
      <c r="D1829" s="1" t="s">
        <v>6117</v>
      </c>
      <c r="E1829" s="1" t="s">
        <v>10032</v>
      </c>
      <c r="F1829" s="1" t="s">
        <v>8957</v>
      </c>
      <c r="G1829" t="s">
        <v>8959</v>
      </c>
      <c r="H1829" s="1" t="s">
        <v>8984</v>
      </c>
      <c r="I1829" s="1" t="s">
        <v>9131</v>
      </c>
      <c r="J1829" s="2" t="s">
        <v>10525</v>
      </c>
      <c r="K1829" s="1" t="s">
        <v>10525</v>
      </c>
      <c r="L1829" s="1" t="s">
        <v>8987</v>
      </c>
      <c r="M1829" s="1">
        <v>66788</v>
      </c>
      <c r="N1829" s="1" t="s">
        <v>8953</v>
      </c>
      <c r="O1829" s="1" t="s">
        <v>8989</v>
      </c>
      <c r="P1829" s="1" t="s">
        <v>8955</v>
      </c>
      <c r="Q1829" s="1" t="s">
        <v>8956</v>
      </c>
      <c r="R1829" s="1" t="s">
        <v>8958</v>
      </c>
      <c r="S1829" s="1" t="s">
        <v>19851</v>
      </c>
      <c r="T1829" s="1" t="s">
        <v>17</v>
      </c>
      <c r="U1829" s="1" t="s">
        <v>24</v>
      </c>
    </row>
    <row r="1830" spans="1:21" x14ac:dyDescent="0.2">
      <c r="A1830" s="88" t="s">
        <v>17506</v>
      </c>
      <c r="B1830" s="88" t="e">
        <f>VLOOKUP(C1830,#REF!,1,0)</f>
        <v>#REF!</v>
      </c>
      <c r="C1830" s="1" t="s">
        <v>6118</v>
      </c>
      <c r="D1830" s="1" t="s">
        <v>6119</v>
      </c>
      <c r="E1830" s="1" t="s">
        <v>9815</v>
      </c>
      <c r="F1830" s="1" t="s">
        <v>8957</v>
      </c>
      <c r="G1830" t="s">
        <v>8959</v>
      </c>
      <c r="H1830" s="1" t="s">
        <v>9252</v>
      </c>
      <c r="I1830" s="1" t="s">
        <v>8949</v>
      </c>
      <c r="J1830" s="2" t="s">
        <v>20779</v>
      </c>
      <c r="K1830" s="1" t="s">
        <v>9036</v>
      </c>
      <c r="L1830" s="1" t="s">
        <v>9076</v>
      </c>
      <c r="M1830" s="1">
        <v>76328</v>
      </c>
      <c r="N1830" s="1" t="s">
        <v>8953</v>
      </c>
      <c r="O1830" s="1" t="s">
        <v>8989</v>
      </c>
      <c r="P1830" s="1" t="s">
        <v>8955</v>
      </c>
      <c r="Q1830" s="1" t="s">
        <v>8956</v>
      </c>
      <c r="R1830" s="1" t="s">
        <v>9103</v>
      </c>
      <c r="S1830" s="1" t="s">
        <v>19852</v>
      </c>
      <c r="T1830" s="1" t="s">
        <v>7</v>
      </c>
      <c r="U1830" s="1" t="s">
        <v>93</v>
      </c>
    </row>
    <row r="1831" spans="1:21" x14ac:dyDescent="0.2">
      <c r="A1831" s="88" t="s">
        <v>17507</v>
      </c>
      <c r="B1831" s="88" t="e">
        <f>VLOOKUP(C1831,#REF!,1,0)</f>
        <v>#REF!</v>
      </c>
      <c r="C1831" s="1" t="s">
        <v>6120</v>
      </c>
      <c r="D1831" s="1" t="s">
        <v>6121</v>
      </c>
      <c r="E1831" s="1" t="s">
        <v>20967</v>
      </c>
      <c r="F1831" s="1" t="s">
        <v>8959</v>
      </c>
      <c r="G1831" t="s">
        <v>8959</v>
      </c>
      <c r="H1831" s="1" t="s">
        <v>9075</v>
      </c>
      <c r="I1831" s="1" t="s">
        <v>8959</v>
      </c>
      <c r="J1831" s="2" t="s">
        <v>21255</v>
      </c>
      <c r="K1831" s="1" t="s">
        <v>21255</v>
      </c>
      <c r="L1831" s="1" t="s">
        <v>8951</v>
      </c>
      <c r="M1831" s="1">
        <v>114793</v>
      </c>
      <c r="N1831" s="1" t="s">
        <v>8953</v>
      </c>
      <c r="O1831" s="1" t="s">
        <v>8989</v>
      </c>
      <c r="P1831" s="1" t="s">
        <v>8955</v>
      </c>
      <c r="Q1831" s="1" t="s">
        <v>8956</v>
      </c>
      <c r="R1831" s="1" t="s">
        <v>9103</v>
      </c>
      <c r="S1831" s="1" t="s">
        <v>19853</v>
      </c>
      <c r="T1831" s="1" t="s">
        <v>17</v>
      </c>
      <c r="U1831" s="1" t="s">
        <v>1598</v>
      </c>
    </row>
    <row r="1832" spans="1:21" x14ac:dyDescent="0.2">
      <c r="A1832" s="88" t="s">
        <v>17508</v>
      </c>
      <c r="B1832" s="88" t="e">
        <f>VLOOKUP(C1832,#REF!,1,0)</f>
        <v>#REF!</v>
      </c>
      <c r="C1832" s="1" t="s">
        <v>6122</v>
      </c>
      <c r="D1832" s="1" t="s">
        <v>6123</v>
      </c>
      <c r="E1832" s="1" t="s">
        <v>9317</v>
      </c>
      <c r="F1832" s="1" t="s">
        <v>8957</v>
      </c>
      <c r="G1832" t="s">
        <v>8959</v>
      </c>
      <c r="H1832" s="1" t="s">
        <v>8984</v>
      </c>
      <c r="I1832" s="1" t="s">
        <v>9101</v>
      </c>
      <c r="J1832" s="2" t="s">
        <v>21213</v>
      </c>
      <c r="K1832" s="1" t="s">
        <v>21213</v>
      </c>
      <c r="L1832" s="1" t="s">
        <v>8987</v>
      </c>
      <c r="M1832" s="1">
        <v>70</v>
      </c>
      <c r="N1832" s="1" t="s">
        <v>9059</v>
      </c>
      <c r="O1832" s="1" t="s">
        <v>8954</v>
      </c>
      <c r="P1832" s="1" t="s">
        <v>8955</v>
      </c>
      <c r="Q1832" s="1" t="s">
        <v>8956</v>
      </c>
      <c r="R1832" s="1" t="s">
        <v>8958</v>
      </c>
      <c r="S1832" s="1" t="s">
        <v>19854</v>
      </c>
      <c r="T1832" s="1" t="s">
        <v>7</v>
      </c>
      <c r="U1832" s="1" t="s">
        <v>493</v>
      </c>
    </row>
    <row r="1833" spans="1:21" x14ac:dyDescent="0.2">
      <c r="A1833" s="88" t="s">
        <v>17509</v>
      </c>
      <c r="B1833" s="88" t="e">
        <f>VLOOKUP(C1833,#REF!,1,0)</f>
        <v>#REF!</v>
      </c>
      <c r="C1833" s="1" t="s">
        <v>6124</v>
      </c>
      <c r="D1833" s="1" t="s">
        <v>6125</v>
      </c>
      <c r="E1833" s="1" t="s">
        <v>18502</v>
      </c>
      <c r="F1833" s="1" t="s">
        <v>8957</v>
      </c>
      <c r="G1833" t="s">
        <v>9061</v>
      </c>
      <c r="H1833" s="1" t="s">
        <v>9100</v>
      </c>
      <c r="I1833" s="1" t="s">
        <v>8949</v>
      </c>
      <c r="J1833" s="2" t="s">
        <v>10492</v>
      </c>
      <c r="K1833" s="1" t="s">
        <v>10492</v>
      </c>
      <c r="L1833" s="1" t="s">
        <v>9133</v>
      </c>
      <c r="M1833" s="1">
        <v>178</v>
      </c>
      <c r="N1833" s="1" t="s">
        <v>9059</v>
      </c>
      <c r="O1833" s="1" t="s">
        <v>8989</v>
      </c>
      <c r="P1833" s="1" t="s">
        <v>8955</v>
      </c>
      <c r="Q1833" s="1" t="s">
        <v>8956</v>
      </c>
      <c r="R1833" s="1" t="s">
        <v>8975</v>
      </c>
      <c r="S1833" s="1" t="s">
        <v>19855</v>
      </c>
      <c r="T1833" s="1" t="s">
        <v>7</v>
      </c>
      <c r="U1833" s="1" t="s">
        <v>180</v>
      </c>
    </row>
    <row r="1834" spans="1:21" x14ac:dyDescent="0.2">
      <c r="A1834" s="88" t="s">
        <v>17510</v>
      </c>
      <c r="B1834" s="88" t="e">
        <f>VLOOKUP(C1834,#REF!,1,0)</f>
        <v>#REF!</v>
      </c>
      <c r="C1834" s="1" t="s">
        <v>6126</v>
      </c>
      <c r="D1834" s="1" t="s">
        <v>6127</v>
      </c>
      <c r="E1834" s="1" t="s">
        <v>9317</v>
      </c>
      <c r="F1834" s="1" t="s">
        <v>8957</v>
      </c>
      <c r="G1834" t="s">
        <v>8959</v>
      </c>
      <c r="H1834" s="1" t="s">
        <v>9154</v>
      </c>
      <c r="I1834" s="1" t="s">
        <v>8949</v>
      </c>
      <c r="J1834" s="2" t="s">
        <v>21449</v>
      </c>
      <c r="K1834" s="1" t="s">
        <v>10629</v>
      </c>
      <c r="L1834" s="1" t="s">
        <v>21600</v>
      </c>
      <c r="M1834" s="1">
        <v>10</v>
      </c>
      <c r="N1834" s="1" t="s">
        <v>9059</v>
      </c>
      <c r="O1834" s="1" t="s">
        <v>8989</v>
      </c>
      <c r="P1834" s="1" t="s">
        <v>8955</v>
      </c>
      <c r="Q1834" s="1" t="s">
        <v>8956</v>
      </c>
      <c r="R1834" s="1" t="s">
        <v>8958</v>
      </c>
      <c r="S1834" s="1" t="s">
        <v>19856</v>
      </c>
      <c r="T1834" s="1" t="s">
        <v>7</v>
      </c>
      <c r="U1834" s="1" t="s">
        <v>6128</v>
      </c>
    </row>
    <row r="1835" spans="1:21" x14ac:dyDescent="0.2">
      <c r="A1835" s="88" t="s">
        <v>17511</v>
      </c>
      <c r="B1835" s="88" t="e">
        <f>VLOOKUP(C1835,#REF!,1,0)</f>
        <v>#REF!</v>
      </c>
      <c r="C1835" s="1" t="s">
        <v>6129</v>
      </c>
      <c r="D1835" s="1" t="s">
        <v>6130</v>
      </c>
      <c r="E1835" s="1" t="s">
        <v>10873</v>
      </c>
      <c r="F1835" s="1" t="s">
        <v>8957</v>
      </c>
      <c r="G1835" t="s">
        <v>9061</v>
      </c>
      <c r="H1835" s="1" t="s">
        <v>9173</v>
      </c>
      <c r="I1835" s="1" t="s">
        <v>9174</v>
      </c>
      <c r="J1835" s="2" t="s">
        <v>9051</v>
      </c>
      <c r="K1835" s="1" t="s">
        <v>9051</v>
      </c>
      <c r="L1835" s="1" t="s">
        <v>9464</v>
      </c>
      <c r="M1835" s="1">
        <v>143</v>
      </c>
      <c r="N1835" s="1" t="s">
        <v>9059</v>
      </c>
      <c r="O1835" s="1" t="s">
        <v>8989</v>
      </c>
      <c r="P1835" s="1" t="s">
        <v>8955</v>
      </c>
      <c r="Q1835" s="1" t="s">
        <v>8956</v>
      </c>
      <c r="R1835" s="1" t="s">
        <v>8958</v>
      </c>
      <c r="S1835" s="1" t="s">
        <v>6131</v>
      </c>
      <c r="T1835" s="1" t="s">
        <v>17</v>
      </c>
      <c r="U1835" s="1" t="s">
        <v>126</v>
      </c>
    </row>
    <row r="1836" spans="1:21" x14ac:dyDescent="0.2">
      <c r="A1836" s="88" t="s">
        <v>17512</v>
      </c>
      <c r="B1836" s="88" t="e">
        <f>VLOOKUP(C1836,#REF!,1,0)</f>
        <v>#REF!</v>
      </c>
      <c r="C1836" s="1" t="s">
        <v>6132</v>
      </c>
      <c r="D1836" s="1" t="s">
        <v>6133</v>
      </c>
      <c r="E1836" s="1" t="s">
        <v>10873</v>
      </c>
      <c r="F1836" s="1" t="s">
        <v>8957</v>
      </c>
      <c r="G1836" t="s">
        <v>9183</v>
      </c>
      <c r="H1836" s="1" t="s">
        <v>9605</v>
      </c>
      <c r="I1836" s="1" t="s">
        <v>9101</v>
      </c>
      <c r="J1836" s="2" t="s">
        <v>9316</v>
      </c>
      <c r="K1836" s="1" t="s">
        <v>9316</v>
      </c>
      <c r="L1836" s="1" t="s">
        <v>9076</v>
      </c>
      <c r="M1836" s="1">
        <v>8806</v>
      </c>
      <c r="N1836" s="1" t="s">
        <v>8953</v>
      </c>
      <c r="O1836" s="1" t="s">
        <v>8989</v>
      </c>
      <c r="P1836" s="1" t="s">
        <v>8955</v>
      </c>
      <c r="Q1836" s="1" t="s">
        <v>8956</v>
      </c>
      <c r="R1836" s="1" t="s">
        <v>8958</v>
      </c>
      <c r="S1836" s="1" t="s">
        <v>6134</v>
      </c>
      <c r="T1836" s="1" t="s">
        <v>11</v>
      </c>
      <c r="U1836" s="1" t="s">
        <v>64</v>
      </c>
    </row>
    <row r="1837" spans="1:21" x14ac:dyDescent="0.2">
      <c r="A1837" s="88" t="s">
        <v>17514</v>
      </c>
      <c r="B1837" s="88" t="e">
        <f>VLOOKUP(C1837,#REF!,1,0)</f>
        <v>#REF!</v>
      </c>
      <c r="C1837" s="1" t="s">
        <v>6141</v>
      </c>
      <c r="D1837" s="1" t="s">
        <v>6142</v>
      </c>
      <c r="E1837" s="1" t="s">
        <v>10873</v>
      </c>
      <c r="F1837" s="1" t="s">
        <v>8957</v>
      </c>
      <c r="G1837" t="s">
        <v>9183</v>
      </c>
      <c r="H1837" s="1" t="s">
        <v>15227</v>
      </c>
      <c r="I1837" s="1" t="s">
        <v>9269</v>
      </c>
      <c r="J1837" s="131" t="s">
        <v>21599</v>
      </c>
      <c r="K1837" s="1" t="s">
        <v>21599</v>
      </c>
      <c r="L1837" s="1" t="s">
        <v>21600</v>
      </c>
      <c r="M1837" s="1">
        <v>165</v>
      </c>
      <c r="N1837" s="1" t="s">
        <v>9059</v>
      </c>
      <c r="O1837" s="1" t="s">
        <v>8954</v>
      </c>
      <c r="P1837" s="1" t="s">
        <v>8955</v>
      </c>
      <c r="Q1837" s="1" t="s">
        <v>8956</v>
      </c>
      <c r="R1837" s="1" t="s">
        <v>8975</v>
      </c>
      <c r="S1837" s="1" t="s">
        <v>6143</v>
      </c>
      <c r="T1837" s="1" t="s">
        <v>17</v>
      </c>
      <c r="U1837" s="1" t="s">
        <v>126</v>
      </c>
    </row>
    <row r="1838" spans="1:21" x14ac:dyDescent="0.2">
      <c r="A1838" s="88" t="s">
        <v>17515</v>
      </c>
      <c r="B1838" s="88" t="e">
        <f>VLOOKUP(C1838,#REF!,1,0)</f>
        <v>#REF!</v>
      </c>
      <c r="C1838" s="1" t="s">
        <v>6144</v>
      </c>
      <c r="D1838" s="1" t="s">
        <v>6145</v>
      </c>
      <c r="E1838" s="1" t="s">
        <v>9176</v>
      </c>
      <c r="F1838" s="1" t="s">
        <v>8957</v>
      </c>
      <c r="G1838" t="s">
        <v>8959</v>
      </c>
      <c r="H1838" s="1" t="s">
        <v>9100</v>
      </c>
      <c r="I1838" s="1" t="s">
        <v>8949</v>
      </c>
      <c r="J1838" s="2" t="s">
        <v>20779</v>
      </c>
      <c r="K1838" s="1" t="s">
        <v>9036</v>
      </c>
      <c r="L1838" s="1" t="s">
        <v>21600</v>
      </c>
      <c r="M1838" s="1">
        <v>395</v>
      </c>
      <c r="N1838" s="1" t="s">
        <v>9059</v>
      </c>
      <c r="O1838" s="1" t="s">
        <v>8954</v>
      </c>
      <c r="P1838" s="1" t="s">
        <v>8955</v>
      </c>
      <c r="Q1838" s="1" t="s">
        <v>8956</v>
      </c>
      <c r="R1838" s="1" t="s">
        <v>9103</v>
      </c>
      <c r="S1838" s="1" t="s">
        <v>19858</v>
      </c>
      <c r="T1838" s="1" t="s">
        <v>17</v>
      </c>
      <c r="U1838" s="1" t="s">
        <v>27</v>
      </c>
    </row>
    <row r="1839" spans="1:21" x14ac:dyDescent="0.2">
      <c r="A1839" s="88" t="s">
        <v>17517</v>
      </c>
      <c r="B1839" s="88" t="e">
        <f>VLOOKUP(C1839,#REF!,1,0)</f>
        <v>#REF!</v>
      </c>
      <c r="C1839" s="1" t="s">
        <v>6148</v>
      </c>
      <c r="D1839" s="1" t="s">
        <v>6149</v>
      </c>
      <c r="E1839" s="1" t="s">
        <v>9465</v>
      </c>
      <c r="F1839" s="1" t="s">
        <v>8957</v>
      </c>
      <c r="G1839" t="s">
        <v>9061</v>
      </c>
      <c r="H1839" s="1" t="s">
        <v>8948</v>
      </c>
      <c r="I1839" s="1" t="s">
        <v>8949</v>
      </c>
      <c r="J1839" s="2" t="s">
        <v>9036</v>
      </c>
      <c r="K1839" s="1" t="s">
        <v>9036</v>
      </c>
      <c r="L1839" s="1" t="s">
        <v>21600</v>
      </c>
      <c r="M1839" s="1">
        <v>285</v>
      </c>
      <c r="N1839" s="1" t="s">
        <v>9059</v>
      </c>
      <c r="O1839" s="1" t="s">
        <v>8954</v>
      </c>
      <c r="P1839" s="1" t="s">
        <v>8955</v>
      </c>
      <c r="Q1839" s="1" t="s">
        <v>8956</v>
      </c>
      <c r="R1839" s="1" t="s">
        <v>8958</v>
      </c>
      <c r="S1839" s="1" t="s">
        <v>6150</v>
      </c>
      <c r="T1839" s="1" t="s">
        <v>17</v>
      </c>
      <c r="U1839" s="1" t="s">
        <v>938</v>
      </c>
    </row>
    <row r="1840" spans="1:21" x14ac:dyDescent="0.2">
      <c r="A1840" s="88" t="s">
        <v>17518</v>
      </c>
      <c r="B1840" s="88" t="e">
        <f>VLOOKUP(C1840,#REF!,1,0)</f>
        <v>#REF!</v>
      </c>
      <c r="C1840" s="1" t="s">
        <v>6151</v>
      </c>
      <c r="D1840" s="1" t="s">
        <v>6152</v>
      </c>
      <c r="E1840" s="1" t="s">
        <v>12363</v>
      </c>
      <c r="F1840" s="1" t="s">
        <v>8959</v>
      </c>
      <c r="G1840" t="s">
        <v>9183</v>
      </c>
      <c r="H1840" s="1" t="s">
        <v>9075</v>
      </c>
      <c r="I1840" s="1" t="s">
        <v>8949</v>
      </c>
      <c r="J1840" s="2" t="s">
        <v>9036</v>
      </c>
      <c r="K1840" s="1" t="s">
        <v>9036</v>
      </c>
      <c r="L1840" s="1" t="s">
        <v>9133</v>
      </c>
      <c r="M1840" s="1">
        <v>18</v>
      </c>
      <c r="N1840" s="1" t="s">
        <v>9059</v>
      </c>
      <c r="O1840" s="1" t="s">
        <v>8954</v>
      </c>
      <c r="P1840" s="1" t="s">
        <v>8955</v>
      </c>
      <c r="Q1840" s="1" t="s">
        <v>8956</v>
      </c>
      <c r="R1840" s="1" t="s">
        <v>8975</v>
      </c>
      <c r="S1840" s="1" t="s">
        <v>6153</v>
      </c>
      <c r="T1840" s="1" t="s">
        <v>11</v>
      </c>
      <c r="U1840" s="1" t="s">
        <v>1322</v>
      </c>
    </row>
    <row r="1841" spans="1:21" x14ac:dyDescent="0.2">
      <c r="A1841" s="88" t="s">
        <v>17519</v>
      </c>
      <c r="B1841" s="88" t="e">
        <f>VLOOKUP(C1841,#REF!,1,0)</f>
        <v>#REF!</v>
      </c>
      <c r="C1841" s="1" t="s">
        <v>6154</v>
      </c>
      <c r="D1841" s="1" t="s">
        <v>6155</v>
      </c>
      <c r="E1841" s="1" t="s">
        <v>9010</v>
      </c>
      <c r="F1841" s="1" t="s">
        <v>8959</v>
      </c>
      <c r="G1841" t="s">
        <v>8959</v>
      </c>
      <c r="H1841" s="1" t="s">
        <v>9075</v>
      </c>
      <c r="I1841" s="1" t="s">
        <v>8949</v>
      </c>
      <c r="J1841" s="2" t="s">
        <v>21462</v>
      </c>
      <c r="K1841" s="1" t="s">
        <v>21462</v>
      </c>
      <c r="L1841" s="1" t="s">
        <v>9133</v>
      </c>
      <c r="M1841" s="1">
        <v>53</v>
      </c>
      <c r="N1841" s="1" t="s">
        <v>9059</v>
      </c>
      <c r="O1841" s="1" t="s">
        <v>8989</v>
      </c>
      <c r="P1841" s="1" t="s">
        <v>8955</v>
      </c>
      <c r="Q1841" s="1" t="s">
        <v>8956</v>
      </c>
      <c r="R1841" s="1" t="s">
        <v>8975</v>
      </c>
      <c r="S1841" s="1" t="s">
        <v>6156</v>
      </c>
      <c r="T1841" s="1" t="s">
        <v>4</v>
      </c>
      <c r="U1841" s="1" t="s">
        <v>74</v>
      </c>
    </row>
    <row r="1842" spans="1:21" x14ac:dyDescent="0.2">
      <c r="A1842" s="88" t="s">
        <v>17520</v>
      </c>
      <c r="B1842" s="88" t="e">
        <f>VLOOKUP(C1842,#REF!,1,0)</f>
        <v>#REF!</v>
      </c>
      <c r="C1842" s="1" t="s">
        <v>6157</v>
      </c>
      <c r="D1842" s="1" t="s">
        <v>6158</v>
      </c>
      <c r="E1842" s="1" t="s">
        <v>10166</v>
      </c>
      <c r="F1842" s="1" t="s">
        <v>8957</v>
      </c>
      <c r="G1842" t="s">
        <v>9009</v>
      </c>
      <c r="H1842" s="1" t="s">
        <v>9100</v>
      </c>
      <c r="I1842" s="1" t="s">
        <v>9308</v>
      </c>
      <c r="J1842" s="2" t="s">
        <v>9036</v>
      </c>
      <c r="K1842" s="1" t="s">
        <v>9036</v>
      </c>
      <c r="L1842" s="1" t="s">
        <v>8987</v>
      </c>
      <c r="M1842" s="1">
        <v>342</v>
      </c>
      <c r="N1842" s="1" t="s">
        <v>8953</v>
      </c>
      <c r="O1842" s="1" t="s">
        <v>8989</v>
      </c>
      <c r="P1842" s="1" t="s">
        <v>8955</v>
      </c>
      <c r="Q1842" s="1" t="s">
        <v>8956</v>
      </c>
      <c r="R1842" s="1" t="s">
        <v>8958</v>
      </c>
      <c r="S1842" s="1" t="s">
        <v>6159</v>
      </c>
      <c r="T1842" s="1" t="s">
        <v>11</v>
      </c>
      <c r="U1842" s="1" t="s">
        <v>3167</v>
      </c>
    </row>
    <row r="1843" spans="1:21" x14ac:dyDescent="0.2">
      <c r="A1843" s="88" t="s">
        <v>17521</v>
      </c>
      <c r="B1843" s="88" t="e">
        <f>VLOOKUP(C1843,#REF!,1,0)</f>
        <v>#REF!</v>
      </c>
      <c r="C1843" s="1" t="s">
        <v>6163</v>
      </c>
      <c r="D1843" s="1" t="s">
        <v>6164</v>
      </c>
      <c r="E1843" s="1" t="s">
        <v>9852</v>
      </c>
      <c r="F1843" s="1" t="s">
        <v>8959</v>
      </c>
      <c r="G1843" t="s">
        <v>8959</v>
      </c>
      <c r="H1843" s="1" t="s">
        <v>9092</v>
      </c>
      <c r="I1843" s="1" t="s">
        <v>8998</v>
      </c>
      <c r="J1843" s="2" t="s">
        <v>8972</v>
      </c>
      <c r="K1843" s="1" t="s">
        <v>8972</v>
      </c>
      <c r="L1843" s="1" t="s">
        <v>21600</v>
      </c>
      <c r="M1843" s="1">
        <v>45</v>
      </c>
      <c r="N1843" s="1" t="s">
        <v>8953</v>
      </c>
      <c r="O1843" s="1" t="s">
        <v>8954</v>
      </c>
      <c r="P1843" s="1" t="s">
        <v>8955</v>
      </c>
      <c r="Q1843" s="1" t="s">
        <v>8956</v>
      </c>
      <c r="R1843" s="1" t="s">
        <v>8958</v>
      </c>
      <c r="S1843" s="1" t="s">
        <v>6165</v>
      </c>
      <c r="T1843" s="1" t="s">
        <v>7</v>
      </c>
      <c r="U1843" s="1" t="s">
        <v>87</v>
      </c>
    </row>
    <row r="1844" spans="1:21" x14ac:dyDescent="0.2">
      <c r="A1844" s="88" t="s">
        <v>17522</v>
      </c>
      <c r="B1844" s="88" t="e">
        <f>VLOOKUP(C1844,#REF!,1,0)</f>
        <v>#REF!</v>
      </c>
      <c r="C1844" s="1" t="s">
        <v>6166</v>
      </c>
      <c r="D1844" s="1" t="s">
        <v>6167</v>
      </c>
      <c r="E1844" s="1" t="s">
        <v>11713</v>
      </c>
      <c r="F1844" s="1" t="s">
        <v>8957</v>
      </c>
      <c r="G1844" t="s">
        <v>8959</v>
      </c>
      <c r="H1844" s="1" t="s">
        <v>9092</v>
      </c>
      <c r="I1844" s="1" t="s">
        <v>9121</v>
      </c>
      <c r="J1844" s="2" t="s">
        <v>9036</v>
      </c>
      <c r="K1844" s="1" t="s">
        <v>9036</v>
      </c>
      <c r="L1844" s="1" t="s">
        <v>8951</v>
      </c>
      <c r="M1844" s="1">
        <v>230</v>
      </c>
      <c r="N1844" s="1" t="s">
        <v>9059</v>
      </c>
      <c r="O1844" s="1" t="s">
        <v>8989</v>
      </c>
      <c r="P1844" s="1" t="s">
        <v>8955</v>
      </c>
      <c r="Q1844" s="1" t="s">
        <v>8956</v>
      </c>
      <c r="R1844" s="1" t="s">
        <v>9103</v>
      </c>
      <c r="S1844" s="1" t="s">
        <v>6168</v>
      </c>
      <c r="T1844" s="1" t="s">
        <v>17</v>
      </c>
      <c r="U1844" s="1" t="s">
        <v>6169</v>
      </c>
    </row>
    <row r="1845" spans="1:21" x14ac:dyDescent="0.2">
      <c r="A1845" s="88" t="s">
        <v>17523</v>
      </c>
      <c r="B1845" s="88" t="e">
        <f>VLOOKUP(C1845,#REF!,1,0)</f>
        <v>#REF!</v>
      </c>
      <c r="C1845" s="1" t="s">
        <v>6173</v>
      </c>
      <c r="D1845" s="1" t="s">
        <v>6174</v>
      </c>
      <c r="E1845" s="1" t="s">
        <v>9010</v>
      </c>
      <c r="F1845" s="1" t="s">
        <v>8957</v>
      </c>
      <c r="G1845" t="s">
        <v>8959</v>
      </c>
      <c r="H1845" s="1" t="s">
        <v>9166</v>
      </c>
      <c r="I1845" s="1" t="s">
        <v>8949</v>
      </c>
      <c r="J1845" s="2" t="s">
        <v>9167</v>
      </c>
      <c r="K1845" s="1" t="s">
        <v>9167</v>
      </c>
      <c r="L1845" s="1" t="s">
        <v>9076</v>
      </c>
      <c r="M1845" s="1">
        <v>18</v>
      </c>
      <c r="N1845" s="1" t="s">
        <v>8953</v>
      </c>
      <c r="O1845" s="1" t="s">
        <v>8989</v>
      </c>
      <c r="P1845" s="1" t="s">
        <v>8955</v>
      </c>
      <c r="Q1845" s="1" t="s">
        <v>8956</v>
      </c>
      <c r="R1845" s="1" t="s">
        <v>8958</v>
      </c>
      <c r="S1845" s="1" t="s">
        <v>6175</v>
      </c>
      <c r="T1845" s="1" t="s">
        <v>17</v>
      </c>
      <c r="U1845" s="1" t="s">
        <v>53</v>
      </c>
    </row>
    <row r="1846" spans="1:21" x14ac:dyDescent="0.2">
      <c r="A1846" s="88" t="s">
        <v>17524</v>
      </c>
      <c r="B1846" s="88" t="e">
        <f>VLOOKUP(C1846,#REF!,1,0)</f>
        <v>#REF!</v>
      </c>
      <c r="C1846" s="1" t="s">
        <v>6176</v>
      </c>
      <c r="D1846" s="1" t="s">
        <v>6177</v>
      </c>
      <c r="E1846" s="1" t="s">
        <v>18502</v>
      </c>
      <c r="F1846" s="1" t="s">
        <v>9060</v>
      </c>
      <c r="G1846" t="s">
        <v>9061</v>
      </c>
      <c r="H1846" s="1" t="s">
        <v>9100</v>
      </c>
      <c r="I1846" s="1" t="s">
        <v>20930</v>
      </c>
      <c r="J1846" s="2" t="s">
        <v>18497</v>
      </c>
      <c r="K1846" s="1" t="s">
        <v>18497</v>
      </c>
      <c r="L1846" s="1" t="s">
        <v>8987</v>
      </c>
      <c r="M1846" s="1">
        <v>2582</v>
      </c>
      <c r="N1846" s="1" t="s">
        <v>8953</v>
      </c>
      <c r="O1846" s="1" t="s">
        <v>8954</v>
      </c>
      <c r="P1846" s="1" t="s">
        <v>8955</v>
      </c>
      <c r="Q1846" s="1" t="s">
        <v>8956</v>
      </c>
      <c r="R1846" s="1" t="s">
        <v>9103</v>
      </c>
      <c r="S1846" s="1" t="s">
        <v>19861</v>
      </c>
      <c r="T1846" s="1" t="s">
        <v>7</v>
      </c>
      <c r="U1846" s="1" t="s">
        <v>1202</v>
      </c>
    </row>
    <row r="1847" spans="1:21" x14ac:dyDescent="0.2">
      <c r="A1847" s="88" t="s">
        <v>17525</v>
      </c>
      <c r="B1847" s="88" t="e">
        <f>VLOOKUP(C1847,#REF!,1,0)</f>
        <v>#REF!</v>
      </c>
      <c r="C1847" s="1" t="s">
        <v>6178</v>
      </c>
      <c r="D1847" s="1" t="s">
        <v>6179</v>
      </c>
      <c r="E1847" s="1" t="s">
        <v>10873</v>
      </c>
      <c r="F1847" s="1" t="s">
        <v>9060</v>
      </c>
      <c r="G1847" t="s">
        <v>9009</v>
      </c>
      <c r="H1847" s="1" t="s">
        <v>8948</v>
      </c>
      <c r="I1847" s="1" t="s">
        <v>8998</v>
      </c>
      <c r="J1847" s="2" t="s">
        <v>9112</v>
      </c>
      <c r="K1847" s="1" t="s">
        <v>9112</v>
      </c>
      <c r="L1847" s="1" t="s">
        <v>21600</v>
      </c>
      <c r="M1847" s="1">
        <v>45</v>
      </c>
      <c r="N1847" s="1" t="s">
        <v>8953</v>
      </c>
      <c r="O1847" s="1" t="s">
        <v>8954</v>
      </c>
      <c r="P1847" s="1" t="s">
        <v>8955</v>
      </c>
      <c r="Q1847" s="1" t="s">
        <v>8956</v>
      </c>
      <c r="R1847" s="1" t="s">
        <v>8975</v>
      </c>
      <c r="S1847" s="1" t="s">
        <v>6180</v>
      </c>
      <c r="T1847" s="1" t="s">
        <v>17</v>
      </c>
      <c r="U1847" s="1" t="s">
        <v>53</v>
      </c>
    </row>
    <row r="1848" spans="1:21" x14ac:dyDescent="0.2">
      <c r="A1848" s="88" t="s">
        <v>17526</v>
      </c>
      <c r="B1848" s="88" t="e">
        <f>VLOOKUP(C1848,#REF!,1,0)</f>
        <v>#REF!</v>
      </c>
      <c r="C1848" s="1" t="s">
        <v>6181</v>
      </c>
      <c r="D1848" s="1" t="s">
        <v>6182</v>
      </c>
      <c r="E1848" s="1" t="s">
        <v>9010</v>
      </c>
      <c r="F1848" s="1" t="s">
        <v>8957</v>
      </c>
      <c r="G1848" t="s">
        <v>9009</v>
      </c>
      <c r="H1848" s="1" t="s">
        <v>8948</v>
      </c>
      <c r="I1848" s="1" t="s">
        <v>8998</v>
      </c>
      <c r="J1848" s="2" t="s">
        <v>9007</v>
      </c>
      <c r="K1848" s="1" t="s">
        <v>9007</v>
      </c>
      <c r="L1848" s="1" t="s">
        <v>21600</v>
      </c>
      <c r="M1848" s="1">
        <v>55</v>
      </c>
      <c r="N1848" s="1" t="s">
        <v>8953</v>
      </c>
      <c r="O1848" s="1" t="s">
        <v>8954</v>
      </c>
      <c r="P1848" s="1" t="s">
        <v>8955</v>
      </c>
      <c r="Q1848" s="1" t="s">
        <v>8956</v>
      </c>
      <c r="R1848" s="1" t="s">
        <v>8958</v>
      </c>
      <c r="S1848" s="1" t="s">
        <v>6183</v>
      </c>
      <c r="T1848" s="1" t="s">
        <v>7</v>
      </c>
      <c r="U1848" s="1" t="s">
        <v>93</v>
      </c>
    </row>
    <row r="1849" spans="1:21" x14ac:dyDescent="0.2">
      <c r="A1849" s="88" t="s">
        <v>17527</v>
      </c>
      <c r="B1849" s="88" t="e">
        <f>VLOOKUP(C1849,#REF!,1,0)</f>
        <v>#REF!</v>
      </c>
      <c r="C1849" s="1" t="s">
        <v>6184</v>
      </c>
      <c r="D1849" s="1" t="s">
        <v>6185</v>
      </c>
      <c r="E1849" s="1" t="s">
        <v>9310</v>
      </c>
      <c r="F1849" s="1" t="s">
        <v>8957</v>
      </c>
      <c r="G1849" t="s">
        <v>8959</v>
      </c>
      <c r="H1849" s="1" t="s">
        <v>8948</v>
      </c>
      <c r="I1849" s="1" t="s">
        <v>9131</v>
      </c>
      <c r="J1849" s="2" t="s">
        <v>18497</v>
      </c>
      <c r="K1849" s="1" t="s">
        <v>21658</v>
      </c>
      <c r="L1849" s="1" t="s">
        <v>9292</v>
      </c>
      <c r="M1849" s="1">
        <v>24667</v>
      </c>
      <c r="N1849" s="1" t="s">
        <v>8953</v>
      </c>
      <c r="O1849" s="1" t="s">
        <v>8989</v>
      </c>
      <c r="P1849" s="1" t="s">
        <v>8955</v>
      </c>
      <c r="Q1849" s="1" t="s">
        <v>8956</v>
      </c>
      <c r="R1849" s="1" t="s">
        <v>8975</v>
      </c>
      <c r="S1849" s="1" t="s">
        <v>19862</v>
      </c>
      <c r="T1849" s="1" t="s">
        <v>7</v>
      </c>
      <c r="U1849" s="1" t="s">
        <v>6186</v>
      </c>
    </row>
    <row r="1850" spans="1:21" x14ac:dyDescent="0.2">
      <c r="A1850" s="88" t="s">
        <v>17528</v>
      </c>
      <c r="B1850" s="88" t="e">
        <f>VLOOKUP(C1850,#REF!,1,0)</f>
        <v>#REF!</v>
      </c>
      <c r="C1850" s="1" t="s">
        <v>6187</v>
      </c>
      <c r="D1850" s="1" t="s">
        <v>6188</v>
      </c>
      <c r="E1850" s="1" t="s">
        <v>9310</v>
      </c>
      <c r="F1850" s="1" t="s">
        <v>8957</v>
      </c>
      <c r="G1850" t="s">
        <v>9061</v>
      </c>
      <c r="H1850" s="1" t="s">
        <v>9092</v>
      </c>
      <c r="I1850" s="1" t="s">
        <v>9308</v>
      </c>
      <c r="J1850" s="2" t="s">
        <v>18489</v>
      </c>
      <c r="K1850" s="1" t="s">
        <v>21673</v>
      </c>
      <c r="L1850" s="1" t="s">
        <v>8987</v>
      </c>
      <c r="M1850" s="1">
        <v>24870</v>
      </c>
      <c r="N1850" s="1" t="s">
        <v>8953</v>
      </c>
      <c r="O1850" s="1" t="s">
        <v>8954</v>
      </c>
      <c r="P1850" s="1" t="s">
        <v>8955</v>
      </c>
      <c r="Q1850" s="1" t="s">
        <v>8956</v>
      </c>
      <c r="R1850" s="1" t="s">
        <v>8975</v>
      </c>
      <c r="S1850" s="1" t="s">
        <v>19863</v>
      </c>
      <c r="T1850" s="1" t="s">
        <v>17</v>
      </c>
      <c r="U1850" s="1" t="s">
        <v>27</v>
      </c>
    </row>
    <row r="1851" spans="1:21" x14ac:dyDescent="0.2">
      <c r="A1851" s="88" t="s">
        <v>17529</v>
      </c>
      <c r="B1851" s="88" t="e">
        <f>VLOOKUP(C1851,#REF!,1,0)</f>
        <v>#REF!</v>
      </c>
      <c r="C1851" s="1" t="s">
        <v>6189</v>
      </c>
      <c r="D1851" s="1" t="s">
        <v>6190</v>
      </c>
      <c r="E1851" s="1" t="s">
        <v>9310</v>
      </c>
      <c r="F1851" s="1" t="s">
        <v>8957</v>
      </c>
      <c r="G1851" t="s">
        <v>9009</v>
      </c>
      <c r="H1851" s="1" t="s">
        <v>9035</v>
      </c>
      <c r="I1851" s="1" t="s">
        <v>8998</v>
      </c>
      <c r="J1851" s="2" t="s">
        <v>20805</v>
      </c>
      <c r="K1851" s="1" t="s">
        <v>9212</v>
      </c>
      <c r="L1851" s="1" t="s">
        <v>8987</v>
      </c>
      <c r="M1851" s="1">
        <v>1018</v>
      </c>
      <c r="N1851" s="1" t="s">
        <v>9059</v>
      </c>
      <c r="O1851" s="1" t="s">
        <v>8954</v>
      </c>
      <c r="P1851" s="1" t="s">
        <v>8955</v>
      </c>
      <c r="Q1851" s="1" t="s">
        <v>8956</v>
      </c>
      <c r="R1851" s="1" t="s">
        <v>8975</v>
      </c>
      <c r="S1851" s="1" t="s">
        <v>19864</v>
      </c>
      <c r="T1851" s="1" t="s">
        <v>7</v>
      </c>
      <c r="U1851" s="1" t="s">
        <v>64</v>
      </c>
    </row>
    <row r="1852" spans="1:21" x14ac:dyDescent="0.2">
      <c r="A1852" s="88" t="s">
        <v>17532</v>
      </c>
      <c r="B1852" s="88" t="e">
        <f>VLOOKUP(C1852,#REF!,1,0)</f>
        <v>#REF!</v>
      </c>
      <c r="C1852" s="1" t="s">
        <v>6195</v>
      </c>
      <c r="D1852" s="1" t="s">
        <v>6196</v>
      </c>
      <c r="E1852" s="1" t="s">
        <v>18502</v>
      </c>
      <c r="F1852" s="1" t="s">
        <v>9060</v>
      </c>
      <c r="G1852" t="s">
        <v>9061</v>
      </c>
      <c r="H1852" s="1" t="s">
        <v>8984</v>
      </c>
      <c r="I1852" s="1" t="s">
        <v>8998</v>
      </c>
      <c r="J1852" s="2" t="s">
        <v>21385</v>
      </c>
      <c r="K1852" s="1" t="s">
        <v>21726</v>
      </c>
      <c r="L1852" s="1" t="s">
        <v>21600</v>
      </c>
      <c r="M1852" s="1">
        <v>37</v>
      </c>
      <c r="N1852" s="1" t="s">
        <v>9059</v>
      </c>
      <c r="O1852" s="1" t="s">
        <v>8989</v>
      </c>
      <c r="P1852" s="1" t="s">
        <v>8955</v>
      </c>
      <c r="Q1852" s="1" t="s">
        <v>8956</v>
      </c>
      <c r="R1852" s="1" t="s">
        <v>8975</v>
      </c>
      <c r="S1852" s="1" t="s">
        <v>19867</v>
      </c>
      <c r="T1852" s="1" t="s">
        <v>7</v>
      </c>
      <c r="U1852" s="1" t="s">
        <v>562</v>
      </c>
    </row>
    <row r="1853" spans="1:21" x14ac:dyDescent="0.2">
      <c r="A1853" s="88" t="s">
        <v>17533</v>
      </c>
      <c r="B1853" s="88" t="e">
        <f>VLOOKUP(C1853,#REF!,1,0)</f>
        <v>#REF!</v>
      </c>
      <c r="C1853" s="1" t="s">
        <v>6197</v>
      </c>
      <c r="D1853" s="1" t="s">
        <v>6198</v>
      </c>
      <c r="E1853" s="1" t="s">
        <v>9317</v>
      </c>
      <c r="F1853" s="1" t="s">
        <v>8957</v>
      </c>
      <c r="G1853" t="s">
        <v>8959</v>
      </c>
      <c r="H1853" s="1" t="s">
        <v>8984</v>
      </c>
      <c r="I1853" s="1" t="s">
        <v>9155</v>
      </c>
      <c r="J1853" s="2" t="s">
        <v>20785</v>
      </c>
      <c r="K1853" s="1" t="s">
        <v>18491</v>
      </c>
      <c r="L1853" s="1" t="s">
        <v>21600</v>
      </c>
      <c r="M1853" s="1">
        <v>18259</v>
      </c>
      <c r="N1853" s="1" t="s">
        <v>8953</v>
      </c>
      <c r="O1853" s="1" t="s">
        <v>8954</v>
      </c>
      <c r="P1853" s="1" t="s">
        <v>8955</v>
      </c>
      <c r="Q1853" s="1" t="s">
        <v>8956</v>
      </c>
      <c r="R1853" s="1" t="s">
        <v>8958</v>
      </c>
      <c r="S1853" s="1" t="s">
        <v>19868</v>
      </c>
      <c r="T1853" s="1" t="s">
        <v>7</v>
      </c>
      <c r="U1853" s="1" t="s">
        <v>64</v>
      </c>
    </row>
    <row r="1854" spans="1:21" x14ac:dyDescent="0.2">
      <c r="A1854" s="88" t="s">
        <v>17535</v>
      </c>
      <c r="B1854" s="88" t="e">
        <f>VLOOKUP(C1854,#REF!,1,0)</f>
        <v>#REF!</v>
      </c>
      <c r="C1854" s="1" t="s">
        <v>6201</v>
      </c>
      <c r="D1854" s="1" t="s">
        <v>6202</v>
      </c>
      <c r="E1854" s="1" t="s">
        <v>9010</v>
      </c>
      <c r="F1854" s="1" t="s">
        <v>8957</v>
      </c>
      <c r="G1854" t="s">
        <v>8959</v>
      </c>
      <c r="H1854" s="1" t="s">
        <v>9154</v>
      </c>
      <c r="I1854" s="1" t="s">
        <v>9269</v>
      </c>
      <c r="J1854" s="2" t="s">
        <v>9036</v>
      </c>
      <c r="K1854" s="1" t="s">
        <v>9036</v>
      </c>
      <c r="L1854" s="1" t="s">
        <v>8987</v>
      </c>
      <c r="M1854" s="1">
        <v>16590</v>
      </c>
      <c r="N1854" s="1" t="s">
        <v>8953</v>
      </c>
      <c r="O1854" s="1" t="s">
        <v>8954</v>
      </c>
      <c r="P1854" s="1" t="s">
        <v>8955</v>
      </c>
      <c r="Q1854" s="1" t="s">
        <v>8956</v>
      </c>
      <c r="R1854" s="1" t="s">
        <v>9103</v>
      </c>
      <c r="S1854" s="1" t="s">
        <v>6203</v>
      </c>
      <c r="T1854" s="1" t="s">
        <v>242</v>
      </c>
      <c r="U1854" s="1" t="s">
        <v>286</v>
      </c>
    </row>
    <row r="1855" spans="1:21" x14ac:dyDescent="0.2">
      <c r="A1855" s="88" t="s">
        <v>17536</v>
      </c>
      <c r="B1855" s="88" t="e">
        <f>VLOOKUP(C1855,#REF!,1,0)</f>
        <v>#REF!</v>
      </c>
      <c r="C1855" s="1" t="s">
        <v>6204</v>
      </c>
      <c r="D1855" s="1" t="s">
        <v>6205</v>
      </c>
      <c r="E1855" s="1" t="s">
        <v>18502</v>
      </c>
      <c r="F1855" s="1" t="s">
        <v>8957</v>
      </c>
      <c r="G1855" t="s">
        <v>8959</v>
      </c>
      <c r="H1855" s="1" t="s">
        <v>8948</v>
      </c>
      <c r="I1855" s="1" t="s">
        <v>8998</v>
      </c>
      <c r="J1855" s="2" t="s">
        <v>21292</v>
      </c>
      <c r="K1855" s="1" t="s">
        <v>21727</v>
      </c>
      <c r="L1855" s="1" t="s">
        <v>20839</v>
      </c>
      <c r="M1855" s="1">
        <v>3495</v>
      </c>
      <c r="N1855" s="1" t="s">
        <v>9059</v>
      </c>
      <c r="O1855" s="1" t="s">
        <v>8989</v>
      </c>
      <c r="P1855" s="1" t="s">
        <v>8955</v>
      </c>
      <c r="Q1855" s="1" t="s">
        <v>8956</v>
      </c>
      <c r="R1855" s="1" t="s">
        <v>8975</v>
      </c>
      <c r="S1855" s="1" t="s">
        <v>19870</v>
      </c>
      <c r="T1855" s="1" t="s">
        <v>17</v>
      </c>
      <c r="U1855" s="1" t="s">
        <v>93</v>
      </c>
    </row>
    <row r="1856" spans="1:21" x14ac:dyDescent="0.2">
      <c r="A1856" s="88" t="s">
        <v>17537</v>
      </c>
      <c r="B1856" s="88" t="e">
        <f>VLOOKUP(C1856,#REF!,1,0)</f>
        <v>#REF!</v>
      </c>
      <c r="C1856" s="1" t="s">
        <v>6206</v>
      </c>
      <c r="D1856" s="1" t="s">
        <v>6207</v>
      </c>
      <c r="E1856" s="1" t="s">
        <v>10687</v>
      </c>
      <c r="F1856" s="1" t="s">
        <v>8957</v>
      </c>
      <c r="G1856" t="s">
        <v>8959</v>
      </c>
      <c r="H1856" s="1" t="s">
        <v>8948</v>
      </c>
      <c r="I1856" s="1" t="s">
        <v>8949</v>
      </c>
      <c r="J1856" s="2" t="s">
        <v>9036</v>
      </c>
      <c r="K1856" s="1" t="s">
        <v>9036</v>
      </c>
      <c r="L1856" s="1" t="s">
        <v>21600</v>
      </c>
      <c r="M1856" s="1">
        <v>11</v>
      </c>
      <c r="N1856" s="1" t="s">
        <v>8953</v>
      </c>
      <c r="O1856" s="1" t="s">
        <v>8989</v>
      </c>
      <c r="P1856" s="1" t="s">
        <v>8955</v>
      </c>
      <c r="Q1856" s="1" t="s">
        <v>8956</v>
      </c>
      <c r="R1856" s="1" t="s">
        <v>8975</v>
      </c>
      <c r="S1856" s="1" t="s">
        <v>6208</v>
      </c>
      <c r="T1856" s="1" t="s">
        <v>17</v>
      </c>
      <c r="U1856" s="1" t="s">
        <v>184</v>
      </c>
    </row>
    <row r="1857" spans="1:21" x14ac:dyDescent="0.2">
      <c r="A1857" s="88" t="s">
        <v>17538</v>
      </c>
      <c r="B1857" s="88" t="e">
        <f>VLOOKUP(C1857,#REF!,1,0)</f>
        <v>#REF!</v>
      </c>
      <c r="C1857" s="1" t="s">
        <v>6209</v>
      </c>
      <c r="D1857" s="1" t="s">
        <v>6210</v>
      </c>
      <c r="E1857" s="1" t="s">
        <v>11100</v>
      </c>
      <c r="F1857" s="1" t="s">
        <v>9060</v>
      </c>
      <c r="G1857" t="s">
        <v>8959</v>
      </c>
      <c r="H1857" s="1" t="s">
        <v>9252</v>
      </c>
      <c r="I1857" s="1" t="s">
        <v>9253</v>
      </c>
      <c r="J1857" s="2" t="s">
        <v>9036</v>
      </c>
      <c r="K1857" s="1" t="s">
        <v>9036</v>
      </c>
      <c r="L1857" s="1" t="s">
        <v>8951</v>
      </c>
      <c r="M1857" s="1">
        <v>847</v>
      </c>
      <c r="N1857" s="1" t="s">
        <v>8953</v>
      </c>
      <c r="O1857" s="1" t="s">
        <v>8954</v>
      </c>
      <c r="P1857" s="1" t="s">
        <v>8955</v>
      </c>
      <c r="Q1857" s="1" t="s">
        <v>8956</v>
      </c>
      <c r="R1857" s="1" t="s">
        <v>8958</v>
      </c>
      <c r="S1857" s="1" t="s">
        <v>6211</v>
      </c>
      <c r="T1857" s="1" t="s">
        <v>11</v>
      </c>
      <c r="U1857" s="1" t="s">
        <v>24</v>
      </c>
    </row>
    <row r="1858" spans="1:21" x14ac:dyDescent="0.2">
      <c r="A1858" s="88" t="s">
        <v>17541</v>
      </c>
      <c r="B1858" s="88" t="e">
        <f>VLOOKUP(C1858,#REF!,1,0)</f>
        <v>#REF!</v>
      </c>
      <c r="C1858" s="1" t="s">
        <v>6217</v>
      </c>
      <c r="D1858" s="1" t="s">
        <v>6218</v>
      </c>
      <c r="E1858" s="1" t="s">
        <v>18502</v>
      </c>
      <c r="F1858" s="1" t="s">
        <v>9060</v>
      </c>
      <c r="G1858" t="s">
        <v>9061</v>
      </c>
      <c r="H1858" s="1" t="s">
        <v>9075</v>
      </c>
      <c r="I1858" s="1" t="s">
        <v>8998</v>
      </c>
      <c r="J1858" s="2" t="s">
        <v>21453</v>
      </c>
      <c r="K1858" s="1" t="s">
        <v>21453</v>
      </c>
      <c r="L1858" s="1" t="s">
        <v>21600</v>
      </c>
      <c r="M1858" s="1">
        <v>408</v>
      </c>
      <c r="N1858" s="1" t="s">
        <v>9059</v>
      </c>
      <c r="O1858" s="1" t="s">
        <v>8954</v>
      </c>
      <c r="P1858" s="1" t="s">
        <v>8955</v>
      </c>
      <c r="Q1858" s="1" t="s">
        <v>8956</v>
      </c>
      <c r="R1858" s="1" t="s">
        <v>8975</v>
      </c>
      <c r="S1858" s="1" t="s">
        <v>20675</v>
      </c>
      <c r="T1858" s="1" t="s">
        <v>7</v>
      </c>
      <c r="U1858" s="1" t="s">
        <v>4044</v>
      </c>
    </row>
    <row r="1859" spans="1:21" x14ac:dyDescent="0.2">
      <c r="A1859" s="88" t="s">
        <v>17542</v>
      </c>
      <c r="B1859" s="88" t="e">
        <f>VLOOKUP(C1859,#REF!,1,0)</f>
        <v>#REF!</v>
      </c>
      <c r="C1859" s="1" t="s">
        <v>6222</v>
      </c>
      <c r="D1859" s="1" t="s">
        <v>6223</v>
      </c>
      <c r="E1859" s="1" t="s">
        <v>10850</v>
      </c>
      <c r="F1859" s="1" t="s">
        <v>8957</v>
      </c>
      <c r="G1859" t="s">
        <v>8959</v>
      </c>
      <c r="H1859" s="1" t="s">
        <v>20714</v>
      </c>
      <c r="I1859" s="1" t="s">
        <v>8959</v>
      </c>
      <c r="J1859" s="2" t="s">
        <v>10525</v>
      </c>
      <c r="K1859" s="1" t="s">
        <v>10525</v>
      </c>
      <c r="L1859" s="1" t="s">
        <v>8951</v>
      </c>
      <c r="M1859" s="1">
        <v>236257</v>
      </c>
      <c r="N1859" s="1" t="s">
        <v>8953</v>
      </c>
      <c r="O1859" s="1" t="s">
        <v>8954</v>
      </c>
      <c r="P1859" s="1" t="s">
        <v>8955</v>
      </c>
      <c r="Q1859" s="1" t="s">
        <v>8956</v>
      </c>
      <c r="R1859" s="1" t="s">
        <v>8975</v>
      </c>
      <c r="S1859" s="1" t="s">
        <v>19874</v>
      </c>
      <c r="T1859" s="1" t="s">
        <v>7</v>
      </c>
      <c r="U1859" s="1" t="s">
        <v>686</v>
      </c>
    </row>
    <row r="1860" spans="1:21" x14ac:dyDescent="0.2">
      <c r="A1860" s="88" t="s">
        <v>17543</v>
      </c>
      <c r="B1860" s="88" t="e">
        <f>VLOOKUP(C1860,#REF!,1,0)</f>
        <v>#REF!</v>
      </c>
      <c r="C1860" s="1" t="s">
        <v>6224</v>
      </c>
      <c r="D1860" s="1" t="s">
        <v>6225</v>
      </c>
      <c r="E1860" s="1" t="s">
        <v>9380</v>
      </c>
      <c r="F1860" s="1" t="s">
        <v>8957</v>
      </c>
      <c r="G1860" t="s">
        <v>8959</v>
      </c>
      <c r="H1860" s="1" t="s">
        <v>9075</v>
      </c>
      <c r="I1860" s="1" t="s">
        <v>8959</v>
      </c>
      <c r="J1860" s="2" t="s">
        <v>10525</v>
      </c>
      <c r="K1860" s="1" t="s">
        <v>21650</v>
      </c>
      <c r="L1860" s="1" t="s">
        <v>8987</v>
      </c>
      <c r="M1860" s="1">
        <v>1348</v>
      </c>
      <c r="N1860" s="1" t="s">
        <v>8953</v>
      </c>
      <c r="O1860" s="1" t="s">
        <v>8954</v>
      </c>
      <c r="P1860" s="1" t="s">
        <v>8955</v>
      </c>
      <c r="Q1860" s="1" t="s">
        <v>8956</v>
      </c>
      <c r="R1860" s="1" t="s">
        <v>9103</v>
      </c>
      <c r="S1860" s="1" t="s">
        <v>19875</v>
      </c>
      <c r="T1860" s="1" t="s">
        <v>17</v>
      </c>
      <c r="U1860" s="1" t="s">
        <v>74</v>
      </c>
    </row>
    <row r="1861" spans="1:21" x14ac:dyDescent="0.2">
      <c r="A1861" s="88" t="s">
        <v>17545</v>
      </c>
      <c r="B1861" s="88" t="e">
        <f>VLOOKUP(C1861,#REF!,1,0)</f>
        <v>#REF!</v>
      </c>
      <c r="C1861" s="1" t="s">
        <v>6228</v>
      </c>
      <c r="D1861" s="1" t="s">
        <v>6229</v>
      </c>
      <c r="E1861" s="1" t="s">
        <v>9642</v>
      </c>
      <c r="F1861" s="1" t="s">
        <v>9060</v>
      </c>
      <c r="G1861" t="s">
        <v>9061</v>
      </c>
      <c r="H1861" s="1" t="s">
        <v>9100</v>
      </c>
      <c r="I1861" s="1" t="s">
        <v>8998</v>
      </c>
      <c r="J1861" s="2" t="s">
        <v>20779</v>
      </c>
      <c r="K1861" s="1" t="s">
        <v>9036</v>
      </c>
      <c r="L1861" s="1" t="s">
        <v>8951</v>
      </c>
      <c r="M1861" s="1">
        <v>188</v>
      </c>
      <c r="N1861" s="1" t="s">
        <v>9059</v>
      </c>
      <c r="O1861" s="1" t="s">
        <v>8954</v>
      </c>
      <c r="P1861" s="1" t="s">
        <v>8955</v>
      </c>
      <c r="Q1861" s="1" t="s">
        <v>8956</v>
      </c>
      <c r="R1861" s="1" t="s">
        <v>8975</v>
      </c>
      <c r="S1861" s="1" t="s">
        <v>19877</v>
      </c>
      <c r="T1861" s="1" t="s">
        <v>7</v>
      </c>
      <c r="U1861" s="1" t="s">
        <v>126</v>
      </c>
    </row>
    <row r="1862" spans="1:21" x14ac:dyDescent="0.2">
      <c r="A1862" s="88" t="s">
        <v>17546</v>
      </c>
      <c r="B1862" s="88" t="e">
        <f>VLOOKUP(C1862,#REF!,1,0)</f>
        <v>#REF!</v>
      </c>
      <c r="C1862" s="1" t="s">
        <v>6230</v>
      </c>
      <c r="D1862" s="1" t="s">
        <v>6231</v>
      </c>
      <c r="E1862" s="1" t="s">
        <v>9010</v>
      </c>
      <c r="F1862" s="1" t="s">
        <v>8959</v>
      </c>
      <c r="G1862" t="s">
        <v>9183</v>
      </c>
      <c r="H1862" s="1" t="s">
        <v>9049</v>
      </c>
      <c r="I1862" s="1" t="s">
        <v>9121</v>
      </c>
      <c r="J1862" s="2" t="s">
        <v>10178</v>
      </c>
      <c r="K1862" s="1" t="s">
        <v>21524</v>
      </c>
      <c r="L1862" s="1" t="s">
        <v>9292</v>
      </c>
      <c r="M1862" s="1">
        <v>1000</v>
      </c>
      <c r="N1862" s="1" t="s">
        <v>8953</v>
      </c>
      <c r="O1862" s="1" t="s">
        <v>8989</v>
      </c>
      <c r="P1862" s="1" t="s">
        <v>8955</v>
      </c>
      <c r="Q1862" s="1" t="s">
        <v>8956</v>
      </c>
      <c r="R1862" s="1" t="s">
        <v>8958</v>
      </c>
      <c r="S1862" s="1" t="s">
        <v>6232</v>
      </c>
      <c r="T1862" s="1" t="s">
        <v>11</v>
      </c>
      <c r="U1862" s="1" t="s">
        <v>1110</v>
      </c>
    </row>
    <row r="1863" spans="1:21" x14ac:dyDescent="0.2">
      <c r="A1863" s="88" t="s">
        <v>17547</v>
      </c>
      <c r="B1863" s="88" t="e">
        <f>VLOOKUP(C1863,#REF!,1,0)</f>
        <v>#REF!</v>
      </c>
      <c r="C1863" s="1" t="s">
        <v>6233</v>
      </c>
      <c r="D1863" s="1" t="s">
        <v>6234</v>
      </c>
      <c r="E1863" s="1" t="s">
        <v>20911</v>
      </c>
      <c r="F1863" s="1" t="s">
        <v>8957</v>
      </c>
      <c r="G1863" t="s">
        <v>8959</v>
      </c>
      <c r="H1863" s="1" t="s">
        <v>9035</v>
      </c>
      <c r="I1863" s="1" t="s">
        <v>8998</v>
      </c>
      <c r="J1863" s="2" t="s">
        <v>21318</v>
      </c>
      <c r="K1863" s="1" t="s">
        <v>21314</v>
      </c>
      <c r="L1863" s="1" t="s">
        <v>21600</v>
      </c>
      <c r="M1863" s="1">
        <v>1010</v>
      </c>
      <c r="N1863" s="1" t="s">
        <v>9059</v>
      </c>
      <c r="O1863" s="1" t="s">
        <v>8954</v>
      </c>
      <c r="P1863" s="1" t="s">
        <v>8955</v>
      </c>
      <c r="Q1863" s="1" t="s">
        <v>8956</v>
      </c>
      <c r="R1863" s="1" t="s">
        <v>9103</v>
      </c>
      <c r="S1863" s="1" t="s">
        <v>19878</v>
      </c>
      <c r="T1863" s="1" t="s">
        <v>7</v>
      </c>
      <c r="U1863" s="1" t="s">
        <v>97</v>
      </c>
    </row>
    <row r="1864" spans="1:21" x14ac:dyDescent="0.2">
      <c r="A1864" s="88" t="s">
        <v>17548</v>
      </c>
      <c r="B1864" s="88" t="e">
        <f>VLOOKUP(C1864,#REF!,1,0)</f>
        <v>#REF!</v>
      </c>
      <c r="C1864" s="1" t="s">
        <v>6235</v>
      </c>
      <c r="D1864" s="1" t="s">
        <v>6236</v>
      </c>
      <c r="E1864" s="1" t="s">
        <v>20911</v>
      </c>
      <c r="F1864" s="1" t="s">
        <v>8957</v>
      </c>
      <c r="G1864" t="s">
        <v>8959</v>
      </c>
      <c r="H1864" s="1" t="s">
        <v>20803</v>
      </c>
      <c r="I1864" s="1" t="s">
        <v>8959</v>
      </c>
      <c r="J1864" s="2" t="s">
        <v>21423</v>
      </c>
      <c r="K1864" s="1" t="s">
        <v>21423</v>
      </c>
      <c r="L1864" s="1" t="s">
        <v>21600</v>
      </c>
      <c r="M1864" s="1">
        <v>10000</v>
      </c>
      <c r="N1864" s="1" t="s">
        <v>8953</v>
      </c>
      <c r="O1864" s="1" t="s">
        <v>8989</v>
      </c>
      <c r="P1864" s="1" t="s">
        <v>8955</v>
      </c>
      <c r="Q1864" s="1" t="s">
        <v>8956</v>
      </c>
      <c r="R1864" s="1" t="s">
        <v>8958</v>
      </c>
      <c r="S1864" s="1" t="s">
        <v>19879</v>
      </c>
      <c r="T1864" s="1" t="s">
        <v>17</v>
      </c>
      <c r="U1864" s="1" t="s">
        <v>2082</v>
      </c>
    </row>
    <row r="1865" spans="1:21" x14ac:dyDescent="0.2">
      <c r="A1865" s="88" t="s">
        <v>17549</v>
      </c>
      <c r="B1865" s="88" t="e">
        <f>VLOOKUP(C1865,#REF!,1,0)</f>
        <v>#REF!</v>
      </c>
      <c r="C1865" s="1" t="s">
        <v>6237</v>
      </c>
      <c r="D1865" s="1" t="s">
        <v>6238</v>
      </c>
      <c r="E1865" s="1" t="s">
        <v>9246</v>
      </c>
      <c r="F1865" s="1" t="s">
        <v>8959</v>
      </c>
      <c r="G1865" t="s">
        <v>9061</v>
      </c>
      <c r="H1865" s="1" t="s">
        <v>9252</v>
      </c>
      <c r="I1865" s="1" t="s">
        <v>9253</v>
      </c>
      <c r="J1865" s="2" t="s">
        <v>9036</v>
      </c>
      <c r="K1865" s="1" t="s">
        <v>9036</v>
      </c>
      <c r="L1865" s="1" t="s">
        <v>9292</v>
      </c>
      <c r="M1865" s="1">
        <v>27000</v>
      </c>
      <c r="N1865" s="1" t="s">
        <v>8953</v>
      </c>
      <c r="O1865" s="1" t="s">
        <v>8954</v>
      </c>
      <c r="P1865" s="1" t="s">
        <v>8955</v>
      </c>
      <c r="Q1865" s="1" t="s">
        <v>8956</v>
      </c>
      <c r="R1865" s="1" t="s">
        <v>8975</v>
      </c>
      <c r="S1865" s="1" t="s">
        <v>6239</v>
      </c>
      <c r="T1865" s="1" t="s">
        <v>17</v>
      </c>
      <c r="U1865" s="1" t="s">
        <v>147</v>
      </c>
    </row>
    <row r="1866" spans="1:21" x14ac:dyDescent="0.2">
      <c r="A1866" s="88" t="s">
        <v>17550</v>
      </c>
      <c r="B1866" s="88" t="e">
        <f>VLOOKUP(C1866,#REF!,1,0)</f>
        <v>#REF!</v>
      </c>
      <c r="C1866" s="1" t="s">
        <v>6240</v>
      </c>
      <c r="D1866" s="1" t="s">
        <v>6241</v>
      </c>
      <c r="E1866" s="1" t="s">
        <v>9246</v>
      </c>
      <c r="F1866" s="1" t="s">
        <v>8974</v>
      </c>
      <c r="G1866" t="s">
        <v>9061</v>
      </c>
      <c r="H1866" s="1" t="s">
        <v>9252</v>
      </c>
      <c r="I1866" s="1" t="s">
        <v>9253</v>
      </c>
      <c r="J1866" s="2" t="s">
        <v>9036</v>
      </c>
      <c r="K1866" s="1" t="s">
        <v>9036</v>
      </c>
      <c r="L1866" s="1" t="s">
        <v>9076</v>
      </c>
      <c r="M1866" s="1">
        <v>2071</v>
      </c>
      <c r="N1866" s="1" t="s">
        <v>8953</v>
      </c>
      <c r="O1866" s="1" t="s">
        <v>8989</v>
      </c>
      <c r="P1866" s="1" t="s">
        <v>8955</v>
      </c>
      <c r="Q1866" s="1" t="s">
        <v>8956</v>
      </c>
      <c r="R1866" s="1" t="s">
        <v>8975</v>
      </c>
      <c r="S1866" s="1" t="s">
        <v>6242</v>
      </c>
      <c r="T1866" s="1" t="s">
        <v>11</v>
      </c>
      <c r="U1866" s="1" t="s">
        <v>6243</v>
      </c>
    </row>
    <row r="1867" spans="1:21" x14ac:dyDescent="0.2">
      <c r="A1867" s="88" t="s">
        <v>17551</v>
      </c>
      <c r="B1867" s="88" t="e">
        <f>VLOOKUP(C1867,#REF!,1,0)</f>
        <v>#REF!</v>
      </c>
      <c r="C1867" s="1" t="s">
        <v>6250</v>
      </c>
      <c r="D1867" s="1" t="s">
        <v>6251</v>
      </c>
      <c r="E1867" s="1" t="s">
        <v>18502</v>
      </c>
      <c r="F1867" s="1" t="s">
        <v>8957</v>
      </c>
      <c r="G1867" t="s">
        <v>8959</v>
      </c>
      <c r="H1867" s="1" t="s">
        <v>9035</v>
      </c>
      <c r="I1867" s="1" t="s">
        <v>9308</v>
      </c>
      <c r="J1867" s="2" t="s">
        <v>20727</v>
      </c>
      <c r="K1867" s="1" t="s">
        <v>21728</v>
      </c>
      <c r="L1867" s="1" t="s">
        <v>8987</v>
      </c>
      <c r="M1867" s="1">
        <v>112120</v>
      </c>
      <c r="N1867" s="1" t="s">
        <v>8953</v>
      </c>
      <c r="O1867" s="1" t="s">
        <v>8954</v>
      </c>
      <c r="P1867" s="1" t="s">
        <v>8955</v>
      </c>
      <c r="Q1867" s="1" t="s">
        <v>8956</v>
      </c>
      <c r="R1867" s="1" t="s">
        <v>9103</v>
      </c>
      <c r="S1867" s="1" t="s">
        <v>19881</v>
      </c>
      <c r="T1867" s="1" t="s">
        <v>7</v>
      </c>
      <c r="U1867" s="1" t="s">
        <v>93</v>
      </c>
    </row>
    <row r="1868" spans="1:21" x14ac:dyDescent="0.2">
      <c r="A1868" s="88" t="s">
        <v>17552</v>
      </c>
      <c r="B1868" s="88" t="e">
        <f>VLOOKUP(C1868,#REF!,1,0)</f>
        <v>#REF!</v>
      </c>
      <c r="C1868" s="1" t="s">
        <v>6252</v>
      </c>
      <c r="D1868" s="1" t="s">
        <v>6253</v>
      </c>
      <c r="E1868" s="1" t="s">
        <v>9327</v>
      </c>
      <c r="F1868" s="1" t="s">
        <v>8957</v>
      </c>
      <c r="G1868" t="s">
        <v>8959</v>
      </c>
      <c r="H1868" s="1" t="s">
        <v>9252</v>
      </c>
      <c r="I1868" s="1" t="s">
        <v>8985</v>
      </c>
      <c r="J1868" s="2" t="s">
        <v>14074</v>
      </c>
      <c r="K1868" s="1" t="s">
        <v>14074</v>
      </c>
      <c r="L1868" s="1" t="s">
        <v>8987</v>
      </c>
      <c r="M1868" s="1">
        <v>174</v>
      </c>
      <c r="N1868" s="1" t="s">
        <v>8953</v>
      </c>
      <c r="O1868" s="1" t="s">
        <v>8989</v>
      </c>
      <c r="P1868" s="1" t="s">
        <v>8955</v>
      </c>
      <c r="Q1868" s="1" t="s">
        <v>8956</v>
      </c>
      <c r="R1868" s="1" t="s">
        <v>8958</v>
      </c>
      <c r="S1868" s="1" t="s">
        <v>6254</v>
      </c>
      <c r="T1868" s="1" t="s">
        <v>4</v>
      </c>
      <c r="U1868" s="1" t="s">
        <v>1028</v>
      </c>
    </row>
    <row r="1869" spans="1:21" x14ac:dyDescent="0.2">
      <c r="A1869" s="88">
        <v>1</v>
      </c>
      <c r="B1869" s="88" t="e">
        <f>VLOOKUP(C1869,#REF!,1,0)</f>
        <v>#REF!</v>
      </c>
      <c r="C1869" s="1" t="s">
        <v>6255</v>
      </c>
      <c r="D1869" s="1" t="s">
        <v>6256</v>
      </c>
      <c r="E1869" s="1" t="s">
        <v>10032</v>
      </c>
      <c r="F1869" s="1" t="e">
        <v>#N/A</v>
      </c>
      <c r="G1869" t="s">
        <v>8959</v>
      </c>
      <c r="H1869" s="1" t="s">
        <v>9605</v>
      </c>
      <c r="I1869" s="1" t="s">
        <v>8971</v>
      </c>
      <c r="J1869" s="2" t="s">
        <v>10492</v>
      </c>
      <c r="K1869" s="1" t="s">
        <v>10492</v>
      </c>
      <c r="L1869" s="1" t="s">
        <v>9133</v>
      </c>
      <c r="M1869" s="1">
        <v>1311</v>
      </c>
      <c r="N1869" s="1" t="s">
        <v>8953</v>
      </c>
      <c r="O1869" s="1" t="s">
        <v>8954</v>
      </c>
      <c r="P1869" s="1" t="s">
        <v>8955</v>
      </c>
      <c r="Q1869" s="1" t="s">
        <v>8956</v>
      </c>
      <c r="R1869" s="1" t="s">
        <v>8975</v>
      </c>
      <c r="S1869" s="1" t="s">
        <v>19882</v>
      </c>
      <c r="T1869" s="1" t="s">
        <v>7</v>
      </c>
      <c r="U1869" s="1"/>
    </row>
    <row r="1870" spans="1:21" x14ac:dyDescent="0.2">
      <c r="A1870" s="88" t="s">
        <v>17553</v>
      </c>
      <c r="B1870" s="88" t="e">
        <f>VLOOKUP(C1870,#REF!,1,0)</f>
        <v>#REF!</v>
      </c>
      <c r="C1870" s="1" t="s">
        <v>6257</v>
      </c>
      <c r="D1870" s="1" t="s">
        <v>6258</v>
      </c>
      <c r="E1870" s="1" t="s">
        <v>20858</v>
      </c>
      <c r="F1870" s="1" t="s">
        <v>8974</v>
      </c>
      <c r="G1870" t="s">
        <v>8959</v>
      </c>
      <c r="H1870" s="1" t="s">
        <v>9100</v>
      </c>
      <c r="I1870" s="1" t="s">
        <v>9101</v>
      </c>
      <c r="J1870" s="2" t="s">
        <v>10492</v>
      </c>
      <c r="K1870" s="1" t="s">
        <v>10492</v>
      </c>
      <c r="L1870" s="1" t="s">
        <v>9076</v>
      </c>
      <c r="M1870" s="1">
        <v>17</v>
      </c>
      <c r="N1870" s="1" t="s">
        <v>9059</v>
      </c>
      <c r="O1870" s="1" t="s">
        <v>8989</v>
      </c>
      <c r="P1870" s="1" t="s">
        <v>8955</v>
      </c>
      <c r="Q1870" s="1" t="s">
        <v>8956</v>
      </c>
      <c r="R1870" s="1" t="s">
        <v>8975</v>
      </c>
      <c r="S1870" s="1" t="s">
        <v>19883</v>
      </c>
      <c r="T1870" s="1" t="s">
        <v>17</v>
      </c>
      <c r="U1870" s="1" t="s">
        <v>164</v>
      </c>
    </row>
    <row r="1871" spans="1:21" x14ac:dyDescent="0.2">
      <c r="A1871" s="88" t="s">
        <v>17554</v>
      </c>
      <c r="B1871" s="88" t="e">
        <f>VLOOKUP(C1871,#REF!,1,0)</f>
        <v>#REF!</v>
      </c>
      <c r="C1871" s="1" t="s">
        <v>6259</v>
      </c>
      <c r="D1871" s="1" t="s">
        <v>6260</v>
      </c>
      <c r="E1871" s="1" t="s">
        <v>10032</v>
      </c>
      <c r="F1871" s="1" t="s">
        <v>8957</v>
      </c>
      <c r="G1871" t="s">
        <v>8959</v>
      </c>
      <c r="H1871" s="1" t="s">
        <v>8984</v>
      </c>
      <c r="I1871" s="1" t="s">
        <v>9131</v>
      </c>
      <c r="J1871" s="2" t="s">
        <v>20838</v>
      </c>
      <c r="K1871" s="1" t="s">
        <v>20755</v>
      </c>
      <c r="L1871" s="1" t="s">
        <v>21600</v>
      </c>
      <c r="M1871" s="1">
        <v>3000</v>
      </c>
      <c r="N1871" s="1" t="s">
        <v>8953</v>
      </c>
      <c r="O1871" s="1" t="s">
        <v>8989</v>
      </c>
      <c r="P1871" s="1" t="s">
        <v>8955</v>
      </c>
      <c r="Q1871" s="1" t="s">
        <v>8956</v>
      </c>
      <c r="R1871" s="1" t="s">
        <v>9103</v>
      </c>
      <c r="S1871" s="1" t="s">
        <v>19884</v>
      </c>
      <c r="T1871" s="1" t="s">
        <v>17</v>
      </c>
      <c r="U1871" s="1" t="s">
        <v>6261</v>
      </c>
    </row>
    <row r="1872" spans="1:21" x14ac:dyDescent="0.2">
      <c r="A1872" s="88" t="s">
        <v>17555</v>
      </c>
      <c r="B1872" s="88" t="e">
        <f>VLOOKUP(C1872,#REF!,1,0)</f>
        <v>#REF!</v>
      </c>
      <c r="C1872" s="1" t="s">
        <v>6262</v>
      </c>
      <c r="D1872" s="1" t="s">
        <v>6263</v>
      </c>
      <c r="E1872" s="1" t="s">
        <v>20976</v>
      </c>
      <c r="F1872" s="1" t="s">
        <v>8957</v>
      </c>
      <c r="G1872" t="s">
        <v>8959</v>
      </c>
      <c r="H1872" s="1" t="s">
        <v>9100</v>
      </c>
      <c r="I1872" s="1" t="s">
        <v>12453</v>
      </c>
      <c r="J1872" s="2" t="s">
        <v>20779</v>
      </c>
      <c r="K1872" s="1" t="s">
        <v>9036</v>
      </c>
      <c r="L1872" s="1" t="s">
        <v>8951</v>
      </c>
      <c r="M1872" s="1">
        <v>49</v>
      </c>
      <c r="N1872" s="1" t="s">
        <v>9059</v>
      </c>
      <c r="O1872" s="1" t="s">
        <v>8989</v>
      </c>
      <c r="P1872" s="1" t="s">
        <v>8955</v>
      </c>
      <c r="Q1872" s="1" t="s">
        <v>8956</v>
      </c>
      <c r="R1872" s="1" t="s">
        <v>8958</v>
      </c>
      <c r="S1872" s="1" t="s">
        <v>19885</v>
      </c>
      <c r="T1872" s="1" t="s">
        <v>17</v>
      </c>
      <c r="U1872" s="1" t="s">
        <v>74</v>
      </c>
    </row>
    <row r="1873" spans="1:21" x14ac:dyDescent="0.2">
      <c r="A1873" s="88" t="s">
        <v>17556</v>
      </c>
      <c r="B1873" s="88" t="e">
        <f>VLOOKUP(C1873,#REF!,1,0)</f>
        <v>#REF!</v>
      </c>
      <c r="C1873" s="1" t="s">
        <v>6264</v>
      </c>
      <c r="D1873" s="1" t="s">
        <v>6265</v>
      </c>
      <c r="E1873" s="1" t="s">
        <v>9317</v>
      </c>
      <c r="F1873" s="1" t="s">
        <v>8957</v>
      </c>
      <c r="G1873" t="s">
        <v>8959</v>
      </c>
      <c r="H1873" s="1" t="s">
        <v>9100</v>
      </c>
      <c r="I1873" s="1" t="s">
        <v>9131</v>
      </c>
      <c r="J1873" s="2" t="s">
        <v>9051</v>
      </c>
      <c r="K1873" s="1" t="s">
        <v>21784</v>
      </c>
      <c r="L1873" s="1" t="s">
        <v>8951</v>
      </c>
      <c r="M1873" s="1">
        <v>25</v>
      </c>
      <c r="N1873" s="1" t="s">
        <v>8953</v>
      </c>
      <c r="O1873" s="1" t="s">
        <v>8989</v>
      </c>
      <c r="P1873" s="1" t="s">
        <v>8955</v>
      </c>
      <c r="Q1873" s="1" t="s">
        <v>8956</v>
      </c>
      <c r="R1873" s="1" t="s">
        <v>8975</v>
      </c>
      <c r="S1873" s="1" t="s">
        <v>6266</v>
      </c>
      <c r="T1873" s="1" t="s">
        <v>11</v>
      </c>
      <c r="U1873" s="1" t="s">
        <v>64</v>
      </c>
    </row>
    <row r="1874" spans="1:21" x14ac:dyDescent="0.2">
      <c r="A1874" s="95" t="s">
        <v>20978</v>
      </c>
      <c r="B1874" s="88" t="e">
        <f>VLOOKUP(C1874,#REF!,1,0)</f>
        <v>#REF!</v>
      </c>
      <c r="C1874" s="1" t="s">
        <v>20977</v>
      </c>
      <c r="D1874" s="1" t="s">
        <v>6267</v>
      </c>
      <c r="E1874" s="1" t="s">
        <v>10049</v>
      </c>
      <c r="F1874" s="1" t="s">
        <v>8959</v>
      </c>
      <c r="G1874" t="s">
        <v>8959</v>
      </c>
      <c r="H1874" s="1" t="s">
        <v>9075</v>
      </c>
      <c r="I1874" s="1" t="s">
        <v>8949</v>
      </c>
      <c r="J1874" s="2" t="s">
        <v>21214</v>
      </c>
      <c r="K1874" s="1" t="s">
        <v>21869</v>
      </c>
      <c r="L1874" s="1" t="s">
        <v>8987</v>
      </c>
      <c r="M1874" s="1">
        <v>283578</v>
      </c>
      <c r="N1874" s="1" t="s">
        <v>8953</v>
      </c>
      <c r="O1874" s="1" t="s">
        <v>8989</v>
      </c>
      <c r="P1874" s="1" t="s">
        <v>8955</v>
      </c>
      <c r="Q1874" s="1" t="s">
        <v>8956</v>
      </c>
      <c r="R1874" s="1" t="s">
        <v>8958</v>
      </c>
      <c r="S1874" s="1" t="s">
        <v>19886</v>
      </c>
      <c r="T1874" s="1" t="s">
        <v>7</v>
      </c>
      <c r="U1874" s="1" t="s">
        <v>61</v>
      </c>
    </row>
    <row r="1875" spans="1:21" x14ac:dyDescent="0.2">
      <c r="A1875" s="88" t="s">
        <v>17557</v>
      </c>
      <c r="B1875" s="88" t="e">
        <f>VLOOKUP(C1875,#REF!,1,0)</f>
        <v>#REF!</v>
      </c>
      <c r="C1875" s="1" t="s">
        <v>6268</v>
      </c>
      <c r="D1875" s="1" t="s">
        <v>6269</v>
      </c>
      <c r="E1875" s="1" t="s">
        <v>9010</v>
      </c>
      <c r="F1875" s="1" t="s">
        <v>8957</v>
      </c>
      <c r="G1875" t="s">
        <v>9061</v>
      </c>
      <c r="H1875" s="1" t="s">
        <v>8984</v>
      </c>
      <c r="I1875" s="1" t="s">
        <v>8998</v>
      </c>
      <c r="J1875" s="2" t="s">
        <v>10930</v>
      </c>
      <c r="K1875" s="1" t="s">
        <v>10930</v>
      </c>
      <c r="L1875" s="1" t="s">
        <v>21600</v>
      </c>
      <c r="M1875" s="1">
        <v>82</v>
      </c>
      <c r="N1875" s="1" t="s">
        <v>8953</v>
      </c>
      <c r="O1875" s="1" t="s">
        <v>8989</v>
      </c>
      <c r="P1875" s="1" t="s">
        <v>8955</v>
      </c>
      <c r="Q1875" s="1" t="s">
        <v>8956</v>
      </c>
      <c r="R1875" s="1" t="s">
        <v>8958</v>
      </c>
      <c r="S1875" s="1" t="s">
        <v>6270</v>
      </c>
      <c r="T1875" s="1" t="s">
        <v>11</v>
      </c>
      <c r="U1875" s="1" t="s">
        <v>126</v>
      </c>
    </row>
    <row r="1876" spans="1:21" x14ac:dyDescent="0.2">
      <c r="A1876" s="88" t="s">
        <v>17558</v>
      </c>
      <c r="B1876" s="88" t="e">
        <f>VLOOKUP(C1876,#REF!,1,0)</f>
        <v>#REF!</v>
      </c>
      <c r="C1876" s="1" t="s">
        <v>6271</v>
      </c>
      <c r="D1876" s="1" t="s">
        <v>6272</v>
      </c>
      <c r="E1876" s="1" t="s">
        <v>9333</v>
      </c>
      <c r="F1876" s="1" t="s">
        <v>9060</v>
      </c>
      <c r="G1876" t="s">
        <v>8959</v>
      </c>
      <c r="H1876" s="1" t="s">
        <v>8984</v>
      </c>
      <c r="I1876" s="1" t="s">
        <v>8998</v>
      </c>
      <c r="J1876" s="2" t="s">
        <v>9436</v>
      </c>
      <c r="K1876" s="1" t="s">
        <v>9436</v>
      </c>
      <c r="L1876" s="1" t="s">
        <v>21600</v>
      </c>
      <c r="M1876" s="1">
        <v>150</v>
      </c>
      <c r="N1876" s="1" t="s">
        <v>8953</v>
      </c>
      <c r="O1876" s="1" t="s">
        <v>8954</v>
      </c>
      <c r="P1876" s="1" t="s">
        <v>8955</v>
      </c>
      <c r="Q1876" s="1" t="s">
        <v>8956</v>
      </c>
      <c r="R1876" s="1" t="s">
        <v>8975</v>
      </c>
      <c r="S1876" s="1" t="s">
        <v>6273</v>
      </c>
      <c r="T1876" s="1" t="s">
        <v>11</v>
      </c>
      <c r="U1876" s="1" t="s">
        <v>43</v>
      </c>
    </row>
    <row r="1877" spans="1:21" x14ac:dyDescent="0.2">
      <c r="A1877" s="88" t="s">
        <v>17559</v>
      </c>
      <c r="B1877" s="88" t="e">
        <f>VLOOKUP(C1877,#REF!,1,0)</f>
        <v>#REF!</v>
      </c>
      <c r="C1877" s="1" t="s">
        <v>6274</v>
      </c>
      <c r="D1877" s="1" t="s">
        <v>6275</v>
      </c>
      <c r="E1877" s="1" t="s">
        <v>9317</v>
      </c>
      <c r="F1877" s="1" t="s">
        <v>8957</v>
      </c>
      <c r="G1877" t="s">
        <v>8959</v>
      </c>
      <c r="H1877" s="1" t="s">
        <v>8948</v>
      </c>
      <c r="I1877" s="1" t="s">
        <v>8949</v>
      </c>
      <c r="J1877" s="2" t="s">
        <v>9036</v>
      </c>
      <c r="K1877" s="1" t="s">
        <v>9036</v>
      </c>
      <c r="L1877" s="1" t="s">
        <v>21600</v>
      </c>
      <c r="M1877" s="1">
        <v>75</v>
      </c>
      <c r="N1877" s="1" t="s">
        <v>8953</v>
      </c>
      <c r="O1877" s="1" t="s">
        <v>8954</v>
      </c>
      <c r="P1877" s="1" t="s">
        <v>8955</v>
      </c>
      <c r="Q1877" s="1" t="s">
        <v>8956</v>
      </c>
      <c r="R1877" s="1" t="s">
        <v>8958</v>
      </c>
      <c r="S1877" s="1" t="s">
        <v>6276</v>
      </c>
      <c r="T1877" s="1" t="s">
        <v>17</v>
      </c>
      <c r="U1877" s="1" t="s">
        <v>392</v>
      </c>
    </row>
    <row r="1878" spans="1:21" x14ac:dyDescent="0.2">
      <c r="A1878" s="88" t="s">
        <v>17560</v>
      </c>
      <c r="B1878" s="88" t="e">
        <f>VLOOKUP(C1878,#REF!,1,0)</f>
        <v>#REF!</v>
      </c>
      <c r="C1878" s="1" t="s">
        <v>6277</v>
      </c>
      <c r="D1878" s="1" t="s">
        <v>6278</v>
      </c>
      <c r="E1878" s="1" t="s">
        <v>18502</v>
      </c>
      <c r="F1878" s="1" t="s">
        <v>8957</v>
      </c>
      <c r="G1878" t="s">
        <v>8959</v>
      </c>
      <c r="H1878" s="1" t="s">
        <v>8984</v>
      </c>
      <c r="I1878" s="1" t="s">
        <v>8985</v>
      </c>
      <c r="J1878" s="2" t="s">
        <v>21430</v>
      </c>
      <c r="K1878" s="1" t="s">
        <v>21423</v>
      </c>
      <c r="L1878" s="1" t="s">
        <v>21600</v>
      </c>
      <c r="M1878" s="1">
        <v>2050</v>
      </c>
      <c r="N1878" s="1" t="s">
        <v>20915</v>
      </c>
      <c r="O1878" s="1" t="s">
        <v>8954</v>
      </c>
      <c r="P1878" s="1" t="s">
        <v>8955</v>
      </c>
      <c r="Q1878" s="1" t="s">
        <v>8956</v>
      </c>
      <c r="R1878" s="1" t="s">
        <v>8975</v>
      </c>
      <c r="S1878" s="1" t="s">
        <v>19887</v>
      </c>
      <c r="T1878" s="1" t="s">
        <v>7</v>
      </c>
      <c r="U1878" s="1" t="s">
        <v>5204</v>
      </c>
    </row>
    <row r="1879" spans="1:21" x14ac:dyDescent="0.2">
      <c r="A1879" s="88" t="s">
        <v>17561</v>
      </c>
      <c r="B1879" s="88" t="e">
        <f>VLOOKUP(C1879,#REF!,1,0)</f>
        <v>#REF!</v>
      </c>
      <c r="C1879" s="1" t="s">
        <v>6279</v>
      </c>
      <c r="D1879" s="1" t="s">
        <v>6280</v>
      </c>
      <c r="E1879" s="1" t="s">
        <v>9815</v>
      </c>
      <c r="F1879" s="1" t="s">
        <v>8959</v>
      </c>
      <c r="G1879" t="s">
        <v>8959</v>
      </c>
      <c r="H1879" s="1" t="s">
        <v>9035</v>
      </c>
      <c r="I1879" s="1" t="s">
        <v>8998</v>
      </c>
      <c r="J1879" s="2" t="s">
        <v>10492</v>
      </c>
      <c r="K1879" s="1" t="s">
        <v>10492</v>
      </c>
      <c r="L1879" s="1" t="s">
        <v>21600</v>
      </c>
      <c r="M1879" s="1">
        <v>55</v>
      </c>
      <c r="N1879" s="1" t="s">
        <v>9059</v>
      </c>
      <c r="O1879" s="1" t="s">
        <v>8989</v>
      </c>
      <c r="P1879" s="1" t="s">
        <v>8955</v>
      </c>
      <c r="Q1879" s="1" t="s">
        <v>8956</v>
      </c>
      <c r="R1879" s="1" t="s">
        <v>9103</v>
      </c>
      <c r="S1879" s="1" t="s">
        <v>19888</v>
      </c>
      <c r="T1879" s="1" t="s">
        <v>7</v>
      </c>
      <c r="U1879" s="1" t="s">
        <v>46</v>
      </c>
    </row>
    <row r="1880" spans="1:21" x14ac:dyDescent="0.2">
      <c r="A1880" s="88" t="s">
        <v>17562</v>
      </c>
      <c r="B1880" s="88" t="e">
        <f>VLOOKUP(C1880,#REF!,1,0)</f>
        <v>#REF!</v>
      </c>
      <c r="C1880" s="1" t="s">
        <v>6281</v>
      </c>
      <c r="D1880" s="1" t="s">
        <v>6282</v>
      </c>
      <c r="E1880" s="1" t="s">
        <v>9246</v>
      </c>
      <c r="F1880" s="1" t="s">
        <v>8959</v>
      </c>
      <c r="G1880" t="s">
        <v>8959</v>
      </c>
      <c r="H1880" s="1" t="s">
        <v>9035</v>
      </c>
      <c r="I1880" s="1" t="s">
        <v>8971</v>
      </c>
      <c r="J1880" s="2" t="s">
        <v>21386</v>
      </c>
      <c r="K1880" s="1" t="s">
        <v>21386</v>
      </c>
      <c r="L1880" s="1" t="s">
        <v>8987</v>
      </c>
      <c r="M1880" s="1">
        <v>58924</v>
      </c>
      <c r="N1880" s="1" t="s">
        <v>8953</v>
      </c>
      <c r="O1880" s="1" t="s">
        <v>8954</v>
      </c>
      <c r="P1880" s="1" t="s">
        <v>8955</v>
      </c>
      <c r="Q1880" s="1" t="s">
        <v>8956</v>
      </c>
      <c r="R1880" s="1" t="s">
        <v>8975</v>
      </c>
      <c r="S1880" s="1" t="s">
        <v>19889</v>
      </c>
      <c r="T1880" s="1" t="s">
        <v>7</v>
      </c>
      <c r="U1880" s="1" t="s">
        <v>61</v>
      </c>
    </row>
    <row r="1881" spans="1:21" x14ac:dyDescent="0.2">
      <c r="A1881" s="88" t="s">
        <v>17563</v>
      </c>
      <c r="B1881" s="88" t="e">
        <f>VLOOKUP(C1881,#REF!,1,0)</f>
        <v>#REF!</v>
      </c>
      <c r="C1881" s="1" t="s">
        <v>6283</v>
      </c>
      <c r="D1881" s="1" t="s">
        <v>6284</v>
      </c>
      <c r="E1881" s="1" t="s">
        <v>9380</v>
      </c>
      <c r="F1881" s="1" t="s">
        <v>8957</v>
      </c>
      <c r="G1881" t="s">
        <v>8959</v>
      </c>
      <c r="H1881" s="1" t="s">
        <v>9154</v>
      </c>
      <c r="I1881" s="1" t="s">
        <v>9308</v>
      </c>
      <c r="J1881" s="2" t="s">
        <v>21575</v>
      </c>
      <c r="K1881" s="1" t="s">
        <v>21575</v>
      </c>
      <c r="L1881" s="1" t="s">
        <v>9076</v>
      </c>
      <c r="M1881" s="1">
        <v>310</v>
      </c>
      <c r="N1881" s="1" t="s">
        <v>11658</v>
      </c>
      <c r="O1881" s="1" t="s">
        <v>8989</v>
      </c>
      <c r="P1881" s="1" t="s">
        <v>8955</v>
      </c>
      <c r="Q1881" s="1" t="s">
        <v>8956</v>
      </c>
      <c r="R1881" s="1" t="s">
        <v>9103</v>
      </c>
      <c r="S1881" s="1" t="s">
        <v>19890</v>
      </c>
      <c r="T1881" s="1" t="s">
        <v>7</v>
      </c>
      <c r="U1881" s="1" t="s">
        <v>46</v>
      </c>
    </row>
    <row r="1882" spans="1:21" x14ac:dyDescent="0.2">
      <c r="A1882" s="88" t="s">
        <v>17564</v>
      </c>
      <c r="B1882" s="88" t="e">
        <f>VLOOKUP(C1882,#REF!,1,0)</f>
        <v>#REF!</v>
      </c>
      <c r="C1882" s="1" t="s">
        <v>6285</v>
      </c>
      <c r="D1882" s="1" t="s">
        <v>6286</v>
      </c>
      <c r="E1882" s="1" t="s">
        <v>18502</v>
      </c>
      <c r="F1882" s="1" t="s">
        <v>8957</v>
      </c>
      <c r="G1882" t="s">
        <v>8959</v>
      </c>
      <c r="H1882" s="1" t="s">
        <v>9605</v>
      </c>
      <c r="I1882" s="1" t="s">
        <v>9101</v>
      </c>
      <c r="J1882" s="2" t="s">
        <v>21205</v>
      </c>
      <c r="K1882" s="1" t="s">
        <v>21205</v>
      </c>
      <c r="L1882" s="1" t="s">
        <v>9076</v>
      </c>
      <c r="M1882" s="1">
        <v>99395</v>
      </c>
      <c r="N1882" s="1" t="s">
        <v>8953</v>
      </c>
      <c r="O1882" s="1" t="s">
        <v>8954</v>
      </c>
      <c r="P1882" s="1" t="s">
        <v>8955</v>
      </c>
      <c r="Q1882" s="1" t="s">
        <v>8956</v>
      </c>
      <c r="R1882" s="1" t="s">
        <v>9103</v>
      </c>
      <c r="S1882" s="1" t="s">
        <v>19891</v>
      </c>
      <c r="T1882" s="1" t="s">
        <v>17</v>
      </c>
      <c r="U1882" s="1" t="s">
        <v>493</v>
      </c>
    </row>
    <row r="1883" spans="1:21" x14ac:dyDescent="0.2">
      <c r="A1883" s="88" t="s">
        <v>17565</v>
      </c>
      <c r="B1883" s="88" t="e">
        <f>VLOOKUP(C1883,#REF!,1,0)</f>
        <v>#REF!</v>
      </c>
      <c r="C1883" s="1" t="s">
        <v>6287</v>
      </c>
      <c r="D1883" s="1" t="s">
        <v>6288</v>
      </c>
      <c r="E1883" s="1" t="s">
        <v>9387</v>
      </c>
      <c r="F1883" s="1" t="s">
        <v>8957</v>
      </c>
      <c r="G1883" t="s">
        <v>8959</v>
      </c>
      <c r="H1883" s="1" t="s">
        <v>9191</v>
      </c>
      <c r="I1883" s="1" t="s">
        <v>9101</v>
      </c>
      <c r="J1883" s="2" t="s">
        <v>9386</v>
      </c>
      <c r="K1883" s="1" t="s">
        <v>9386</v>
      </c>
      <c r="L1883" s="1" t="s">
        <v>8987</v>
      </c>
      <c r="M1883" s="1">
        <v>1228</v>
      </c>
      <c r="N1883" s="1" t="s">
        <v>8953</v>
      </c>
      <c r="O1883" s="1" t="s">
        <v>8954</v>
      </c>
      <c r="P1883" s="1" t="s">
        <v>8955</v>
      </c>
      <c r="Q1883" s="1" t="s">
        <v>8956</v>
      </c>
      <c r="R1883" s="1" t="s">
        <v>8975</v>
      </c>
      <c r="S1883" s="1" t="s">
        <v>6289</v>
      </c>
      <c r="T1883" s="1" t="s">
        <v>17</v>
      </c>
      <c r="U1883" s="1" t="s">
        <v>126</v>
      </c>
    </row>
    <row r="1884" spans="1:21" x14ac:dyDescent="0.2">
      <c r="A1884" s="88" t="s">
        <v>17566</v>
      </c>
      <c r="B1884" s="88" t="e">
        <f>VLOOKUP(C1884,#REF!,1,0)</f>
        <v>#REF!</v>
      </c>
      <c r="C1884" s="1" t="s">
        <v>6294</v>
      </c>
      <c r="D1884" s="1" t="s">
        <v>6295</v>
      </c>
      <c r="E1884" s="1" t="s">
        <v>9010</v>
      </c>
      <c r="F1884" s="1" t="s">
        <v>8957</v>
      </c>
      <c r="G1884" t="s">
        <v>8959</v>
      </c>
      <c r="H1884" s="1" t="s">
        <v>9092</v>
      </c>
      <c r="I1884" s="1" t="s">
        <v>9308</v>
      </c>
      <c r="J1884" s="2" t="s">
        <v>13439</v>
      </c>
      <c r="K1884" s="1" t="s">
        <v>13439</v>
      </c>
      <c r="L1884" s="1" t="s">
        <v>9292</v>
      </c>
      <c r="M1884" s="1">
        <v>974</v>
      </c>
      <c r="N1884" s="1" t="s">
        <v>8953</v>
      </c>
      <c r="O1884" s="1" t="s">
        <v>8989</v>
      </c>
      <c r="P1884" s="1" t="s">
        <v>8955</v>
      </c>
      <c r="Q1884" s="1" t="s">
        <v>8956</v>
      </c>
      <c r="R1884" s="1" t="s">
        <v>8975</v>
      </c>
      <c r="S1884" s="1" t="s">
        <v>6296</v>
      </c>
      <c r="T1884" s="1" t="s">
        <v>4</v>
      </c>
      <c r="U1884" s="1" t="s">
        <v>46</v>
      </c>
    </row>
    <row r="1885" spans="1:21" x14ac:dyDescent="0.2">
      <c r="A1885" s="88" t="s">
        <v>17567</v>
      </c>
      <c r="B1885" s="88" t="e">
        <f>VLOOKUP(C1885,#REF!,1,0)</f>
        <v>#REF!</v>
      </c>
      <c r="C1885" s="1" t="s">
        <v>6297</v>
      </c>
      <c r="D1885" s="1" t="s">
        <v>6298</v>
      </c>
      <c r="E1885" s="1" t="s">
        <v>10873</v>
      </c>
      <c r="F1885" s="1" t="s">
        <v>8957</v>
      </c>
      <c r="G1885" t="s">
        <v>9061</v>
      </c>
      <c r="H1885" s="1" t="s">
        <v>9154</v>
      </c>
      <c r="I1885" s="1" t="s">
        <v>8949</v>
      </c>
      <c r="J1885" s="2" t="s">
        <v>20779</v>
      </c>
      <c r="K1885" s="1" t="s">
        <v>9036</v>
      </c>
      <c r="L1885" s="1" t="s">
        <v>21600</v>
      </c>
      <c r="M1885" s="1">
        <v>6004</v>
      </c>
      <c r="N1885" s="1" t="s">
        <v>9059</v>
      </c>
      <c r="O1885" s="1" t="s">
        <v>8954</v>
      </c>
      <c r="P1885" s="1" t="s">
        <v>8955</v>
      </c>
      <c r="Q1885" s="1" t="s">
        <v>8956</v>
      </c>
      <c r="R1885" s="1" t="s">
        <v>8975</v>
      </c>
      <c r="S1885" s="1" t="s">
        <v>19893</v>
      </c>
      <c r="T1885" s="1" t="s">
        <v>7</v>
      </c>
      <c r="U1885" s="1" t="s">
        <v>652</v>
      </c>
    </row>
    <row r="1886" spans="1:21" x14ac:dyDescent="0.2">
      <c r="A1886" s="88" t="s">
        <v>17568</v>
      </c>
      <c r="B1886" s="88" t="e">
        <f>VLOOKUP(C1886,#REF!,1,0)</f>
        <v>#REF!</v>
      </c>
      <c r="C1886" s="1" t="s">
        <v>6299</v>
      </c>
      <c r="D1886" s="1" t="s">
        <v>6300</v>
      </c>
      <c r="E1886" s="1" t="s">
        <v>9317</v>
      </c>
      <c r="F1886" s="1" t="s">
        <v>8957</v>
      </c>
      <c r="G1886" t="s">
        <v>8959</v>
      </c>
      <c r="H1886" s="1" t="s">
        <v>8984</v>
      </c>
      <c r="I1886" s="1" t="s">
        <v>8998</v>
      </c>
      <c r="J1886" s="2" t="s">
        <v>10218</v>
      </c>
      <c r="K1886" s="1" t="s">
        <v>10218</v>
      </c>
      <c r="L1886" s="1" t="s">
        <v>9076</v>
      </c>
      <c r="M1886" s="1">
        <v>60</v>
      </c>
      <c r="N1886" s="1" t="s">
        <v>8953</v>
      </c>
      <c r="O1886" s="1" t="s">
        <v>8954</v>
      </c>
      <c r="P1886" s="1" t="s">
        <v>8955</v>
      </c>
      <c r="Q1886" s="1" t="s">
        <v>8956</v>
      </c>
      <c r="R1886" s="1" t="s">
        <v>8975</v>
      </c>
      <c r="S1886" s="1" t="s">
        <v>6301</v>
      </c>
      <c r="T1886" s="1" t="s">
        <v>17</v>
      </c>
      <c r="U1886" s="1" t="s">
        <v>64</v>
      </c>
    </row>
    <row r="1887" spans="1:21" x14ac:dyDescent="0.2">
      <c r="A1887" s="88" t="s">
        <v>17569</v>
      </c>
      <c r="B1887" s="88" t="e">
        <f>VLOOKUP(C1887,#REF!,1,0)</f>
        <v>#REF!</v>
      </c>
      <c r="C1887" s="1" t="s">
        <v>6302</v>
      </c>
      <c r="D1887" s="1" t="s">
        <v>6303</v>
      </c>
      <c r="E1887" s="1" t="s">
        <v>9010</v>
      </c>
      <c r="F1887" s="1" t="s">
        <v>8957</v>
      </c>
      <c r="G1887" t="s">
        <v>8959</v>
      </c>
      <c r="H1887" s="1" t="s">
        <v>9049</v>
      </c>
      <c r="I1887" s="1" t="s">
        <v>9325</v>
      </c>
      <c r="J1887" s="2" t="s">
        <v>9018</v>
      </c>
      <c r="K1887" s="1" t="s">
        <v>21762</v>
      </c>
      <c r="L1887" s="1" t="s">
        <v>9464</v>
      </c>
      <c r="M1887" s="1">
        <v>640</v>
      </c>
      <c r="N1887" s="1" t="s">
        <v>8953</v>
      </c>
      <c r="O1887" s="1" t="s">
        <v>8989</v>
      </c>
      <c r="P1887" s="1" t="s">
        <v>8955</v>
      </c>
      <c r="Q1887" s="1" t="s">
        <v>8956</v>
      </c>
      <c r="R1887" s="1" t="s">
        <v>8958</v>
      </c>
      <c r="S1887" s="1" t="s">
        <v>6304</v>
      </c>
      <c r="T1887" s="1" t="s">
        <v>17</v>
      </c>
      <c r="U1887" s="1" t="s">
        <v>396</v>
      </c>
    </row>
    <row r="1888" spans="1:21" x14ac:dyDescent="0.2">
      <c r="A1888" s="88" t="s">
        <v>17570</v>
      </c>
      <c r="B1888" s="88" t="e">
        <f>VLOOKUP(C1888,#REF!,1,0)</f>
        <v>#REF!</v>
      </c>
      <c r="C1888" s="1" t="s">
        <v>6305</v>
      </c>
      <c r="D1888" s="1" t="s">
        <v>6306</v>
      </c>
      <c r="E1888" s="1" t="s">
        <v>10873</v>
      </c>
      <c r="F1888" s="1" t="s">
        <v>8957</v>
      </c>
      <c r="G1888" t="s">
        <v>8959</v>
      </c>
      <c r="H1888" s="1" t="s">
        <v>9075</v>
      </c>
      <c r="I1888" s="1" t="s">
        <v>8971</v>
      </c>
      <c r="J1888" s="2" t="s">
        <v>10492</v>
      </c>
      <c r="K1888" s="1" t="s">
        <v>10492</v>
      </c>
      <c r="L1888" s="1" t="s">
        <v>8951</v>
      </c>
      <c r="M1888" s="1">
        <v>65</v>
      </c>
      <c r="N1888" s="1" t="s">
        <v>9059</v>
      </c>
      <c r="O1888" s="1" t="s">
        <v>8954</v>
      </c>
      <c r="P1888" s="1" t="s">
        <v>8955</v>
      </c>
      <c r="Q1888" s="1" t="s">
        <v>8956</v>
      </c>
      <c r="R1888" s="1" t="s">
        <v>8958</v>
      </c>
      <c r="S1888" s="1" t="s">
        <v>19894</v>
      </c>
      <c r="T1888" s="1" t="s">
        <v>17</v>
      </c>
      <c r="U1888" s="1" t="s">
        <v>378</v>
      </c>
    </row>
    <row r="1889" spans="1:21" x14ac:dyDescent="0.2">
      <c r="A1889" s="88" t="s">
        <v>17571</v>
      </c>
      <c r="B1889" s="88" t="e">
        <f>VLOOKUP(C1889,#REF!,1,0)</f>
        <v>#REF!</v>
      </c>
      <c r="C1889" s="1" t="s">
        <v>6307</v>
      </c>
      <c r="D1889" s="1" t="s">
        <v>6308</v>
      </c>
      <c r="E1889" s="1" t="s">
        <v>9213</v>
      </c>
      <c r="F1889" s="1" t="s">
        <v>9060</v>
      </c>
      <c r="G1889" t="s">
        <v>8959</v>
      </c>
      <c r="H1889" s="1" t="s">
        <v>9100</v>
      </c>
      <c r="I1889" s="1" t="s">
        <v>8949</v>
      </c>
      <c r="J1889" s="2" t="s">
        <v>21388</v>
      </c>
      <c r="K1889" s="1" t="s">
        <v>21371</v>
      </c>
      <c r="L1889" s="1" t="s">
        <v>8987</v>
      </c>
      <c r="M1889" s="1">
        <v>1549</v>
      </c>
      <c r="N1889" s="1" t="s">
        <v>8953</v>
      </c>
      <c r="O1889" s="1" t="s">
        <v>8989</v>
      </c>
      <c r="P1889" s="1" t="s">
        <v>8955</v>
      </c>
      <c r="Q1889" s="1" t="s">
        <v>8956</v>
      </c>
      <c r="R1889" s="1" t="s">
        <v>8975</v>
      </c>
      <c r="S1889" s="1" t="s">
        <v>19895</v>
      </c>
      <c r="T1889" s="1" t="s">
        <v>17</v>
      </c>
      <c r="U1889" s="1" t="s">
        <v>619</v>
      </c>
    </row>
    <row r="1890" spans="1:21" x14ac:dyDescent="0.2">
      <c r="A1890" s="88" t="s">
        <v>17572</v>
      </c>
      <c r="B1890" s="88" t="e">
        <f>VLOOKUP(C1890,#REF!,1,0)</f>
        <v>#REF!</v>
      </c>
      <c r="C1890" s="1" t="s">
        <v>6309</v>
      </c>
      <c r="D1890" s="1" t="s">
        <v>6310</v>
      </c>
      <c r="E1890" s="1" t="s">
        <v>9815</v>
      </c>
      <c r="F1890" s="1" t="s">
        <v>8957</v>
      </c>
      <c r="G1890" t="s">
        <v>9009</v>
      </c>
      <c r="H1890" s="1" t="s">
        <v>9154</v>
      </c>
      <c r="I1890" s="1" t="s">
        <v>9121</v>
      </c>
      <c r="J1890" s="2" t="s">
        <v>9036</v>
      </c>
      <c r="K1890" s="1" t="s">
        <v>9036</v>
      </c>
      <c r="L1890" s="1" t="s">
        <v>21600</v>
      </c>
      <c r="M1890" s="1">
        <v>220</v>
      </c>
      <c r="N1890" s="1" t="s">
        <v>8953</v>
      </c>
      <c r="O1890" s="1" t="s">
        <v>8989</v>
      </c>
      <c r="P1890" s="1" t="s">
        <v>8955</v>
      </c>
      <c r="Q1890" s="1" t="s">
        <v>8956</v>
      </c>
      <c r="R1890" s="1" t="s">
        <v>8958</v>
      </c>
      <c r="S1890" s="1" t="s">
        <v>6311</v>
      </c>
      <c r="T1890" s="1" t="s">
        <v>11</v>
      </c>
      <c r="U1890" s="1" t="s">
        <v>97</v>
      </c>
    </row>
    <row r="1891" spans="1:21" x14ac:dyDescent="0.2">
      <c r="A1891" s="88" t="s">
        <v>17574</v>
      </c>
      <c r="B1891" s="88" t="e">
        <f>VLOOKUP(C1891,#REF!,1,0)</f>
        <v>#REF!</v>
      </c>
      <c r="C1891" s="1" t="s">
        <v>6323</v>
      </c>
      <c r="D1891" s="1" t="s">
        <v>6324</v>
      </c>
      <c r="E1891" s="1" t="s">
        <v>20718</v>
      </c>
      <c r="F1891" s="1" t="s">
        <v>8957</v>
      </c>
      <c r="G1891" t="s">
        <v>8959</v>
      </c>
      <c r="H1891" s="1" t="s">
        <v>9173</v>
      </c>
      <c r="I1891" s="1" t="s">
        <v>9174</v>
      </c>
      <c r="J1891" s="2" t="s">
        <v>21236</v>
      </c>
      <c r="K1891" s="1" t="s">
        <v>21729</v>
      </c>
      <c r="L1891" s="1" t="s">
        <v>8987</v>
      </c>
      <c r="M1891" s="1">
        <v>3279</v>
      </c>
      <c r="N1891" s="1" t="s">
        <v>8953</v>
      </c>
      <c r="O1891" s="1" t="s">
        <v>8954</v>
      </c>
      <c r="P1891" s="1" t="s">
        <v>8955</v>
      </c>
      <c r="Q1891" s="1" t="s">
        <v>8956</v>
      </c>
      <c r="R1891" s="1" t="s">
        <v>9103</v>
      </c>
      <c r="S1891" s="1" t="s">
        <v>19898</v>
      </c>
      <c r="T1891" s="1" t="s">
        <v>17</v>
      </c>
      <c r="U1891" s="1" t="s">
        <v>97</v>
      </c>
    </row>
    <row r="1892" spans="1:21" x14ac:dyDescent="0.2">
      <c r="A1892" s="88" t="s">
        <v>17575</v>
      </c>
      <c r="B1892" s="88" t="e">
        <f>VLOOKUP(C1892,#REF!,1,0)</f>
        <v>#REF!</v>
      </c>
      <c r="C1892" s="1" t="s">
        <v>6325</v>
      </c>
      <c r="D1892" s="1" t="s">
        <v>6326</v>
      </c>
      <c r="E1892" s="1" t="s">
        <v>20718</v>
      </c>
      <c r="F1892" s="1" t="s">
        <v>8957</v>
      </c>
      <c r="G1892" t="s">
        <v>8959</v>
      </c>
      <c r="H1892" s="1" t="s">
        <v>9035</v>
      </c>
      <c r="I1892" s="1" t="s">
        <v>8998</v>
      </c>
      <c r="J1892" s="2" t="s">
        <v>10525</v>
      </c>
      <c r="K1892" s="1" t="s">
        <v>10525</v>
      </c>
      <c r="L1892" s="1" t="s">
        <v>8987</v>
      </c>
      <c r="M1892" s="1">
        <v>244527</v>
      </c>
      <c r="N1892" s="1" t="s">
        <v>8953</v>
      </c>
      <c r="O1892" s="1" t="s">
        <v>8954</v>
      </c>
      <c r="P1892" s="1" t="s">
        <v>8955</v>
      </c>
      <c r="Q1892" s="1" t="s">
        <v>8956</v>
      </c>
      <c r="R1892" s="1" t="s">
        <v>8958</v>
      </c>
      <c r="S1892" s="1" t="s">
        <v>19899</v>
      </c>
      <c r="T1892" s="1" t="s">
        <v>17</v>
      </c>
      <c r="U1892" s="1" t="s">
        <v>97</v>
      </c>
    </row>
    <row r="1893" spans="1:21" x14ac:dyDescent="0.2">
      <c r="A1893" s="88" t="s">
        <v>17576</v>
      </c>
      <c r="B1893" s="88" t="e">
        <f>VLOOKUP(C1893,#REF!,1,0)</f>
        <v>#REF!</v>
      </c>
      <c r="C1893" s="1" t="s">
        <v>6327</v>
      </c>
      <c r="D1893" s="1" t="s">
        <v>6328</v>
      </c>
      <c r="E1893" s="1" t="s">
        <v>10850</v>
      </c>
      <c r="F1893" s="1" t="s">
        <v>8957</v>
      </c>
      <c r="G1893" t="s">
        <v>8959</v>
      </c>
      <c r="H1893" s="1" t="s">
        <v>9075</v>
      </c>
      <c r="I1893" s="1" t="s">
        <v>8959</v>
      </c>
      <c r="J1893" s="2" t="s">
        <v>20723</v>
      </c>
      <c r="K1893" s="1" t="s">
        <v>20723</v>
      </c>
      <c r="L1893" s="1" t="s">
        <v>8951</v>
      </c>
      <c r="M1893" s="1">
        <v>12970</v>
      </c>
      <c r="N1893" s="1" t="s">
        <v>8953</v>
      </c>
      <c r="O1893" s="1" t="s">
        <v>8954</v>
      </c>
      <c r="P1893" s="1" t="s">
        <v>8955</v>
      </c>
      <c r="Q1893" s="1" t="s">
        <v>8956</v>
      </c>
      <c r="R1893" s="1" t="s">
        <v>8975</v>
      </c>
      <c r="S1893" s="1" t="s">
        <v>19900</v>
      </c>
      <c r="T1893" s="1" t="s">
        <v>7</v>
      </c>
      <c r="U1893" s="1" t="s">
        <v>686</v>
      </c>
    </row>
    <row r="1894" spans="1:21" x14ac:dyDescent="0.2">
      <c r="A1894" s="88" t="s">
        <v>17577</v>
      </c>
      <c r="B1894" s="88" t="e">
        <f>VLOOKUP(C1894,#REF!,1,0)</f>
        <v>#REF!</v>
      </c>
      <c r="C1894" s="1" t="s">
        <v>6329</v>
      </c>
      <c r="D1894" s="1" t="s">
        <v>6330</v>
      </c>
      <c r="E1894" s="1" t="s">
        <v>9176</v>
      </c>
      <c r="F1894" s="1" t="s">
        <v>8959</v>
      </c>
      <c r="G1894" t="s">
        <v>8959</v>
      </c>
      <c r="H1894" s="1" t="s">
        <v>9173</v>
      </c>
      <c r="I1894" s="1" t="s">
        <v>9174</v>
      </c>
      <c r="J1894" s="2" t="s">
        <v>21576</v>
      </c>
      <c r="K1894" s="1" t="s">
        <v>21576</v>
      </c>
      <c r="L1894" s="1" t="s">
        <v>8987</v>
      </c>
      <c r="M1894" s="1">
        <v>814</v>
      </c>
      <c r="N1894" s="1" t="s">
        <v>8953</v>
      </c>
      <c r="O1894" s="1" t="s">
        <v>8989</v>
      </c>
      <c r="P1894" s="1" t="s">
        <v>8955</v>
      </c>
      <c r="Q1894" s="1" t="s">
        <v>8956</v>
      </c>
      <c r="R1894" s="1" t="s">
        <v>9103</v>
      </c>
      <c r="S1894" s="1" t="s">
        <v>6331</v>
      </c>
      <c r="T1894" s="1" t="s">
        <v>242</v>
      </c>
      <c r="U1894" s="1" t="s">
        <v>46</v>
      </c>
    </row>
    <row r="1895" spans="1:21" x14ac:dyDescent="0.2">
      <c r="A1895" s="95" t="s">
        <v>20980</v>
      </c>
      <c r="B1895" s="88" t="e">
        <f>VLOOKUP(C1895,#REF!,1,0)</f>
        <v>#REF!</v>
      </c>
      <c r="C1895" s="1" t="s">
        <v>6332</v>
      </c>
      <c r="D1895" s="1" t="s">
        <v>6333</v>
      </c>
      <c r="E1895" s="1" t="s">
        <v>9213</v>
      </c>
      <c r="F1895" s="1" t="s">
        <v>8957</v>
      </c>
      <c r="G1895" t="s">
        <v>8959</v>
      </c>
      <c r="H1895" s="1" t="s">
        <v>9252</v>
      </c>
      <c r="I1895" s="1" t="s">
        <v>18504</v>
      </c>
      <c r="J1895" s="2" t="s">
        <v>20779</v>
      </c>
      <c r="K1895" s="1" t="s">
        <v>9036</v>
      </c>
      <c r="L1895" s="1" t="s">
        <v>9076</v>
      </c>
      <c r="M1895" s="1">
        <v>5000</v>
      </c>
      <c r="N1895" s="1" t="s">
        <v>8953</v>
      </c>
      <c r="O1895" s="1" t="s">
        <v>8989</v>
      </c>
      <c r="P1895" s="1" t="s">
        <v>8955</v>
      </c>
      <c r="Q1895" s="1" t="s">
        <v>8956</v>
      </c>
      <c r="R1895" s="1" t="s">
        <v>8975</v>
      </c>
      <c r="S1895" s="1" t="s">
        <v>19901</v>
      </c>
      <c r="T1895" s="1" t="s">
        <v>7</v>
      </c>
      <c r="U1895" s="1" t="s">
        <v>6334</v>
      </c>
    </row>
    <row r="1896" spans="1:21" x14ac:dyDescent="0.2">
      <c r="A1896" s="88" t="s">
        <v>17578</v>
      </c>
      <c r="B1896" s="88" t="e">
        <f>VLOOKUP(C1896,#REF!,1,0)</f>
        <v>#REF!</v>
      </c>
      <c r="C1896" s="1" t="s">
        <v>6335</v>
      </c>
      <c r="D1896" s="1" t="s">
        <v>6336</v>
      </c>
      <c r="E1896" s="1" t="s">
        <v>18502</v>
      </c>
      <c r="F1896" s="1" t="s">
        <v>8959</v>
      </c>
      <c r="G1896" t="s">
        <v>8959</v>
      </c>
      <c r="H1896" s="1" t="s">
        <v>8984</v>
      </c>
      <c r="I1896" s="1" t="s">
        <v>8959</v>
      </c>
      <c r="J1896" s="2" t="s">
        <v>21449</v>
      </c>
      <c r="K1896" s="1" t="s">
        <v>10629</v>
      </c>
      <c r="L1896" s="1" t="s">
        <v>8951</v>
      </c>
      <c r="M1896" s="1">
        <v>1107</v>
      </c>
      <c r="N1896" s="1" t="s">
        <v>8953</v>
      </c>
      <c r="O1896" s="1" t="s">
        <v>8989</v>
      </c>
      <c r="P1896" s="1" t="s">
        <v>8955</v>
      </c>
      <c r="Q1896" s="1" t="s">
        <v>8956</v>
      </c>
      <c r="R1896" s="1" t="s">
        <v>9103</v>
      </c>
      <c r="S1896" s="1" t="s">
        <v>19902</v>
      </c>
      <c r="T1896" s="1" t="s">
        <v>7</v>
      </c>
      <c r="U1896" s="1" t="s">
        <v>6337</v>
      </c>
    </row>
    <row r="1897" spans="1:21" x14ac:dyDescent="0.2">
      <c r="A1897" s="88" t="s">
        <v>17579</v>
      </c>
      <c r="B1897" s="88" t="e">
        <f>VLOOKUP(C1897,#REF!,1,0)</f>
        <v>#REF!</v>
      </c>
      <c r="C1897" s="1" t="s">
        <v>6338</v>
      </c>
      <c r="D1897" s="1" t="s">
        <v>6339</v>
      </c>
      <c r="E1897" s="1" t="s">
        <v>9010</v>
      </c>
      <c r="F1897" s="1" t="s">
        <v>8957</v>
      </c>
      <c r="G1897" t="s">
        <v>9009</v>
      </c>
      <c r="H1897" s="1" t="s">
        <v>9154</v>
      </c>
      <c r="I1897" s="1" t="s">
        <v>9308</v>
      </c>
      <c r="J1897" s="2" t="s">
        <v>9036</v>
      </c>
      <c r="K1897" s="1" t="s">
        <v>9036</v>
      </c>
      <c r="L1897" s="1" t="s">
        <v>8951</v>
      </c>
      <c r="M1897" s="1">
        <v>300</v>
      </c>
      <c r="N1897" s="1" t="s">
        <v>8953</v>
      </c>
      <c r="O1897" s="1" t="s">
        <v>8954</v>
      </c>
      <c r="P1897" s="1" t="s">
        <v>8955</v>
      </c>
      <c r="Q1897" s="1" t="s">
        <v>8956</v>
      </c>
      <c r="R1897" s="1" t="s">
        <v>9103</v>
      </c>
      <c r="S1897" s="1" t="s">
        <v>6340</v>
      </c>
      <c r="T1897" s="1" t="s">
        <v>11</v>
      </c>
      <c r="U1897" s="1" t="s">
        <v>6341</v>
      </c>
    </row>
    <row r="1898" spans="1:21" x14ac:dyDescent="0.2">
      <c r="A1898" s="88" t="s">
        <v>17581</v>
      </c>
      <c r="B1898" s="88" t="e">
        <f>VLOOKUP(C1898,#REF!,1,0)</f>
        <v>#REF!</v>
      </c>
      <c r="C1898" s="1" t="s">
        <v>6344</v>
      </c>
      <c r="D1898" s="1" t="s">
        <v>6345</v>
      </c>
      <c r="E1898" s="1" t="s">
        <v>9815</v>
      </c>
      <c r="F1898" s="1" t="s">
        <v>8957</v>
      </c>
      <c r="G1898" t="s">
        <v>9009</v>
      </c>
      <c r="H1898" s="1" t="s">
        <v>9252</v>
      </c>
      <c r="I1898" s="1" t="s">
        <v>8985</v>
      </c>
      <c r="J1898" s="2" t="s">
        <v>9245</v>
      </c>
      <c r="K1898" s="1" t="s">
        <v>9245</v>
      </c>
      <c r="L1898" s="1" t="s">
        <v>21600</v>
      </c>
      <c r="M1898" s="1">
        <v>752</v>
      </c>
      <c r="N1898" s="1" t="s">
        <v>8953</v>
      </c>
      <c r="O1898" s="1" t="s">
        <v>8989</v>
      </c>
      <c r="P1898" s="1" t="s">
        <v>8955</v>
      </c>
      <c r="Q1898" s="1" t="s">
        <v>8956</v>
      </c>
      <c r="R1898" s="1" t="s">
        <v>9103</v>
      </c>
      <c r="S1898" s="1" t="s">
        <v>6346</v>
      </c>
      <c r="T1898" s="1" t="s">
        <v>11</v>
      </c>
      <c r="U1898" s="1" t="s">
        <v>625</v>
      </c>
    </row>
    <row r="1899" spans="1:21" x14ac:dyDescent="0.2">
      <c r="A1899" s="88" t="s">
        <v>17582</v>
      </c>
      <c r="B1899" s="88" t="e">
        <f>VLOOKUP(C1899,#REF!,1,0)</f>
        <v>#REF!</v>
      </c>
      <c r="C1899" s="1" t="s">
        <v>6347</v>
      </c>
      <c r="D1899" s="1" t="s">
        <v>6348</v>
      </c>
      <c r="E1899" s="1" t="s">
        <v>18502</v>
      </c>
      <c r="F1899" s="1" t="s">
        <v>9060</v>
      </c>
      <c r="G1899" t="s">
        <v>9009</v>
      </c>
      <c r="H1899" s="1" t="s">
        <v>20714</v>
      </c>
      <c r="I1899" s="1" t="s">
        <v>20725</v>
      </c>
      <c r="J1899" s="2" t="s">
        <v>21265</v>
      </c>
      <c r="K1899" s="1" t="s">
        <v>21648</v>
      </c>
      <c r="L1899" s="1" t="s">
        <v>20856</v>
      </c>
      <c r="M1899" s="1">
        <v>20000</v>
      </c>
      <c r="N1899" s="1" t="s">
        <v>8953</v>
      </c>
      <c r="O1899" s="1" t="s">
        <v>8989</v>
      </c>
      <c r="P1899" s="1" t="s">
        <v>8955</v>
      </c>
      <c r="Q1899" s="1" t="s">
        <v>8956</v>
      </c>
      <c r="R1899" s="1" t="s">
        <v>8958</v>
      </c>
      <c r="S1899" s="1" t="s">
        <v>19904</v>
      </c>
      <c r="T1899" s="1" t="s">
        <v>17</v>
      </c>
      <c r="U1899" s="1" t="s">
        <v>24</v>
      </c>
    </row>
    <row r="1900" spans="1:21" x14ac:dyDescent="0.2">
      <c r="A1900" s="88" t="s">
        <v>17583</v>
      </c>
      <c r="B1900" s="88" t="e">
        <f>VLOOKUP(C1900,#REF!,1,0)</f>
        <v>#REF!</v>
      </c>
      <c r="C1900" s="1" t="s">
        <v>6349</v>
      </c>
      <c r="D1900" s="1" t="s">
        <v>6350</v>
      </c>
      <c r="E1900" s="1" t="s">
        <v>9176</v>
      </c>
      <c r="F1900" s="1" t="s">
        <v>8959</v>
      </c>
      <c r="G1900" t="s">
        <v>9009</v>
      </c>
      <c r="H1900" s="1" t="s">
        <v>9049</v>
      </c>
      <c r="I1900" s="1" t="s">
        <v>9050</v>
      </c>
      <c r="J1900" s="2" t="s">
        <v>9036</v>
      </c>
      <c r="K1900" s="1" t="s">
        <v>9036</v>
      </c>
      <c r="L1900" s="1" t="s">
        <v>9464</v>
      </c>
      <c r="M1900" s="1">
        <v>89</v>
      </c>
      <c r="N1900" s="1" t="s">
        <v>8953</v>
      </c>
      <c r="O1900" s="1" t="s">
        <v>8989</v>
      </c>
      <c r="P1900" s="1" t="s">
        <v>8955</v>
      </c>
      <c r="Q1900" s="1" t="s">
        <v>8956</v>
      </c>
      <c r="R1900" s="1" t="s">
        <v>9103</v>
      </c>
      <c r="S1900" s="1" t="s">
        <v>6351</v>
      </c>
      <c r="T1900" s="1" t="s">
        <v>11</v>
      </c>
      <c r="U1900" s="1" t="s">
        <v>87</v>
      </c>
    </row>
    <row r="1901" spans="1:21" x14ac:dyDescent="0.2">
      <c r="A1901" s="88" t="s">
        <v>17584</v>
      </c>
      <c r="B1901" s="88" t="e">
        <f>VLOOKUP(C1901,#REF!,1,0)</f>
        <v>#REF!</v>
      </c>
      <c r="C1901" s="1" t="s">
        <v>6355</v>
      </c>
      <c r="D1901" s="1" t="s">
        <v>6356</v>
      </c>
      <c r="E1901" s="1" t="s">
        <v>20822</v>
      </c>
      <c r="F1901" s="1" t="s">
        <v>8959</v>
      </c>
      <c r="G1901" t="s">
        <v>8959</v>
      </c>
      <c r="H1901" s="1" t="s">
        <v>9035</v>
      </c>
      <c r="I1901" s="1" t="s">
        <v>9308</v>
      </c>
      <c r="J1901" s="2" t="s">
        <v>18489</v>
      </c>
      <c r="K1901" s="1" t="s">
        <v>21673</v>
      </c>
      <c r="L1901" s="1" t="s">
        <v>8987</v>
      </c>
      <c r="M1901" s="1">
        <v>3435</v>
      </c>
      <c r="N1901" s="1" t="s">
        <v>8953</v>
      </c>
      <c r="O1901" s="1" t="s">
        <v>8954</v>
      </c>
      <c r="P1901" s="1" t="s">
        <v>8955</v>
      </c>
      <c r="Q1901" s="1" t="s">
        <v>8956</v>
      </c>
      <c r="R1901" s="1" t="s">
        <v>8958</v>
      </c>
      <c r="S1901" s="1" t="s">
        <v>19906</v>
      </c>
      <c r="T1901" s="1" t="s">
        <v>7</v>
      </c>
      <c r="U1901" s="1" t="s">
        <v>24</v>
      </c>
    </row>
    <row r="1902" spans="1:21" x14ac:dyDescent="0.2">
      <c r="A1902" s="88" t="s">
        <v>17585</v>
      </c>
      <c r="B1902" s="88" t="e">
        <f>VLOOKUP(C1902,#REF!,1,0)</f>
        <v>#REF!</v>
      </c>
      <c r="C1902" s="1" t="s">
        <v>6357</v>
      </c>
      <c r="D1902" s="1" t="s">
        <v>6358</v>
      </c>
      <c r="E1902" s="1" t="s">
        <v>12908</v>
      </c>
      <c r="F1902" s="1" t="s">
        <v>9060</v>
      </c>
      <c r="G1902" t="s">
        <v>8959</v>
      </c>
      <c r="H1902" s="1" t="s">
        <v>20714</v>
      </c>
      <c r="I1902" s="1" t="s">
        <v>9050</v>
      </c>
      <c r="J1902" s="2" t="s">
        <v>18489</v>
      </c>
      <c r="K1902" s="1" t="s">
        <v>18489</v>
      </c>
      <c r="L1902" s="1" t="s">
        <v>8987</v>
      </c>
      <c r="M1902" s="1">
        <v>41122</v>
      </c>
      <c r="N1902" s="1" t="s">
        <v>8953</v>
      </c>
      <c r="O1902" s="1" t="s">
        <v>8989</v>
      </c>
      <c r="P1902" s="1" t="s">
        <v>8955</v>
      </c>
      <c r="Q1902" s="1" t="s">
        <v>8956</v>
      </c>
      <c r="R1902" s="1" t="s">
        <v>8958</v>
      </c>
      <c r="S1902" s="1" t="s">
        <v>19907</v>
      </c>
      <c r="T1902" s="1" t="s">
        <v>17</v>
      </c>
      <c r="U1902" s="1" t="s">
        <v>24</v>
      </c>
    </row>
    <row r="1903" spans="1:21" x14ac:dyDescent="0.2">
      <c r="A1903" s="88" t="s">
        <v>17586</v>
      </c>
      <c r="B1903" s="88" t="e">
        <f>VLOOKUP(C1903,#REF!,1,0)</f>
        <v>#REF!</v>
      </c>
      <c r="C1903" s="1" t="s">
        <v>6359</v>
      </c>
      <c r="D1903" s="1" t="s">
        <v>6360</v>
      </c>
      <c r="E1903" s="1" t="s">
        <v>9815</v>
      </c>
      <c r="F1903" s="1" t="s">
        <v>8959</v>
      </c>
      <c r="G1903" t="s">
        <v>8959</v>
      </c>
      <c r="H1903" s="1" t="s">
        <v>9252</v>
      </c>
      <c r="I1903" s="1" t="s">
        <v>9101</v>
      </c>
      <c r="J1903" s="2" t="s">
        <v>21577</v>
      </c>
      <c r="K1903" s="1" t="s">
        <v>21799</v>
      </c>
      <c r="L1903" s="1" t="s">
        <v>8987</v>
      </c>
      <c r="M1903" s="1">
        <v>212</v>
      </c>
      <c r="N1903" s="1" t="s">
        <v>8953</v>
      </c>
      <c r="O1903" s="1" t="s">
        <v>8989</v>
      </c>
      <c r="P1903" s="1" t="s">
        <v>8955</v>
      </c>
      <c r="Q1903" s="1" t="s">
        <v>8956</v>
      </c>
      <c r="R1903" s="1" t="s">
        <v>8958</v>
      </c>
      <c r="S1903" s="1" t="s">
        <v>6361</v>
      </c>
      <c r="T1903" s="1" t="s">
        <v>17</v>
      </c>
      <c r="U1903" s="1" t="s">
        <v>2953</v>
      </c>
    </row>
    <row r="1904" spans="1:21" x14ac:dyDescent="0.2">
      <c r="A1904" s="88" t="s">
        <v>17588</v>
      </c>
      <c r="B1904" s="88" t="e">
        <f>VLOOKUP(C1904,#REF!,1,0)</f>
        <v>#REF!</v>
      </c>
      <c r="C1904" s="1" t="s">
        <v>6364</v>
      </c>
      <c r="D1904" s="1" t="s">
        <v>6365</v>
      </c>
      <c r="E1904" s="1" t="s">
        <v>10008</v>
      </c>
      <c r="F1904" s="1" t="s">
        <v>8959</v>
      </c>
      <c r="G1904" t="s">
        <v>8959</v>
      </c>
      <c r="H1904" s="1" t="s">
        <v>9035</v>
      </c>
      <c r="I1904" s="1" t="s">
        <v>8998</v>
      </c>
      <c r="J1904" s="2" t="s">
        <v>20838</v>
      </c>
      <c r="K1904" s="1" t="s">
        <v>20755</v>
      </c>
      <c r="L1904" s="1" t="s">
        <v>9133</v>
      </c>
      <c r="M1904" s="1">
        <v>746</v>
      </c>
      <c r="N1904" s="1" t="s">
        <v>8953</v>
      </c>
      <c r="O1904" s="1" t="s">
        <v>8989</v>
      </c>
      <c r="P1904" s="1" t="s">
        <v>8955</v>
      </c>
      <c r="Q1904" s="1" t="s">
        <v>8956</v>
      </c>
      <c r="R1904" s="1" t="s">
        <v>8958</v>
      </c>
      <c r="S1904" s="1" t="s">
        <v>19909</v>
      </c>
      <c r="T1904" s="1" t="s">
        <v>7</v>
      </c>
      <c r="U1904" s="1" t="s">
        <v>308</v>
      </c>
    </row>
    <row r="1905" spans="1:21" x14ac:dyDescent="0.2">
      <c r="A1905" s="88" t="s">
        <v>17589</v>
      </c>
      <c r="B1905" s="88" t="e">
        <f>VLOOKUP(C1905,#REF!,1,0)</f>
        <v>#REF!</v>
      </c>
      <c r="C1905" s="1" t="s">
        <v>6366</v>
      </c>
      <c r="D1905" s="1" t="s">
        <v>6367</v>
      </c>
      <c r="E1905" s="1" t="s">
        <v>9650</v>
      </c>
      <c r="F1905" s="1" t="s">
        <v>8957</v>
      </c>
      <c r="G1905" t="s">
        <v>8959</v>
      </c>
      <c r="H1905" s="1" t="s">
        <v>9100</v>
      </c>
      <c r="I1905" s="1" t="s">
        <v>8949</v>
      </c>
      <c r="J1905" s="2" t="s">
        <v>10492</v>
      </c>
      <c r="K1905" s="1" t="s">
        <v>21645</v>
      </c>
      <c r="L1905" s="1" t="s">
        <v>8951</v>
      </c>
      <c r="M1905" s="1">
        <v>60</v>
      </c>
      <c r="N1905" s="1" t="s">
        <v>9059</v>
      </c>
      <c r="O1905" s="1" t="s">
        <v>8989</v>
      </c>
      <c r="P1905" s="1" t="s">
        <v>8955</v>
      </c>
      <c r="Q1905" s="1" t="s">
        <v>8956</v>
      </c>
      <c r="R1905" s="1" t="s">
        <v>8975</v>
      </c>
      <c r="S1905" s="1" t="s">
        <v>19910</v>
      </c>
      <c r="T1905" s="1" t="s">
        <v>7</v>
      </c>
      <c r="U1905" s="1" t="s">
        <v>57</v>
      </c>
    </row>
    <row r="1906" spans="1:21" x14ac:dyDescent="0.2">
      <c r="A1906" s="88" t="s">
        <v>17590</v>
      </c>
      <c r="B1906" s="88" t="e">
        <f>VLOOKUP(C1906,#REF!,1,0)</f>
        <v>#REF!</v>
      </c>
      <c r="C1906" s="1" t="s">
        <v>6368</v>
      </c>
      <c r="D1906" s="1" t="s">
        <v>6369</v>
      </c>
      <c r="E1906" s="1" t="s">
        <v>9010</v>
      </c>
      <c r="F1906" s="1" t="s">
        <v>9060</v>
      </c>
      <c r="G1906" t="s">
        <v>9009</v>
      </c>
      <c r="H1906" s="1" t="s">
        <v>9605</v>
      </c>
      <c r="I1906" s="1" t="s">
        <v>9422</v>
      </c>
      <c r="J1906" s="2" t="s">
        <v>9018</v>
      </c>
      <c r="K1906" s="1" t="s">
        <v>9018</v>
      </c>
      <c r="L1906" s="1" t="s">
        <v>9292</v>
      </c>
      <c r="M1906" s="1">
        <v>5455</v>
      </c>
      <c r="N1906" s="1" t="s">
        <v>8953</v>
      </c>
      <c r="O1906" s="1" t="s">
        <v>8989</v>
      </c>
      <c r="P1906" s="1" t="s">
        <v>8955</v>
      </c>
      <c r="Q1906" s="1" t="s">
        <v>8956</v>
      </c>
      <c r="R1906" s="1" t="s">
        <v>8975</v>
      </c>
      <c r="S1906" s="1" t="s">
        <v>6370</v>
      </c>
      <c r="T1906" s="1" t="s">
        <v>11</v>
      </c>
      <c r="U1906" s="1" t="s">
        <v>6371</v>
      </c>
    </row>
    <row r="1907" spans="1:21" x14ac:dyDescent="0.2">
      <c r="A1907" s="88" t="s">
        <v>17591</v>
      </c>
      <c r="B1907" s="88" t="e">
        <f>VLOOKUP(C1907,#REF!,1,0)</f>
        <v>#REF!</v>
      </c>
      <c r="C1907" s="1" t="s">
        <v>6375</v>
      </c>
      <c r="D1907" s="1" t="s">
        <v>6376</v>
      </c>
      <c r="E1907" s="1" t="s">
        <v>18502</v>
      </c>
      <c r="F1907" s="1" t="s">
        <v>8957</v>
      </c>
      <c r="G1907" t="s">
        <v>9061</v>
      </c>
      <c r="H1907" s="1" t="s">
        <v>9252</v>
      </c>
      <c r="I1907" s="1" t="s">
        <v>18504</v>
      </c>
      <c r="J1907" s="2" t="s">
        <v>21237</v>
      </c>
      <c r="K1907" s="1" t="s">
        <v>21730</v>
      </c>
      <c r="L1907" s="1" t="s">
        <v>8987</v>
      </c>
      <c r="M1907" s="1">
        <v>4577</v>
      </c>
      <c r="N1907" s="1" t="s">
        <v>8953</v>
      </c>
      <c r="O1907" s="1" t="s">
        <v>8954</v>
      </c>
      <c r="P1907" s="1" t="s">
        <v>8955</v>
      </c>
      <c r="Q1907" s="1" t="s">
        <v>8956</v>
      </c>
      <c r="R1907" s="1" t="s">
        <v>9103</v>
      </c>
      <c r="S1907" s="1" t="s">
        <v>19912</v>
      </c>
      <c r="T1907" s="1" t="s">
        <v>7</v>
      </c>
      <c r="U1907" s="1" t="s">
        <v>93</v>
      </c>
    </row>
    <row r="1908" spans="1:21" x14ac:dyDescent="0.2">
      <c r="A1908" s="88" t="s">
        <v>17592</v>
      </c>
      <c r="B1908" s="88" t="e">
        <f>VLOOKUP(C1908,#REF!,1,0)</f>
        <v>#REF!</v>
      </c>
      <c r="C1908" s="1" t="s">
        <v>6377</v>
      </c>
      <c r="D1908" s="1" t="s">
        <v>6378</v>
      </c>
      <c r="E1908" s="1" t="s">
        <v>9010</v>
      </c>
      <c r="F1908" s="1" t="s">
        <v>8957</v>
      </c>
      <c r="G1908" t="s">
        <v>9061</v>
      </c>
      <c r="H1908" s="1" t="s">
        <v>9252</v>
      </c>
      <c r="I1908" s="1" t="s">
        <v>9253</v>
      </c>
      <c r="J1908" s="2" t="s">
        <v>9036</v>
      </c>
      <c r="K1908" s="1" t="s">
        <v>9036</v>
      </c>
      <c r="L1908" s="1" t="s">
        <v>9133</v>
      </c>
      <c r="M1908" s="1">
        <f>19632+9120</f>
        <v>28752</v>
      </c>
      <c r="N1908" s="1" t="s">
        <v>8953</v>
      </c>
      <c r="O1908" s="1" t="s">
        <v>8989</v>
      </c>
      <c r="P1908" s="1" t="s">
        <v>8955</v>
      </c>
      <c r="Q1908" s="1" t="s">
        <v>8956</v>
      </c>
      <c r="R1908" s="1" t="s">
        <v>8958</v>
      </c>
      <c r="S1908" s="1" t="s">
        <v>6379</v>
      </c>
      <c r="T1908" s="1" t="s">
        <v>11</v>
      </c>
      <c r="U1908" s="1" t="s">
        <v>378</v>
      </c>
    </row>
    <row r="1909" spans="1:21" x14ac:dyDescent="0.2">
      <c r="A1909" s="88" t="s">
        <v>17593</v>
      </c>
      <c r="B1909" s="88" t="e">
        <f>VLOOKUP(C1909,#REF!,1,0)</f>
        <v>#REF!</v>
      </c>
      <c r="C1909" s="1" t="s">
        <v>6380</v>
      </c>
      <c r="D1909" s="1" t="s">
        <v>6381</v>
      </c>
      <c r="E1909" s="1" t="s">
        <v>18502</v>
      </c>
      <c r="F1909" s="1" t="s">
        <v>8957</v>
      </c>
      <c r="G1909" t="s">
        <v>9061</v>
      </c>
      <c r="H1909" s="1" t="s">
        <v>9252</v>
      </c>
      <c r="I1909" s="1" t="s">
        <v>18504</v>
      </c>
      <c r="J1909" s="2" t="s">
        <v>21196</v>
      </c>
      <c r="K1909" s="1" t="s">
        <v>21648</v>
      </c>
      <c r="L1909" s="1" t="s">
        <v>8987</v>
      </c>
      <c r="M1909" s="1">
        <v>3411</v>
      </c>
      <c r="N1909" s="1" t="s">
        <v>8953</v>
      </c>
      <c r="O1909" s="1" t="s">
        <v>8989</v>
      </c>
      <c r="P1909" s="1" t="s">
        <v>8955</v>
      </c>
      <c r="Q1909" s="1" t="s">
        <v>8956</v>
      </c>
      <c r="R1909" s="1" t="s">
        <v>8958</v>
      </c>
      <c r="S1909" s="1" t="s">
        <v>19913</v>
      </c>
      <c r="T1909" s="1" t="s">
        <v>7</v>
      </c>
      <c r="U1909" s="1" t="s">
        <v>378</v>
      </c>
    </row>
    <row r="1910" spans="1:21" x14ac:dyDescent="0.2">
      <c r="A1910" s="88" t="s">
        <v>17594</v>
      </c>
      <c r="B1910" s="88" t="e">
        <f>VLOOKUP(C1910,#REF!,1,0)</f>
        <v>#REF!</v>
      </c>
      <c r="C1910" s="1" t="s">
        <v>15486</v>
      </c>
      <c r="D1910" s="1" t="s">
        <v>6382</v>
      </c>
      <c r="E1910" s="1" t="s">
        <v>18502</v>
      </c>
      <c r="F1910" s="1" t="s">
        <v>8957</v>
      </c>
      <c r="G1910" t="s">
        <v>9009</v>
      </c>
      <c r="H1910" s="1" t="s">
        <v>9100</v>
      </c>
      <c r="I1910" s="1" t="s">
        <v>8949</v>
      </c>
      <c r="J1910" s="2" t="s">
        <v>18489</v>
      </c>
      <c r="K1910" s="1" t="s">
        <v>21673</v>
      </c>
      <c r="L1910" s="1" t="s">
        <v>8951</v>
      </c>
      <c r="M1910" s="1">
        <v>228</v>
      </c>
      <c r="N1910" s="1" t="s">
        <v>9059</v>
      </c>
      <c r="O1910" s="1" t="s">
        <v>8989</v>
      </c>
      <c r="P1910" s="1" t="s">
        <v>8955</v>
      </c>
      <c r="Q1910" s="1" t="s">
        <v>8956</v>
      </c>
      <c r="R1910" s="1" t="s">
        <v>8975</v>
      </c>
      <c r="S1910" s="1" t="s">
        <v>19914</v>
      </c>
      <c r="T1910" s="1" t="s">
        <v>7</v>
      </c>
      <c r="U1910" s="1" t="s">
        <v>110</v>
      </c>
    </row>
    <row r="1911" spans="1:21" x14ac:dyDescent="0.2">
      <c r="A1911" s="88" t="s">
        <v>17595</v>
      </c>
      <c r="B1911" s="88" t="e">
        <f>VLOOKUP(C1911,#REF!,1,0)</f>
        <v>#REF!</v>
      </c>
      <c r="C1911" s="1" t="s">
        <v>6383</v>
      </c>
      <c r="D1911" s="1" t="s">
        <v>6384</v>
      </c>
      <c r="E1911" s="1" t="s">
        <v>9650</v>
      </c>
      <c r="F1911" s="1" t="s">
        <v>8957</v>
      </c>
      <c r="G1911" t="s">
        <v>9183</v>
      </c>
      <c r="H1911" s="1" t="s">
        <v>8984</v>
      </c>
      <c r="I1911" s="1" t="s">
        <v>9131</v>
      </c>
      <c r="J1911" s="2" t="s">
        <v>10492</v>
      </c>
      <c r="K1911" s="1" t="s">
        <v>10492</v>
      </c>
      <c r="L1911" s="1" t="s">
        <v>21600</v>
      </c>
      <c r="M1911" s="1">
        <v>1912</v>
      </c>
      <c r="N1911" s="1" t="s">
        <v>8953</v>
      </c>
      <c r="O1911" s="1" t="s">
        <v>8954</v>
      </c>
      <c r="P1911" s="1" t="s">
        <v>8955</v>
      </c>
      <c r="Q1911" s="1" t="s">
        <v>8956</v>
      </c>
      <c r="R1911" s="1" t="s">
        <v>9103</v>
      </c>
      <c r="S1911" s="1" t="s">
        <v>19915</v>
      </c>
      <c r="T1911" s="1" t="s">
        <v>7</v>
      </c>
      <c r="U1911" s="1" t="s">
        <v>64</v>
      </c>
    </row>
    <row r="1912" spans="1:21" x14ac:dyDescent="0.2">
      <c r="A1912" s="88" t="s">
        <v>17596</v>
      </c>
      <c r="B1912" s="88" t="e">
        <f>VLOOKUP(C1912,#REF!,1,0)</f>
        <v>#REF!</v>
      </c>
      <c r="C1912" s="1" t="s">
        <v>6385</v>
      </c>
      <c r="D1912" s="1" t="s">
        <v>6386</v>
      </c>
      <c r="E1912" s="1" t="s">
        <v>9465</v>
      </c>
      <c r="F1912" s="1" t="s">
        <v>8957</v>
      </c>
      <c r="G1912" t="s">
        <v>9009</v>
      </c>
      <c r="H1912" s="1" t="s">
        <v>9100</v>
      </c>
      <c r="I1912" s="1" t="s">
        <v>8949</v>
      </c>
      <c r="J1912" s="2" t="s">
        <v>20779</v>
      </c>
      <c r="K1912" s="1" t="s">
        <v>9036</v>
      </c>
      <c r="L1912" s="1" t="s">
        <v>21600</v>
      </c>
      <c r="M1912" s="1">
        <v>121</v>
      </c>
      <c r="N1912" s="1" t="s">
        <v>9059</v>
      </c>
      <c r="O1912" s="1" t="s">
        <v>8989</v>
      </c>
      <c r="P1912" s="1" t="s">
        <v>8955</v>
      </c>
      <c r="Q1912" s="1" t="s">
        <v>8956</v>
      </c>
      <c r="R1912" s="1" t="s">
        <v>8975</v>
      </c>
      <c r="S1912" s="1" t="s">
        <v>20677</v>
      </c>
      <c r="T1912" s="1" t="s">
        <v>17</v>
      </c>
      <c r="U1912" s="1" t="s">
        <v>2988</v>
      </c>
    </row>
    <row r="1913" spans="1:21" x14ac:dyDescent="0.2">
      <c r="A1913" s="88" t="s">
        <v>17597</v>
      </c>
      <c r="B1913" s="88" t="e">
        <f>VLOOKUP(C1913,#REF!,1,0)</f>
        <v>#REF!</v>
      </c>
      <c r="C1913" s="1" t="s">
        <v>6387</v>
      </c>
      <c r="D1913" s="1" t="s">
        <v>6388</v>
      </c>
      <c r="E1913" s="1" t="s">
        <v>18502</v>
      </c>
      <c r="F1913" s="1" t="s">
        <v>8957</v>
      </c>
      <c r="G1913" t="s">
        <v>8959</v>
      </c>
      <c r="H1913" s="1" t="s">
        <v>9154</v>
      </c>
      <c r="I1913" s="1" t="s">
        <v>8949</v>
      </c>
      <c r="J1913" s="2" t="s">
        <v>10492</v>
      </c>
      <c r="K1913" s="1" t="s">
        <v>10492</v>
      </c>
      <c r="L1913" s="1" t="s">
        <v>21600</v>
      </c>
      <c r="M1913" s="1">
        <v>70</v>
      </c>
      <c r="N1913" s="1" t="s">
        <v>9059</v>
      </c>
      <c r="O1913" s="1" t="s">
        <v>8989</v>
      </c>
      <c r="P1913" s="1" t="s">
        <v>8955</v>
      </c>
      <c r="Q1913" s="1" t="s">
        <v>8956</v>
      </c>
      <c r="R1913" s="1" t="s">
        <v>9103</v>
      </c>
      <c r="S1913" s="1" t="s">
        <v>20678</v>
      </c>
      <c r="T1913" s="1" t="s">
        <v>7</v>
      </c>
      <c r="U1913" s="1" t="s">
        <v>147</v>
      </c>
    </row>
    <row r="1914" spans="1:21" x14ac:dyDescent="0.2">
      <c r="A1914" s="88" t="s">
        <v>17598</v>
      </c>
      <c r="B1914" s="88" t="e">
        <f>VLOOKUP(C1914,#REF!,1,0)</f>
        <v>#REF!</v>
      </c>
      <c r="C1914" s="1" t="s">
        <v>6389</v>
      </c>
      <c r="D1914" s="1" t="s">
        <v>6390</v>
      </c>
      <c r="E1914" s="1" t="s">
        <v>9010</v>
      </c>
      <c r="F1914" s="1" t="s">
        <v>8957</v>
      </c>
      <c r="G1914" t="s">
        <v>9061</v>
      </c>
      <c r="H1914" s="1" t="s">
        <v>8984</v>
      </c>
      <c r="I1914" s="1" t="s">
        <v>8998</v>
      </c>
      <c r="J1914" s="2" t="s">
        <v>10218</v>
      </c>
      <c r="K1914" s="1" t="s">
        <v>10218</v>
      </c>
      <c r="L1914" s="1" t="s">
        <v>21600</v>
      </c>
      <c r="M1914" s="1">
        <v>335</v>
      </c>
      <c r="N1914" s="1" t="s">
        <v>8953</v>
      </c>
      <c r="O1914" s="1" t="s">
        <v>8954</v>
      </c>
      <c r="P1914" s="1" t="s">
        <v>8955</v>
      </c>
      <c r="Q1914" s="1" t="s">
        <v>8956</v>
      </c>
      <c r="R1914" s="1" t="s">
        <v>8958</v>
      </c>
      <c r="S1914" s="1" t="s">
        <v>6391</v>
      </c>
      <c r="T1914" s="1" t="s">
        <v>17</v>
      </c>
      <c r="U1914" s="1" t="s">
        <v>24</v>
      </c>
    </row>
    <row r="1915" spans="1:21" x14ac:dyDescent="0.2">
      <c r="A1915" s="88" t="s">
        <v>17599</v>
      </c>
      <c r="B1915" s="88" t="e">
        <f>VLOOKUP(C1915,#REF!,1,0)</f>
        <v>#REF!</v>
      </c>
      <c r="C1915" s="1" t="s">
        <v>6392</v>
      </c>
      <c r="D1915" s="1" t="s">
        <v>6393</v>
      </c>
      <c r="E1915" s="1" t="s">
        <v>18502</v>
      </c>
      <c r="F1915" s="1" t="s">
        <v>8959</v>
      </c>
      <c r="G1915" t="s">
        <v>8959</v>
      </c>
      <c r="H1915" s="1" t="s">
        <v>9075</v>
      </c>
      <c r="I1915" s="1" t="s">
        <v>8985</v>
      </c>
      <c r="J1915" s="2" t="s">
        <v>20779</v>
      </c>
      <c r="K1915" s="1" t="s">
        <v>9036</v>
      </c>
      <c r="L1915" s="1" t="s">
        <v>9133</v>
      </c>
      <c r="M1915" s="1">
        <v>2405</v>
      </c>
      <c r="N1915" s="1" t="s">
        <v>9059</v>
      </c>
      <c r="O1915" s="1" t="s">
        <v>8989</v>
      </c>
      <c r="P1915" s="1" t="s">
        <v>8955</v>
      </c>
      <c r="Q1915" s="1" t="s">
        <v>8956</v>
      </c>
      <c r="R1915" s="1" t="s">
        <v>9103</v>
      </c>
      <c r="S1915" s="1" t="s">
        <v>19916</v>
      </c>
      <c r="T1915" s="1" t="s">
        <v>17</v>
      </c>
      <c r="U1915" s="1" t="s">
        <v>6394</v>
      </c>
    </row>
    <row r="1916" spans="1:21" x14ac:dyDescent="0.2">
      <c r="A1916" s="88" t="s">
        <v>17600</v>
      </c>
      <c r="B1916" s="88" t="e">
        <f>VLOOKUP(C1916,#REF!,1,0)</f>
        <v>#REF!</v>
      </c>
      <c r="C1916" s="1" t="s">
        <v>6395</v>
      </c>
      <c r="D1916" s="1" t="s">
        <v>6396</v>
      </c>
      <c r="E1916" s="1" t="s">
        <v>10032</v>
      </c>
      <c r="F1916" s="1" t="s">
        <v>8959</v>
      </c>
      <c r="G1916" t="s">
        <v>8959</v>
      </c>
      <c r="H1916" s="1" t="s">
        <v>9943</v>
      </c>
      <c r="I1916" s="1" t="s">
        <v>8998</v>
      </c>
      <c r="J1916" s="2" t="s">
        <v>9018</v>
      </c>
      <c r="K1916" s="1" t="s">
        <v>9018</v>
      </c>
      <c r="L1916" s="1" t="s">
        <v>8951</v>
      </c>
      <c r="M1916" s="1">
        <v>515</v>
      </c>
      <c r="N1916" s="1" t="s">
        <v>8953</v>
      </c>
      <c r="O1916" s="1" t="s">
        <v>8989</v>
      </c>
      <c r="P1916" s="1" t="s">
        <v>8955</v>
      </c>
      <c r="Q1916" s="1" t="s">
        <v>8956</v>
      </c>
      <c r="R1916" s="1" t="s">
        <v>8975</v>
      </c>
      <c r="S1916" s="1" t="s">
        <v>6397</v>
      </c>
      <c r="T1916" s="1" t="s">
        <v>17</v>
      </c>
      <c r="U1916" s="1" t="s">
        <v>2865</v>
      </c>
    </row>
    <row r="1917" spans="1:21" x14ac:dyDescent="0.2">
      <c r="A1917" s="88" t="s">
        <v>17603</v>
      </c>
      <c r="B1917" s="88" t="e">
        <f>VLOOKUP(C1917,#REF!,1,0)</f>
        <v>#REF!</v>
      </c>
      <c r="C1917" s="1" t="s">
        <v>6406</v>
      </c>
      <c r="D1917" s="1" t="s">
        <v>6407</v>
      </c>
      <c r="E1917" s="1" t="s">
        <v>14748</v>
      </c>
      <c r="F1917" s="1" t="s">
        <v>8957</v>
      </c>
      <c r="G1917" t="s">
        <v>8959</v>
      </c>
      <c r="H1917" s="1" t="s">
        <v>8984</v>
      </c>
      <c r="I1917" s="1" t="s">
        <v>20800</v>
      </c>
      <c r="J1917" s="2" t="s">
        <v>20872</v>
      </c>
      <c r="K1917" s="1" t="s">
        <v>13541</v>
      </c>
      <c r="L1917" s="1" t="s">
        <v>8987</v>
      </c>
      <c r="M1917" s="1">
        <v>3236</v>
      </c>
      <c r="N1917" s="1" t="s">
        <v>8953</v>
      </c>
      <c r="O1917" s="1" t="s">
        <v>8989</v>
      </c>
      <c r="P1917" s="1" t="s">
        <v>8955</v>
      </c>
      <c r="Q1917" s="1" t="s">
        <v>8956</v>
      </c>
      <c r="R1917" s="1" t="s">
        <v>9103</v>
      </c>
      <c r="S1917" s="1" t="s">
        <v>19920</v>
      </c>
      <c r="T1917" s="1" t="s">
        <v>17</v>
      </c>
      <c r="U1917" s="1" t="s">
        <v>61</v>
      </c>
    </row>
    <row r="1918" spans="1:21" x14ac:dyDescent="0.2">
      <c r="A1918" s="88" t="s">
        <v>17604</v>
      </c>
      <c r="B1918" s="88" t="e">
        <f>VLOOKUP(C1918,#REF!,1,0)</f>
        <v>#REF!</v>
      </c>
      <c r="C1918" s="1" t="s">
        <v>6408</v>
      </c>
      <c r="D1918" s="1" t="s">
        <v>21913</v>
      </c>
      <c r="E1918" s="1" t="s">
        <v>9010</v>
      </c>
      <c r="F1918" s="1" t="s">
        <v>8959</v>
      </c>
      <c r="G1918" t="s">
        <v>8959</v>
      </c>
      <c r="H1918" s="1" t="s">
        <v>9605</v>
      </c>
      <c r="I1918" s="1" t="s">
        <v>9121</v>
      </c>
      <c r="J1918" s="2" t="s">
        <v>21915</v>
      </c>
      <c r="K1918" s="1" t="s">
        <v>21914</v>
      </c>
      <c r="L1918" s="1" t="s">
        <v>8951</v>
      </c>
      <c r="M1918" s="1">
        <v>99</v>
      </c>
      <c r="N1918" s="1" t="s">
        <v>11658</v>
      </c>
      <c r="O1918" s="1" t="s">
        <v>8989</v>
      </c>
      <c r="P1918" s="1" t="s">
        <v>8955</v>
      </c>
      <c r="Q1918" s="1" t="s">
        <v>8956</v>
      </c>
      <c r="R1918" s="1" t="s">
        <v>9103</v>
      </c>
      <c r="S1918" s="1" t="s">
        <v>6410</v>
      </c>
      <c r="T1918" s="1" t="s">
        <v>4</v>
      </c>
      <c r="U1918" s="1" t="s">
        <v>61</v>
      </c>
    </row>
    <row r="1919" spans="1:21" x14ac:dyDescent="0.2">
      <c r="A1919" s="88" t="s">
        <v>17605</v>
      </c>
      <c r="B1919" s="88" t="e">
        <f>VLOOKUP(C1919,#REF!,1,0)</f>
        <v>#REF!</v>
      </c>
      <c r="C1919" s="1" t="s">
        <v>6411</v>
      </c>
      <c r="D1919" s="1" t="s">
        <v>6412</v>
      </c>
      <c r="E1919" s="1" t="s">
        <v>12908</v>
      </c>
      <c r="F1919" s="1" t="s">
        <v>8957</v>
      </c>
      <c r="G1919" t="s">
        <v>8959</v>
      </c>
      <c r="H1919" s="1" t="s">
        <v>9092</v>
      </c>
      <c r="I1919" s="1" t="s">
        <v>9325</v>
      </c>
      <c r="J1919" s="2" t="s">
        <v>9036</v>
      </c>
      <c r="K1919" s="1" t="s">
        <v>9036</v>
      </c>
      <c r="L1919" s="1" t="s">
        <v>8951</v>
      </c>
      <c r="M1919" s="1">
        <v>1620</v>
      </c>
      <c r="N1919" s="1" t="s">
        <v>8953</v>
      </c>
      <c r="O1919" s="1" t="s">
        <v>8989</v>
      </c>
      <c r="P1919" s="1" t="s">
        <v>8955</v>
      </c>
      <c r="Q1919" s="1" t="s">
        <v>8956</v>
      </c>
      <c r="R1919" s="1" t="s">
        <v>8975</v>
      </c>
      <c r="S1919" s="1" t="s">
        <v>6413</v>
      </c>
      <c r="T1919" s="1" t="s">
        <v>17</v>
      </c>
      <c r="U1919" s="1" t="s">
        <v>1130</v>
      </c>
    </row>
    <row r="1920" spans="1:21" x14ac:dyDescent="0.2">
      <c r="A1920" s="88" t="s">
        <v>17607</v>
      </c>
      <c r="B1920" s="88" t="e">
        <f>VLOOKUP(C1920,#REF!,1,0)</f>
        <v>#REF!</v>
      </c>
      <c r="C1920" s="1" t="s">
        <v>6425</v>
      </c>
      <c r="D1920" s="1" t="s">
        <v>6426</v>
      </c>
      <c r="E1920" s="1" t="s">
        <v>14748</v>
      </c>
      <c r="F1920" s="1" t="s">
        <v>8959</v>
      </c>
      <c r="G1920" t="s">
        <v>8959</v>
      </c>
      <c r="H1920" s="1" t="s">
        <v>8948</v>
      </c>
      <c r="I1920" s="1" t="s">
        <v>8971</v>
      </c>
      <c r="J1920" s="2" t="s">
        <v>9036</v>
      </c>
      <c r="K1920" s="1" t="s">
        <v>9036</v>
      </c>
      <c r="L1920" s="1" t="s">
        <v>8987</v>
      </c>
      <c r="M1920" s="1">
        <v>501</v>
      </c>
      <c r="N1920" s="1" t="s">
        <v>8953</v>
      </c>
      <c r="O1920" s="1" t="s">
        <v>8989</v>
      </c>
      <c r="P1920" s="1" t="s">
        <v>8955</v>
      </c>
      <c r="Q1920" s="1" t="s">
        <v>8956</v>
      </c>
      <c r="R1920" s="1" t="s">
        <v>8958</v>
      </c>
      <c r="S1920" s="1" t="s">
        <v>6427</v>
      </c>
      <c r="T1920" s="1" t="s">
        <v>17</v>
      </c>
      <c r="U1920" s="1" t="s">
        <v>97</v>
      </c>
    </row>
    <row r="1921" spans="1:21" x14ac:dyDescent="0.2">
      <c r="A1921" s="88" t="s">
        <v>20986</v>
      </c>
      <c r="B1921" s="88" t="e">
        <f>VLOOKUP(C1921,#REF!,1,0)</f>
        <v>#REF!</v>
      </c>
      <c r="C1921" s="1" t="s">
        <v>6428</v>
      </c>
      <c r="D1921" s="1" t="s">
        <v>6429</v>
      </c>
      <c r="E1921" s="1" t="s">
        <v>10049</v>
      </c>
      <c r="F1921" s="1" t="s">
        <v>8959</v>
      </c>
      <c r="G1921" t="s">
        <v>8959</v>
      </c>
      <c r="H1921" s="1" t="s">
        <v>20712</v>
      </c>
      <c r="I1921" s="1" t="s">
        <v>9155</v>
      </c>
      <c r="J1921" s="2" t="s">
        <v>10525</v>
      </c>
      <c r="K1921" s="1" t="s">
        <v>21650</v>
      </c>
      <c r="L1921" s="1" t="s">
        <v>8951</v>
      </c>
      <c r="M1921" s="1">
        <v>410</v>
      </c>
      <c r="N1921" s="1" t="s">
        <v>8953</v>
      </c>
      <c r="O1921" s="1" t="s">
        <v>8954</v>
      </c>
      <c r="P1921" s="1" t="s">
        <v>8955</v>
      </c>
      <c r="Q1921" s="1" t="s">
        <v>8956</v>
      </c>
      <c r="R1921" s="1" t="s">
        <v>8958</v>
      </c>
      <c r="S1921" s="1" t="s">
        <v>19925</v>
      </c>
      <c r="T1921" s="1" t="s">
        <v>7</v>
      </c>
      <c r="U1921" s="1" t="s">
        <v>8</v>
      </c>
    </row>
    <row r="1922" spans="1:21" x14ac:dyDescent="0.2">
      <c r="A1922" s="88" t="s">
        <v>17608</v>
      </c>
      <c r="B1922" s="88" t="e">
        <f>VLOOKUP(C1922,#REF!,1,0)</f>
        <v>#REF!</v>
      </c>
      <c r="C1922" s="1" t="s">
        <v>6430</v>
      </c>
      <c r="D1922" s="1" t="s">
        <v>6431</v>
      </c>
      <c r="E1922" s="1" t="s">
        <v>9333</v>
      </c>
      <c r="F1922" s="1" t="s">
        <v>8957</v>
      </c>
      <c r="G1922" t="s">
        <v>8959</v>
      </c>
      <c r="H1922" s="1" t="s">
        <v>20714</v>
      </c>
      <c r="I1922" s="1" t="s">
        <v>20725</v>
      </c>
      <c r="J1922" s="2" t="s">
        <v>20838</v>
      </c>
      <c r="K1922" s="1" t="s">
        <v>20755</v>
      </c>
      <c r="L1922" s="1" t="s">
        <v>9464</v>
      </c>
      <c r="M1922" s="1">
        <v>10</v>
      </c>
      <c r="N1922" s="1" t="s">
        <v>8953</v>
      </c>
      <c r="O1922" s="1" t="s">
        <v>8989</v>
      </c>
      <c r="P1922" s="1" t="s">
        <v>8955</v>
      </c>
      <c r="Q1922" s="1" t="s">
        <v>8956</v>
      </c>
      <c r="R1922" s="1" t="s">
        <v>8975</v>
      </c>
      <c r="S1922" s="1" t="s">
        <v>19926</v>
      </c>
      <c r="T1922" s="1" t="s">
        <v>7</v>
      </c>
      <c r="U1922" s="1" t="s">
        <v>24</v>
      </c>
    </row>
    <row r="1923" spans="1:21" x14ac:dyDescent="0.2">
      <c r="A1923" s="88" t="s">
        <v>17609</v>
      </c>
      <c r="B1923" s="88"/>
      <c r="C1923" s="1" t="s">
        <v>6432</v>
      </c>
      <c r="D1923" s="1" t="s">
        <v>6433</v>
      </c>
      <c r="E1923" s="1" t="e">
        <v>#N/A</v>
      </c>
      <c r="F1923" s="1" t="e">
        <v>#N/A</v>
      </c>
      <c r="G1923" t="e">
        <v>#N/A</v>
      </c>
      <c r="H1923" s="1" t="e">
        <v>#N/A</v>
      </c>
      <c r="I1923" s="1" t="e">
        <v>#N/A</v>
      </c>
      <c r="J1923" s="2" t="e">
        <v>#N/A</v>
      </c>
      <c r="K1923" s="1" t="e">
        <v>#N/A</v>
      </c>
      <c r="L1923" s="1" t="e">
        <v>#N/A</v>
      </c>
      <c r="M1923" s="1" t="e">
        <v>#N/A</v>
      </c>
      <c r="N1923" s="1" t="e">
        <v>#N/A</v>
      </c>
      <c r="O1923" s="1" t="e">
        <v>#N/A</v>
      </c>
      <c r="P1923" s="1" t="s">
        <v>8955</v>
      </c>
      <c r="Q1923" s="1" t="s">
        <v>8956</v>
      </c>
      <c r="R1923" s="1" t="s">
        <v>8958</v>
      </c>
      <c r="S1923" s="1" t="s">
        <v>19927</v>
      </c>
      <c r="T1923" s="1" t="s">
        <v>252</v>
      </c>
      <c r="U1923" s="1" t="s">
        <v>598</v>
      </c>
    </row>
    <row r="1924" spans="1:21" x14ac:dyDescent="0.2">
      <c r="A1924" s="88" t="s">
        <v>17610</v>
      </c>
      <c r="B1924" s="88" t="e">
        <f>VLOOKUP(C1924,#REF!,1,0)</f>
        <v>#REF!</v>
      </c>
      <c r="C1924" s="1" t="s">
        <v>6434</v>
      </c>
      <c r="D1924" s="1" t="s">
        <v>6435</v>
      </c>
      <c r="E1924" s="1" t="s">
        <v>9010</v>
      </c>
      <c r="F1924" s="1" t="s">
        <v>8959</v>
      </c>
      <c r="G1924" t="s">
        <v>8959</v>
      </c>
      <c r="H1924" s="1" t="s">
        <v>9049</v>
      </c>
      <c r="I1924" s="1" t="s">
        <v>9050</v>
      </c>
      <c r="J1924" s="2" t="s">
        <v>9112</v>
      </c>
      <c r="K1924" s="1" t="s">
        <v>9112</v>
      </c>
      <c r="L1924" s="1" t="s">
        <v>9133</v>
      </c>
      <c r="M1924" s="1">
        <v>3796</v>
      </c>
      <c r="N1924" s="1" t="s">
        <v>8953</v>
      </c>
      <c r="O1924" s="1" t="s">
        <v>8954</v>
      </c>
      <c r="P1924" s="1" t="s">
        <v>8955</v>
      </c>
      <c r="Q1924" s="1" t="s">
        <v>8956</v>
      </c>
      <c r="R1924" s="1" t="s">
        <v>8975</v>
      </c>
      <c r="S1924" s="1" t="s">
        <v>6436</v>
      </c>
      <c r="T1924" s="1" t="s">
        <v>17</v>
      </c>
      <c r="U1924" s="1" t="s">
        <v>447</v>
      </c>
    </row>
    <row r="1925" spans="1:21" x14ac:dyDescent="0.2">
      <c r="A1925" s="88" t="s">
        <v>17611</v>
      </c>
      <c r="B1925" s="88" t="e">
        <f>VLOOKUP(C1925,#REF!,1,0)</f>
        <v>#REF!</v>
      </c>
      <c r="C1925" s="1" t="s">
        <v>6437</v>
      </c>
      <c r="D1925" s="1" t="s">
        <v>6438</v>
      </c>
      <c r="E1925" s="1" t="s">
        <v>10032</v>
      </c>
      <c r="F1925" s="1" t="s">
        <v>8959</v>
      </c>
      <c r="G1925" t="s">
        <v>8959</v>
      </c>
      <c r="H1925" s="1" t="s">
        <v>9075</v>
      </c>
      <c r="I1925" s="1" t="s">
        <v>9121</v>
      </c>
      <c r="J1925" s="2" t="s">
        <v>9018</v>
      </c>
      <c r="K1925" s="1" t="s">
        <v>9018</v>
      </c>
      <c r="L1925" s="1" t="s">
        <v>9076</v>
      </c>
      <c r="M1925" s="1">
        <v>1000</v>
      </c>
      <c r="N1925" s="1" t="s">
        <v>8953</v>
      </c>
      <c r="O1925" s="1" t="s">
        <v>8989</v>
      </c>
      <c r="P1925" s="1" t="s">
        <v>8955</v>
      </c>
      <c r="Q1925" s="1" t="s">
        <v>8956</v>
      </c>
      <c r="R1925" s="1" t="s">
        <v>9103</v>
      </c>
      <c r="S1925" s="1" t="s">
        <v>6439</v>
      </c>
      <c r="T1925" s="1" t="s">
        <v>17</v>
      </c>
      <c r="U1925" s="1" t="s">
        <v>1028</v>
      </c>
    </row>
    <row r="1926" spans="1:21" x14ac:dyDescent="0.2">
      <c r="A1926" s="88" t="s">
        <v>17612</v>
      </c>
      <c r="B1926" s="88" t="e">
        <f>VLOOKUP(C1926,#REF!,1,0)</f>
        <v>#REF!</v>
      </c>
      <c r="C1926" s="1" t="s">
        <v>6440</v>
      </c>
      <c r="D1926" s="1" t="s">
        <v>6441</v>
      </c>
      <c r="E1926" s="1" t="s">
        <v>10049</v>
      </c>
      <c r="F1926" s="1" t="s">
        <v>8959</v>
      </c>
      <c r="G1926" t="s">
        <v>8959</v>
      </c>
      <c r="H1926" s="1" t="s">
        <v>20714</v>
      </c>
      <c r="I1926" s="1" t="s">
        <v>8959</v>
      </c>
      <c r="J1926" s="2" t="s">
        <v>20779</v>
      </c>
      <c r="K1926" s="1" t="s">
        <v>9036</v>
      </c>
      <c r="L1926" s="1" t="s">
        <v>8951</v>
      </c>
      <c r="M1926" s="1">
        <v>600</v>
      </c>
      <c r="N1926" s="1" t="s">
        <v>8953</v>
      </c>
      <c r="O1926" s="1" t="s">
        <v>8989</v>
      </c>
      <c r="P1926" s="1" t="s">
        <v>8955</v>
      </c>
      <c r="Q1926" s="1" t="s">
        <v>8956</v>
      </c>
      <c r="R1926" s="1" t="s">
        <v>9103</v>
      </c>
      <c r="S1926" s="1" t="s">
        <v>19928</v>
      </c>
      <c r="T1926" s="1" t="s">
        <v>7</v>
      </c>
      <c r="U1926" s="1" t="s">
        <v>6442</v>
      </c>
    </row>
    <row r="1927" spans="1:21" x14ac:dyDescent="0.2">
      <c r="A1927" s="88" t="s">
        <v>17613</v>
      </c>
      <c r="B1927" s="88" t="e">
        <f>VLOOKUP(C1927,#REF!,1,0)</f>
        <v>#REF!</v>
      </c>
      <c r="C1927" s="1" t="s">
        <v>6443</v>
      </c>
      <c r="D1927" s="1" t="s">
        <v>6444</v>
      </c>
      <c r="E1927" s="1" t="s">
        <v>18502</v>
      </c>
      <c r="F1927" s="1" t="s">
        <v>9060</v>
      </c>
      <c r="G1927" t="s">
        <v>8959</v>
      </c>
      <c r="H1927" s="1" t="s">
        <v>9252</v>
      </c>
      <c r="I1927" s="1" t="s">
        <v>18504</v>
      </c>
      <c r="J1927" s="2" t="s">
        <v>10381</v>
      </c>
      <c r="K1927" s="1" t="s">
        <v>10381</v>
      </c>
      <c r="L1927" s="1" t="s">
        <v>9133</v>
      </c>
      <c r="M1927" s="1">
        <v>310809</v>
      </c>
      <c r="N1927" s="1" t="s">
        <v>8953</v>
      </c>
      <c r="O1927" s="1" t="s">
        <v>8954</v>
      </c>
      <c r="P1927" s="1" t="s">
        <v>8955</v>
      </c>
      <c r="Q1927" s="1" t="s">
        <v>8956</v>
      </c>
      <c r="R1927" s="1" t="s">
        <v>8975</v>
      </c>
      <c r="S1927" s="1" t="s">
        <v>20679</v>
      </c>
      <c r="T1927" s="1" t="s">
        <v>7</v>
      </c>
      <c r="U1927" s="1" t="s">
        <v>1918</v>
      </c>
    </row>
    <row r="1928" spans="1:21" x14ac:dyDescent="0.2">
      <c r="A1928" s="88" t="s">
        <v>17614</v>
      </c>
      <c r="B1928" s="88" t="e">
        <f>VLOOKUP(C1928,#REF!,1,0)</f>
        <v>#REF!</v>
      </c>
      <c r="C1928" s="1" t="s">
        <v>6445</v>
      </c>
      <c r="D1928" s="1" t="s">
        <v>6446</v>
      </c>
      <c r="E1928" s="1" t="s">
        <v>18502</v>
      </c>
      <c r="F1928" s="1" t="s">
        <v>8957</v>
      </c>
      <c r="G1928" t="s">
        <v>8959</v>
      </c>
      <c r="H1928" s="1" t="s">
        <v>20714</v>
      </c>
      <c r="I1928" s="1" t="s">
        <v>9101</v>
      </c>
      <c r="J1928" s="2" t="s">
        <v>20987</v>
      </c>
      <c r="K1928" s="1" t="s">
        <v>21859</v>
      </c>
      <c r="L1928" s="1" t="s">
        <v>9292</v>
      </c>
      <c r="M1928" s="1">
        <v>12</v>
      </c>
      <c r="N1928" s="1" t="s">
        <v>8953</v>
      </c>
      <c r="O1928" s="1" t="s">
        <v>8989</v>
      </c>
      <c r="P1928" s="1" t="s">
        <v>8955</v>
      </c>
      <c r="Q1928" s="1" t="s">
        <v>8956</v>
      </c>
      <c r="R1928" s="1" t="s">
        <v>8975</v>
      </c>
      <c r="S1928" s="1" t="s">
        <v>19929</v>
      </c>
      <c r="T1928" s="1" t="s">
        <v>7</v>
      </c>
      <c r="U1928" s="1" t="s">
        <v>6447</v>
      </c>
    </row>
    <row r="1929" spans="1:21" x14ac:dyDescent="0.2">
      <c r="A1929" s="88" t="s">
        <v>17615</v>
      </c>
      <c r="B1929" s="88" t="e">
        <f>VLOOKUP(C1929,#REF!,1,0)</f>
        <v>#REF!</v>
      </c>
      <c r="C1929" s="1" t="s">
        <v>6448</v>
      </c>
      <c r="D1929" s="1" t="s">
        <v>6449</v>
      </c>
      <c r="E1929" s="1" t="s">
        <v>9317</v>
      </c>
      <c r="F1929" s="1" t="s">
        <v>8959</v>
      </c>
      <c r="G1929" t="s">
        <v>8959</v>
      </c>
      <c r="H1929" s="1" t="s">
        <v>9075</v>
      </c>
      <c r="I1929" s="1" t="s">
        <v>8949</v>
      </c>
      <c r="J1929" s="2" t="s">
        <v>10492</v>
      </c>
      <c r="K1929" s="1" t="s">
        <v>10492</v>
      </c>
      <c r="L1929" s="1" t="s">
        <v>8987</v>
      </c>
      <c r="M1929" s="1">
        <v>312</v>
      </c>
      <c r="N1929" s="1" t="s">
        <v>9059</v>
      </c>
      <c r="O1929" s="1" t="s">
        <v>8989</v>
      </c>
      <c r="P1929" s="1" t="s">
        <v>8955</v>
      </c>
      <c r="Q1929" s="1" t="s">
        <v>8956</v>
      </c>
      <c r="R1929" s="1" t="s">
        <v>8975</v>
      </c>
      <c r="S1929" s="1" t="s">
        <v>19930</v>
      </c>
      <c r="T1929" s="1" t="s">
        <v>17</v>
      </c>
      <c r="U1929" s="1" t="s">
        <v>180</v>
      </c>
    </row>
    <row r="1930" spans="1:21" x14ac:dyDescent="0.2">
      <c r="A1930" s="88" t="s">
        <v>17616</v>
      </c>
      <c r="B1930" s="88" t="e">
        <f>VLOOKUP(C1930,#REF!,1,0)</f>
        <v>#REF!</v>
      </c>
      <c r="C1930" s="1" t="s">
        <v>6450</v>
      </c>
      <c r="D1930" s="1" t="s">
        <v>6451</v>
      </c>
      <c r="E1930" s="1" t="s">
        <v>9317</v>
      </c>
      <c r="F1930" s="1" t="s">
        <v>8974</v>
      </c>
      <c r="G1930" t="s">
        <v>8959</v>
      </c>
      <c r="H1930" s="1" t="s">
        <v>9605</v>
      </c>
      <c r="I1930" s="1" t="s">
        <v>9101</v>
      </c>
      <c r="J1930" s="2" t="s">
        <v>10492</v>
      </c>
      <c r="K1930" s="1" t="s">
        <v>21645</v>
      </c>
      <c r="L1930" s="1" t="s">
        <v>21600</v>
      </c>
      <c r="M1930" s="1">
        <v>320</v>
      </c>
      <c r="N1930" s="1" t="s">
        <v>8953</v>
      </c>
      <c r="O1930" s="1" t="s">
        <v>20853</v>
      </c>
      <c r="P1930" s="1" t="s">
        <v>8955</v>
      </c>
      <c r="Q1930" s="1" t="s">
        <v>8956</v>
      </c>
      <c r="R1930" s="1" t="s">
        <v>9103</v>
      </c>
      <c r="S1930" s="1" t="s">
        <v>20680</v>
      </c>
      <c r="T1930" s="1" t="s">
        <v>7</v>
      </c>
      <c r="U1930" s="1" t="s">
        <v>110</v>
      </c>
    </row>
    <row r="1931" spans="1:21" x14ac:dyDescent="0.2">
      <c r="A1931" s="88" t="s">
        <v>17617</v>
      </c>
      <c r="B1931" s="88" t="e">
        <f>VLOOKUP(C1931,#REF!,1,0)</f>
        <v>#REF!</v>
      </c>
      <c r="C1931" s="1" t="s">
        <v>6452</v>
      </c>
      <c r="D1931" s="1" t="s">
        <v>6453</v>
      </c>
      <c r="E1931" s="1" t="s">
        <v>18502</v>
      </c>
      <c r="F1931" s="1" t="s">
        <v>9060</v>
      </c>
      <c r="G1931" t="s">
        <v>9061</v>
      </c>
      <c r="H1931" s="1" t="s">
        <v>9100</v>
      </c>
      <c r="I1931" s="1" t="s">
        <v>8949</v>
      </c>
      <c r="J1931" s="2" t="s">
        <v>10492</v>
      </c>
      <c r="K1931" s="1" t="s">
        <v>10492</v>
      </c>
      <c r="L1931" s="1" t="s">
        <v>9076</v>
      </c>
      <c r="M1931" s="1">
        <v>950</v>
      </c>
      <c r="N1931" s="1" t="s">
        <v>9059</v>
      </c>
      <c r="O1931" s="1" t="s">
        <v>8989</v>
      </c>
      <c r="P1931" s="1" t="s">
        <v>8955</v>
      </c>
      <c r="Q1931" s="1" t="s">
        <v>8956</v>
      </c>
      <c r="R1931" s="1" t="s">
        <v>8975</v>
      </c>
      <c r="S1931" s="1" t="s">
        <v>20681</v>
      </c>
      <c r="T1931" s="1" t="s">
        <v>7</v>
      </c>
      <c r="U1931" s="1" t="s">
        <v>110</v>
      </c>
    </row>
    <row r="1932" spans="1:21" x14ac:dyDescent="0.2">
      <c r="A1932" s="88" t="s">
        <v>17618</v>
      </c>
      <c r="B1932" s="88" t="e">
        <f>VLOOKUP(C1932,#REF!,1,0)</f>
        <v>#REF!</v>
      </c>
      <c r="C1932" s="1" t="s">
        <v>6454</v>
      </c>
      <c r="D1932" s="1" t="s">
        <v>6455</v>
      </c>
      <c r="E1932" s="1" t="s">
        <v>18502</v>
      </c>
      <c r="F1932" s="1" t="s">
        <v>8957</v>
      </c>
      <c r="G1932" t="s">
        <v>9061</v>
      </c>
      <c r="H1932" s="1" t="s">
        <v>9100</v>
      </c>
      <c r="I1932" s="1" t="s">
        <v>8949</v>
      </c>
      <c r="J1932" s="2" t="s">
        <v>20785</v>
      </c>
      <c r="K1932" s="1" t="s">
        <v>18491</v>
      </c>
      <c r="L1932" s="1" t="s">
        <v>9076</v>
      </c>
      <c r="M1932" s="1">
        <v>611</v>
      </c>
      <c r="N1932" s="1" t="s">
        <v>9059</v>
      </c>
      <c r="O1932" s="1" t="s">
        <v>8954</v>
      </c>
      <c r="P1932" s="1" t="s">
        <v>8955</v>
      </c>
      <c r="Q1932" s="1" t="s">
        <v>8956</v>
      </c>
      <c r="R1932" s="1" t="s">
        <v>8975</v>
      </c>
      <c r="S1932" s="1" t="s">
        <v>20682</v>
      </c>
      <c r="T1932" s="1" t="s">
        <v>17</v>
      </c>
      <c r="U1932" s="1" t="s">
        <v>21</v>
      </c>
    </row>
    <row r="1933" spans="1:21" x14ac:dyDescent="0.2">
      <c r="A1933" s="88" t="s">
        <v>17619</v>
      </c>
      <c r="B1933" s="88" t="e">
        <f>VLOOKUP(C1933,#REF!,1,0)</f>
        <v>#REF!</v>
      </c>
      <c r="C1933" s="1" t="s">
        <v>6456</v>
      </c>
      <c r="D1933" s="1" t="s">
        <v>6457</v>
      </c>
      <c r="E1933" s="1" t="s">
        <v>18502</v>
      </c>
      <c r="F1933" s="1" t="s">
        <v>8957</v>
      </c>
      <c r="G1933" t="s">
        <v>9009</v>
      </c>
      <c r="H1933" s="1" t="s">
        <v>9100</v>
      </c>
      <c r="I1933" s="1" t="s">
        <v>8949</v>
      </c>
      <c r="J1933" s="2" t="s">
        <v>10492</v>
      </c>
      <c r="K1933" s="1" t="s">
        <v>10492</v>
      </c>
      <c r="L1933" s="1" t="s">
        <v>21600</v>
      </c>
      <c r="M1933" s="1">
        <v>2793</v>
      </c>
      <c r="N1933" s="1" t="s">
        <v>9059</v>
      </c>
      <c r="O1933" s="1" t="s">
        <v>8954</v>
      </c>
      <c r="P1933" s="1" t="s">
        <v>8955</v>
      </c>
      <c r="Q1933" s="1" t="s">
        <v>8956</v>
      </c>
      <c r="R1933" s="1" t="s">
        <v>8975</v>
      </c>
      <c r="S1933" s="1" t="s">
        <v>20683</v>
      </c>
      <c r="T1933" s="1" t="s">
        <v>17</v>
      </c>
      <c r="U1933" s="1" t="s">
        <v>57</v>
      </c>
    </row>
    <row r="1934" spans="1:21" x14ac:dyDescent="0.2">
      <c r="A1934" s="88" t="s">
        <v>17620</v>
      </c>
      <c r="B1934" s="88" t="e">
        <f>VLOOKUP(C1934,#REF!,1,0)</f>
        <v>#REF!</v>
      </c>
      <c r="C1934" s="1" t="s">
        <v>6458</v>
      </c>
      <c r="D1934" s="1" t="s">
        <v>6459</v>
      </c>
      <c r="E1934" s="1" t="s">
        <v>9317</v>
      </c>
      <c r="F1934" s="1" t="s">
        <v>8957</v>
      </c>
      <c r="G1934" t="s">
        <v>9009</v>
      </c>
      <c r="H1934" s="1" t="s">
        <v>8948</v>
      </c>
      <c r="I1934" s="1" t="s">
        <v>12453</v>
      </c>
      <c r="J1934" s="2" t="s">
        <v>9036</v>
      </c>
      <c r="K1934" s="1" t="s">
        <v>9036</v>
      </c>
      <c r="L1934" s="1" t="s">
        <v>9464</v>
      </c>
      <c r="M1934" s="1" t="s">
        <v>9479</v>
      </c>
      <c r="N1934" s="1" t="s">
        <v>9479</v>
      </c>
      <c r="O1934" s="1" t="s">
        <v>8954</v>
      </c>
      <c r="P1934" s="1" t="s">
        <v>8955</v>
      </c>
      <c r="Q1934" s="1" t="s">
        <v>8956</v>
      </c>
      <c r="R1934" s="1" t="s">
        <v>8975</v>
      </c>
      <c r="S1934" s="1" t="s">
        <v>6460</v>
      </c>
      <c r="T1934" s="1" t="s">
        <v>4</v>
      </c>
      <c r="U1934" s="1" t="s">
        <v>2988</v>
      </c>
    </row>
    <row r="1935" spans="1:21" x14ac:dyDescent="0.2">
      <c r="A1935" s="88" t="s">
        <v>17621</v>
      </c>
      <c r="B1935" s="88" t="e">
        <f>VLOOKUP(C1935,#REF!,1,0)</f>
        <v>#REF!</v>
      </c>
      <c r="C1935" s="1" t="s">
        <v>6461</v>
      </c>
      <c r="D1935" s="1" t="s">
        <v>6462</v>
      </c>
      <c r="E1935" s="1" t="s">
        <v>9636</v>
      </c>
      <c r="F1935" s="1" t="s">
        <v>8957</v>
      </c>
      <c r="G1935" t="s">
        <v>9009</v>
      </c>
      <c r="H1935" s="1" t="s">
        <v>9049</v>
      </c>
      <c r="I1935" s="1" t="s">
        <v>9325</v>
      </c>
      <c r="J1935" s="2" t="s">
        <v>9036</v>
      </c>
      <c r="K1935" s="1" t="s">
        <v>9036</v>
      </c>
      <c r="L1935" s="1" t="s">
        <v>8951</v>
      </c>
      <c r="M1935" s="1">
        <v>1200</v>
      </c>
      <c r="N1935" s="1" t="s">
        <v>8953</v>
      </c>
      <c r="O1935" s="1" t="s">
        <v>8954</v>
      </c>
      <c r="P1935" s="1" t="s">
        <v>8955</v>
      </c>
      <c r="Q1935" s="1" t="s">
        <v>8956</v>
      </c>
      <c r="R1935" s="1" t="s">
        <v>8975</v>
      </c>
      <c r="S1935" s="1" t="s">
        <v>6463</v>
      </c>
      <c r="T1935" s="1" t="s">
        <v>11</v>
      </c>
      <c r="U1935" s="1" t="s">
        <v>447</v>
      </c>
    </row>
    <row r="1936" spans="1:21" x14ac:dyDescent="0.2">
      <c r="A1936" s="88" t="s">
        <v>17622</v>
      </c>
      <c r="B1936" s="88" t="e">
        <f>VLOOKUP(C1936,#REF!,1,0)</f>
        <v>#REF!</v>
      </c>
      <c r="C1936" s="1" t="s">
        <v>6464</v>
      </c>
      <c r="D1936" s="1" t="s">
        <v>6465</v>
      </c>
      <c r="E1936" s="1" t="s">
        <v>10873</v>
      </c>
      <c r="F1936" s="1" t="s">
        <v>8959</v>
      </c>
      <c r="G1936" t="s">
        <v>8959</v>
      </c>
      <c r="H1936" s="1" t="s">
        <v>9154</v>
      </c>
      <c r="I1936" s="1" t="s">
        <v>8949</v>
      </c>
      <c r="J1936" s="2" t="s">
        <v>9036</v>
      </c>
      <c r="K1936" s="1" t="s">
        <v>9036</v>
      </c>
      <c r="L1936" s="1" t="s">
        <v>9076</v>
      </c>
      <c r="M1936" s="1">
        <v>300</v>
      </c>
      <c r="N1936" s="1" t="s">
        <v>8953</v>
      </c>
      <c r="O1936" s="1" t="s">
        <v>8989</v>
      </c>
      <c r="P1936" s="1" t="s">
        <v>8955</v>
      </c>
      <c r="Q1936" s="1" t="s">
        <v>8956</v>
      </c>
      <c r="R1936" s="1" t="s">
        <v>8958</v>
      </c>
      <c r="S1936" s="1" t="s">
        <v>6466</v>
      </c>
      <c r="T1936" s="1" t="s">
        <v>11</v>
      </c>
      <c r="U1936" s="1" t="s">
        <v>61</v>
      </c>
    </row>
    <row r="1937" spans="1:21" x14ac:dyDescent="0.2">
      <c r="A1937" s="88" t="s">
        <v>17623</v>
      </c>
      <c r="B1937" s="88" t="e">
        <f>VLOOKUP(C1937,#REF!,1,0)</f>
        <v>#REF!</v>
      </c>
      <c r="C1937" s="1" t="s">
        <v>6467</v>
      </c>
      <c r="D1937" s="1" t="s">
        <v>6468</v>
      </c>
      <c r="E1937" s="1" t="s">
        <v>9465</v>
      </c>
      <c r="F1937" s="1" t="s">
        <v>8957</v>
      </c>
      <c r="G1937" t="s">
        <v>9183</v>
      </c>
      <c r="H1937" s="1" t="s">
        <v>20803</v>
      </c>
      <c r="I1937" s="1" t="s">
        <v>8949</v>
      </c>
      <c r="J1937" s="2" t="s">
        <v>10492</v>
      </c>
      <c r="K1937" s="1" t="s">
        <v>10492</v>
      </c>
      <c r="L1937" s="1" t="s">
        <v>21600</v>
      </c>
      <c r="M1937" s="1">
        <v>25</v>
      </c>
      <c r="N1937" s="1" t="s">
        <v>9059</v>
      </c>
      <c r="O1937" s="1" t="s">
        <v>8989</v>
      </c>
      <c r="P1937" s="1" t="s">
        <v>8955</v>
      </c>
      <c r="Q1937" s="1" t="s">
        <v>8956</v>
      </c>
      <c r="R1937" s="1" t="s">
        <v>8975</v>
      </c>
      <c r="S1937" s="1" t="s">
        <v>19931</v>
      </c>
      <c r="T1937" s="1" t="s">
        <v>17</v>
      </c>
      <c r="U1937" s="1" t="s">
        <v>6469</v>
      </c>
    </row>
    <row r="1938" spans="1:21" x14ac:dyDescent="0.2">
      <c r="A1938" s="88" t="s">
        <v>17624</v>
      </c>
      <c r="B1938" s="88" t="e">
        <f>VLOOKUP(C1938,#REF!,1,0)</f>
        <v>#REF!</v>
      </c>
      <c r="C1938" s="1" t="s">
        <v>6470</v>
      </c>
      <c r="D1938" s="1" t="s">
        <v>6471</v>
      </c>
      <c r="E1938" s="1" t="s">
        <v>10032</v>
      </c>
      <c r="F1938" s="1" t="s">
        <v>8959</v>
      </c>
      <c r="G1938" t="s">
        <v>8959</v>
      </c>
      <c r="H1938" s="1" t="s">
        <v>8984</v>
      </c>
      <c r="I1938" s="1" t="s">
        <v>8971</v>
      </c>
      <c r="J1938" s="2" t="s">
        <v>10031</v>
      </c>
      <c r="K1938" s="1" t="s">
        <v>10031</v>
      </c>
      <c r="L1938" s="1" t="s">
        <v>9133</v>
      </c>
      <c r="M1938" s="1">
        <v>367</v>
      </c>
      <c r="N1938" s="1" t="s">
        <v>8953</v>
      </c>
      <c r="O1938" s="1" t="s">
        <v>8954</v>
      </c>
      <c r="P1938" s="1" t="s">
        <v>8955</v>
      </c>
      <c r="Q1938" s="1" t="s">
        <v>8956</v>
      </c>
      <c r="R1938" s="1" t="s">
        <v>8975</v>
      </c>
      <c r="S1938" s="1" t="s">
        <v>6472</v>
      </c>
      <c r="T1938" s="1" t="s">
        <v>17</v>
      </c>
      <c r="U1938" s="1" t="s">
        <v>2865</v>
      </c>
    </row>
    <row r="1939" spans="1:21" x14ac:dyDescent="0.2">
      <c r="A1939" s="88" t="s">
        <v>17625</v>
      </c>
      <c r="B1939" s="88" t="e">
        <f>VLOOKUP(C1939,#REF!,1,0)</f>
        <v>#REF!</v>
      </c>
      <c r="C1939" s="1" t="s">
        <v>6473</v>
      </c>
      <c r="D1939" s="1" t="s">
        <v>6474</v>
      </c>
      <c r="E1939" s="1" t="s">
        <v>9636</v>
      </c>
      <c r="F1939" s="1" t="s">
        <v>8959</v>
      </c>
      <c r="G1939" t="s">
        <v>9061</v>
      </c>
      <c r="H1939" s="1" t="s">
        <v>20714</v>
      </c>
      <c r="I1939" s="1" t="s">
        <v>20725</v>
      </c>
      <c r="J1939" s="2" t="s">
        <v>10492</v>
      </c>
      <c r="K1939" s="1" t="s">
        <v>10492</v>
      </c>
      <c r="L1939" s="1" t="s">
        <v>9292</v>
      </c>
      <c r="M1939" s="1">
        <v>491</v>
      </c>
      <c r="N1939" s="1" t="s">
        <v>8953</v>
      </c>
      <c r="O1939" s="1" t="s">
        <v>8989</v>
      </c>
      <c r="P1939" s="1" t="s">
        <v>8955</v>
      </c>
      <c r="Q1939" s="1" t="s">
        <v>8956</v>
      </c>
      <c r="R1939" s="1" t="s">
        <v>8958</v>
      </c>
      <c r="S1939" s="1" t="s">
        <v>19932</v>
      </c>
      <c r="T1939" s="1" t="s">
        <v>7</v>
      </c>
      <c r="U1939" s="1" t="s">
        <v>443</v>
      </c>
    </row>
    <row r="1940" spans="1:21" x14ac:dyDescent="0.2">
      <c r="A1940" s="88" t="s">
        <v>17626</v>
      </c>
      <c r="B1940" s="88" t="e">
        <f>VLOOKUP(C1940,#REF!,1,0)</f>
        <v>#REF!</v>
      </c>
      <c r="C1940" s="1" t="s">
        <v>6475</v>
      </c>
      <c r="D1940" s="1" t="s">
        <v>6476</v>
      </c>
      <c r="E1940" s="1" t="s">
        <v>9636</v>
      </c>
      <c r="F1940" s="1" t="s">
        <v>8957</v>
      </c>
      <c r="G1940" t="s">
        <v>9061</v>
      </c>
      <c r="H1940" s="1" t="s">
        <v>20714</v>
      </c>
      <c r="I1940" s="1" t="s">
        <v>20725</v>
      </c>
      <c r="J1940" s="2" t="s">
        <v>20779</v>
      </c>
      <c r="K1940" s="1" t="s">
        <v>9036</v>
      </c>
      <c r="L1940" s="1" t="s">
        <v>21600</v>
      </c>
      <c r="M1940" s="1">
        <v>24362</v>
      </c>
      <c r="N1940" s="1" t="s">
        <v>8953</v>
      </c>
      <c r="O1940" s="1" t="s">
        <v>8954</v>
      </c>
      <c r="P1940" s="1" t="s">
        <v>8955</v>
      </c>
      <c r="Q1940" s="1" t="s">
        <v>8956</v>
      </c>
      <c r="R1940" s="1" t="s">
        <v>9103</v>
      </c>
      <c r="S1940" s="1" t="s">
        <v>19933</v>
      </c>
      <c r="T1940" s="1" t="s">
        <v>7</v>
      </c>
      <c r="U1940" s="1" t="s">
        <v>447</v>
      </c>
    </row>
    <row r="1941" spans="1:21" x14ac:dyDescent="0.2">
      <c r="A1941" s="88" t="s">
        <v>17627</v>
      </c>
      <c r="B1941" s="88" t="e">
        <f>VLOOKUP(C1941,#REF!,1,0)</f>
        <v>#REF!</v>
      </c>
      <c r="C1941" s="1" t="s">
        <v>6477</v>
      </c>
      <c r="D1941" s="1" t="s">
        <v>6478</v>
      </c>
      <c r="E1941" s="1" t="s">
        <v>9317</v>
      </c>
      <c r="F1941" s="1" t="s">
        <v>8957</v>
      </c>
      <c r="G1941" t="s">
        <v>9183</v>
      </c>
      <c r="H1941" s="1" t="s">
        <v>9605</v>
      </c>
      <c r="I1941" s="1" t="s">
        <v>8998</v>
      </c>
      <c r="J1941" s="2" t="s">
        <v>9192</v>
      </c>
      <c r="K1941" s="1" t="s">
        <v>9192</v>
      </c>
      <c r="L1941" s="1" t="s">
        <v>9464</v>
      </c>
      <c r="M1941" s="1">
        <v>596</v>
      </c>
      <c r="N1941" s="1" t="s">
        <v>8953</v>
      </c>
      <c r="O1941" s="1" t="s">
        <v>8954</v>
      </c>
      <c r="P1941" s="1" t="s">
        <v>8955</v>
      </c>
      <c r="Q1941" s="1" t="s">
        <v>8956</v>
      </c>
      <c r="R1941" s="1" t="s">
        <v>8958</v>
      </c>
      <c r="S1941" s="1" t="s">
        <v>6479</v>
      </c>
      <c r="T1941" s="1" t="s">
        <v>17</v>
      </c>
      <c r="U1941" s="1" t="s">
        <v>857</v>
      </c>
    </row>
    <row r="1942" spans="1:21" x14ac:dyDescent="0.2">
      <c r="A1942" s="88" t="s">
        <v>17628</v>
      </c>
      <c r="B1942" s="88" t="e">
        <f>VLOOKUP(C1942,#REF!,1,0)</f>
        <v>#REF!</v>
      </c>
      <c r="C1942" s="1" t="s">
        <v>6480</v>
      </c>
      <c r="D1942" s="1" t="s">
        <v>6481</v>
      </c>
      <c r="E1942" s="1" t="s">
        <v>9317</v>
      </c>
      <c r="F1942" s="1" t="s">
        <v>8957</v>
      </c>
      <c r="G1942" t="s">
        <v>8959</v>
      </c>
      <c r="H1942" s="1" t="s">
        <v>20712</v>
      </c>
      <c r="I1942" s="1" t="s">
        <v>9155</v>
      </c>
      <c r="J1942" s="2" t="s">
        <v>10492</v>
      </c>
      <c r="K1942" s="1" t="s">
        <v>10492</v>
      </c>
      <c r="L1942" s="1" t="s">
        <v>21600</v>
      </c>
      <c r="M1942" s="1">
        <v>20</v>
      </c>
      <c r="N1942" s="1" t="s">
        <v>9059</v>
      </c>
      <c r="O1942" s="1" t="s">
        <v>8954</v>
      </c>
      <c r="P1942" s="1" t="s">
        <v>8955</v>
      </c>
      <c r="Q1942" s="1" t="s">
        <v>8956</v>
      </c>
      <c r="R1942" s="1" t="s">
        <v>8975</v>
      </c>
      <c r="S1942" s="1" t="s">
        <v>19934</v>
      </c>
      <c r="T1942" s="1" t="s">
        <v>7</v>
      </c>
      <c r="U1942" s="1" t="s">
        <v>580</v>
      </c>
    </row>
    <row r="1943" spans="1:21" x14ac:dyDescent="0.2">
      <c r="A1943" s="88" t="s">
        <v>17629</v>
      </c>
      <c r="B1943" s="88" t="e">
        <f>VLOOKUP(C1943,#REF!,1,0)</f>
        <v>#REF!</v>
      </c>
      <c r="C1943" s="1" t="s">
        <v>6482</v>
      </c>
      <c r="D1943" s="1" t="s">
        <v>6483</v>
      </c>
      <c r="E1943" s="1" t="s">
        <v>9317</v>
      </c>
      <c r="F1943" s="1" t="s">
        <v>8957</v>
      </c>
      <c r="G1943" t="s">
        <v>9009</v>
      </c>
      <c r="H1943" s="1" t="s">
        <v>9100</v>
      </c>
      <c r="I1943" s="1" t="s">
        <v>8949</v>
      </c>
      <c r="J1943" s="2" t="s">
        <v>10525</v>
      </c>
      <c r="K1943" s="1" t="s">
        <v>10525</v>
      </c>
      <c r="L1943" s="1" t="s">
        <v>8951</v>
      </c>
      <c r="M1943" s="1">
        <v>10000</v>
      </c>
      <c r="N1943" s="1" t="s">
        <v>9059</v>
      </c>
      <c r="O1943" s="1" t="s">
        <v>8954</v>
      </c>
      <c r="P1943" s="1" t="s">
        <v>8955</v>
      </c>
      <c r="Q1943" s="1" t="s">
        <v>8956</v>
      </c>
      <c r="R1943" s="1" t="s">
        <v>8975</v>
      </c>
      <c r="S1943" s="1" t="s">
        <v>19935</v>
      </c>
      <c r="T1943" s="1" t="s">
        <v>7</v>
      </c>
      <c r="U1943" s="1" t="s">
        <v>580</v>
      </c>
    </row>
    <row r="1944" spans="1:21" x14ac:dyDescent="0.2">
      <c r="A1944" s="88" t="s">
        <v>17630</v>
      </c>
      <c r="B1944" s="88" t="e">
        <f>VLOOKUP(C1944,#REF!,1,0)</f>
        <v>#REF!</v>
      </c>
      <c r="C1944" s="1" t="s">
        <v>6484</v>
      </c>
      <c r="D1944" s="1" t="s">
        <v>6485</v>
      </c>
      <c r="E1944" s="1" t="s">
        <v>9317</v>
      </c>
      <c r="F1944" s="1" t="s">
        <v>8957</v>
      </c>
      <c r="G1944" t="s">
        <v>9183</v>
      </c>
      <c r="H1944" s="1" t="s">
        <v>8948</v>
      </c>
      <c r="I1944" s="1" t="s">
        <v>8959</v>
      </c>
      <c r="J1944" s="2" t="s">
        <v>18497</v>
      </c>
      <c r="K1944" s="1" t="s">
        <v>21658</v>
      </c>
      <c r="L1944" s="1" t="s">
        <v>8951</v>
      </c>
      <c r="M1944" s="1">
        <v>226</v>
      </c>
      <c r="N1944" s="1" t="s">
        <v>8953</v>
      </c>
      <c r="O1944" s="1" t="s">
        <v>8989</v>
      </c>
      <c r="P1944" s="1" t="s">
        <v>8955</v>
      </c>
      <c r="Q1944" s="1" t="s">
        <v>8956</v>
      </c>
      <c r="R1944" s="1" t="s">
        <v>8958</v>
      </c>
      <c r="S1944" s="1" t="s">
        <v>19936</v>
      </c>
      <c r="T1944" s="1" t="s">
        <v>7</v>
      </c>
      <c r="U1944" s="1" t="s">
        <v>6486</v>
      </c>
    </row>
    <row r="1945" spans="1:21" x14ac:dyDescent="0.2">
      <c r="A1945" s="88" t="s">
        <v>17631</v>
      </c>
      <c r="B1945" s="88" t="e">
        <f>VLOOKUP(C1945,#REF!,1,0)</f>
        <v>#REF!</v>
      </c>
      <c r="C1945" s="1" t="s">
        <v>6487</v>
      </c>
      <c r="D1945" s="1" t="s">
        <v>6488</v>
      </c>
      <c r="E1945" s="1" t="s">
        <v>9317</v>
      </c>
      <c r="F1945" s="1" t="s">
        <v>8957</v>
      </c>
      <c r="G1945" t="s">
        <v>8959</v>
      </c>
      <c r="H1945" s="1" t="s">
        <v>9605</v>
      </c>
      <c r="I1945" s="1" t="s">
        <v>9101</v>
      </c>
      <c r="J1945" s="2" t="s">
        <v>20991</v>
      </c>
      <c r="K1945" s="1" t="s">
        <v>21639</v>
      </c>
      <c r="L1945" s="1" t="s">
        <v>21600</v>
      </c>
      <c r="M1945" s="1">
        <v>4600</v>
      </c>
      <c r="N1945" s="1" t="s">
        <v>8953</v>
      </c>
      <c r="O1945" s="1" t="s">
        <v>8989</v>
      </c>
      <c r="P1945" s="1" t="s">
        <v>8955</v>
      </c>
      <c r="Q1945" s="1" t="s">
        <v>8956</v>
      </c>
      <c r="R1945" s="1" t="s">
        <v>9103</v>
      </c>
      <c r="S1945" s="1" t="s">
        <v>19937</v>
      </c>
      <c r="T1945" s="1" t="s">
        <v>7</v>
      </c>
      <c r="U1945" s="1" t="s">
        <v>493</v>
      </c>
    </row>
    <row r="1946" spans="1:21" x14ac:dyDescent="0.2">
      <c r="A1946" s="88" t="s">
        <v>17632</v>
      </c>
      <c r="B1946" s="88" t="e">
        <f>VLOOKUP(C1946,#REF!,1,0)</f>
        <v>#REF!</v>
      </c>
      <c r="C1946" s="1" t="s">
        <v>6489</v>
      </c>
      <c r="D1946" s="1" t="s">
        <v>6490</v>
      </c>
      <c r="E1946" s="1" t="s">
        <v>9465</v>
      </c>
      <c r="F1946" s="1" t="s">
        <v>8957</v>
      </c>
      <c r="G1946" t="s">
        <v>9009</v>
      </c>
      <c r="H1946" s="1" t="s">
        <v>9035</v>
      </c>
      <c r="I1946" s="1" t="s">
        <v>9155</v>
      </c>
      <c r="J1946" s="2" t="s">
        <v>9051</v>
      </c>
      <c r="K1946" s="1" t="s">
        <v>9051</v>
      </c>
      <c r="L1946" s="1" t="s">
        <v>8951</v>
      </c>
      <c r="M1946" s="1">
        <v>3936</v>
      </c>
      <c r="N1946" s="1" t="s">
        <v>8953</v>
      </c>
      <c r="O1946" s="1" t="s">
        <v>8954</v>
      </c>
      <c r="P1946" s="1" t="s">
        <v>8955</v>
      </c>
      <c r="Q1946" s="1" t="s">
        <v>8956</v>
      </c>
      <c r="R1946" s="1" t="s">
        <v>8975</v>
      </c>
      <c r="S1946" s="1" t="s">
        <v>6491</v>
      </c>
      <c r="T1946" s="1" t="s">
        <v>11</v>
      </c>
      <c r="U1946" s="1" t="s">
        <v>424</v>
      </c>
    </row>
    <row r="1947" spans="1:21" x14ac:dyDescent="0.2">
      <c r="A1947" s="88" t="s">
        <v>17633</v>
      </c>
      <c r="B1947" s="88" t="e">
        <f>VLOOKUP(C1947,#REF!,1,0)</f>
        <v>#REF!</v>
      </c>
      <c r="C1947" s="1" t="s">
        <v>6492</v>
      </c>
      <c r="D1947" s="1" t="s">
        <v>6493</v>
      </c>
      <c r="E1947" s="1" t="s">
        <v>9465</v>
      </c>
      <c r="F1947" s="1" t="s">
        <v>9060</v>
      </c>
      <c r="G1947" t="s">
        <v>9009</v>
      </c>
      <c r="H1947" s="1" t="s">
        <v>9035</v>
      </c>
      <c r="I1947" s="1" t="s">
        <v>9725</v>
      </c>
      <c r="J1947" s="2" t="s">
        <v>10258</v>
      </c>
      <c r="K1947" s="1" t="s">
        <v>10258</v>
      </c>
      <c r="L1947" s="1" t="s">
        <v>9076</v>
      </c>
      <c r="M1947" s="1">
        <v>8824</v>
      </c>
      <c r="N1947" s="1" t="s">
        <v>8953</v>
      </c>
      <c r="O1947" s="1" t="s">
        <v>8989</v>
      </c>
      <c r="P1947" s="1" t="s">
        <v>8955</v>
      </c>
      <c r="Q1947" s="1" t="s">
        <v>8956</v>
      </c>
      <c r="R1947" s="1" t="s">
        <v>8975</v>
      </c>
      <c r="S1947" s="1" t="s">
        <v>6494</v>
      </c>
      <c r="T1947" s="1" t="s">
        <v>7</v>
      </c>
      <c r="U1947" s="1" t="s">
        <v>147</v>
      </c>
    </row>
    <row r="1948" spans="1:21" x14ac:dyDescent="0.2">
      <c r="A1948" s="88" t="s">
        <v>17635</v>
      </c>
      <c r="B1948" s="88" t="e">
        <f>VLOOKUP(C1948,#REF!,1,0)</f>
        <v>#REF!</v>
      </c>
      <c r="C1948" s="1" t="s">
        <v>6497</v>
      </c>
      <c r="D1948" s="1" t="s">
        <v>6498</v>
      </c>
      <c r="E1948" s="1" t="s">
        <v>9380</v>
      </c>
      <c r="F1948" s="1" t="s">
        <v>8957</v>
      </c>
      <c r="G1948" t="s">
        <v>8959</v>
      </c>
      <c r="H1948" s="1" t="s">
        <v>9075</v>
      </c>
      <c r="I1948" s="1" t="s">
        <v>9155</v>
      </c>
      <c r="J1948" s="2" t="s">
        <v>21451</v>
      </c>
      <c r="K1948" s="1" t="s">
        <v>21451</v>
      </c>
      <c r="L1948" s="1" t="s">
        <v>8951</v>
      </c>
      <c r="M1948" s="1">
        <v>107</v>
      </c>
      <c r="N1948" s="1" t="s">
        <v>9059</v>
      </c>
      <c r="O1948" s="1" t="s">
        <v>8989</v>
      </c>
      <c r="P1948" s="1" t="s">
        <v>8955</v>
      </c>
      <c r="Q1948" s="1" t="s">
        <v>8956</v>
      </c>
      <c r="R1948" s="1" t="s">
        <v>8975</v>
      </c>
      <c r="S1948" s="1" t="s">
        <v>19939</v>
      </c>
      <c r="T1948" s="1" t="s">
        <v>7</v>
      </c>
      <c r="U1948" s="1" t="s">
        <v>64</v>
      </c>
    </row>
    <row r="1949" spans="1:21" x14ac:dyDescent="0.2">
      <c r="A1949" s="88" t="s">
        <v>17636</v>
      </c>
      <c r="B1949" s="88" t="e">
        <f>VLOOKUP(C1949,#REF!,1,0)</f>
        <v>#REF!</v>
      </c>
      <c r="C1949" s="1" t="s">
        <v>6499</v>
      </c>
      <c r="D1949" s="1" t="s">
        <v>6500</v>
      </c>
      <c r="E1949" s="1" t="s">
        <v>9380</v>
      </c>
      <c r="F1949" s="1" t="s">
        <v>8957</v>
      </c>
      <c r="G1949" t="s">
        <v>8959</v>
      </c>
      <c r="H1949" s="1" t="s">
        <v>9075</v>
      </c>
      <c r="I1949" s="1" t="s">
        <v>8971</v>
      </c>
      <c r="J1949" s="2" t="s">
        <v>21205</v>
      </c>
      <c r="K1949" s="1" t="s">
        <v>21205</v>
      </c>
      <c r="L1949" s="1" t="s">
        <v>9464</v>
      </c>
      <c r="M1949" s="1">
        <v>255</v>
      </c>
      <c r="N1949" s="1" t="s">
        <v>8953</v>
      </c>
      <c r="O1949" s="1" t="s">
        <v>8954</v>
      </c>
      <c r="P1949" s="1" t="s">
        <v>8955</v>
      </c>
      <c r="Q1949" s="1" t="s">
        <v>8956</v>
      </c>
      <c r="R1949" s="1" t="s">
        <v>8975</v>
      </c>
      <c r="S1949" s="1" t="s">
        <v>6501</v>
      </c>
      <c r="T1949" s="1" t="s">
        <v>17</v>
      </c>
      <c r="U1949" s="1" t="s">
        <v>64</v>
      </c>
    </row>
    <row r="1950" spans="1:21" x14ac:dyDescent="0.2">
      <c r="A1950" s="88" t="s">
        <v>17637</v>
      </c>
      <c r="B1950" s="88" t="e">
        <f>VLOOKUP(C1950,#REF!,1,0)</f>
        <v>#REF!</v>
      </c>
      <c r="C1950" s="1" t="s">
        <v>6502</v>
      </c>
      <c r="D1950" s="1" t="s">
        <v>6503</v>
      </c>
      <c r="E1950" s="1" t="s">
        <v>20822</v>
      </c>
      <c r="F1950" s="1" t="s">
        <v>8957</v>
      </c>
      <c r="G1950" t="s">
        <v>8959</v>
      </c>
      <c r="H1950" s="1" t="s">
        <v>9035</v>
      </c>
      <c r="I1950" s="1" t="s">
        <v>9155</v>
      </c>
      <c r="J1950" s="2" t="s">
        <v>20994</v>
      </c>
      <c r="K1950" s="1" t="s">
        <v>21870</v>
      </c>
      <c r="L1950" s="1" t="s">
        <v>8951</v>
      </c>
      <c r="M1950" s="1">
        <v>4380</v>
      </c>
      <c r="N1950" s="1" t="s">
        <v>8953</v>
      </c>
      <c r="O1950" s="1" t="s">
        <v>8954</v>
      </c>
      <c r="P1950" s="1" t="s">
        <v>8955</v>
      </c>
      <c r="Q1950" s="1" t="s">
        <v>8956</v>
      </c>
      <c r="R1950" s="1" t="s">
        <v>8975</v>
      </c>
      <c r="S1950" s="1" t="s">
        <v>19940</v>
      </c>
      <c r="T1950" s="1" t="s">
        <v>7</v>
      </c>
      <c r="U1950" s="1" t="s">
        <v>6504</v>
      </c>
    </row>
    <row r="1951" spans="1:21" x14ac:dyDescent="0.2">
      <c r="A1951" s="88" t="s">
        <v>17638</v>
      </c>
      <c r="B1951" s="88" t="e">
        <f>VLOOKUP(C1951,#REF!,1,0)</f>
        <v>#REF!</v>
      </c>
      <c r="C1951" s="1" t="s">
        <v>6505</v>
      </c>
      <c r="D1951" s="1" t="s">
        <v>6506</v>
      </c>
      <c r="E1951" s="1" t="s">
        <v>9636</v>
      </c>
      <c r="F1951" s="1" t="s">
        <v>8957</v>
      </c>
      <c r="G1951" t="s">
        <v>9061</v>
      </c>
      <c r="H1951" s="1" t="s">
        <v>9049</v>
      </c>
      <c r="I1951" s="1" t="s">
        <v>9325</v>
      </c>
      <c r="J1951" s="2" t="s">
        <v>8972</v>
      </c>
      <c r="K1951" s="1" t="s">
        <v>8972</v>
      </c>
      <c r="L1951" s="1" t="s">
        <v>8951</v>
      </c>
      <c r="M1951" s="1">
        <v>290</v>
      </c>
      <c r="N1951" s="1" t="s">
        <v>8953</v>
      </c>
      <c r="O1951" s="1" t="s">
        <v>8954</v>
      </c>
      <c r="P1951" s="1" t="s">
        <v>8955</v>
      </c>
      <c r="Q1951" s="1" t="s">
        <v>8956</v>
      </c>
      <c r="R1951" s="1" t="s">
        <v>8975</v>
      </c>
      <c r="S1951" s="1" t="s">
        <v>6507</v>
      </c>
      <c r="T1951" s="1" t="s">
        <v>7</v>
      </c>
      <c r="U1951" s="1" t="s">
        <v>61</v>
      </c>
    </row>
    <row r="1952" spans="1:21" x14ac:dyDescent="0.2">
      <c r="A1952" s="88" t="s">
        <v>17639</v>
      </c>
      <c r="B1952" s="88" t="e">
        <f>VLOOKUP(C1952,#REF!,1,0)</f>
        <v>#REF!</v>
      </c>
      <c r="C1952" s="1" t="s">
        <v>6512</v>
      </c>
      <c r="D1952" s="1" t="s">
        <v>6513</v>
      </c>
      <c r="E1952" s="1" t="s">
        <v>14748</v>
      </c>
      <c r="F1952" s="1" t="s">
        <v>8959</v>
      </c>
      <c r="G1952" t="s">
        <v>8959</v>
      </c>
      <c r="H1952" s="1" t="s">
        <v>9035</v>
      </c>
      <c r="I1952" s="1" t="s">
        <v>9308</v>
      </c>
      <c r="J1952" s="2" t="s">
        <v>21389</v>
      </c>
      <c r="K1952" s="1" t="s">
        <v>21389</v>
      </c>
      <c r="L1952" s="1" t="s">
        <v>8951</v>
      </c>
      <c r="M1952" s="1">
        <v>6100</v>
      </c>
      <c r="N1952" s="1" t="s">
        <v>8953</v>
      </c>
      <c r="O1952" s="1" t="s">
        <v>8954</v>
      </c>
      <c r="P1952" s="1" t="s">
        <v>8955</v>
      </c>
      <c r="Q1952" s="1" t="s">
        <v>8956</v>
      </c>
      <c r="R1952" s="1" t="s">
        <v>9103</v>
      </c>
      <c r="S1952" s="1" t="s">
        <v>19942</v>
      </c>
      <c r="T1952" s="1" t="s">
        <v>7</v>
      </c>
      <c r="U1952" s="1" t="s">
        <v>1889</v>
      </c>
    </row>
    <row r="1953" spans="1:21" x14ac:dyDescent="0.2">
      <c r="A1953" s="88" t="s">
        <v>17641</v>
      </c>
      <c r="B1953" s="88" t="e">
        <f>VLOOKUP(C1953,#REF!,1,0)</f>
        <v>#REF!</v>
      </c>
      <c r="C1953" s="1" t="s">
        <v>6517</v>
      </c>
      <c r="D1953" s="1" t="s">
        <v>6518</v>
      </c>
      <c r="E1953" s="1" t="s">
        <v>10049</v>
      </c>
      <c r="F1953" s="1" t="s">
        <v>8974</v>
      </c>
      <c r="G1953" t="s">
        <v>9009</v>
      </c>
      <c r="H1953" s="1" t="s">
        <v>8984</v>
      </c>
      <c r="I1953" s="1" t="s">
        <v>9269</v>
      </c>
      <c r="J1953" s="2" t="s">
        <v>9036</v>
      </c>
      <c r="K1953" s="1" t="s">
        <v>9036</v>
      </c>
      <c r="L1953" s="1" t="s">
        <v>8951</v>
      </c>
      <c r="M1953" s="1">
        <v>393</v>
      </c>
      <c r="N1953" s="1" t="s">
        <v>8953</v>
      </c>
      <c r="O1953" s="1" t="s">
        <v>8989</v>
      </c>
      <c r="P1953" s="1" t="s">
        <v>8955</v>
      </c>
      <c r="Q1953" s="1" t="s">
        <v>8956</v>
      </c>
      <c r="R1953" s="1" t="s">
        <v>8958</v>
      </c>
      <c r="S1953" s="1" t="s">
        <v>6519</v>
      </c>
      <c r="T1953" s="1" t="s">
        <v>17</v>
      </c>
      <c r="U1953" s="1" t="s">
        <v>6520</v>
      </c>
    </row>
    <row r="1954" spans="1:21" x14ac:dyDescent="0.2">
      <c r="A1954" s="88" t="s">
        <v>17642</v>
      </c>
      <c r="B1954" s="88" t="e">
        <f>VLOOKUP(C1954,#REF!,1,0)</f>
        <v>#REF!</v>
      </c>
      <c r="C1954" s="1" t="s">
        <v>6521</v>
      </c>
      <c r="D1954" s="1" t="s">
        <v>6522</v>
      </c>
      <c r="E1954" s="1" t="s">
        <v>18502</v>
      </c>
      <c r="F1954" s="1" t="s">
        <v>8957</v>
      </c>
      <c r="G1954" t="s">
        <v>8959</v>
      </c>
      <c r="H1954" s="1" t="s">
        <v>9100</v>
      </c>
      <c r="I1954" s="1" t="s">
        <v>8949</v>
      </c>
      <c r="J1954" s="2" t="s">
        <v>20804</v>
      </c>
      <c r="K1954" s="1" t="s">
        <v>9413</v>
      </c>
      <c r="L1954" s="1" t="s">
        <v>9133</v>
      </c>
      <c r="M1954" s="1">
        <v>1479</v>
      </c>
      <c r="N1954" s="1" t="s">
        <v>9059</v>
      </c>
      <c r="O1954" s="1" t="s">
        <v>8954</v>
      </c>
      <c r="P1954" s="1" t="s">
        <v>8955</v>
      </c>
      <c r="Q1954" s="1" t="s">
        <v>8956</v>
      </c>
      <c r="R1954" s="1" t="s">
        <v>8975</v>
      </c>
      <c r="S1954" s="1" t="s">
        <v>19944</v>
      </c>
      <c r="T1954" s="1" t="s">
        <v>17</v>
      </c>
      <c r="U1954" s="1" t="s">
        <v>1122</v>
      </c>
    </row>
    <row r="1955" spans="1:21" x14ac:dyDescent="0.2">
      <c r="A1955" s="88" t="s">
        <v>17644</v>
      </c>
      <c r="B1955" s="88" t="e">
        <f>VLOOKUP(C1955,#REF!,1,0)</f>
        <v>#REF!</v>
      </c>
      <c r="C1955" s="1" t="s">
        <v>6527</v>
      </c>
      <c r="D1955" s="1" t="s">
        <v>6528</v>
      </c>
      <c r="E1955" s="1" t="s">
        <v>9213</v>
      </c>
      <c r="F1955" s="1" t="s">
        <v>8957</v>
      </c>
      <c r="G1955" t="s">
        <v>9009</v>
      </c>
      <c r="H1955" s="1" t="s">
        <v>9943</v>
      </c>
      <c r="I1955" s="1" t="s">
        <v>8971</v>
      </c>
      <c r="J1955" s="2" t="s">
        <v>9036</v>
      </c>
      <c r="K1955" s="1" t="s">
        <v>9036</v>
      </c>
      <c r="L1955" s="1" t="s">
        <v>8987</v>
      </c>
      <c r="M1955" s="1">
        <v>333</v>
      </c>
      <c r="N1955" s="1" t="s">
        <v>8953</v>
      </c>
      <c r="O1955" s="1" t="s">
        <v>8954</v>
      </c>
      <c r="P1955" s="1" t="s">
        <v>8955</v>
      </c>
      <c r="Q1955" s="1" t="s">
        <v>8956</v>
      </c>
      <c r="R1955" s="1" t="s">
        <v>8958</v>
      </c>
      <c r="S1955" s="1" t="s">
        <v>6529</v>
      </c>
      <c r="T1955" s="1" t="s">
        <v>4</v>
      </c>
      <c r="U1955" s="1" t="s">
        <v>1343</v>
      </c>
    </row>
    <row r="1956" spans="1:21" x14ac:dyDescent="0.2">
      <c r="A1956" s="88" t="s">
        <v>17645</v>
      </c>
      <c r="B1956" s="88" t="e">
        <f>VLOOKUP(C1956,#REF!,1,0)</f>
        <v>#REF!</v>
      </c>
      <c r="C1956" s="1" t="s">
        <v>6530</v>
      </c>
      <c r="D1956" s="1" t="s">
        <v>6531</v>
      </c>
      <c r="E1956" s="1" t="s">
        <v>14748</v>
      </c>
      <c r="F1956" s="1" t="s">
        <v>8959</v>
      </c>
      <c r="G1956" t="s">
        <v>8959</v>
      </c>
      <c r="H1956" s="1" t="s">
        <v>9100</v>
      </c>
      <c r="I1956" s="1" t="s">
        <v>8949</v>
      </c>
      <c r="J1956" s="2" t="s">
        <v>18497</v>
      </c>
      <c r="K1956" s="1" t="s">
        <v>21658</v>
      </c>
      <c r="L1956" s="1" t="s">
        <v>21600</v>
      </c>
      <c r="M1956" s="1">
        <v>200</v>
      </c>
      <c r="N1956" s="1" t="s">
        <v>8953</v>
      </c>
      <c r="O1956" s="1" t="s">
        <v>8954</v>
      </c>
      <c r="P1956" s="1" t="s">
        <v>8955</v>
      </c>
      <c r="Q1956" s="1" t="s">
        <v>8956</v>
      </c>
      <c r="R1956" s="1" t="s">
        <v>9103</v>
      </c>
      <c r="S1956" s="1" t="s">
        <v>19947</v>
      </c>
      <c r="T1956" s="1" t="s">
        <v>17</v>
      </c>
      <c r="U1956" s="1" t="s">
        <v>948</v>
      </c>
    </row>
    <row r="1957" spans="1:21" x14ac:dyDescent="0.2">
      <c r="A1957" s="88" t="s">
        <v>17646</v>
      </c>
      <c r="B1957" s="88" t="e">
        <f>VLOOKUP(C1957,#REF!,1,0)</f>
        <v>#REF!</v>
      </c>
      <c r="C1957" s="1" t="s">
        <v>6532</v>
      </c>
      <c r="D1957" s="1" t="s">
        <v>6533</v>
      </c>
      <c r="E1957" s="1" t="s">
        <v>14748</v>
      </c>
      <c r="F1957" s="1" t="s">
        <v>8959</v>
      </c>
      <c r="G1957" t="s">
        <v>8959</v>
      </c>
      <c r="H1957" s="1" t="s">
        <v>9173</v>
      </c>
      <c r="I1957" s="1" t="s">
        <v>9174</v>
      </c>
      <c r="J1957" s="2" t="s">
        <v>21248</v>
      </c>
      <c r="K1957" s="1" t="s">
        <v>21670</v>
      </c>
      <c r="L1957" s="1" t="s">
        <v>20878</v>
      </c>
      <c r="M1957" s="1">
        <v>2000</v>
      </c>
      <c r="N1957" s="1" t="s">
        <v>9059</v>
      </c>
      <c r="O1957" s="1" t="s">
        <v>8954</v>
      </c>
      <c r="P1957" s="1" t="s">
        <v>8955</v>
      </c>
      <c r="Q1957" s="1" t="s">
        <v>8956</v>
      </c>
      <c r="R1957" s="1" t="s">
        <v>9103</v>
      </c>
      <c r="S1957" s="1" t="s">
        <v>19948</v>
      </c>
      <c r="T1957" s="1" t="s">
        <v>17</v>
      </c>
      <c r="U1957" s="1" t="s">
        <v>74</v>
      </c>
    </row>
    <row r="1958" spans="1:21" x14ac:dyDescent="0.2">
      <c r="A1958" s="88" t="s">
        <v>17647</v>
      </c>
      <c r="B1958" s="88" t="e">
        <f>VLOOKUP(C1958,#REF!,1,0)</f>
        <v>#REF!</v>
      </c>
      <c r="C1958" s="1" t="s">
        <v>6534</v>
      </c>
      <c r="D1958" s="1" t="s">
        <v>6535</v>
      </c>
      <c r="E1958" s="1" t="s">
        <v>9246</v>
      </c>
      <c r="F1958" s="1" t="s">
        <v>8957</v>
      </c>
      <c r="G1958" t="s">
        <v>9061</v>
      </c>
      <c r="H1958" s="1" t="s">
        <v>9035</v>
      </c>
      <c r="I1958" s="1" t="s">
        <v>8998</v>
      </c>
      <c r="J1958" s="2" t="s">
        <v>21578</v>
      </c>
      <c r="K1958" s="1" t="s">
        <v>21578</v>
      </c>
      <c r="L1958" s="1" t="s">
        <v>8951</v>
      </c>
      <c r="M1958" s="1">
        <v>1018</v>
      </c>
      <c r="N1958" s="1" t="s">
        <v>8953</v>
      </c>
      <c r="O1958" s="1" t="s">
        <v>8989</v>
      </c>
      <c r="P1958" s="1" t="s">
        <v>8955</v>
      </c>
      <c r="Q1958" s="1" t="s">
        <v>8956</v>
      </c>
      <c r="R1958" s="1" t="s">
        <v>8975</v>
      </c>
      <c r="S1958" s="1" t="s">
        <v>6536</v>
      </c>
      <c r="T1958" s="1" t="s">
        <v>4</v>
      </c>
      <c r="U1958" s="1" t="s">
        <v>126</v>
      </c>
    </row>
    <row r="1959" spans="1:21" x14ac:dyDescent="0.2">
      <c r="A1959" s="88" t="s">
        <v>17648</v>
      </c>
      <c r="B1959" s="88" t="e">
        <f>VLOOKUP(C1959,#REF!,1,0)</f>
        <v>#REF!</v>
      </c>
      <c r="C1959" s="1" t="s">
        <v>6537</v>
      </c>
      <c r="D1959" s="1" t="s">
        <v>6538</v>
      </c>
      <c r="E1959" s="1" t="s">
        <v>18502</v>
      </c>
      <c r="F1959" s="1" t="s">
        <v>8959</v>
      </c>
      <c r="G1959" t="s">
        <v>9183</v>
      </c>
      <c r="H1959" s="1" t="s">
        <v>8948</v>
      </c>
      <c r="I1959" s="1" t="s">
        <v>8998</v>
      </c>
      <c r="J1959" s="2" t="s">
        <v>10492</v>
      </c>
      <c r="K1959" s="1" t="s">
        <v>10492</v>
      </c>
      <c r="L1959" s="1" t="s">
        <v>8951</v>
      </c>
      <c r="M1959" s="1">
        <v>20</v>
      </c>
      <c r="N1959" s="1" t="s">
        <v>8953</v>
      </c>
      <c r="O1959" s="1" t="s">
        <v>8989</v>
      </c>
      <c r="P1959" s="1" t="s">
        <v>8955</v>
      </c>
      <c r="Q1959" s="1" t="s">
        <v>8956</v>
      </c>
      <c r="R1959" s="1" t="s">
        <v>8958</v>
      </c>
      <c r="S1959" s="1" t="s">
        <v>19949</v>
      </c>
      <c r="T1959" s="1" t="s">
        <v>7</v>
      </c>
      <c r="U1959" s="1" t="s">
        <v>6539</v>
      </c>
    </row>
    <row r="1960" spans="1:21" x14ac:dyDescent="0.2">
      <c r="A1960" s="88" t="s">
        <v>17649</v>
      </c>
      <c r="B1960" s="88" t="e">
        <f>VLOOKUP(C1960,#REF!,1,0)</f>
        <v>#REF!</v>
      </c>
      <c r="C1960" s="1" t="s">
        <v>6540</v>
      </c>
      <c r="D1960" s="1" t="s">
        <v>21912</v>
      </c>
      <c r="E1960" s="1" t="s">
        <v>9213</v>
      </c>
      <c r="F1960" s="1" t="s">
        <v>8957</v>
      </c>
      <c r="G1960" t="s">
        <v>8959</v>
      </c>
      <c r="H1960" s="1" t="s">
        <v>9252</v>
      </c>
      <c r="I1960" s="1" t="s">
        <v>8971</v>
      </c>
      <c r="J1960" s="2" t="s">
        <v>21000</v>
      </c>
      <c r="K1960" s="1" t="s">
        <v>21914</v>
      </c>
      <c r="L1960" s="1" t="s">
        <v>8987</v>
      </c>
      <c r="M1960" s="1">
        <v>7024</v>
      </c>
      <c r="N1960" s="1" t="s">
        <v>8953</v>
      </c>
      <c r="O1960" s="1" t="s">
        <v>8954</v>
      </c>
      <c r="P1960" s="1" t="s">
        <v>8955</v>
      </c>
      <c r="Q1960" s="1" t="s">
        <v>8956</v>
      </c>
      <c r="R1960" s="1" t="s">
        <v>8958</v>
      </c>
      <c r="S1960" s="1" t="s">
        <v>19950</v>
      </c>
      <c r="T1960" s="1" t="s">
        <v>17</v>
      </c>
      <c r="U1960" s="1" t="s">
        <v>61</v>
      </c>
    </row>
    <row r="1961" spans="1:21" x14ac:dyDescent="0.2">
      <c r="A1961" s="88" t="s">
        <v>17650</v>
      </c>
      <c r="B1961" s="88" t="e">
        <f>VLOOKUP(C1961,#REF!,1,0)</f>
        <v>#REF!</v>
      </c>
      <c r="C1961" s="1" t="s">
        <v>6542</v>
      </c>
      <c r="D1961" s="1" t="s">
        <v>6543</v>
      </c>
      <c r="E1961" s="1" t="s">
        <v>18502</v>
      </c>
      <c r="F1961" s="1" t="s">
        <v>8959</v>
      </c>
      <c r="G1961" t="s">
        <v>8959</v>
      </c>
      <c r="H1961" s="1" t="s">
        <v>20714</v>
      </c>
      <c r="I1961" s="1" t="s">
        <v>20725</v>
      </c>
      <c r="J1961" s="2" t="s">
        <v>10525</v>
      </c>
      <c r="K1961" s="1" t="s">
        <v>21650</v>
      </c>
      <c r="L1961" s="1" t="s">
        <v>8951</v>
      </c>
      <c r="M1961" s="1">
        <v>3661</v>
      </c>
      <c r="N1961" s="1" t="s">
        <v>8953</v>
      </c>
      <c r="O1961" s="1" t="s">
        <v>8954</v>
      </c>
      <c r="P1961" s="1" t="s">
        <v>8955</v>
      </c>
      <c r="Q1961" s="1" t="s">
        <v>8956</v>
      </c>
      <c r="R1961" s="1" t="s">
        <v>8975</v>
      </c>
      <c r="S1961" s="1" t="s">
        <v>20684</v>
      </c>
      <c r="T1961" s="1" t="s">
        <v>7</v>
      </c>
      <c r="U1961" s="1" t="s">
        <v>110</v>
      </c>
    </row>
    <row r="1962" spans="1:21" x14ac:dyDescent="0.2">
      <c r="A1962" s="88" t="s">
        <v>17651</v>
      </c>
      <c r="B1962" s="88" t="e">
        <f>VLOOKUP(C1962,#REF!,1,0)</f>
        <v>#REF!</v>
      </c>
      <c r="C1962" s="1" t="s">
        <v>6544</v>
      </c>
      <c r="D1962" s="1" t="s">
        <v>6545</v>
      </c>
      <c r="E1962" s="1" t="s">
        <v>9010</v>
      </c>
      <c r="F1962" s="1" t="s">
        <v>8959</v>
      </c>
      <c r="G1962" t="s">
        <v>9183</v>
      </c>
      <c r="H1962" s="1" t="s">
        <v>9035</v>
      </c>
      <c r="I1962" s="1" t="s">
        <v>8998</v>
      </c>
      <c r="J1962" s="2" t="s">
        <v>9036</v>
      </c>
      <c r="K1962" s="1" t="s">
        <v>9036</v>
      </c>
      <c r="L1962" s="1" t="s">
        <v>9133</v>
      </c>
      <c r="M1962" s="1">
        <v>727</v>
      </c>
      <c r="N1962" s="1" t="s">
        <v>8953</v>
      </c>
      <c r="O1962" s="1" t="s">
        <v>8989</v>
      </c>
      <c r="P1962" s="1" t="s">
        <v>8955</v>
      </c>
      <c r="Q1962" s="1" t="s">
        <v>8956</v>
      </c>
      <c r="R1962" s="1" t="s">
        <v>8975</v>
      </c>
      <c r="S1962" s="1" t="s">
        <v>6546</v>
      </c>
      <c r="T1962" s="1" t="s">
        <v>11</v>
      </c>
      <c r="U1962" s="1" t="s">
        <v>1322</v>
      </c>
    </row>
    <row r="1963" spans="1:21" x14ac:dyDescent="0.2">
      <c r="A1963" s="88" t="s">
        <v>17652</v>
      </c>
      <c r="B1963" s="88" t="e">
        <f>VLOOKUP(C1963,#REF!,1,0)</f>
        <v>#REF!</v>
      </c>
      <c r="C1963" s="1" t="s">
        <v>6547</v>
      </c>
      <c r="D1963" s="1" t="s">
        <v>6548</v>
      </c>
      <c r="E1963" s="1" t="s">
        <v>9010</v>
      </c>
      <c r="F1963" s="1" t="s">
        <v>8959</v>
      </c>
      <c r="G1963" t="s">
        <v>8959</v>
      </c>
      <c r="H1963" s="1" t="s">
        <v>9154</v>
      </c>
      <c r="I1963" s="1" t="s">
        <v>8971</v>
      </c>
      <c r="J1963" s="2" t="s">
        <v>10492</v>
      </c>
      <c r="K1963" s="1" t="s">
        <v>10492</v>
      </c>
      <c r="L1963" s="1" t="s">
        <v>21600</v>
      </c>
      <c r="M1963" s="1">
        <v>435</v>
      </c>
      <c r="N1963" s="1" t="s">
        <v>8953</v>
      </c>
      <c r="O1963" s="1" t="s">
        <v>20828</v>
      </c>
      <c r="P1963" s="1" t="s">
        <v>8955</v>
      </c>
      <c r="Q1963" s="1" t="s">
        <v>8956</v>
      </c>
      <c r="R1963" s="1" t="s">
        <v>9103</v>
      </c>
      <c r="S1963" s="1" t="s">
        <v>19951</v>
      </c>
      <c r="T1963" s="1" t="s">
        <v>17</v>
      </c>
      <c r="U1963" s="1" t="s">
        <v>126</v>
      </c>
    </row>
    <row r="1964" spans="1:21" x14ac:dyDescent="0.2">
      <c r="A1964" s="88" t="s">
        <v>17653</v>
      </c>
      <c r="B1964" s="88" t="e">
        <f>VLOOKUP(C1964,#REF!,1,0)</f>
        <v>#REF!</v>
      </c>
      <c r="C1964" s="1" t="s">
        <v>6549</v>
      </c>
      <c r="D1964" s="1" t="s">
        <v>6550</v>
      </c>
      <c r="E1964" s="1" t="s">
        <v>20999</v>
      </c>
      <c r="F1964" s="1" t="s">
        <v>8959</v>
      </c>
      <c r="G1964" t="s">
        <v>8959</v>
      </c>
      <c r="H1964" s="1" t="s">
        <v>9035</v>
      </c>
      <c r="I1964" s="1" t="s">
        <v>9308</v>
      </c>
      <c r="J1964" s="2" t="s">
        <v>10525</v>
      </c>
      <c r="K1964" s="1" t="s">
        <v>21650</v>
      </c>
      <c r="L1964" s="1" t="s">
        <v>8951</v>
      </c>
      <c r="M1964" s="1">
        <v>5856</v>
      </c>
      <c r="N1964" s="1" t="s">
        <v>8953</v>
      </c>
      <c r="O1964" s="1" t="s">
        <v>8989</v>
      </c>
      <c r="P1964" s="1" t="s">
        <v>8955</v>
      </c>
      <c r="Q1964" s="1" t="s">
        <v>8956</v>
      </c>
      <c r="R1964" s="1" t="s">
        <v>8958</v>
      </c>
      <c r="S1964" s="1" t="s">
        <v>19952</v>
      </c>
      <c r="T1964" s="1" t="s">
        <v>7</v>
      </c>
      <c r="U1964" s="1" t="s">
        <v>308</v>
      </c>
    </row>
    <row r="1965" spans="1:21" x14ac:dyDescent="0.2">
      <c r="A1965" s="88" t="s">
        <v>17654</v>
      </c>
      <c r="B1965" s="88" t="e">
        <f>VLOOKUP(C1965,#REF!,1,0)</f>
        <v>#REF!</v>
      </c>
      <c r="C1965" s="1" t="s">
        <v>6551</v>
      </c>
      <c r="D1965" s="1" t="s">
        <v>6552</v>
      </c>
      <c r="E1965" s="1" t="s">
        <v>9968</v>
      </c>
      <c r="F1965" s="1" t="s">
        <v>8959</v>
      </c>
      <c r="G1965" t="s">
        <v>8959</v>
      </c>
      <c r="H1965" s="1" t="s">
        <v>9100</v>
      </c>
      <c r="I1965" s="1" t="s">
        <v>8949</v>
      </c>
      <c r="J1965" s="2" t="s">
        <v>20779</v>
      </c>
      <c r="K1965" s="1" t="s">
        <v>9036</v>
      </c>
      <c r="L1965" s="1" t="s">
        <v>8987</v>
      </c>
      <c r="M1965" s="1">
        <v>1140</v>
      </c>
      <c r="N1965" s="1" t="s">
        <v>9059</v>
      </c>
      <c r="O1965" s="1" t="s">
        <v>8954</v>
      </c>
      <c r="P1965" s="1" t="s">
        <v>8955</v>
      </c>
      <c r="Q1965" s="1" t="s">
        <v>8956</v>
      </c>
      <c r="R1965" s="1" t="s">
        <v>9103</v>
      </c>
      <c r="S1965" s="1" t="s">
        <v>19953</v>
      </c>
      <c r="T1965" s="1" t="s">
        <v>7</v>
      </c>
      <c r="U1965" s="1" t="s">
        <v>342</v>
      </c>
    </row>
    <row r="1966" spans="1:21" x14ac:dyDescent="0.2">
      <c r="A1966" s="88" t="s">
        <v>17655</v>
      </c>
      <c r="B1966" s="88" t="e">
        <f>VLOOKUP(C1966,#REF!,1,0)</f>
        <v>#REF!</v>
      </c>
      <c r="C1966" s="1" t="s">
        <v>6553</v>
      </c>
      <c r="D1966" s="1" t="s">
        <v>6554</v>
      </c>
      <c r="E1966" s="1" t="s">
        <v>9010</v>
      </c>
      <c r="F1966" s="1" t="s">
        <v>8959</v>
      </c>
      <c r="G1966" t="s">
        <v>9061</v>
      </c>
      <c r="H1966" s="1" t="s">
        <v>9605</v>
      </c>
      <c r="I1966" s="1" t="s">
        <v>8998</v>
      </c>
      <c r="J1966" s="2" t="s">
        <v>9036</v>
      </c>
      <c r="K1966" s="1" t="s">
        <v>9036</v>
      </c>
      <c r="L1966" s="1" t="s">
        <v>8987</v>
      </c>
      <c r="M1966" s="1">
        <v>3319</v>
      </c>
      <c r="N1966" s="1" t="s">
        <v>8953</v>
      </c>
      <c r="O1966" s="1" t="s">
        <v>8989</v>
      </c>
      <c r="P1966" s="1" t="s">
        <v>8955</v>
      </c>
      <c r="Q1966" s="1" t="s">
        <v>8956</v>
      </c>
      <c r="R1966" s="1" t="s">
        <v>8958</v>
      </c>
      <c r="S1966" s="1" t="s">
        <v>6555</v>
      </c>
      <c r="T1966" s="1" t="s">
        <v>17</v>
      </c>
      <c r="U1966" s="1" t="s">
        <v>496</v>
      </c>
    </row>
    <row r="1967" spans="1:21" x14ac:dyDescent="0.2">
      <c r="A1967" s="88" t="s">
        <v>17656</v>
      </c>
      <c r="B1967" s="88" t="e">
        <f>VLOOKUP(C1967,#REF!,1,0)</f>
        <v>#REF!</v>
      </c>
      <c r="C1967" s="1" t="s">
        <v>6560</v>
      </c>
      <c r="D1967" s="1" t="s">
        <v>6561</v>
      </c>
      <c r="E1967" s="1" t="s">
        <v>9310</v>
      </c>
      <c r="F1967" s="1" t="s">
        <v>8957</v>
      </c>
      <c r="G1967" t="s">
        <v>9183</v>
      </c>
      <c r="H1967" s="1" t="s">
        <v>9035</v>
      </c>
      <c r="I1967" s="1" t="s">
        <v>8998</v>
      </c>
      <c r="J1967" s="2" t="s">
        <v>9051</v>
      </c>
      <c r="K1967" s="1" t="s">
        <v>21784</v>
      </c>
      <c r="L1967" s="1" t="s">
        <v>8951</v>
      </c>
      <c r="M1967" s="1">
        <v>128000</v>
      </c>
      <c r="N1967" s="1" t="s">
        <v>8953</v>
      </c>
      <c r="O1967" s="1" t="s">
        <v>8954</v>
      </c>
      <c r="P1967" s="1" t="s">
        <v>8955</v>
      </c>
      <c r="Q1967" s="1" t="s">
        <v>8956</v>
      </c>
      <c r="R1967" s="1" t="s">
        <v>8975</v>
      </c>
      <c r="S1967" s="1" t="s">
        <v>6562</v>
      </c>
      <c r="T1967" s="1" t="s">
        <v>11</v>
      </c>
      <c r="U1967" s="1" t="s">
        <v>61</v>
      </c>
    </row>
    <row r="1968" spans="1:21" x14ac:dyDescent="0.2">
      <c r="A1968" s="88" t="s">
        <v>17657</v>
      </c>
      <c r="B1968" s="88" t="e">
        <f>VLOOKUP(C1968,#REF!,1,0)</f>
        <v>#REF!</v>
      </c>
      <c r="C1968" s="1" t="s">
        <v>21001</v>
      </c>
      <c r="D1968" s="1" t="s">
        <v>6563</v>
      </c>
      <c r="E1968" s="1" t="s">
        <v>9815</v>
      </c>
      <c r="F1968" s="1" t="s">
        <v>8959</v>
      </c>
      <c r="G1968" t="s">
        <v>8959</v>
      </c>
      <c r="H1968" s="1" t="s">
        <v>20714</v>
      </c>
      <c r="I1968" s="1" t="s">
        <v>9050</v>
      </c>
      <c r="J1968" s="2" t="s">
        <v>21238</v>
      </c>
      <c r="K1968" s="1" t="s">
        <v>21238</v>
      </c>
      <c r="L1968" s="1" t="s">
        <v>21600</v>
      </c>
      <c r="M1968" s="1">
        <v>650</v>
      </c>
      <c r="N1968" s="1" t="s">
        <v>8953</v>
      </c>
      <c r="O1968" s="1" t="s">
        <v>8954</v>
      </c>
      <c r="P1968" s="1" t="s">
        <v>8955</v>
      </c>
      <c r="Q1968" s="1" t="s">
        <v>8956</v>
      </c>
      <c r="R1968" s="1" t="s">
        <v>9103</v>
      </c>
      <c r="S1968" s="1" t="s">
        <v>19955</v>
      </c>
      <c r="T1968" s="1" t="s">
        <v>17</v>
      </c>
      <c r="U1968" s="1" t="s">
        <v>27</v>
      </c>
    </row>
    <row r="1969" spans="1:21" x14ac:dyDescent="0.2">
      <c r="A1969" s="88" t="s">
        <v>17658</v>
      </c>
      <c r="B1969" s="88" t="e">
        <f>VLOOKUP(C1969,#REF!,1,0)</f>
        <v>#REF!</v>
      </c>
      <c r="C1969" s="1" t="s">
        <v>21002</v>
      </c>
      <c r="D1969" s="1" t="s">
        <v>6564</v>
      </c>
      <c r="E1969" s="1" t="s">
        <v>18502</v>
      </c>
      <c r="F1969" s="1" t="s">
        <v>8957</v>
      </c>
      <c r="G1969" t="s">
        <v>8959</v>
      </c>
      <c r="H1969" s="1" t="s">
        <v>9100</v>
      </c>
      <c r="I1969" s="1" t="s">
        <v>8949</v>
      </c>
      <c r="J1969" s="2" t="s">
        <v>10492</v>
      </c>
      <c r="K1969" s="1" t="s">
        <v>10492</v>
      </c>
      <c r="L1969" s="1" t="s">
        <v>21600</v>
      </c>
      <c r="M1969" s="1">
        <v>145</v>
      </c>
      <c r="N1969" s="1" t="s">
        <v>8953</v>
      </c>
      <c r="O1969" s="1" t="s">
        <v>8954</v>
      </c>
      <c r="P1969" s="1" t="s">
        <v>8955</v>
      </c>
      <c r="Q1969" s="1" t="s">
        <v>8956</v>
      </c>
      <c r="R1969" s="1" t="s">
        <v>8975</v>
      </c>
      <c r="S1969" s="1" t="s">
        <v>19956</v>
      </c>
      <c r="T1969" s="1" t="s">
        <v>17</v>
      </c>
      <c r="U1969" s="1" t="s">
        <v>57</v>
      </c>
    </row>
    <row r="1970" spans="1:21" x14ac:dyDescent="0.2">
      <c r="A1970" s="88" t="s">
        <v>17659</v>
      </c>
      <c r="B1970" s="88" t="e">
        <f>VLOOKUP(C1970,#REF!,1,0)</f>
        <v>#REF!</v>
      </c>
      <c r="C1970" s="1" t="s">
        <v>6565</v>
      </c>
      <c r="D1970" s="1" t="s">
        <v>6566</v>
      </c>
      <c r="E1970" s="1" t="s">
        <v>10049</v>
      </c>
      <c r="F1970" s="1" t="s">
        <v>8957</v>
      </c>
      <c r="G1970" t="s">
        <v>9009</v>
      </c>
      <c r="H1970" s="1" t="s">
        <v>9075</v>
      </c>
      <c r="I1970" s="1" t="s">
        <v>8998</v>
      </c>
      <c r="J1970" s="2" t="s">
        <v>9018</v>
      </c>
      <c r="K1970" s="1" t="s">
        <v>9018</v>
      </c>
      <c r="L1970" s="1" t="s">
        <v>21600</v>
      </c>
      <c r="M1970" s="1">
        <v>244</v>
      </c>
      <c r="N1970" s="1" t="s">
        <v>8953</v>
      </c>
      <c r="O1970" s="1" t="s">
        <v>8954</v>
      </c>
      <c r="P1970" s="1" t="s">
        <v>8955</v>
      </c>
      <c r="Q1970" s="1" t="s">
        <v>8956</v>
      </c>
      <c r="R1970" s="1" t="s">
        <v>8958</v>
      </c>
      <c r="S1970" s="1" t="s">
        <v>6567</v>
      </c>
      <c r="T1970" s="1" t="s">
        <v>4</v>
      </c>
      <c r="U1970" s="1" t="s">
        <v>24</v>
      </c>
    </row>
    <row r="1971" spans="1:21" x14ac:dyDescent="0.2">
      <c r="A1971" s="88" t="s">
        <v>17660</v>
      </c>
      <c r="B1971" s="88" t="e">
        <f>VLOOKUP(C1971,#REF!,1,0)</f>
        <v>#REF!</v>
      </c>
      <c r="C1971" s="1" t="s">
        <v>6571</v>
      </c>
      <c r="D1971" s="1" t="s">
        <v>6572</v>
      </c>
      <c r="E1971" s="1" t="s">
        <v>18502</v>
      </c>
      <c r="F1971" s="1" t="s">
        <v>8957</v>
      </c>
      <c r="G1971" t="s">
        <v>8959</v>
      </c>
      <c r="H1971" s="1" t="s">
        <v>9075</v>
      </c>
      <c r="I1971" s="1" t="s">
        <v>8949</v>
      </c>
      <c r="J1971" s="2" t="s">
        <v>21205</v>
      </c>
      <c r="K1971" s="1" t="s">
        <v>21205</v>
      </c>
      <c r="L1971" s="1" t="s">
        <v>8951</v>
      </c>
      <c r="M1971" s="1">
        <v>110</v>
      </c>
      <c r="N1971" s="1" t="s">
        <v>9059</v>
      </c>
      <c r="O1971" s="1" t="s">
        <v>8989</v>
      </c>
      <c r="P1971" s="1" t="s">
        <v>8955</v>
      </c>
      <c r="Q1971" s="1" t="s">
        <v>8956</v>
      </c>
      <c r="R1971" s="1" t="s">
        <v>8975</v>
      </c>
      <c r="S1971" s="1" t="s">
        <v>19957</v>
      </c>
      <c r="T1971" s="1" t="s">
        <v>17</v>
      </c>
      <c r="U1971" s="1" t="s">
        <v>1076</v>
      </c>
    </row>
    <row r="1972" spans="1:21" x14ac:dyDescent="0.2">
      <c r="A1972" s="88" t="s">
        <v>17661</v>
      </c>
      <c r="B1972" s="88" t="e">
        <f>VLOOKUP(C1972,#REF!,1,0)</f>
        <v>#REF!</v>
      </c>
      <c r="C1972" s="1" t="s">
        <v>6573</v>
      </c>
      <c r="D1972" s="1" t="s">
        <v>6574</v>
      </c>
      <c r="E1972" s="1" t="s">
        <v>9010</v>
      </c>
      <c r="F1972" s="1" t="s">
        <v>8957</v>
      </c>
      <c r="G1972" t="s">
        <v>8959</v>
      </c>
      <c r="H1972" s="1" t="s">
        <v>8948</v>
      </c>
      <c r="I1972" s="1" t="s">
        <v>8949</v>
      </c>
      <c r="J1972" s="2" t="s">
        <v>8972</v>
      </c>
      <c r="K1972" s="1" t="s">
        <v>8972</v>
      </c>
      <c r="L1972" s="1" t="s">
        <v>21600</v>
      </c>
      <c r="M1972" s="1" t="s">
        <v>9479</v>
      </c>
      <c r="N1972" s="1" t="s">
        <v>8953</v>
      </c>
      <c r="O1972" s="1" t="s">
        <v>8954</v>
      </c>
      <c r="P1972" s="1" t="s">
        <v>8955</v>
      </c>
      <c r="Q1972" s="1" t="s">
        <v>8956</v>
      </c>
      <c r="R1972" s="1" t="s">
        <v>8958</v>
      </c>
      <c r="S1972" s="1" t="s">
        <v>6575</v>
      </c>
      <c r="T1972" s="1" t="s">
        <v>17</v>
      </c>
      <c r="U1972" s="1" t="s">
        <v>6576</v>
      </c>
    </row>
    <row r="1973" spans="1:21" x14ac:dyDescent="0.2">
      <c r="A1973" s="88" t="s">
        <v>17662</v>
      </c>
      <c r="B1973" s="88" t="e">
        <f>VLOOKUP(C1973,#REF!,1,0)</f>
        <v>#REF!</v>
      </c>
      <c r="C1973" s="1" t="s">
        <v>6577</v>
      </c>
      <c r="D1973" s="1" t="s">
        <v>6578</v>
      </c>
      <c r="E1973" s="1" t="s">
        <v>9310</v>
      </c>
      <c r="F1973" s="1" t="s">
        <v>8957</v>
      </c>
      <c r="G1973" t="s">
        <v>8959</v>
      </c>
      <c r="H1973" s="1" t="s">
        <v>10729</v>
      </c>
      <c r="I1973" s="1" t="s">
        <v>8998</v>
      </c>
      <c r="J1973" s="2" t="s">
        <v>9036</v>
      </c>
      <c r="K1973" s="1" t="s">
        <v>9036</v>
      </c>
      <c r="L1973" s="1" t="s">
        <v>9076</v>
      </c>
      <c r="M1973" s="1">
        <v>12</v>
      </c>
      <c r="N1973" s="1" t="s">
        <v>8953</v>
      </c>
      <c r="O1973" s="1" t="s">
        <v>8989</v>
      </c>
      <c r="P1973" s="1" t="s">
        <v>8955</v>
      </c>
      <c r="Q1973" s="1" t="s">
        <v>8956</v>
      </c>
      <c r="R1973" s="1" t="s">
        <v>8958</v>
      </c>
      <c r="S1973" s="1" t="s">
        <v>6579</v>
      </c>
      <c r="T1973" s="1" t="s">
        <v>11</v>
      </c>
      <c r="U1973" s="1" t="s">
        <v>61</v>
      </c>
    </row>
    <row r="1974" spans="1:21" x14ac:dyDescent="0.2">
      <c r="A1974" s="88" t="s">
        <v>17663</v>
      </c>
      <c r="B1974" s="88" t="e">
        <f>VLOOKUP(C1974,#REF!,1,0)</f>
        <v>#REF!</v>
      </c>
      <c r="C1974" s="1" t="s">
        <v>6583</v>
      </c>
      <c r="D1974" s="1" t="s">
        <v>6584</v>
      </c>
      <c r="E1974" s="1" t="s">
        <v>18502</v>
      </c>
      <c r="F1974" s="1" t="s">
        <v>8957</v>
      </c>
      <c r="G1974" t="s">
        <v>9061</v>
      </c>
      <c r="H1974" s="1" t="s">
        <v>9035</v>
      </c>
      <c r="I1974" s="1" t="s">
        <v>8998</v>
      </c>
      <c r="J1974" s="2" t="s">
        <v>21631</v>
      </c>
      <c r="K1974" s="1" t="s">
        <v>9041</v>
      </c>
      <c r="L1974" s="1" t="s">
        <v>8987</v>
      </c>
      <c r="M1974" s="1" t="s">
        <v>9479</v>
      </c>
      <c r="N1974" s="1" t="s">
        <v>9479</v>
      </c>
      <c r="O1974" s="1" t="s">
        <v>9479</v>
      </c>
      <c r="P1974" s="1" t="s">
        <v>8955</v>
      </c>
      <c r="Q1974" s="1" t="s">
        <v>8956</v>
      </c>
      <c r="R1974" s="1" t="s">
        <v>8975</v>
      </c>
      <c r="S1974" s="1" t="s">
        <v>19959</v>
      </c>
      <c r="T1974" s="1" t="s">
        <v>7</v>
      </c>
      <c r="U1974" s="1" t="s">
        <v>378</v>
      </c>
    </row>
    <row r="1975" spans="1:21" x14ac:dyDescent="0.2">
      <c r="A1975" s="88" t="s">
        <v>17664</v>
      </c>
      <c r="B1975" s="88" t="e">
        <f>VLOOKUP(C1975,#REF!,1,0)</f>
        <v>#REF!</v>
      </c>
      <c r="C1975" s="1" t="s">
        <v>6587</v>
      </c>
      <c r="D1975" s="1" t="s">
        <v>6588</v>
      </c>
      <c r="E1975" s="1" t="s">
        <v>9333</v>
      </c>
      <c r="F1975" s="1" t="s">
        <v>8957</v>
      </c>
      <c r="G1975" t="s">
        <v>8959</v>
      </c>
      <c r="H1975" s="1" t="s">
        <v>8948</v>
      </c>
      <c r="I1975" s="1" t="s">
        <v>8949</v>
      </c>
      <c r="J1975" s="2" t="s">
        <v>10459</v>
      </c>
      <c r="K1975" s="1" t="s">
        <v>10459</v>
      </c>
      <c r="L1975" s="1" t="s">
        <v>9076</v>
      </c>
      <c r="M1975" s="1">
        <v>6025</v>
      </c>
      <c r="N1975" s="1" t="s">
        <v>8953</v>
      </c>
      <c r="O1975" s="1" t="s">
        <v>8954</v>
      </c>
      <c r="P1975" s="1" t="s">
        <v>8955</v>
      </c>
      <c r="Q1975" s="1" t="s">
        <v>8956</v>
      </c>
      <c r="R1975" s="1" t="s">
        <v>8958</v>
      </c>
      <c r="S1975" s="1" t="s">
        <v>6589</v>
      </c>
      <c r="T1975" s="1" t="s">
        <v>17</v>
      </c>
      <c r="U1975" s="1" t="s">
        <v>808</v>
      </c>
    </row>
    <row r="1976" spans="1:21" x14ac:dyDescent="0.2">
      <c r="A1976" s="88" t="s">
        <v>17665</v>
      </c>
      <c r="B1976" s="88" t="e">
        <f>VLOOKUP(C1976,#REF!,1,0)</f>
        <v>#REF!</v>
      </c>
      <c r="C1976" s="1" t="s">
        <v>6593</v>
      </c>
      <c r="D1976" s="1" t="s">
        <v>6594</v>
      </c>
      <c r="E1976" s="1" t="s">
        <v>9010</v>
      </c>
      <c r="F1976" s="1" t="s">
        <v>8957</v>
      </c>
      <c r="G1976" t="s">
        <v>9009</v>
      </c>
      <c r="H1976" s="1" t="s">
        <v>9252</v>
      </c>
      <c r="I1976" s="1" t="s">
        <v>9253</v>
      </c>
      <c r="J1976" s="2" t="s">
        <v>21390</v>
      </c>
      <c r="K1976" s="1" t="s">
        <v>21390</v>
      </c>
      <c r="L1976" s="1" t="s">
        <v>8951</v>
      </c>
      <c r="M1976" s="1">
        <v>2478</v>
      </c>
      <c r="N1976" s="1" t="s">
        <v>8953</v>
      </c>
      <c r="O1976" s="1" t="s">
        <v>8989</v>
      </c>
      <c r="P1976" s="1" t="s">
        <v>8955</v>
      </c>
      <c r="Q1976" s="1" t="s">
        <v>8956</v>
      </c>
      <c r="R1976" s="1" t="s">
        <v>8958</v>
      </c>
      <c r="S1976" s="1" t="s">
        <v>6595</v>
      </c>
      <c r="T1976" s="1" t="s">
        <v>17</v>
      </c>
      <c r="U1976" s="1" t="s">
        <v>24</v>
      </c>
    </row>
    <row r="1977" spans="1:21" x14ac:dyDescent="0.2">
      <c r="A1977" s="88" t="s">
        <v>17667</v>
      </c>
      <c r="B1977" s="88" t="e">
        <f>VLOOKUP(C1977,#REF!,1,0)</f>
        <v>#REF!</v>
      </c>
      <c r="C1977" s="1" t="s">
        <v>6598</v>
      </c>
      <c r="D1977" s="1" t="s">
        <v>6599</v>
      </c>
      <c r="E1977" s="1" t="s">
        <v>18502</v>
      </c>
      <c r="F1977" s="1" t="s">
        <v>8957</v>
      </c>
      <c r="G1977" t="s">
        <v>9061</v>
      </c>
      <c r="H1977" s="1" t="s">
        <v>20712</v>
      </c>
      <c r="I1977" s="1" t="s">
        <v>9155</v>
      </c>
      <c r="J1977" s="2" t="s">
        <v>18497</v>
      </c>
      <c r="K1977" s="1" t="s">
        <v>18497</v>
      </c>
      <c r="L1977" s="1" t="s">
        <v>9076</v>
      </c>
      <c r="M1977" s="1">
        <v>3200</v>
      </c>
      <c r="N1977" s="1" t="s">
        <v>8953</v>
      </c>
      <c r="O1977" s="1" t="s">
        <v>8954</v>
      </c>
      <c r="P1977" s="1" t="s">
        <v>8955</v>
      </c>
      <c r="Q1977" s="1" t="s">
        <v>8956</v>
      </c>
      <c r="R1977" s="1" t="s">
        <v>9103</v>
      </c>
      <c r="S1977" s="1" t="s">
        <v>19963</v>
      </c>
      <c r="T1977" s="1" t="s">
        <v>17</v>
      </c>
      <c r="U1977" s="1" t="s">
        <v>4369</v>
      </c>
    </row>
    <row r="1978" spans="1:21" x14ac:dyDescent="0.2">
      <c r="A1978" s="88" t="s">
        <v>17668</v>
      </c>
      <c r="B1978" s="88" t="e">
        <f>VLOOKUP(C1978,#REF!,1,0)</f>
        <v>#REF!</v>
      </c>
      <c r="C1978" s="1" t="s">
        <v>6600</v>
      </c>
      <c r="D1978" s="1" t="s">
        <v>6601</v>
      </c>
      <c r="E1978" s="1" t="s">
        <v>9310</v>
      </c>
      <c r="F1978" s="1" t="s">
        <v>8959</v>
      </c>
      <c r="G1978" t="s">
        <v>8959</v>
      </c>
      <c r="H1978" s="1" t="s">
        <v>9252</v>
      </c>
      <c r="I1978" s="1" t="s">
        <v>18504</v>
      </c>
      <c r="J1978" s="2" t="s">
        <v>18497</v>
      </c>
      <c r="K1978" s="1" t="s">
        <v>18497</v>
      </c>
      <c r="L1978" s="1" t="s">
        <v>8951</v>
      </c>
      <c r="M1978" s="1">
        <v>1699</v>
      </c>
      <c r="N1978" s="1" t="s">
        <v>8953</v>
      </c>
      <c r="O1978" s="1" t="s">
        <v>8954</v>
      </c>
      <c r="P1978" s="1" t="s">
        <v>8955</v>
      </c>
      <c r="Q1978" s="1" t="s">
        <v>8956</v>
      </c>
      <c r="R1978" s="1" t="s">
        <v>8958</v>
      </c>
      <c r="S1978" s="1" t="s">
        <v>19964</v>
      </c>
      <c r="T1978" s="1" t="s">
        <v>7</v>
      </c>
      <c r="U1978" s="1" t="s">
        <v>93</v>
      </c>
    </row>
    <row r="1979" spans="1:21" x14ac:dyDescent="0.2">
      <c r="A1979" s="88" t="s">
        <v>17669</v>
      </c>
      <c r="B1979" s="88" t="e">
        <f>VLOOKUP(C1979,#REF!,1,0)</f>
        <v>#REF!</v>
      </c>
      <c r="C1979" s="1" t="s">
        <v>6602</v>
      </c>
      <c r="D1979" s="1" t="s">
        <v>6603</v>
      </c>
      <c r="E1979" s="1" t="s">
        <v>9310</v>
      </c>
      <c r="F1979" s="1" t="s">
        <v>8957</v>
      </c>
      <c r="G1979" t="s">
        <v>8959</v>
      </c>
      <c r="H1979" s="1" t="s">
        <v>9252</v>
      </c>
      <c r="I1979" s="1" t="s">
        <v>9308</v>
      </c>
      <c r="J1979" s="2" t="s">
        <v>9309</v>
      </c>
      <c r="K1979" s="1" t="s">
        <v>9309</v>
      </c>
      <c r="L1979" s="1" t="s">
        <v>21600</v>
      </c>
      <c r="M1979" s="1">
        <v>2606</v>
      </c>
      <c r="N1979" s="1" t="s">
        <v>8953</v>
      </c>
      <c r="O1979" s="1" t="s">
        <v>8954</v>
      </c>
      <c r="P1979" s="1" t="s">
        <v>8955</v>
      </c>
      <c r="Q1979" s="1" t="s">
        <v>8956</v>
      </c>
      <c r="R1979" s="1" t="s">
        <v>8958</v>
      </c>
      <c r="S1979" s="1" t="s">
        <v>6604</v>
      </c>
      <c r="T1979" s="1" t="s">
        <v>17</v>
      </c>
      <c r="U1979" s="1" t="s">
        <v>184</v>
      </c>
    </row>
    <row r="1980" spans="1:21" x14ac:dyDescent="0.2">
      <c r="A1980" s="88" t="s">
        <v>17670</v>
      </c>
      <c r="B1980" s="88" t="e">
        <f>VLOOKUP(C1980,#REF!,1,0)</f>
        <v>#REF!</v>
      </c>
      <c r="C1980" s="1" t="s">
        <v>6605</v>
      </c>
      <c r="D1980" s="1" t="s">
        <v>6606</v>
      </c>
      <c r="E1980" s="1" t="s">
        <v>9310</v>
      </c>
      <c r="F1980" s="1" t="s">
        <v>8957</v>
      </c>
      <c r="G1980" t="s">
        <v>9183</v>
      </c>
      <c r="H1980" s="1" t="s">
        <v>9100</v>
      </c>
      <c r="I1980" s="1" t="s">
        <v>8949</v>
      </c>
      <c r="J1980" s="2" t="s">
        <v>10178</v>
      </c>
      <c r="K1980" s="1" t="s">
        <v>21524</v>
      </c>
      <c r="L1980" s="1" t="s">
        <v>8951</v>
      </c>
      <c r="M1980" s="1">
        <v>165</v>
      </c>
      <c r="N1980" s="1" t="s">
        <v>8953</v>
      </c>
      <c r="O1980" s="1" t="s">
        <v>8989</v>
      </c>
      <c r="P1980" s="1" t="s">
        <v>8955</v>
      </c>
      <c r="Q1980" s="1" t="s">
        <v>8956</v>
      </c>
      <c r="R1980" s="1" t="s">
        <v>8958</v>
      </c>
      <c r="S1980" s="1" t="s">
        <v>6607</v>
      </c>
      <c r="T1980" s="1" t="s">
        <v>11</v>
      </c>
      <c r="U1980" s="1" t="s">
        <v>46</v>
      </c>
    </row>
    <row r="1981" spans="1:21" x14ac:dyDescent="0.2">
      <c r="A1981" s="88" t="s">
        <v>17671</v>
      </c>
      <c r="B1981" s="88" t="e">
        <f>VLOOKUP(C1981,#REF!,1,0)</f>
        <v>#REF!</v>
      </c>
      <c r="C1981" s="1" t="s">
        <v>6608</v>
      </c>
      <c r="D1981" s="1" t="s">
        <v>6609</v>
      </c>
      <c r="E1981" s="1" t="s">
        <v>9310</v>
      </c>
      <c r="F1981" s="1" t="s">
        <v>8957</v>
      </c>
      <c r="G1981" t="s">
        <v>8959</v>
      </c>
      <c r="H1981" s="1" t="s">
        <v>9100</v>
      </c>
      <c r="I1981" s="1" t="s">
        <v>9725</v>
      </c>
      <c r="J1981" s="2" t="s">
        <v>12500</v>
      </c>
      <c r="K1981" s="1" t="s">
        <v>12500</v>
      </c>
      <c r="L1981" s="1" t="s">
        <v>9133</v>
      </c>
      <c r="M1981" s="1">
        <v>220</v>
      </c>
      <c r="N1981" s="1" t="s">
        <v>9059</v>
      </c>
      <c r="O1981" s="1" t="s">
        <v>8954</v>
      </c>
      <c r="P1981" s="1" t="s">
        <v>8955</v>
      </c>
      <c r="Q1981" s="1" t="s">
        <v>8956</v>
      </c>
      <c r="R1981" s="1" t="s">
        <v>8975</v>
      </c>
      <c r="S1981" s="1" t="s">
        <v>6610</v>
      </c>
      <c r="T1981" s="1" t="s">
        <v>17</v>
      </c>
      <c r="U1981" s="1" t="s">
        <v>938</v>
      </c>
    </row>
    <row r="1982" spans="1:21" x14ac:dyDescent="0.2">
      <c r="A1982" s="88" t="s">
        <v>17672</v>
      </c>
      <c r="B1982" s="88" t="e">
        <f>VLOOKUP(C1982,#REF!,1,0)</f>
        <v>#REF!</v>
      </c>
      <c r="C1982" s="1" t="s">
        <v>6611</v>
      </c>
      <c r="D1982" s="1" t="s">
        <v>6612</v>
      </c>
      <c r="E1982" s="1" t="s">
        <v>9310</v>
      </c>
      <c r="F1982" s="1" t="s">
        <v>9060</v>
      </c>
      <c r="G1982" t="s">
        <v>8959</v>
      </c>
      <c r="H1982" s="1" t="s">
        <v>9075</v>
      </c>
      <c r="I1982" s="1" t="s">
        <v>9155</v>
      </c>
      <c r="J1982" s="2" t="s">
        <v>20838</v>
      </c>
      <c r="K1982" s="1" t="s">
        <v>20755</v>
      </c>
      <c r="L1982" s="1" t="s">
        <v>8987</v>
      </c>
      <c r="M1982" s="1">
        <v>1562</v>
      </c>
      <c r="N1982" s="1" t="s">
        <v>8953</v>
      </c>
      <c r="O1982" s="1" t="s">
        <v>8989</v>
      </c>
      <c r="P1982" s="1" t="s">
        <v>8955</v>
      </c>
      <c r="Q1982" s="1" t="s">
        <v>8956</v>
      </c>
      <c r="R1982" s="1" t="s">
        <v>8975</v>
      </c>
      <c r="S1982" s="1" t="s">
        <v>19965</v>
      </c>
      <c r="T1982" s="1" t="s">
        <v>17</v>
      </c>
      <c r="U1982" s="1" t="s">
        <v>147</v>
      </c>
    </row>
    <row r="1983" spans="1:21" x14ac:dyDescent="0.2">
      <c r="A1983" s="88" t="s">
        <v>17673</v>
      </c>
      <c r="B1983" s="88" t="e">
        <f>VLOOKUP(C1983,#REF!,1,0)</f>
        <v>#REF!</v>
      </c>
      <c r="C1983" s="1" t="s">
        <v>6613</v>
      </c>
      <c r="D1983" s="1" t="s">
        <v>6614</v>
      </c>
      <c r="E1983" s="1" t="s">
        <v>9310</v>
      </c>
      <c r="F1983" s="1" t="s">
        <v>8957</v>
      </c>
      <c r="G1983" t="s">
        <v>9061</v>
      </c>
      <c r="H1983" s="1" t="s">
        <v>8948</v>
      </c>
      <c r="I1983" s="1" t="s">
        <v>9308</v>
      </c>
      <c r="J1983" s="2" t="s">
        <v>20779</v>
      </c>
      <c r="K1983" s="1" t="s">
        <v>9036</v>
      </c>
      <c r="L1983" s="1" t="s">
        <v>9133</v>
      </c>
      <c r="M1983" s="1">
        <v>688</v>
      </c>
      <c r="N1983" s="1" t="s">
        <v>8953</v>
      </c>
      <c r="O1983" s="1" t="s">
        <v>8989</v>
      </c>
      <c r="P1983" s="1" t="s">
        <v>8955</v>
      </c>
      <c r="Q1983" s="1" t="s">
        <v>8956</v>
      </c>
      <c r="R1983" s="1" t="s">
        <v>8958</v>
      </c>
      <c r="S1983" s="1" t="s">
        <v>19966</v>
      </c>
      <c r="T1983" s="1" t="s">
        <v>7</v>
      </c>
      <c r="U1983" s="1" t="s">
        <v>93</v>
      </c>
    </row>
    <row r="1984" spans="1:21" x14ac:dyDescent="0.2">
      <c r="A1984" s="88" t="s">
        <v>17674</v>
      </c>
      <c r="B1984" s="88" t="e">
        <f>VLOOKUP(C1984,#REF!,1,0)</f>
        <v>#REF!</v>
      </c>
      <c r="C1984" s="1" t="s">
        <v>6615</v>
      </c>
      <c r="D1984" s="1" t="s">
        <v>6616</v>
      </c>
      <c r="E1984" s="1" t="s">
        <v>18502</v>
      </c>
      <c r="F1984" s="1" t="s">
        <v>8959</v>
      </c>
      <c r="G1984" t="s">
        <v>8959</v>
      </c>
      <c r="H1984" s="1" t="s">
        <v>9252</v>
      </c>
      <c r="I1984" s="1" t="s">
        <v>18504</v>
      </c>
      <c r="J1984" s="2" t="s">
        <v>18497</v>
      </c>
      <c r="K1984" s="1" t="s">
        <v>18497</v>
      </c>
      <c r="L1984" s="1" t="s">
        <v>8987</v>
      </c>
      <c r="M1984" s="1">
        <v>1001093</v>
      </c>
      <c r="N1984" s="1" t="s">
        <v>8953</v>
      </c>
      <c r="O1984" s="1" t="s">
        <v>8989</v>
      </c>
      <c r="P1984" s="1" t="s">
        <v>8955</v>
      </c>
      <c r="Q1984" s="1" t="s">
        <v>8956</v>
      </c>
      <c r="R1984" s="1" t="s">
        <v>8975</v>
      </c>
      <c r="S1984" s="1" t="s">
        <v>19967</v>
      </c>
      <c r="T1984" s="1" t="s">
        <v>17</v>
      </c>
      <c r="U1984" s="1" t="s">
        <v>1957</v>
      </c>
    </row>
    <row r="1985" spans="1:21" x14ac:dyDescent="0.2">
      <c r="A1985" s="88" t="s">
        <v>17675</v>
      </c>
      <c r="B1985" s="88"/>
      <c r="C1985" s="1" t="s">
        <v>6617</v>
      </c>
      <c r="D1985" s="1" t="s">
        <v>6618</v>
      </c>
      <c r="E1985" s="1" t="e">
        <v>#N/A</v>
      </c>
      <c r="F1985" s="1" t="e">
        <v>#N/A</v>
      </c>
      <c r="G1985" t="e">
        <v>#N/A</v>
      </c>
      <c r="H1985" s="1" t="e">
        <v>#N/A</v>
      </c>
      <c r="I1985" s="1" t="e">
        <v>#N/A</v>
      </c>
      <c r="J1985" s="2" t="e">
        <v>#N/A</v>
      </c>
      <c r="K1985" s="1" t="e">
        <v>#N/A</v>
      </c>
      <c r="L1985" s="1" t="e">
        <v>#N/A</v>
      </c>
      <c r="M1985" s="1" t="e">
        <v>#N/A</v>
      </c>
      <c r="N1985" s="1" t="e">
        <v>#N/A</v>
      </c>
      <c r="O1985" s="1" t="e">
        <v>#N/A</v>
      </c>
      <c r="P1985" s="1" t="s">
        <v>8955</v>
      </c>
      <c r="Q1985" s="1" t="s">
        <v>8956</v>
      </c>
      <c r="R1985" s="1" t="s">
        <v>8975</v>
      </c>
      <c r="S1985" s="1" t="s">
        <v>19968</v>
      </c>
      <c r="T1985" s="1" t="s">
        <v>252</v>
      </c>
      <c r="U1985" s="1" t="s">
        <v>126</v>
      </c>
    </row>
    <row r="1986" spans="1:21" x14ac:dyDescent="0.2">
      <c r="A1986" s="88" t="s">
        <v>17676</v>
      </c>
      <c r="B1986" s="88" t="e">
        <f>VLOOKUP(C1986,#REF!,1,0)</f>
        <v>#REF!</v>
      </c>
      <c r="C1986" s="1" t="s">
        <v>6619</v>
      </c>
      <c r="D1986" s="1" t="s">
        <v>6620</v>
      </c>
      <c r="E1986" s="1" t="s">
        <v>18502</v>
      </c>
      <c r="F1986" s="1" t="s">
        <v>8957</v>
      </c>
      <c r="G1986" t="s">
        <v>8959</v>
      </c>
      <c r="H1986" s="1" t="s">
        <v>9092</v>
      </c>
      <c r="I1986" s="1" t="s">
        <v>8949</v>
      </c>
      <c r="J1986" s="2" t="s">
        <v>10492</v>
      </c>
      <c r="K1986" s="1" t="s">
        <v>10492</v>
      </c>
      <c r="L1986" s="1" t="s">
        <v>9464</v>
      </c>
      <c r="M1986" s="1">
        <v>22950</v>
      </c>
      <c r="N1986" s="1" t="s">
        <v>8953</v>
      </c>
      <c r="O1986" s="1" t="s">
        <v>8989</v>
      </c>
      <c r="P1986" s="1" t="s">
        <v>8955</v>
      </c>
      <c r="Q1986" s="1" t="s">
        <v>8956</v>
      </c>
      <c r="R1986" s="1" t="s">
        <v>9103</v>
      </c>
      <c r="S1986" s="1" t="s">
        <v>19969</v>
      </c>
      <c r="T1986" s="1" t="s">
        <v>17</v>
      </c>
      <c r="U1986" s="1" t="s">
        <v>5497</v>
      </c>
    </row>
    <row r="1987" spans="1:21" x14ac:dyDescent="0.2">
      <c r="A1987" s="88" t="s">
        <v>17677</v>
      </c>
      <c r="B1987" s="88" t="e">
        <f>VLOOKUP(C1987,#REF!,1,0)</f>
        <v>#REF!</v>
      </c>
      <c r="C1987" s="1" t="s">
        <v>6625</v>
      </c>
      <c r="D1987" s="1" t="s">
        <v>6626</v>
      </c>
      <c r="E1987" s="1" t="s">
        <v>9387</v>
      </c>
      <c r="F1987" s="1" t="s">
        <v>8957</v>
      </c>
      <c r="G1987" t="s">
        <v>8959</v>
      </c>
      <c r="H1987" s="1" t="s">
        <v>9092</v>
      </c>
      <c r="I1987" s="1" t="s">
        <v>8998</v>
      </c>
      <c r="J1987" s="2" t="s">
        <v>10492</v>
      </c>
      <c r="K1987" s="1" t="s">
        <v>21645</v>
      </c>
      <c r="L1987" s="1" t="s">
        <v>21010</v>
      </c>
      <c r="M1987" s="1">
        <v>50941</v>
      </c>
      <c r="N1987" s="1" t="s">
        <v>8953</v>
      </c>
      <c r="O1987" s="1" t="s">
        <v>8989</v>
      </c>
      <c r="P1987" s="1" t="s">
        <v>8955</v>
      </c>
      <c r="Q1987" s="1" t="s">
        <v>8956</v>
      </c>
      <c r="R1987" s="1" t="s">
        <v>8958</v>
      </c>
      <c r="S1987" s="1" t="s">
        <v>19970</v>
      </c>
      <c r="T1987" s="1" t="s">
        <v>17</v>
      </c>
      <c r="U1987" s="1" t="s">
        <v>126</v>
      </c>
    </row>
    <row r="1988" spans="1:21" x14ac:dyDescent="0.2">
      <c r="A1988" s="88" t="s">
        <v>17678</v>
      </c>
      <c r="B1988" s="88" t="e">
        <f>VLOOKUP(C1988,#REF!,1,0)</f>
        <v>#REF!</v>
      </c>
      <c r="C1988" s="1" t="s">
        <v>6627</v>
      </c>
      <c r="D1988" s="1" t="s">
        <v>6628</v>
      </c>
      <c r="E1988" s="1" t="s">
        <v>18502</v>
      </c>
      <c r="F1988" s="1" t="s">
        <v>8957</v>
      </c>
      <c r="G1988" t="s">
        <v>9009</v>
      </c>
      <c r="H1988" s="1" t="s">
        <v>9154</v>
      </c>
      <c r="I1988" s="1" t="s">
        <v>8998</v>
      </c>
      <c r="J1988" s="2" t="s">
        <v>20779</v>
      </c>
      <c r="K1988" s="1" t="s">
        <v>9036</v>
      </c>
      <c r="L1988" s="1" t="s">
        <v>9292</v>
      </c>
      <c r="M1988" s="1">
        <v>300</v>
      </c>
      <c r="N1988" s="1" t="s">
        <v>9059</v>
      </c>
      <c r="O1988" s="1" t="s">
        <v>8989</v>
      </c>
      <c r="P1988" s="1" t="s">
        <v>8955</v>
      </c>
      <c r="Q1988" s="1" t="s">
        <v>8956</v>
      </c>
      <c r="R1988" s="1" t="s">
        <v>8975</v>
      </c>
      <c r="S1988" s="1" t="s">
        <v>19971</v>
      </c>
      <c r="T1988" s="1" t="s">
        <v>17</v>
      </c>
      <c r="U1988" s="1" t="s">
        <v>544</v>
      </c>
    </row>
    <row r="1989" spans="1:21" x14ac:dyDescent="0.2">
      <c r="A1989" s="88" t="s">
        <v>17679</v>
      </c>
      <c r="B1989" s="88" t="e">
        <f>VLOOKUP(C1989,#REF!,1,0)</f>
        <v>#REF!</v>
      </c>
      <c r="C1989" s="1" t="s">
        <v>6629</v>
      </c>
      <c r="D1989" s="1" t="s">
        <v>6630</v>
      </c>
      <c r="E1989" s="1" t="s">
        <v>9010</v>
      </c>
      <c r="F1989" s="1" t="s">
        <v>8957</v>
      </c>
      <c r="G1989" t="s">
        <v>8959</v>
      </c>
      <c r="H1989" s="1" t="s">
        <v>9252</v>
      </c>
      <c r="I1989" s="1" t="s">
        <v>9253</v>
      </c>
      <c r="J1989" s="2" t="s">
        <v>9036</v>
      </c>
      <c r="K1989" s="1" t="s">
        <v>9036</v>
      </c>
      <c r="L1989" s="1" t="s">
        <v>8951</v>
      </c>
      <c r="M1989" s="1">
        <v>99</v>
      </c>
      <c r="N1989" s="1" t="s">
        <v>9059</v>
      </c>
      <c r="O1989" s="1" t="s">
        <v>8989</v>
      </c>
      <c r="P1989" s="1" t="s">
        <v>8955</v>
      </c>
      <c r="Q1989" s="1" t="s">
        <v>8956</v>
      </c>
      <c r="R1989" s="1" t="s">
        <v>8975</v>
      </c>
      <c r="S1989" s="1" t="s">
        <v>6631</v>
      </c>
      <c r="T1989" s="1" t="s">
        <v>11</v>
      </c>
      <c r="U1989" s="1" t="s">
        <v>174</v>
      </c>
    </row>
    <row r="1990" spans="1:21" x14ac:dyDescent="0.2">
      <c r="A1990" s="88" t="s">
        <v>17680</v>
      </c>
      <c r="B1990" s="88" t="e">
        <f>VLOOKUP(C1990,#REF!,1,0)</f>
        <v>#REF!</v>
      </c>
      <c r="C1990" s="1" t="s">
        <v>6632</v>
      </c>
      <c r="D1990" s="1" t="s">
        <v>6633</v>
      </c>
      <c r="E1990" s="1" t="s">
        <v>9310</v>
      </c>
      <c r="F1990" s="1" t="s">
        <v>8957</v>
      </c>
      <c r="G1990" t="s">
        <v>8959</v>
      </c>
      <c r="H1990" s="1" t="s">
        <v>8984</v>
      </c>
      <c r="I1990" s="1" t="s">
        <v>9131</v>
      </c>
      <c r="J1990" s="2" t="s">
        <v>20783</v>
      </c>
      <c r="K1990" s="1" t="s">
        <v>10381</v>
      </c>
      <c r="L1990" s="1" t="s">
        <v>21006</v>
      </c>
      <c r="M1990" s="1">
        <v>43</v>
      </c>
      <c r="N1990" s="1" t="s">
        <v>9059</v>
      </c>
      <c r="O1990" s="1" t="s">
        <v>8989</v>
      </c>
      <c r="P1990" s="1" t="s">
        <v>8955</v>
      </c>
      <c r="Q1990" s="1" t="s">
        <v>8956</v>
      </c>
      <c r="R1990" s="1" t="s">
        <v>8958</v>
      </c>
      <c r="S1990" s="1" t="s">
        <v>19972</v>
      </c>
      <c r="T1990" s="1" t="s">
        <v>17</v>
      </c>
      <c r="U1990" s="1" t="s">
        <v>1010</v>
      </c>
    </row>
    <row r="1991" spans="1:21" x14ac:dyDescent="0.2">
      <c r="A1991" s="88" t="s">
        <v>17681</v>
      </c>
      <c r="B1991" s="88" t="e">
        <f>VLOOKUP(C1991,#REF!,1,0)</f>
        <v>#REF!</v>
      </c>
      <c r="C1991" s="1" t="s">
        <v>6634</v>
      </c>
      <c r="D1991" s="1" t="s">
        <v>6635</v>
      </c>
      <c r="E1991" s="1" t="s">
        <v>9310</v>
      </c>
      <c r="F1991" s="1" t="s">
        <v>8957</v>
      </c>
      <c r="G1991" t="s">
        <v>8959</v>
      </c>
      <c r="H1991" s="1" t="s">
        <v>20714</v>
      </c>
      <c r="I1991" s="1" t="s">
        <v>20725</v>
      </c>
      <c r="J1991" s="2" t="s">
        <v>20779</v>
      </c>
      <c r="K1991" s="1" t="s">
        <v>9036</v>
      </c>
      <c r="L1991" s="1" t="s">
        <v>9464</v>
      </c>
      <c r="M1991" s="1">
        <v>90112</v>
      </c>
      <c r="N1991" s="1" t="s">
        <v>20915</v>
      </c>
      <c r="O1991" s="1" t="s">
        <v>8989</v>
      </c>
      <c r="P1991" s="1" t="s">
        <v>8955</v>
      </c>
      <c r="Q1991" s="1" t="s">
        <v>8956</v>
      </c>
      <c r="R1991" s="1" t="s">
        <v>8958</v>
      </c>
      <c r="S1991" s="1" t="s">
        <v>19973</v>
      </c>
      <c r="T1991" s="1" t="s">
        <v>17</v>
      </c>
      <c r="U1991" s="1" t="s">
        <v>378</v>
      </c>
    </row>
    <row r="1992" spans="1:21" x14ac:dyDescent="0.2">
      <c r="A1992" s="88" t="s">
        <v>17682</v>
      </c>
      <c r="B1992" s="88" t="e">
        <f>VLOOKUP(C1992,#REF!,1,0)</f>
        <v>#REF!</v>
      </c>
      <c r="C1992" s="1" t="s">
        <v>6636</v>
      </c>
      <c r="D1992" s="1" t="s">
        <v>6637</v>
      </c>
      <c r="E1992" s="1" t="s">
        <v>9310</v>
      </c>
      <c r="F1992" s="1" t="s">
        <v>8957</v>
      </c>
      <c r="G1992" t="s">
        <v>8959</v>
      </c>
      <c r="H1992" s="1" t="s">
        <v>9943</v>
      </c>
      <c r="I1992" s="1" t="s">
        <v>8971</v>
      </c>
      <c r="J1992" s="2" t="s">
        <v>21008</v>
      </c>
      <c r="K1992" s="1" t="s">
        <v>21871</v>
      </c>
      <c r="L1992" s="1" t="s">
        <v>8987</v>
      </c>
      <c r="M1992" s="1">
        <v>1937</v>
      </c>
      <c r="N1992" s="1" t="s">
        <v>8953</v>
      </c>
      <c r="O1992" s="1" t="s">
        <v>8989</v>
      </c>
      <c r="P1992" s="1" t="s">
        <v>8955</v>
      </c>
      <c r="Q1992" s="1" t="s">
        <v>8956</v>
      </c>
      <c r="R1992" s="1" t="s">
        <v>8975</v>
      </c>
      <c r="S1992" s="1" t="s">
        <v>19974</v>
      </c>
      <c r="T1992" s="1" t="s">
        <v>7</v>
      </c>
      <c r="U1992" s="1" t="s">
        <v>184</v>
      </c>
    </row>
    <row r="1993" spans="1:21" x14ac:dyDescent="0.2">
      <c r="A1993" s="88" t="s">
        <v>17683</v>
      </c>
      <c r="B1993" s="88" t="e">
        <f>VLOOKUP(C1993,#REF!,1,0)</f>
        <v>#REF!</v>
      </c>
      <c r="C1993" s="1" t="s">
        <v>6638</v>
      </c>
      <c r="D1993" s="1" t="s">
        <v>6639</v>
      </c>
      <c r="E1993" s="1" t="s">
        <v>9010</v>
      </c>
      <c r="F1993" s="1" t="s">
        <v>8957</v>
      </c>
      <c r="G1993" t="s">
        <v>8959</v>
      </c>
      <c r="H1993" s="1" t="s">
        <v>8948</v>
      </c>
      <c r="I1993" s="1" t="s">
        <v>8949</v>
      </c>
      <c r="J1993" s="2" t="s">
        <v>9679</v>
      </c>
      <c r="K1993" s="1" t="s">
        <v>21783</v>
      </c>
      <c r="L1993" s="1" t="s">
        <v>9464</v>
      </c>
      <c r="M1993" s="1">
        <v>9300</v>
      </c>
      <c r="N1993" s="1" t="s">
        <v>8953</v>
      </c>
      <c r="O1993" s="1" t="s">
        <v>8954</v>
      </c>
      <c r="P1993" s="1" t="s">
        <v>8955</v>
      </c>
      <c r="Q1993" s="1" t="s">
        <v>8956</v>
      </c>
      <c r="R1993" s="1" t="s">
        <v>8958</v>
      </c>
      <c r="S1993" s="1" t="s">
        <v>6640</v>
      </c>
      <c r="T1993" s="1" t="s">
        <v>11</v>
      </c>
      <c r="U1993" s="1" t="s">
        <v>2988</v>
      </c>
    </row>
    <row r="1994" spans="1:21" x14ac:dyDescent="0.2">
      <c r="A1994" s="88" t="s">
        <v>17684</v>
      </c>
      <c r="B1994" s="88" t="e">
        <f>VLOOKUP(C1994,#REF!,1,0)</f>
        <v>#REF!</v>
      </c>
      <c r="C1994" s="1" t="s">
        <v>6641</v>
      </c>
      <c r="D1994" s="1" t="s">
        <v>6642</v>
      </c>
      <c r="E1994" s="1" t="s">
        <v>9310</v>
      </c>
      <c r="F1994" s="1" t="s">
        <v>8957</v>
      </c>
      <c r="G1994" t="s">
        <v>9009</v>
      </c>
      <c r="H1994" s="1" t="s">
        <v>9605</v>
      </c>
      <c r="I1994" s="1" t="s">
        <v>9422</v>
      </c>
      <c r="J1994" s="2" t="s">
        <v>21469</v>
      </c>
      <c r="K1994" s="1" t="s">
        <v>21469</v>
      </c>
      <c r="L1994" s="1" t="s">
        <v>8987</v>
      </c>
      <c r="M1994" s="1">
        <v>166</v>
      </c>
      <c r="N1994" s="1" t="s">
        <v>8953</v>
      </c>
      <c r="O1994" s="1" t="s">
        <v>8954</v>
      </c>
      <c r="P1994" s="1" t="s">
        <v>8955</v>
      </c>
      <c r="Q1994" s="1" t="s">
        <v>8956</v>
      </c>
      <c r="R1994" s="1" t="s">
        <v>8958</v>
      </c>
      <c r="S1994" s="1" t="s">
        <v>6643</v>
      </c>
      <c r="T1994" s="1" t="s">
        <v>4</v>
      </c>
      <c r="U1994" s="1" t="s">
        <v>27</v>
      </c>
    </row>
    <row r="1995" spans="1:21" x14ac:dyDescent="0.2">
      <c r="A1995" s="88" t="s">
        <v>17685</v>
      </c>
      <c r="B1995" s="88" t="e">
        <f>VLOOKUP(C1995,#REF!,1,0)</f>
        <v>#REF!</v>
      </c>
      <c r="C1995" s="1" t="s">
        <v>6644</v>
      </c>
      <c r="D1995" s="1" t="s">
        <v>6645</v>
      </c>
      <c r="E1995" s="1" t="s">
        <v>9310</v>
      </c>
      <c r="F1995" s="1" t="s">
        <v>8957</v>
      </c>
      <c r="G1995" t="s">
        <v>8959</v>
      </c>
      <c r="H1995" s="1" t="s">
        <v>9100</v>
      </c>
      <c r="I1995" s="1" t="s">
        <v>9155</v>
      </c>
      <c r="J1995" s="2" t="s">
        <v>21470</v>
      </c>
      <c r="K1995" s="1" t="s">
        <v>21470</v>
      </c>
      <c r="L1995" s="1" t="s">
        <v>8987</v>
      </c>
      <c r="M1995" s="1">
        <v>152</v>
      </c>
      <c r="N1995" s="1" t="s">
        <v>9059</v>
      </c>
      <c r="O1995" s="1" t="s">
        <v>8989</v>
      </c>
      <c r="P1995" s="1" t="s">
        <v>8955</v>
      </c>
      <c r="Q1995" s="1" t="s">
        <v>8956</v>
      </c>
      <c r="R1995" s="1" t="s">
        <v>8958</v>
      </c>
      <c r="S1995" s="1" t="s">
        <v>6646</v>
      </c>
      <c r="T1995" s="1" t="s">
        <v>11</v>
      </c>
      <c r="U1995" s="1" t="s">
        <v>27</v>
      </c>
    </row>
    <row r="1996" spans="1:21" x14ac:dyDescent="0.2">
      <c r="A1996" s="88" t="s">
        <v>17686</v>
      </c>
      <c r="B1996" s="88" t="e">
        <f>VLOOKUP(C1996,#REF!,1,0)</f>
        <v>#REF!</v>
      </c>
      <c r="C1996" s="1" t="s">
        <v>6647</v>
      </c>
      <c r="D1996" s="1" t="s">
        <v>6648</v>
      </c>
      <c r="E1996" s="1" t="s">
        <v>9310</v>
      </c>
      <c r="F1996" s="1" t="s">
        <v>8957</v>
      </c>
      <c r="G1996" t="s">
        <v>9061</v>
      </c>
      <c r="H1996" s="1" t="s">
        <v>8984</v>
      </c>
      <c r="I1996" s="1" t="s">
        <v>8949</v>
      </c>
      <c r="J1996" s="2" t="s">
        <v>9036</v>
      </c>
      <c r="K1996" s="1" t="s">
        <v>9036</v>
      </c>
      <c r="L1996" s="1" t="s">
        <v>9157</v>
      </c>
      <c r="M1996" s="1">
        <v>86</v>
      </c>
      <c r="N1996" s="1" t="s">
        <v>8953</v>
      </c>
      <c r="O1996" s="1" t="s">
        <v>8989</v>
      </c>
      <c r="P1996" s="1" t="s">
        <v>8955</v>
      </c>
      <c r="Q1996" s="1" t="s">
        <v>8956</v>
      </c>
      <c r="R1996" s="1" t="s">
        <v>8975</v>
      </c>
      <c r="S1996" s="1" t="s">
        <v>6649</v>
      </c>
      <c r="T1996" s="1" t="s">
        <v>17</v>
      </c>
      <c r="U1996" s="1" t="s">
        <v>21</v>
      </c>
    </row>
    <row r="1997" spans="1:21" x14ac:dyDescent="0.2">
      <c r="A1997" s="88" t="s">
        <v>17687</v>
      </c>
      <c r="B1997" s="88" t="e">
        <f>VLOOKUP(C1997,#REF!,1,0)</f>
        <v>#REF!</v>
      </c>
      <c r="C1997" s="1" t="s">
        <v>6650</v>
      </c>
      <c r="D1997" s="1" t="s">
        <v>6651</v>
      </c>
      <c r="E1997" s="1" t="s">
        <v>9310</v>
      </c>
      <c r="F1997" s="1" t="s">
        <v>8959</v>
      </c>
      <c r="G1997" t="s">
        <v>9061</v>
      </c>
      <c r="H1997" s="1" t="s">
        <v>9100</v>
      </c>
      <c r="I1997" s="1" t="s">
        <v>8998</v>
      </c>
      <c r="J1997" s="2" t="s">
        <v>10492</v>
      </c>
      <c r="K1997" s="1" t="s">
        <v>10492</v>
      </c>
      <c r="L1997" s="1" t="s">
        <v>8951</v>
      </c>
      <c r="M1997" s="1">
        <v>16975</v>
      </c>
      <c r="N1997" s="1" t="s">
        <v>8953</v>
      </c>
      <c r="O1997" s="1" t="s">
        <v>8954</v>
      </c>
      <c r="P1997" s="1" t="s">
        <v>8955</v>
      </c>
      <c r="Q1997" s="1" t="s">
        <v>8956</v>
      </c>
      <c r="R1997" s="1" t="s">
        <v>8975</v>
      </c>
      <c r="S1997" s="1" t="s">
        <v>19975</v>
      </c>
      <c r="T1997" s="1" t="s">
        <v>7</v>
      </c>
      <c r="U1997" s="1" t="s">
        <v>580</v>
      </c>
    </row>
    <row r="1998" spans="1:21" x14ac:dyDescent="0.2">
      <c r="A1998" s="88" t="s">
        <v>17688</v>
      </c>
      <c r="B1998" s="88" t="e">
        <f>VLOOKUP(C1998,#REF!,1,0)</f>
        <v>#REF!</v>
      </c>
      <c r="C1998" s="1" t="s">
        <v>6652</v>
      </c>
      <c r="D1998" s="1" t="s">
        <v>6653</v>
      </c>
      <c r="E1998" s="1" t="s">
        <v>9333</v>
      </c>
      <c r="F1998" s="1" t="s">
        <v>8957</v>
      </c>
      <c r="G1998" t="s">
        <v>8959</v>
      </c>
      <c r="H1998" s="1" t="s">
        <v>9049</v>
      </c>
      <c r="I1998" s="1" t="s">
        <v>9050</v>
      </c>
      <c r="J1998" s="2" t="s">
        <v>10258</v>
      </c>
      <c r="K1998" s="1" t="s">
        <v>10258</v>
      </c>
      <c r="L1998" s="1" t="s">
        <v>9292</v>
      </c>
      <c r="M1998" s="1">
        <v>17364</v>
      </c>
      <c r="N1998" s="1" t="s">
        <v>8953</v>
      </c>
      <c r="O1998" s="1" t="s">
        <v>8954</v>
      </c>
      <c r="P1998" s="1" t="s">
        <v>8955</v>
      </c>
      <c r="Q1998" s="1" t="s">
        <v>8956</v>
      </c>
      <c r="R1998" s="1" t="s">
        <v>8958</v>
      </c>
      <c r="S1998" s="1" t="s">
        <v>6654</v>
      </c>
      <c r="T1998" s="1" t="s">
        <v>11</v>
      </c>
      <c r="U1998" s="1" t="s">
        <v>24</v>
      </c>
    </row>
    <row r="1999" spans="1:21" x14ac:dyDescent="0.2">
      <c r="A1999" s="88" t="s">
        <v>17689</v>
      </c>
      <c r="B1999" s="88" t="e">
        <f>VLOOKUP(C1999,#REF!,1,0)</f>
        <v>#REF!</v>
      </c>
      <c r="C1999" s="1" t="s">
        <v>6655</v>
      </c>
      <c r="D1999" s="1" t="s">
        <v>6656</v>
      </c>
      <c r="E1999" s="1" t="s">
        <v>9213</v>
      </c>
      <c r="F1999" s="1" t="s">
        <v>8957</v>
      </c>
      <c r="G1999" t="s">
        <v>20843</v>
      </c>
      <c r="H1999" s="1" t="s">
        <v>9092</v>
      </c>
      <c r="I1999" s="1" t="s">
        <v>8949</v>
      </c>
      <c r="J1999" s="2" t="s">
        <v>18497</v>
      </c>
      <c r="K1999" s="1" t="s">
        <v>21658</v>
      </c>
      <c r="L1999" s="1" t="s">
        <v>8987</v>
      </c>
      <c r="M1999" s="1">
        <v>2124</v>
      </c>
      <c r="N1999" s="1" t="s">
        <v>9059</v>
      </c>
      <c r="O1999" s="1" t="s">
        <v>8989</v>
      </c>
      <c r="P1999" s="1" t="s">
        <v>8955</v>
      </c>
      <c r="Q1999" s="1" t="s">
        <v>8956</v>
      </c>
      <c r="R1999" s="1" t="s">
        <v>8958</v>
      </c>
      <c r="S1999" s="1" t="s">
        <v>19976</v>
      </c>
      <c r="T1999" s="1" t="s">
        <v>7</v>
      </c>
      <c r="U1999" s="1" t="s">
        <v>24</v>
      </c>
    </row>
    <row r="2000" spans="1:21" x14ac:dyDescent="0.2">
      <c r="A2000" s="88" t="s">
        <v>17690</v>
      </c>
      <c r="B2000" s="88" t="e">
        <f>VLOOKUP(C2000,#REF!,1,0)</f>
        <v>#REF!</v>
      </c>
      <c r="C2000" s="1" t="s">
        <v>6657</v>
      </c>
      <c r="D2000" s="1" t="s">
        <v>6658</v>
      </c>
      <c r="E2000" s="1" t="s">
        <v>9333</v>
      </c>
      <c r="F2000" s="1" t="s">
        <v>8974</v>
      </c>
      <c r="G2000" t="s">
        <v>8959</v>
      </c>
      <c r="H2000" s="1" t="s">
        <v>9092</v>
      </c>
      <c r="I2000" s="1" t="s">
        <v>8959</v>
      </c>
      <c r="J2000" s="2" t="s">
        <v>10492</v>
      </c>
      <c r="K2000" s="1" t="s">
        <v>10492</v>
      </c>
      <c r="L2000" s="1" t="s">
        <v>8951</v>
      </c>
      <c r="M2000" s="1">
        <v>246</v>
      </c>
      <c r="N2000" s="1" t="s">
        <v>8953</v>
      </c>
      <c r="O2000" s="1" t="s">
        <v>8954</v>
      </c>
      <c r="P2000" s="1" t="s">
        <v>8955</v>
      </c>
      <c r="Q2000" s="1" t="s">
        <v>8956</v>
      </c>
      <c r="R2000" s="1" t="s">
        <v>8975</v>
      </c>
      <c r="S2000" s="1" t="s">
        <v>19977</v>
      </c>
      <c r="T2000" s="1" t="s">
        <v>7</v>
      </c>
      <c r="U2000" s="1" t="s">
        <v>64</v>
      </c>
    </row>
    <row r="2001" spans="1:21" x14ac:dyDescent="0.2">
      <c r="A2001" s="88" t="s">
        <v>17691</v>
      </c>
      <c r="B2001" s="88" t="e">
        <f>VLOOKUP(C2001,#REF!,1,0)</f>
        <v>#REF!</v>
      </c>
      <c r="C2001" s="1" t="s">
        <v>6659</v>
      </c>
      <c r="D2001" s="1" t="s">
        <v>6660</v>
      </c>
      <c r="E2001" s="1" t="s">
        <v>10873</v>
      </c>
      <c r="F2001" s="1" t="s">
        <v>8957</v>
      </c>
      <c r="G2001" t="s">
        <v>9009</v>
      </c>
      <c r="H2001" s="1" t="s">
        <v>9605</v>
      </c>
      <c r="I2001" s="1" t="s">
        <v>8949</v>
      </c>
      <c r="J2001" s="2" t="s">
        <v>21462</v>
      </c>
      <c r="K2001" s="1" t="s">
        <v>21462</v>
      </c>
      <c r="L2001" s="1" t="s">
        <v>8951</v>
      </c>
      <c r="M2001" s="1">
        <v>78</v>
      </c>
      <c r="N2001" s="1" t="s">
        <v>9059</v>
      </c>
      <c r="O2001" s="1" t="s">
        <v>8954</v>
      </c>
      <c r="P2001" s="1" t="s">
        <v>8955</v>
      </c>
      <c r="Q2001" s="1" t="s">
        <v>8956</v>
      </c>
      <c r="R2001" s="1" t="s">
        <v>8958</v>
      </c>
      <c r="S2001" s="1" t="s">
        <v>6661</v>
      </c>
      <c r="T2001" s="1" t="s">
        <v>920</v>
      </c>
      <c r="U2001" s="1" t="s">
        <v>1110</v>
      </c>
    </row>
    <row r="2002" spans="1:21" x14ac:dyDescent="0.2">
      <c r="A2002" s="88" t="s">
        <v>17692</v>
      </c>
      <c r="B2002" s="88"/>
      <c r="C2002" s="1" t="s">
        <v>6662</v>
      </c>
      <c r="D2002" s="1" t="s">
        <v>6663</v>
      </c>
      <c r="E2002" s="1" t="e">
        <v>#N/A</v>
      </c>
      <c r="F2002" s="1" t="e">
        <v>#N/A</v>
      </c>
      <c r="G2002" t="e">
        <v>#N/A</v>
      </c>
      <c r="H2002" s="1" t="e">
        <v>#N/A</v>
      </c>
      <c r="I2002" s="1" t="e">
        <v>#N/A</v>
      </c>
      <c r="J2002" s="2" t="e">
        <v>#N/A</v>
      </c>
      <c r="K2002" s="1" t="e">
        <v>#N/A</v>
      </c>
      <c r="L2002" s="1" t="e">
        <v>#N/A</v>
      </c>
      <c r="M2002" s="1" t="e">
        <v>#N/A</v>
      </c>
      <c r="N2002" s="1" t="e">
        <v>#N/A</v>
      </c>
      <c r="O2002" s="1" t="e">
        <v>#N/A</v>
      </c>
      <c r="P2002" s="1" t="s">
        <v>8955</v>
      </c>
      <c r="Q2002" s="1" t="s">
        <v>8956</v>
      </c>
      <c r="R2002" s="1" t="s">
        <v>8958</v>
      </c>
      <c r="S2002" s="1" t="s">
        <v>19978</v>
      </c>
      <c r="T2002" s="1" t="s">
        <v>252</v>
      </c>
      <c r="U2002" s="1" t="s">
        <v>184</v>
      </c>
    </row>
    <row r="2003" spans="1:21" x14ac:dyDescent="0.2">
      <c r="A2003" s="88" t="s">
        <v>17693</v>
      </c>
      <c r="B2003" s="88" t="e">
        <f>VLOOKUP(C2003,#REF!,1,0)</f>
        <v>#REF!</v>
      </c>
      <c r="C2003" s="1" t="s">
        <v>6664</v>
      </c>
      <c r="D2003" s="1" t="s">
        <v>6665</v>
      </c>
      <c r="E2003" s="1" t="s">
        <v>9213</v>
      </c>
      <c r="F2003" s="1" t="s">
        <v>8959</v>
      </c>
      <c r="G2003" t="s">
        <v>8959</v>
      </c>
      <c r="H2003" s="1" t="s">
        <v>20712</v>
      </c>
      <c r="I2003" s="1" t="s">
        <v>9155</v>
      </c>
      <c r="J2003" s="2" t="s">
        <v>10525</v>
      </c>
      <c r="K2003" s="1" t="s">
        <v>21650</v>
      </c>
      <c r="L2003" s="1" t="s">
        <v>21600</v>
      </c>
      <c r="M2003" s="1">
        <v>3137</v>
      </c>
      <c r="N2003" s="1" t="s">
        <v>8953</v>
      </c>
      <c r="O2003" s="1" t="s">
        <v>8954</v>
      </c>
      <c r="P2003" s="1" t="s">
        <v>8955</v>
      </c>
      <c r="Q2003" s="1" t="s">
        <v>8956</v>
      </c>
      <c r="R2003" s="1" t="s">
        <v>9103</v>
      </c>
      <c r="S2003" s="1" t="s">
        <v>19979</v>
      </c>
      <c r="T2003" s="1" t="s">
        <v>17</v>
      </c>
      <c r="U2003" s="1" t="s">
        <v>126</v>
      </c>
    </row>
    <row r="2004" spans="1:21" x14ac:dyDescent="0.2">
      <c r="A2004" s="88" t="s">
        <v>17694</v>
      </c>
      <c r="B2004" s="88" t="e">
        <f>VLOOKUP(C2004,#REF!,1,0)</f>
        <v>#REF!</v>
      </c>
      <c r="C2004" s="1" t="s">
        <v>6666</v>
      </c>
      <c r="D2004" s="1" t="s">
        <v>6667</v>
      </c>
      <c r="E2004" s="1" t="s">
        <v>9630</v>
      </c>
      <c r="F2004" s="1" t="s">
        <v>8957</v>
      </c>
      <c r="G2004" t="s">
        <v>9183</v>
      </c>
      <c r="H2004" s="1" t="s">
        <v>8984</v>
      </c>
      <c r="I2004" s="1" t="s">
        <v>9121</v>
      </c>
      <c r="J2004" s="2" t="s">
        <v>9036</v>
      </c>
      <c r="K2004" s="1" t="s">
        <v>9036</v>
      </c>
      <c r="L2004" s="1" t="s">
        <v>8951</v>
      </c>
      <c r="M2004" s="1">
        <v>366</v>
      </c>
      <c r="N2004" s="1" t="s">
        <v>8953</v>
      </c>
      <c r="O2004" s="1" t="s">
        <v>8954</v>
      </c>
      <c r="P2004" s="1" t="s">
        <v>8955</v>
      </c>
      <c r="Q2004" s="1" t="s">
        <v>8956</v>
      </c>
      <c r="R2004" s="1" t="s">
        <v>9103</v>
      </c>
      <c r="S2004" s="1" t="s">
        <v>6668</v>
      </c>
      <c r="T2004" s="1" t="s">
        <v>11</v>
      </c>
      <c r="U2004" s="1" t="s">
        <v>43</v>
      </c>
    </row>
    <row r="2005" spans="1:21" x14ac:dyDescent="0.2">
      <c r="A2005" s="88" t="s">
        <v>17695</v>
      </c>
      <c r="B2005" s="88" t="e">
        <f>VLOOKUP(C2005,#REF!,1,0)</f>
        <v>#REF!</v>
      </c>
      <c r="C2005" s="1" t="s">
        <v>6669</v>
      </c>
      <c r="D2005" s="1" t="s">
        <v>6670</v>
      </c>
      <c r="E2005" s="1" t="s">
        <v>9213</v>
      </c>
      <c r="F2005" s="1" t="s">
        <v>8957</v>
      </c>
      <c r="G2005" t="s">
        <v>9061</v>
      </c>
      <c r="H2005" s="1" t="s">
        <v>8984</v>
      </c>
      <c r="I2005" s="1" t="s">
        <v>8998</v>
      </c>
      <c r="J2005" s="2" t="s">
        <v>20779</v>
      </c>
      <c r="K2005" s="1" t="s">
        <v>9036</v>
      </c>
      <c r="L2005" s="1" t="s">
        <v>9076</v>
      </c>
      <c r="M2005" s="1">
        <v>118</v>
      </c>
      <c r="N2005" s="1" t="s">
        <v>9059</v>
      </c>
      <c r="O2005" s="1" t="s">
        <v>8989</v>
      </c>
      <c r="P2005" s="1" t="s">
        <v>8955</v>
      </c>
      <c r="Q2005" s="1" t="s">
        <v>8956</v>
      </c>
      <c r="R2005" s="1" t="s">
        <v>8975</v>
      </c>
      <c r="S2005" s="1" t="s">
        <v>19980</v>
      </c>
      <c r="T2005" s="1" t="s">
        <v>7</v>
      </c>
      <c r="U2005" s="1" t="s">
        <v>138</v>
      </c>
    </row>
    <row r="2006" spans="1:21" x14ac:dyDescent="0.2">
      <c r="A2006" s="88" t="s">
        <v>17696</v>
      </c>
      <c r="B2006" s="88" t="e">
        <f>VLOOKUP(C2006,#REF!,1,0)</f>
        <v>#REF!</v>
      </c>
      <c r="C2006" s="1" t="s">
        <v>6671</v>
      </c>
      <c r="D2006" s="1" t="s">
        <v>6672</v>
      </c>
      <c r="E2006" s="1" t="s">
        <v>9815</v>
      </c>
      <c r="F2006" s="1" t="s">
        <v>8957</v>
      </c>
      <c r="G2006" t="s">
        <v>8959</v>
      </c>
      <c r="H2006" s="1" t="s">
        <v>9100</v>
      </c>
      <c r="I2006" s="1" t="s">
        <v>8949</v>
      </c>
      <c r="J2006" s="2" t="s">
        <v>18497</v>
      </c>
      <c r="K2006" s="1" t="s">
        <v>21658</v>
      </c>
      <c r="L2006" s="1" t="s">
        <v>8951</v>
      </c>
      <c r="M2006" s="1">
        <v>100</v>
      </c>
      <c r="N2006" s="1" t="s">
        <v>9059</v>
      </c>
      <c r="O2006" s="1" t="s">
        <v>8954</v>
      </c>
      <c r="P2006" s="1" t="s">
        <v>8955</v>
      </c>
      <c r="Q2006" s="1" t="s">
        <v>8956</v>
      </c>
      <c r="R2006" s="1" t="s">
        <v>8958</v>
      </c>
      <c r="S2006" s="1" t="s">
        <v>19981</v>
      </c>
      <c r="T2006" s="1" t="s">
        <v>17</v>
      </c>
      <c r="U2006" s="1" t="s">
        <v>57</v>
      </c>
    </row>
    <row r="2007" spans="1:21" x14ac:dyDescent="0.2">
      <c r="A2007" s="88" t="s">
        <v>17697</v>
      </c>
      <c r="B2007" s="88" t="e">
        <f>VLOOKUP(C2007,#REF!,1,0)</f>
        <v>#REF!</v>
      </c>
      <c r="C2007" s="1" t="s">
        <v>6673</v>
      </c>
      <c r="D2007" s="1" t="s">
        <v>6674</v>
      </c>
      <c r="E2007" s="1" t="s">
        <v>9333</v>
      </c>
      <c r="F2007" s="1" t="s">
        <v>8959</v>
      </c>
      <c r="G2007" t="s">
        <v>9061</v>
      </c>
      <c r="H2007" s="1" t="s">
        <v>9100</v>
      </c>
      <c r="I2007" s="1" t="s">
        <v>8998</v>
      </c>
      <c r="J2007" s="2" t="s">
        <v>20850</v>
      </c>
      <c r="K2007" s="1" t="s">
        <v>21731</v>
      </c>
      <c r="L2007" s="1" t="s">
        <v>9292</v>
      </c>
      <c r="M2007" s="1">
        <v>289</v>
      </c>
      <c r="N2007" s="1" t="s">
        <v>9059</v>
      </c>
      <c r="O2007" s="1" t="s">
        <v>8989</v>
      </c>
      <c r="P2007" s="1" t="s">
        <v>8955</v>
      </c>
      <c r="Q2007" s="1" t="s">
        <v>8956</v>
      </c>
      <c r="R2007" s="1" t="s">
        <v>8958</v>
      </c>
      <c r="S2007" s="1" t="s">
        <v>19982</v>
      </c>
      <c r="T2007" s="1" t="s">
        <v>7</v>
      </c>
      <c r="U2007" s="1" t="s">
        <v>2172</v>
      </c>
    </row>
    <row r="2008" spans="1:21" x14ac:dyDescent="0.2">
      <c r="A2008" s="88" t="s">
        <v>17698</v>
      </c>
      <c r="B2008" s="88" t="e">
        <f>VLOOKUP(C2008,#REF!,1,0)</f>
        <v>#REF!</v>
      </c>
      <c r="C2008" s="1" t="s">
        <v>6675</v>
      </c>
      <c r="D2008" s="1" t="s">
        <v>6676</v>
      </c>
      <c r="E2008" s="1" t="s">
        <v>18502</v>
      </c>
      <c r="F2008" s="1" t="s">
        <v>8974</v>
      </c>
      <c r="G2008" t="s">
        <v>9009</v>
      </c>
      <c r="H2008" s="1" t="s">
        <v>9100</v>
      </c>
      <c r="I2008" s="1" t="s">
        <v>8959</v>
      </c>
      <c r="J2008" s="2" t="s">
        <v>20830</v>
      </c>
      <c r="K2008" s="1" t="s">
        <v>9041</v>
      </c>
      <c r="L2008" s="1" t="s">
        <v>8987</v>
      </c>
      <c r="M2008" s="1">
        <v>180</v>
      </c>
      <c r="N2008" s="1" t="s">
        <v>9059</v>
      </c>
      <c r="O2008" s="1" t="s">
        <v>8989</v>
      </c>
      <c r="P2008" s="1" t="s">
        <v>8955</v>
      </c>
      <c r="Q2008" s="1" t="s">
        <v>8956</v>
      </c>
      <c r="R2008" s="1" t="s">
        <v>8975</v>
      </c>
      <c r="S2008" s="1" t="s">
        <v>19983</v>
      </c>
      <c r="T2008" s="1" t="s">
        <v>7</v>
      </c>
      <c r="U2008" s="1" t="s">
        <v>2044</v>
      </c>
    </row>
    <row r="2009" spans="1:21" x14ac:dyDescent="0.2">
      <c r="A2009" s="88" t="s">
        <v>17699</v>
      </c>
      <c r="B2009" s="88" t="e">
        <f>VLOOKUP(C2009,#REF!,1,0)</f>
        <v>#REF!</v>
      </c>
      <c r="C2009" s="1" t="s">
        <v>6677</v>
      </c>
      <c r="D2009" s="1" t="s">
        <v>6678</v>
      </c>
      <c r="E2009" s="1" t="s">
        <v>9968</v>
      </c>
      <c r="F2009" s="1" t="s">
        <v>8957</v>
      </c>
      <c r="G2009" t="s">
        <v>9009</v>
      </c>
      <c r="H2009" s="1" t="s">
        <v>8948</v>
      </c>
      <c r="I2009" s="1" t="s">
        <v>20930</v>
      </c>
      <c r="J2009" s="2" t="s">
        <v>20779</v>
      </c>
      <c r="K2009" s="1" t="s">
        <v>9036</v>
      </c>
      <c r="L2009" s="1" t="s">
        <v>9076</v>
      </c>
      <c r="M2009" s="1">
        <v>129</v>
      </c>
      <c r="N2009" s="1" t="s">
        <v>9059</v>
      </c>
      <c r="O2009" s="1" t="s">
        <v>8989</v>
      </c>
      <c r="P2009" s="1" t="s">
        <v>8955</v>
      </c>
      <c r="Q2009" s="1" t="s">
        <v>8956</v>
      </c>
      <c r="R2009" s="1" t="s">
        <v>8975</v>
      </c>
      <c r="S2009" s="1" t="s">
        <v>19984</v>
      </c>
      <c r="T2009" s="1" t="s">
        <v>17</v>
      </c>
      <c r="U2009" s="1" t="s">
        <v>147</v>
      </c>
    </row>
    <row r="2010" spans="1:21" x14ac:dyDescent="0.2">
      <c r="A2010" s="88" t="s">
        <v>17701</v>
      </c>
      <c r="B2010" s="88" t="e">
        <f>VLOOKUP(C2010,#REF!,1,0)</f>
        <v>#REF!</v>
      </c>
      <c r="C2010" s="1" t="s">
        <v>6681</v>
      </c>
      <c r="D2010" s="1" t="s">
        <v>6682</v>
      </c>
      <c r="E2010" s="1" t="s">
        <v>9010</v>
      </c>
      <c r="F2010" s="1" t="s">
        <v>8957</v>
      </c>
      <c r="G2010" t="s">
        <v>9183</v>
      </c>
      <c r="H2010" s="1" t="s">
        <v>9075</v>
      </c>
      <c r="I2010" s="1" t="s">
        <v>9121</v>
      </c>
      <c r="J2010" s="2" t="s">
        <v>9036</v>
      </c>
      <c r="K2010" s="1" t="s">
        <v>9036</v>
      </c>
      <c r="L2010" s="1" t="s">
        <v>8951</v>
      </c>
      <c r="M2010" s="1">
        <v>63480</v>
      </c>
      <c r="N2010" s="1" t="s">
        <v>8953</v>
      </c>
      <c r="O2010" s="1" t="s">
        <v>8954</v>
      </c>
      <c r="P2010" s="1" t="s">
        <v>8955</v>
      </c>
      <c r="Q2010" s="1" t="s">
        <v>8956</v>
      </c>
      <c r="R2010" s="1" t="s">
        <v>8975</v>
      </c>
      <c r="S2010" s="1" t="s">
        <v>6683</v>
      </c>
      <c r="T2010" s="1" t="s">
        <v>17</v>
      </c>
      <c r="U2010" s="1" t="s">
        <v>6684</v>
      </c>
    </row>
    <row r="2011" spans="1:21" x14ac:dyDescent="0.2">
      <c r="A2011" s="88" t="s">
        <v>17702</v>
      </c>
      <c r="B2011" s="88" t="e">
        <f>VLOOKUP(C2011,#REF!,1,0)</f>
        <v>#REF!</v>
      </c>
      <c r="C2011" s="1" t="s">
        <v>6685</v>
      </c>
      <c r="D2011" s="1" t="s">
        <v>6686</v>
      </c>
      <c r="E2011" s="1" t="s">
        <v>9010</v>
      </c>
      <c r="F2011" s="1" t="s">
        <v>8959</v>
      </c>
      <c r="G2011" t="s">
        <v>9061</v>
      </c>
      <c r="H2011" s="1" t="s">
        <v>9605</v>
      </c>
      <c r="I2011" s="1" t="s">
        <v>8971</v>
      </c>
      <c r="J2011" s="2" t="s">
        <v>9036</v>
      </c>
      <c r="K2011" s="1" t="s">
        <v>9036</v>
      </c>
      <c r="L2011" s="1" t="s">
        <v>9133</v>
      </c>
      <c r="M2011" s="1" t="s">
        <v>9479</v>
      </c>
      <c r="N2011" s="1" t="s">
        <v>8953</v>
      </c>
      <c r="O2011" s="1" t="s">
        <v>8954</v>
      </c>
      <c r="P2011" s="1" t="s">
        <v>8955</v>
      </c>
      <c r="Q2011" s="1" t="s">
        <v>8956</v>
      </c>
      <c r="R2011" s="1" t="s">
        <v>8958</v>
      </c>
      <c r="S2011" s="1" t="s">
        <v>6687</v>
      </c>
      <c r="T2011" s="1" t="s">
        <v>17</v>
      </c>
      <c r="U2011" s="1" t="s">
        <v>813</v>
      </c>
    </row>
    <row r="2012" spans="1:21" x14ac:dyDescent="0.2">
      <c r="A2012" s="88" t="s">
        <v>17703</v>
      </c>
      <c r="B2012" s="88" t="e">
        <f>VLOOKUP(C2012,#REF!,1,0)</f>
        <v>#REF!</v>
      </c>
      <c r="C2012" s="1" t="s">
        <v>6688</v>
      </c>
      <c r="D2012" s="1" t="s">
        <v>6689</v>
      </c>
      <c r="E2012" s="1" t="s">
        <v>18502</v>
      </c>
      <c r="F2012" s="1" t="s">
        <v>8959</v>
      </c>
      <c r="G2012" t="s">
        <v>9061</v>
      </c>
      <c r="H2012" s="1" t="s">
        <v>9252</v>
      </c>
      <c r="I2012" s="1" t="s">
        <v>18504</v>
      </c>
      <c r="J2012" s="2" t="s">
        <v>20779</v>
      </c>
      <c r="K2012" s="1" t="s">
        <v>9036</v>
      </c>
      <c r="L2012" s="1" t="s">
        <v>8987</v>
      </c>
      <c r="M2012" s="1">
        <v>6705</v>
      </c>
      <c r="N2012" s="1" t="s">
        <v>8953</v>
      </c>
      <c r="O2012" s="1" t="s">
        <v>8954</v>
      </c>
      <c r="P2012" s="1" t="s">
        <v>8955</v>
      </c>
      <c r="Q2012" s="1" t="s">
        <v>8956</v>
      </c>
      <c r="R2012" s="1" t="s">
        <v>9103</v>
      </c>
      <c r="S2012" s="1" t="s">
        <v>19986</v>
      </c>
      <c r="T2012" s="1" t="s">
        <v>17</v>
      </c>
      <c r="U2012" s="1" t="s">
        <v>87</v>
      </c>
    </row>
    <row r="2013" spans="1:21" x14ac:dyDescent="0.2">
      <c r="A2013" s="88" t="s">
        <v>17704</v>
      </c>
      <c r="B2013" s="88" t="e">
        <f>VLOOKUP(C2013,#REF!,1,0)</f>
        <v>#REF!</v>
      </c>
      <c r="C2013" s="1" t="s">
        <v>6690</v>
      </c>
      <c r="D2013" s="1" t="s">
        <v>6691</v>
      </c>
      <c r="E2013" s="1" t="s">
        <v>9333</v>
      </c>
      <c r="F2013" s="1" t="s">
        <v>8974</v>
      </c>
      <c r="G2013" t="s">
        <v>8959</v>
      </c>
      <c r="H2013" s="1" t="s">
        <v>9075</v>
      </c>
      <c r="I2013" s="1" t="s">
        <v>8971</v>
      </c>
      <c r="J2013" s="2" t="s">
        <v>21528</v>
      </c>
      <c r="K2013" s="1" t="s">
        <v>21528</v>
      </c>
      <c r="L2013" s="1" t="s">
        <v>21600</v>
      </c>
      <c r="M2013" s="1">
        <v>280</v>
      </c>
      <c r="N2013" s="1" t="s">
        <v>11658</v>
      </c>
      <c r="O2013" s="1" t="s">
        <v>8954</v>
      </c>
      <c r="P2013" s="1" t="s">
        <v>8955</v>
      </c>
      <c r="Q2013" s="1" t="s">
        <v>8956</v>
      </c>
      <c r="R2013" s="1" t="s">
        <v>8975</v>
      </c>
      <c r="S2013" s="1" t="s">
        <v>19987</v>
      </c>
      <c r="T2013" s="1" t="s">
        <v>7</v>
      </c>
      <c r="U2013" s="1" t="s">
        <v>150</v>
      </c>
    </row>
    <row r="2014" spans="1:21" x14ac:dyDescent="0.2">
      <c r="A2014" s="88" t="s">
        <v>17705</v>
      </c>
      <c r="B2014" s="88" t="e">
        <f>VLOOKUP(C2014,#REF!,1,0)</f>
        <v>#REF!</v>
      </c>
      <c r="C2014" s="1" t="s">
        <v>6692</v>
      </c>
      <c r="D2014" s="1" t="s">
        <v>6693</v>
      </c>
      <c r="E2014" s="1" t="s">
        <v>18502</v>
      </c>
      <c r="F2014" s="1" t="s">
        <v>8957</v>
      </c>
      <c r="G2014" t="s">
        <v>9009</v>
      </c>
      <c r="H2014" s="1" t="s">
        <v>9100</v>
      </c>
      <c r="I2014" s="1" t="s">
        <v>8959</v>
      </c>
      <c r="J2014" s="2" t="s">
        <v>20841</v>
      </c>
      <c r="K2014" s="1" t="s">
        <v>20724</v>
      </c>
      <c r="L2014" s="1" t="s">
        <v>8951</v>
      </c>
      <c r="M2014" s="1">
        <v>600</v>
      </c>
      <c r="N2014" s="1" t="s">
        <v>8953</v>
      </c>
      <c r="O2014" s="1" t="s">
        <v>8989</v>
      </c>
      <c r="P2014" s="1" t="s">
        <v>8955</v>
      </c>
      <c r="Q2014" s="1" t="s">
        <v>8956</v>
      </c>
      <c r="R2014" s="1" t="s">
        <v>9103</v>
      </c>
      <c r="S2014" s="1" t="s">
        <v>19988</v>
      </c>
      <c r="T2014" s="1" t="s">
        <v>7</v>
      </c>
      <c r="U2014" s="1" t="s">
        <v>6694</v>
      </c>
    </row>
    <row r="2015" spans="1:21" x14ac:dyDescent="0.2">
      <c r="A2015" s="88" t="s">
        <v>17706</v>
      </c>
      <c r="B2015" s="88" t="e">
        <f>VLOOKUP(C2015,#REF!,1,0)</f>
        <v>#REF!</v>
      </c>
      <c r="C2015" s="1" t="s">
        <v>6695</v>
      </c>
      <c r="D2015" s="1" t="s">
        <v>6696</v>
      </c>
      <c r="E2015" s="1" t="s">
        <v>18502</v>
      </c>
      <c r="F2015" s="1" t="s">
        <v>8957</v>
      </c>
      <c r="G2015" t="s">
        <v>8959</v>
      </c>
      <c r="H2015" s="1" t="s">
        <v>20871</v>
      </c>
      <c r="I2015" s="1" t="s">
        <v>9101</v>
      </c>
      <c r="J2015" s="2" t="s">
        <v>20779</v>
      </c>
      <c r="K2015" s="1" t="s">
        <v>9036</v>
      </c>
      <c r="L2015" s="1" t="s">
        <v>8951</v>
      </c>
      <c r="M2015" s="1">
        <v>7024</v>
      </c>
      <c r="N2015" s="1" t="s">
        <v>8953</v>
      </c>
      <c r="O2015" s="1" t="s">
        <v>8989</v>
      </c>
      <c r="P2015" s="1" t="s">
        <v>8955</v>
      </c>
      <c r="Q2015" s="1" t="s">
        <v>8956</v>
      </c>
      <c r="R2015" s="1" t="s">
        <v>8975</v>
      </c>
      <c r="S2015" s="1" t="s">
        <v>19989</v>
      </c>
      <c r="T2015" s="1" t="s">
        <v>7</v>
      </c>
      <c r="U2015" s="1" t="s">
        <v>24</v>
      </c>
    </row>
    <row r="2016" spans="1:21" x14ac:dyDescent="0.2">
      <c r="A2016" s="88" t="s">
        <v>17707</v>
      </c>
      <c r="B2016" s="88" t="e">
        <f>VLOOKUP(C2016,#REF!,1,0)</f>
        <v>#REF!</v>
      </c>
      <c r="C2016" s="1" t="s">
        <v>6697</v>
      </c>
      <c r="D2016" s="1" t="s">
        <v>6698</v>
      </c>
      <c r="E2016" s="1" t="s">
        <v>9317</v>
      </c>
      <c r="F2016" s="1" t="s">
        <v>8974</v>
      </c>
      <c r="G2016" t="s">
        <v>9061</v>
      </c>
      <c r="H2016" s="1" t="s">
        <v>8948</v>
      </c>
      <c r="I2016" s="1" t="s">
        <v>8949</v>
      </c>
      <c r="J2016" s="2" t="s">
        <v>9036</v>
      </c>
      <c r="K2016" s="1" t="s">
        <v>9036</v>
      </c>
      <c r="L2016" s="1" t="s">
        <v>8951</v>
      </c>
      <c r="M2016" s="1">
        <v>72</v>
      </c>
      <c r="N2016" s="1" t="s">
        <v>8953</v>
      </c>
      <c r="O2016" s="1" t="s">
        <v>8989</v>
      </c>
      <c r="P2016" s="1" t="s">
        <v>8955</v>
      </c>
      <c r="Q2016" s="1" t="s">
        <v>8956</v>
      </c>
      <c r="R2016" s="1" t="s">
        <v>8958</v>
      </c>
      <c r="S2016" s="1" t="s">
        <v>6699</v>
      </c>
      <c r="T2016" s="1" t="s">
        <v>17</v>
      </c>
      <c r="U2016" s="1" t="s">
        <v>1202</v>
      </c>
    </row>
    <row r="2017" spans="1:21" x14ac:dyDescent="0.2">
      <c r="A2017" s="88" t="s">
        <v>17709</v>
      </c>
      <c r="B2017" s="88" t="e">
        <f>VLOOKUP(C2017,#REF!,1,0)</f>
        <v>#REF!</v>
      </c>
      <c r="C2017" s="1" t="s">
        <v>6703</v>
      </c>
      <c r="D2017" s="1" t="s">
        <v>6704</v>
      </c>
      <c r="E2017" s="1" t="s">
        <v>9317</v>
      </c>
      <c r="F2017" s="1" t="s">
        <v>8957</v>
      </c>
      <c r="G2017" t="s">
        <v>9183</v>
      </c>
      <c r="H2017" s="1" t="s">
        <v>9173</v>
      </c>
      <c r="I2017" s="1" t="s">
        <v>9174</v>
      </c>
      <c r="J2017" s="2" t="s">
        <v>20779</v>
      </c>
      <c r="K2017" s="1" t="s">
        <v>9036</v>
      </c>
      <c r="L2017" s="1" t="s">
        <v>8987</v>
      </c>
      <c r="M2017" s="1">
        <v>1981</v>
      </c>
      <c r="N2017" s="1" t="s">
        <v>8953</v>
      </c>
      <c r="O2017" s="1" t="s">
        <v>8989</v>
      </c>
      <c r="P2017" s="1" t="s">
        <v>8955</v>
      </c>
      <c r="Q2017" s="1" t="s">
        <v>8956</v>
      </c>
      <c r="R2017" s="1" t="s">
        <v>8975</v>
      </c>
      <c r="S2017" s="1" t="s">
        <v>19990</v>
      </c>
      <c r="T2017" s="1" t="s">
        <v>7</v>
      </c>
      <c r="U2017" s="1" t="s">
        <v>910</v>
      </c>
    </row>
    <row r="2018" spans="1:21" x14ac:dyDescent="0.2">
      <c r="A2018" s="88" t="s">
        <v>17710</v>
      </c>
      <c r="B2018" s="88" t="e">
        <f>VLOOKUP(C2018,#REF!,1,0)</f>
        <v>#REF!</v>
      </c>
      <c r="C2018" s="1" t="s">
        <v>6705</v>
      </c>
      <c r="D2018" s="1" t="s">
        <v>6706</v>
      </c>
      <c r="E2018" s="1" t="s">
        <v>9317</v>
      </c>
      <c r="F2018" s="1" t="s">
        <v>8957</v>
      </c>
      <c r="G2018" t="s">
        <v>9061</v>
      </c>
      <c r="H2018" s="1" t="s">
        <v>9605</v>
      </c>
      <c r="I2018" s="1" t="s">
        <v>9101</v>
      </c>
      <c r="J2018" s="2" t="s">
        <v>18497</v>
      </c>
      <c r="K2018" s="1" t="s">
        <v>18497</v>
      </c>
      <c r="L2018" s="1" t="s">
        <v>8987</v>
      </c>
      <c r="M2018" s="1">
        <v>56</v>
      </c>
      <c r="N2018" s="1" t="s">
        <v>8953</v>
      </c>
      <c r="O2018" s="1" t="s">
        <v>8989</v>
      </c>
      <c r="P2018" s="1" t="s">
        <v>8955</v>
      </c>
      <c r="Q2018" s="1" t="s">
        <v>8956</v>
      </c>
      <c r="R2018" s="1" t="s">
        <v>8975</v>
      </c>
      <c r="S2018" s="1" t="s">
        <v>19991</v>
      </c>
      <c r="T2018" s="1" t="s">
        <v>17</v>
      </c>
      <c r="U2018" s="1" t="s">
        <v>6707</v>
      </c>
    </row>
    <row r="2019" spans="1:21" x14ac:dyDescent="0.2">
      <c r="A2019" s="88" t="s">
        <v>17711</v>
      </c>
      <c r="B2019" s="88" t="e">
        <f>VLOOKUP(C2019,#REF!,1,0)</f>
        <v>#REF!</v>
      </c>
      <c r="C2019" s="1" t="s">
        <v>6708</v>
      </c>
      <c r="D2019" s="1" t="s">
        <v>6709</v>
      </c>
      <c r="E2019" s="1" t="s">
        <v>9310</v>
      </c>
      <c r="F2019" s="1" t="s">
        <v>8957</v>
      </c>
      <c r="G2019" t="s">
        <v>9061</v>
      </c>
      <c r="H2019" s="1" t="s">
        <v>9035</v>
      </c>
      <c r="I2019" s="1" t="s">
        <v>8998</v>
      </c>
      <c r="J2019" s="2" t="s">
        <v>21471</v>
      </c>
      <c r="K2019" s="1" t="s">
        <v>21471</v>
      </c>
      <c r="L2019" s="1" t="s">
        <v>9133</v>
      </c>
      <c r="M2019" s="1">
        <v>2400</v>
      </c>
      <c r="N2019" s="1" t="s">
        <v>8953</v>
      </c>
      <c r="O2019" s="1" t="s">
        <v>8954</v>
      </c>
      <c r="P2019" s="1" t="s">
        <v>8955</v>
      </c>
      <c r="Q2019" s="1" t="s">
        <v>8956</v>
      </c>
      <c r="R2019" s="1" t="s">
        <v>8958</v>
      </c>
      <c r="S2019" s="1" t="s">
        <v>6710</v>
      </c>
      <c r="T2019" s="1" t="s">
        <v>4</v>
      </c>
      <c r="U2019" s="1" t="s">
        <v>61</v>
      </c>
    </row>
    <row r="2020" spans="1:21" x14ac:dyDescent="0.2">
      <c r="A2020" s="88" t="s">
        <v>17713</v>
      </c>
      <c r="B2020" s="88" t="e">
        <f>VLOOKUP(C2020,#REF!,1,0)</f>
        <v>#REF!</v>
      </c>
      <c r="C2020" s="1" t="s">
        <v>6713</v>
      </c>
      <c r="D2020" s="1" t="s">
        <v>6714</v>
      </c>
      <c r="E2020" s="1" t="s">
        <v>9213</v>
      </c>
      <c r="F2020" s="1" t="s">
        <v>8974</v>
      </c>
      <c r="G2020" t="s">
        <v>9061</v>
      </c>
      <c r="H2020" s="1" t="s">
        <v>9035</v>
      </c>
      <c r="I2020" s="1" t="s">
        <v>8998</v>
      </c>
      <c r="J2020" s="2" t="s">
        <v>18497</v>
      </c>
      <c r="K2020" s="1" t="s">
        <v>21658</v>
      </c>
      <c r="L2020" s="1" t="s">
        <v>8951</v>
      </c>
      <c r="M2020" s="1">
        <v>19330</v>
      </c>
      <c r="N2020" s="1" t="s">
        <v>8953</v>
      </c>
      <c r="O2020" s="1" t="s">
        <v>8954</v>
      </c>
      <c r="P2020" s="1" t="s">
        <v>8955</v>
      </c>
      <c r="Q2020" s="1" t="s">
        <v>8956</v>
      </c>
      <c r="R2020" s="1" t="s">
        <v>8975</v>
      </c>
      <c r="S2020" s="1" t="s">
        <v>19993</v>
      </c>
      <c r="T2020" s="1" t="s">
        <v>7</v>
      </c>
      <c r="U2020" s="1" t="s">
        <v>180</v>
      </c>
    </row>
    <row r="2021" spans="1:21" x14ac:dyDescent="0.2">
      <c r="A2021" s="88" t="s">
        <v>17714</v>
      </c>
      <c r="B2021" s="88" t="e">
        <f>VLOOKUP(C2021,#REF!,1,0)</f>
        <v>#REF!</v>
      </c>
      <c r="C2021" s="1" t="s">
        <v>6715</v>
      </c>
      <c r="D2021" s="1" t="s">
        <v>6716</v>
      </c>
      <c r="E2021" s="1" t="s">
        <v>9010</v>
      </c>
      <c r="F2021" s="1" t="s">
        <v>8959</v>
      </c>
      <c r="G2021" t="s">
        <v>9009</v>
      </c>
      <c r="H2021" s="1" t="s">
        <v>9075</v>
      </c>
      <c r="I2021" s="1" t="s">
        <v>9422</v>
      </c>
      <c r="J2021" s="2" t="s">
        <v>10135</v>
      </c>
      <c r="K2021" s="1" t="s">
        <v>10135</v>
      </c>
      <c r="L2021" s="1" t="s">
        <v>8951</v>
      </c>
      <c r="M2021" s="1">
        <v>1649</v>
      </c>
      <c r="N2021" s="1" t="s">
        <v>8953</v>
      </c>
      <c r="O2021" s="1" t="s">
        <v>8989</v>
      </c>
      <c r="P2021" s="1" t="s">
        <v>8955</v>
      </c>
      <c r="Q2021" s="1" t="s">
        <v>8956</v>
      </c>
      <c r="R2021" s="1" t="s">
        <v>8958</v>
      </c>
      <c r="S2021" s="1" t="s">
        <v>6717</v>
      </c>
      <c r="T2021" s="1" t="s">
        <v>11</v>
      </c>
      <c r="U2021" s="1" t="s">
        <v>24</v>
      </c>
    </row>
    <row r="2022" spans="1:21" x14ac:dyDescent="0.2">
      <c r="A2022" s="88" t="s">
        <v>17716</v>
      </c>
      <c r="B2022" s="88" t="e">
        <f>VLOOKUP(C2022,#REF!,1,0)</f>
        <v>#REF!</v>
      </c>
      <c r="C2022" s="1" t="s">
        <v>6720</v>
      </c>
      <c r="D2022" s="1" t="s">
        <v>6721</v>
      </c>
      <c r="E2022" s="1" t="s">
        <v>9815</v>
      </c>
      <c r="F2022" s="1" t="s">
        <v>8959</v>
      </c>
      <c r="G2022" t="s">
        <v>8959</v>
      </c>
      <c r="H2022" s="1" t="s">
        <v>9035</v>
      </c>
      <c r="I2022" s="1" t="s">
        <v>8998</v>
      </c>
      <c r="J2022" s="2" t="s">
        <v>21632</v>
      </c>
      <c r="K2022" s="1" t="s">
        <v>21800</v>
      </c>
      <c r="L2022" s="1" t="s">
        <v>8987</v>
      </c>
      <c r="M2022" s="1" t="s">
        <v>9479</v>
      </c>
      <c r="N2022" s="1" t="s">
        <v>9479</v>
      </c>
      <c r="O2022" s="1" t="s">
        <v>9479</v>
      </c>
      <c r="P2022" s="1" t="s">
        <v>8955</v>
      </c>
      <c r="Q2022" s="1" t="s">
        <v>8956</v>
      </c>
      <c r="R2022" s="1" t="s">
        <v>9103</v>
      </c>
      <c r="S2022" s="1" t="s">
        <v>19994</v>
      </c>
      <c r="T2022" s="1" t="s">
        <v>7</v>
      </c>
      <c r="U2022" s="1" t="s">
        <v>6722</v>
      </c>
    </row>
    <row r="2023" spans="1:21" x14ac:dyDescent="0.2">
      <c r="A2023" s="88" t="s">
        <v>17717</v>
      </c>
      <c r="B2023" s="88" t="e">
        <f>VLOOKUP(C2023,#REF!,1,0)</f>
        <v>#REF!</v>
      </c>
      <c r="C2023" s="1" t="s">
        <v>6723</v>
      </c>
      <c r="D2023" s="1" t="s">
        <v>6724</v>
      </c>
      <c r="E2023" s="1" t="s">
        <v>18502</v>
      </c>
      <c r="F2023" s="1" t="s">
        <v>8959</v>
      </c>
      <c r="G2023" t="s">
        <v>9061</v>
      </c>
      <c r="H2023" s="1" t="s">
        <v>20712</v>
      </c>
      <c r="I2023" s="1" t="s">
        <v>8998</v>
      </c>
      <c r="J2023" s="2" t="s">
        <v>20779</v>
      </c>
      <c r="K2023" s="1" t="s">
        <v>9036</v>
      </c>
      <c r="L2023" s="1" t="s">
        <v>8951</v>
      </c>
      <c r="M2023" s="1">
        <v>59</v>
      </c>
      <c r="N2023" s="1" t="s">
        <v>9059</v>
      </c>
      <c r="O2023" s="1" t="s">
        <v>8954</v>
      </c>
      <c r="P2023" s="1" t="s">
        <v>8955</v>
      </c>
      <c r="Q2023" s="1" t="s">
        <v>8956</v>
      </c>
      <c r="R2023" s="1" t="s">
        <v>8975</v>
      </c>
      <c r="S2023" s="1" t="s">
        <v>19995</v>
      </c>
      <c r="T2023" s="1" t="s">
        <v>7</v>
      </c>
      <c r="U2023" s="1" t="s">
        <v>496</v>
      </c>
    </row>
    <row r="2024" spans="1:21" x14ac:dyDescent="0.2">
      <c r="A2024" s="88" t="s">
        <v>17718</v>
      </c>
      <c r="B2024" s="88" t="e">
        <f>VLOOKUP(C2024,#REF!,1,0)</f>
        <v>#REF!</v>
      </c>
      <c r="C2024" s="1" t="s">
        <v>6725</v>
      </c>
      <c r="D2024" s="1" t="s">
        <v>6726</v>
      </c>
      <c r="E2024" s="1" t="s">
        <v>9010</v>
      </c>
      <c r="F2024" s="1" t="s">
        <v>8959</v>
      </c>
      <c r="G2024" t="s">
        <v>9183</v>
      </c>
      <c r="H2024" s="1" t="s">
        <v>9035</v>
      </c>
      <c r="I2024" s="1" t="s">
        <v>9308</v>
      </c>
      <c r="J2024" s="2" t="s">
        <v>10031</v>
      </c>
      <c r="K2024" s="1" t="s">
        <v>10031</v>
      </c>
      <c r="L2024" s="1" t="s">
        <v>8951</v>
      </c>
      <c r="M2024" s="1">
        <v>874</v>
      </c>
      <c r="N2024" s="1" t="s">
        <v>8953</v>
      </c>
      <c r="O2024" s="1" t="s">
        <v>8989</v>
      </c>
      <c r="P2024" s="1" t="s">
        <v>8955</v>
      </c>
      <c r="Q2024" s="1" t="s">
        <v>8956</v>
      </c>
      <c r="R2024" s="1" t="s">
        <v>8975</v>
      </c>
      <c r="S2024" s="1" t="s">
        <v>6727</v>
      </c>
      <c r="T2024" s="1" t="s">
        <v>11</v>
      </c>
      <c r="U2024" s="1" t="s">
        <v>110</v>
      </c>
    </row>
    <row r="2025" spans="1:21" x14ac:dyDescent="0.2">
      <c r="A2025" s="88" t="s">
        <v>17719</v>
      </c>
      <c r="B2025" s="88" t="e">
        <f>VLOOKUP(C2025,#REF!,1,0)</f>
        <v>#REF!</v>
      </c>
      <c r="C2025" s="1" t="s">
        <v>6728</v>
      </c>
      <c r="D2025" s="1" t="s">
        <v>6729</v>
      </c>
      <c r="E2025" s="1" t="s">
        <v>9010</v>
      </c>
      <c r="F2025" s="1" t="s">
        <v>8959</v>
      </c>
      <c r="G2025" t="s">
        <v>9183</v>
      </c>
      <c r="H2025" s="1" t="s">
        <v>9035</v>
      </c>
      <c r="I2025" s="1" t="s">
        <v>8998</v>
      </c>
      <c r="J2025" s="2" t="s">
        <v>20838</v>
      </c>
      <c r="K2025" s="1" t="s">
        <v>20755</v>
      </c>
      <c r="L2025" s="1" t="s">
        <v>21600</v>
      </c>
      <c r="M2025" s="1">
        <v>88</v>
      </c>
      <c r="N2025" s="1" t="s">
        <v>9059</v>
      </c>
      <c r="O2025" s="1" t="s">
        <v>8989</v>
      </c>
      <c r="P2025" s="1" t="s">
        <v>8955</v>
      </c>
      <c r="Q2025" s="1" t="s">
        <v>8956</v>
      </c>
      <c r="R2025" s="1" t="s">
        <v>8958</v>
      </c>
      <c r="S2025" s="1" t="s">
        <v>19996</v>
      </c>
      <c r="T2025" s="1" t="s">
        <v>7</v>
      </c>
      <c r="U2025" s="1" t="s">
        <v>147</v>
      </c>
    </row>
    <row r="2026" spans="1:21" x14ac:dyDescent="0.2">
      <c r="A2026" s="88" t="s">
        <v>17720</v>
      </c>
      <c r="B2026" s="88" t="e">
        <f>VLOOKUP(C2026,#REF!,1,0)</f>
        <v>#REF!</v>
      </c>
      <c r="C2026" s="1" t="s">
        <v>6733</v>
      </c>
      <c r="D2026" s="1" t="s">
        <v>6734</v>
      </c>
      <c r="E2026" s="1" t="s">
        <v>18502</v>
      </c>
      <c r="F2026" s="1" t="s">
        <v>8959</v>
      </c>
      <c r="G2026" t="s">
        <v>9061</v>
      </c>
      <c r="H2026" s="1" t="s">
        <v>20712</v>
      </c>
      <c r="I2026" s="1" t="s">
        <v>9308</v>
      </c>
      <c r="J2026" s="2" t="s">
        <v>21279</v>
      </c>
      <c r="K2026" s="1" t="s">
        <v>21732</v>
      </c>
      <c r="L2026" s="1" t="s">
        <v>8951</v>
      </c>
      <c r="M2026" s="1">
        <v>5475</v>
      </c>
      <c r="N2026" s="1" t="s">
        <v>8953</v>
      </c>
      <c r="O2026" s="1" t="s">
        <v>8989</v>
      </c>
      <c r="P2026" s="1" t="s">
        <v>8955</v>
      </c>
      <c r="Q2026" s="1" t="s">
        <v>8956</v>
      </c>
      <c r="R2026" s="1" t="s">
        <v>8958</v>
      </c>
      <c r="S2026" s="1" t="s">
        <v>20686</v>
      </c>
      <c r="T2026" s="1" t="s">
        <v>17</v>
      </c>
      <c r="U2026" s="1" t="s">
        <v>87</v>
      </c>
    </row>
    <row r="2027" spans="1:21" x14ac:dyDescent="0.2">
      <c r="A2027" s="88" t="s">
        <v>17721</v>
      </c>
      <c r="B2027" s="88" t="e">
        <f>VLOOKUP(C2027,#REF!,1,0)</f>
        <v>#REF!</v>
      </c>
      <c r="C2027" s="1" t="s">
        <v>6735</v>
      </c>
      <c r="D2027" s="1" t="s">
        <v>6736</v>
      </c>
      <c r="E2027" s="1" t="s">
        <v>9815</v>
      </c>
      <c r="F2027" s="1" t="s">
        <v>8959</v>
      </c>
      <c r="G2027" t="s">
        <v>8959</v>
      </c>
      <c r="H2027" s="1" t="s">
        <v>9075</v>
      </c>
      <c r="I2027" s="1" t="s">
        <v>8971</v>
      </c>
      <c r="J2027" s="2" t="s">
        <v>10492</v>
      </c>
      <c r="K2027" s="1" t="s">
        <v>10492</v>
      </c>
      <c r="L2027" s="1" t="s">
        <v>21600</v>
      </c>
      <c r="M2027" s="1">
        <v>136</v>
      </c>
      <c r="N2027" s="1" t="s">
        <v>8953</v>
      </c>
      <c r="O2027" s="1" t="s">
        <v>8989</v>
      </c>
      <c r="P2027" s="1" t="s">
        <v>8955</v>
      </c>
      <c r="Q2027" s="1" t="s">
        <v>8956</v>
      </c>
      <c r="R2027" s="1" t="s">
        <v>9103</v>
      </c>
      <c r="S2027" s="1" t="s">
        <v>19998</v>
      </c>
      <c r="T2027" s="1" t="s">
        <v>7</v>
      </c>
      <c r="U2027" s="1" t="s">
        <v>46</v>
      </c>
    </row>
    <row r="2028" spans="1:21" x14ac:dyDescent="0.2">
      <c r="A2028" s="88" t="s">
        <v>17722</v>
      </c>
      <c r="B2028" s="88" t="e">
        <f>VLOOKUP(C2028,#REF!,1,0)</f>
        <v>#REF!</v>
      </c>
      <c r="C2028" s="1" t="s">
        <v>6737</v>
      </c>
      <c r="D2028" s="1" t="s">
        <v>6738</v>
      </c>
      <c r="E2028" s="1" t="s">
        <v>9010</v>
      </c>
      <c r="F2028" s="1" t="s">
        <v>9060</v>
      </c>
      <c r="G2028" t="s">
        <v>8959</v>
      </c>
      <c r="H2028" s="1" t="s">
        <v>9035</v>
      </c>
      <c r="I2028" s="1" t="s">
        <v>8998</v>
      </c>
      <c r="J2028" s="2" t="s">
        <v>9787</v>
      </c>
      <c r="K2028" s="1" t="s">
        <v>9787</v>
      </c>
      <c r="L2028" s="1" t="s">
        <v>9157</v>
      </c>
      <c r="M2028" s="1">
        <v>24400</v>
      </c>
      <c r="N2028" s="1" t="s">
        <v>8953</v>
      </c>
      <c r="O2028" s="1" t="s">
        <v>8954</v>
      </c>
      <c r="P2028" s="1" t="s">
        <v>8955</v>
      </c>
      <c r="Q2028" s="1" t="s">
        <v>8956</v>
      </c>
      <c r="R2028" s="1" t="s">
        <v>8958</v>
      </c>
      <c r="S2028" s="1" t="s">
        <v>6739</v>
      </c>
      <c r="T2028" s="1" t="s">
        <v>11</v>
      </c>
      <c r="U2028" s="1" t="s">
        <v>921</v>
      </c>
    </row>
    <row r="2029" spans="1:21" x14ac:dyDescent="0.2">
      <c r="A2029" s="88" t="s">
        <v>17723</v>
      </c>
      <c r="B2029" s="88" t="e">
        <f>VLOOKUP(C2029,#REF!,1,0)</f>
        <v>#REF!</v>
      </c>
      <c r="C2029" s="1" t="s">
        <v>6740</v>
      </c>
      <c r="D2029" s="1" t="s">
        <v>6741</v>
      </c>
      <c r="E2029" s="1" t="s">
        <v>10873</v>
      </c>
      <c r="F2029" s="1" t="s">
        <v>8957</v>
      </c>
      <c r="G2029" t="s">
        <v>8959</v>
      </c>
      <c r="H2029" s="1" t="s">
        <v>8984</v>
      </c>
      <c r="I2029" s="1" t="s">
        <v>9269</v>
      </c>
      <c r="J2029" s="2" t="s">
        <v>9036</v>
      </c>
      <c r="K2029" s="1" t="s">
        <v>9036</v>
      </c>
      <c r="L2029" s="1" t="s">
        <v>8987</v>
      </c>
      <c r="M2029" s="1">
        <v>100</v>
      </c>
      <c r="N2029" s="1" t="s">
        <v>8953</v>
      </c>
      <c r="O2029" s="1" t="s">
        <v>8989</v>
      </c>
      <c r="P2029" s="1" t="s">
        <v>8955</v>
      </c>
      <c r="Q2029" s="1" t="s">
        <v>8956</v>
      </c>
      <c r="R2029" s="1" t="s">
        <v>8958</v>
      </c>
      <c r="S2029" s="1" t="s">
        <v>6742</v>
      </c>
      <c r="T2029" s="1" t="s">
        <v>242</v>
      </c>
      <c r="U2029" s="1" t="s">
        <v>61</v>
      </c>
    </row>
    <row r="2030" spans="1:21" x14ac:dyDescent="0.2">
      <c r="A2030" s="88" t="s">
        <v>17724</v>
      </c>
      <c r="B2030" s="88" t="e">
        <f>VLOOKUP(C2030,#REF!,1,0)</f>
        <v>#REF!</v>
      </c>
      <c r="C2030" s="1" t="s">
        <v>6743</v>
      </c>
      <c r="D2030" s="1" t="s">
        <v>6744</v>
      </c>
      <c r="E2030" s="1" t="s">
        <v>9380</v>
      </c>
      <c r="F2030" s="1" t="s">
        <v>8957</v>
      </c>
      <c r="G2030" t="s">
        <v>8959</v>
      </c>
      <c r="H2030" s="1" t="s">
        <v>9100</v>
      </c>
      <c r="I2030" s="1" t="s">
        <v>12453</v>
      </c>
      <c r="J2030" s="2" t="s">
        <v>20813</v>
      </c>
      <c r="K2030" s="1" t="s">
        <v>20770</v>
      </c>
      <c r="L2030" s="1" t="s">
        <v>8951</v>
      </c>
      <c r="M2030" s="1">
        <v>40</v>
      </c>
      <c r="N2030" s="1" t="s">
        <v>9059</v>
      </c>
      <c r="O2030" s="1" t="s">
        <v>8989</v>
      </c>
      <c r="P2030" s="1" t="s">
        <v>8955</v>
      </c>
      <c r="Q2030" s="1" t="s">
        <v>8956</v>
      </c>
      <c r="R2030" s="1" t="s">
        <v>8958</v>
      </c>
      <c r="S2030" s="1" t="s">
        <v>19999</v>
      </c>
      <c r="T2030" s="1" t="s">
        <v>17</v>
      </c>
      <c r="U2030" s="1" t="s">
        <v>2287</v>
      </c>
    </row>
    <row r="2031" spans="1:21" x14ac:dyDescent="0.2">
      <c r="A2031" s="88" t="s">
        <v>17726</v>
      </c>
      <c r="B2031" s="88" t="e">
        <f>VLOOKUP(C2031,#REF!,1,0)</f>
        <v>#REF!</v>
      </c>
      <c r="C2031" s="1" t="s">
        <v>6753</v>
      </c>
      <c r="D2031" s="1" t="s">
        <v>6754</v>
      </c>
      <c r="E2031" s="1" t="s">
        <v>9380</v>
      </c>
      <c r="F2031" s="1" t="s">
        <v>8957</v>
      </c>
      <c r="G2031" t="s">
        <v>9009</v>
      </c>
      <c r="H2031" s="1" t="s">
        <v>9075</v>
      </c>
      <c r="I2031" s="1" t="s">
        <v>8971</v>
      </c>
      <c r="J2031" s="2" t="s">
        <v>20779</v>
      </c>
      <c r="K2031" s="1" t="s">
        <v>9036</v>
      </c>
      <c r="L2031" s="1" t="s">
        <v>8987</v>
      </c>
      <c r="M2031" s="1">
        <v>2420</v>
      </c>
      <c r="N2031" s="1" t="s">
        <v>8953</v>
      </c>
      <c r="O2031" s="1" t="s">
        <v>8989</v>
      </c>
      <c r="P2031" s="1" t="s">
        <v>8955</v>
      </c>
      <c r="Q2031" s="1" t="s">
        <v>8956</v>
      </c>
      <c r="R2031" s="1" t="s">
        <v>8958</v>
      </c>
      <c r="S2031" s="1" t="s">
        <v>20002</v>
      </c>
      <c r="T2031" s="1" t="s">
        <v>7</v>
      </c>
      <c r="U2031" s="1" t="s">
        <v>6755</v>
      </c>
    </row>
    <row r="2032" spans="1:21" x14ac:dyDescent="0.2">
      <c r="A2032" s="88" t="s">
        <v>17727</v>
      </c>
      <c r="B2032" s="88" t="e">
        <f>VLOOKUP(C2032,#REF!,1,0)</f>
        <v>#REF!</v>
      </c>
      <c r="C2032" s="1" t="s">
        <v>6756</v>
      </c>
      <c r="D2032" s="1" t="s">
        <v>6757</v>
      </c>
      <c r="E2032" s="1" t="s">
        <v>18502</v>
      </c>
      <c r="F2032" s="1" t="s">
        <v>8957</v>
      </c>
      <c r="G2032" t="s">
        <v>8959</v>
      </c>
      <c r="H2032" s="1" t="s">
        <v>20712</v>
      </c>
      <c r="I2032" s="1" t="s">
        <v>9101</v>
      </c>
      <c r="J2032" s="2" t="s">
        <v>20779</v>
      </c>
      <c r="K2032" s="1" t="s">
        <v>9036</v>
      </c>
      <c r="L2032" s="1" t="s">
        <v>9076</v>
      </c>
      <c r="M2032" s="1">
        <v>170</v>
      </c>
      <c r="N2032" s="1" t="s">
        <v>9059</v>
      </c>
      <c r="O2032" s="1" t="s">
        <v>8989</v>
      </c>
      <c r="P2032" s="1" t="s">
        <v>8955</v>
      </c>
      <c r="Q2032" s="1" t="s">
        <v>8956</v>
      </c>
      <c r="R2032" s="1" t="s">
        <v>8975</v>
      </c>
      <c r="S2032" s="1" t="s">
        <v>20003</v>
      </c>
      <c r="T2032" s="1" t="s">
        <v>17</v>
      </c>
      <c r="U2032" s="1" t="s">
        <v>2121</v>
      </c>
    </row>
    <row r="2033" spans="1:21" x14ac:dyDescent="0.2">
      <c r="A2033" s="88" t="s">
        <v>17728</v>
      </c>
      <c r="B2033" s="88" t="e">
        <f>VLOOKUP(C2033,#REF!,1,0)</f>
        <v>#REF!</v>
      </c>
      <c r="C2033" s="1" t="s">
        <v>6758</v>
      </c>
      <c r="D2033" s="1" t="s">
        <v>6759</v>
      </c>
      <c r="E2033" s="1" t="s">
        <v>9010</v>
      </c>
      <c r="F2033" s="1" t="s">
        <v>9060</v>
      </c>
      <c r="G2033" t="s">
        <v>9009</v>
      </c>
      <c r="H2033" s="1" t="s">
        <v>9092</v>
      </c>
      <c r="I2033" s="1" t="s">
        <v>9422</v>
      </c>
      <c r="J2033" s="2" t="s">
        <v>9036</v>
      </c>
      <c r="K2033" s="1" t="s">
        <v>9036</v>
      </c>
      <c r="L2033" s="1" t="s">
        <v>8987</v>
      </c>
      <c r="M2033" s="1">
        <v>25488</v>
      </c>
      <c r="N2033" s="1" t="s">
        <v>8953</v>
      </c>
      <c r="O2033" s="1" t="s">
        <v>8989</v>
      </c>
      <c r="P2033" s="1" t="s">
        <v>8955</v>
      </c>
      <c r="Q2033" s="1" t="s">
        <v>8956</v>
      </c>
      <c r="R2033" s="1" t="s">
        <v>9103</v>
      </c>
      <c r="S2033" s="1" t="s">
        <v>6760</v>
      </c>
      <c r="T2033" s="1" t="s">
        <v>11</v>
      </c>
      <c r="U2033" s="1" t="s">
        <v>6761</v>
      </c>
    </row>
    <row r="2034" spans="1:21" x14ac:dyDescent="0.2">
      <c r="A2034" s="88" t="s">
        <v>17729</v>
      </c>
      <c r="B2034" s="88" t="e">
        <f>VLOOKUP(C2034,#REF!,1,0)</f>
        <v>#REF!</v>
      </c>
      <c r="C2034" s="1" t="s">
        <v>6762</v>
      </c>
      <c r="D2034" s="1" t="s">
        <v>6763</v>
      </c>
      <c r="E2034" s="1" t="s">
        <v>9010</v>
      </c>
      <c r="F2034" s="1" t="s">
        <v>9060</v>
      </c>
      <c r="G2034" t="s">
        <v>9009</v>
      </c>
      <c r="H2034" s="1" t="s">
        <v>9605</v>
      </c>
      <c r="I2034" s="1" t="s">
        <v>9101</v>
      </c>
      <c r="J2034" s="2" t="s">
        <v>9036</v>
      </c>
      <c r="K2034" s="1" t="s">
        <v>9036</v>
      </c>
      <c r="L2034" s="1" t="s">
        <v>8987</v>
      </c>
      <c r="M2034" s="1">
        <v>240</v>
      </c>
      <c r="N2034" s="1" t="s">
        <v>8953</v>
      </c>
      <c r="O2034" s="1" t="s">
        <v>8989</v>
      </c>
      <c r="P2034" s="1" t="s">
        <v>8955</v>
      </c>
      <c r="Q2034" s="1" t="s">
        <v>8956</v>
      </c>
      <c r="R2034" s="1" t="s">
        <v>8958</v>
      </c>
      <c r="S2034" s="1" t="s">
        <v>6764</v>
      </c>
      <c r="T2034" s="1" t="s">
        <v>4</v>
      </c>
      <c r="U2034" s="1" t="s">
        <v>1889</v>
      </c>
    </row>
    <row r="2035" spans="1:21" x14ac:dyDescent="0.2">
      <c r="A2035" s="88" t="s">
        <v>17730</v>
      </c>
      <c r="B2035" s="88" t="e">
        <f>VLOOKUP(C2035,#REF!,1,0)</f>
        <v>#REF!</v>
      </c>
      <c r="C2035" s="1" t="s">
        <v>6769</v>
      </c>
      <c r="D2035" s="1" t="s">
        <v>6770</v>
      </c>
      <c r="E2035" s="1" t="s">
        <v>9213</v>
      </c>
      <c r="F2035" s="1" t="e">
        <v>#N/A</v>
      </c>
      <c r="G2035" t="s">
        <v>8959</v>
      </c>
      <c r="H2035" s="1" t="s">
        <v>9100</v>
      </c>
      <c r="I2035" s="1" t="s">
        <v>8949</v>
      </c>
      <c r="J2035" s="2" t="s">
        <v>20811</v>
      </c>
      <c r="K2035" s="1" t="s">
        <v>13923</v>
      </c>
      <c r="L2035" s="1" t="s">
        <v>8987</v>
      </c>
      <c r="M2035" s="1">
        <v>600</v>
      </c>
      <c r="N2035" s="1" t="s">
        <v>9059</v>
      </c>
      <c r="O2035" s="1" t="s">
        <v>8954</v>
      </c>
      <c r="P2035" s="1" t="s">
        <v>8955</v>
      </c>
      <c r="Q2035" s="1" t="s">
        <v>8956</v>
      </c>
      <c r="R2035" s="1" t="s">
        <v>8958</v>
      </c>
      <c r="S2035" s="1" t="s">
        <v>20005</v>
      </c>
      <c r="T2035" s="1" t="s">
        <v>17</v>
      </c>
      <c r="U2035" s="1" t="s">
        <v>4538</v>
      </c>
    </row>
    <row r="2036" spans="1:21" x14ac:dyDescent="0.2">
      <c r="A2036" s="88" t="s">
        <v>17731</v>
      </c>
      <c r="B2036" s="88" t="e">
        <f>VLOOKUP(C2036,#REF!,1,0)</f>
        <v>#REF!</v>
      </c>
      <c r="C2036" s="1" t="s">
        <v>6771</v>
      </c>
      <c r="D2036" s="1" t="s">
        <v>6772</v>
      </c>
      <c r="E2036" s="1" t="s">
        <v>9968</v>
      </c>
      <c r="F2036" s="1" t="s">
        <v>8959</v>
      </c>
      <c r="G2036" t="s">
        <v>8959</v>
      </c>
      <c r="H2036" s="1" t="s">
        <v>9075</v>
      </c>
      <c r="I2036" s="1" t="s">
        <v>8971</v>
      </c>
      <c r="J2036" s="2" t="s">
        <v>20779</v>
      </c>
      <c r="K2036" s="1" t="s">
        <v>9036</v>
      </c>
      <c r="L2036" s="1" t="s">
        <v>21600</v>
      </c>
      <c r="M2036" s="1">
        <v>8823</v>
      </c>
      <c r="N2036" s="1" t="s">
        <v>8953</v>
      </c>
      <c r="O2036" s="1" t="s">
        <v>8989</v>
      </c>
      <c r="P2036" s="1" t="s">
        <v>8955</v>
      </c>
      <c r="Q2036" s="1" t="s">
        <v>8956</v>
      </c>
      <c r="R2036" s="1" t="s">
        <v>8958</v>
      </c>
      <c r="S2036" s="1" t="s">
        <v>20006</v>
      </c>
      <c r="T2036" s="1" t="s">
        <v>17</v>
      </c>
      <c r="U2036" s="1" t="s">
        <v>46</v>
      </c>
    </row>
    <row r="2037" spans="1:21" x14ac:dyDescent="0.2">
      <c r="A2037" s="88" t="s">
        <v>17732</v>
      </c>
      <c r="B2037" s="88" t="e">
        <f>VLOOKUP(C2037,#REF!,1,0)</f>
        <v>#REF!</v>
      </c>
      <c r="C2037" s="1" t="s">
        <v>6773</v>
      </c>
      <c r="D2037" s="1" t="s">
        <v>6774</v>
      </c>
      <c r="E2037" s="1" t="s">
        <v>9333</v>
      </c>
      <c r="F2037" s="1" t="s">
        <v>8959</v>
      </c>
      <c r="G2037" t="s">
        <v>8959</v>
      </c>
      <c r="H2037" s="1" t="s">
        <v>20714</v>
      </c>
      <c r="I2037" s="1" t="s">
        <v>20725</v>
      </c>
      <c r="J2037" s="2" t="s">
        <v>21293</v>
      </c>
      <c r="K2037" s="1" t="s">
        <v>21293</v>
      </c>
      <c r="L2037" s="1" t="s">
        <v>8951</v>
      </c>
      <c r="M2037" s="1">
        <v>910</v>
      </c>
      <c r="N2037" s="1" t="s">
        <v>8953</v>
      </c>
      <c r="O2037" s="1" t="s">
        <v>8989</v>
      </c>
      <c r="P2037" s="1" t="s">
        <v>8955</v>
      </c>
      <c r="Q2037" s="1" t="s">
        <v>8956</v>
      </c>
      <c r="R2037" s="1" t="s">
        <v>8975</v>
      </c>
      <c r="S2037" s="1" t="s">
        <v>20007</v>
      </c>
      <c r="T2037" s="1" t="s">
        <v>7</v>
      </c>
      <c r="U2037" s="1" t="s">
        <v>110</v>
      </c>
    </row>
    <row r="2038" spans="1:21" x14ac:dyDescent="0.2">
      <c r="A2038" s="88" t="s">
        <v>17733</v>
      </c>
      <c r="B2038" s="88" t="e">
        <f>VLOOKUP(C2038,#REF!,1,0)</f>
        <v>#REF!</v>
      </c>
      <c r="C2038" s="1" t="s">
        <v>6775</v>
      </c>
      <c r="D2038" s="1" t="s">
        <v>6776</v>
      </c>
      <c r="E2038" s="1" t="s">
        <v>18502</v>
      </c>
      <c r="F2038" s="1" t="s">
        <v>9060</v>
      </c>
      <c r="G2038" t="s">
        <v>8959</v>
      </c>
      <c r="H2038" s="1" t="s">
        <v>9100</v>
      </c>
      <c r="I2038" s="1" t="s">
        <v>9101</v>
      </c>
      <c r="J2038" s="2" t="s">
        <v>10492</v>
      </c>
      <c r="K2038" s="1" t="s">
        <v>10492</v>
      </c>
      <c r="L2038" s="1" t="s">
        <v>21600</v>
      </c>
      <c r="M2038" s="1">
        <v>28</v>
      </c>
      <c r="N2038" s="1" t="s">
        <v>9059</v>
      </c>
      <c r="O2038" s="1" t="s">
        <v>8954</v>
      </c>
      <c r="P2038" s="1" t="s">
        <v>8955</v>
      </c>
      <c r="Q2038" s="1" t="s">
        <v>8956</v>
      </c>
      <c r="R2038" s="1" t="s">
        <v>8958</v>
      </c>
      <c r="S2038" s="1" t="s">
        <v>20008</v>
      </c>
      <c r="T2038" s="1" t="s">
        <v>17</v>
      </c>
      <c r="U2038" s="1" t="s">
        <v>2121</v>
      </c>
    </row>
    <row r="2039" spans="1:21" x14ac:dyDescent="0.2">
      <c r="A2039" s="88" t="s">
        <v>17734</v>
      </c>
      <c r="B2039" s="88" t="e">
        <f>VLOOKUP(C2039,#REF!,1,0)</f>
        <v>#REF!</v>
      </c>
      <c r="C2039" s="1" t="s">
        <v>6780</v>
      </c>
      <c r="D2039" s="1" t="s">
        <v>6781</v>
      </c>
      <c r="E2039" s="1" t="s">
        <v>9213</v>
      </c>
      <c r="F2039" s="1" t="s">
        <v>8957</v>
      </c>
      <c r="G2039" t="s">
        <v>8959</v>
      </c>
      <c r="H2039" s="1" t="s">
        <v>20714</v>
      </c>
      <c r="I2039" s="1" t="s">
        <v>9050</v>
      </c>
      <c r="J2039" s="2" t="s">
        <v>20838</v>
      </c>
      <c r="K2039" s="1" t="s">
        <v>20755</v>
      </c>
      <c r="L2039" s="1" t="s">
        <v>8987</v>
      </c>
      <c r="M2039" s="1">
        <v>103262</v>
      </c>
      <c r="N2039" s="1" t="s">
        <v>8953</v>
      </c>
      <c r="O2039" s="1" t="s">
        <v>8954</v>
      </c>
      <c r="P2039" s="1" t="s">
        <v>8955</v>
      </c>
      <c r="Q2039" s="1" t="s">
        <v>8956</v>
      </c>
      <c r="R2039" s="1" t="s">
        <v>8958</v>
      </c>
      <c r="S2039" s="1" t="s">
        <v>20010</v>
      </c>
      <c r="T2039" s="1" t="s">
        <v>7</v>
      </c>
      <c r="U2039" s="1" t="s">
        <v>447</v>
      </c>
    </row>
    <row r="2040" spans="1:21" x14ac:dyDescent="0.2">
      <c r="A2040" s="88" t="s">
        <v>17735</v>
      </c>
      <c r="B2040" s="88" t="e">
        <f>VLOOKUP(C2040,#REF!,1,0)</f>
        <v>#REF!</v>
      </c>
      <c r="C2040" s="1" t="s">
        <v>6782</v>
      </c>
      <c r="D2040" s="1" t="s">
        <v>6783</v>
      </c>
      <c r="E2040" s="1" t="s">
        <v>9213</v>
      </c>
      <c r="F2040" s="1" t="s">
        <v>8957</v>
      </c>
      <c r="G2040" t="s">
        <v>9061</v>
      </c>
      <c r="H2040" s="1" t="s">
        <v>8984</v>
      </c>
      <c r="I2040" s="1" t="s">
        <v>8998</v>
      </c>
      <c r="J2040" s="2" t="s">
        <v>20779</v>
      </c>
      <c r="K2040" s="1" t="s">
        <v>9036</v>
      </c>
      <c r="L2040" s="1" t="s">
        <v>8987</v>
      </c>
      <c r="M2040" s="1">
        <v>558</v>
      </c>
      <c r="N2040" s="1" t="s">
        <v>9059</v>
      </c>
      <c r="O2040" s="1" t="s">
        <v>8954</v>
      </c>
      <c r="P2040" s="1" t="s">
        <v>8955</v>
      </c>
      <c r="Q2040" s="1" t="s">
        <v>8956</v>
      </c>
      <c r="R2040" s="1" t="s">
        <v>8958</v>
      </c>
      <c r="S2040" s="1" t="s">
        <v>20011</v>
      </c>
      <c r="T2040" s="1" t="s">
        <v>7</v>
      </c>
      <c r="U2040" s="1" t="s">
        <v>147</v>
      </c>
    </row>
    <row r="2041" spans="1:21" x14ac:dyDescent="0.2">
      <c r="A2041" s="88" t="s">
        <v>17736</v>
      </c>
      <c r="B2041" s="88" t="e">
        <f>VLOOKUP(C2041,#REF!,1,0)</f>
        <v>#REF!</v>
      </c>
      <c r="C2041" s="1" t="s">
        <v>6784</v>
      </c>
      <c r="D2041" s="1" t="s">
        <v>6785</v>
      </c>
      <c r="E2041" s="1" t="s">
        <v>9213</v>
      </c>
      <c r="F2041" s="1" t="s">
        <v>8957</v>
      </c>
      <c r="G2041" t="s">
        <v>8959</v>
      </c>
      <c r="H2041" s="1" t="s">
        <v>8948</v>
      </c>
      <c r="I2041" s="1" t="s">
        <v>8949</v>
      </c>
      <c r="J2041" s="2" t="s">
        <v>9436</v>
      </c>
      <c r="K2041" s="1" t="s">
        <v>9436</v>
      </c>
      <c r="L2041" s="1" t="s">
        <v>9076</v>
      </c>
      <c r="M2041" s="1">
        <v>941</v>
      </c>
      <c r="N2041" s="1" t="s">
        <v>9059</v>
      </c>
      <c r="O2041" s="1" t="s">
        <v>8954</v>
      </c>
      <c r="P2041" s="1" t="s">
        <v>8955</v>
      </c>
      <c r="Q2041" s="1" t="s">
        <v>8956</v>
      </c>
      <c r="R2041" s="1" t="s">
        <v>8958</v>
      </c>
      <c r="S2041" s="1" t="s">
        <v>6786</v>
      </c>
      <c r="T2041" s="1" t="s">
        <v>17</v>
      </c>
      <c r="U2041" s="1" t="s">
        <v>74</v>
      </c>
    </row>
    <row r="2042" spans="1:21" x14ac:dyDescent="0.2">
      <c r="A2042" s="88" t="s">
        <v>17738</v>
      </c>
      <c r="B2042" s="88" t="e">
        <f>VLOOKUP(C2042,#REF!,1,0)</f>
        <v>#REF!</v>
      </c>
      <c r="C2042" s="1" t="s">
        <v>6789</v>
      </c>
      <c r="D2042" s="1" t="s">
        <v>6790</v>
      </c>
      <c r="E2042" s="1" t="s">
        <v>9213</v>
      </c>
      <c r="F2042" s="1" t="s">
        <v>8957</v>
      </c>
      <c r="G2042" t="s">
        <v>8959</v>
      </c>
      <c r="H2042" s="1" t="s">
        <v>8984</v>
      </c>
      <c r="I2042" s="1" t="s">
        <v>9131</v>
      </c>
      <c r="J2042" s="2" t="s">
        <v>21341</v>
      </c>
      <c r="K2042" s="1" t="s">
        <v>21199</v>
      </c>
      <c r="L2042" s="1" t="s">
        <v>9133</v>
      </c>
      <c r="M2042" s="1">
        <v>12480</v>
      </c>
      <c r="N2042" s="1" t="s">
        <v>20915</v>
      </c>
      <c r="O2042" s="1" t="s">
        <v>8989</v>
      </c>
      <c r="P2042" s="1" t="s">
        <v>8955</v>
      </c>
      <c r="Q2042" s="1" t="s">
        <v>8956</v>
      </c>
      <c r="R2042" s="1" t="s">
        <v>8975</v>
      </c>
      <c r="S2042" s="1" t="s">
        <v>20013</v>
      </c>
      <c r="T2042" s="1" t="s">
        <v>7</v>
      </c>
      <c r="U2042" s="1" t="s">
        <v>24</v>
      </c>
    </row>
    <row r="2043" spans="1:21" x14ac:dyDescent="0.2">
      <c r="A2043" s="88" t="s">
        <v>17739</v>
      </c>
      <c r="B2043" s="88" t="e">
        <f>VLOOKUP(C2043,#REF!,1,0)</f>
        <v>#REF!</v>
      </c>
      <c r="C2043" s="1" t="s">
        <v>6791</v>
      </c>
      <c r="D2043" s="1" t="s">
        <v>6792</v>
      </c>
      <c r="E2043" s="1" t="s">
        <v>9213</v>
      </c>
      <c r="F2043" s="1" t="s">
        <v>8957</v>
      </c>
      <c r="G2043" t="s">
        <v>8959</v>
      </c>
      <c r="H2043" s="1" t="s">
        <v>9943</v>
      </c>
      <c r="I2043" s="1" t="s">
        <v>8971</v>
      </c>
      <c r="J2043" s="2" t="s">
        <v>18489</v>
      </c>
      <c r="K2043" s="1" t="s">
        <v>18489</v>
      </c>
      <c r="L2043" s="1" t="s">
        <v>9133</v>
      </c>
      <c r="M2043" s="1">
        <v>1513</v>
      </c>
      <c r="N2043" s="1" t="s">
        <v>8953</v>
      </c>
      <c r="O2043" s="1" t="s">
        <v>8954</v>
      </c>
      <c r="P2043" s="1" t="s">
        <v>8955</v>
      </c>
      <c r="Q2043" s="1" t="s">
        <v>8956</v>
      </c>
      <c r="R2043" s="1" t="s">
        <v>8975</v>
      </c>
      <c r="S2043" s="1" t="s">
        <v>6793</v>
      </c>
      <c r="T2043" s="1" t="s">
        <v>17</v>
      </c>
      <c r="U2043" s="1" t="s">
        <v>267</v>
      </c>
    </row>
    <row r="2044" spans="1:21" x14ac:dyDescent="0.2">
      <c r="A2044" s="88" t="s">
        <v>17740</v>
      </c>
      <c r="B2044" s="88" t="e">
        <f>VLOOKUP(C2044,#REF!,1,0)</f>
        <v>#REF!</v>
      </c>
      <c r="C2044" s="1" t="s">
        <v>6794</v>
      </c>
      <c r="D2044" s="1" t="s">
        <v>6795</v>
      </c>
      <c r="E2044" s="1" t="s">
        <v>9310</v>
      </c>
      <c r="F2044" s="1" t="s">
        <v>8957</v>
      </c>
      <c r="G2044" t="s">
        <v>8959</v>
      </c>
      <c r="H2044" s="1" t="s">
        <v>9035</v>
      </c>
      <c r="I2044" s="1" t="s">
        <v>8998</v>
      </c>
      <c r="J2044" s="2" t="s">
        <v>20785</v>
      </c>
      <c r="K2044" s="1" t="s">
        <v>18491</v>
      </c>
      <c r="L2044" s="1" t="s">
        <v>8951</v>
      </c>
      <c r="M2044" s="1">
        <v>201</v>
      </c>
      <c r="N2044" s="1" t="s">
        <v>9059</v>
      </c>
      <c r="O2044" s="1" t="s">
        <v>8954</v>
      </c>
      <c r="P2044" s="1" t="s">
        <v>8955</v>
      </c>
      <c r="Q2044" s="1" t="s">
        <v>8956</v>
      </c>
      <c r="R2044" s="1" t="s">
        <v>8975</v>
      </c>
      <c r="S2044" s="1" t="s">
        <v>20014</v>
      </c>
      <c r="T2044" s="1" t="s">
        <v>7</v>
      </c>
      <c r="U2044" s="1" t="s">
        <v>382</v>
      </c>
    </row>
    <row r="2045" spans="1:21" x14ac:dyDescent="0.2">
      <c r="A2045" s="88" t="s">
        <v>17741</v>
      </c>
      <c r="B2045" s="88" t="e">
        <f>VLOOKUP(C2045,#REF!,1,0)</f>
        <v>#REF!</v>
      </c>
      <c r="C2045" s="1" t="s">
        <v>6796</v>
      </c>
      <c r="D2045" s="1" t="s">
        <v>6797</v>
      </c>
      <c r="E2045" s="1" t="s">
        <v>9310</v>
      </c>
      <c r="F2045" s="1" t="s">
        <v>8957</v>
      </c>
      <c r="G2045" t="s">
        <v>8959</v>
      </c>
      <c r="H2045" s="1" t="s">
        <v>9173</v>
      </c>
      <c r="I2045" s="1" t="s">
        <v>9174</v>
      </c>
      <c r="J2045" s="2" t="s">
        <v>18497</v>
      </c>
      <c r="K2045" s="1" t="s">
        <v>18497</v>
      </c>
      <c r="L2045" s="1" t="s">
        <v>21607</v>
      </c>
      <c r="M2045" s="1">
        <v>13750</v>
      </c>
      <c r="N2045" s="1" t="s">
        <v>8953</v>
      </c>
      <c r="O2045" s="1" t="s">
        <v>8954</v>
      </c>
      <c r="P2045" s="1" t="s">
        <v>8955</v>
      </c>
      <c r="Q2045" s="1" t="s">
        <v>8956</v>
      </c>
      <c r="R2045" s="1" t="s">
        <v>9103</v>
      </c>
      <c r="S2045" s="1" t="s">
        <v>20015</v>
      </c>
      <c r="T2045" s="1" t="s">
        <v>7</v>
      </c>
      <c r="U2045" s="1" t="s">
        <v>27</v>
      </c>
    </row>
    <row r="2046" spans="1:21" x14ac:dyDescent="0.2">
      <c r="A2046" s="88" t="s">
        <v>17742</v>
      </c>
      <c r="B2046" s="88" t="e">
        <f>VLOOKUP(C2046,#REF!,1,0)</f>
        <v>#REF!</v>
      </c>
      <c r="C2046" s="1" t="s">
        <v>6798</v>
      </c>
      <c r="D2046" s="1" t="s">
        <v>6799</v>
      </c>
      <c r="E2046" s="1" t="s">
        <v>10873</v>
      </c>
      <c r="F2046" s="1" t="s">
        <v>8957</v>
      </c>
      <c r="G2046" t="s">
        <v>8959</v>
      </c>
      <c r="H2046" s="1" t="s">
        <v>9100</v>
      </c>
      <c r="I2046" s="1" t="s">
        <v>8949</v>
      </c>
      <c r="J2046" s="2" t="s">
        <v>20779</v>
      </c>
      <c r="K2046" s="1" t="s">
        <v>9036</v>
      </c>
      <c r="L2046" s="1" t="s">
        <v>9076</v>
      </c>
      <c r="M2046" s="1">
        <v>1200</v>
      </c>
      <c r="N2046" s="1" t="s">
        <v>8953</v>
      </c>
      <c r="O2046" s="1" t="s">
        <v>8954</v>
      </c>
      <c r="P2046" s="1" t="s">
        <v>8955</v>
      </c>
      <c r="Q2046" s="1" t="s">
        <v>8956</v>
      </c>
      <c r="R2046" s="1" t="s">
        <v>9103</v>
      </c>
      <c r="S2046" s="1" t="s">
        <v>20016</v>
      </c>
      <c r="T2046" s="1" t="s">
        <v>17</v>
      </c>
      <c r="U2046" s="1" t="s">
        <v>93</v>
      </c>
    </row>
    <row r="2047" spans="1:21" x14ac:dyDescent="0.2">
      <c r="A2047" s="88" t="s">
        <v>17743</v>
      </c>
      <c r="B2047" s="88" t="e">
        <f>VLOOKUP(C2047,#REF!,1,0)</f>
        <v>#REF!</v>
      </c>
      <c r="C2047" s="1" t="s">
        <v>6800</v>
      </c>
      <c r="D2047" s="1" t="s">
        <v>6801</v>
      </c>
      <c r="E2047" s="1" t="s">
        <v>9310</v>
      </c>
      <c r="F2047" s="1" t="s">
        <v>9060</v>
      </c>
      <c r="G2047" t="s">
        <v>8959</v>
      </c>
      <c r="H2047" s="1" t="s">
        <v>9035</v>
      </c>
      <c r="I2047" s="1" t="s">
        <v>8998</v>
      </c>
      <c r="J2047" s="2" t="s">
        <v>21579</v>
      </c>
      <c r="K2047" s="1" t="s">
        <v>21801</v>
      </c>
      <c r="L2047" s="1" t="s">
        <v>8987</v>
      </c>
      <c r="M2047" s="1">
        <v>4581</v>
      </c>
      <c r="N2047" s="1" t="s">
        <v>8953</v>
      </c>
      <c r="O2047" s="1" t="s">
        <v>8989</v>
      </c>
      <c r="P2047" s="1" t="s">
        <v>8955</v>
      </c>
      <c r="Q2047" s="1" t="s">
        <v>8956</v>
      </c>
      <c r="R2047" s="1" t="s">
        <v>8958</v>
      </c>
      <c r="S2047" s="1" t="s">
        <v>6802</v>
      </c>
      <c r="T2047" s="1" t="s">
        <v>4</v>
      </c>
      <c r="U2047" s="1" t="s">
        <v>35</v>
      </c>
    </row>
    <row r="2048" spans="1:21" x14ac:dyDescent="0.2">
      <c r="A2048" s="88" t="s">
        <v>17744</v>
      </c>
      <c r="B2048" s="88" t="e">
        <f>VLOOKUP(C2048,#REF!,1,0)</f>
        <v>#REF!</v>
      </c>
      <c r="C2048" s="1" t="s">
        <v>6803</v>
      </c>
      <c r="D2048" s="1" t="s">
        <v>6804</v>
      </c>
      <c r="E2048" s="1" t="s">
        <v>10873</v>
      </c>
      <c r="F2048" s="1" t="s">
        <v>8959</v>
      </c>
      <c r="G2048" t="s">
        <v>8959</v>
      </c>
      <c r="H2048" s="1" t="s">
        <v>9092</v>
      </c>
      <c r="I2048" s="1" t="s">
        <v>20800</v>
      </c>
      <c r="J2048" s="2" t="s">
        <v>21205</v>
      </c>
      <c r="K2048" s="1" t="s">
        <v>21205</v>
      </c>
      <c r="L2048" s="1" t="s">
        <v>20856</v>
      </c>
      <c r="M2048" s="1">
        <v>52</v>
      </c>
      <c r="N2048" s="1" t="s">
        <v>8953</v>
      </c>
      <c r="O2048" s="1" t="s">
        <v>8989</v>
      </c>
      <c r="P2048" s="1" t="s">
        <v>8955</v>
      </c>
      <c r="Q2048" s="1" t="s">
        <v>8956</v>
      </c>
      <c r="R2048" s="1" t="s">
        <v>9103</v>
      </c>
      <c r="S2048" s="1" t="s">
        <v>20017</v>
      </c>
      <c r="T2048" s="1" t="s">
        <v>17</v>
      </c>
      <c r="U2048" s="1" t="s">
        <v>27</v>
      </c>
    </row>
    <row r="2049" spans="1:21" x14ac:dyDescent="0.2">
      <c r="A2049" s="88" t="s">
        <v>17745</v>
      </c>
      <c r="B2049" s="88" t="e">
        <f>VLOOKUP(C2049,#REF!,1,0)</f>
        <v>#REF!</v>
      </c>
      <c r="C2049" s="1" t="s">
        <v>6805</v>
      </c>
      <c r="D2049" s="1" t="s">
        <v>6806</v>
      </c>
      <c r="E2049" s="1" t="s">
        <v>9310</v>
      </c>
      <c r="F2049" s="1" t="s">
        <v>8957</v>
      </c>
      <c r="G2049" t="s">
        <v>8959</v>
      </c>
      <c r="H2049" s="1" t="s">
        <v>9075</v>
      </c>
      <c r="I2049" s="1" t="s">
        <v>9269</v>
      </c>
      <c r="J2049" s="2" t="s">
        <v>9036</v>
      </c>
      <c r="K2049" s="1" t="s">
        <v>9036</v>
      </c>
      <c r="L2049" s="1" t="s">
        <v>21600</v>
      </c>
      <c r="M2049" s="1">
        <v>53</v>
      </c>
      <c r="N2049" s="1" t="s">
        <v>8953</v>
      </c>
      <c r="O2049" s="1" t="s">
        <v>8989</v>
      </c>
      <c r="P2049" s="1" t="s">
        <v>8955</v>
      </c>
      <c r="Q2049" s="1" t="s">
        <v>8956</v>
      </c>
      <c r="R2049" s="1" t="s">
        <v>8958</v>
      </c>
      <c r="S2049" s="1" t="s">
        <v>6807</v>
      </c>
      <c r="T2049" s="1" t="s">
        <v>924</v>
      </c>
      <c r="U2049" s="1" t="s">
        <v>1076</v>
      </c>
    </row>
    <row r="2050" spans="1:21" x14ac:dyDescent="0.2">
      <c r="A2050" s="88" t="s">
        <v>17746</v>
      </c>
      <c r="B2050" s="88" t="e">
        <f>VLOOKUP(C2050,#REF!,1,0)</f>
        <v>#REF!</v>
      </c>
      <c r="C2050" s="1" t="s">
        <v>6808</v>
      </c>
      <c r="D2050" s="1" t="s">
        <v>6809</v>
      </c>
      <c r="E2050" s="1" t="s">
        <v>9310</v>
      </c>
      <c r="F2050" s="1" t="s">
        <v>8957</v>
      </c>
      <c r="G2050" t="s">
        <v>9009</v>
      </c>
      <c r="H2050" s="1" t="s">
        <v>9075</v>
      </c>
      <c r="I2050" s="1" t="s">
        <v>9269</v>
      </c>
      <c r="J2050" s="2" t="s">
        <v>9036</v>
      </c>
      <c r="K2050" s="1" t="s">
        <v>9036</v>
      </c>
      <c r="L2050" s="1" t="s">
        <v>21600</v>
      </c>
      <c r="M2050" s="1">
        <v>1400</v>
      </c>
      <c r="N2050" s="1" t="s">
        <v>8953</v>
      </c>
      <c r="O2050" s="1" t="s">
        <v>8989</v>
      </c>
      <c r="P2050" s="1" t="s">
        <v>8955</v>
      </c>
      <c r="Q2050" s="1" t="s">
        <v>8956</v>
      </c>
      <c r="R2050" s="1" t="s">
        <v>8975</v>
      </c>
      <c r="S2050" s="1" t="s">
        <v>6810</v>
      </c>
      <c r="T2050" s="1" t="s">
        <v>929</v>
      </c>
      <c r="U2050" s="1" t="s">
        <v>46</v>
      </c>
    </row>
    <row r="2051" spans="1:21" x14ac:dyDescent="0.2">
      <c r="A2051" s="88" t="s">
        <v>17747</v>
      </c>
      <c r="B2051" s="88" t="e">
        <f>VLOOKUP(C2051,#REF!,1,0)</f>
        <v>#REF!</v>
      </c>
      <c r="C2051" s="1" t="s">
        <v>6811</v>
      </c>
      <c r="D2051" s="1" t="s">
        <v>6812</v>
      </c>
      <c r="E2051" s="1" t="s">
        <v>9310</v>
      </c>
      <c r="F2051" s="1" t="s">
        <v>8957</v>
      </c>
      <c r="G2051" t="s">
        <v>8959</v>
      </c>
      <c r="H2051" s="1" t="s">
        <v>9075</v>
      </c>
      <c r="I2051" s="1" t="s">
        <v>8949</v>
      </c>
      <c r="J2051" s="2" t="s">
        <v>9036</v>
      </c>
      <c r="K2051" s="1" t="s">
        <v>9036</v>
      </c>
      <c r="L2051" s="1" t="s">
        <v>8987</v>
      </c>
      <c r="M2051" s="1">
        <v>444</v>
      </c>
      <c r="N2051" s="1" t="s">
        <v>8953</v>
      </c>
      <c r="O2051" s="1" t="s">
        <v>8954</v>
      </c>
      <c r="P2051" s="1" t="s">
        <v>8955</v>
      </c>
      <c r="Q2051" s="1" t="s">
        <v>8956</v>
      </c>
      <c r="R2051" s="1" t="s">
        <v>8958</v>
      </c>
      <c r="S2051" s="1" t="s">
        <v>6813</v>
      </c>
      <c r="T2051" s="1" t="s">
        <v>11</v>
      </c>
      <c r="U2051" s="1" t="s">
        <v>619</v>
      </c>
    </row>
    <row r="2052" spans="1:21" x14ac:dyDescent="0.2">
      <c r="A2052" s="88" t="s">
        <v>17748</v>
      </c>
      <c r="B2052" s="88"/>
      <c r="C2052" s="1" t="s">
        <v>6814</v>
      </c>
      <c r="D2052" s="1" t="s">
        <v>6815</v>
      </c>
      <c r="E2052" s="1" t="e">
        <v>#N/A</v>
      </c>
      <c r="F2052" s="1" t="e">
        <v>#N/A</v>
      </c>
      <c r="G2052" t="e">
        <v>#N/A</v>
      </c>
      <c r="H2052" s="1" t="e">
        <v>#N/A</v>
      </c>
      <c r="I2052" s="1" t="e">
        <v>#N/A</v>
      </c>
      <c r="J2052" s="2" t="e">
        <v>#N/A</v>
      </c>
      <c r="K2052" s="1" t="e">
        <v>#N/A</v>
      </c>
      <c r="L2052" s="1" t="e">
        <v>#N/A</v>
      </c>
      <c r="M2052" s="1" t="e">
        <v>#N/A</v>
      </c>
      <c r="N2052" s="1" t="e">
        <v>#N/A</v>
      </c>
      <c r="O2052" s="1" t="e">
        <v>#N/A</v>
      </c>
      <c r="P2052" s="1" t="s">
        <v>8955</v>
      </c>
      <c r="Q2052" s="1" t="s">
        <v>8956</v>
      </c>
      <c r="R2052" s="1" t="s">
        <v>8975</v>
      </c>
      <c r="S2052" s="1" t="s">
        <v>20018</v>
      </c>
      <c r="T2052" s="1" t="s">
        <v>252</v>
      </c>
      <c r="U2052" s="1" t="s">
        <v>443</v>
      </c>
    </row>
    <row r="2053" spans="1:21" x14ac:dyDescent="0.2">
      <c r="A2053" s="88" t="s">
        <v>17749</v>
      </c>
      <c r="B2053" s="88" t="e">
        <f>VLOOKUP(C2053,#REF!,1,0)</f>
        <v>#REF!</v>
      </c>
      <c r="C2053" s="1" t="s">
        <v>6816</v>
      </c>
      <c r="D2053" s="1" t="s">
        <v>6817</v>
      </c>
      <c r="E2053" s="1" t="s">
        <v>9176</v>
      </c>
      <c r="F2053" s="1" t="s">
        <v>8959</v>
      </c>
      <c r="G2053" t="s">
        <v>8959</v>
      </c>
      <c r="H2053" s="1" t="s">
        <v>8948</v>
      </c>
      <c r="I2053" s="1" t="s">
        <v>11607</v>
      </c>
      <c r="J2053" s="2" t="s">
        <v>20779</v>
      </c>
      <c r="K2053" s="1" t="s">
        <v>9036</v>
      </c>
      <c r="L2053" s="1" t="s">
        <v>8951</v>
      </c>
      <c r="M2053" s="1">
        <v>20</v>
      </c>
      <c r="N2053" s="1" t="s">
        <v>9059</v>
      </c>
      <c r="O2053" s="1" t="s">
        <v>8989</v>
      </c>
      <c r="P2053" s="1" t="s">
        <v>8955</v>
      </c>
      <c r="Q2053" s="1" t="s">
        <v>8956</v>
      </c>
      <c r="R2053" s="1" t="s">
        <v>8975</v>
      </c>
      <c r="S2053" s="1" t="s">
        <v>20019</v>
      </c>
      <c r="T2053" s="1" t="s">
        <v>17</v>
      </c>
      <c r="U2053" s="1" t="s">
        <v>24</v>
      </c>
    </row>
    <row r="2054" spans="1:21" x14ac:dyDescent="0.2">
      <c r="A2054" s="88" t="s">
        <v>17750</v>
      </c>
      <c r="B2054" s="88" t="e">
        <f>VLOOKUP(C2054,#REF!,1,0)</f>
        <v>#REF!</v>
      </c>
      <c r="C2054" s="1" t="s">
        <v>6818</v>
      </c>
      <c r="D2054" s="1" t="s">
        <v>6819</v>
      </c>
      <c r="E2054" s="1" t="s">
        <v>9333</v>
      </c>
      <c r="F2054" s="1" t="s">
        <v>8959</v>
      </c>
      <c r="G2054" t="s">
        <v>9183</v>
      </c>
      <c r="H2054" s="1" t="s">
        <v>9049</v>
      </c>
      <c r="I2054" s="1" t="s">
        <v>9325</v>
      </c>
      <c r="J2054" s="2" t="s">
        <v>9041</v>
      </c>
      <c r="K2054" s="1" t="s">
        <v>9041</v>
      </c>
      <c r="L2054" s="1" t="s">
        <v>8987</v>
      </c>
      <c r="M2054" s="1">
        <v>529</v>
      </c>
      <c r="N2054" s="1" t="s">
        <v>8953</v>
      </c>
      <c r="O2054" s="1" t="s">
        <v>8989</v>
      </c>
      <c r="P2054" s="1" t="s">
        <v>8955</v>
      </c>
      <c r="Q2054" s="1" t="s">
        <v>8956</v>
      </c>
      <c r="R2054" s="1" t="s">
        <v>8975</v>
      </c>
      <c r="S2054" s="1" t="s">
        <v>6820</v>
      </c>
      <c r="T2054" s="1" t="s">
        <v>17</v>
      </c>
      <c r="U2054" s="1" t="s">
        <v>6821</v>
      </c>
    </row>
    <row r="2055" spans="1:21" x14ac:dyDescent="0.2">
      <c r="A2055" s="88" t="s">
        <v>17751</v>
      </c>
      <c r="B2055" s="88" t="e">
        <f>VLOOKUP(C2055,#REF!,1,0)</f>
        <v>#REF!</v>
      </c>
      <c r="C2055" s="1" t="s">
        <v>6822</v>
      </c>
      <c r="D2055" s="1" t="s">
        <v>6823</v>
      </c>
      <c r="E2055" s="1" t="s">
        <v>10049</v>
      </c>
      <c r="F2055" s="1" t="s">
        <v>8959</v>
      </c>
      <c r="G2055" t="s">
        <v>8959</v>
      </c>
      <c r="H2055" s="1" t="s">
        <v>8984</v>
      </c>
      <c r="I2055" s="1" t="s">
        <v>8949</v>
      </c>
      <c r="J2055" s="2" t="s">
        <v>10224</v>
      </c>
      <c r="K2055" s="1" t="s">
        <v>21802</v>
      </c>
      <c r="L2055" s="1" t="s">
        <v>21600</v>
      </c>
      <c r="M2055" s="1">
        <v>43</v>
      </c>
      <c r="N2055" s="1" t="s">
        <v>8953</v>
      </c>
      <c r="O2055" s="1" t="s">
        <v>8954</v>
      </c>
      <c r="P2055" s="1" t="s">
        <v>8955</v>
      </c>
      <c r="Q2055" s="1" t="s">
        <v>8956</v>
      </c>
      <c r="R2055" s="1" t="s">
        <v>8975</v>
      </c>
      <c r="S2055" s="1" t="s">
        <v>6824</v>
      </c>
      <c r="T2055" s="1" t="s">
        <v>17</v>
      </c>
      <c r="U2055" s="1" t="s">
        <v>35</v>
      </c>
    </row>
    <row r="2056" spans="1:21" x14ac:dyDescent="0.2">
      <c r="A2056" s="88" t="s">
        <v>17753</v>
      </c>
      <c r="B2056" s="88" t="e">
        <f>VLOOKUP(C2056,#REF!,1,0)</f>
        <v>#REF!</v>
      </c>
      <c r="C2056" s="1" t="s">
        <v>6831</v>
      </c>
      <c r="D2056" s="1" t="s">
        <v>6832</v>
      </c>
      <c r="E2056" s="1" t="s">
        <v>18502</v>
      </c>
      <c r="F2056" s="1" t="s">
        <v>8957</v>
      </c>
      <c r="G2056" t="s">
        <v>9061</v>
      </c>
      <c r="H2056" s="1" t="s">
        <v>8948</v>
      </c>
      <c r="I2056" s="1" t="s">
        <v>8949</v>
      </c>
      <c r="J2056" s="2" t="s">
        <v>20779</v>
      </c>
      <c r="K2056" s="1" t="s">
        <v>9036</v>
      </c>
      <c r="L2056" s="1" t="s">
        <v>21600</v>
      </c>
      <c r="M2056" s="1">
        <v>26</v>
      </c>
      <c r="N2056" s="1" t="s">
        <v>9059</v>
      </c>
      <c r="O2056" s="1" t="s">
        <v>8954</v>
      </c>
      <c r="P2056" s="1" t="s">
        <v>8955</v>
      </c>
      <c r="Q2056" s="1" t="s">
        <v>8956</v>
      </c>
      <c r="R2056" s="1" t="s">
        <v>8958</v>
      </c>
      <c r="S2056" s="1" t="s">
        <v>20687</v>
      </c>
      <c r="T2056" s="1" t="s">
        <v>17</v>
      </c>
      <c r="U2056" s="1" t="s">
        <v>61</v>
      </c>
    </row>
    <row r="2057" spans="1:21" x14ac:dyDescent="0.2">
      <c r="A2057" s="88" t="s">
        <v>17754</v>
      </c>
      <c r="B2057" s="88" t="e">
        <f>VLOOKUP(C2057,#REF!,1,0)</f>
        <v>#REF!</v>
      </c>
      <c r="C2057" s="1" t="s">
        <v>6833</v>
      </c>
      <c r="D2057" s="1" t="s">
        <v>6834</v>
      </c>
      <c r="E2057" s="1" t="s">
        <v>9380</v>
      </c>
      <c r="F2057" s="1" t="s">
        <v>8959</v>
      </c>
      <c r="G2057" t="s">
        <v>9061</v>
      </c>
      <c r="H2057" s="1" t="s">
        <v>8948</v>
      </c>
      <c r="I2057" s="1" t="s">
        <v>8949</v>
      </c>
      <c r="J2057" s="2" t="s">
        <v>10492</v>
      </c>
      <c r="K2057" s="1" t="s">
        <v>10492</v>
      </c>
      <c r="L2057" s="1" t="s">
        <v>9076</v>
      </c>
      <c r="M2057" s="1">
        <v>28416</v>
      </c>
      <c r="N2057" s="1" t="s">
        <v>9059</v>
      </c>
      <c r="O2057" s="1" t="s">
        <v>8989</v>
      </c>
      <c r="P2057" s="1" t="s">
        <v>8955</v>
      </c>
      <c r="Q2057" s="1" t="s">
        <v>8956</v>
      </c>
      <c r="R2057" s="1" t="s">
        <v>8958</v>
      </c>
      <c r="S2057" s="1" t="s">
        <v>20022</v>
      </c>
      <c r="T2057" s="1" t="s">
        <v>7</v>
      </c>
      <c r="U2057" s="1" t="s">
        <v>21</v>
      </c>
    </row>
    <row r="2058" spans="1:21" x14ac:dyDescent="0.2">
      <c r="A2058" s="88" t="s">
        <v>17755</v>
      </c>
      <c r="B2058" s="88" t="e">
        <f>VLOOKUP(C2058,#REF!,1,0)</f>
        <v>#REF!</v>
      </c>
      <c r="C2058" s="1" t="s">
        <v>6839</v>
      </c>
      <c r="D2058" s="1" t="s">
        <v>6840</v>
      </c>
      <c r="E2058" s="1" t="s">
        <v>10049</v>
      </c>
      <c r="F2058" s="1" t="s">
        <v>8957</v>
      </c>
      <c r="G2058" t="s">
        <v>8959</v>
      </c>
      <c r="H2058" s="1" t="s">
        <v>9092</v>
      </c>
      <c r="I2058" s="1" t="s">
        <v>9308</v>
      </c>
      <c r="J2058" s="2" t="s">
        <v>10135</v>
      </c>
      <c r="K2058" s="1" t="s">
        <v>21772</v>
      </c>
      <c r="L2058" s="1" t="s">
        <v>8987</v>
      </c>
      <c r="M2058" s="1">
        <v>1391</v>
      </c>
      <c r="N2058" s="1" t="s">
        <v>8953</v>
      </c>
      <c r="O2058" s="1" t="s">
        <v>8989</v>
      </c>
      <c r="P2058" s="1" t="s">
        <v>8955</v>
      </c>
      <c r="Q2058" s="1" t="s">
        <v>8956</v>
      </c>
      <c r="R2058" s="1" t="s">
        <v>8958</v>
      </c>
      <c r="S2058" s="1" t="s">
        <v>6841</v>
      </c>
      <c r="T2058" s="1" t="s">
        <v>4</v>
      </c>
      <c r="U2058" s="1" t="s">
        <v>126</v>
      </c>
    </row>
    <row r="2059" spans="1:21" x14ac:dyDescent="0.2">
      <c r="A2059" s="88" t="s">
        <v>17756</v>
      </c>
      <c r="B2059" s="88" t="e">
        <f>VLOOKUP(C2059,#REF!,1,0)</f>
        <v>#REF!</v>
      </c>
      <c r="C2059" s="1" t="s">
        <v>6842</v>
      </c>
      <c r="D2059" s="1" t="s">
        <v>6843</v>
      </c>
      <c r="E2059" s="1" t="s">
        <v>18502</v>
      </c>
      <c r="F2059" s="1" t="s">
        <v>8959</v>
      </c>
      <c r="G2059" t="s">
        <v>9061</v>
      </c>
      <c r="H2059" s="1" t="s">
        <v>9035</v>
      </c>
      <c r="I2059" s="1" t="s">
        <v>8998</v>
      </c>
      <c r="J2059" s="2" t="s">
        <v>20779</v>
      </c>
      <c r="K2059" s="1" t="s">
        <v>9036</v>
      </c>
      <c r="L2059" s="1" t="s">
        <v>21024</v>
      </c>
      <c r="M2059" s="1">
        <v>475</v>
      </c>
      <c r="N2059" s="1" t="s">
        <v>9059</v>
      </c>
      <c r="O2059" s="1" t="s">
        <v>8989</v>
      </c>
      <c r="P2059" s="1" t="s">
        <v>8955</v>
      </c>
      <c r="Q2059" s="1" t="s">
        <v>8956</v>
      </c>
      <c r="R2059" s="1" t="s">
        <v>8958</v>
      </c>
      <c r="S2059" s="1" t="s">
        <v>20688</v>
      </c>
      <c r="T2059" s="1" t="s">
        <v>17</v>
      </c>
      <c r="U2059" s="1" t="s">
        <v>640</v>
      </c>
    </row>
    <row r="2060" spans="1:21" x14ac:dyDescent="0.2">
      <c r="A2060" s="88" t="s">
        <v>17757</v>
      </c>
      <c r="B2060" s="88" t="e">
        <f>VLOOKUP(C2060,#REF!,1,0)</f>
        <v>#REF!</v>
      </c>
      <c r="C2060" s="1" t="s">
        <v>6844</v>
      </c>
      <c r="D2060" s="1" t="s">
        <v>6845</v>
      </c>
      <c r="E2060" s="1" t="s">
        <v>10873</v>
      </c>
      <c r="F2060" s="1" t="s">
        <v>9060</v>
      </c>
      <c r="G2060" t="s">
        <v>8959</v>
      </c>
      <c r="H2060" s="1" t="s">
        <v>9100</v>
      </c>
      <c r="I2060" s="1" t="s">
        <v>8949</v>
      </c>
      <c r="J2060" s="2" t="s">
        <v>20736</v>
      </c>
      <c r="K2060" s="1" t="s">
        <v>20736</v>
      </c>
      <c r="L2060" s="1" t="s">
        <v>8987</v>
      </c>
      <c r="M2060" s="1">
        <v>1570</v>
      </c>
      <c r="N2060" s="1" t="s">
        <v>9059</v>
      </c>
      <c r="O2060" s="1" t="s">
        <v>8954</v>
      </c>
      <c r="P2060" s="1" t="s">
        <v>8955</v>
      </c>
      <c r="Q2060" s="1" t="s">
        <v>8956</v>
      </c>
      <c r="R2060" s="1" t="s">
        <v>8958</v>
      </c>
      <c r="S2060" s="1" t="s">
        <v>20023</v>
      </c>
      <c r="T2060" s="1" t="s">
        <v>17</v>
      </c>
      <c r="U2060" s="1" t="s">
        <v>392</v>
      </c>
    </row>
    <row r="2061" spans="1:21" x14ac:dyDescent="0.2">
      <c r="A2061" s="88" t="s">
        <v>17758</v>
      </c>
      <c r="B2061" s="88" t="e">
        <f>VLOOKUP(C2061,#REF!,1,0)</f>
        <v>#REF!</v>
      </c>
      <c r="C2061" s="1" t="s">
        <v>6846</v>
      </c>
      <c r="D2061" s="1" t="s">
        <v>6847</v>
      </c>
      <c r="E2061" s="1" t="s">
        <v>9642</v>
      </c>
      <c r="F2061" s="1" t="s">
        <v>8959</v>
      </c>
      <c r="G2061" t="s">
        <v>8959</v>
      </c>
      <c r="H2061" s="1" t="s">
        <v>9154</v>
      </c>
      <c r="I2061" s="1" t="s">
        <v>9308</v>
      </c>
      <c r="J2061" s="2" t="s">
        <v>21256</v>
      </c>
      <c r="K2061" s="1" t="s">
        <v>21256</v>
      </c>
      <c r="L2061" s="1" t="s">
        <v>9076</v>
      </c>
      <c r="M2061" s="1">
        <v>30</v>
      </c>
      <c r="N2061" s="1" t="s">
        <v>8953</v>
      </c>
      <c r="O2061" s="1" t="s">
        <v>8989</v>
      </c>
      <c r="P2061" s="1" t="s">
        <v>8955</v>
      </c>
      <c r="Q2061" s="1" t="s">
        <v>8956</v>
      </c>
      <c r="R2061" s="1" t="s">
        <v>9103</v>
      </c>
      <c r="S2061" s="1" t="s">
        <v>20024</v>
      </c>
      <c r="T2061" s="1" t="s">
        <v>17</v>
      </c>
      <c r="U2061" s="1" t="s">
        <v>598</v>
      </c>
    </row>
    <row r="2062" spans="1:21" x14ac:dyDescent="0.2">
      <c r="A2062" s="88" t="s">
        <v>17759</v>
      </c>
      <c r="B2062" s="88" t="e">
        <f>VLOOKUP(C2062,#REF!,1,0)</f>
        <v>#REF!</v>
      </c>
      <c r="C2062" s="1" t="s">
        <v>6848</v>
      </c>
      <c r="D2062" s="1" t="s">
        <v>6849</v>
      </c>
      <c r="E2062" s="1" t="s">
        <v>18502</v>
      </c>
      <c r="F2062" s="1" t="s">
        <v>8957</v>
      </c>
      <c r="G2062" t="s">
        <v>8959</v>
      </c>
      <c r="H2062" s="1" t="s">
        <v>9252</v>
      </c>
      <c r="I2062" s="1" t="s">
        <v>8949</v>
      </c>
      <c r="J2062" s="2" t="s">
        <v>10492</v>
      </c>
      <c r="K2062" s="1" t="s">
        <v>21645</v>
      </c>
      <c r="L2062" s="1" t="s">
        <v>21600</v>
      </c>
      <c r="M2062" s="1">
        <v>317</v>
      </c>
      <c r="N2062" s="1" t="s">
        <v>9059</v>
      </c>
      <c r="O2062" s="1" t="s">
        <v>8989</v>
      </c>
      <c r="P2062" s="1" t="s">
        <v>8955</v>
      </c>
      <c r="Q2062" s="1" t="s">
        <v>8956</v>
      </c>
      <c r="R2062" s="1" t="s">
        <v>8958</v>
      </c>
      <c r="S2062" s="1" t="s">
        <v>20025</v>
      </c>
      <c r="T2062" s="1" t="s">
        <v>17</v>
      </c>
      <c r="U2062" s="1" t="s">
        <v>161</v>
      </c>
    </row>
    <row r="2063" spans="1:21" x14ac:dyDescent="0.2">
      <c r="A2063" s="88" t="s">
        <v>17760</v>
      </c>
      <c r="B2063" s="88" t="e">
        <f>VLOOKUP(C2063,#REF!,1,0)</f>
        <v>#REF!</v>
      </c>
      <c r="C2063" s="1" t="s">
        <v>6850</v>
      </c>
      <c r="D2063" s="1" t="s">
        <v>6851</v>
      </c>
      <c r="E2063" s="1" t="s">
        <v>18502</v>
      </c>
      <c r="F2063" s="1" t="s">
        <v>9060</v>
      </c>
      <c r="G2063" t="s">
        <v>8959</v>
      </c>
      <c r="H2063" s="1" t="s">
        <v>9100</v>
      </c>
      <c r="I2063" s="1" t="s">
        <v>9155</v>
      </c>
      <c r="J2063" s="2" t="s">
        <v>10492</v>
      </c>
      <c r="K2063" s="1" t="s">
        <v>10492</v>
      </c>
      <c r="L2063" s="1" t="s">
        <v>20832</v>
      </c>
      <c r="M2063" s="1">
        <v>66</v>
      </c>
      <c r="N2063" s="1" t="s">
        <v>9059</v>
      </c>
      <c r="O2063" s="1" t="s">
        <v>8989</v>
      </c>
      <c r="P2063" s="1" t="s">
        <v>8955</v>
      </c>
      <c r="Q2063" s="1" t="s">
        <v>8956</v>
      </c>
      <c r="R2063" s="1" t="s">
        <v>8958</v>
      </c>
      <c r="S2063" s="1" t="s">
        <v>20026</v>
      </c>
      <c r="T2063" s="1" t="s">
        <v>17</v>
      </c>
      <c r="U2063" s="1" t="s">
        <v>733</v>
      </c>
    </row>
    <row r="2064" spans="1:21" x14ac:dyDescent="0.2">
      <c r="A2064" s="88" t="s">
        <v>17761</v>
      </c>
      <c r="B2064" s="88" t="e">
        <f>VLOOKUP(C2064,#REF!,1,0)</f>
        <v>#REF!</v>
      </c>
      <c r="C2064" s="1" t="s">
        <v>6852</v>
      </c>
      <c r="D2064" s="1" t="s">
        <v>6853</v>
      </c>
      <c r="E2064" s="1" t="s">
        <v>9815</v>
      </c>
      <c r="F2064" s="1" t="s">
        <v>8959</v>
      </c>
      <c r="G2064" t="s">
        <v>8959</v>
      </c>
      <c r="H2064" s="1" t="s">
        <v>9100</v>
      </c>
      <c r="I2064" s="1" t="s">
        <v>8949</v>
      </c>
      <c r="J2064" s="2" t="s">
        <v>18497</v>
      </c>
      <c r="K2064" s="1" t="s">
        <v>18497</v>
      </c>
      <c r="L2064" s="1" t="s">
        <v>9076</v>
      </c>
      <c r="M2064" s="1">
        <v>7783</v>
      </c>
      <c r="N2064" s="1" t="s">
        <v>8953</v>
      </c>
      <c r="O2064" s="1" t="s">
        <v>8989</v>
      </c>
      <c r="P2064" s="1" t="s">
        <v>8955</v>
      </c>
      <c r="Q2064" s="1" t="s">
        <v>8956</v>
      </c>
      <c r="R2064" s="1" t="s">
        <v>8975</v>
      </c>
      <c r="S2064" s="1" t="s">
        <v>20027</v>
      </c>
      <c r="T2064" s="1" t="s">
        <v>17</v>
      </c>
      <c r="U2064" s="1" t="s">
        <v>1202</v>
      </c>
    </row>
    <row r="2065" spans="1:21" x14ac:dyDescent="0.2">
      <c r="A2065" s="88" t="s">
        <v>17762</v>
      </c>
      <c r="B2065" s="88" t="e">
        <f>VLOOKUP(C2065,#REF!,1,0)</f>
        <v>#REF!</v>
      </c>
      <c r="C2065" s="1" t="s">
        <v>6854</v>
      </c>
      <c r="D2065" s="1" t="s">
        <v>6855</v>
      </c>
      <c r="E2065" s="1" t="s">
        <v>10850</v>
      </c>
      <c r="F2065" s="1" t="s">
        <v>8959</v>
      </c>
      <c r="G2065" t="s">
        <v>8959</v>
      </c>
      <c r="H2065" s="1" t="s">
        <v>20714</v>
      </c>
      <c r="I2065" s="1" t="s">
        <v>20725</v>
      </c>
      <c r="J2065" s="2" t="s">
        <v>18497</v>
      </c>
      <c r="K2065" s="1" t="s">
        <v>18497</v>
      </c>
      <c r="L2065" s="1" t="s">
        <v>8951</v>
      </c>
      <c r="M2065" s="1">
        <v>38400</v>
      </c>
      <c r="N2065" s="1" t="s">
        <v>8953</v>
      </c>
      <c r="O2065" s="1" t="s">
        <v>8989</v>
      </c>
      <c r="P2065" s="1" t="s">
        <v>8955</v>
      </c>
      <c r="Q2065" s="1" t="s">
        <v>8956</v>
      </c>
      <c r="R2065" s="1" t="s">
        <v>9103</v>
      </c>
      <c r="S2065" s="1" t="s">
        <v>20028</v>
      </c>
      <c r="T2065" s="1" t="s">
        <v>7</v>
      </c>
      <c r="U2065" s="1" t="s">
        <v>46</v>
      </c>
    </row>
    <row r="2066" spans="1:21" x14ac:dyDescent="0.2">
      <c r="A2066" s="88" t="s">
        <v>17763</v>
      </c>
      <c r="B2066" s="88" t="e">
        <f>VLOOKUP(C2066,#REF!,1,0)</f>
        <v>#REF!</v>
      </c>
      <c r="C2066" s="1" t="s">
        <v>6856</v>
      </c>
      <c r="D2066" s="1" t="s">
        <v>6857</v>
      </c>
      <c r="E2066" s="1" t="s">
        <v>9317</v>
      </c>
      <c r="F2066" s="1" t="s">
        <v>8957</v>
      </c>
      <c r="G2066" t="s">
        <v>8959</v>
      </c>
      <c r="H2066" s="1" t="s">
        <v>8948</v>
      </c>
      <c r="I2066" s="1" t="s">
        <v>8998</v>
      </c>
      <c r="J2066" s="2" t="s">
        <v>21294</v>
      </c>
      <c r="K2066" s="1" t="s">
        <v>21733</v>
      </c>
      <c r="L2066" s="1" t="s">
        <v>8951</v>
      </c>
      <c r="M2066" s="1">
        <v>291</v>
      </c>
      <c r="N2066" s="1" t="s">
        <v>9059</v>
      </c>
      <c r="O2066" s="1" t="s">
        <v>8954</v>
      </c>
      <c r="P2066" s="1" t="s">
        <v>8955</v>
      </c>
      <c r="Q2066" s="1" t="s">
        <v>8956</v>
      </c>
      <c r="R2066" s="1" t="s">
        <v>8975</v>
      </c>
      <c r="S2066" s="1" t="s">
        <v>20029</v>
      </c>
      <c r="T2066" s="1" t="s">
        <v>7</v>
      </c>
      <c r="U2066" s="1" t="s">
        <v>24</v>
      </c>
    </row>
    <row r="2067" spans="1:21" x14ac:dyDescent="0.2">
      <c r="A2067" s="88" t="s">
        <v>17764</v>
      </c>
      <c r="B2067" s="88" t="e">
        <f>VLOOKUP(C2067,#REF!,1,0)</f>
        <v>#REF!</v>
      </c>
      <c r="C2067" s="1" t="s">
        <v>6858</v>
      </c>
      <c r="D2067" s="1" t="s">
        <v>6859</v>
      </c>
      <c r="E2067" s="1" t="s">
        <v>10873</v>
      </c>
      <c r="F2067" s="1" t="s">
        <v>9060</v>
      </c>
      <c r="G2067" t="s">
        <v>9061</v>
      </c>
      <c r="H2067" s="1" t="s">
        <v>9154</v>
      </c>
      <c r="I2067" s="1" t="s">
        <v>8949</v>
      </c>
      <c r="J2067" s="2" t="s">
        <v>10492</v>
      </c>
      <c r="K2067" s="1" t="s">
        <v>10492</v>
      </c>
      <c r="L2067" s="1" t="s">
        <v>9076</v>
      </c>
      <c r="M2067" s="1">
        <v>500</v>
      </c>
      <c r="N2067" s="1" t="s">
        <v>8953</v>
      </c>
      <c r="O2067" s="1" t="s">
        <v>8989</v>
      </c>
      <c r="P2067" s="1" t="s">
        <v>8955</v>
      </c>
      <c r="Q2067" s="1" t="s">
        <v>8956</v>
      </c>
      <c r="R2067" s="1" t="s">
        <v>8975</v>
      </c>
      <c r="S2067" s="1" t="s">
        <v>20030</v>
      </c>
      <c r="T2067" s="1" t="s">
        <v>7</v>
      </c>
      <c r="U2067" s="1" t="s">
        <v>571</v>
      </c>
    </row>
    <row r="2068" spans="1:21" x14ac:dyDescent="0.2">
      <c r="A2068" s="88" t="s">
        <v>17765</v>
      </c>
      <c r="B2068" s="88" t="e">
        <f>VLOOKUP(C2068,#REF!,1,0)</f>
        <v>#REF!</v>
      </c>
      <c r="C2068" s="5" t="s">
        <v>6860</v>
      </c>
      <c r="D2068" s="1" t="s">
        <v>6861</v>
      </c>
      <c r="E2068" s="1" t="s">
        <v>9010</v>
      </c>
      <c r="F2068" s="1" t="s">
        <v>8974</v>
      </c>
      <c r="G2068" t="s">
        <v>9183</v>
      </c>
      <c r="H2068" s="1" t="s">
        <v>9252</v>
      </c>
      <c r="I2068" s="1" t="s">
        <v>9422</v>
      </c>
      <c r="J2068" s="2" t="s">
        <v>9036</v>
      </c>
      <c r="K2068" s="1" t="s">
        <v>9036</v>
      </c>
      <c r="L2068" s="1" t="s">
        <v>8951</v>
      </c>
      <c r="M2068" s="1">
        <v>70</v>
      </c>
      <c r="N2068" s="1" t="s">
        <v>8953</v>
      </c>
      <c r="O2068" s="1" t="s">
        <v>8989</v>
      </c>
      <c r="P2068" s="1" t="s">
        <v>8955</v>
      </c>
      <c r="Q2068" s="1" t="s">
        <v>8956</v>
      </c>
      <c r="R2068" s="1" t="s">
        <v>8975</v>
      </c>
      <c r="S2068" s="1" t="s">
        <v>6862</v>
      </c>
      <c r="T2068" s="1" t="s">
        <v>11</v>
      </c>
      <c r="U2068" s="1" t="s">
        <v>6863</v>
      </c>
    </row>
    <row r="2069" spans="1:21" x14ac:dyDescent="0.2">
      <c r="A2069" s="88" t="s">
        <v>17766</v>
      </c>
      <c r="B2069" s="88" t="e">
        <f>VLOOKUP(C2069,#REF!,1,0)</f>
        <v>#REF!</v>
      </c>
      <c r="C2069" s="1" t="s">
        <v>6864</v>
      </c>
      <c r="D2069" s="1" t="s">
        <v>6865</v>
      </c>
      <c r="E2069" s="1" t="s">
        <v>18502</v>
      </c>
      <c r="F2069" s="1" t="s">
        <v>8959</v>
      </c>
      <c r="G2069" t="s">
        <v>9061</v>
      </c>
      <c r="H2069" s="1" t="s">
        <v>20714</v>
      </c>
      <c r="I2069" s="1" t="s">
        <v>8949</v>
      </c>
      <c r="J2069" s="2" t="s">
        <v>10492</v>
      </c>
      <c r="K2069" s="1" t="s">
        <v>21645</v>
      </c>
      <c r="L2069" s="1" t="s">
        <v>21600</v>
      </c>
      <c r="M2069" s="1">
        <v>356</v>
      </c>
      <c r="N2069" s="1" t="s">
        <v>8953</v>
      </c>
      <c r="O2069" s="1" t="s">
        <v>8954</v>
      </c>
      <c r="P2069" s="1" t="s">
        <v>8955</v>
      </c>
      <c r="Q2069" s="1" t="s">
        <v>8956</v>
      </c>
      <c r="R2069" s="1" t="s">
        <v>8975</v>
      </c>
      <c r="S2069" s="1" t="s">
        <v>20031</v>
      </c>
      <c r="T2069" s="1" t="s">
        <v>17</v>
      </c>
      <c r="U2069" s="1" t="s">
        <v>87</v>
      </c>
    </row>
    <row r="2070" spans="1:21" x14ac:dyDescent="0.2">
      <c r="A2070" s="88" t="s">
        <v>17767</v>
      </c>
      <c r="B2070" s="88" t="e">
        <f>VLOOKUP(C2070,#REF!,1,0)</f>
        <v>#REF!</v>
      </c>
      <c r="C2070" s="1" t="s">
        <v>6866</v>
      </c>
      <c r="D2070" s="1" t="s">
        <v>6867</v>
      </c>
      <c r="E2070" s="1" t="s">
        <v>18502</v>
      </c>
      <c r="F2070" s="1" t="s">
        <v>8959</v>
      </c>
      <c r="G2070" t="s">
        <v>9061</v>
      </c>
      <c r="H2070" s="1" t="s">
        <v>9100</v>
      </c>
      <c r="I2070" s="1" t="s">
        <v>8949</v>
      </c>
      <c r="J2070" s="2" t="s">
        <v>10492</v>
      </c>
      <c r="K2070" s="1" t="s">
        <v>21645</v>
      </c>
      <c r="L2070" s="1" t="s">
        <v>8951</v>
      </c>
      <c r="M2070" s="1">
        <v>586</v>
      </c>
      <c r="N2070" s="1" t="s">
        <v>8953</v>
      </c>
      <c r="O2070" s="1" t="s">
        <v>8989</v>
      </c>
      <c r="P2070" s="1" t="s">
        <v>8955</v>
      </c>
      <c r="Q2070" s="1" t="s">
        <v>8956</v>
      </c>
      <c r="R2070" s="1" t="s">
        <v>8975</v>
      </c>
      <c r="S2070" s="1" t="s">
        <v>20689</v>
      </c>
      <c r="T2070" s="1" t="s">
        <v>17</v>
      </c>
      <c r="U2070" s="1" t="s">
        <v>87</v>
      </c>
    </row>
    <row r="2071" spans="1:21" x14ac:dyDescent="0.2">
      <c r="A2071" s="88" t="s">
        <v>17768</v>
      </c>
      <c r="B2071" s="88" t="e">
        <f>VLOOKUP(C2071,#REF!,1,0)</f>
        <v>#REF!</v>
      </c>
      <c r="C2071" s="1" t="s">
        <v>6868</v>
      </c>
      <c r="D2071" s="1" t="s">
        <v>6869</v>
      </c>
      <c r="E2071" s="1" t="s">
        <v>9213</v>
      </c>
      <c r="F2071" s="1" t="s">
        <v>8957</v>
      </c>
      <c r="G2071" t="s">
        <v>8959</v>
      </c>
      <c r="H2071" s="1" t="s">
        <v>9035</v>
      </c>
      <c r="I2071" s="1" t="s">
        <v>9308</v>
      </c>
      <c r="J2071" s="2" t="s">
        <v>9036</v>
      </c>
      <c r="K2071" s="1" t="s">
        <v>9036</v>
      </c>
      <c r="L2071" s="1" t="s">
        <v>8987</v>
      </c>
      <c r="M2071" s="1">
        <v>5856</v>
      </c>
      <c r="N2071" s="1" t="s">
        <v>8953</v>
      </c>
      <c r="O2071" s="1" t="s">
        <v>8989</v>
      </c>
      <c r="P2071" s="1" t="s">
        <v>8955</v>
      </c>
      <c r="Q2071" s="1" t="s">
        <v>8956</v>
      </c>
      <c r="R2071" s="1" t="s">
        <v>8958</v>
      </c>
      <c r="S2071" s="1" t="s">
        <v>6870</v>
      </c>
      <c r="T2071" s="1" t="s">
        <v>17</v>
      </c>
      <c r="U2071" s="1" t="s">
        <v>35</v>
      </c>
    </row>
    <row r="2072" spans="1:21" x14ac:dyDescent="0.2">
      <c r="A2072" s="88" t="s">
        <v>17769</v>
      </c>
      <c r="B2072" s="88"/>
      <c r="C2072" s="1" t="s">
        <v>6871</v>
      </c>
      <c r="D2072" s="1" t="s">
        <v>6872</v>
      </c>
      <c r="E2072" s="1" t="e">
        <v>#N/A</v>
      </c>
      <c r="F2072" s="1" t="e">
        <v>#N/A</v>
      </c>
      <c r="G2072" t="e">
        <v>#N/A</v>
      </c>
      <c r="H2072" s="1" t="e">
        <v>#N/A</v>
      </c>
      <c r="I2072" s="1" t="e">
        <v>#N/A</v>
      </c>
      <c r="J2072" s="2" t="e">
        <v>#N/A</v>
      </c>
      <c r="K2072" s="1" t="e">
        <v>#N/A</v>
      </c>
      <c r="L2072" s="1" t="e">
        <v>#N/A</v>
      </c>
      <c r="M2072" s="1" t="e">
        <v>#N/A</v>
      </c>
      <c r="N2072" s="1" t="e">
        <v>#N/A</v>
      </c>
      <c r="O2072" s="1" t="e">
        <v>#N/A</v>
      </c>
      <c r="P2072" s="1" t="s">
        <v>8955</v>
      </c>
      <c r="Q2072" s="1" t="s">
        <v>8956</v>
      </c>
      <c r="R2072" s="1" t="s">
        <v>8975</v>
      </c>
      <c r="S2072" s="1" t="s">
        <v>20032</v>
      </c>
      <c r="T2072" s="1" t="s">
        <v>252</v>
      </c>
      <c r="U2072" s="1" t="s">
        <v>670</v>
      </c>
    </row>
    <row r="2073" spans="1:21" x14ac:dyDescent="0.2">
      <c r="A2073" s="88" t="s">
        <v>17770</v>
      </c>
      <c r="B2073" s="88" t="e">
        <f>VLOOKUP(C2073,#REF!,1,0)</f>
        <v>#REF!</v>
      </c>
      <c r="C2073" s="1" t="s">
        <v>6873</v>
      </c>
      <c r="D2073" s="1" t="s">
        <v>6874</v>
      </c>
      <c r="E2073" s="1" t="s">
        <v>18502</v>
      </c>
      <c r="F2073" s="1" t="s">
        <v>8959</v>
      </c>
      <c r="G2073" t="s">
        <v>9061</v>
      </c>
      <c r="H2073" s="1" t="s">
        <v>9154</v>
      </c>
      <c r="I2073" s="1" t="s">
        <v>8998</v>
      </c>
      <c r="J2073" s="2" t="s">
        <v>20723</v>
      </c>
      <c r="K2073" s="1" t="s">
        <v>20723</v>
      </c>
      <c r="L2073" s="1" t="s">
        <v>8951</v>
      </c>
      <c r="M2073" s="1">
        <v>540</v>
      </c>
      <c r="N2073" s="1" t="s">
        <v>9059</v>
      </c>
      <c r="O2073" s="1" t="s">
        <v>8954</v>
      </c>
      <c r="P2073" s="1" t="s">
        <v>8955</v>
      </c>
      <c r="Q2073" s="1" t="s">
        <v>8956</v>
      </c>
      <c r="R2073" s="1" t="s">
        <v>8975</v>
      </c>
      <c r="S2073" s="1" t="s">
        <v>20033</v>
      </c>
      <c r="T2073" s="1" t="s">
        <v>7</v>
      </c>
      <c r="U2073" s="1" t="s">
        <v>180</v>
      </c>
    </row>
    <row r="2074" spans="1:21" x14ac:dyDescent="0.2">
      <c r="A2074" s="88" t="s">
        <v>17773</v>
      </c>
      <c r="B2074" s="88" t="e">
        <f>VLOOKUP(C2074,#REF!,1,0)</f>
        <v>#REF!</v>
      </c>
      <c r="C2074" s="1" t="s">
        <v>6888</v>
      </c>
      <c r="D2074" s="1" t="s">
        <v>6889</v>
      </c>
      <c r="E2074" s="1" t="s">
        <v>9010</v>
      </c>
      <c r="F2074" s="1" t="s">
        <v>8957</v>
      </c>
      <c r="G2074" t="s">
        <v>9061</v>
      </c>
      <c r="H2074" s="1" t="s">
        <v>8948</v>
      </c>
      <c r="I2074" s="1" t="s">
        <v>8949</v>
      </c>
      <c r="J2074" s="2" t="s">
        <v>14243</v>
      </c>
      <c r="K2074" s="1" t="s">
        <v>14243</v>
      </c>
      <c r="L2074" s="1" t="s">
        <v>21600</v>
      </c>
      <c r="M2074" s="1">
        <v>24</v>
      </c>
      <c r="N2074" s="1" t="s">
        <v>9059</v>
      </c>
      <c r="O2074" s="1" t="s">
        <v>8989</v>
      </c>
      <c r="P2074" s="1" t="s">
        <v>8955</v>
      </c>
      <c r="Q2074" s="1" t="s">
        <v>8956</v>
      </c>
      <c r="R2074" s="1" t="s">
        <v>8975</v>
      </c>
      <c r="S2074" s="1" t="s">
        <v>6890</v>
      </c>
      <c r="T2074" s="1" t="s">
        <v>242</v>
      </c>
      <c r="U2074" s="1" t="s">
        <v>6891</v>
      </c>
    </row>
    <row r="2075" spans="1:21" x14ac:dyDescent="0.2">
      <c r="A2075" s="88" t="s">
        <v>17776</v>
      </c>
      <c r="B2075" s="88" t="e">
        <f>VLOOKUP(C2075,#REF!,1,0)</f>
        <v>#REF!</v>
      </c>
      <c r="C2075" s="1" t="s">
        <v>6898</v>
      </c>
      <c r="D2075" s="1" t="s">
        <v>6899</v>
      </c>
      <c r="E2075" s="1" t="s">
        <v>9317</v>
      </c>
      <c r="F2075" s="1" t="s">
        <v>9060</v>
      </c>
      <c r="G2075" t="s">
        <v>8959</v>
      </c>
      <c r="H2075" s="1" t="s">
        <v>8984</v>
      </c>
      <c r="I2075" s="1" t="s">
        <v>8971</v>
      </c>
      <c r="J2075" s="2" t="s">
        <v>10492</v>
      </c>
      <c r="K2075" s="1" t="s">
        <v>10492</v>
      </c>
      <c r="L2075" s="1" t="s">
        <v>9076</v>
      </c>
      <c r="M2075" s="1">
        <v>2183</v>
      </c>
      <c r="N2075" s="1" t="s">
        <v>8953</v>
      </c>
      <c r="O2075" s="1" t="s">
        <v>8989</v>
      </c>
      <c r="P2075" s="1" t="s">
        <v>8955</v>
      </c>
      <c r="Q2075" s="1" t="s">
        <v>8956</v>
      </c>
      <c r="R2075" s="1" t="s">
        <v>9103</v>
      </c>
      <c r="S2075" s="1" t="s">
        <v>20037</v>
      </c>
      <c r="T2075" s="1" t="s">
        <v>7</v>
      </c>
      <c r="U2075" s="1" t="s">
        <v>64</v>
      </c>
    </row>
    <row r="2076" spans="1:21" x14ac:dyDescent="0.2">
      <c r="A2076" s="88" t="s">
        <v>6900</v>
      </c>
      <c r="B2076" s="88" t="e">
        <f>VLOOKUP(C2076,#REF!,1,0)</f>
        <v>#REF!</v>
      </c>
      <c r="C2076" s="1" t="s">
        <v>6901</v>
      </c>
      <c r="D2076" s="1" t="s">
        <v>6902</v>
      </c>
      <c r="E2076" s="1" t="s">
        <v>9333</v>
      </c>
      <c r="F2076" s="1" t="s">
        <v>8959</v>
      </c>
      <c r="G2076" t="s">
        <v>8959</v>
      </c>
      <c r="H2076" s="1" t="s">
        <v>20712</v>
      </c>
      <c r="I2076" s="1" t="s">
        <v>8998</v>
      </c>
      <c r="J2076" s="2" t="s">
        <v>21239</v>
      </c>
      <c r="K2076" s="1" t="s">
        <v>21734</v>
      </c>
      <c r="L2076" s="1" t="s">
        <v>8987</v>
      </c>
      <c r="M2076" s="1">
        <v>1539</v>
      </c>
      <c r="N2076" s="1" t="s">
        <v>9059</v>
      </c>
      <c r="O2076" s="1" t="s">
        <v>8989</v>
      </c>
      <c r="P2076" s="1" t="s">
        <v>8955</v>
      </c>
      <c r="Q2076" s="1" t="s">
        <v>8956</v>
      </c>
      <c r="R2076" s="1" t="s">
        <v>9103</v>
      </c>
      <c r="S2076" s="1" t="s">
        <v>6903</v>
      </c>
      <c r="T2076" s="1" t="s">
        <v>11</v>
      </c>
      <c r="U2076" s="1" t="s">
        <v>35</v>
      </c>
    </row>
    <row r="2077" spans="1:21" x14ac:dyDescent="0.2">
      <c r="A2077" s="88" t="s">
        <v>17777</v>
      </c>
      <c r="B2077" s="88" t="e">
        <f>VLOOKUP(C2077,#REF!,1,0)</f>
        <v>#REF!</v>
      </c>
      <c r="C2077" s="1" t="s">
        <v>6904</v>
      </c>
      <c r="D2077" s="1" t="s">
        <v>6905</v>
      </c>
      <c r="E2077" s="1" t="s">
        <v>9213</v>
      </c>
      <c r="F2077" s="1" t="s">
        <v>8957</v>
      </c>
      <c r="G2077" t="s">
        <v>9183</v>
      </c>
      <c r="H2077" s="1" t="s">
        <v>9252</v>
      </c>
      <c r="I2077" s="1" t="s">
        <v>18504</v>
      </c>
      <c r="J2077" s="2" t="s">
        <v>20723</v>
      </c>
      <c r="K2077" s="1" t="s">
        <v>20723</v>
      </c>
      <c r="L2077" s="1" t="s">
        <v>8951</v>
      </c>
      <c r="M2077" s="1">
        <v>3002</v>
      </c>
      <c r="N2077" s="1" t="s">
        <v>8953</v>
      </c>
      <c r="O2077" s="1" t="s">
        <v>8989</v>
      </c>
      <c r="P2077" s="1" t="s">
        <v>8955</v>
      </c>
      <c r="Q2077" s="1" t="s">
        <v>8956</v>
      </c>
      <c r="R2077" s="1" t="s">
        <v>9103</v>
      </c>
      <c r="S2077" s="1" t="s">
        <v>20038</v>
      </c>
      <c r="T2077" s="1" t="s">
        <v>7</v>
      </c>
      <c r="U2077" s="1" t="s">
        <v>4168</v>
      </c>
    </row>
    <row r="2078" spans="1:21" x14ac:dyDescent="0.2">
      <c r="A2078" s="88" t="s">
        <v>17778</v>
      </c>
      <c r="B2078" s="88" t="e">
        <f>VLOOKUP(C2078,#REF!,1,0)</f>
        <v>#REF!</v>
      </c>
      <c r="C2078" s="1" t="s">
        <v>6906</v>
      </c>
      <c r="D2078" s="1" t="s">
        <v>6907</v>
      </c>
      <c r="E2078" s="1" t="s">
        <v>18502</v>
      </c>
      <c r="F2078" s="1" t="s">
        <v>9060</v>
      </c>
      <c r="G2078" t="s">
        <v>9061</v>
      </c>
      <c r="H2078" s="1" t="s">
        <v>9100</v>
      </c>
      <c r="I2078" s="1" t="s">
        <v>8949</v>
      </c>
      <c r="J2078" s="2" t="s">
        <v>10525</v>
      </c>
      <c r="K2078" s="1" t="s">
        <v>21650</v>
      </c>
      <c r="L2078" s="1" t="s">
        <v>8951</v>
      </c>
      <c r="M2078" s="1">
        <v>102144</v>
      </c>
      <c r="N2078" s="1" t="s">
        <v>8953</v>
      </c>
      <c r="O2078" s="1" t="s">
        <v>8954</v>
      </c>
      <c r="P2078" s="1" t="s">
        <v>8955</v>
      </c>
      <c r="Q2078" s="1" t="s">
        <v>8956</v>
      </c>
      <c r="R2078" s="1" t="s">
        <v>8958</v>
      </c>
      <c r="S2078" s="1" t="s">
        <v>20039</v>
      </c>
      <c r="T2078" s="1" t="s">
        <v>17</v>
      </c>
      <c r="U2078" s="1" t="s">
        <v>619</v>
      </c>
    </row>
    <row r="2079" spans="1:21" x14ac:dyDescent="0.2">
      <c r="A2079" s="88" t="s">
        <v>17779</v>
      </c>
      <c r="B2079" s="88" t="e">
        <f>VLOOKUP(C2079,#REF!,1,0)</f>
        <v>#REF!</v>
      </c>
      <c r="C2079" s="1" t="s">
        <v>6908</v>
      </c>
      <c r="D2079" s="1" t="s">
        <v>6909</v>
      </c>
      <c r="E2079" s="1" t="s">
        <v>9010</v>
      </c>
      <c r="F2079" s="1" t="s">
        <v>8957</v>
      </c>
      <c r="G2079" t="s">
        <v>9061</v>
      </c>
      <c r="H2079" s="1" t="s">
        <v>8948</v>
      </c>
      <c r="I2079" s="1" t="s">
        <v>9155</v>
      </c>
      <c r="J2079" s="2" t="s">
        <v>12818</v>
      </c>
      <c r="K2079" s="1" t="s">
        <v>12818</v>
      </c>
      <c r="L2079" s="1" t="s">
        <v>8987</v>
      </c>
      <c r="M2079" s="1">
        <v>398</v>
      </c>
      <c r="N2079" s="1" t="s">
        <v>9059</v>
      </c>
      <c r="O2079" s="1" t="s">
        <v>8989</v>
      </c>
      <c r="P2079" s="1" t="s">
        <v>8955</v>
      </c>
      <c r="Q2079" s="1" t="s">
        <v>8956</v>
      </c>
      <c r="R2079" s="1" t="s">
        <v>8958</v>
      </c>
      <c r="S2079" s="1" t="s">
        <v>6910</v>
      </c>
      <c r="T2079" s="1" t="s">
        <v>929</v>
      </c>
      <c r="U2079" s="1" t="s">
        <v>392</v>
      </c>
    </row>
    <row r="2080" spans="1:21" x14ac:dyDescent="0.2">
      <c r="A2080" s="88" t="s">
        <v>17780</v>
      </c>
      <c r="B2080" s="88" t="e">
        <f>VLOOKUP(C2080,#REF!,1,0)</f>
        <v>#REF!</v>
      </c>
      <c r="C2080" s="1" t="s">
        <v>6911</v>
      </c>
      <c r="D2080" s="1" t="s">
        <v>6912</v>
      </c>
      <c r="E2080" s="1" t="s">
        <v>9213</v>
      </c>
      <c r="F2080" s="1" t="s">
        <v>8957</v>
      </c>
      <c r="G2080" t="s">
        <v>8959</v>
      </c>
      <c r="H2080" s="1" t="s">
        <v>8948</v>
      </c>
      <c r="I2080" s="1" t="s">
        <v>8949</v>
      </c>
      <c r="J2080" s="2" t="s">
        <v>10511</v>
      </c>
      <c r="K2080" s="1" t="s">
        <v>10511</v>
      </c>
      <c r="L2080" s="1" t="s">
        <v>8987</v>
      </c>
      <c r="M2080" s="1">
        <v>805</v>
      </c>
      <c r="N2080" s="1" t="s">
        <v>9059</v>
      </c>
      <c r="O2080" s="1" t="s">
        <v>8989</v>
      </c>
      <c r="P2080" s="1" t="s">
        <v>8955</v>
      </c>
      <c r="Q2080" s="1" t="s">
        <v>8956</v>
      </c>
      <c r="R2080" s="1" t="s">
        <v>8958</v>
      </c>
      <c r="S2080" s="1" t="s">
        <v>6910</v>
      </c>
      <c r="T2080" s="1" t="s">
        <v>4</v>
      </c>
      <c r="U2080" s="1" t="s">
        <v>126</v>
      </c>
    </row>
    <row r="2081" spans="1:21" x14ac:dyDescent="0.2">
      <c r="A2081" s="88" t="s">
        <v>17781</v>
      </c>
      <c r="B2081" s="88" t="e">
        <f>VLOOKUP(C2081,#REF!,1,0)</f>
        <v>#REF!</v>
      </c>
      <c r="C2081" s="1" t="s">
        <v>6913</v>
      </c>
      <c r="D2081" s="1" t="s">
        <v>6914</v>
      </c>
      <c r="E2081" s="1" t="s">
        <v>9010</v>
      </c>
      <c r="F2081" s="1" t="s">
        <v>8959</v>
      </c>
      <c r="G2081" t="s">
        <v>9061</v>
      </c>
      <c r="H2081" s="1" t="s">
        <v>8948</v>
      </c>
      <c r="I2081" s="1" t="s">
        <v>9155</v>
      </c>
      <c r="J2081" s="2" t="s">
        <v>21462</v>
      </c>
      <c r="K2081" s="1" t="s">
        <v>21462</v>
      </c>
      <c r="L2081" s="1" t="s">
        <v>8987</v>
      </c>
      <c r="M2081" s="1">
        <v>202</v>
      </c>
      <c r="N2081" s="1" t="s">
        <v>9059</v>
      </c>
      <c r="O2081" s="1" t="s">
        <v>8989</v>
      </c>
      <c r="P2081" s="1" t="s">
        <v>8955</v>
      </c>
      <c r="Q2081" s="1" t="s">
        <v>8956</v>
      </c>
      <c r="R2081" s="1" t="s">
        <v>9103</v>
      </c>
      <c r="S2081" s="1" t="s">
        <v>6915</v>
      </c>
      <c r="T2081" s="1" t="s">
        <v>920</v>
      </c>
      <c r="U2081" s="1" t="s">
        <v>921</v>
      </c>
    </row>
    <row r="2082" spans="1:21" x14ac:dyDescent="0.2">
      <c r="A2082" s="88" t="s">
        <v>17782</v>
      </c>
      <c r="B2082" s="88" t="e">
        <f>VLOOKUP(C2082,#REF!,1,0)</f>
        <v>#REF!</v>
      </c>
      <c r="C2082" s="1" t="s">
        <v>6916</v>
      </c>
      <c r="D2082" s="1" t="s">
        <v>6917</v>
      </c>
      <c r="E2082" s="1" t="s">
        <v>9213</v>
      </c>
      <c r="F2082" s="1" t="s">
        <v>8957</v>
      </c>
      <c r="G2082" t="s">
        <v>8959</v>
      </c>
      <c r="H2082" s="1" t="s">
        <v>8948</v>
      </c>
      <c r="I2082" s="1" t="s">
        <v>8949</v>
      </c>
      <c r="J2082" s="2" t="s">
        <v>21215</v>
      </c>
      <c r="K2082" s="1" t="s">
        <v>21215</v>
      </c>
      <c r="L2082" s="1" t="s">
        <v>9133</v>
      </c>
      <c r="M2082" s="1">
        <v>2746</v>
      </c>
      <c r="N2082" s="1" t="s">
        <v>8953</v>
      </c>
      <c r="O2082" s="1" t="s">
        <v>8954</v>
      </c>
      <c r="P2082" s="1" t="s">
        <v>8955</v>
      </c>
      <c r="Q2082" s="1" t="s">
        <v>8956</v>
      </c>
      <c r="R2082" s="1" t="s">
        <v>8958</v>
      </c>
      <c r="S2082" s="1" t="s">
        <v>6918</v>
      </c>
      <c r="T2082" s="1" t="s">
        <v>242</v>
      </c>
      <c r="U2082" s="1" t="s">
        <v>392</v>
      </c>
    </row>
    <row r="2083" spans="1:21" x14ac:dyDescent="0.2">
      <c r="A2083" s="88" t="s">
        <v>17784</v>
      </c>
      <c r="B2083" s="88" t="e">
        <f>VLOOKUP(C2083,#REF!,1,0)</f>
        <v>#REF!</v>
      </c>
      <c r="C2083" s="1" t="s">
        <v>6921</v>
      </c>
      <c r="D2083" s="1" t="s">
        <v>6922</v>
      </c>
      <c r="E2083" s="1" t="s">
        <v>11671</v>
      </c>
      <c r="F2083" s="1" t="s">
        <v>8957</v>
      </c>
      <c r="G2083" t="s">
        <v>8959</v>
      </c>
      <c r="H2083" s="1" t="s">
        <v>9605</v>
      </c>
      <c r="I2083" s="1" t="s">
        <v>9101</v>
      </c>
      <c r="J2083" s="2" t="s">
        <v>9036</v>
      </c>
      <c r="K2083" s="1" t="s">
        <v>9036</v>
      </c>
      <c r="L2083" s="1" t="s">
        <v>8987</v>
      </c>
      <c r="M2083" s="1">
        <v>33000000</v>
      </c>
      <c r="N2083" s="1" t="s">
        <v>8953</v>
      </c>
      <c r="O2083" s="1" t="s">
        <v>8989</v>
      </c>
      <c r="P2083" s="1" t="s">
        <v>8955</v>
      </c>
      <c r="Q2083" s="1" t="s">
        <v>8956</v>
      </c>
      <c r="R2083" s="1" t="s">
        <v>8975</v>
      </c>
      <c r="S2083" s="1" t="s">
        <v>6923</v>
      </c>
      <c r="T2083" s="1" t="s">
        <v>11</v>
      </c>
      <c r="U2083" s="1" t="s">
        <v>2540</v>
      </c>
    </row>
    <row r="2084" spans="1:21" x14ac:dyDescent="0.2">
      <c r="A2084" s="95" t="s">
        <v>17785</v>
      </c>
      <c r="B2084" s="88" t="e">
        <f>VLOOKUP(C2084,#REF!,1,0)</f>
        <v>#REF!</v>
      </c>
      <c r="C2084" s="1" t="s">
        <v>6924</v>
      </c>
      <c r="D2084" s="1" t="s">
        <v>6925</v>
      </c>
      <c r="E2084" s="1" t="s">
        <v>18502</v>
      </c>
      <c r="F2084" s="1" t="s">
        <v>9060</v>
      </c>
      <c r="G2084" t="s">
        <v>9061</v>
      </c>
      <c r="H2084" s="1" t="s">
        <v>8984</v>
      </c>
      <c r="I2084" s="1" t="s">
        <v>8998</v>
      </c>
      <c r="J2084" s="2" t="s">
        <v>20838</v>
      </c>
      <c r="K2084" s="1" t="s">
        <v>20755</v>
      </c>
      <c r="L2084" s="1" t="s">
        <v>21600</v>
      </c>
      <c r="M2084" s="1">
        <v>347</v>
      </c>
      <c r="N2084" s="1" t="s">
        <v>9059</v>
      </c>
      <c r="O2084" s="1" t="s">
        <v>8989</v>
      </c>
      <c r="P2084" s="1" t="s">
        <v>8955</v>
      </c>
      <c r="Q2084" s="1" t="s">
        <v>8956</v>
      </c>
      <c r="R2084" s="1" t="s">
        <v>8975</v>
      </c>
      <c r="S2084" s="1" t="s">
        <v>20690</v>
      </c>
      <c r="T2084" s="1" t="s">
        <v>7</v>
      </c>
      <c r="U2084" s="1" t="s">
        <v>891</v>
      </c>
    </row>
    <row r="2085" spans="1:21" x14ac:dyDescent="0.2">
      <c r="A2085" s="88" t="s">
        <v>17786</v>
      </c>
      <c r="B2085" s="88" t="e">
        <f>VLOOKUP(C2085,#REF!,1,0)</f>
        <v>#REF!</v>
      </c>
      <c r="C2085" s="1" t="s">
        <v>6926</v>
      </c>
      <c r="D2085" s="1" t="s">
        <v>6927</v>
      </c>
      <c r="E2085" s="1" t="s">
        <v>9333</v>
      </c>
      <c r="F2085" s="1" t="s">
        <v>8959</v>
      </c>
      <c r="G2085" t="s">
        <v>9061</v>
      </c>
      <c r="H2085" s="1" t="s">
        <v>8948</v>
      </c>
      <c r="I2085" s="1" t="s">
        <v>8998</v>
      </c>
      <c r="J2085" s="2" t="s">
        <v>10492</v>
      </c>
      <c r="K2085" s="1" t="s">
        <v>21645</v>
      </c>
      <c r="L2085" s="1" t="s">
        <v>9076</v>
      </c>
      <c r="M2085" s="1">
        <v>14723</v>
      </c>
      <c r="N2085" s="1" t="s">
        <v>20915</v>
      </c>
      <c r="O2085" s="1" t="s">
        <v>20828</v>
      </c>
      <c r="P2085" s="1" t="s">
        <v>8955</v>
      </c>
      <c r="Q2085" s="1" t="s">
        <v>8956</v>
      </c>
      <c r="R2085" s="1" t="s">
        <v>8975</v>
      </c>
      <c r="S2085" s="1" t="s">
        <v>20041</v>
      </c>
      <c r="T2085" s="1" t="s">
        <v>17</v>
      </c>
      <c r="U2085" s="1" t="s">
        <v>3852</v>
      </c>
    </row>
    <row r="2086" spans="1:21" x14ac:dyDescent="0.2">
      <c r="A2086" s="88" t="s">
        <v>17787</v>
      </c>
      <c r="B2086" s="88" t="e">
        <f>VLOOKUP(C2086,#REF!,1,0)</f>
        <v>#REF!</v>
      </c>
      <c r="C2086" s="1" t="s">
        <v>6928</v>
      </c>
      <c r="D2086" s="1" t="s">
        <v>6929</v>
      </c>
      <c r="E2086" s="1" t="s">
        <v>9310</v>
      </c>
      <c r="F2086" s="1" t="s">
        <v>8957</v>
      </c>
      <c r="G2086" t="s">
        <v>8959</v>
      </c>
      <c r="H2086" s="1" t="s">
        <v>9035</v>
      </c>
      <c r="I2086" s="1" t="s">
        <v>8949</v>
      </c>
      <c r="J2086" s="2" t="s">
        <v>10492</v>
      </c>
      <c r="K2086" s="1" t="s">
        <v>10492</v>
      </c>
      <c r="L2086" s="1" t="s">
        <v>21600</v>
      </c>
      <c r="M2086" s="1">
        <v>7200</v>
      </c>
      <c r="N2086" s="1" t="s">
        <v>8953</v>
      </c>
      <c r="O2086" s="1" t="s">
        <v>8989</v>
      </c>
      <c r="P2086" s="1" t="s">
        <v>8955</v>
      </c>
      <c r="Q2086" s="1" t="s">
        <v>8956</v>
      </c>
      <c r="R2086" s="1" t="s">
        <v>8958</v>
      </c>
      <c r="S2086" s="1" t="s">
        <v>20042</v>
      </c>
      <c r="T2086" s="1" t="s">
        <v>7</v>
      </c>
      <c r="U2086" s="1" t="s">
        <v>53</v>
      </c>
    </row>
    <row r="2087" spans="1:21" x14ac:dyDescent="0.2">
      <c r="A2087" s="88" t="s">
        <v>17788</v>
      </c>
      <c r="B2087" s="88" t="e">
        <f>VLOOKUP(C2087,#REF!,1,0)</f>
        <v>#REF!</v>
      </c>
      <c r="C2087" s="1" t="s">
        <v>6930</v>
      </c>
      <c r="D2087" s="1" t="s">
        <v>6931</v>
      </c>
      <c r="E2087" s="1" t="s">
        <v>9310</v>
      </c>
      <c r="F2087" s="1" t="s">
        <v>8957</v>
      </c>
      <c r="G2087" t="s">
        <v>8959</v>
      </c>
      <c r="H2087" s="1" t="s">
        <v>8984</v>
      </c>
      <c r="I2087" s="1" t="s">
        <v>8985</v>
      </c>
      <c r="J2087" s="2" t="s">
        <v>10258</v>
      </c>
      <c r="K2087" s="1" t="s">
        <v>10258</v>
      </c>
      <c r="L2087" s="1" t="s">
        <v>8987</v>
      </c>
      <c r="M2087" s="1">
        <v>462</v>
      </c>
      <c r="N2087" s="1" t="s">
        <v>8953</v>
      </c>
      <c r="O2087" s="1" t="s">
        <v>8989</v>
      </c>
      <c r="P2087" s="1" t="s">
        <v>8955</v>
      </c>
      <c r="Q2087" s="1" t="s">
        <v>8956</v>
      </c>
      <c r="R2087" s="1" t="s">
        <v>8958</v>
      </c>
      <c r="S2087" s="1" t="s">
        <v>6932</v>
      </c>
      <c r="T2087" s="1" t="s">
        <v>7</v>
      </c>
      <c r="U2087" s="1" t="s">
        <v>27</v>
      </c>
    </row>
    <row r="2088" spans="1:21" x14ac:dyDescent="0.2">
      <c r="A2088" s="88" t="s">
        <v>17790</v>
      </c>
      <c r="B2088" s="88" t="e">
        <f>VLOOKUP(C2088,#REF!,1,0)</f>
        <v>#REF!</v>
      </c>
      <c r="C2088" s="1" t="s">
        <v>6935</v>
      </c>
      <c r="D2088" s="1" t="s">
        <v>6936</v>
      </c>
      <c r="E2088" s="1" t="s">
        <v>9310</v>
      </c>
      <c r="F2088" s="1" t="s">
        <v>8957</v>
      </c>
      <c r="G2088" t="s">
        <v>8959</v>
      </c>
      <c r="H2088" s="1" t="s">
        <v>8948</v>
      </c>
      <c r="I2088" s="1" t="s">
        <v>8949</v>
      </c>
      <c r="J2088" s="2" t="s">
        <v>8972</v>
      </c>
      <c r="K2088" s="1" t="s">
        <v>21768</v>
      </c>
      <c r="L2088" s="1" t="s">
        <v>21600</v>
      </c>
      <c r="M2088" s="1">
        <v>384</v>
      </c>
      <c r="N2088" s="1" t="s">
        <v>8953</v>
      </c>
      <c r="O2088" s="1" t="s">
        <v>8989</v>
      </c>
      <c r="P2088" s="1" t="s">
        <v>8955</v>
      </c>
      <c r="Q2088" s="1" t="s">
        <v>8956</v>
      </c>
      <c r="R2088" s="1" t="s">
        <v>8958</v>
      </c>
      <c r="S2088" s="1" t="s">
        <v>6937</v>
      </c>
      <c r="T2088" s="1" t="s">
        <v>17</v>
      </c>
      <c r="U2088" s="1" t="s">
        <v>97</v>
      </c>
    </row>
    <row r="2089" spans="1:21" x14ac:dyDescent="0.2">
      <c r="A2089" s="88" t="s">
        <v>17791</v>
      </c>
      <c r="B2089" s="88" t="e">
        <f>VLOOKUP(C2089,#REF!,1,0)</f>
        <v>#REF!</v>
      </c>
      <c r="C2089" s="1" t="s">
        <v>6938</v>
      </c>
      <c r="D2089" s="1" t="s">
        <v>6939</v>
      </c>
      <c r="E2089" s="1" t="s">
        <v>9310</v>
      </c>
      <c r="F2089" s="1" t="s">
        <v>8957</v>
      </c>
      <c r="G2089" t="s">
        <v>8959</v>
      </c>
      <c r="H2089" s="1" t="s">
        <v>9100</v>
      </c>
      <c r="I2089" s="1" t="s">
        <v>8949</v>
      </c>
      <c r="J2089" s="2" t="s">
        <v>20723</v>
      </c>
      <c r="K2089" s="1" t="s">
        <v>20723</v>
      </c>
      <c r="L2089" s="1" t="s">
        <v>9076</v>
      </c>
      <c r="M2089" s="1">
        <v>902</v>
      </c>
      <c r="N2089" s="1" t="s">
        <v>8953</v>
      </c>
      <c r="O2089" s="1" t="s">
        <v>8954</v>
      </c>
      <c r="P2089" s="1" t="s">
        <v>8955</v>
      </c>
      <c r="Q2089" s="1" t="s">
        <v>8956</v>
      </c>
      <c r="R2089" s="1" t="s">
        <v>8958</v>
      </c>
      <c r="S2089" s="1" t="s">
        <v>20044</v>
      </c>
      <c r="T2089" s="1" t="s">
        <v>17</v>
      </c>
      <c r="U2089" s="1" t="s">
        <v>625</v>
      </c>
    </row>
    <row r="2090" spans="1:21" x14ac:dyDescent="0.2">
      <c r="A2090" s="88" t="s">
        <v>17792</v>
      </c>
      <c r="B2090" s="88" t="e">
        <f>VLOOKUP(C2090,#REF!,1,0)</f>
        <v>#REF!</v>
      </c>
      <c r="C2090" s="1" t="s">
        <v>6940</v>
      </c>
      <c r="D2090" s="1" t="s">
        <v>6941</v>
      </c>
      <c r="E2090" s="1" t="s">
        <v>9310</v>
      </c>
      <c r="F2090" s="1" t="s">
        <v>8957</v>
      </c>
      <c r="G2090" t="s">
        <v>8959</v>
      </c>
      <c r="H2090" s="1" t="s">
        <v>9035</v>
      </c>
      <c r="I2090" s="1" t="s">
        <v>8998</v>
      </c>
      <c r="J2090" s="2" t="s">
        <v>20805</v>
      </c>
      <c r="K2090" s="1" t="s">
        <v>9212</v>
      </c>
      <c r="L2090" s="1" t="s">
        <v>8987</v>
      </c>
      <c r="M2090" s="1">
        <v>2522</v>
      </c>
      <c r="N2090" s="1" t="s">
        <v>8953</v>
      </c>
      <c r="O2090" s="1" t="s">
        <v>8954</v>
      </c>
      <c r="P2090" s="1" t="s">
        <v>8955</v>
      </c>
      <c r="Q2090" s="1" t="s">
        <v>8956</v>
      </c>
      <c r="R2090" s="1" t="s">
        <v>8975</v>
      </c>
      <c r="S2090" s="1" t="s">
        <v>20045</v>
      </c>
      <c r="T2090" s="1" t="s">
        <v>7</v>
      </c>
      <c r="U2090" s="1" t="s">
        <v>27</v>
      </c>
    </row>
    <row r="2091" spans="1:21" x14ac:dyDescent="0.2">
      <c r="A2091" s="88" t="s">
        <v>17793</v>
      </c>
      <c r="B2091" s="88" t="e">
        <f>VLOOKUP(C2091,#REF!,1,0)</f>
        <v>#REF!</v>
      </c>
      <c r="C2091" s="1" t="s">
        <v>6942</v>
      </c>
      <c r="D2091" s="1" t="s">
        <v>6943</v>
      </c>
      <c r="E2091" s="1" t="s">
        <v>9310</v>
      </c>
      <c r="F2091" s="1" t="s">
        <v>8957</v>
      </c>
      <c r="G2091" t="s">
        <v>8959</v>
      </c>
      <c r="H2091" s="1" t="s">
        <v>8948</v>
      </c>
      <c r="I2091" s="1" t="s">
        <v>8949</v>
      </c>
      <c r="J2091" s="2" t="s">
        <v>9918</v>
      </c>
      <c r="K2091" s="1" t="s">
        <v>9918</v>
      </c>
      <c r="L2091" s="1" t="s">
        <v>21600</v>
      </c>
      <c r="M2091" s="1">
        <v>100</v>
      </c>
      <c r="N2091" s="1" t="s">
        <v>8953</v>
      </c>
      <c r="O2091" s="1" t="s">
        <v>8954</v>
      </c>
      <c r="P2091" s="1" t="s">
        <v>8955</v>
      </c>
      <c r="Q2091" s="1" t="s">
        <v>8956</v>
      </c>
      <c r="R2091" s="1" t="s">
        <v>8958</v>
      </c>
      <c r="S2091" s="1" t="s">
        <v>6944</v>
      </c>
      <c r="T2091" s="1" t="s">
        <v>7</v>
      </c>
      <c r="U2091" s="1" t="s">
        <v>61</v>
      </c>
    </row>
    <row r="2092" spans="1:21" x14ac:dyDescent="0.2">
      <c r="A2092" s="88" t="s">
        <v>17794</v>
      </c>
      <c r="B2092" s="88" t="e">
        <f>VLOOKUP(C2092,#REF!,1,0)</f>
        <v>#REF!</v>
      </c>
      <c r="C2092" s="1" t="s">
        <v>6945</v>
      </c>
      <c r="D2092" s="1" t="s">
        <v>6946</v>
      </c>
      <c r="E2092" s="1" t="s">
        <v>9310</v>
      </c>
      <c r="F2092" s="1" t="s">
        <v>8957</v>
      </c>
      <c r="G2092" t="s">
        <v>8959</v>
      </c>
      <c r="H2092" s="1" t="s">
        <v>9100</v>
      </c>
      <c r="I2092" s="1" t="s">
        <v>8949</v>
      </c>
      <c r="J2092" s="2" t="s">
        <v>10492</v>
      </c>
      <c r="K2092" s="1" t="s">
        <v>10492</v>
      </c>
      <c r="L2092" s="1" t="s">
        <v>9076</v>
      </c>
      <c r="M2092" s="1">
        <v>254</v>
      </c>
      <c r="N2092" s="1" t="s">
        <v>8953</v>
      </c>
      <c r="O2092" s="1" t="s">
        <v>8954</v>
      </c>
      <c r="P2092" s="1" t="s">
        <v>8955</v>
      </c>
      <c r="Q2092" s="1" t="s">
        <v>8956</v>
      </c>
      <c r="R2092" s="1" t="s">
        <v>8975</v>
      </c>
      <c r="S2092" s="1" t="s">
        <v>20046</v>
      </c>
      <c r="T2092" s="1" t="s">
        <v>17</v>
      </c>
      <c r="U2092" s="1" t="s">
        <v>392</v>
      </c>
    </row>
    <row r="2093" spans="1:21" x14ac:dyDescent="0.2">
      <c r="A2093" s="88" t="s">
        <v>17796</v>
      </c>
      <c r="B2093" s="88" t="e">
        <f>VLOOKUP(C2093,#REF!,1,0)</f>
        <v>#REF!</v>
      </c>
      <c r="C2093" s="1" t="s">
        <v>6950</v>
      </c>
      <c r="D2093" s="1" t="s">
        <v>6951</v>
      </c>
      <c r="E2093" s="1" t="s">
        <v>9310</v>
      </c>
      <c r="F2093" s="1" t="s">
        <v>8957</v>
      </c>
      <c r="G2093" t="s">
        <v>8959</v>
      </c>
      <c r="H2093" s="1" t="s">
        <v>9092</v>
      </c>
      <c r="I2093" s="1" t="s">
        <v>9121</v>
      </c>
      <c r="J2093" s="2" t="s">
        <v>9245</v>
      </c>
      <c r="K2093" s="1" t="s">
        <v>9245</v>
      </c>
      <c r="L2093" s="1" t="s">
        <v>8987</v>
      </c>
      <c r="M2093" s="1">
        <v>1000</v>
      </c>
      <c r="N2093" s="1" t="s">
        <v>8953</v>
      </c>
      <c r="O2093" s="1" t="s">
        <v>8954</v>
      </c>
      <c r="P2093" s="1" t="s">
        <v>8955</v>
      </c>
      <c r="Q2093" s="1" t="s">
        <v>8956</v>
      </c>
      <c r="R2093" s="1" t="s">
        <v>8958</v>
      </c>
      <c r="S2093" s="1" t="s">
        <v>6952</v>
      </c>
      <c r="T2093" s="1" t="s">
        <v>17</v>
      </c>
      <c r="U2093" s="1" t="s">
        <v>210</v>
      </c>
    </row>
    <row r="2094" spans="1:21" x14ac:dyDescent="0.2">
      <c r="A2094" s="88" t="s">
        <v>17797</v>
      </c>
      <c r="B2094" s="88" t="e">
        <f>VLOOKUP(C2094,#REF!,1,0)</f>
        <v>#REF!</v>
      </c>
      <c r="C2094" s="1" t="s">
        <v>6953</v>
      </c>
      <c r="D2094" s="1" t="s">
        <v>6954</v>
      </c>
      <c r="E2094" s="1" t="s">
        <v>9010</v>
      </c>
      <c r="F2094" s="1" t="s">
        <v>8957</v>
      </c>
      <c r="G2094" t="s">
        <v>8959</v>
      </c>
      <c r="H2094" s="1" t="s">
        <v>9252</v>
      </c>
      <c r="I2094" s="1" t="s">
        <v>9253</v>
      </c>
      <c r="J2094" s="2" t="s">
        <v>9036</v>
      </c>
      <c r="K2094" s="1" t="s">
        <v>9036</v>
      </c>
      <c r="L2094" s="1" t="s">
        <v>9133</v>
      </c>
      <c r="M2094" s="1">
        <v>2472</v>
      </c>
      <c r="N2094" s="1" t="s">
        <v>8953</v>
      </c>
      <c r="O2094" s="1" t="s">
        <v>8989</v>
      </c>
      <c r="P2094" s="1" t="s">
        <v>8955</v>
      </c>
      <c r="Q2094" s="1" t="s">
        <v>8956</v>
      </c>
      <c r="R2094" s="1" t="s">
        <v>8958</v>
      </c>
      <c r="S2094" s="1" t="s">
        <v>6955</v>
      </c>
      <c r="T2094" s="1" t="s">
        <v>4</v>
      </c>
      <c r="U2094" s="1" t="s">
        <v>43</v>
      </c>
    </row>
    <row r="2095" spans="1:21" x14ac:dyDescent="0.2">
      <c r="A2095" s="88" t="s">
        <v>17798</v>
      </c>
      <c r="B2095" s="88" t="e">
        <f>VLOOKUP(C2095,#REF!,1,0)</f>
        <v>#REF!</v>
      </c>
      <c r="C2095" s="1" t="s">
        <v>6956</v>
      </c>
      <c r="D2095" s="1" t="s">
        <v>6957</v>
      </c>
      <c r="E2095" s="1" t="s">
        <v>9010</v>
      </c>
      <c r="F2095" s="1" t="s">
        <v>8959</v>
      </c>
      <c r="G2095" t="s">
        <v>8959</v>
      </c>
      <c r="H2095" s="1" t="s">
        <v>9035</v>
      </c>
      <c r="I2095" s="1" t="s">
        <v>8998</v>
      </c>
      <c r="J2095" s="2" t="s">
        <v>21473</v>
      </c>
      <c r="K2095" s="1" t="s">
        <v>21803</v>
      </c>
      <c r="L2095" s="1" t="s">
        <v>8987</v>
      </c>
      <c r="M2095" s="1">
        <v>134668</v>
      </c>
      <c r="N2095" s="1" t="s">
        <v>8953</v>
      </c>
      <c r="O2095" s="1" t="s">
        <v>8954</v>
      </c>
      <c r="P2095" s="1" t="s">
        <v>8955</v>
      </c>
      <c r="Q2095" s="1" t="s">
        <v>8956</v>
      </c>
      <c r="R2095" s="1" t="s">
        <v>9103</v>
      </c>
      <c r="S2095" s="1" t="s">
        <v>6958</v>
      </c>
      <c r="T2095" s="1" t="s">
        <v>4</v>
      </c>
      <c r="U2095" s="1" t="s">
        <v>74</v>
      </c>
    </row>
    <row r="2096" spans="1:21" x14ac:dyDescent="0.2">
      <c r="A2096" s="88" t="s">
        <v>17800</v>
      </c>
      <c r="B2096" s="88" t="e">
        <f>VLOOKUP(C2096,#REF!,1,0)</f>
        <v>#REF!</v>
      </c>
      <c r="C2096" s="1" t="s">
        <v>6961</v>
      </c>
      <c r="D2096" s="1" t="s">
        <v>6962</v>
      </c>
      <c r="E2096" s="1" t="s">
        <v>9815</v>
      </c>
      <c r="F2096" s="1" t="s">
        <v>8959</v>
      </c>
      <c r="G2096" t="s">
        <v>8959</v>
      </c>
      <c r="H2096" s="1" t="s">
        <v>9092</v>
      </c>
      <c r="I2096" s="1" t="s">
        <v>9121</v>
      </c>
      <c r="J2096" s="2" t="s">
        <v>9036</v>
      </c>
      <c r="K2096" s="1" t="s">
        <v>9036</v>
      </c>
      <c r="L2096" s="1" t="s">
        <v>9076</v>
      </c>
      <c r="M2096" s="1" t="s">
        <v>9479</v>
      </c>
      <c r="N2096" s="1" t="s">
        <v>9479</v>
      </c>
      <c r="O2096" s="1" t="s">
        <v>8954</v>
      </c>
      <c r="P2096" s="1" t="s">
        <v>8955</v>
      </c>
      <c r="Q2096" s="1" t="s">
        <v>8956</v>
      </c>
      <c r="R2096" s="1" t="s">
        <v>9103</v>
      </c>
      <c r="S2096" s="1" t="s">
        <v>6963</v>
      </c>
      <c r="T2096" s="1" t="s">
        <v>17</v>
      </c>
      <c r="U2096" s="1" t="s">
        <v>97</v>
      </c>
    </row>
    <row r="2097" spans="1:21" x14ac:dyDescent="0.2">
      <c r="A2097" s="88" t="s">
        <v>17801</v>
      </c>
      <c r="B2097" s="88" t="e">
        <f>VLOOKUP(C2097,#REF!,1,0)</f>
        <v>#REF!</v>
      </c>
      <c r="C2097" s="1" t="s">
        <v>6971</v>
      </c>
      <c r="D2097" s="1" t="s">
        <v>6972</v>
      </c>
      <c r="E2097" s="1" t="s">
        <v>9333</v>
      </c>
      <c r="F2097" s="1" t="s">
        <v>8957</v>
      </c>
      <c r="G2097" t="s">
        <v>8959</v>
      </c>
      <c r="H2097" s="1" t="s">
        <v>9605</v>
      </c>
      <c r="I2097" s="1" t="s">
        <v>9101</v>
      </c>
      <c r="J2097" s="2" t="s">
        <v>10525</v>
      </c>
      <c r="K2097" s="1" t="s">
        <v>10525</v>
      </c>
      <c r="L2097" s="1" t="s">
        <v>8951</v>
      </c>
      <c r="M2097" s="1">
        <v>32600</v>
      </c>
      <c r="N2097" s="1" t="s">
        <v>8953</v>
      </c>
      <c r="O2097" s="1" t="s">
        <v>8989</v>
      </c>
      <c r="P2097" s="1" t="s">
        <v>8955</v>
      </c>
      <c r="Q2097" s="1" t="s">
        <v>8956</v>
      </c>
      <c r="R2097" s="1" t="s">
        <v>8975</v>
      </c>
      <c r="S2097" s="1" t="s">
        <v>20050</v>
      </c>
      <c r="T2097" s="1" t="s">
        <v>17</v>
      </c>
      <c r="U2097" s="1" t="s">
        <v>2121</v>
      </c>
    </row>
    <row r="2098" spans="1:21" x14ac:dyDescent="0.2">
      <c r="A2098" s="88" t="s">
        <v>17802</v>
      </c>
      <c r="B2098" s="88" t="e">
        <f>VLOOKUP(C2098,#REF!,1,0)</f>
        <v>#REF!</v>
      </c>
      <c r="C2098" s="1" t="s">
        <v>6973</v>
      </c>
      <c r="D2098" s="1" t="s">
        <v>6974</v>
      </c>
      <c r="E2098" s="1" t="s">
        <v>10049</v>
      </c>
      <c r="F2098" s="1" t="s">
        <v>8957</v>
      </c>
      <c r="G2098" t="s">
        <v>8959</v>
      </c>
      <c r="H2098" s="1" t="s">
        <v>9100</v>
      </c>
      <c r="I2098" s="1" t="s">
        <v>8949</v>
      </c>
      <c r="J2098" s="2" t="s">
        <v>21425</v>
      </c>
      <c r="K2098" s="1" t="s">
        <v>21902</v>
      </c>
      <c r="L2098" s="1" t="s">
        <v>8987</v>
      </c>
      <c r="M2098" s="1">
        <v>1870</v>
      </c>
      <c r="N2098" s="1" t="s">
        <v>8953</v>
      </c>
      <c r="O2098" s="1" t="s">
        <v>8989</v>
      </c>
      <c r="P2098" s="1" t="s">
        <v>8955</v>
      </c>
      <c r="Q2098" s="1" t="s">
        <v>8956</v>
      </c>
      <c r="R2098" s="1" t="s">
        <v>8975</v>
      </c>
      <c r="S2098" s="1" t="s">
        <v>20051</v>
      </c>
      <c r="T2098" s="1" t="s">
        <v>17</v>
      </c>
      <c r="U2098" s="1" t="s">
        <v>322</v>
      </c>
    </row>
    <row r="2099" spans="1:21" x14ac:dyDescent="0.2">
      <c r="A2099" s="88" t="s">
        <v>17803</v>
      </c>
      <c r="B2099" s="88" t="e">
        <f>VLOOKUP(C2099,#REF!,1,0)</f>
        <v>#REF!</v>
      </c>
      <c r="C2099" s="1" t="s">
        <v>6975</v>
      </c>
      <c r="D2099" s="1" t="s">
        <v>6976</v>
      </c>
      <c r="E2099" s="1" t="s">
        <v>9310</v>
      </c>
      <c r="F2099" s="1" t="s">
        <v>8957</v>
      </c>
      <c r="G2099" t="s">
        <v>8959</v>
      </c>
      <c r="H2099" s="1" t="s">
        <v>8948</v>
      </c>
      <c r="I2099" s="1" t="s">
        <v>8949</v>
      </c>
      <c r="J2099" s="2" t="s">
        <v>9018</v>
      </c>
      <c r="K2099" s="1" t="s">
        <v>21762</v>
      </c>
      <c r="L2099" s="1" t="s">
        <v>8987</v>
      </c>
      <c r="M2099" s="1">
        <v>3064</v>
      </c>
      <c r="N2099" s="1" t="s">
        <v>8953</v>
      </c>
      <c r="O2099" s="1" t="s">
        <v>8954</v>
      </c>
      <c r="P2099" s="1" t="s">
        <v>8955</v>
      </c>
      <c r="Q2099" s="1" t="s">
        <v>8956</v>
      </c>
      <c r="R2099" s="1" t="s">
        <v>8958</v>
      </c>
      <c r="S2099" s="1" t="s">
        <v>6977</v>
      </c>
      <c r="T2099" s="1" t="s">
        <v>17</v>
      </c>
      <c r="U2099" s="1" t="s">
        <v>43</v>
      </c>
    </row>
    <row r="2100" spans="1:21" x14ac:dyDescent="0.2">
      <c r="A2100" s="88" t="s">
        <v>17804</v>
      </c>
      <c r="B2100" s="88" t="e">
        <f>VLOOKUP(C2100,#REF!,1,0)</f>
        <v>#REF!</v>
      </c>
      <c r="C2100" s="1" t="s">
        <v>6978</v>
      </c>
      <c r="D2100" s="1" t="s">
        <v>6979</v>
      </c>
      <c r="E2100" s="1" t="s">
        <v>9317</v>
      </c>
      <c r="F2100" s="1" t="s">
        <v>9060</v>
      </c>
      <c r="G2100" t="s">
        <v>9061</v>
      </c>
      <c r="H2100" s="1" t="s">
        <v>9605</v>
      </c>
      <c r="I2100" s="1" t="s">
        <v>8998</v>
      </c>
      <c r="J2100" s="2" t="s">
        <v>20838</v>
      </c>
      <c r="K2100" s="1" t="s">
        <v>20755</v>
      </c>
      <c r="L2100" s="1" t="s">
        <v>9076</v>
      </c>
      <c r="M2100" s="1" t="s">
        <v>9479</v>
      </c>
      <c r="N2100" s="1" t="s">
        <v>9479</v>
      </c>
      <c r="O2100" s="1" t="s">
        <v>9479</v>
      </c>
      <c r="P2100" s="1" t="s">
        <v>8955</v>
      </c>
      <c r="Q2100" s="1" t="s">
        <v>8956</v>
      </c>
      <c r="R2100" s="1" t="s">
        <v>8958</v>
      </c>
      <c r="S2100" s="1" t="s">
        <v>20052</v>
      </c>
      <c r="T2100" s="1" t="s">
        <v>17</v>
      </c>
      <c r="U2100" s="1" t="s">
        <v>93</v>
      </c>
    </row>
    <row r="2101" spans="1:21" x14ac:dyDescent="0.2">
      <c r="A2101" s="88" t="s">
        <v>17806</v>
      </c>
      <c r="B2101" s="88" t="e">
        <f>VLOOKUP(C2101,#REF!,1,0)</f>
        <v>#REF!</v>
      </c>
      <c r="C2101" s="1" t="s">
        <v>6987</v>
      </c>
      <c r="D2101" s="1" t="s">
        <v>6988</v>
      </c>
      <c r="E2101" s="1" t="s">
        <v>10873</v>
      </c>
      <c r="F2101" s="1" t="s">
        <v>9060</v>
      </c>
      <c r="G2101" t="s">
        <v>9183</v>
      </c>
      <c r="H2101" s="1" t="s">
        <v>9605</v>
      </c>
      <c r="I2101" s="1" t="s">
        <v>9422</v>
      </c>
      <c r="J2101" s="2" t="s">
        <v>20779</v>
      </c>
      <c r="K2101" s="1" t="s">
        <v>9036</v>
      </c>
      <c r="L2101" s="1" t="s">
        <v>9076</v>
      </c>
      <c r="M2101" s="1">
        <v>767</v>
      </c>
      <c r="N2101" s="1" t="s">
        <v>8953</v>
      </c>
      <c r="O2101" s="1" t="s">
        <v>8954</v>
      </c>
      <c r="P2101" s="1" t="s">
        <v>8955</v>
      </c>
      <c r="Q2101" s="1" t="s">
        <v>8956</v>
      </c>
      <c r="R2101" s="1" t="s">
        <v>8958</v>
      </c>
      <c r="S2101" s="1" t="s">
        <v>20054</v>
      </c>
      <c r="T2101" s="1" t="s">
        <v>7</v>
      </c>
      <c r="U2101" s="1" t="s">
        <v>64</v>
      </c>
    </row>
    <row r="2102" spans="1:21" x14ac:dyDescent="0.2">
      <c r="A2102" s="88" t="s">
        <v>17807</v>
      </c>
      <c r="B2102" s="88" t="e">
        <f>VLOOKUP(C2102,#REF!,1,0)</f>
        <v>#REF!</v>
      </c>
      <c r="C2102" s="1" t="s">
        <v>6993</v>
      </c>
      <c r="D2102" s="1" t="s">
        <v>6994</v>
      </c>
      <c r="E2102" s="1" t="s">
        <v>9333</v>
      </c>
      <c r="F2102" s="1" t="s">
        <v>8957</v>
      </c>
      <c r="G2102" t="s">
        <v>9061</v>
      </c>
      <c r="H2102" s="1" t="s">
        <v>8948</v>
      </c>
      <c r="I2102" s="1" t="s">
        <v>8949</v>
      </c>
      <c r="J2102" s="2" t="s">
        <v>9036</v>
      </c>
      <c r="K2102" s="1" t="s">
        <v>9036</v>
      </c>
      <c r="L2102" s="1" t="s">
        <v>9464</v>
      </c>
      <c r="M2102" s="1">
        <v>499</v>
      </c>
      <c r="N2102" s="1" t="s">
        <v>8953</v>
      </c>
      <c r="O2102" s="1" t="s">
        <v>8989</v>
      </c>
      <c r="P2102" s="1" t="s">
        <v>8955</v>
      </c>
      <c r="Q2102" s="1" t="s">
        <v>8956</v>
      </c>
      <c r="R2102" s="1" t="s">
        <v>8975</v>
      </c>
      <c r="S2102" s="1" t="s">
        <v>20055</v>
      </c>
      <c r="T2102" s="1" t="s">
        <v>7</v>
      </c>
      <c r="U2102" s="1" t="s">
        <v>3658</v>
      </c>
    </row>
    <row r="2103" spans="1:21" x14ac:dyDescent="0.2">
      <c r="A2103" s="88" t="s">
        <v>6995</v>
      </c>
      <c r="B2103" s="88" t="e">
        <f>VLOOKUP(C2103,#REF!,1,0)</f>
        <v>#REF!</v>
      </c>
      <c r="C2103" s="1" t="s">
        <v>6996</v>
      </c>
      <c r="D2103" s="1" t="s">
        <v>6997</v>
      </c>
      <c r="E2103" s="1" t="s">
        <v>9317</v>
      </c>
      <c r="F2103" s="1" t="s">
        <v>9060</v>
      </c>
      <c r="G2103" t="s">
        <v>8959</v>
      </c>
      <c r="H2103" s="1" t="s">
        <v>9092</v>
      </c>
      <c r="I2103" s="1" t="s">
        <v>8949</v>
      </c>
      <c r="J2103" s="2" t="s">
        <v>21314</v>
      </c>
      <c r="K2103" s="1" t="s">
        <v>21314</v>
      </c>
      <c r="L2103" s="1" t="s">
        <v>21600</v>
      </c>
      <c r="M2103" s="1">
        <v>968</v>
      </c>
      <c r="N2103" s="1" t="s">
        <v>20919</v>
      </c>
      <c r="O2103" s="1" t="s">
        <v>8954</v>
      </c>
      <c r="P2103" s="1" t="s">
        <v>8955</v>
      </c>
      <c r="Q2103" s="1" t="s">
        <v>8956</v>
      </c>
      <c r="R2103" s="1" t="s">
        <v>9103</v>
      </c>
      <c r="S2103" s="1" t="s">
        <v>20056</v>
      </c>
      <c r="T2103" s="1" t="s">
        <v>11</v>
      </c>
      <c r="U2103" s="1" t="s">
        <v>5494</v>
      </c>
    </row>
    <row r="2104" spans="1:21" x14ac:dyDescent="0.2">
      <c r="A2104" s="88" t="s">
        <v>17808</v>
      </c>
      <c r="B2104" s="88" t="e">
        <f>VLOOKUP(C2104,#REF!,1,0)</f>
        <v>#REF!</v>
      </c>
      <c r="C2104" s="1" t="s">
        <v>6998</v>
      </c>
      <c r="D2104" s="1" t="s">
        <v>6999</v>
      </c>
      <c r="E2104" s="1" t="s">
        <v>9380</v>
      </c>
      <c r="F2104" s="1" t="s">
        <v>8959</v>
      </c>
      <c r="G2104" t="s">
        <v>8959</v>
      </c>
      <c r="H2104" s="1" t="s">
        <v>9154</v>
      </c>
      <c r="I2104" s="1" t="s">
        <v>9155</v>
      </c>
      <c r="J2104" s="2" t="s">
        <v>21319</v>
      </c>
      <c r="K2104" s="1" t="s">
        <v>21319</v>
      </c>
      <c r="L2104" s="1" t="s">
        <v>21600</v>
      </c>
      <c r="M2104" s="1">
        <v>1466</v>
      </c>
      <c r="N2104" s="1" t="s">
        <v>8953</v>
      </c>
      <c r="O2104" s="1" t="s">
        <v>8954</v>
      </c>
      <c r="P2104" s="1" t="s">
        <v>8955</v>
      </c>
      <c r="Q2104" s="1" t="s">
        <v>8956</v>
      </c>
      <c r="R2104" s="1" t="s">
        <v>8975</v>
      </c>
      <c r="S2104" s="1" t="s">
        <v>7000</v>
      </c>
      <c r="T2104" s="1" t="s">
        <v>17</v>
      </c>
      <c r="U2104" s="1" t="s">
        <v>43</v>
      </c>
    </row>
    <row r="2105" spans="1:21" x14ac:dyDescent="0.2">
      <c r="A2105" s="88" t="s">
        <v>17810</v>
      </c>
      <c r="B2105" s="88" t="e">
        <f>VLOOKUP(C2105,#REF!,1,0)</f>
        <v>#REF!</v>
      </c>
      <c r="C2105" s="1" t="s">
        <v>7003</v>
      </c>
      <c r="D2105" s="1" t="s">
        <v>7004</v>
      </c>
      <c r="E2105" s="1" t="s">
        <v>9380</v>
      </c>
      <c r="F2105" s="1" t="s">
        <v>8957</v>
      </c>
      <c r="G2105" t="s">
        <v>8959</v>
      </c>
      <c r="H2105" s="1" t="s">
        <v>9154</v>
      </c>
      <c r="I2105" s="1" t="s">
        <v>11607</v>
      </c>
      <c r="J2105" s="2" t="s">
        <v>21342</v>
      </c>
      <c r="K2105" s="1" t="s">
        <v>21872</v>
      </c>
      <c r="L2105" s="1" t="s">
        <v>8951</v>
      </c>
      <c r="M2105" s="1">
        <v>3087</v>
      </c>
      <c r="N2105" s="1" t="s">
        <v>9059</v>
      </c>
      <c r="O2105" s="1" t="s">
        <v>8989</v>
      </c>
      <c r="P2105" s="1" t="s">
        <v>8955</v>
      </c>
      <c r="Q2105" s="1" t="s">
        <v>8956</v>
      </c>
      <c r="R2105" s="1" t="s">
        <v>8975</v>
      </c>
      <c r="S2105" s="1" t="s">
        <v>20058</v>
      </c>
      <c r="T2105" s="1" t="s">
        <v>17</v>
      </c>
      <c r="U2105" s="1" t="s">
        <v>61</v>
      </c>
    </row>
    <row r="2106" spans="1:21" x14ac:dyDescent="0.2">
      <c r="A2106" s="88" t="s">
        <v>17811</v>
      </c>
      <c r="B2106" s="88" t="e">
        <f>VLOOKUP(C2106,#REF!,1,0)</f>
        <v>#REF!</v>
      </c>
      <c r="C2106" s="1" t="s">
        <v>7005</v>
      </c>
      <c r="D2106" s="1" t="s">
        <v>7006</v>
      </c>
      <c r="E2106" s="1" t="s">
        <v>9317</v>
      </c>
      <c r="F2106" s="1" t="s">
        <v>8957</v>
      </c>
      <c r="G2106" t="s">
        <v>8959</v>
      </c>
      <c r="H2106" s="1" t="s">
        <v>9605</v>
      </c>
      <c r="I2106" s="1" t="s">
        <v>9155</v>
      </c>
      <c r="J2106" s="2" t="s">
        <v>9036</v>
      </c>
      <c r="K2106" s="1" t="s">
        <v>9036</v>
      </c>
      <c r="L2106" s="1" t="s">
        <v>8951</v>
      </c>
      <c r="M2106" s="1">
        <v>29000</v>
      </c>
      <c r="N2106" s="1" t="s">
        <v>8953</v>
      </c>
      <c r="O2106" s="1" t="s">
        <v>8989</v>
      </c>
      <c r="P2106" s="1" t="s">
        <v>8955</v>
      </c>
      <c r="Q2106" s="1" t="s">
        <v>8956</v>
      </c>
      <c r="R2106" s="1" t="s">
        <v>8958</v>
      </c>
      <c r="S2106" s="1" t="s">
        <v>7007</v>
      </c>
      <c r="T2106" s="1" t="s">
        <v>11</v>
      </c>
      <c r="U2106" s="1" t="s">
        <v>1068</v>
      </c>
    </row>
    <row r="2107" spans="1:21" x14ac:dyDescent="0.2">
      <c r="A2107" s="88" t="s">
        <v>17813</v>
      </c>
      <c r="B2107" s="88" t="e">
        <f>VLOOKUP(C2107,#REF!,1,0)</f>
        <v>#REF!</v>
      </c>
      <c r="C2107" s="1" t="s">
        <v>7010</v>
      </c>
      <c r="D2107" s="1" t="s">
        <v>7011</v>
      </c>
      <c r="E2107" s="1" t="s">
        <v>9010</v>
      </c>
      <c r="F2107" s="1" t="s">
        <v>9060</v>
      </c>
      <c r="G2107" t="s">
        <v>8959</v>
      </c>
      <c r="H2107" s="1" t="s">
        <v>9092</v>
      </c>
      <c r="I2107" s="1" t="s">
        <v>9121</v>
      </c>
      <c r="J2107" s="2" t="s">
        <v>11788</v>
      </c>
      <c r="K2107" s="1" t="s">
        <v>11788</v>
      </c>
      <c r="L2107" s="1" t="s">
        <v>9292</v>
      </c>
      <c r="M2107" s="1">
        <v>8325</v>
      </c>
      <c r="N2107" s="1" t="s">
        <v>8953</v>
      </c>
      <c r="O2107" s="1" t="s">
        <v>8989</v>
      </c>
      <c r="P2107" s="1" t="s">
        <v>8955</v>
      </c>
      <c r="Q2107" s="1" t="s">
        <v>8956</v>
      </c>
      <c r="R2107" s="1" t="s">
        <v>8975</v>
      </c>
      <c r="S2107" s="1" t="s">
        <v>7012</v>
      </c>
      <c r="T2107" s="1" t="s">
        <v>17</v>
      </c>
      <c r="U2107" s="1" t="s">
        <v>1238</v>
      </c>
    </row>
    <row r="2108" spans="1:21" x14ac:dyDescent="0.2">
      <c r="A2108" s="88" t="s">
        <v>17814</v>
      </c>
      <c r="B2108" s="88" t="e">
        <f>VLOOKUP(C2108,#REF!,1,0)</f>
        <v>#REF!</v>
      </c>
      <c r="C2108" s="1" t="s">
        <v>7013</v>
      </c>
      <c r="D2108" s="1" t="s">
        <v>7014</v>
      </c>
      <c r="E2108" s="1" t="s">
        <v>9333</v>
      </c>
      <c r="F2108" s="1" t="s">
        <v>8959</v>
      </c>
      <c r="G2108" t="s">
        <v>9009</v>
      </c>
      <c r="H2108" s="1" t="s">
        <v>9049</v>
      </c>
      <c r="I2108" s="1" t="s">
        <v>9050</v>
      </c>
      <c r="J2108" s="2" t="s">
        <v>10135</v>
      </c>
      <c r="K2108" s="1" t="s">
        <v>10135</v>
      </c>
      <c r="L2108" s="1" t="s">
        <v>9157</v>
      </c>
      <c r="M2108" s="1">
        <v>9939</v>
      </c>
      <c r="N2108" s="1" t="s">
        <v>8953</v>
      </c>
      <c r="O2108" s="1" t="s">
        <v>8989</v>
      </c>
      <c r="P2108" s="1" t="s">
        <v>8955</v>
      </c>
      <c r="Q2108" s="1" t="s">
        <v>8956</v>
      </c>
      <c r="R2108" s="1" t="s">
        <v>8958</v>
      </c>
      <c r="S2108" s="1" t="s">
        <v>7015</v>
      </c>
      <c r="T2108" s="1" t="s">
        <v>4</v>
      </c>
      <c r="U2108" s="1" t="s">
        <v>110</v>
      </c>
    </row>
    <row r="2109" spans="1:21" x14ac:dyDescent="0.2">
      <c r="A2109" s="88" t="s">
        <v>17815</v>
      </c>
      <c r="B2109" s="88" t="e">
        <f>VLOOKUP(C2109,#REF!,1,0)</f>
        <v>#REF!</v>
      </c>
      <c r="C2109" s="1" t="s">
        <v>7016</v>
      </c>
      <c r="D2109" s="1" t="s">
        <v>7017</v>
      </c>
      <c r="E2109" s="1" t="s">
        <v>9333</v>
      </c>
      <c r="F2109" s="1" t="s">
        <v>8957</v>
      </c>
      <c r="G2109" t="s">
        <v>8959</v>
      </c>
      <c r="H2109" s="1" t="s">
        <v>9035</v>
      </c>
      <c r="I2109" s="1" t="s">
        <v>8998</v>
      </c>
      <c r="J2109" s="2" t="s">
        <v>20805</v>
      </c>
      <c r="K2109" s="1" t="s">
        <v>9212</v>
      </c>
      <c r="L2109" s="1" t="s">
        <v>8951</v>
      </c>
      <c r="M2109" s="1">
        <v>156250</v>
      </c>
      <c r="N2109" s="1" t="s">
        <v>8953</v>
      </c>
      <c r="O2109" s="1" t="s">
        <v>8989</v>
      </c>
      <c r="P2109" s="1" t="s">
        <v>8955</v>
      </c>
      <c r="Q2109" s="1" t="s">
        <v>8956</v>
      </c>
      <c r="R2109" s="1" t="s">
        <v>9103</v>
      </c>
      <c r="S2109" s="1" t="s">
        <v>20060</v>
      </c>
      <c r="T2109" s="1" t="s">
        <v>7</v>
      </c>
      <c r="U2109" s="1" t="s">
        <v>670</v>
      </c>
    </row>
    <row r="2110" spans="1:21" x14ac:dyDescent="0.2">
      <c r="A2110" s="88" t="s">
        <v>17816</v>
      </c>
      <c r="B2110" s="88" t="e">
        <f>VLOOKUP(C2110,#REF!,1,0)</f>
        <v>#REF!</v>
      </c>
      <c r="C2110" s="1" t="s">
        <v>7018</v>
      </c>
      <c r="D2110" s="1" t="s">
        <v>7019</v>
      </c>
      <c r="E2110" s="1" t="s">
        <v>9333</v>
      </c>
      <c r="F2110" s="1" t="s">
        <v>8959</v>
      </c>
      <c r="G2110" t="s">
        <v>8959</v>
      </c>
      <c r="H2110" s="1" t="s">
        <v>9035</v>
      </c>
      <c r="I2110" s="1" t="s">
        <v>9308</v>
      </c>
      <c r="J2110" s="2" t="s">
        <v>20735</v>
      </c>
      <c r="K2110" s="1" t="s">
        <v>21671</v>
      </c>
      <c r="L2110" s="1" t="s">
        <v>8987</v>
      </c>
      <c r="M2110" s="1">
        <v>2000</v>
      </c>
      <c r="N2110" s="1" t="s">
        <v>8953</v>
      </c>
      <c r="O2110" s="1" t="s">
        <v>8989</v>
      </c>
      <c r="P2110" s="1" t="s">
        <v>8955</v>
      </c>
      <c r="Q2110" s="1" t="s">
        <v>8956</v>
      </c>
      <c r="R2110" s="1" t="s">
        <v>8958</v>
      </c>
      <c r="S2110" s="1" t="s">
        <v>20061</v>
      </c>
      <c r="T2110" s="1" t="s">
        <v>7</v>
      </c>
      <c r="U2110" s="1" t="s">
        <v>2434</v>
      </c>
    </row>
    <row r="2111" spans="1:21" x14ac:dyDescent="0.2">
      <c r="A2111" s="88" t="s">
        <v>17817</v>
      </c>
      <c r="B2111" s="88" t="e">
        <f>VLOOKUP(C2111,#REF!,1,0)</f>
        <v>#REF!</v>
      </c>
      <c r="C2111" s="1" t="s">
        <v>7020</v>
      </c>
      <c r="D2111" s="1" t="s">
        <v>7021</v>
      </c>
      <c r="E2111" s="1" t="s">
        <v>9333</v>
      </c>
      <c r="F2111" s="1" t="s">
        <v>8974</v>
      </c>
      <c r="G2111" t="s">
        <v>9009</v>
      </c>
      <c r="H2111" s="1" t="s">
        <v>8984</v>
      </c>
      <c r="I2111" s="1" t="s">
        <v>9131</v>
      </c>
      <c r="J2111" s="2" t="s">
        <v>10135</v>
      </c>
      <c r="K2111" s="1" t="s">
        <v>21772</v>
      </c>
      <c r="L2111" s="1" t="s">
        <v>9292</v>
      </c>
      <c r="M2111" s="1">
        <v>27355</v>
      </c>
      <c r="N2111" s="1" t="s">
        <v>8953</v>
      </c>
      <c r="O2111" s="1" t="s">
        <v>8954</v>
      </c>
      <c r="P2111" s="1" t="s">
        <v>8955</v>
      </c>
      <c r="Q2111" s="1" t="s">
        <v>8956</v>
      </c>
      <c r="R2111" s="1" t="s">
        <v>8975</v>
      </c>
      <c r="S2111" s="1" t="s">
        <v>7022</v>
      </c>
      <c r="T2111" s="1" t="s">
        <v>11</v>
      </c>
      <c r="U2111" s="1" t="s">
        <v>24</v>
      </c>
    </row>
    <row r="2112" spans="1:21" x14ac:dyDescent="0.2">
      <c r="A2112" s="88" t="s">
        <v>17818</v>
      </c>
      <c r="B2112" s="88" t="e">
        <f>VLOOKUP(C2112,#REF!,1,0)</f>
        <v>#REF!</v>
      </c>
      <c r="C2112" s="1" t="s">
        <v>7023</v>
      </c>
      <c r="D2112" s="1" t="s">
        <v>7024</v>
      </c>
      <c r="E2112" s="1" t="s">
        <v>14748</v>
      </c>
      <c r="F2112" s="1" t="s">
        <v>8959</v>
      </c>
      <c r="G2112" t="s">
        <v>8959</v>
      </c>
      <c r="H2112" s="1" t="s">
        <v>9605</v>
      </c>
      <c r="I2112" s="1" t="s">
        <v>9422</v>
      </c>
      <c r="J2112" s="2" t="s">
        <v>11094</v>
      </c>
      <c r="K2112" s="1" t="s">
        <v>21804</v>
      </c>
      <c r="L2112" s="1" t="s">
        <v>8987</v>
      </c>
      <c r="M2112" s="1">
        <v>23916</v>
      </c>
      <c r="N2112" s="1" t="s">
        <v>8953</v>
      </c>
      <c r="O2112" s="1" t="s">
        <v>8989</v>
      </c>
      <c r="P2112" s="1" t="s">
        <v>8955</v>
      </c>
      <c r="Q2112" s="1" t="s">
        <v>8956</v>
      </c>
      <c r="R2112" s="1" t="s">
        <v>9103</v>
      </c>
      <c r="S2112" s="1" t="s">
        <v>7025</v>
      </c>
      <c r="T2112" s="1" t="s">
        <v>17</v>
      </c>
      <c r="U2112" s="1" t="s">
        <v>8</v>
      </c>
    </row>
    <row r="2113" spans="1:21" x14ac:dyDescent="0.2">
      <c r="A2113" s="88" t="s">
        <v>17819</v>
      </c>
      <c r="B2113" s="88" t="e">
        <f>VLOOKUP(C2113,#REF!,1,0)</f>
        <v>#REF!</v>
      </c>
      <c r="C2113" s="1" t="s">
        <v>7026</v>
      </c>
      <c r="D2113" s="1" t="s">
        <v>7027</v>
      </c>
      <c r="E2113" s="1" t="s">
        <v>14748</v>
      </c>
      <c r="F2113" s="1" t="s">
        <v>8959</v>
      </c>
      <c r="G2113" t="s">
        <v>8959</v>
      </c>
      <c r="H2113" s="1" t="s">
        <v>8948</v>
      </c>
      <c r="I2113" s="1" t="s">
        <v>8949</v>
      </c>
      <c r="J2113" s="2" t="s">
        <v>10800</v>
      </c>
      <c r="K2113" s="1" t="s">
        <v>10800</v>
      </c>
      <c r="L2113" s="1" t="s">
        <v>8987</v>
      </c>
      <c r="M2113" s="1">
        <v>3200</v>
      </c>
      <c r="N2113" s="1" t="s">
        <v>8953</v>
      </c>
      <c r="O2113" s="1" t="s">
        <v>8989</v>
      </c>
      <c r="P2113" s="1" t="s">
        <v>8955</v>
      </c>
      <c r="Q2113" s="1" t="s">
        <v>8956</v>
      </c>
      <c r="R2113" s="1" t="s">
        <v>8958</v>
      </c>
      <c r="S2113" s="1" t="s">
        <v>7028</v>
      </c>
      <c r="T2113" s="1" t="s">
        <v>17</v>
      </c>
      <c r="U2113" s="1" t="s">
        <v>43</v>
      </c>
    </row>
    <row r="2114" spans="1:21" x14ac:dyDescent="0.2">
      <c r="A2114" s="88" t="s">
        <v>17820</v>
      </c>
      <c r="B2114" s="88" t="e">
        <f>VLOOKUP(C2114,#REF!,1,0)</f>
        <v>#REF!</v>
      </c>
      <c r="C2114" s="1" t="s">
        <v>7029</v>
      </c>
      <c r="D2114" s="1" t="s">
        <v>7030</v>
      </c>
      <c r="E2114" s="1" t="s">
        <v>9380</v>
      </c>
      <c r="F2114" s="1" t="s">
        <v>8957</v>
      </c>
      <c r="G2114" t="s">
        <v>8959</v>
      </c>
      <c r="H2114" s="1" t="s">
        <v>20712</v>
      </c>
      <c r="I2114" s="1" t="s">
        <v>8998</v>
      </c>
      <c r="J2114" s="2" t="s">
        <v>21391</v>
      </c>
      <c r="K2114" s="1" t="s">
        <v>21873</v>
      </c>
      <c r="L2114" s="1" t="s">
        <v>21600</v>
      </c>
      <c r="M2114" s="1">
        <v>222</v>
      </c>
      <c r="N2114" s="1" t="s">
        <v>9059</v>
      </c>
      <c r="O2114" s="1" t="s">
        <v>8954</v>
      </c>
      <c r="P2114" s="1" t="s">
        <v>8955</v>
      </c>
      <c r="Q2114" s="1" t="s">
        <v>8956</v>
      </c>
      <c r="R2114" s="1" t="s">
        <v>8958</v>
      </c>
      <c r="S2114" s="1" t="s">
        <v>20062</v>
      </c>
      <c r="T2114" s="1" t="s">
        <v>7</v>
      </c>
      <c r="U2114" s="1" t="s">
        <v>126</v>
      </c>
    </row>
    <row r="2115" spans="1:21" x14ac:dyDescent="0.2">
      <c r="A2115" s="88" t="s">
        <v>17821</v>
      </c>
      <c r="B2115" s="88" t="e">
        <f>VLOOKUP(C2115,#REF!,1,0)</f>
        <v>#REF!</v>
      </c>
      <c r="C2115" s="1" t="s">
        <v>7035</v>
      </c>
      <c r="D2115" s="1" t="s">
        <v>7036</v>
      </c>
      <c r="E2115" s="1" t="s">
        <v>9333</v>
      </c>
      <c r="F2115" s="1" t="s">
        <v>8957</v>
      </c>
      <c r="G2115" t="s">
        <v>9061</v>
      </c>
      <c r="H2115" s="1" t="s">
        <v>8984</v>
      </c>
      <c r="I2115" s="1" t="s">
        <v>8949</v>
      </c>
      <c r="J2115" s="2" t="s">
        <v>20779</v>
      </c>
      <c r="K2115" s="1" t="s">
        <v>9036</v>
      </c>
      <c r="L2115" s="1" t="s">
        <v>9076</v>
      </c>
      <c r="M2115" s="1">
        <v>127730</v>
      </c>
      <c r="N2115" s="1" t="s">
        <v>20915</v>
      </c>
      <c r="O2115" s="1" t="s">
        <v>8989</v>
      </c>
      <c r="P2115" s="1" t="s">
        <v>8955</v>
      </c>
      <c r="Q2115" s="1" t="s">
        <v>8956</v>
      </c>
      <c r="R2115" s="1" t="s">
        <v>8958</v>
      </c>
      <c r="S2115" s="1" t="s">
        <v>20064</v>
      </c>
      <c r="T2115" s="1" t="s">
        <v>7</v>
      </c>
      <c r="U2115" s="1" t="s">
        <v>3658</v>
      </c>
    </row>
    <row r="2116" spans="1:21" x14ac:dyDescent="0.2">
      <c r="A2116" s="88" t="s">
        <v>17822</v>
      </c>
      <c r="B2116" s="88" t="e">
        <f>VLOOKUP(C2116,#REF!,1,0)</f>
        <v>#REF!</v>
      </c>
      <c r="C2116" s="1" t="s">
        <v>7037</v>
      </c>
      <c r="D2116" s="1" t="s">
        <v>7038</v>
      </c>
      <c r="E2116" s="1" t="s">
        <v>9310</v>
      </c>
      <c r="F2116" s="1" t="s">
        <v>8957</v>
      </c>
      <c r="G2116" t="s">
        <v>9009</v>
      </c>
      <c r="H2116" s="1" t="s">
        <v>9049</v>
      </c>
      <c r="I2116" s="1" t="s">
        <v>9325</v>
      </c>
      <c r="J2116" s="2" t="s">
        <v>9955</v>
      </c>
      <c r="K2116" s="1" t="s">
        <v>9955</v>
      </c>
      <c r="L2116" s="1" t="s">
        <v>9133</v>
      </c>
      <c r="M2116" s="1">
        <v>9121</v>
      </c>
      <c r="N2116" s="1" t="s">
        <v>8953</v>
      </c>
      <c r="O2116" s="1" t="s">
        <v>8989</v>
      </c>
      <c r="P2116" s="1" t="s">
        <v>8955</v>
      </c>
      <c r="Q2116" s="1" t="s">
        <v>8956</v>
      </c>
      <c r="R2116" s="1" t="s">
        <v>8958</v>
      </c>
      <c r="S2116" s="1" t="s">
        <v>7039</v>
      </c>
      <c r="T2116" s="1" t="s">
        <v>17</v>
      </c>
      <c r="U2116" s="1" t="s">
        <v>1303</v>
      </c>
    </row>
    <row r="2117" spans="1:21" x14ac:dyDescent="0.2">
      <c r="A2117" s="88" t="s">
        <v>17823</v>
      </c>
      <c r="B2117" s="88" t="e">
        <f>VLOOKUP(C2117,#REF!,1,0)</f>
        <v>#REF!</v>
      </c>
      <c r="C2117" s="1" t="s">
        <v>7040</v>
      </c>
      <c r="D2117" s="1" t="s">
        <v>7041</v>
      </c>
      <c r="E2117" s="1" t="s">
        <v>18502</v>
      </c>
      <c r="F2117" s="1" t="s">
        <v>8957</v>
      </c>
      <c r="G2117" t="s">
        <v>8959</v>
      </c>
      <c r="H2117" s="1" t="s">
        <v>9035</v>
      </c>
      <c r="I2117" s="1" t="s">
        <v>8998</v>
      </c>
      <c r="J2117" s="2" t="s">
        <v>20779</v>
      </c>
      <c r="K2117" s="1" t="s">
        <v>9036</v>
      </c>
      <c r="L2117" s="1" t="s">
        <v>8951</v>
      </c>
      <c r="M2117" s="1">
        <v>208</v>
      </c>
      <c r="N2117" s="1" t="s">
        <v>9059</v>
      </c>
      <c r="O2117" s="1" t="s">
        <v>8954</v>
      </c>
      <c r="P2117" s="1" t="s">
        <v>8955</v>
      </c>
      <c r="Q2117" s="1" t="s">
        <v>8956</v>
      </c>
      <c r="R2117" s="1" t="s">
        <v>9103</v>
      </c>
      <c r="S2117" s="1" t="s">
        <v>20065</v>
      </c>
      <c r="T2117" s="1" t="s">
        <v>17</v>
      </c>
      <c r="U2117" s="1" t="s">
        <v>234</v>
      </c>
    </row>
    <row r="2118" spans="1:21" x14ac:dyDescent="0.2">
      <c r="A2118" s="88" t="s">
        <v>17824</v>
      </c>
      <c r="B2118" s="88"/>
      <c r="C2118" s="1" t="s">
        <v>7042</v>
      </c>
      <c r="D2118" s="1" t="s">
        <v>7043</v>
      </c>
      <c r="E2118" s="1" t="e">
        <v>#N/A</v>
      </c>
      <c r="F2118" s="1" t="e">
        <v>#N/A</v>
      </c>
      <c r="G2118" t="e">
        <v>#N/A</v>
      </c>
      <c r="H2118" s="1" t="e">
        <v>#N/A</v>
      </c>
      <c r="I2118" s="1" t="e">
        <v>#N/A</v>
      </c>
      <c r="J2118" s="2" t="e">
        <v>#N/A</v>
      </c>
      <c r="K2118" s="1" t="e">
        <v>#N/A</v>
      </c>
      <c r="L2118" s="1" t="e">
        <v>#N/A</v>
      </c>
      <c r="M2118" s="1" t="e">
        <v>#N/A</v>
      </c>
      <c r="N2118" s="1" t="e">
        <v>#N/A</v>
      </c>
      <c r="O2118" s="1" t="e">
        <v>#N/A</v>
      </c>
      <c r="P2118" s="1" t="s">
        <v>8955</v>
      </c>
      <c r="Q2118" s="1" t="s">
        <v>8956</v>
      </c>
      <c r="R2118" s="1" t="s">
        <v>8958</v>
      </c>
      <c r="S2118" s="1" t="s">
        <v>20066</v>
      </c>
      <c r="T2118" s="1" t="s">
        <v>252</v>
      </c>
      <c r="U2118" s="1" t="s">
        <v>43</v>
      </c>
    </row>
    <row r="2119" spans="1:21" x14ac:dyDescent="0.2">
      <c r="A2119" s="88" t="s">
        <v>17825</v>
      </c>
      <c r="B2119" s="88" t="e">
        <f>VLOOKUP(C2119,#REF!,1,0)</f>
        <v>#REF!</v>
      </c>
      <c r="C2119" s="1" t="s">
        <v>7044</v>
      </c>
      <c r="D2119" s="1" t="s">
        <v>7045</v>
      </c>
      <c r="E2119" s="1" t="s">
        <v>13122</v>
      </c>
      <c r="F2119" s="1" t="s">
        <v>8957</v>
      </c>
      <c r="G2119" t="s">
        <v>9061</v>
      </c>
      <c r="H2119" s="1" t="s">
        <v>9154</v>
      </c>
      <c r="I2119" s="1" t="s">
        <v>8949</v>
      </c>
      <c r="J2119" s="2" t="s">
        <v>9036</v>
      </c>
      <c r="K2119" s="1" t="s">
        <v>9036</v>
      </c>
      <c r="L2119" s="1" t="s">
        <v>21600</v>
      </c>
      <c r="M2119" s="1">
        <v>200</v>
      </c>
      <c r="N2119" s="1" t="s">
        <v>9059</v>
      </c>
      <c r="O2119" s="1" t="s">
        <v>8989</v>
      </c>
      <c r="P2119" s="1" t="s">
        <v>8955</v>
      </c>
      <c r="Q2119" s="1" t="s">
        <v>8956</v>
      </c>
      <c r="R2119" s="1" t="s">
        <v>8958</v>
      </c>
      <c r="S2119" s="1" t="s">
        <v>7046</v>
      </c>
      <c r="T2119" s="1" t="s">
        <v>4</v>
      </c>
      <c r="U2119" s="1" t="s">
        <v>126</v>
      </c>
    </row>
    <row r="2120" spans="1:21" x14ac:dyDescent="0.2">
      <c r="A2120" s="88" t="s">
        <v>17826</v>
      </c>
      <c r="B2120" s="88" t="e">
        <f>VLOOKUP(C2120,#REF!,1,0)</f>
        <v>#REF!</v>
      </c>
      <c r="C2120" s="1" t="s">
        <v>7047</v>
      </c>
      <c r="D2120" s="1" t="s">
        <v>7048</v>
      </c>
      <c r="E2120" s="1" t="s">
        <v>13122</v>
      </c>
      <c r="F2120" s="1" t="s">
        <v>8957</v>
      </c>
      <c r="G2120" t="s">
        <v>8959</v>
      </c>
      <c r="H2120" s="1" t="s">
        <v>9154</v>
      </c>
      <c r="I2120" s="1" t="s">
        <v>8949</v>
      </c>
      <c r="J2120" s="2" t="s">
        <v>9436</v>
      </c>
      <c r="K2120" s="1" t="s">
        <v>9436</v>
      </c>
      <c r="L2120" s="1" t="s">
        <v>21600</v>
      </c>
      <c r="M2120" s="1">
        <v>1140</v>
      </c>
      <c r="N2120" s="1" t="s">
        <v>8953</v>
      </c>
      <c r="O2120" s="1" t="s">
        <v>8954</v>
      </c>
      <c r="P2120" s="1" t="s">
        <v>8955</v>
      </c>
      <c r="Q2120" s="1" t="s">
        <v>8956</v>
      </c>
      <c r="R2120" s="1" t="s">
        <v>8958</v>
      </c>
      <c r="S2120" s="1" t="s">
        <v>7049</v>
      </c>
      <c r="T2120" s="1" t="s">
        <v>11</v>
      </c>
      <c r="U2120" s="1" t="s">
        <v>619</v>
      </c>
    </row>
    <row r="2121" spans="1:21" x14ac:dyDescent="0.2">
      <c r="A2121" s="88" t="s">
        <v>17828</v>
      </c>
      <c r="B2121" s="88" t="e">
        <f>VLOOKUP(C2121,#REF!,1,0)</f>
        <v>#REF!</v>
      </c>
      <c r="C2121" s="1" t="s">
        <v>7056</v>
      </c>
      <c r="D2121" s="1" t="s">
        <v>7057</v>
      </c>
      <c r="E2121" s="1" t="s">
        <v>9333</v>
      </c>
      <c r="F2121" s="1" t="s">
        <v>8959</v>
      </c>
      <c r="G2121" t="s">
        <v>8959</v>
      </c>
      <c r="H2121" s="1" t="s">
        <v>9252</v>
      </c>
      <c r="I2121" s="1" t="s">
        <v>8971</v>
      </c>
      <c r="J2121" s="2" t="s">
        <v>21392</v>
      </c>
      <c r="K2121" s="1" t="s">
        <v>21676</v>
      </c>
      <c r="L2121" s="1" t="s">
        <v>8987</v>
      </c>
      <c r="M2121" s="1">
        <v>1536</v>
      </c>
      <c r="N2121" s="1" t="s">
        <v>8953</v>
      </c>
      <c r="O2121" s="1" t="s">
        <v>8989</v>
      </c>
      <c r="P2121" s="1" t="s">
        <v>8955</v>
      </c>
      <c r="Q2121" s="1" t="s">
        <v>8956</v>
      </c>
      <c r="R2121" s="1" t="s">
        <v>8958</v>
      </c>
      <c r="S2121" s="1" t="s">
        <v>20069</v>
      </c>
      <c r="T2121" s="1" t="s">
        <v>17</v>
      </c>
      <c r="U2121" s="1" t="s">
        <v>378</v>
      </c>
    </row>
    <row r="2122" spans="1:21" x14ac:dyDescent="0.2">
      <c r="A2122" s="88" t="s">
        <v>17829</v>
      </c>
      <c r="B2122" s="88" t="e">
        <f>VLOOKUP(C2122,#REF!,1,0)</f>
        <v>#REF!</v>
      </c>
      <c r="C2122" s="1" t="s">
        <v>7058</v>
      </c>
      <c r="D2122" s="1" t="s">
        <v>7059</v>
      </c>
      <c r="E2122" s="1" t="s">
        <v>9333</v>
      </c>
      <c r="F2122" s="1" t="s">
        <v>8959</v>
      </c>
      <c r="G2122" t="s">
        <v>9061</v>
      </c>
      <c r="H2122" s="1" t="s">
        <v>9075</v>
      </c>
      <c r="I2122" s="1" t="s">
        <v>8998</v>
      </c>
      <c r="J2122" s="2" t="s">
        <v>18489</v>
      </c>
      <c r="K2122" s="1" t="s">
        <v>21673</v>
      </c>
      <c r="L2122" s="1" t="s">
        <v>8987</v>
      </c>
      <c r="M2122" s="1">
        <v>49113</v>
      </c>
      <c r="N2122" s="1" t="s">
        <v>8953</v>
      </c>
      <c r="O2122" s="1" t="s">
        <v>8989</v>
      </c>
      <c r="P2122" s="1" t="s">
        <v>8955</v>
      </c>
      <c r="Q2122" s="1" t="s">
        <v>8956</v>
      </c>
      <c r="R2122" s="1" t="s">
        <v>8975</v>
      </c>
      <c r="S2122" s="1" t="s">
        <v>20070</v>
      </c>
      <c r="T2122" s="1" t="s">
        <v>7</v>
      </c>
      <c r="U2122" s="1" t="s">
        <v>496</v>
      </c>
    </row>
    <row r="2123" spans="1:21" x14ac:dyDescent="0.2">
      <c r="A2123" s="88" t="s">
        <v>17830</v>
      </c>
      <c r="B2123" s="88" t="e">
        <f>VLOOKUP(C2123,#REF!,1,0)</f>
        <v>#REF!</v>
      </c>
      <c r="C2123" s="1" t="s">
        <v>7060</v>
      </c>
      <c r="D2123" s="1" t="s">
        <v>7061</v>
      </c>
      <c r="E2123" s="1" t="s">
        <v>9310</v>
      </c>
      <c r="F2123" s="1" t="s">
        <v>8957</v>
      </c>
      <c r="G2123" t="s">
        <v>8959</v>
      </c>
      <c r="H2123" s="1" t="s">
        <v>9605</v>
      </c>
      <c r="I2123" s="1" t="s">
        <v>8998</v>
      </c>
      <c r="J2123" s="2" t="s">
        <v>20785</v>
      </c>
      <c r="K2123" s="1" t="s">
        <v>18491</v>
      </c>
      <c r="L2123" s="1" t="s">
        <v>9076</v>
      </c>
      <c r="M2123" s="1">
        <v>5760</v>
      </c>
      <c r="N2123" s="1" t="s">
        <v>8953</v>
      </c>
      <c r="O2123" s="1" t="s">
        <v>8989</v>
      </c>
      <c r="P2123" s="1" t="s">
        <v>8955</v>
      </c>
      <c r="Q2123" s="1" t="s">
        <v>8956</v>
      </c>
      <c r="R2123" s="1" t="s">
        <v>8975</v>
      </c>
      <c r="S2123" s="1" t="s">
        <v>20071</v>
      </c>
      <c r="T2123" s="1" t="s">
        <v>17</v>
      </c>
      <c r="U2123" s="1" t="s">
        <v>1010</v>
      </c>
    </row>
    <row r="2124" spans="1:21" x14ac:dyDescent="0.2">
      <c r="A2124" s="88" t="s">
        <v>17831</v>
      </c>
      <c r="B2124" s="88" t="e">
        <f>VLOOKUP(C2124,#REF!,1,0)</f>
        <v>#REF!</v>
      </c>
      <c r="C2124" s="1" t="s">
        <v>7065</v>
      </c>
      <c r="D2124" s="1" t="s">
        <v>7066</v>
      </c>
      <c r="E2124" s="1" t="s">
        <v>9310</v>
      </c>
      <c r="F2124" s="1" t="s">
        <v>8957</v>
      </c>
      <c r="G2124" t="s">
        <v>8959</v>
      </c>
      <c r="H2124" s="1" t="s">
        <v>9100</v>
      </c>
      <c r="I2124" s="1" t="s">
        <v>9155</v>
      </c>
      <c r="J2124" s="2" t="s">
        <v>10492</v>
      </c>
      <c r="K2124" s="1" t="s">
        <v>21645</v>
      </c>
      <c r="L2124" s="1" t="s">
        <v>21600</v>
      </c>
      <c r="M2124" s="1">
        <v>59</v>
      </c>
      <c r="N2124" s="1" t="s">
        <v>9059</v>
      </c>
      <c r="O2124" s="1" t="s">
        <v>8989</v>
      </c>
      <c r="P2124" s="1" t="s">
        <v>8955</v>
      </c>
      <c r="Q2124" s="1" t="s">
        <v>8956</v>
      </c>
      <c r="R2124" s="1" t="s">
        <v>8958</v>
      </c>
      <c r="S2124" s="1" t="s">
        <v>20073</v>
      </c>
      <c r="T2124" s="1" t="s">
        <v>7</v>
      </c>
      <c r="U2124" s="1" t="s">
        <v>147</v>
      </c>
    </row>
    <row r="2125" spans="1:21" x14ac:dyDescent="0.2">
      <c r="A2125" s="88" t="s">
        <v>17832</v>
      </c>
      <c r="B2125" s="88" t="e">
        <f>VLOOKUP(C2125,#REF!,1,0)</f>
        <v>#REF!</v>
      </c>
      <c r="C2125" s="1" t="s">
        <v>7070</v>
      </c>
      <c r="D2125" s="1" t="s">
        <v>7071</v>
      </c>
      <c r="E2125" s="1" t="s">
        <v>9380</v>
      </c>
      <c r="F2125" s="1" t="s">
        <v>8957</v>
      </c>
      <c r="G2125" t="s">
        <v>9061</v>
      </c>
      <c r="H2125" s="1" t="s">
        <v>9035</v>
      </c>
      <c r="I2125" s="1" t="s">
        <v>8998</v>
      </c>
      <c r="J2125" s="2" t="s">
        <v>20830</v>
      </c>
      <c r="K2125" s="1" t="s">
        <v>9041</v>
      </c>
      <c r="L2125" s="1" t="s">
        <v>8951</v>
      </c>
      <c r="M2125" s="1">
        <v>2153</v>
      </c>
      <c r="N2125" s="1" t="s">
        <v>8953</v>
      </c>
      <c r="O2125" s="1" t="s">
        <v>8954</v>
      </c>
      <c r="P2125" s="1" t="s">
        <v>8955</v>
      </c>
      <c r="Q2125" s="1" t="s">
        <v>8956</v>
      </c>
      <c r="R2125" s="1" t="s">
        <v>8958</v>
      </c>
      <c r="S2125" s="1" t="s">
        <v>20074</v>
      </c>
      <c r="T2125" s="1" t="s">
        <v>7</v>
      </c>
      <c r="U2125" s="1" t="s">
        <v>686</v>
      </c>
    </row>
    <row r="2126" spans="1:21" x14ac:dyDescent="0.2">
      <c r="A2126" s="88" t="s">
        <v>17833</v>
      </c>
      <c r="B2126" s="88" t="e">
        <f>VLOOKUP(C2126,#REF!,1,0)</f>
        <v>#REF!</v>
      </c>
      <c r="C2126" s="1" t="s">
        <v>7072</v>
      </c>
      <c r="D2126" s="1" t="s">
        <v>7073</v>
      </c>
      <c r="E2126" s="1" t="s">
        <v>9310</v>
      </c>
      <c r="F2126" s="1" t="s">
        <v>8957</v>
      </c>
      <c r="G2126" t="s">
        <v>8959</v>
      </c>
      <c r="H2126" s="1" t="s">
        <v>20714</v>
      </c>
      <c r="I2126" s="1" t="s">
        <v>9050</v>
      </c>
      <c r="J2126" s="2" t="s">
        <v>10492</v>
      </c>
      <c r="K2126" s="1" t="s">
        <v>10492</v>
      </c>
      <c r="L2126" s="1" t="s">
        <v>21600</v>
      </c>
      <c r="M2126" s="1">
        <v>133</v>
      </c>
      <c r="N2126" s="1" t="s">
        <v>8953</v>
      </c>
      <c r="O2126" s="1" t="s">
        <v>8954</v>
      </c>
      <c r="P2126" s="1" t="s">
        <v>8955</v>
      </c>
      <c r="Q2126" s="1" t="s">
        <v>8956</v>
      </c>
      <c r="R2126" s="1" t="s">
        <v>8958</v>
      </c>
      <c r="S2126" s="1" t="s">
        <v>20075</v>
      </c>
      <c r="T2126" s="1" t="s">
        <v>17</v>
      </c>
      <c r="U2126" s="1" t="s">
        <v>74</v>
      </c>
    </row>
    <row r="2127" spans="1:21" x14ac:dyDescent="0.2">
      <c r="A2127" s="88" t="s">
        <v>17834</v>
      </c>
      <c r="B2127" s="88" t="e">
        <f>VLOOKUP(C2127,#REF!,1,0)</f>
        <v>#REF!</v>
      </c>
      <c r="C2127" s="1" t="s">
        <v>7074</v>
      </c>
      <c r="D2127" s="1" t="s">
        <v>7075</v>
      </c>
      <c r="E2127" s="1" t="s">
        <v>9310</v>
      </c>
      <c r="F2127" s="1" t="s">
        <v>9060</v>
      </c>
      <c r="G2127" t="s">
        <v>8959</v>
      </c>
      <c r="H2127" s="1" t="s">
        <v>9605</v>
      </c>
      <c r="I2127" s="1" t="s">
        <v>9101</v>
      </c>
      <c r="J2127" s="2" t="s">
        <v>20785</v>
      </c>
      <c r="K2127" s="1" t="s">
        <v>18491</v>
      </c>
      <c r="L2127" s="1" t="s">
        <v>9076</v>
      </c>
      <c r="M2127" s="1">
        <v>65268</v>
      </c>
      <c r="N2127" s="1" t="s">
        <v>20915</v>
      </c>
      <c r="O2127" s="1" t="s">
        <v>8989</v>
      </c>
      <c r="P2127" s="1" t="s">
        <v>8955</v>
      </c>
      <c r="Q2127" s="1" t="s">
        <v>8956</v>
      </c>
      <c r="R2127" s="1" t="s">
        <v>8958</v>
      </c>
      <c r="S2127" s="1" t="s">
        <v>20076</v>
      </c>
      <c r="T2127" s="1" t="s">
        <v>17</v>
      </c>
      <c r="U2127" s="1" t="s">
        <v>1010</v>
      </c>
    </row>
    <row r="2128" spans="1:21" x14ac:dyDescent="0.2">
      <c r="A2128" s="95" t="s">
        <v>17835</v>
      </c>
      <c r="B2128" s="88" t="e">
        <f>VLOOKUP(C2128,#REF!,1,0)</f>
        <v>#REF!</v>
      </c>
      <c r="C2128" s="1" t="s">
        <v>7076</v>
      </c>
      <c r="D2128" s="1" t="s">
        <v>7077</v>
      </c>
      <c r="E2128" s="1" t="s">
        <v>18502</v>
      </c>
      <c r="F2128" s="1" t="s">
        <v>9060</v>
      </c>
      <c r="G2128" t="s">
        <v>8959</v>
      </c>
      <c r="H2128" s="1" t="s">
        <v>8984</v>
      </c>
      <c r="I2128" s="1" t="s">
        <v>8998</v>
      </c>
      <c r="J2128" s="2" t="s">
        <v>10492</v>
      </c>
      <c r="K2128" s="1" t="s">
        <v>10492</v>
      </c>
      <c r="L2128" s="1" t="s">
        <v>21600</v>
      </c>
      <c r="M2128" s="1">
        <v>860</v>
      </c>
      <c r="N2128" s="1" t="s">
        <v>9059</v>
      </c>
      <c r="O2128" s="1" t="s">
        <v>8954</v>
      </c>
      <c r="P2128" s="1" t="s">
        <v>8955</v>
      </c>
      <c r="Q2128" s="1" t="s">
        <v>8956</v>
      </c>
      <c r="R2128" s="1" t="s">
        <v>8975</v>
      </c>
      <c r="S2128" s="1" t="s">
        <v>20691</v>
      </c>
      <c r="T2128" s="1" t="s">
        <v>7</v>
      </c>
      <c r="U2128" s="1" t="s">
        <v>286</v>
      </c>
    </row>
    <row r="2129" spans="1:21" x14ac:dyDescent="0.2">
      <c r="A2129" s="88" t="s">
        <v>17836</v>
      </c>
      <c r="B2129" s="88"/>
      <c r="C2129" s="1" t="s">
        <v>7078</v>
      </c>
      <c r="D2129" s="1" t="s">
        <v>7079</v>
      </c>
      <c r="E2129" s="1" t="e">
        <v>#N/A</v>
      </c>
      <c r="F2129" s="1" t="e">
        <v>#N/A</v>
      </c>
      <c r="G2129" t="e">
        <v>#N/A</v>
      </c>
      <c r="H2129" s="1" t="e">
        <v>#N/A</v>
      </c>
      <c r="I2129" s="1" t="e">
        <v>#N/A</v>
      </c>
      <c r="J2129" s="2" t="e">
        <v>#N/A</v>
      </c>
      <c r="K2129" s="1" t="e">
        <v>#N/A</v>
      </c>
      <c r="L2129" s="1" t="e">
        <v>#N/A</v>
      </c>
      <c r="M2129" s="1" t="e">
        <v>#N/A</v>
      </c>
      <c r="N2129" s="1" t="e">
        <v>#N/A</v>
      </c>
      <c r="O2129" s="1" t="e">
        <v>#N/A</v>
      </c>
      <c r="P2129" s="1" t="s">
        <v>8955</v>
      </c>
      <c r="Q2129" s="1" t="s">
        <v>8956</v>
      </c>
      <c r="R2129" s="1" t="s">
        <v>8975</v>
      </c>
      <c r="S2129" s="1" t="s">
        <v>20692</v>
      </c>
      <c r="T2129" s="1" t="s">
        <v>252</v>
      </c>
      <c r="U2129" s="1" t="s">
        <v>392</v>
      </c>
    </row>
    <row r="2130" spans="1:21" x14ac:dyDescent="0.2">
      <c r="A2130" s="88" t="s">
        <v>17837</v>
      </c>
      <c r="B2130" s="88" t="e">
        <f>VLOOKUP(C2130,#REF!,1,0)</f>
        <v>#REF!</v>
      </c>
      <c r="C2130" s="1" t="s">
        <v>7080</v>
      </c>
      <c r="D2130" s="1" t="s">
        <v>7081</v>
      </c>
      <c r="E2130" s="1" t="s">
        <v>9310</v>
      </c>
      <c r="F2130" s="1" t="s">
        <v>8957</v>
      </c>
      <c r="G2130" t="s">
        <v>8959</v>
      </c>
      <c r="H2130" s="1" t="s">
        <v>9252</v>
      </c>
      <c r="I2130" s="1" t="s">
        <v>8971</v>
      </c>
      <c r="J2130" s="2" t="s">
        <v>21320</v>
      </c>
      <c r="K2130" s="1" t="s">
        <v>21874</v>
      </c>
      <c r="L2130" s="1" t="s">
        <v>8951</v>
      </c>
      <c r="M2130" s="1">
        <v>2280</v>
      </c>
      <c r="N2130" s="1" t="s">
        <v>8953</v>
      </c>
      <c r="O2130" s="1" t="s">
        <v>8954</v>
      </c>
      <c r="P2130" s="1" t="s">
        <v>8955</v>
      </c>
      <c r="Q2130" s="1" t="s">
        <v>8956</v>
      </c>
      <c r="R2130" s="1" t="s">
        <v>8958</v>
      </c>
      <c r="S2130" s="1" t="s">
        <v>20077</v>
      </c>
      <c r="T2130" s="1" t="s">
        <v>17</v>
      </c>
      <c r="U2130" s="1" t="s">
        <v>234</v>
      </c>
    </row>
    <row r="2131" spans="1:21" x14ac:dyDescent="0.2">
      <c r="A2131" s="88" t="s">
        <v>17838</v>
      </c>
      <c r="B2131" s="88" t="e">
        <f>VLOOKUP(C2131,#REF!,1,0)</f>
        <v>#REF!</v>
      </c>
      <c r="C2131" s="1" t="s">
        <v>7082</v>
      </c>
      <c r="D2131" s="1" t="s">
        <v>7083</v>
      </c>
      <c r="E2131" s="1" t="s">
        <v>9310</v>
      </c>
      <c r="F2131" s="1" t="s">
        <v>8957</v>
      </c>
      <c r="G2131" t="s">
        <v>9183</v>
      </c>
      <c r="H2131" s="1" t="s">
        <v>9154</v>
      </c>
      <c r="I2131" s="1" t="s">
        <v>8949</v>
      </c>
      <c r="J2131" s="2" t="s">
        <v>10517</v>
      </c>
      <c r="K2131" s="1" t="s">
        <v>10517</v>
      </c>
      <c r="L2131" s="1" t="s">
        <v>8951</v>
      </c>
      <c r="M2131" s="1">
        <v>33</v>
      </c>
      <c r="N2131" s="1" t="s">
        <v>9059</v>
      </c>
      <c r="O2131" s="1" t="s">
        <v>8954</v>
      </c>
      <c r="P2131" s="1" t="s">
        <v>8955</v>
      </c>
      <c r="Q2131" s="1" t="s">
        <v>8956</v>
      </c>
      <c r="R2131" s="1" t="s">
        <v>9103</v>
      </c>
      <c r="S2131" s="1" t="s">
        <v>7084</v>
      </c>
      <c r="T2131" s="1" t="s">
        <v>11</v>
      </c>
      <c r="U2131" s="1" t="s">
        <v>1328</v>
      </c>
    </row>
    <row r="2132" spans="1:21" x14ac:dyDescent="0.2">
      <c r="A2132" s="88" t="s">
        <v>17839</v>
      </c>
      <c r="B2132" s="88" t="e">
        <f>VLOOKUP(C2132,#REF!,1,0)</f>
        <v>#REF!</v>
      </c>
      <c r="C2132" s="1" t="s">
        <v>7088</v>
      </c>
      <c r="D2132" s="1" t="s">
        <v>7089</v>
      </c>
      <c r="E2132" s="1" t="s">
        <v>9246</v>
      </c>
      <c r="F2132" s="1" t="s">
        <v>8957</v>
      </c>
      <c r="G2132" t="s">
        <v>9183</v>
      </c>
      <c r="H2132" s="1" t="s">
        <v>9154</v>
      </c>
      <c r="I2132" s="1" t="s">
        <v>8949</v>
      </c>
      <c r="J2132" s="2" t="s">
        <v>8972</v>
      </c>
      <c r="K2132" s="1" t="s">
        <v>21768</v>
      </c>
      <c r="L2132" s="1" t="s">
        <v>9133</v>
      </c>
      <c r="M2132" s="1">
        <v>596</v>
      </c>
      <c r="N2132" s="1" t="s">
        <v>8953</v>
      </c>
      <c r="O2132" s="1" t="s">
        <v>8954</v>
      </c>
      <c r="P2132" s="1" t="s">
        <v>8955</v>
      </c>
      <c r="Q2132" s="1" t="s">
        <v>8956</v>
      </c>
      <c r="R2132" s="1" t="s">
        <v>8975</v>
      </c>
      <c r="S2132" s="1" t="s">
        <v>7090</v>
      </c>
      <c r="T2132" s="1" t="s">
        <v>17</v>
      </c>
      <c r="U2132" s="1" t="s">
        <v>180</v>
      </c>
    </row>
    <row r="2133" spans="1:21" x14ac:dyDescent="0.2">
      <c r="A2133" s="88" t="s">
        <v>17841</v>
      </c>
      <c r="B2133" s="88" t="e">
        <f>VLOOKUP(C2133,#REF!,1,0)</f>
        <v>#REF!</v>
      </c>
      <c r="C2133" s="1" t="s">
        <v>7093</v>
      </c>
      <c r="D2133" s="1" t="s">
        <v>7094</v>
      </c>
      <c r="E2133" s="1" t="s">
        <v>9636</v>
      </c>
      <c r="F2133" s="1" t="s">
        <v>8959</v>
      </c>
      <c r="G2133" t="s">
        <v>8959</v>
      </c>
      <c r="H2133" s="1" t="s">
        <v>8948</v>
      </c>
      <c r="I2133" s="1" t="s">
        <v>8998</v>
      </c>
      <c r="J2133" s="2" t="s">
        <v>20852</v>
      </c>
      <c r="K2133" s="1" t="s">
        <v>21462</v>
      </c>
      <c r="L2133" s="1" t="s">
        <v>21600</v>
      </c>
      <c r="M2133" s="1">
        <v>40</v>
      </c>
      <c r="N2133" s="1" t="s">
        <v>8953</v>
      </c>
      <c r="O2133" s="1" t="s">
        <v>8989</v>
      </c>
      <c r="P2133" s="1" t="s">
        <v>8955</v>
      </c>
      <c r="Q2133" s="1" t="s">
        <v>8956</v>
      </c>
      <c r="R2133" s="1" t="s">
        <v>8958</v>
      </c>
      <c r="S2133" s="1" t="s">
        <v>20080</v>
      </c>
      <c r="T2133" s="1" t="s">
        <v>7</v>
      </c>
      <c r="U2133" s="1" t="s">
        <v>64</v>
      </c>
    </row>
    <row r="2134" spans="1:21" x14ac:dyDescent="0.2">
      <c r="A2134" s="88" t="s">
        <v>17842</v>
      </c>
      <c r="B2134" s="88" t="e">
        <f>VLOOKUP(C2134,#REF!,1,0)</f>
        <v>#REF!</v>
      </c>
      <c r="C2134" s="1" t="s">
        <v>7095</v>
      </c>
      <c r="D2134" s="1" t="s">
        <v>7096</v>
      </c>
      <c r="E2134" s="1" t="s">
        <v>9636</v>
      </c>
      <c r="F2134" s="1" t="s">
        <v>8959</v>
      </c>
      <c r="G2134" t="s">
        <v>8959</v>
      </c>
      <c r="H2134" s="1" t="s">
        <v>8948</v>
      </c>
      <c r="I2134" s="1" t="s">
        <v>8998</v>
      </c>
      <c r="J2134" s="2" t="s">
        <v>9036</v>
      </c>
      <c r="K2134" s="1" t="s">
        <v>9036</v>
      </c>
      <c r="L2134" s="1" t="s">
        <v>21600</v>
      </c>
      <c r="M2134" s="1">
        <v>40</v>
      </c>
      <c r="N2134" s="1" t="s">
        <v>8953</v>
      </c>
      <c r="O2134" s="1" t="s">
        <v>8989</v>
      </c>
      <c r="P2134" s="1" t="s">
        <v>8955</v>
      </c>
      <c r="Q2134" s="1" t="s">
        <v>8956</v>
      </c>
      <c r="R2134" s="1" t="s">
        <v>8975</v>
      </c>
      <c r="S2134" s="1" t="s">
        <v>7097</v>
      </c>
      <c r="T2134" s="1" t="s">
        <v>17</v>
      </c>
      <c r="U2134" s="1" t="s">
        <v>64</v>
      </c>
    </row>
    <row r="2135" spans="1:21" x14ac:dyDescent="0.2">
      <c r="A2135" s="88" t="s">
        <v>17844</v>
      </c>
      <c r="B2135" s="88" t="e">
        <f>VLOOKUP(C2135,#REF!,1,0)</f>
        <v>#REF!</v>
      </c>
      <c r="C2135" s="1" t="s">
        <v>7100</v>
      </c>
      <c r="D2135" s="1" t="s">
        <v>7101</v>
      </c>
      <c r="E2135" s="1" t="s">
        <v>10049</v>
      </c>
      <c r="F2135" s="1" t="s">
        <v>8957</v>
      </c>
      <c r="G2135" t="s">
        <v>8959</v>
      </c>
      <c r="H2135" s="1" t="s">
        <v>9035</v>
      </c>
      <c r="I2135" s="1" t="s">
        <v>9308</v>
      </c>
      <c r="J2135" s="131" t="s">
        <v>21580</v>
      </c>
      <c r="K2135" s="1" t="s">
        <v>21580</v>
      </c>
      <c r="L2135" s="1" t="s">
        <v>8987</v>
      </c>
      <c r="M2135" s="1">
        <v>2135</v>
      </c>
      <c r="N2135" s="1" t="s">
        <v>8953</v>
      </c>
      <c r="O2135" s="1" t="s">
        <v>8954</v>
      </c>
      <c r="P2135" s="1" t="s">
        <v>8955</v>
      </c>
      <c r="Q2135" s="1" t="s">
        <v>8956</v>
      </c>
      <c r="R2135" s="1" t="s">
        <v>8958</v>
      </c>
      <c r="S2135" s="1" t="s">
        <v>20693</v>
      </c>
      <c r="T2135" s="1" t="s">
        <v>7</v>
      </c>
      <c r="U2135" s="1" t="s">
        <v>1381</v>
      </c>
    </row>
    <row r="2136" spans="1:21" x14ac:dyDescent="0.2">
      <c r="A2136" s="88" t="s">
        <v>17846</v>
      </c>
      <c r="B2136" s="88" t="e">
        <f>VLOOKUP(C2136,#REF!,1,0)</f>
        <v>#REF!</v>
      </c>
      <c r="C2136" s="1" t="s">
        <v>7104</v>
      </c>
      <c r="D2136" s="1" t="s">
        <v>7105</v>
      </c>
      <c r="E2136" s="1" t="s">
        <v>9333</v>
      </c>
      <c r="F2136" s="1" t="s">
        <v>8959</v>
      </c>
      <c r="G2136" t="s">
        <v>9061</v>
      </c>
      <c r="H2136" s="1" t="s">
        <v>9154</v>
      </c>
      <c r="I2136" s="1" t="s">
        <v>8998</v>
      </c>
      <c r="J2136" s="2" t="s">
        <v>9036</v>
      </c>
      <c r="K2136" s="1" t="s">
        <v>9036</v>
      </c>
      <c r="L2136" s="1" t="s">
        <v>9076</v>
      </c>
      <c r="M2136" s="1">
        <v>30</v>
      </c>
      <c r="N2136" s="1" t="s">
        <v>9059</v>
      </c>
      <c r="O2136" s="1" t="s">
        <v>8989</v>
      </c>
      <c r="P2136" s="1" t="s">
        <v>8955</v>
      </c>
      <c r="Q2136" s="1" t="s">
        <v>8956</v>
      </c>
      <c r="R2136" s="1" t="s">
        <v>8975</v>
      </c>
      <c r="S2136" s="1" t="s">
        <v>7106</v>
      </c>
      <c r="T2136" s="1" t="s">
        <v>17</v>
      </c>
      <c r="U2136" s="1" t="s">
        <v>147</v>
      </c>
    </row>
    <row r="2137" spans="1:21" x14ac:dyDescent="0.2">
      <c r="A2137" s="88" t="s">
        <v>17847</v>
      </c>
      <c r="B2137" s="88" t="e">
        <f>VLOOKUP(C2137,#REF!,1,0)</f>
        <v>#REF!</v>
      </c>
      <c r="C2137" s="1" t="s">
        <v>7107</v>
      </c>
      <c r="D2137" s="1" t="s">
        <v>7108</v>
      </c>
      <c r="E2137" s="1" t="s">
        <v>18502</v>
      </c>
      <c r="F2137" s="1" t="s">
        <v>8959</v>
      </c>
      <c r="G2137" t="s">
        <v>8959</v>
      </c>
      <c r="H2137" s="1" t="s">
        <v>20714</v>
      </c>
      <c r="I2137" s="1" t="s">
        <v>9155</v>
      </c>
      <c r="J2137" s="2" t="s">
        <v>20785</v>
      </c>
      <c r="K2137" s="1" t="s">
        <v>18491</v>
      </c>
      <c r="L2137" s="1" t="s">
        <v>9076</v>
      </c>
      <c r="M2137" s="1">
        <v>85000</v>
      </c>
      <c r="N2137" s="1" t="s">
        <v>8953</v>
      </c>
      <c r="O2137" s="1" t="s">
        <v>8989</v>
      </c>
      <c r="P2137" s="1" t="s">
        <v>8955</v>
      </c>
      <c r="Q2137" s="1" t="s">
        <v>8956</v>
      </c>
      <c r="R2137" s="1" t="s">
        <v>9103</v>
      </c>
      <c r="S2137" s="1" t="s">
        <v>20083</v>
      </c>
      <c r="T2137" s="1" t="s">
        <v>7</v>
      </c>
      <c r="U2137" s="1" t="s">
        <v>24</v>
      </c>
    </row>
    <row r="2138" spans="1:21" x14ac:dyDescent="0.2">
      <c r="A2138" s="88" t="s">
        <v>17848</v>
      </c>
      <c r="B2138" s="88" t="e">
        <f>VLOOKUP(C2138,#REF!,1,0)</f>
        <v>#REF!</v>
      </c>
      <c r="C2138" s="1" t="s">
        <v>7109</v>
      </c>
      <c r="D2138" s="1" t="s">
        <v>7110</v>
      </c>
      <c r="E2138" s="1" t="s">
        <v>9010</v>
      </c>
      <c r="F2138" s="1" t="s">
        <v>8974</v>
      </c>
      <c r="G2138" t="s">
        <v>9061</v>
      </c>
      <c r="H2138" s="1" t="s">
        <v>9035</v>
      </c>
      <c r="I2138" s="1" t="s">
        <v>9308</v>
      </c>
      <c r="J2138" s="2" t="s">
        <v>9036</v>
      </c>
      <c r="K2138" s="1" t="s">
        <v>9036</v>
      </c>
      <c r="L2138" s="1" t="s">
        <v>8951</v>
      </c>
      <c r="M2138" s="1">
        <v>13292</v>
      </c>
      <c r="N2138" s="1" t="s">
        <v>8953</v>
      </c>
      <c r="O2138" s="1" t="s">
        <v>8954</v>
      </c>
      <c r="P2138" s="1" t="s">
        <v>8955</v>
      </c>
      <c r="Q2138" s="1" t="s">
        <v>8956</v>
      </c>
      <c r="R2138" s="1" t="s">
        <v>9103</v>
      </c>
      <c r="S2138" s="1" t="s">
        <v>7111</v>
      </c>
      <c r="T2138" s="1" t="s">
        <v>11</v>
      </c>
      <c r="U2138" s="1" t="s">
        <v>771</v>
      </c>
    </row>
    <row r="2139" spans="1:21" x14ac:dyDescent="0.2">
      <c r="A2139" s="88" t="s">
        <v>17849</v>
      </c>
      <c r="B2139" s="88" t="e">
        <f>VLOOKUP(C2139,#REF!,1,0)</f>
        <v>#REF!</v>
      </c>
      <c r="C2139" s="1" t="s">
        <v>7112</v>
      </c>
      <c r="D2139" s="1" t="s">
        <v>7113</v>
      </c>
      <c r="E2139" s="1" t="s">
        <v>9387</v>
      </c>
      <c r="F2139" s="1" t="s">
        <v>8959</v>
      </c>
      <c r="G2139" t="s">
        <v>9009</v>
      </c>
      <c r="H2139" s="1" t="s">
        <v>9252</v>
      </c>
      <c r="I2139" s="1" t="s">
        <v>9253</v>
      </c>
      <c r="J2139" s="2" t="s">
        <v>9036</v>
      </c>
      <c r="K2139" s="1" t="s">
        <v>9036</v>
      </c>
      <c r="L2139" s="1" t="s">
        <v>8951</v>
      </c>
      <c r="M2139" s="1">
        <v>6000</v>
      </c>
      <c r="N2139" s="1" t="s">
        <v>8953</v>
      </c>
      <c r="O2139" s="1" t="s">
        <v>8954</v>
      </c>
      <c r="P2139" s="1" t="s">
        <v>8955</v>
      </c>
      <c r="Q2139" s="1" t="s">
        <v>8956</v>
      </c>
      <c r="R2139" s="1" t="s">
        <v>8958</v>
      </c>
      <c r="S2139" s="1" t="s">
        <v>7114</v>
      </c>
      <c r="T2139" s="1" t="s">
        <v>4</v>
      </c>
      <c r="U2139" s="1" t="s">
        <v>87</v>
      </c>
    </row>
    <row r="2140" spans="1:21" x14ac:dyDescent="0.2">
      <c r="A2140" s="88" t="s">
        <v>17850</v>
      </c>
      <c r="B2140" s="88" t="e">
        <f>VLOOKUP(C2140,#REF!,1,0)</f>
        <v>#REF!</v>
      </c>
      <c r="C2140" s="1" t="s">
        <v>7115</v>
      </c>
      <c r="D2140" s="1" t="s">
        <v>7116</v>
      </c>
      <c r="E2140" s="1" t="s">
        <v>9317</v>
      </c>
      <c r="F2140" s="1" t="s">
        <v>8957</v>
      </c>
      <c r="G2140" t="s">
        <v>8959</v>
      </c>
      <c r="H2140" s="1" t="s">
        <v>9605</v>
      </c>
      <c r="I2140" s="1" t="s">
        <v>9101</v>
      </c>
      <c r="J2140" s="2" t="s">
        <v>21197</v>
      </c>
      <c r="K2140" s="1" t="s">
        <v>21197</v>
      </c>
      <c r="L2140" s="1" t="s">
        <v>9464</v>
      </c>
      <c r="M2140" s="1">
        <v>668</v>
      </c>
      <c r="N2140" s="1" t="s">
        <v>11658</v>
      </c>
      <c r="O2140" s="1" t="s">
        <v>8989</v>
      </c>
      <c r="P2140" s="1" t="s">
        <v>8955</v>
      </c>
      <c r="Q2140" s="1" t="s">
        <v>8956</v>
      </c>
      <c r="R2140" s="1" t="s">
        <v>9103</v>
      </c>
      <c r="S2140" s="1" t="s">
        <v>20084</v>
      </c>
      <c r="T2140" s="1" t="s">
        <v>17</v>
      </c>
      <c r="U2140" s="1" t="s">
        <v>700</v>
      </c>
    </row>
    <row r="2141" spans="1:21" x14ac:dyDescent="0.2">
      <c r="A2141" s="88" t="s">
        <v>17851</v>
      </c>
      <c r="B2141" s="88" t="e">
        <f>VLOOKUP(C2141,#REF!,1,0)</f>
        <v>#REF!</v>
      </c>
      <c r="C2141" s="1" t="s">
        <v>7117</v>
      </c>
      <c r="D2141" s="1" t="s">
        <v>7118</v>
      </c>
      <c r="E2141" s="1" t="s">
        <v>9310</v>
      </c>
      <c r="F2141" s="1" t="s">
        <v>8959</v>
      </c>
      <c r="G2141" t="s">
        <v>8959</v>
      </c>
      <c r="H2141" s="1" t="s">
        <v>9100</v>
      </c>
      <c r="I2141" s="1" t="s">
        <v>8949</v>
      </c>
      <c r="J2141" s="2" t="s">
        <v>10492</v>
      </c>
      <c r="K2141" s="1" t="s">
        <v>21645</v>
      </c>
      <c r="L2141" s="1" t="s">
        <v>21600</v>
      </c>
      <c r="M2141" s="1">
        <v>400</v>
      </c>
      <c r="N2141" s="1" t="s">
        <v>8953</v>
      </c>
      <c r="O2141" s="1" t="s">
        <v>8954</v>
      </c>
      <c r="P2141" s="1" t="s">
        <v>8955</v>
      </c>
      <c r="Q2141" s="1" t="s">
        <v>8956</v>
      </c>
      <c r="R2141" s="1" t="s">
        <v>9103</v>
      </c>
      <c r="S2141" s="1" t="s">
        <v>20085</v>
      </c>
      <c r="T2141" s="1" t="s">
        <v>17</v>
      </c>
      <c r="U2141" s="1" t="s">
        <v>35</v>
      </c>
    </row>
    <row r="2142" spans="1:21" x14ac:dyDescent="0.2">
      <c r="A2142" s="88" t="s">
        <v>17852</v>
      </c>
      <c r="B2142" s="88" t="e">
        <f>VLOOKUP(C2142,#REF!,1,0)</f>
        <v>#REF!</v>
      </c>
      <c r="C2142" s="1" t="s">
        <v>7122</v>
      </c>
      <c r="D2142" s="1" t="s">
        <v>7123</v>
      </c>
      <c r="E2142" s="1" t="s">
        <v>9333</v>
      </c>
      <c r="F2142" s="1" t="s">
        <v>8957</v>
      </c>
      <c r="G2142" t="s">
        <v>8959</v>
      </c>
      <c r="H2142" s="1" t="s">
        <v>9035</v>
      </c>
      <c r="I2142" s="1" t="s">
        <v>9101</v>
      </c>
      <c r="J2142" s="2" t="s">
        <v>20785</v>
      </c>
      <c r="K2142" s="1" t="s">
        <v>9386</v>
      </c>
      <c r="L2142" s="1" t="s">
        <v>8987</v>
      </c>
      <c r="M2142" s="1">
        <v>20000</v>
      </c>
      <c r="N2142" s="1" t="s">
        <v>8953</v>
      </c>
      <c r="O2142" s="1" t="s">
        <v>8989</v>
      </c>
      <c r="P2142" s="1" t="s">
        <v>8955</v>
      </c>
      <c r="Q2142" s="1" t="s">
        <v>8956</v>
      </c>
      <c r="R2142" s="1" t="s">
        <v>8958</v>
      </c>
      <c r="S2142" s="1" t="s">
        <v>20086</v>
      </c>
      <c r="T2142" s="1" t="s">
        <v>7</v>
      </c>
      <c r="U2142" s="1" t="s">
        <v>110</v>
      </c>
    </row>
    <row r="2143" spans="1:21" x14ac:dyDescent="0.2">
      <c r="A2143" s="88" t="s">
        <v>17853</v>
      </c>
      <c r="B2143" s="88" t="e">
        <f>VLOOKUP(C2143,#REF!,1,0)</f>
        <v>#REF!</v>
      </c>
      <c r="C2143" s="1" t="s">
        <v>7127</v>
      </c>
      <c r="D2143" s="1" t="s">
        <v>7128</v>
      </c>
      <c r="E2143" s="1" t="s">
        <v>9246</v>
      </c>
      <c r="F2143" s="1" t="s">
        <v>9060</v>
      </c>
      <c r="G2143" t="s">
        <v>9061</v>
      </c>
      <c r="H2143" s="1" t="s">
        <v>8984</v>
      </c>
      <c r="I2143" s="1" t="s">
        <v>8949</v>
      </c>
      <c r="J2143" s="2" t="s">
        <v>20779</v>
      </c>
      <c r="K2143" s="1" t="s">
        <v>9036</v>
      </c>
      <c r="L2143" s="1" t="s">
        <v>9076</v>
      </c>
      <c r="M2143" s="1">
        <v>135</v>
      </c>
      <c r="N2143" s="1" t="s">
        <v>9059</v>
      </c>
      <c r="O2143" s="1" t="s">
        <v>8989</v>
      </c>
      <c r="P2143" s="1" t="s">
        <v>8955</v>
      </c>
      <c r="Q2143" s="1" t="s">
        <v>8956</v>
      </c>
      <c r="R2143" s="1" t="s">
        <v>8975</v>
      </c>
      <c r="S2143" s="1" t="s">
        <v>20088</v>
      </c>
      <c r="T2143" s="1" t="s">
        <v>7</v>
      </c>
      <c r="U2143" s="1" t="s">
        <v>378</v>
      </c>
    </row>
    <row r="2144" spans="1:21" x14ac:dyDescent="0.2">
      <c r="A2144" s="88" t="s">
        <v>17854</v>
      </c>
      <c r="B2144" s="88" t="e">
        <f>VLOOKUP(C2144,#REF!,1,0)</f>
        <v>#REF!</v>
      </c>
      <c r="C2144" s="1" t="s">
        <v>7129</v>
      </c>
      <c r="D2144" s="1" t="s">
        <v>7130</v>
      </c>
      <c r="E2144" s="1" t="s">
        <v>9333</v>
      </c>
      <c r="F2144" s="1" t="s">
        <v>8957</v>
      </c>
      <c r="G2144" t="s">
        <v>9009</v>
      </c>
      <c r="H2144" s="1" t="s">
        <v>9092</v>
      </c>
      <c r="I2144" s="1" t="s">
        <v>9308</v>
      </c>
      <c r="J2144" s="2" t="s">
        <v>21306</v>
      </c>
      <c r="K2144" s="1" t="s">
        <v>21306</v>
      </c>
      <c r="L2144" s="1" t="s">
        <v>21600</v>
      </c>
      <c r="M2144" s="1">
        <v>2000</v>
      </c>
      <c r="N2144" s="1" t="s">
        <v>8953</v>
      </c>
      <c r="O2144" s="1" t="s">
        <v>8954</v>
      </c>
      <c r="P2144" s="1" t="s">
        <v>8955</v>
      </c>
      <c r="Q2144" s="1" t="s">
        <v>8956</v>
      </c>
      <c r="R2144" s="1" t="s">
        <v>9103</v>
      </c>
      <c r="S2144" s="1" t="s">
        <v>7131</v>
      </c>
      <c r="T2144" s="1" t="s">
        <v>11</v>
      </c>
      <c r="U2144" s="1" t="s">
        <v>2183</v>
      </c>
    </row>
    <row r="2145" spans="1:21" x14ac:dyDescent="0.2">
      <c r="A2145" s="88" t="s">
        <v>17856</v>
      </c>
      <c r="B2145" s="88" t="e">
        <f>VLOOKUP(C2145,#REF!,1,0)</f>
        <v>#REF!</v>
      </c>
      <c r="C2145" s="1" t="s">
        <v>7134</v>
      </c>
      <c r="D2145" s="1" t="s">
        <v>7135</v>
      </c>
      <c r="E2145" s="1" t="s">
        <v>9465</v>
      </c>
      <c r="F2145" s="1" t="s">
        <v>8957</v>
      </c>
      <c r="G2145" t="s">
        <v>8959</v>
      </c>
      <c r="H2145" s="1" t="s">
        <v>9100</v>
      </c>
      <c r="I2145" s="1" t="s">
        <v>8949</v>
      </c>
      <c r="J2145" s="2" t="s">
        <v>21205</v>
      </c>
      <c r="K2145" s="1" t="s">
        <v>21205</v>
      </c>
      <c r="L2145" s="1" t="s">
        <v>9076</v>
      </c>
      <c r="M2145" s="1">
        <v>790</v>
      </c>
      <c r="N2145" s="1" t="s">
        <v>8953</v>
      </c>
      <c r="O2145" s="1" t="s">
        <v>8954</v>
      </c>
      <c r="P2145" s="1" t="s">
        <v>8955</v>
      </c>
      <c r="Q2145" s="1" t="s">
        <v>8956</v>
      </c>
      <c r="R2145" s="1" t="s">
        <v>8958</v>
      </c>
      <c r="S2145" s="1" t="s">
        <v>20090</v>
      </c>
      <c r="T2145" s="1" t="s">
        <v>17</v>
      </c>
      <c r="U2145" s="1" t="s">
        <v>61</v>
      </c>
    </row>
    <row r="2146" spans="1:21" x14ac:dyDescent="0.2">
      <c r="A2146" s="88" t="s">
        <v>17857</v>
      </c>
      <c r="B2146" s="88" t="e">
        <f>VLOOKUP(C2146,#REF!,1,0)</f>
        <v>#REF!</v>
      </c>
      <c r="C2146" s="1" t="s">
        <v>7136</v>
      </c>
      <c r="D2146" s="1" t="s">
        <v>7137</v>
      </c>
      <c r="E2146" s="1" t="s">
        <v>18502</v>
      </c>
      <c r="F2146" s="1" t="s">
        <v>8957</v>
      </c>
      <c r="G2146" t="s">
        <v>8959</v>
      </c>
      <c r="H2146" s="1" t="s">
        <v>8984</v>
      </c>
      <c r="I2146" s="1" t="s">
        <v>9131</v>
      </c>
      <c r="J2146" s="2" t="s">
        <v>20838</v>
      </c>
      <c r="K2146" s="1" t="s">
        <v>20755</v>
      </c>
      <c r="L2146" s="1" t="s">
        <v>9076</v>
      </c>
      <c r="M2146" s="1">
        <v>433</v>
      </c>
      <c r="N2146" s="1" t="s">
        <v>11658</v>
      </c>
      <c r="O2146" s="1" t="s">
        <v>8989</v>
      </c>
      <c r="P2146" s="1" t="s">
        <v>8955</v>
      </c>
      <c r="Q2146" s="1" t="s">
        <v>8956</v>
      </c>
      <c r="R2146" s="1" t="s">
        <v>9103</v>
      </c>
      <c r="T2146" s="1" t="s">
        <v>7</v>
      </c>
      <c r="U2146" s="1" t="s">
        <v>1318</v>
      </c>
    </row>
    <row r="2147" spans="1:21" x14ac:dyDescent="0.2">
      <c r="A2147" s="88" t="s">
        <v>17858</v>
      </c>
      <c r="B2147" s="88" t="e">
        <f>VLOOKUP(C2147,#REF!,1,0)</f>
        <v>#REF!</v>
      </c>
      <c r="C2147" s="1" t="s">
        <v>7141</v>
      </c>
      <c r="D2147" s="1" t="s">
        <v>7142</v>
      </c>
      <c r="E2147" s="1" t="s">
        <v>9815</v>
      </c>
      <c r="F2147" s="1" t="s">
        <v>8959</v>
      </c>
      <c r="G2147" t="s">
        <v>8959</v>
      </c>
      <c r="H2147" s="1" t="s">
        <v>8948</v>
      </c>
      <c r="I2147" s="1" t="s">
        <v>8949</v>
      </c>
      <c r="J2147" s="2" t="s">
        <v>9036</v>
      </c>
      <c r="K2147" s="1" t="s">
        <v>9036</v>
      </c>
      <c r="L2147" s="1" t="s">
        <v>21600</v>
      </c>
      <c r="M2147" s="1">
        <v>40</v>
      </c>
      <c r="N2147" s="1" t="s">
        <v>8953</v>
      </c>
      <c r="O2147" s="1" t="s">
        <v>8989</v>
      </c>
      <c r="P2147" s="1" t="s">
        <v>8955</v>
      </c>
      <c r="Q2147" s="1" t="s">
        <v>8956</v>
      </c>
      <c r="R2147" s="1" t="s">
        <v>9103</v>
      </c>
      <c r="S2147" s="1" t="s">
        <v>7143</v>
      </c>
      <c r="T2147" s="1" t="s">
        <v>17</v>
      </c>
      <c r="U2147" s="1" t="s">
        <v>97</v>
      </c>
    </row>
    <row r="2148" spans="1:21" x14ac:dyDescent="0.2">
      <c r="A2148" s="88" t="s">
        <v>17859</v>
      </c>
      <c r="B2148" s="88" t="e">
        <f>VLOOKUP(C2148,#REF!,1,0)</f>
        <v>#REF!</v>
      </c>
      <c r="C2148" s="1" t="s">
        <v>7144</v>
      </c>
      <c r="D2148" s="1" t="s">
        <v>7145</v>
      </c>
      <c r="E2148" s="1" t="s">
        <v>9317</v>
      </c>
      <c r="F2148" s="1" t="s">
        <v>8974</v>
      </c>
      <c r="G2148" t="s">
        <v>9061</v>
      </c>
      <c r="H2148" s="1" t="s">
        <v>9092</v>
      </c>
      <c r="I2148" s="1" t="s">
        <v>8959</v>
      </c>
      <c r="J2148" s="2" t="s">
        <v>10492</v>
      </c>
      <c r="K2148" s="1" t="s">
        <v>21645</v>
      </c>
      <c r="L2148" s="1" t="s">
        <v>21600</v>
      </c>
      <c r="M2148" s="1">
        <v>92</v>
      </c>
      <c r="N2148" s="1" t="s">
        <v>9059</v>
      </c>
      <c r="O2148" s="1" t="s">
        <v>8989</v>
      </c>
      <c r="P2148" s="1" t="s">
        <v>8955</v>
      </c>
      <c r="Q2148" s="1" t="s">
        <v>8956</v>
      </c>
      <c r="R2148" s="1" t="s">
        <v>8975</v>
      </c>
      <c r="S2148" s="1" t="s">
        <v>20092</v>
      </c>
      <c r="T2148" s="1" t="s">
        <v>17</v>
      </c>
      <c r="U2148" s="1" t="s">
        <v>64</v>
      </c>
    </row>
    <row r="2149" spans="1:21" x14ac:dyDescent="0.2">
      <c r="A2149" s="88" t="s">
        <v>17860</v>
      </c>
      <c r="B2149" s="88" t="e">
        <f>VLOOKUP(C2149,#REF!,1,0)</f>
        <v>#REF!</v>
      </c>
      <c r="C2149" s="1" t="s">
        <v>7146</v>
      </c>
      <c r="D2149" s="1" t="s">
        <v>7147</v>
      </c>
      <c r="E2149" s="1" t="s">
        <v>18502</v>
      </c>
      <c r="F2149" s="1" t="s">
        <v>8957</v>
      </c>
      <c r="G2149" t="s">
        <v>9061</v>
      </c>
      <c r="H2149" s="1" t="s">
        <v>20714</v>
      </c>
      <c r="I2149" s="1" t="s">
        <v>20725</v>
      </c>
      <c r="J2149" s="2" t="s">
        <v>18497</v>
      </c>
      <c r="K2149" s="1" t="s">
        <v>18497</v>
      </c>
      <c r="L2149" s="1" t="s">
        <v>9133</v>
      </c>
      <c r="M2149" s="1">
        <v>20806</v>
      </c>
      <c r="N2149" s="1" t="s">
        <v>8953</v>
      </c>
      <c r="O2149" s="1" t="s">
        <v>8989</v>
      </c>
      <c r="P2149" s="1" t="s">
        <v>8955</v>
      </c>
      <c r="Q2149" s="1" t="s">
        <v>8956</v>
      </c>
      <c r="R2149" s="1" t="s">
        <v>8958</v>
      </c>
      <c r="S2149" s="1" t="s">
        <v>20093</v>
      </c>
      <c r="T2149" s="1" t="s">
        <v>7</v>
      </c>
      <c r="U2149" s="1" t="s">
        <v>933</v>
      </c>
    </row>
    <row r="2150" spans="1:21" x14ac:dyDescent="0.2">
      <c r="A2150" s="88" t="s">
        <v>17861</v>
      </c>
      <c r="B2150" s="88" t="e">
        <f>VLOOKUP(C2150,#REF!,1,0)</f>
        <v>#REF!</v>
      </c>
      <c r="C2150" s="1" t="s">
        <v>7148</v>
      </c>
      <c r="D2150" s="1" t="s">
        <v>7149</v>
      </c>
      <c r="E2150" s="1" t="s">
        <v>18502</v>
      </c>
      <c r="F2150" s="1" t="s">
        <v>9060</v>
      </c>
      <c r="G2150" t="s">
        <v>9061</v>
      </c>
      <c r="H2150" s="1" t="s">
        <v>20714</v>
      </c>
      <c r="I2150" s="1" t="s">
        <v>20725</v>
      </c>
      <c r="J2150" s="2" t="s">
        <v>18497</v>
      </c>
      <c r="K2150" s="1" t="s">
        <v>18497</v>
      </c>
      <c r="L2150" s="1" t="s">
        <v>9292</v>
      </c>
      <c r="M2150" s="1">
        <v>9282</v>
      </c>
      <c r="N2150" s="1" t="s">
        <v>8953</v>
      </c>
      <c r="O2150" s="1" t="s">
        <v>8989</v>
      </c>
      <c r="P2150" s="1" t="s">
        <v>8955</v>
      </c>
      <c r="Q2150" s="1" t="s">
        <v>8956</v>
      </c>
      <c r="R2150" s="1" t="s">
        <v>9103</v>
      </c>
      <c r="S2150" s="1" t="s">
        <v>20094</v>
      </c>
      <c r="T2150" s="1" t="s">
        <v>17</v>
      </c>
      <c r="U2150" s="1" t="s">
        <v>443</v>
      </c>
    </row>
    <row r="2151" spans="1:21" x14ac:dyDescent="0.2">
      <c r="A2151" s="88" t="s">
        <v>17862</v>
      </c>
      <c r="B2151" s="88" t="e">
        <f>VLOOKUP(C2151,#REF!,1,0)</f>
        <v>#REF!</v>
      </c>
      <c r="C2151" s="1" t="s">
        <v>7153</v>
      </c>
      <c r="D2151" s="1" t="s">
        <v>7154</v>
      </c>
      <c r="E2151" s="1" t="s">
        <v>9310</v>
      </c>
      <c r="F2151" s="1" t="s">
        <v>8959</v>
      </c>
      <c r="G2151" t="s">
        <v>9061</v>
      </c>
      <c r="H2151" s="1" t="s">
        <v>9075</v>
      </c>
      <c r="I2151" s="1" t="s">
        <v>8998</v>
      </c>
      <c r="J2151" s="2" t="s">
        <v>20830</v>
      </c>
      <c r="K2151" s="1" t="s">
        <v>9041</v>
      </c>
      <c r="L2151" s="1" t="s">
        <v>9076</v>
      </c>
      <c r="M2151" s="1">
        <v>33</v>
      </c>
      <c r="N2151" s="1" t="s">
        <v>9059</v>
      </c>
      <c r="O2151" s="1" t="s">
        <v>8989</v>
      </c>
      <c r="P2151" s="1" t="s">
        <v>8955</v>
      </c>
      <c r="Q2151" s="1" t="s">
        <v>8956</v>
      </c>
      <c r="R2151" s="1" t="s">
        <v>8958</v>
      </c>
      <c r="S2151" s="1" t="s">
        <v>20096</v>
      </c>
      <c r="T2151" s="1" t="s">
        <v>17</v>
      </c>
      <c r="U2151" s="1" t="s">
        <v>2172</v>
      </c>
    </row>
    <row r="2152" spans="1:21" x14ac:dyDescent="0.2">
      <c r="A2152" s="88" t="s">
        <v>17863</v>
      </c>
      <c r="B2152" s="88" t="e">
        <f>VLOOKUP(C2152,#REF!,1,0)</f>
        <v>#REF!</v>
      </c>
      <c r="C2152" s="1" t="s">
        <v>7155</v>
      </c>
      <c r="D2152" s="1" t="s">
        <v>7156</v>
      </c>
      <c r="E2152" s="1" t="s">
        <v>9310</v>
      </c>
      <c r="F2152" s="1" t="s">
        <v>8957</v>
      </c>
      <c r="G2152" t="s">
        <v>8959</v>
      </c>
      <c r="H2152" s="1" t="s">
        <v>8948</v>
      </c>
      <c r="I2152" s="1" t="s">
        <v>9155</v>
      </c>
      <c r="J2152" s="2" t="s">
        <v>21449</v>
      </c>
      <c r="K2152" s="1" t="s">
        <v>10629</v>
      </c>
      <c r="L2152" s="1" t="s">
        <v>9076</v>
      </c>
      <c r="M2152" s="1">
        <v>7000</v>
      </c>
      <c r="N2152" s="1" t="s">
        <v>8953</v>
      </c>
      <c r="O2152" s="1" t="s">
        <v>8989</v>
      </c>
      <c r="P2152" s="1" t="s">
        <v>8955</v>
      </c>
      <c r="Q2152" s="1" t="s">
        <v>8956</v>
      </c>
      <c r="R2152" s="1" t="s">
        <v>8958</v>
      </c>
      <c r="S2152" s="1" t="s">
        <v>20097</v>
      </c>
      <c r="T2152" s="1" t="s">
        <v>7</v>
      </c>
      <c r="U2152" s="1" t="s">
        <v>93</v>
      </c>
    </row>
    <row r="2153" spans="1:21" x14ac:dyDescent="0.2">
      <c r="A2153" s="88" t="s">
        <v>17867</v>
      </c>
      <c r="B2153" s="88" t="e">
        <f>VLOOKUP(C2153,#REF!,1,0)</f>
        <v>#REF!</v>
      </c>
      <c r="C2153" s="1" t="s">
        <v>7163</v>
      </c>
      <c r="D2153" s="1" t="s">
        <v>7164</v>
      </c>
      <c r="E2153" s="1" t="s">
        <v>12908</v>
      </c>
      <c r="F2153" s="1" t="s">
        <v>9060</v>
      </c>
      <c r="G2153" t="s">
        <v>9009</v>
      </c>
      <c r="H2153" s="1" t="s">
        <v>9092</v>
      </c>
      <c r="I2153" s="1" t="s">
        <v>8949</v>
      </c>
      <c r="J2153" s="2" t="s">
        <v>10258</v>
      </c>
      <c r="K2153" s="1" t="s">
        <v>10258</v>
      </c>
      <c r="L2153" s="1" t="s">
        <v>9133</v>
      </c>
      <c r="M2153" s="1">
        <v>3000</v>
      </c>
      <c r="N2153" s="1" t="s">
        <v>9059</v>
      </c>
      <c r="O2153" s="1" t="s">
        <v>8989</v>
      </c>
      <c r="P2153" s="1" t="s">
        <v>8955</v>
      </c>
      <c r="Q2153" s="1" t="s">
        <v>8956</v>
      </c>
      <c r="R2153" s="1" t="s">
        <v>8958</v>
      </c>
      <c r="S2153" s="1" t="s">
        <v>7165</v>
      </c>
      <c r="T2153" s="1" t="s">
        <v>11</v>
      </c>
      <c r="U2153" s="1" t="s">
        <v>24</v>
      </c>
    </row>
    <row r="2154" spans="1:21" x14ac:dyDescent="0.2">
      <c r="A2154" s="88" t="s">
        <v>17868</v>
      </c>
      <c r="B2154" s="88" t="e">
        <f>VLOOKUP(C2154,#REF!,1,0)</f>
        <v>#REF!</v>
      </c>
      <c r="C2154" s="1" t="s">
        <v>7166</v>
      </c>
      <c r="D2154" s="1" t="s">
        <v>7167</v>
      </c>
      <c r="E2154" s="1" t="s">
        <v>9380</v>
      </c>
      <c r="F2154" s="1" t="s">
        <v>8957</v>
      </c>
      <c r="G2154" t="s">
        <v>9183</v>
      </c>
      <c r="H2154" s="1" t="s">
        <v>9035</v>
      </c>
      <c r="I2154" s="1" t="s">
        <v>9155</v>
      </c>
      <c r="J2154" s="2" t="s">
        <v>9018</v>
      </c>
      <c r="K2154" s="1" t="s">
        <v>9018</v>
      </c>
      <c r="L2154" s="1" t="s">
        <v>8987</v>
      </c>
      <c r="M2154" s="1">
        <v>42568</v>
      </c>
      <c r="N2154" s="1" t="s">
        <v>8953</v>
      </c>
      <c r="O2154" s="1" t="s">
        <v>8954</v>
      </c>
      <c r="P2154" s="1" t="s">
        <v>8955</v>
      </c>
      <c r="Q2154" s="1" t="s">
        <v>8956</v>
      </c>
      <c r="R2154" s="1" t="s">
        <v>9103</v>
      </c>
      <c r="S2154" s="1" t="s">
        <v>7168</v>
      </c>
      <c r="T2154" s="1" t="s">
        <v>11</v>
      </c>
      <c r="U2154" s="1" t="s">
        <v>1076</v>
      </c>
    </row>
    <row r="2155" spans="1:21" x14ac:dyDescent="0.2">
      <c r="A2155" s="88" t="s">
        <v>17869</v>
      </c>
      <c r="B2155" s="88" t="e">
        <f>VLOOKUP(C2155,#REF!,1,0)</f>
        <v>#REF!</v>
      </c>
      <c r="C2155" s="1" t="s">
        <v>7169</v>
      </c>
      <c r="D2155" s="1" t="s">
        <v>7170</v>
      </c>
      <c r="E2155" s="1" t="s">
        <v>9380</v>
      </c>
      <c r="F2155" s="1" t="s">
        <v>8957</v>
      </c>
      <c r="G2155" t="s">
        <v>8959</v>
      </c>
      <c r="H2155" s="1" t="s">
        <v>9154</v>
      </c>
      <c r="I2155" s="1" t="s">
        <v>9308</v>
      </c>
      <c r="J2155" s="2" t="s">
        <v>20785</v>
      </c>
      <c r="K2155" s="1" t="s">
        <v>18491</v>
      </c>
      <c r="L2155" s="1" t="s">
        <v>9076</v>
      </c>
      <c r="M2155" s="1">
        <v>438</v>
      </c>
      <c r="N2155" s="1" t="s">
        <v>8953</v>
      </c>
      <c r="O2155" s="1" t="s">
        <v>8989</v>
      </c>
      <c r="P2155" s="1" t="s">
        <v>8955</v>
      </c>
      <c r="Q2155" s="1" t="s">
        <v>8956</v>
      </c>
      <c r="R2155" s="1" t="s">
        <v>9103</v>
      </c>
      <c r="S2155" s="1" t="s">
        <v>20098</v>
      </c>
      <c r="T2155" s="1" t="s">
        <v>17</v>
      </c>
      <c r="U2155" s="1" t="s">
        <v>64</v>
      </c>
    </row>
    <row r="2156" spans="1:21" x14ac:dyDescent="0.2">
      <c r="A2156" s="88" t="s">
        <v>17870</v>
      </c>
      <c r="B2156" s="88" t="e">
        <f>VLOOKUP(C2156,#REF!,1,0)</f>
        <v>#REF!</v>
      </c>
      <c r="C2156" s="1" t="s">
        <v>7171</v>
      </c>
      <c r="D2156" s="1" t="s">
        <v>7172</v>
      </c>
      <c r="E2156" s="1" t="s">
        <v>9213</v>
      </c>
      <c r="F2156" s="1" t="s">
        <v>8957</v>
      </c>
      <c r="G2156" t="s">
        <v>8959</v>
      </c>
      <c r="H2156" s="1" t="s">
        <v>9100</v>
      </c>
      <c r="I2156" s="1" t="s">
        <v>8949</v>
      </c>
      <c r="J2156" s="2" t="s">
        <v>21344</v>
      </c>
      <c r="K2156" s="1" t="s">
        <v>21324</v>
      </c>
      <c r="L2156" s="1" t="s">
        <v>9076</v>
      </c>
      <c r="M2156" s="1">
        <v>345</v>
      </c>
      <c r="N2156" s="1" t="s">
        <v>9059</v>
      </c>
      <c r="O2156" s="1" t="s">
        <v>8954</v>
      </c>
      <c r="P2156" s="1" t="s">
        <v>8955</v>
      </c>
      <c r="Q2156" s="1" t="s">
        <v>8956</v>
      </c>
      <c r="R2156" s="1" t="s">
        <v>8958</v>
      </c>
      <c r="S2156" s="1" t="s">
        <v>20099</v>
      </c>
      <c r="T2156" s="1" t="s">
        <v>7</v>
      </c>
      <c r="U2156" s="1" t="s">
        <v>64</v>
      </c>
    </row>
    <row r="2157" spans="1:21" x14ac:dyDescent="0.2">
      <c r="A2157" s="88" t="s">
        <v>17871</v>
      </c>
      <c r="B2157" s="88" t="e">
        <f>VLOOKUP(C2157,#REF!,1,0)</f>
        <v>#REF!</v>
      </c>
      <c r="C2157" s="1" t="s">
        <v>7173</v>
      </c>
      <c r="D2157" s="1" t="s">
        <v>7174</v>
      </c>
      <c r="E2157" s="1" t="s">
        <v>9213</v>
      </c>
      <c r="F2157" s="1" t="s">
        <v>8957</v>
      </c>
      <c r="G2157" t="s">
        <v>9183</v>
      </c>
      <c r="H2157" s="1" t="s">
        <v>9075</v>
      </c>
      <c r="I2157" s="1" t="s">
        <v>8949</v>
      </c>
      <c r="J2157" s="2" t="s">
        <v>8972</v>
      </c>
      <c r="K2157" s="1" t="s">
        <v>8972</v>
      </c>
      <c r="L2157" s="1" t="s">
        <v>21600</v>
      </c>
      <c r="M2157" s="1">
        <v>280</v>
      </c>
      <c r="N2157" s="1" t="s">
        <v>8953</v>
      </c>
      <c r="O2157" s="1" t="s">
        <v>8954</v>
      </c>
      <c r="P2157" s="1" t="s">
        <v>8955</v>
      </c>
      <c r="Q2157" s="1" t="s">
        <v>8956</v>
      </c>
      <c r="R2157" s="1" t="s">
        <v>8958</v>
      </c>
      <c r="S2157" s="1" t="s">
        <v>7175</v>
      </c>
      <c r="T2157" s="1" t="s">
        <v>11</v>
      </c>
      <c r="U2157" s="1" t="s">
        <v>64</v>
      </c>
    </row>
    <row r="2158" spans="1:21" x14ac:dyDescent="0.2">
      <c r="A2158" s="88" t="s">
        <v>17872</v>
      </c>
      <c r="B2158" s="88" t="e">
        <f>VLOOKUP(C2158,#REF!,1,0)</f>
        <v>#REF!</v>
      </c>
      <c r="C2158" s="1" t="s">
        <v>7176</v>
      </c>
      <c r="D2158" s="1" t="s">
        <v>7177</v>
      </c>
      <c r="E2158" s="1" t="s">
        <v>9333</v>
      </c>
      <c r="F2158" s="1" t="s">
        <v>8957</v>
      </c>
      <c r="G2158" t="s">
        <v>9183</v>
      </c>
      <c r="H2158" s="1" t="s">
        <v>20712</v>
      </c>
      <c r="I2158" s="1" t="s">
        <v>9308</v>
      </c>
      <c r="J2158" s="2" t="s">
        <v>18489</v>
      </c>
      <c r="K2158" s="1" t="s">
        <v>18489</v>
      </c>
      <c r="L2158" s="1" t="s">
        <v>8951</v>
      </c>
      <c r="M2158" s="1">
        <v>657</v>
      </c>
      <c r="N2158" s="1" t="s">
        <v>9059</v>
      </c>
      <c r="O2158" s="1" t="s">
        <v>8989</v>
      </c>
      <c r="P2158" s="1" t="s">
        <v>8955</v>
      </c>
      <c r="Q2158" s="1" t="s">
        <v>8956</v>
      </c>
      <c r="R2158" s="1" t="s">
        <v>8975</v>
      </c>
      <c r="S2158" s="1" t="s">
        <v>20100</v>
      </c>
      <c r="T2158" s="1" t="s">
        <v>7</v>
      </c>
      <c r="U2158" s="1" t="s">
        <v>7178</v>
      </c>
    </row>
    <row r="2159" spans="1:21" x14ac:dyDescent="0.2">
      <c r="A2159" s="88" t="s">
        <v>17874</v>
      </c>
      <c r="B2159" s="88" t="e">
        <f>VLOOKUP(C2159,#REF!,1,0)</f>
        <v>#REF!</v>
      </c>
      <c r="C2159" s="1" t="s">
        <v>7182</v>
      </c>
      <c r="D2159" s="1" t="s">
        <v>7183</v>
      </c>
      <c r="E2159" s="1" t="s">
        <v>9317</v>
      </c>
      <c r="F2159" s="1" t="s">
        <v>8957</v>
      </c>
      <c r="G2159" t="s">
        <v>8959</v>
      </c>
      <c r="H2159" s="1" t="s">
        <v>8948</v>
      </c>
      <c r="I2159" s="1" t="s">
        <v>9155</v>
      </c>
      <c r="J2159" s="2" t="s">
        <v>10492</v>
      </c>
      <c r="K2159" s="1" t="s">
        <v>21645</v>
      </c>
      <c r="L2159" s="1" t="s">
        <v>21600</v>
      </c>
      <c r="M2159" s="1">
        <v>20</v>
      </c>
      <c r="N2159" s="1" t="s">
        <v>9059</v>
      </c>
      <c r="O2159" s="1" t="s">
        <v>8989</v>
      </c>
      <c r="P2159" s="1" t="s">
        <v>8955</v>
      </c>
      <c r="Q2159" s="1" t="s">
        <v>8956</v>
      </c>
      <c r="R2159" s="1" t="s">
        <v>8975</v>
      </c>
      <c r="S2159" s="1" t="s">
        <v>20101</v>
      </c>
      <c r="T2159" s="1" t="s">
        <v>7</v>
      </c>
      <c r="U2159" s="1" t="s">
        <v>700</v>
      </c>
    </row>
    <row r="2160" spans="1:21" x14ac:dyDescent="0.2">
      <c r="A2160" s="88" t="s">
        <v>17875</v>
      </c>
      <c r="B2160" s="88" t="e">
        <f>VLOOKUP(C2160,#REF!,1,0)</f>
        <v>#REF!</v>
      </c>
      <c r="C2160" s="1" t="s">
        <v>7184</v>
      </c>
      <c r="D2160" s="1" t="s">
        <v>7185</v>
      </c>
      <c r="E2160" s="1" t="s">
        <v>14748</v>
      </c>
      <c r="F2160" s="1" t="s">
        <v>8959</v>
      </c>
      <c r="G2160" t="s">
        <v>8959</v>
      </c>
      <c r="H2160" s="1" t="s">
        <v>9100</v>
      </c>
      <c r="I2160" s="1" t="s">
        <v>8949</v>
      </c>
      <c r="J2160" s="2" t="s">
        <v>21581</v>
      </c>
      <c r="K2160" s="1" t="s">
        <v>21581</v>
      </c>
      <c r="L2160" s="1" t="s">
        <v>8951</v>
      </c>
      <c r="M2160" s="1">
        <v>253</v>
      </c>
      <c r="N2160" s="1" t="s">
        <v>8953</v>
      </c>
      <c r="O2160" s="1" t="s">
        <v>8989</v>
      </c>
      <c r="P2160" s="1" t="s">
        <v>8955</v>
      </c>
      <c r="Q2160" s="1" t="s">
        <v>8956</v>
      </c>
      <c r="R2160" s="1" t="s">
        <v>9103</v>
      </c>
      <c r="S2160" s="1" t="s">
        <v>20102</v>
      </c>
      <c r="T2160" s="1" t="s">
        <v>7</v>
      </c>
      <c r="U2160" s="1" t="s">
        <v>948</v>
      </c>
    </row>
    <row r="2161" spans="1:21" x14ac:dyDescent="0.2">
      <c r="A2161" s="88" t="s">
        <v>17876</v>
      </c>
      <c r="B2161" s="88" t="e">
        <f>VLOOKUP(C2161,#REF!,1,0)</f>
        <v>#REF!</v>
      </c>
      <c r="C2161" s="1" t="s">
        <v>7186</v>
      </c>
      <c r="D2161" s="1" t="s">
        <v>7187</v>
      </c>
      <c r="E2161" s="1" t="s">
        <v>14748</v>
      </c>
      <c r="F2161" s="1" t="s">
        <v>8959</v>
      </c>
      <c r="G2161" t="s">
        <v>8959</v>
      </c>
      <c r="H2161" s="1" t="s">
        <v>9035</v>
      </c>
      <c r="I2161" s="1" t="s">
        <v>9308</v>
      </c>
      <c r="J2161" s="2" t="s">
        <v>21036</v>
      </c>
      <c r="K2161" s="1" t="s">
        <v>21860</v>
      </c>
      <c r="L2161" s="1" t="s">
        <v>8951</v>
      </c>
      <c r="M2161" s="1">
        <v>295</v>
      </c>
      <c r="N2161" s="1" t="s">
        <v>8953</v>
      </c>
      <c r="O2161" s="1" t="s">
        <v>8954</v>
      </c>
      <c r="P2161" s="1" t="s">
        <v>8955</v>
      </c>
      <c r="Q2161" s="1" t="s">
        <v>8956</v>
      </c>
      <c r="R2161" s="1" t="s">
        <v>9103</v>
      </c>
      <c r="S2161" s="1" t="s">
        <v>20102</v>
      </c>
      <c r="T2161" s="1" t="s">
        <v>7</v>
      </c>
      <c r="U2161" s="1" t="s">
        <v>74</v>
      </c>
    </row>
    <row r="2162" spans="1:21" x14ac:dyDescent="0.2">
      <c r="A2162" s="88" t="s">
        <v>17877</v>
      </c>
      <c r="B2162" s="88" t="e">
        <f>VLOOKUP(C2162,#REF!,1,0)</f>
        <v>#REF!</v>
      </c>
      <c r="C2162" s="1" t="s">
        <v>7188</v>
      </c>
      <c r="D2162" s="1" t="s">
        <v>7189</v>
      </c>
      <c r="E2162" s="1" t="s">
        <v>9333</v>
      </c>
      <c r="F2162" s="1" t="s">
        <v>8957</v>
      </c>
      <c r="G2162" t="s">
        <v>8959</v>
      </c>
      <c r="H2162" s="1" t="s">
        <v>9154</v>
      </c>
      <c r="I2162" s="1" t="s">
        <v>20930</v>
      </c>
      <c r="J2162" s="2" t="s">
        <v>21241</v>
      </c>
      <c r="K2162" s="1" t="s">
        <v>21735</v>
      </c>
      <c r="L2162" s="1" t="s">
        <v>8987</v>
      </c>
      <c r="M2162" s="1">
        <v>85</v>
      </c>
      <c r="N2162" s="1" t="s">
        <v>9059</v>
      </c>
      <c r="O2162" s="1" t="s">
        <v>8989</v>
      </c>
      <c r="P2162" s="1" t="s">
        <v>8955</v>
      </c>
      <c r="Q2162" s="1" t="s">
        <v>8956</v>
      </c>
      <c r="R2162" s="1" t="s">
        <v>8975</v>
      </c>
      <c r="S2162" s="1" t="s">
        <v>20103</v>
      </c>
      <c r="T2162" s="1" t="s">
        <v>17</v>
      </c>
      <c r="U2162" s="1" t="s">
        <v>74</v>
      </c>
    </row>
    <row r="2163" spans="1:21" x14ac:dyDescent="0.2">
      <c r="A2163" s="88" t="s">
        <v>17878</v>
      </c>
      <c r="B2163" s="88" t="e">
        <f>VLOOKUP(C2163,#REF!,1,0)</f>
        <v>#REF!</v>
      </c>
      <c r="C2163" s="1" t="s">
        <v>7190</v>
      </c>
      <c r="D2163" s="1" t="s">
        <v>7191</v>
      </c>
      <c r="E2163" s="1" t="s">
        <v>9333</v>
      </c>
      <c r="F2163" s="1" t="s">
        <v>8957</v>
      </c>
      <c r="G2163" t="s">
        <v>8959</v>
      </c>
      <c r="H2163" s="1" t="s">
        <v>8984</v>
      </c>
      <c r="I2163" s="1" t="s">
        <v>9308</v>
      </c>
      <c r="J2163" s="2" t="s">
        <v>21295</v>
      </c>
      <c r="K2163" s="1" t="s">
        <v>21875</v>
      </c>
      <c r="L2163" s="1" t="s">
        <v>8987</v>
      </c>
      <c r="M2163" s="1">
        <v>6012</v>
      </c>
      <c r="N2163" s="1" t="s">
        <v>9059</v>
      </c>
      <c r="O2163" s="1" t="s">
        <v>8989</v>
      </c>
      <c r="P2163" s="1" t="s">
        <v>8955</v>
      </c>
      <c r="Q2163" s="1" t="s">
        <v>8956</v>
      </c>
      <c r="R2163" s="1" t="s">
        <v>9103</v>
      </c>
      <c r="S2163" s="1" t="s">
        <v>20104</v>
      </c>
      <c r="T2163" s="1" t="s">
        <v>7</v>
      </c>
      <c r="U2163" s="1" t="s">
        <v>74</v>
      </c>
    </row>
    <row r="2164" spans="1:21" x14ac:dyDescent="0.2">
      <c r="A2164" s="88" t="s">
        <v>17879</v>
      </c>
      <c r="B2164" s="88" t="e">
        <f>VLOOKUP(C2164,#REF!,1,0)</f>
        <v>#REF!</v>
      </c>
      <c r="C2164" s="1" t="s">
        <v>7192</v>
      </c>
      <c r="D2164" s="1" t="s">
        <v>7193</v>
      </c>
      <c r="E2164" s="1" t="s">
        <v>9333</v>
      </c>
      <c r="F2164" s="1" t="s">
        <v>8957</v>
      </c>
      <c r="G2164" t="s">
        <v>8959</v>
      </c>
      <c r="H2164" s="1" t="s">
        <v>8984</v>
      </c>
      <c r="I2164" s="1" t="s">
        <v>9308</v>
      </c>
      <c r="J2164" s="2" t="s">
        <v>20779</v>
      </c>
      <c r="K2164" s="1" t="s">
        <v>9036</v>
      </c>
      <c r="L2164" s="1" t="s">
        <v>8951</v>
      </c>
      <c r="M2164" s="1">
        <v>6520</v>
      </c>
      <c r="N2164" s="1" t="s">
        <v>8953</v>
      </c>
      <c r="O2164" s="1" t="s">
        <v>8989</v>
      </c>
      <c r="P2164" s="1" t="s">
        <v>8955</v>
      </c>
      <c r="Q2164" s="1" t="s">
        <v>8956</v>
      </c>
      <c r="R2164" s="1" t="s">
        <v>8975</v>
      </c>
      <c r="S2164" s="1" t="s">
        <v>20105</v>
      </c>
      <c r="T2164" s="1" t="s">
        <v>17</v>
      </c>
      <c r="U2164" s="1" t="s">
        <v>7194</v>
      </c>
    </row>
    <row r="2165" spans="1:21" x14ac:dyDescent="0.2">
      <c r="A2165" s="88" t="s">
        <v>17880</v>
      </c>
      <c r="B2165" s="88" t="e">
        <f>VLOOKUP(C2165,#REF!,1,0)</f>
        <v>#REF!</v>
      </c>
      <c r="C2165" s="1" t="s">
        <v>7195</v>
      </c>
      <c r="D2165" s="1" t="s">
        <v>7196</v>
      </c>
      <c r="E2165" s="1" t="s">
        <v>18502</v>
      </c>
      <c r="F2165" s="1" t="s">
        <v>9060</v>
      </c>
      <c r="G2165" t="s">
        <v>8959</v>
      </c>
      <c r="H2165" s="1" t="s">
        <v>9092</v>
      </c>
      <c r="I2165" s="1" t="s">
        <v>9155</v>
      </c>
      <c r="J2165" s="2" t="s">
        <v>21345</v>
      </c>
      <c r="K2165" s="1" t="s">
        <v>21329</v>
      </c>
      <c r="L2165" s="1" t="s">
        <v>9292</v>
      </c>
      <c r="M2165" s="1">
        <v>35482</v>
      </c>
      <c r="N2165" s="1" t="s">
        <v>8953</v>
      </c>
      <c r="O2165" s="1" t="s">
        <v>8954</v>
      </c>
      <c r="P2165" s="1" t="s">
        <v>8955</v>
      </c>
      <c r="Q2165" s="1" t="s">
        <v>8956</v>
      </c>
      <c r="R2165" s="1" t="s">
        <v>9103</v>
      </c>
      <c r="S2165" s="1" t="s">
        <v>20106</v>
      </c>
      <c r="T2165" s="1" t="s">
        <v>7</v>
      </c>
      <c r="U2165" s="1" t="s">
        <v>24</v>
      </c>
    </row>
    <row r="2166" spans="1:21" x14ac:dyDescent="0.2">
      <c r="A2166" s="88" t="s">
        <v>17881</v>
      </c>
      <c r="B2166" s="88" t="e">
        <f>VLOOKUP(C2166,#REF!,1,0)</f>
        <v>#REF!</v>
      </c>
      <c r="C2166" s="1" t="s">
        <v>7197</v>
      </c>
      <c r="D2166" s="1" t="s">
        <v>7198</v>
      </c>
      <c r="E2166" s="1" t="s">
        <v>18502</v>
      </c>
      <c r="F2166" s="1" t="s">
        <v>8957</v>
      </c>
      <c r="G2166" t="s">
        <v>8959</v>
      </c>
      <c r="H2166" s="1" t="s">
        <v>8984</v>
      </c>
      <c r="I2166" s="1" t="s">
        <v>8985</v>
      </c>
      <c r="J2166" s="2" t="s">
        <v>18497</v>
      </c>
      <c r="K2166" s="1" t="s">
        <v>18497</v>
      </c>
      <c r="L2166" s="1" t="s">
        <v>8951</v>
      </c>
      <c r="M2166" s="1">
        <v>379</v>
      </c>
      <c r="N2166" s="1" t="s">
        <v>8953</v>
      </c>
      <c r="O2166" s="1" t="s">
        <v>8989</v>
      </c>
      <c r="P2166" s="1" t="s">
        <v>8955</v>
      </c>
      <c r="Q2166" s="1" t="s">
        <v>8956</v>
      </c>
      <c r="R2166" s="1" t="s">
        <v>8958</v>
      </c>
      <c r="S2166" s="1" t="s">
        <v>20107</v>
      </c>
      <c r="T2166" s="1" t="s">
        <v>17</v>
      </c>
      <c r="U2166" s="1" t="s">
        <v>1918</v>
      </c>
    </row>
    <row r="2167" spans="1:21" x14ac:dyDescent="0.2">
      <c r="A2167" s="88" t="s">
        <v>17882</v>
      </c>
      <c r="B2167" s="88" t="e">
        <f>VLOOKUP(C2167,#REF!,1,0)</f>
        <v>#REF!</v>
      </c>
      <c r="C2167" s="1" t="s">
        <v>7199</v>
      </c>
      <c r="D2167" s="1" t="s">
        <v>7200</v>
      </c>
      <c r="E2167" s="1" t="s">
        <v>9310</v>
      </c>
      <c r="F2167" s="1" t="s">
        <v>8957</v>
      </c>
      <c r="G2167" t="s">
        <v>9183</v>
      </c>
      <c r="H2167" s="1" t="s">
        <v>9092</v>
      </c>
      <c r="I2167" s="1" t="s">
        <v>9308</v>
      </c>
      <c r="J2167" s="2" t="s">
        <v>9018</v>
      </c>
      <c r="K2167" s="1" t="s">
        <v>21762</v>
      </c>
      <c r="L2167" s="1" t="s">
        <v>9133</v>
      </c>
      <c r="M2167" s="1">
        <v>21391</v>
      </c>
      <c r="N2167" s="1" t="s">
        <v>8953</v>
      </c>
      <c r="O2167" s="1" t="s">
        <v>8954</v>
      </c>
      <c r="P2167" s="1" t="s">
        <v>8955</v>
      </c>
      <c r="Q2167" s="1" t="s">
        <v>8956</v>
      </c>
      <c r="R2167" s="1" t="s">
        <v>8958</v>
      </c>
      <c r="S2167" s="1" t="s">
        <v>7201</v>
      </c>
      <c r="T2167" s="1" t="s">
        <v>11</v>
      </c>
      <c r="U2167" s="1" t="s">
        <v>97</v>
      </c>
    </row>
    <row r="2168" spans="1:21" x14ac:dyDescent="0.2">
      <c r="A2168" s="88" t="s">
        <v>17883</v>
      </c>
      <c r="B2168" s="88" t="e">
        <f>VLOOKUP(C2168,#REF!,1,0)</f>
        <v>#REF!</v>
      </c>
      <c r="C2168" s="1" t="s">
        <v>7202</v>
      </c>
      <c r="D2168" s="1" t="s">
        <v>7203</v>
      </c>
      <c r="E2168" s="1" t="s">
        <v>9333</v>
      </c>
      <c r="F2168" s="1" t="s">
        <v>8957</v>
      </c>
      <c r="G2168" t="s">
        <v>8959</v>
      </c>
      <c r="H2168" s="1" t="s">
        <v>8984</v>
      </c>
      <c r="I2168" s="1" t="s">
        <v>8998</v>
      </c>
      <c r="J2168" s="2" t="s">
        <v>10525</v>
      </c>
      <c r="K2168" s="1" t="s">
        <v>10525</v>
      </c>
      <c r="L2168" s="1" t="s">
        <v>9076</v>
      </c>
      <c r="M2168" s="1">
        <v>124</v>
      </c>
      <c r="N2168" s="1" t="s">
        <v>9059</v>
      </c>
      <c r="O2168" s="1" t="s">
        <v>8989</v>
      </c>
      <c r="P2168" s="1" t="s">
        <v>8955</v>
      </c>
      <c r="Q2168" s="1" t="s">
        <v>8956</v>
      </c>
      <c r="R2168" s="1" t="s">
        <v>8958</v>
      </c>
      <c r="S2168" s="1" t="s">
        <v>20108</v>
      </c>
      <c r="T2168" s="1" t="s">
        <v>7</v>
      </c>
      <c r="U2168" s="1" t="s">
        <v>46</v>
      </c>
    </row>
    <row r="2169" spans="1:21" x14ac:dyDescent="0.2">
      <c r="A2169" s="88" t="s">
        <v>17884</v>
      </c>
      <c r="B2169" s="88" t="e">
        <f>VLOOKUP(C2169,#REF!,1,0)</f>
        <v>#REF!</v>
      </c>
      <c r="C2169" s="1" t="s">
        <v>7204</v>
      </c>
      <c r="D2169" s="1" t="s">
        <v>7205</v>
      </c>
      <c r="E2169" s="1" t="s">
        <v>9310</v>
      </c>
      <c r="F2169" s="1" t="s">
        <v>8957</v>
      </c>
      <c r="G2169" t="s">
        <v>9183</v>
      </c>
      <c r="H2169" s="1" t="s">
        <v>8948</v>
      </c>
      <c r="I2169" s="1" t="s">
        <v>8998</v>
      </c>
      <c r="J2169" s="2" t="s">
        <v>21474</v>
      </c>
      <c r="K2169" s="1" t="s">
        <v>21736</v>
      </c>
      <c r="L2169" s="1" t="s">
        <v>21600</v>
      </c>
      <c r="M2169" s="1">
        <v>32</v>
      </c>
      <c r="N2169" s="1" t="s">
        <v>8953</v>
      </c>
      <c r="O2169" s="1" t="s">
        <v>8989</v>
      </c>
      <c r="P2169" s="1" t="s">
        <v>8955</v>
      </c>
      <c r="Q2169" s="1" t="s">
        <v>8956</v>
      </c>
      <c r="R2169" s="1" t="s">
        <v>8958</v>
      </c>
      <c r="S2169" s="1" t="s">
        <v>7206</v>
      </c>
      <c r="T2169" s="1" t="s">
        <v>11</v>
      </c>
      <c r="U2169" s="1" t="s">
        <v>93</v>
      </c>
    </row>
    <row r="2170" spans="1:21" x14ac:dyDescent="0.2">
      <c r="A2170" s="88" t="s">
        <v>17885</v>
      </c>
      <c r="B2170" s="88" t="e">
        <f>VLOOKUP(C2170,#REF!,1,0)</f>
        <v>#REF!</v>
      </c>
      <c r="C2170" s="1" t="s">
        <v>7207</v>
      </c>
      <c r="D2170" s="1" t="s">
        <v>7208</v>
      </c>
      <c r="E2170" s="1" t="s">
        <v>9310</v>
      </c>
      <c r="F2170" s="1" t="s">
        <v>9060</v>
      </c>
      <c r="G2170" t="s">
        <v>9061</v>
      </c>
      <c r="H2170" s="1" t="s">
        <v>8948</v>
      </c>
      <c r="I2170" s="1" t="s">
        <v>8949</v>
      </c>
      <c r="J2170" s="2" t="s">
        <v>20779</v>
      </c>
      <c r="K2170" s="1" t="s">
        <v>9036</v>
      </c>
      <c r="L2170" s="1" t="s">
        <v>9076</v>
      </c>
      <c r="M2170" s="1">
        <v>8</v>
      </c>
      <c r="N2170" s="1" t="s">
        <v>9059</v>
      </c>
      <c r="O2170" s="1" t="s">
        <v>8989</v>
      </c>
      <c r="P2170" s="1" t="s">
        <v>8955</v>
      </c>
      <c r="Q2170" s="1" t="s">
        <v>8956</v>
      </c>
      <c r="R2170" s="1" t="s">
        <v>8975</v>
      </c>
      <c r="S2170" s="1" t="s">
        <v>20109</v>
      </c>
      <c r="T2170" s="1" t="s">
        <v>7</v>
      </c>
      <c r="U2170" s="1" t="s">
        <v>21</v>
      </c>
    </row>
    <row r="2171" spans="1:21" x14ac:dyDescent="0.2">
      <c r="A2171" s="88" t="s">
        <v>17886</v>
      </c>
      <c r="B2171" s="88" t="e">
        <f>VLOOKUP(C2171,#REF!,1,0)</f>
        <v>#REF!</v>
      </c>
      <c r="C2171" s="1" t="s">
        <v>7209</v>
      </c>
      <c r="D2171" s="1" t="s">
        <v>7210</v>
      </c>
      <c r="E2171" s="1" t="s">
        <v>9310</v>
      </c>
      <c r="F2171" s="1" t="s">
        <v>8957</v>
      </c>
      <c r="G2171" t="s">
        <v>9061</v>
      </c>
      <c r="H2171" s="1" t="s">
        <v>20712</v>
      </c>
      <c r="I2171" s="1" t="s">
        <v>9155</v>
      </c>
      <c r="J2171" s="2" t="s">
        <v>21454</v>
      </c>
      <c r="K2171" s="1" t="s">
        <v>21442</v>
      </c>
      <c r="L2171" s="1" t="s">
        <v>9076</v>
      </c>
      <c r="M2171" s="1">
        <v>15000</v>
      </c>
      <c r="N2171" s="1" t="s">
        <v>8953</v>
      </c>
      <c r="O2171" s="1" t="s">
        <v>8954</v>
      </c>
      <c r="P2171" s="1" t="s">
        <v>8955</v>
      </c>
      <c r="Q2171" s="1" t="s">
        <v>8956</v>
      </c>
      <c r="R2171" s="1" t="s">
        <v>8975</v>
      </c>
      <c r="S2171" s="1" t="s">
        <v>20110</v>
      </c>
      <c r="T2171" s="1" t="s">
        <v>7</v>
      </c>
      <c r="U2171" s="1" t="s">
        <v>4018</v>
      </c>
    </row>
    <row r="2172" spans="1:21" x14ac:dyDescent="0.2">
      <c r="A2172" s="88" t="s">
        <v>17887</v>
      </c>
      <c r="B2172" s="88"/>
      <c r="C2172" s="1" t="s">
        <v>7215</v>
      </c>
      <c r="D2172" s="1" t="s">
        <v>7216</v>
      </c>
      <c r="E2172" s="1" t="e">
        <v>#N/A</v>
      </c>
      <c r="F2172" s="1" t="e">
        <v>#N/A</v>
      </c>
      <c r="G2172" t="e">
        <v>#N/A</v>
      </c>
      <c r="H2172" s="1" t="e">
        <v>#N/A</v>
      </c>
      <c r="I2172" s="1" t="e">
        <v>#N/A</v>
      </c>
      <c r="J2172" s="2" t="e">
        <v>#N/A</v>
      </c>
      <c r="K2172" s="1" t="e">
        <v>#N/A</v>
      </c>
      <c r="L2172" s="1" t="e">
        <v>#N/A</v>
      </c>
      <c r="M2172" s="1" t="e">
        <v>#N/A</v>
      </c>
      <c r="N2172" s="1" t="e">
        <v>#N/A</v>
      </c>
      <c r="O2172" s="1" t="e">
        <v>#N/A</v>
      </c>
      <c r="P2172" s="1" t="s">
        <v>8955</v>
      </c>
      <c r="Q2172" s="1" t="s">
        <v>8956</v>
      </c>
      <c r="R2172" s="1" t="s">
        <v>8975</v>
      </c>
      <c r="S2172" s="1" t="s">
        <v>20112</v>
      </c>
      <c r="T2172" s="1" t="s">
        <v>252</v>
      </c>
      <c r="U2172" s="1" t="s">
        <v>7217</v>
      </c>
    </row>
    <row r="2173" spans="1:21" x14ac:dyDescent="0.2">
      <c r="A2173" s="88" t="s">
        <v>17888</v>
      </c>
      <c r="B2173" s="88" t="e">
        <f>VLOOKUP(C2173,#REF!,1,0)</f>
        <v>#REF!</v>
      </c>
      <c r="C2173" s="1" t="s">
        <v>7221</v>
      </c>
      <c r="D2173" s="1" t="s">
        <v>7222</v>
      </c>
      <c r="E2173" s="1" t="s">
        <v>18502</v>
      </c>
      <c r="F2173" s="1" t="s">
        <v>8959</v>
      </c>
      <c r="G2173" t="s">
        <v>8959</v>
      </c>
      <c r="H2173" s="1" t="s">
        <v>8948</v>
      </c>
      <c r="I2173" s="1" t="s">
        <v>8998</v>
      </c>
      <c r="J2173" s="2" t="s">
        <v>21346</v>
      </c>
      <c r="K2173" s="1" t="s">
        <v>21876</v>
      </c>
      <c r="L2173" s="1" t="s">
        <v>21600</v>
      </c>
      <c r="M2173" s="1">
        <v>25600</v>
      </c>
      <c r="N2173" s="1" t="s">
        <v>8953</v>
      </c>
      <c r="O2173" s="1" t="s">
        <v>8954</v>
      </c>
      <c r="P2173" s="1" t="s">
        <v>8955</v>
      </c>
      <c r="Q2173" s="1" t="s">
        <v>8956</v>
      </c>
      <c r="R2173" s="1" t="s">
        <v>8958</v>
      </c>
      <c r="S2173" s="1" t="s">
        <v>20114</v>
      </c>
      <c r="T2173" s="1" t="s">
        <v>17</v>
      </c>
      <c r="U2173" s="1" t="s">
        <v>61</v>
      </c>
    </row>
    <row r="2174" spans="1:21" x14ac:dyDescent="0.2">
      <c r="A2174" s="88" t="s">
        <v>17889</v>
      </c>
      <c r="B2174" s="88" t="e">
        <f>VLOOKUP(C2174,#REF!,1,0)</f>
        <v>#REF!</v>
      </c>
      <c r="C2174" s="1" t="s">
        <v>7223</v>
      </c>
      <c r="D2174" s="1" t="s">
        <v>7224</v>
      </c>
      <c r="E2174" s="1" t="s">
        <v>9010</v>
      </c>
      <c r="F2174" s="1" t="s">
        <v>9060</v>
      </c>
      <c r="G2174" t="s">
        <v>9183</v>
      </c>
      <c r="H2174" s="1" t="s">
        <v>9092</v>
      </c>
      <c r="I2174" s="1" t="s">
        <v>9155</v>
      </c>
      <c r="J2174" s="2" t="s">
        <v>9036</v>
      </c>
      <c r="K2174" s="1" t="s">
        <v>9036</v>
      </c>
      <c r="L2174" s="1" t="s">
        <v>9133</v>
      </c>
      <c r="M2174" s="1">
        <v>19</v>
      </c>
      <c r="N2174" s="1" t="s">
        <v>9059</v>
      </c>
      <c r="O2174" s="1" t="s">
        <v>8954</v>
      </c>
      <c r="P2174" s="1" t="s">
        <v>8955</v>
      </c>
      <c r="Q2174" s="1" t="s">
        <v>8956</v>
      </c>
      <c r="R2174" s="1" t="s">
        <v>8975</v>
      </c>
      <c r="S2174" s="1" t="s">
        <v>7225</v>
      </c>
      <c r="T2174" s="1" t="s">
        <v>17</v>
      </c>
      <c r="U2174" s="1" t="s">
        <v>733</v>
      </c>
    </row>
    <row r="2175" spans="1:21" x14ac:dyDescent="0.2">
      <c r="A2175" s="88" t="s">
        <v>17890</v>
      </c>
      <c r="B2175" s="88" t="e">
        <f>VLOOKUP(C2175,#REF!,1,0)</f>
        <v>#REF!</v>
      </c>
      <c r="C2175" s="1" t="s">
        <v>7226</v>
      </c>
      <c r="D2175" s="1" t="s">
        <v>7227</v>
      </c>
      <c r="E2175" s="1" t="s">
        <v>9650</v>
      </c>
      <c r="F2175" s="1" t="s">
        <v>9060</v>
      </c>
      <c r="G2175" t="s">
        <v>8959</v>
      </c>
      <c r="H2175" s="1" t="s">
        <v>9075</v>
      </c>
      <c r="I2175" s="1" t="s">
        <v>9155</v>
      </c>
      <c r="J2175" s="2" t="s">
        <v>21038</v>
      </c>
      <c r="K2175" s="1" t="s">
        <v>21877</v>
      </c>
      <c r="L2175" s="1" t="s">
        <v>21600</v>
      </c>
      <c r="M2175" s="1">
        <v>21</v>
      </c>
      <c r="N2175" s="1" t="s">
        <v>9059</v>
      </c>
      <c r="O2175" s="1" t="s">
        <v>8989</v>
      </c>
      <c r="P2175" s="1" t="s">
        <v>8955</v>
      </c>
      <c r="Q2175" s="1" t="s">
        <v>8956</v>
      </c>
      <c r="R2175" s="1" t="s">
        <v>8975</v>
      </c>
      <c r="S2175" s="1" t="s">
        <v>20115</v>
      </c>
      <c r="T2175" s="1" t="s">
        <v>17</v>
      </c>
      <c r="U2175" s="1" t="s">
        <v>184</v>
      </c>
    </row>
    <row r="2176" spans="1:21" x14ac:dyDescent="0.2">
      <c r="A2176" s="88" t="s">
        <v>17891</v>
      </c>
      <c r="B2176" s="88" t="e">
        <f>VLOOKUP(C2176,#REF!,1,0)</f>
        <v>#REF!</v>
      </c>
      <c r="C2176" s="1" t="s">
        <v>7228</v>
      </c>
      <c r="D2176" s="1" t="s">
        <v>7229</v>
      </c>
      <c r="E2176" s="1" t="s">
        <v>10873</v>
      </c>
      <c r="F2176" s="1" t="s">
        <v>8974</v>
      </c>
      <c r="G2176" t="s">
        <v>9009</v>
      </c>
      <c r="H2176" s="1" t="s">
        <v>9154</v>
      </c>
      <c r="I2176" s="1" t="s">
        <v>8998</v>
      </c>
      <c r="J2176" s="2" t="s">
        <v>9036</v>
      </c>
      <c r="K2176" s="1" t="s">
        <v>9036</v>
      </c>
      <c r="L2176" s="1" t="s">
        <v>8987</v>
      </c>
      <c r="M2176" s="1">
        <v>802</v>
      </c>
      <c r="N2176" s="1" t="s">
        <v>8953</v>
      </c>
      <c r="O2176" s="1" t="s">
        <v>8954</v>
      </c>
      <c r="P2176" s="1" t="s">
        <v>8955</v>
      </c>
      <c r="Q2176" s="1" t="s">
        <v>8956</v>
      </c>
      <c r="R2176" s="1" t="s">
        <v>8975</v>
      </c>
      <c r="S2176" s="1" t="s">
        <v>7230</v>
      </c>
      <c r="T2176" s="1" t="s">
        <v>11</v>
      </c>
      <c r="U2176" s="1" t="s">
        <v>64</v>
      </c>
    </row>
    <row r="2177" spans="1:21" x14ac:dyDescent="0.2">
      <c r="A2177" s="88" t="s">
        <v>17892</v>
      </c>
      <c r="B2177" s="88" t="e">
        <f>VLOOKUP(C2177,#REF!,1,0)</f>
        <v>#REF!</v>
      </c>
      <c r="C2177" s="1" t="s">
        <v>7231</v>
      </c>
      <c r="D2177" s="1" t="s">
        <v>7232</v>
      </c>
      <c r="E2177" s="1" t="s">
        <v>11671</v>
      </c>
      <c r="F2177" s="1" t="s">
        <v>9060</v>
      </c>
      <c r="G2177" t="s">
        <v>9061</v>
      </c>
      <c r="H2177" s="1" t="s">
        <v>9035</v>
      </c>
      <c r="I2177" s="1" t="s">
        <v>9155</v>
      </c>
      <c r="J2177" s="2" t="s">
        <v>10492</v>
      </c>
      <c r="K2177" s="1" t="s">
        <v>21645</v>
      </c>
      <c r="L2177" s="1" t="s">
        <v>21600</v>
      </c>
      <c r="M2177" s="1">
        <v>349</v>
      </c>
      <c r="N2177" s="1" t="s">
        <v>8953</v>
      </c>
      <c r="O2177" s="1" t="s">
        <v>8989</v>
      </c>
      <c r="P2177" s="1" t="s">
        <v>8955</v>
      </c>
      <c r="Q2177" s="1" t="s">
        <v>8956</v>
      </c>
      <c r="R2177" s="1" t="s">
        <v>8958</v>
      </c>
      <c r="S2177" s="1" t="s">
        <v>20695</v>
      </c>
      <c r="T2177" s="1" t="s">
        <v>7</v>
      </c>
      <c r="U2177" s="1" t="s">
        <v>7233</v>
      </c>
    </row>
    <row r="2178" spans="1:21" x14ac:dyDescent="0.2">
      <c r="A2178" s="88" t="s">
        <v>17893</v>
      </c>
      <c r="B2178" s="88" t="e">
        <f>VLOOKUP(C2178,#REF!,1,0)</f>
        <v>#REF!</v>
      </c>
      <c r="C2178" s="1" t="s">
        <v>7234</v>
      </c>
      <c r="D2178" s="1" t="s">
        <v>7235</v>
      </c>
      <c r="E2178" s="1" t="s">
        <v>9176</v>
      </c>
      <c r="F2178" s="1" t="s">
        <v>8974</v>
      </c>
      <c r="G2178" t="s">
        <v>8959</v>
      </c>
      <c r="H2178" s="1" t="s">
        <v>9075</v>
      </c>
      <c r="I2178" s="1" t="s">
        <v>8971</v>
      </c>
      <c r="J2178" s="2" t="s">
        <v>20838</v>
      </c>
      <c r="K2178" s="1" t="s">
        <v>20755</v>
      </c>
      <c r="L2178" s="1" t="s">
        <v>8951</v>
      </c>
      <c r="M2178" s="1">
        <v>1648</v>
      </c>
      <c r="N2178" s="1" t="s">
        <v>9059</v>
      </c>
      <c r="O2178" s="1" t="s">
        <v>8954</v>
      </c>
      <c r="P2178" s="1" t="s">
        <v>8955</v>
      </c>
      <c r="Q2178" s="1" t="s">
        <v>8956</v>
      </c>
      <c r="R2178" s="1" t="s">
        <v>9103</v>
      </c>
      <c r="S2178" s="1" t="s">
        <v>20116</v>
      </c>
      <c r="T2178" s="1" t="s">
        <v>17</v>
      </c>
      <c r="U2178" s="1" t="s">
        <v>7236</v>
      </c>
    </row>
    <row r="2179" spans="1:21" x14ac:dyDescent="0.2">
      <c r="A2179" s="88" t="s">
        <v>17894</v>
      </c>
      <c r="B2179" s="88" t="e">
        <f>VLOOKUP(C2179,#REF!,1,0)</f>
        <v>#REF!</v>
      </c>
      <c r="C2179" s="1" t="s">
        <v>7237</v>
      </c>
      <c r="D2179" s="1" t="s">
        <v>7238</v>
      </c>
      <c r="E2179" s="1" t="s">
        <v>9380</v>
      </c>
      <c r="F2179" s="1" t="s">
        <v>8959</v>
      </c>
      <c r="G2179" t="s">
        <v>8959</v>
      </c>
      <c r="H2179" s="1" t="s">
        <v>9605</v>
      </c>
      <c r="I2179" s="1" t="s">
        <v>9101</v>
      </c>
      <c r="J2179" s="2" t="s">
        <v>21040</v>
      </c>
      <c r="K2179" s="1" t="s">
        <v>21040</v>
      </c>
      <c r="L2179" s="1" t="s">
        <v>8987</v>
      </c>
      <c r="M2179" s="1">
        <v>862</v>
      </c>
      <c r="N2179" s="1" t="s">
        <v>8953</v>
      </c>
      <c r="O2179" s="1" t="s">
        <v>8989</v>
      </c>
      <c r="P2179" s="1" t="s">
        <v>8955</v>
      </c>
      <c r="Q2179" s="1" t="s">
        <v>8956</v>
      </c>
      <c r="R2179" s="1" t="s">
        <v>9103</v>
      </c>
      <c r="S2179" s="1" t="s">
        <v>20117</v>
      </c>
      <c r="T2179" s="1" t="s">
        <v>7</v>
      </c>
      <c r="U2179" s="1" t="s">
        <v>46</v>
      </c>
    </row>
    <row r="2180" spans="1:21" x14ac:dyDescent="0.2">
      <c r="A2180" s="88" t="s">
        <v>17895</v>
      </c>
      <c r="B2180" s="88" t="e">
        <f>VLOOKUP(C2180,#REF!,1,0)</f>
        <v>#REF!</v>
      </c>
      <c r="C2180" s="1" t="s">
        <v>7239</v>
      </c>
      <c r="D2180" s="1" t="s">
        <v>7240</v>
      </c>
      <c r="E2180" s="1" t="s">
        <v>21041</v>
      </c>
      <c r="F2180" s="1" t="s">
        <v>8957</v>
      </c>
      <c r="G2180" t="s">
        <v>8959</v>
      </c>
      <c r="H2180" s="1" t="s">
        <v>9035</v>
      </c>
      <c r="I2180" s="1" t="s">
        <v>8998</v>
      </c>
      <c r="J2180" s="2" t="s">
        <v>20779</v>
      </c>
      <c r="K2180" s="1" t="s">
        <v>9036</v>
      </c>
      <c r="L2180" s="1" t="s">
        <v>8987</v>
      </c>
      <c r="M2180" s="1">
        <v>1018</v>
      </c>
      <c r="N2180" s="1" t="s">
        <v>9059</v>
      </c>
      <c r="O2180" s="1" t="s">
        <v>8954</v>
      </c>
      <c r="P2180" s="1" t="s">
        <v>8955</v>
      </c>
      <c r="Q2180" s="1" t="s">
        <v>8956</v>
      </c>
      <c r="R2180" s="1" t="s">
        <v>8958</v>
      </c>
      <c r="S2180" s="1" t="s">
        <v>20118</v>
      </c>
      <c r="T2180" s="1" t="s">
        <v>17</v>
      </c>
      <c r="U2180" s="1" t="s">
        <v>35</v>
      </c>
    </row>
    <row r="2181" spans="1:21" x14ac:dyDescent="0.2">
      <c r="A2181" s="88" t="s">
        <v>17896</v>
      </c>
      <c r="B2181" s="88" t="e">
        <f>VLOOKUP(C2181,#REF!,1,0)</f>
        <v>#REF!</v>
      </c>
      <c r="C2181" s="1" t="s">
        <v>7241</v>
      </c>
      <c r="D2181" s="1" t="s">
        <v>7242</v>
      </c>
      <c r="E2181" s="1" t="s">
        <v>9380</v>
      </c>
      <c r="F2181" s="1" t="s">
        <v>8957</v>
      </c>
      <c r="G2181" t="s">
        <v>8959</v>
      </c>
      <c r="H2181" s="1" t="s">
        <v>9035</v>
      </c>
      <c r="I2181" s="1" t="s">
        <v>8998</v>
      </c>
      <c r="J2181" s="2" t="s">
        <v>21582</v>
      </c>
      <c r="K2181" s="1" t="s">
        <v>21737</v>
      </c>
      <c r="L2181" s="1" t="s">
        <v>21043</v>
      </c>
      <c r="M2181" s="1">
        <v>1186</v>
      </c>
      <c r="N2181" s="1" t="s">
        <v>8953</v>
      </c>
      <c r="O2181" s="1" t="s">
        <v>8954</v>
      </c>
      <c r="P2181" s="1" t="s">
        <v>8955</v>
      </c>
      <c r="Q2181" s="1" t="s">
        <v>8956</v>
      </c>
      <c r="R2181" s="1" t="s">
        <v>9103</v>
      </c>
      <c r="S2181" s="1" t="s">
        <v>20119</v>
      </c>
      <c r="T2181" s="1" t="s">
        <v>7</v>
      </c>
      <c r="U2181" s="1" t="s">
        <v>46</v>
      </c>
    </row>
    <row r="2182" spans="1:21" x14ac:dyDescent="0.2">
      <c r="A2182" s="88" t="s">
        <v>17897</v>
      </c>
      <c r="B2182" s="88" t="e">
        <f>VLOOKUP(C2182,#REF!,1,0)</f>
        <v>#REF!</v>
      </c>
      <c r="C2182" s="1" t="s">
        <v>7243</v>
      </c>
      <c r="D2182" s="1" t="s">
        <v>7244</v>
      </c>
      <c r="E2182" s="1" t="s">
        <v>9246</v>
      </c>
      <c r="F2182" s="1" t="s">
        <v>9060</v>
      </c>
      <c r="G2182" t="s">
        <v>9061</v>
      </c>
      <c r="H2182" s="1" t="s">
        <v>8984</v>
      </c>
      <c r="I2182" s="1" t="s">
        <v>8949</v>
      </c>
      <c r="J2182" s="2" t="s">
        <v>9036</v>
      </c>
      <c r="K2182" s="1" t="s">
        <v>9036</v>
      </c>
      <c r="L2182" s="1" t="s">
        <v>21600</v>
      </c>
      <c r="M2182" s="1">
        <v>140</v>
      </c>
      <c r="N2182" s="1" t="s">
        <v>9059</v>
      </c>
      <c r="O2182" s="1" t="s">
        <v>8989</v>
      </c>
      <c r="P2182" s="1" t="s">
        <v>8955</v>
      </c>
      <c r="Q2182" s="1" t="s">
        <v>8956</v>
      </c>
      <c r="R2182" s="1" t="s">
        <v>8975</v>
      </c>
      <c r="S2182" s="1" t="s">
        <v>7245</v>
      </c>
      <c r="T2182" s="1" t="s">
        <v>4</v>
      </c>
      <c r="U2182" s="1" t="s">
        <v>24</v>
      </c>
    </row>
    <row r="2183" spans="1:21" x14ac:dyDescent="0.2">
      <c r="A2183" s="88" t="s">
        <v>17898</v>
      </c>
      <c r="B2183" s="88" t="e">
        <f>VLOOKUP(C2183,#REF!,1,0)</f>
        <v>#REF!</v>
      </c>
      <c r="C2183" s="1" t="s">
        <v>7249</v>
      </c>
      <c r="D2183" s="1" t="s">
        <v>7250</v>
      </c>
      <c r="E2183" s="1" t="s">
        <v>9317</v>
      </c>
      <c r="F2183" s="1" t="s">
        <v>8957</v>
      </c>
      <c r="G2183" t="s">
        <v>8959</v>
      </c>
      <c r="H2183" s="1" t="s">
        <v>9154</v>
      </c>
      <c r="I2183" s="1" t="s">
        <v>9325</v>
      </c>
      <c r="J2183" s="2" t="s">
        <v>9036</v>
      </c>
      <c r="K2183" s="1" t="s">
        <v>9036</v>
      </c>
      <c r="L2183" s="1" t="s">
        <v>8951</v>
      </c>
      <c r="M2183" s="1">
        <v>200000</v>
      </c>
      <c r="N2183" s="1" t="s">
        <v>8953</v>
      </c>
      <c r="O2183" s="1" t="s">
        <v>8989</v>
      </c>
      <c r="P2183" s="1" t="s">
        <v>8955</v>
      </c>
      <c r="Q2183" s="1" t="s">
        <v>8956</v>
      </c>
      <c r="R2183" s="1" t="s">
        <v>8958</v>
      </c>
      <c r="S2183" s="1" t="s">
        <v>7251</v>
      </c>
      <c r="T2183" s="1" t="s">
        <v>17</v>
      </c>
      <c r="U2183" s="1" t="s">
        <v>6442</v>
      </c>
    </row>
    <row r="2184" spans="1:21" x14ac:dyDescent="0.2">
      <c r="A2184" s="88" t="s">
        <v>17899</v>
      </c>
      <c r="B2184" s="88" t="e">
        <f>VLOOKUP(C2184,#REF!,1,0)</f>
        <v>#REF!</v>
      </c>
      <c r="C2184" s="1" t="s">
        <v>7252</v>
      </c>
      <c r="D2184" s="1" t="s">
        <v>7253</v>
      </c>
      <c r="E2184" s="1" t="s">
        <v>9317</v>
      </c>
      <c r="F2184" s="1" t="s">
        <v>8959</v>
      </c>
      <c r="G2184" t="s">
        <v>9009</v>
      </c>
      <c r="H2184" s="1" t="s">
        <v>9049</v>
      </c>
      <c r="I2184" s="1" t="s">
        <v>9325</v>
      </c>
      <c r="J2184" s="2" t="s">
        <v>9036</v>
      </c>
      <c r="K2184" s="1" t="s">
        <v>9036</v>
      </c>
      <c r="L2184" s="1" t="s">
        <v>8951</v>
      </c>
      <c r="M2184" s="1">
        <v>1112</v>
      </c>
      <c r="N2184" s="1" t="s">
        <v>8953</v>
      </c>
      <c r="O2184" s="1" t="s">
        <v>8989</v>
      </c>
      <c r="P2184" s="1" t="s">
        <v>8955</v>
      </c>
      <c r="Q2184" s="1" t="s">
        <v>8956</v>
      </c>
      <c r="R2184" s="1" t="s">
        <v>9103</v>
      </c>
      <c r="S2184" s="1" t="s">
        <v>7254</v>
      </c>
      <c r="T2184" s="1" t="s">
        <v>11</v>
      </c>
      <c r="U2184" s="1" t="s">
        <v>4060</v>
      </c>
    </row>
    <row r="2185" spans="1:21" x14ac:dyDescent="0.2">
      <c r="A2185" s="88" t="s">
        <v>17900</v>
      </c>
      <c r="B2185" s="88" t="e">
        <f>VLOOKUP(C2185,#REF!,1,0)</f>
        <v>#REF!</v>
      </c>
      <c r="C2185" s="1" t="s">
        <v>7255</v>
      </c>
      <c r="D2185" s="1" t="s">
        <v>7256</v>
      </c>
      <c r="E2185" s="1" t="s">
        <v>9317</v>
      </c>
      <c r="F2185" s="1" t="s">
        <v>8959</v>
      </c>
      <c r="G2185" t="s">
        <v>9183</v>
      </c>
      <c r="H2185" s="1" t="s">
        <v>9049</v>
      </c>
      <c r="I2185" s="1" t="s">
        <v>9121</v>
      </c>
      <c r="J2185" s="2" t="s">
        <v>9036</v>
      </c>
      <c r="K2185" s="1" t="s">
        <v>9036</v>
      </c>
      <c r="L2185" s="1" t="s">
        <v>11747</v>
      </c>
      <c r="M2185" s="1">
        <v>400</v>
      </c>
      <c r="N2185" s="1" t="s">
        <v>8953</v>
      </c>
      <c r="O2185" s="1" t="s">
        <v>8989</v>
      </c>
      <c r="P2185" s="1" t="s">
        <v>8955</v>
      </c>
      <c r="Q2185" s="1" t="s">
        <v>8956</v>
      </c>
      <c r="R2185" s="1" t="s">
        <v>9103</v>
      </c>
      <c r="S2185" s="1" t="s">
        <v>7254</v>
      </c>
      <c r="T2185" s="1" t="s">
        <v>11</v>
      </c>
      <c r="U2185" s="1" t="s">
        <v>4060</v>
      </c>
    </row>
    <row r="2186" spans="1:21" x14ac:dyDescent="0.2">
      <c r="A2186" s="88" t="s">
        <v>17901</v>
      </c>
      <c r="B2186" s="88" t="e">
        <f>VLOOKUP(C2186,#REF!,1,0)</f>
        <v>#REF!</v>
      </c>
      <c r="C2186" s="1" t="s">
        <v>7257</v>
      </c>
      <c r="D2186" s="1" t="s">
        <v>7258</v>
      </c>
      <c r="E2186" s="1" t="s">
        <v>9010</v>
      </c>
      <c r="F2186" s="1" t="s">
        <v>8957</v>
      </c>
      <c r="G2186" t="s">
        <v>8959</v>
      </c>
      <c r="H2186" s="1" t="s">
        <v>14854</v>
      </c>
      <c r="I2186" s="1" t="s">
        <v>9155</v>
      </c>
      <c r="J2186" s="2" t="s">
        <v>9036</v>
      </c>
      <c r="K2186" s="1" t="s">
        <v>9036</v>
      </c>
      <c r="L2186" s="1" t="s">
        <v>9292</v>
      </c>
      <c r="M2186" s="1">
        <v>170052</v>
      </c>
      <c r="N2186" s="1" t="s">
        <v>8953</v>
      </c>
      <c r="O2186" s="1" t="s">
        <v>8989</v>
      </c>
      <c r="P2186" s="1" t="s">
        <v>8955</v>
      </c>
      <c r="Q2186" s="1" t="s">
        <v>8956</v>
      </c>
      <c r="R2186" s="1" t="s">
        <v>8958</v>
      </c>
      <c r="S2186" s="1" t="s">
        <v>7259</v>
      </c>
      <c r="T2186" s="1" t="s">
        <v>17</v>
      </c>
      <c r="U2186" s="1" t="s">
        <v>200</v>
      </c>
    </row>
    <row r="2187" spans="1:21" x14ac:dyDescent="0.2">
      <c r="A2187" s="88" t="s">
        <v>17902</v>
      </c>
      <c r="B2187" s="88" t="e">
        <f>VLOOKUP(C2187,#REF!,1,0)</f>
        <v>#REF!</v>
      </c>
      <c r="C2187" s="1" t="s">
        <v>7260</v>
      </c>
      <c r="D2187" s="1" t="s">
        <v>7261</v>
      </c>
      <c r="E2187" s="1" t="s">
        <v>9010</v>
      </c>
      <c r="F2187" s="1" t="s">
        <v>8957</v>
      </c>
      <c r="G2187" t="s">
        <v>9061</v>
      </c>
      <c r="H2187" s="1" t="s">
        <v>9092</v>
      </c>
      <c r="I2187" s="1" t="s">
        <v>8949</v>
      </c>
      <c r="J2187" s="2" t="s">
        <v>13570</v>
      </c>
      <c r="K2187" s="1" t="s">
        <v>13570</v>
      </c>
      <c r="L2187" s="1" t="s">
        <v>8987</v>
      </c>
      <c r="M2187" s="1">
        <v>1240</v>
      </c>
      <c r="N2187" s="1" t="s">
        <v>8953</v>
      </c>
      <c r="O2187" s="1" t="s">
        <v>8989</v>
      </c>
      <c r="P2187" s="1" t="s">
        <v>8955</v>
      </c>
      <c r="Q2187" s="1" t="s">
        <v>8956</v>
      </c>
      <c r="R2187" s="1" t="s">
        <v>8958</v>
      </c>
      <c r="S2187" s="1" t="s">
        <v>7262</v>
      </c>
      <c r="T2187" s="1" t="s">
        <v>11</v>
      </c>
      <c r="U2187" s="1" t="s">
        <v>87</v>
      </c>
    </row>
    <row r="2188" spans="1:21" x14ac:dyDescent="0.2">
      <c r="A2188" s="88" t="s">
        <v>17904</v>
      </c>
      <c r="B2188" s="88" t="e">
        <f>VLOOKUP(C2188,#REF!,1,0)</f>
        <v>#REF!</v>
      </c>
      <c r="C2188" s="1" t="s">
        <v>7265</v>
      </c>
      <c r="D2188" s="1" t="s">
        <v>7266</v>
      </c>
      <c r="E2188" s="1" t="s">
        <v>10008</v>
      </c>
      <c r="F2188" s="1" t="s">
        <v>9060</v>
      </c>
      <c r="G2188" t="s">
        <v>8959</v>
      </c>
      <c r="H2188" s="1" t="s">
        <v>9252</v>
      </c>
      <c r="I2188" s="1" t="s">
        <v>18504</v>
      </c>
      <c r="J2188" s="2" t="s">
        <v>21347</v>
      </c>
      <c r="K2188" s="1" t="s">
        <v>21738</v>
      </c>
      <c r="L2188" s="1" t="s">
        <v>8987</v>
      </c>
      <c r="M2188" s="1">
        <v>10561</v>
      </c>
      <c r="N2188" s="1" t="s">
        <v>8953</v>
      </c>
      <c r="O2188" s="1" t="s">
        <v>8954</v>
      </c>
      <c r="P2188" s="1" t="s">
        <v>8955</v>
      </c>
      <c r="Q2188" s="1" t="s">
        <v>8956</v>
      </c>
      <c r="R2188" s="1" t="s">
        <v>8958</v>
      </c>
      <c r="S2188" s="1" t="s">
        <v>20696</v>
      </c>
      <c r="T2188" s="1" t="s">
        <v>17</v>
      </c>
      <c r="U2188" s="1" t="s">
        <v>7267</v>
      </c>
    </row>
    <row r="2189" spans="1:21" x14ac:dyDescent="0.2">
      <c r="A2189" s="88" t="s">
        <v>17905</v>
      </c>
      <c r="B2189" s="88" t="e">
        <f>VLOOKUP(C2189,#REF!,1,0)</f>
        <v>#REF!</v>
      </c>
      <c r="C2189" s="1" t="s">
        <v>7268</v>
      </c>
      <c r="D2189" s="1" t="s">
        <v>7269</v>
      </c>
      <c r="E2189" s="1" t="s">
        <v>10008</v>
      </c>
      <c r="F2189" s="1" t="s">
        <v>8959</v>
      </c>
      <c r="G2189" t="s">
        <v>8959</v>
      </c>
      <c r="H2189" s="1" t="s">
        <v>8984</v>
      </c>
      <c r="I2189" s="1" t="s">
        <v>8949</v>
      </c>
      <c r="J2189" s="2" t="s">
        <v>9036</v>
      </c>
      <c r="K2189" s="1" t="s">
        <v>9036</v>
      </c>
      <c r="L2189" s="1" t="s">
        <v>8987</v>
      </c>
      <c r="M2189" s="1">
        <v>4020</v>
      </c>
      <c r="N2189" s="1" t="s">
        <v>8953</v>
      </c>
      <c r="O2189" s="1" t="s">
        <v>8989</v>
      </c>
      <c r="P2189" s="1" t="s">
        <v>8955</v>
      </c>
      <c r="Q2189" s="1" t="s">
        <v>8956</v>
      </c>
      <c r="R2189" s="1" t="s">
        <v>8958</v>
      </c>
      <c r="S2189" s="1" t="s">
        <v>7270</v>
      </c>
      <c r="T2189" s="1" t="s">
        <v>17</v>
      </c>
      <c r="U2189" s="1" t="s">
        <v>27</v>
      </c>
    </row>
    <row r="2190" spans="1:21" x14ac:dyDescent="0.2">
      <c r="A2190" s="88" t="s">
        <v>17907</v>
      </c>
      <c r="B2190" s="88" t="e">
        <f>VLOOKUP(C2190,#REF!,1,0)</f>
        <v>#REF!</v>
      </c>
      <c r="C2190" s="1" t="s">
        <v>7274</v>
      </c>
      <c r="D2190" s="1" t="s">
        <v>7275</v>
      </c>
      <c r="E2190" s="1" t="s">
        <v>10008</v>
      </c>
      <c r="F2190" s="1" t="s">
        <v>9060</v>
      </c>
      <c r="G2190" t="s">
        <v>8959</v>
      </c>
      <c r="H2190" s="1" t="s">
        <v>9035</v>
      </c>
      <c r="I2190" s="1" t="s">
        <v>8998</v>
      </c>
      <c r="J2190" s="2" t="s">
        <v>21583</v>
      </c>
      <c r="K2190" s="1" t="s">
        <v>21878</v>
      </c>
      <c r="L2190" s="1" t="s">
        <v>21600</v>
      </c>
      <c r="M2190" s="1">
        <v>114479</v>
      </c>
      <c r="N2190" s="1" t="s">
        <v>8953</v>
      </c>
      <c r="O2190" s="1" t="s">
        <v>8954</v>
      </c>
      <c r="P2190" s="1" t="s">
        <v>8955</v>
      </c>
      <c r="Q2190" s="1" t="s">
        <v>8956</v>
      </c>
      <c r="R2190" s="1" t="s">
        <v>8975</v>
      </c>
      <c r="S2190" s="1" t="s">
        <v>20698</v>
      </c>
      <c r="T2190" s="1" t="s">
        <v>7</v>
      </c>
      <c r="U2190" s="1" t="s">
        <v>7276</v>
      </c>
    </row>
    <row r="2191" spans="1:21" x14ac:dyDescent="0.2">
      <c r="A2191" s="88" t="s">
        <v>17908</v>
      </c>
      <c r="B2191" s="88" t="e">
        <f>VLOOKUP(C2191,#REF!,1,0)</f>
        <v>#REF!</v>
      </c>
      <c r="C2191" s="1" t="s">
        <v>7277</v>
      </c>
      <c r="D2191" s="1" t="s">
        <v>7278</v>
      </c>
      <c r="E2191" s="1" t="s">
        <v>10032</v>
      </c>
      <c r="F2191" s="1" t="s">
        <v>8957</v>
      </c>
      <c r="G2191" t="s">
        <v>8959</v>
      </c>
      <c r="H2191" s="1" t="s">
        <v>10436</v>
      </c>
      <c r="I2191" s="1" t="s">
        <v>8998</v>
      </c>
      <c r="J2191" s="2" t="s">
        <v>10437</v>
      </c>
      <c r="K2191" s="1" t="s">
        <v>10437</v>
      </c>
      <c r="L2191" s="1" t="s">
        <v>21600</v>
      </c>
      <c r="M2191" s="1">
        <v>11084</v>
      </c>
      <c r="N2191" s="1" t="s">
        <v>8953</v>
      </c>
      <c r="O2191" s="1" t="s">
        <v>8954</v>
      </c>
      <c r="P2191" s="1" t="s">
        <v>8955</v>
      </c>
      <c r="Q2191" s="1" t="s">
        <v>8956</v>
      </c>
      <c r="R2191" s="1" t="s">
        <v>8958</v>
      </c>
      <c r="S2191" s="1" t="s">
        <v>7279</v>
      </c>
      <c r="T2191" s="1" t="s">
        <v>17</v>
      </c>
      <c r="U2191" s="1" t="s">
        <v>286</v>
      </c>
    </row>
    <row r="2192" spans="1:21" x14ac:dyDescent="0.2">
      <c r="A2192" s="88" t="s">
        <v>17909</v>
      </c>
      <c r="B2192" s="88" t="e">
        <f>VLOOKUP(C2192,#REF!,1,0)</f>
        <v>#REF!</v>
      </c>
      <c r="C2192" s="1" t="s">
        <v>7280</v>
      </c>
      <c r="D2192" s="1" t="s">
        <v>7281</v>
      </c>
      <c r="E2192" s="1" t="s">
        <v>10008</v>
      </c>
      <c r="F2192" s="1" t="s">
        <v>8957</v>
      </c>
      <c r="G2192" t="s">
        <v>8959</v>
      </c>
      <c r="H2192" s="1" t="s">
        <v>9154</v>
      </c>
      <c r="I2192" s="1" t="s">
        <v>8949</v>
      </c>
      <c r="J2192" s="2" t="s">
        <v>10492</v>
      </c>
      <c r="K2192" s="1" t="s">
        <v>10492</v>
      </c>
      <c r="L2192" s="1" t="s">
        <v>21600</v>
      </c>
      <c r="M2192" s="1">
        <v>60</v>
      </c>
      <c r="N2192" s="1" t="s">
        <v>9059</v>
      </c>
      <c r="O2192" s="1" t="s">
        <v>8989</v>
      </c>
      <c r="P2192" s="1" t="s">
        <v>8955</v>
      </c>
      <c r="Q2192" s="1" t="s">
        <v>8956</v>
      </c>
      <c r="R2192" s="1" t="s">
        <v>8975</v>
      </c>
      <c r="S2192" s="1" t="s">
        <v>20122</v>
      </c>
      <c r="T2192" s="1" t="s">
        <v>7</v>
      </c>
      <c r="U2192" s="1" t="s">
        <v>46</v>
      </c>
    </row>
    <row r="2193" spans="1:21" x14ac:dyDescent="0.2">
      <c r="A2193" s="88" t="s">
        <v>17910</v>
      </c>
      <c r="B2193" s="88" t="e">
        <f>VLOOKUP(C2193,#REF!,1,0)</f>
        <v>#REF!</v>
      </c>
      <c r="C2193" s="1" t="s">
        <v>7285</v>
      </c>
      <c r="D2193" s="1" t="s">
        <v>7286</v>
      </c>
      <c r="E2193" s="1" t="s">
        <v>9380</v>
      </c>
      <c r="F2193" s="1" t="s">
        <v>8959</v>
      </c>
      <c r="G2193" t="s">
        <v>8959</v>
      </c>
      <c r="H2193" s="1" t="s">
        <v>9173</v>
      </c>
      <c r="I2193" s="1" t="s">
        <v>9174</v>
      </c>
      <c r="J2193" s="2" t="s">
        <v>18497</v>
      </c>
      <c r="K2193" s="1" t="s">
        <v>18497</v>
      </c>
      <c r="L2193" s="1" t="s">
        <v>21045</v>
      </c>
      <c r="M2193" s="1">
        <v>20329</v>
      </c>
      <c r="N2193" s="1" t="s">
        <v>8953</v>
      </c>
      <c r="O2193" s="1" t="s">
        <v>8954</v>
      </c>
      <c r="P2193" s="1" t="s">
        <v>8955</v>
      </c>
      <c r="Q2193" s="1" t="s">
        <v>8956</v>
      </c>
      <c r="R2193" s="1" t="s">
        <v>9103</v>
      </c>
      <c r="S2193" s="1" t="s">
        <v>20699</v>
      </c>
      <c r="T2193" s="1" t="s">
        <v>17</v>
      </c>
      <c r="U2193" s="1" t="s">
        <v>2178</v>
      </c>
    </row>
    <row r="2194" spans="1:21" x14ac:dyDescent="0.2">
      <c r="A2194" s="88" t="s">
        <v>17911</v>
      </c>
      <c r="B2194" s="88" t="e">
        <f>VLOOKUP(C2194,#REF!,1,0)</f>
        <v>#REF!</v>
      </c>
      <c r="C2194" s="1" t="s">
        <v>7287</v>
      </c>
      <c r="D2194" s="1" t="s">
        <v>7288</v>
      </c>
      <c r="E2194" s="1" t="s">
        <v>9333</v>
      </c>
      <c r="F2194" s="1" t="s">
        <v>8959</v>
      </c>
      <c r="G2194" t="s">
        <v>9009</v>
      </c>
      <c r="H2194" s="1" t="s">
        <v>9100</v>
      </c>
      <c r="I2194" s="1" t="s">
        <v>8949</v>
      </c>
      <c r="J2194" s="2" t="s">
        <v>20838</v>
      </c>
      <c r="K2194" s="1" t="s">
        <v>20755</v>
      </c>
      <c r="L2194" s="1" t="s">
        <v>9133</v>
      </c>
      <c r="M2194" s="1">
        <v>30</v>
      </c>
      <c r="N2194" s="1" t="s">
        <v>9059</v>
      </c>
      <c r="O2194" s="1" t="s">
        <v>8989</v>
      </c>
      <c r="P2194" s="1" t="s">
        <v>8955</v>
      </c>
      <c r="Q2194" s="1" t="s">
        <v>8956</v>
      </c>
      <c r="R2194" s="1" t="s">
        <v>8958</v>
      </c>
      <c r="S2194" s="1" t="s">
        <v>20124</v>
      </c>
      <c r="T2194" s="1" t="s">
        <v>17</v>
      </c>
      <c r="U2194" s="1" t="s">
        <v>7289</v>
      </c>
    </row>
    <row r="2195" spans="1:21" x14ac:dyDescent="0.2">
      <c r="A2195" s="88" t="s">
        <v>21046</v>
      </c>
      <c r="B2195" s="88" t="e">
        <f>VLOOKUP(C2195,#REF!,1,0)</f>
        <v>#REF!</v>
      </c>
      <c r="C2195" s="1" t="s">
        <v>7290</v>
      </c>
      <c r="D2195" s="1" t="s">
        <v>7291</v>
      </c>
      <c r="E2195" s="1" t="s">
        <v>9333</v>
      </c>
      <c r="F2195" s="1" t="s">
        <v>8959</v>
      </c>
      <c r="G2195" t="s">
        <v>8959</v>
      </c>
      <c r="H2195" s="1" t="s">
        <v>20714</v>
      </c>
      <c r="I2195" s="1" t="s">
        <v>20725</v>
      </c>
      <c r="J2195" s="2" t="s">
        <v>10525</v>
      </c>
      <c r="K2195" s="1" t="s">
        <v>10525</v>
      </c>
      <c r="L2195" s="1" t="s">
        <v>21600</v>
      </c>
      <c r="M2195" s="1">
        <v>290</v>
      </c>
      <c r="N2195" s="1" t="s">
        <v>8953</v>
      </c>
      <c r="O2195" s="1" t="s">
        <v>8989</v>
      </c>
      <c r="P2195" s="1" t="s">
        <v>8955</v>
      </c>
      <c r="Q2195" s="1" t="s">
        <v>8956</v>
      </c>
      <c r="R2195" s="1" t="s">
        <v>8958</v>
      </c>
      <c r="S2195" s="1" t="s">
        <v>20125</v>
      </c>
      <c r="T2195" s="1" t="s">
        <v>7</v>
      </c>
      <c r="U2195" s="1" t="s">
        <v>24</v>
      </c>
    </row>
    <row r="2196" spans="1:21" x14ac:dyDescent="0.2">
      <c r="A2196" s="88" t="s">
        <v>17912</v>
      </c>
      <c r="B2196" s="88" t="e">
        <f>VLOOKUP(C2196,#REF!,1,0)</f>
        <v>#REF!</v>
      </c>
      <c r="C2196" s="1" t="s">
        <v>7292</v>
      </c>
      <c r="D2196" s="1" t="s">
        <v>7293</v>
      </c>
      <c r="E2196" s="1" t="s">
        <v>9333</v>
      </c>
      <c r="F2196" s="1" t="s">
        <v>8957</v>
      </c>
      <c r="G2196" t="s">
        <v>8959</v>
      </c>
      <c r="H2196" s="1" t="s">
        <v>20714</v>
      </c>
      <c r="I2196" s="1" t="s">
        <v>20725</v>
      </c>
      <c r="J2196" s="2" t="s">
        <v>21521</v>
      </c>
      <c r="K2196" s="1" t="s">
        <v>9036</v>
      </c>
      <c r="L2196" s="1" t="s">
        <v>8987</v>
      </c>
      <c r="M2196" s="1">
        <v>84484</v>
      </c>
      <c r="N2196" s="1" t="s">
        <v>20806</v>
      </c>
      <c r="O2196" s="1" t="s">
        <v>8954</v>
      </c>
      <c r="P2196" s="1" t="s">
        <v>8955</v>
      </c>
      <c r="Q2196" s="1" t="s">
        <v>8956</v>
      </c>
      <c r="R2196" s="1" t="s">
        <v>8975</v>
      </c>
      <c r="S2196" s="1" t="s">
        <v>20126</v>
      </c>
      <c r="T2196" s="1" t="s">
        <v>7</v>
      </c>
      <c r="U2196" s="1" t="s">
        <v>3641</v>
      </c>
    </row>
    <row r="2197" spans="1:21" x14ac:dyDescent="0.2">
      <c r="A2197" s="88" t="s">
        <v>17913</v>
      </c>
      <c r="B2197" s="88" t="e">
        <f>VLOOKUP(C2197,#REF!,1,0)</f>
        <v>#REF!</v>
      </c>
      <c r="C2197" s="1" t="s">
        <v>7294</v>
      </c>
      <c r="D2197" s="1" t="s">
        <v>7295</v>
      </c>
      <c r="E2197" s="1" t="s">
        <v>21041</v>
      </c>
      <c r="F2197" s="1" t="s">
        <v>8957</v>
      </c>
      <c r="G2197" t="s">
        <v>8959</v>
      </c>
      <c r="H2197" s="1" t="s">
        <v>9100</v>
      </c>
      <c r="I2197" s="1" t="s">
        <v>8949</v>
      </c>
      <c r="J2197" s="2" t="s">
        <v>10492</v>
      </c>
      <c r="K2197" s="1" t="s">
        <v>21645</v>
      </c>
      <c r="L2197" s="1" t="s">
        <v>21600</v>
      </c>
      <c r="M2197" s="1">
        <v>212</v>
      </c>
      <c r="N2197" s="1" t="s">
        <v>9059</v>
      </c>
      <c r="O2197" s="1" t="s">
        <v>8954</v>
      </c>
      <c r="P2197" s="1" t="s">
        <v>8955</v>
      </c>
      <c r="Q2197" s="1" t="s">
        <v>8956</v>
      </c>
      <c r="R2197" s="1" t="s">
        <v>9103</v>
      </c>
      <c r="S2197" s="1" t="s">
        <v>20127</v>
      </c>
      <c r="T2197" s="1" t="s">
        <v>7</v>
      </c>
      <c r="U2197" s="1" t="s">
        <v>2527</v>
      </c>
    </row>
    <row r="2198" spans="1:21" x14ac:dyDescent="0.2">
      <c r="A2198" s="88" t="s">
        <v>17916</v>
      </c>
      <c r="B2198" s="88" t="e">
        <f>VLOOKUP(C2198,#REF!,1,0)</f>
        <v>#REF!</v>
      </c>
      <c r="C2198" s="1" t="s">
        <v>7301</v>
      </c>
      <c r="D2198" s="1" t="s">
        <v>7302</v>
      </c>
      <c r="E2198" s="1" t="s">
        <v>9310</v>
      </c>
      <c r="F2198" s="1" t="s">
        <v>8959</v>
      </c>
      <c r="G2198" t="s">
        <v>8959</v>
      </c>
      <c r="H2198" s="1" t="s">
        <v>9100</v>
      </c>
      <c r="I2198" s="1" t="s">
        <v>8949</v>
      </c>
      <c r="J2198" s="2" t="s">
        <v>21296</v>
      </c>
      <c r="K2198" s="1" t="s">
        <v>21739</v>
      </c>
      <c r="L2198" s="1" t="s">
        <v>8987</v>
      </c>
      <c r="M2198" s="1">
        <v>416</v>
      </c>
      <c r="N2198" s="1" t="s">
        <v>9059</v>
      </c>
      <c r="O2198" s="1" t="s">
        <v>8954</v>
      </c>
      <c r="P2198" s="1" t="s">
        <v>8955</v>
      </c>
      <c r="Q2198" s="1" t="s">
        <v>8956</v>
      </c>
      <c r="R2198" s="1" t="s">
        <v>9103</v>
      </c>
      <c r="S2198" s="1" t="s">
        <v>20129</v>
      </c>
      <c r="T2198" s="1" t="s">
        <v>7</v>
      </c>
      <c r="U2198" s="1" t="s">
        <v>87</v>
      </c>
    </row>
    <row r="2199" spans="1:21" x14ac:dyDescent="0.2">
      <c r="A2199" s="88" t="s">
        <v>17917</v>
      </c>
      <c r="B2199" s="88" t="e">
        <f>VLOOKUP(C2199,#REF!,1,0)</f>
        <v>#REF!</v>
      </c>
      <c r="C2199" s="1" t="s">
        <v>7303</v>
      </c>
      <c r="D2199" s="1" t="s">
        <v>7304</v>
      </c>
      <c r="E2199" s="1" t="s">
        <v>21049</v>
      </c>
      <c r="F2199" s="1" t="s">
        <v>8957</v>
      </c>
      <c r="G2199" t="s">
        <v>8959</v>
      </c>
      <c r="H2199" s="1" t="s">
        <v>8984</v>
      </c>
      <c r="I2199" s="1" t="s">
        <v>8998</v>
      </c>
      <c r="J2199" s="135" t="s">
        <v>21439</v>
      </c>
      <c r="K2199" s="1" t="s">
        <v>21740</v>
      </c>
      <c r="L2199" s="1" t="s">
        <v>21600</v>
      </c>
      <c r="M2199" s="1">
        <v>922</v>
      </c>
      <c r="N2199" s="1" t="s">
        <v>8953</v>
      </c>
      <c r="O2199" s="1" t="s">
        <v>8954</v>
      </c>
      <c r="P2199" s="1" t="s">
        <v>8955</v>
      </c>
      <c r="Q2199" s="1" t="s">
        <v>8956</v>
      </c>
      <c r="R2199" s="1" t="s">
        <v>9103</v>
      </c>
      <c r="S2199" s="1" t="s">
        <v>20130</v>
      </c>
      <c r="T2199" s="1" t="s">
        <v>7</v>
      </c>
      <c r="U2199" s="1" t="s">
        <v>6261</v>
      </c>
    </row>
    <row r="2200" spans="1:21" x14ac:dyDescent="0.2">
      <c r="A2200" s="88" t="s">
        <v>17918</v>
      </c>
      <c r="B2200" s="88" t="e">
        <f>VLOOKUP(C2200,#REF!,1,0)</f>
        <v>#REF!</v>
      </c>
      <c r="C2200" s="1" t="s">
        <v>7305</v>
      </c>
      <c r="D2200" s="1" t="s">
        <v>7306</v>
      </c>
      <c r="E2200" s="1" t="s">
        <v>12908</v>
      </c>
      <c r="F2200" s="1" t="s">
        <v>8957</v>
      </c>
      <c r="G2200" t="s">
        <v>9009</v>
      </c>
      <c r="H2200" s="1" t="s">
        <v>9252</v>
      </c>
      <c r="I2200" s="1" t="s">
        <v>9121</v>
      </c>
      <c r="J2200" s="2" t="s">
        <v>9018</v>
      </c>
      <c r="K2200" s="1" t="s">
        <v>9018</v>
      </c>
      <c r="L2200" s="1" t="s">
        <v>9157</v>
      </c>
      <c r="M2200" s="1">
        <v>1299</v>
      </c>
      <c r="N2200" s="1" t="s">
        <v>8953</v>
      </c>
      <c r="O2200" s="1" t="s">
        <v>8954</v>
      </c>
      <c r="P2200" s="1" t="s">
        <v>8955</v>
      </c>
      <c r="Q2200" s="1" t="s">
        <v>8956</v>
      </c>
      <c r="R2200" s="1" t="s">
        <v>8975</v>
      </c>
      <c r="S2200" s="1" t="s">
        <v>7307</v>
      </c>
      <c r="T2200" s="1" t="s">
        <v>17</v>
      </c>
      <c r="U2200" s="1" t="s">
        <v>7308</v>
      </c>
    </row>
    <row r="2201" spans="1:21" x14ac:dyDescent="0.2">
      <c r="A2201" s="88" t="s">
        <v>17919</v>
      </c>
      <c r="B2201" s="88" t="e">
        <f>VLOOKUP(C2201,#REF!,1,0)</f>
        <v>#REF!</v>
      </c>
      <c r="C2201" s="1" t="s">
        <v>7312</v>
      </c>
      <c r="D2201" s="1" t="s">
        <v>7313</v>
      </c>
      <c r="E2201" s="1" t="s">
        <v>18502</v>
      </c>
      <c r="F2201" s="1" t="s">
        <v>8957</v>
      </c>
      <c r="G2201" t="s">
        <v>9061</v>
      </c>
      <c r="H2201" s="1" t="s">
        <v>9035</v>
      </c>
      <c r="I2201" s="1" t="s">
        <v>8949</v>
      </c>
      <c r="J2201" s="2" t="s">
        <v>10492</v>
      </c>
      <c r="K2201" s="1" t="s">
        <v>21645</v>
      </c>
      <c r="L2201" s="1" t="s">
        <v>21600</v>
      </c>
      <c r="M2201" s="1">
        <v>381</v>
      </c>
      <c r="N2201" s="1" t="s">
        <v>8953</v>
      </c>
      <c r="O2201" s="1" t="s">
        <v>8989</v>
      </c>
      <c r="P2201" s="1" t="s">
        <v>8955</v>
      </c>
      <c r="Q2201" s="1" t="s">
        <v>8956</v>
      </c>
      <c r="R2201" s="1" t="s">
        <v>8975</v>
      </c>
      <c r="S2201" s="1" t="s">
        <v>20132</v>
      </c>
      <c r="T2201" s="1" t="s">
        <v>17</v>
      </c>
      <c r="U2201" s="1" t="s">
        <v>562</v>
      </c>
    </row>
    <row r="2202" spans="1:21" x14ac:dyDescent="0.2">
      <c r="A2202" s="88" t="s">
        <v>17920</v>
      </c>
      <c r="B2202" s="88" t="e">
        <f>VLOOKUP(C2202,#REF!,1,0)</f>
        <v>#REF!</v>
      </c>
      <c r="C2202" s="1" t="s">
        <v>7314</v>
      </c>
      <c r="D2202" s="1" t="s">
        <v>7315</v>
      </c>
      <c r="E2202" s="1" t="s">
        <v>14748</v>
      </c>
      <c r="F2202" s="1" t="s">
        <v>8959</v>
      </c>
      <c r="G2202" t="s">
        <v>8959</v>
      </c>
      <c r="H2202" s="1" t="s">
        <v>9035</v>
      </c>
      <c r="I2202" s="1" t="s">
        <v>9308</v>
      </c>
      <c r="J2202" s="2" t="s">
        <v>21050</v>
      </c>
      <c r="K2202" s="1" t="s">
        <v>21050</v>
      </c>
      <c r="L2202" s="1" t="s">
        <v>9133</v>
      </c>
      <c r="M2202" s="1">
        <v>5949</v>
      </c>
      <c r="N2202" s="1" t="s">
        <v>8953</v>
      </c>
      <c r="O2202" s="1" t="s">
        <v>8954</v>
      </c>
      <c r="P2202" s="1" t="s">
        <v>8955</v>
      </c>
      <c r="Q2202" s="1" t="s">
        <v>8956</v>
      </c>
      <c r="R2202" s="1" t="s">
        <v>9103</v>
      </c>
      <c r="S2202" s="1" t="s">
        <v>20133</v>
      </c>
      <c r="T2202" s="1" t="s">
        <v>7</v>
      </c>
      <c r="U2202" s="1" t="s">
        <v>948</v>
      </c>
    </row>
    <row r="2203" spans="1:21" x14ac:dyDescent="0.2">
      <c r="A2203" s="88" t="s">
        <v>17921</v>
      </c>
      <c r="B2203" s="88" t="e">
        <f>VLOOKUP(C2203,#REF!,1,0)</f>
        <v>#REF!</v>
      </c>
      <c r="C2203" s="1" t="s">
        <v>21051</v>
      </c>
      <c r="D2203" s="1" t="s">
        <v>7316</v>
      </c>
      <c r="E2203" s="1" t="s">
        <v>20750</v>
      </c>
      <c r="F2203" s="1" t="s">
        <v>8957</v>
      </c>
      <c r="G2203" t="s">
        <v>8959</v>
      </c>
      <c r="H2203" s="1" t="s">
        <v>9173</v>
      </c>
      <c r="I2203" s="1" t="s">
        <v>21053</v>
      </c>
      <c r="J2203" s="2" t="s">
        <v>20779</v>
      </c>
      <c r="K2203" s="1" t="s">
        <v>9036</v>
      </c>
      <c r="L2203" s="1" t="s">
        <v>8987</v>
      </c>
      <c r="M2203" s="1">
        <v>24267</v>
      </c>
      <c r="N2203" s="1" t="s">
        <v>8953</v>
      </c>
      <c r="O2203" s="1" t="s">
        <v>20828</v>
      </c>
      <c r="P2203" s="1" t="s">
        <v>8955</v>
      </c>
      <c r="Q2203" s="1" t="s">
        <v>8956</v>
      </c>
      <c r="R2203" s="1" t="s">
        <v>8975</v>
      </c>
      <c r="S2203" s="1" t="s">
        <v>20134</v>
      </c>
      <c r="T2203" s="1" t="s">
        <v>7</v>
      </c>
      <c r="U2203" s="1" t="s">
        <v>7317</v>
      </c>
    </row>
    <row r="2204" spans="1:21" x14ac:dyDescent="0.2">
      <c r="A2204" s="88" t="s">
        <v>17922</v>
      </c>
      <c r="B2204" s="88" t="e">
        <f>VLOOKUP(C2204,#REF!,1,0)</f>
        <v>#REF!</v>
      </c>
      <c r="C2204" s="1" t="s">
        <v>7318</v>
      </c>
      <c r="D2204" s="1" t="s">
        <v>7319</v>
      </c>
      <c r="E2204" s="1" t="s">
        <v>9333</v>
      </c>
      <c r="F2204" s="1" t="s">
        <v>9060</v>
      </c>
      <c r="G2204" t="s">
        <v>9183</v>
      </c>
      <c r="H2204" s="1" t="s">
        <v>8948</v>
      </c>
      <c r="I2204" s="1" t="s">
        <v>8949</v>
      </c>
      <c r="J2204" s="2" t="s">
        <v>9036</v>
      </c>
      <c r="K2204" s="1" t="s">
        <v>9036</v>
      </c>
      <c r="L2204" s="1" t="s">
        <v>8987</v>
      </c>
      <c r="M2204" s="1">
        <v>748</v>
      </c>
      <c r="N2204" s="1" t="s">
        <v>9059</v>
      </c>
      <c r="O2204" s="1" t="s">
        <v>8954</v>
      </c>
      <c r="P2204" s="1" t="s">
        <v>8955</v>
      </c>
      <c r="Q2204" s="1" t="s">
        <v>8956</v>
      </c>
      <c r="R2204" s="1" t="s">
        <v>8975</v>
      </c>
      <c r="S2204" s="1" t="s">
        <v>7320</v>
      </c>
      <c r="T2204" s="1" t="s">
        <v>17</v>
      </c>
      <c r="U2204" s="1" t="s">
        <v>180</v>
      </c>
    </row>
    <row r="2205" spans="1:21" x14ac:dyDescent="0.2">
      <c r="A2205" s="88" t="s">
        <v>17923</v>
      </c>
      <c r="B2205" s="88"/>
      <c r="C2205" s="1" t="s">
        <v>7321</v>
      </c>
      <c r="D2205" s="1" t="s">
        <v>7322</v>
      </c>
      <c r="E2205" s="1" t="e">
        <v>#N/A</v>
      </c>
      <c r="F2205" s="1" t="e">
        <v>#N/A</v>
      </c>
      <c r="G2205" t="e">
        <v>#N/A</v>
      </c>
      <c r="H2205" s="1" t="e">
        <v>#N/A</v>
      </c>
      <c r="I2205" s="1" t="e">
        <v>#N/A</v>
      </c>
      <c r="J2205" s="2" t="e">
        <v>#N/A</v>
      </c>
      <c r="K2205" s="1" t="e">
        <v>#N/A</v>
      </c>
      <c r="L2205" s="1" t="e">
        <v>#N/A</v>
      </c>
      <c r="M2205" s="1" t="e">
        <v>#N/A</v>
      </c>
      <c r="N2205" s="1" t="e">
        <v>#N/A</v>
      </c>
      <c r="O2205" s="1" t="e">
        <v>#N/A</v>
      </c>
      <c r="P2205" s="1" t="s">
        <v>8955</v>
      </c>
      <c r="Q2205" s="1" t="s">
        <v>8956</v>
      </c>
      <c r="R2205" s="1" t="s">
        <v>8958</v>
      </c>
      <c r="S2205" s="1" t="s">
        <v>20135</v>
      </c>
      <c r="T2205" s="1" t="s">
        <v>252</v>
      </c>
      <c r="U2205" s="1" t="s">
        <v>64</v>
      </c>
    </row>
    <row r="2206" spans="1:21" x14ac:dyDescent="0.2">
      <c r="A2206" s="88" t="s">
        <v>17924</v>
      </c>
      <c r="B2206" s="88" t="e">
        <f>VLOOKUP(C2206,#REF!,1,0)</f>
        <v>#REF!</v>
      </c>
      <c r="C2206" s="1" t="s">
        <v>7323</v>
      </c>
      <c r="D2206" s="1" t="s">
        <v>7324</v>
      </c>
      <c r="E2206" s="1" t="s">
        <v>9852</v>
      </c>
      <c r="F2206" s="1" t="s">
        <v>8957</v>
      </c>
      <c r="G2206" t="s">
        <v>8959</v>
      </c>
      <c r="H2206" s="1" t="s">
        <v>9035</v>
      </c>
      <c r="I2206" s="1" t="s">
        <v>9308</v>
      </c>
      <c r="J2206" s="2" t="s">
        <v>10800</v>
      </c>
      <c r="K2206" s="1" t="s">
        <v>21795</v>
      </c>
      <c r="L2206" s="1" t="s">
        <v>9292</v>
      </c>
      <c r="M2206" s="1">
        <v>800</v>
      </c>
      <c r="N2206" s="1" t="s">
        <v>8953</v>
      </c>
      <c r="O2206" s="1" t="s">
        <v>8954</v>
      </c>
      <c r="P2206" s="1" t="s">
        <v>8955</v>
      </c>
      <c r="Q2206" s="1" t="s">
        <v>8956</v>
      </c>
      <c r="R2206" s="1" t="s">
        <v>8975</v>
      </c>
      <c r="S2206" s="1" t="s">
        <v>20136</v>
      </c>
      <c r="T2206" s="1" t="s">
        <v>7</v>
      </c>
      <c r="U2206" s="1" t="s">
        <v>1929</v>
      </c>
    </row>
    <row r="2207" spans="1:21" x14ac:dyDescent="0.2">
      <c r="A2207" s="88" t="s">
        <v>17925</v>
      </c>
      <c r="B2207" s="88" t="e">
        <f>VLOOKUP(C2207,#REF!,1,0)</f>
        <v>#REF!</v>
      </c>
      <c r="C2207" s="1" t="s">
        <v>7325</v>
      </c>
      <c r="D2207" s="1" t="s">
        <v>7326</v>
      </c>
      <c r="E2207" s="1" t="s">
        <v>18502</v>
      </c>
      <c r="F2207" s="1" t="s">
        <v>8957</v>
      </c>
      <c r="G2207" t="s">
        <v>8959</v>
      </c>
      <c r="H2207" s="1" t="s">
        <v>20714</v>
      </c>
      <c r="I2207" s="1" t="s">
        <v>8998</v>
      </c>
      <c r="J2207" s="2" t="s">
        <v>10492</v>
      </c>
      <c r="K2207" s="1" t="s">
        <v>10492</v>
      </c>
      <c r="L2207" s="1" t="s">
        <v>21600</v>
      </c>
      <c r="M2207" s="1">
        <v>2826</v>
      </c>
      <c r="N2207" s="1" t="s">
        <v>8953</v>
      </c>
      <c r="O2207" s="1" t="s">
        <v>8989</v>
      </c>
      <c r="P2207" s="1" t="s">
        <v>8955</v>
      </c>
      <c r="Q2207" s="1" t="s">
        <v>8956</v>
      </c>
      <c r="R2207" s="1" t="s">
        <v>8958</v>
      </c>
      <c r="S2207" s="1" t="s">
        <v>20137</v>
      </c>
      <c r="T2207" s="1" t="s">
        <v>7</v>
      </c>
      <c r="U2207" s="1" t="s">
        <v>1202</v>
      </c>
    </row>
    <row r="2208" spans="1:21" x14ac:dyDescent="0.2">
      <c r="A2208" s="88" t="s">
        <v>17927</v>
      </c>
      <c r="B2208" s="88" t="e">
        <f>VLOOKUP(C2208,#REF!,1,0)</f>
        <v>#REF!</v>
      </c>
      <c r="C2208" s="1" t="s">
        <v>7328</v>
      </c>
      <c r="D2208" s="1" t="s">
        <v>7329</v>
      </c>
      <c r="E2208" s="1" t="s">
        <v>9333</v>
      </c>
      <c r="F2208" s="1" t="s">
        <v>8959</v>
      </c>
      <c r="G2208" t="s">
        <v>9009</v>
      </c>
      <c r="H2208" s="1" t="s">
        <v>9035</v>
      </c>
      <c r="I2208" s="1" t="s">
        <v>8998</v>
      </c>
      <c r="J2208" s="2" t="s">
        <v>9036</v>
      </c>
      <c r="K2208" s="1" t="s">
        <v>9036</v>
      </c>
      <c r="L2208" s="1" t="s">
        <v>9464</v>
      </c>
      <c r="M2208" s="1">
        <v>89</v>
      </c>
      <c r="N2208" s="1" t="s">
        <v>8953</v>
      </c>
      <c r="O2208" s="1" t="s">
        <v>8989</v>
      </c>
      <c r="P2208" s="1" t="s">
        <v>8955</v>
      </c>
      <c r="Q2208" s="1" t="s">
        <v>8956</v>
      </c>
      <c r="R2208" s="1" t="s">
        <v>9103</v>
      </c>
      <c r="S2208" s="1" t="s">
        <v>7330</v>
      </c>
      <c r="T2208" s="1" t="s">
        <v>11</v>
      </c>
      <c r="U2208" s="1" t="s">
        <v>87</v>
      </c>
    </row>
    <row r="2209" spans="1:21" x14ac:dyDescent="0.2">
      <c r="A2209" s="88" t="s">
        <v>17928</v>
      </c>
      <c r="B2209" s="88" t="e">
        <f>VLOOKUP(C2209,#REF!,1,0)</f>
        <v>#REF!</v>
      </c>
      <c r="C2209" s="1" t="s">
        <v>7331</v>
      </c>
      <c r="D2209" s="1" t="s">
        <v>7332</v>
      </c>
      <c r="E2209" s="1" t="s">
        <v>9010</v>
      </c>
      <c r="F2209" s="1" t="s">
        <v>8957</v>
      </c>
      <c r="G2209" t="s">
        <v>8959</v>
      </c>
      <c r="H2209" s="1" t="s">
        <v>9092</v>
      </c>
      <c r="I2209" s="1" t="s">
        <v>9155</v>
      </c>
      <c r="J2209" s="2" t="s">
        <v>9036</v>
      </c>
      <c r="K2209" s="1" t="s">
        <v>9036</v>
      </c>
      <c r="L2209" s="1" t="s">
        <v>21600</v>
      </c>
      <c r="M2209" s="1">
        <v>98</v>
      </c>
      <c r="N2209" s="1" t="s">
        <v>8953</v>
      </c>
      <c r="O2209" s="1" t="s">
        <v>8989</v>
      </c>
      <c r="P2209" s="1" t="s">
        <v>8955</v>
      </c>
      <c r="Q2209" s="1" t="s">
        <v>8956</v>
      </c>
      <c r="R2209" s="1" t="s">
        <v>8975</v>
      </c>
      <c r="S2209" s="1" t="s">
        <v>7333</v>
      </c>
      <c r="T2209" s="1" t="s">
        <v>17</v>
      </c>
      <c r="U2209" s="1" t="s">
        <v>64</v>
      </c>
    </row>
    <row r="2210" spans="1:21" x14ac:dyDescent="0.2">
      <c r="A2210" s="88" t="s">
        <v>17929</v>
      </c>
      <c r="B2210" s="88" t="e">
        <f>VLOOKUP(C2210,#REF!,1,0)</f>
        <v>#REF!</v>
      </c>
      <c r="C2210" s="1" t="s">
        <v>7334</v>
      </c>
      <c r="D2210" s="1" t="s">
        <v>7335</v>
      </c>
      <c r="E2210" s="1" t="s">
        <v>18502</v>
      </c>
      <c r="F2210" s="1" t="s">
        <v>8957</v>
      </c>
      <c r="G2210" t="s">
        <v>9061</v>
      </c>
      <c r="H2210" s="1" t="s">
        <v>9154</v>
      </c>
      <c r="I2210" s="1" t="s">
        <v>8949</v>
      </c>
      <c r="J2210" s="2" t="s">
        <v>21198</v>
      </c>
      <c r="K2210" s="1" t="s">
        <v>20776</v>
      </c>
      <c r="L2210" s="1" t="s">
        <v>21600</v>
      </c>
      <c r="M2210" s="1">
        <v>1902</v>
      </c>
      <c r="N2210" s="1" t="s">
        <v>8953</v>
      </c>
      <c r="O2210" s="1" t="s">
        <v>8989</v>
      </c>
      <c r="P2210" s="1" t="s">
        <v>8955</v>
      </c>
      <c r="Q2210" s="1" t="s">
        <v>8956</v>
      </c>
      <c r="R2210" s="1" t="s">
        <v>9103</v>
      </c>
      <c r="S2210" s="1" t="s">
        <v>20138</v>
      </c>
      <c r="T2210" s="1" t="s">
        <v>17</v>
      </c>
      <c r="U2210" s="1" t="s">
        <v>7336</v>
      </c>
    </row>
    <row r="2211" spans="1:21" x14ac:dyDescent="0.2">
      <c r="A2211" s="88" t="s">
        <v>17931</v>
      </c>
      <c r="B2211" s="88" t="e">
        <f>VLOOKUP(C2211,#REF!,1,0)</f>
        <v>#REF!</v>
      </c>
      <c r="C2211" s="1" t="s">
        <v>7339</v>
      </c>
      <c r="D2211" s="1" t="s">
        <v>7340</v>
      </c>
      <c r="E2211" s="1" t="s">
        <v>18502</v>
      </c>
      <c r="F2211" s="1" t="s">
        <v>9060</v>
      </c>
      <c r="G2211" t="s">
        <v>8959</v>
      </c>
      <c r="H2211" s="1" t="s">
        <v>9605</v>
      </c>
      <c r="I2211" s="1" t="s">
        <v>9101</v>
      </c>
      <c r="J2211" s="2" t="s">
        <v>18489</v>
      </c>
      <c r="K2211" s="1" t="s">
        <v>18489</v>
      </c>
      <c r="L2211" s="1" t="s">
        <v>8951</v>
      </c>
      <c r="M2211" s="1">
        <v>277</v>
      </c>
      <c r="N2211" s="1" t="s">
        <v>8953</v>
      </c>
      <c r="O2211" s="1" t="s">
        <v>8989</v>
      </c>
      <c r="P2211" s="1" t="s">
        <v>8955</v>
      </c>
      <c r="Q2211" s="1" t="s">
        <v>8956</v>
      </c>
      <c r="R2211" s="1" t="s">
        <v>8975</v>
      </c>
      <c r="S2211" s="1" t="s">
        <v>20139</v>
      </c>
      <c r="T2211" s="1" t="s">
        <v>17</v>
      </c>
      <c r="U2211" s="1" t="s">
        <v>2061</v>
      </c>
    </row>
    <row r="2212" spans="1:21" x14ac:dyDescent="0.2">
      <c r="A2212" s="88" t="s">
        <v>17932</v>
      </c>
      <c r="B2212" s="88" t="e">
        <f>VLOOKUP(C2212,#REF!,1,0)</f>
        <v>#REF!</v>
      </c>
      <c r="C2212" s="1" t="s">
        <v>7341</v>
      </c>
      <c r="D2212" s="1" t="s">
        <v>7342</v>
      </c>
      <c r="E2212" s="1" t="s">
        <v>9010</v>
      </c>
      <c r="F2212" s="1" t="s">
        <v>8957</v>
      </c>
      <c r="G2212" t="s">
        <v>9183</v>
      </c>
      <c r="H2212" s="1" t="s">
        <v>8984</v>
      </c>
      <c r="I2212" s="1" t="s">
        <v>9174</v>
      </c>
      <c r="J2212" s="2" t="s">
        <v>10099</v>
      </c>
      <c r="K2212" s="1" t="s">
        <v>21798</v>
      </c>
      <c r="L2212" s="1" t="s">
        <v>9292</v>
      </c>
      <c r="M2212" s="1">
        <v>8641</v>
      </c>
      <c r="N2212" s="1" t="s">
        <v>8953</v>
      </c>
      <c r="O2212" s="1" t="s">
        <v>8989</v>
      </c>
      <c r="P2212" s="1" t="s">
        <v>8955</v>
      </c>
      <c r="Q2212" s="1" t="s">
        <v>8956</v>
      </c>
      <c r="R2212" s="1" t="s">
        <v>8958</v>
      </c>
      <c r="S2212" s="1" t="s">
        <v>7343</v>
      </c>
      <c r="T2212" s="1" t="s">
        <v>11</v>
      </c>
      <c r="U2212" s="1" t="s">
        <v>1318</v>
      </c>
    </row>
    <row r="2213" spans="1:21" x14ac:dyDescent="0.2">
      <c r="A2213" s="88" t="s">
        <v>17933</v>
      </c>
      <c r="B2213" s="88" t="e">
        <f>VLOOKUP(C2213,#REF!,1,0)</f>
        <v>#REF!</v>
      </c>
      <c r="C2213" s="1" t="s">
        <v>7344</v>
      </c>
      <c r="D2213" s="1" t="s">
        <v>7345</v>
      </c>
      <c r="E2213" s="1" t="s">
        <v>14748</v>
      </c>
      <c r="F2213" s="1" t="s">
        <v>8959</v>
      </c>
      <c r="G2213" t="s">
        <v>9009</v>
      </c>
      <c r="H2213" s="1" t="s">
        <v>9092</v>
      </c>
      <c r="I2213" s="1" t="s">
        <v>9308</v>
      </c>
      <c r="J2213" s="2" t="s">
        <v>20779</v>
      </c>
      <c r="K2213" s="1" t="s">
        <v>9036</v>
      </c>
      <c r="L2213" s="1" t="s">
        <v>8951</v>
      </c>
      <c r="M2213" s="1">
        <v>180</v>
      </c>
      <c r="N2213" s="1" t="s">
        <v>8953</v>
      </c>
      <c r="O2213" s="1" t="s">
        <v>8989</v>
      </c>
      <c r="P2213" s="1" t="s">
        <v>8955</v>
      </c>
      <c r="Q2213" s="1" t="s">
        <v>8956</v>
      </c>
      <c r="R2213" s="1" t="s">
        <v>9103</v>
      </c>
      <c r="S2213" s="1" t="s">
        <v>20140</v>
      </c>
      <c r="T2213" s="1" t="s">
        <v>7</v>
      </c>
      <c r="U2213" s="1" t="s">
        <v>7346</v>
      </c>
    </row>
    <row r="2214" spans="1:21" x14ac:dyDescent="0.2">
      <c r="A2214" s="88" t="s">
        <v>17934</v>
      </c>
      <c r="B2214" s="88" t="e">
        <f>VLOOKUP(C2214,#REF!,1,0)</f>
        <v>#REF!</v>
      </c>
      <c r="C2214" s="1" t="s">
        <v>7347</v>
      </c>
      <c r="D2214" s="1" t="s">
        <v>7348</v>
      </c>
      <c r="E2214" s="1" t="s">
        <v>21054</v>
      </c>
      <c r="F2214" s="1" t="s">
        <v>8957</v>
      </c>
      <c r="G2214" t="s">
        <v>8959</v>
      </c>
      <c r="H2214" s="1" t="s">
        <v>9035</v>
      </c>
      <c r="I2214" s="1" t="s">
        <v>9308</v>
      </c>
      <c r="J2214" s="2" t="s">
        <v>20723</v>
      </c>
      <c r="K2214" s="1" t="s">
        <v>20723</v>
      </c>
      <c r="L2214" s="1" t="s">
        <v>9133</v>
      </c>
      <c r="M2214" s="1">
        <v>14353083</v>
      </c>
      <c r="N2214" s="1" t="s">
        <v>8953</v>
      </c>
      <c r="O2214" s="1" t="s">
        <v>8954</v>
      </c>
      <c r="P2214" s="1" t="s">
        <v>8955</v>
      </c>
      <c r="Q2214" s="1" t="s">
        <v>8956</v>
      </c>
      <c r="R2214" s="1" t="s">
        <v>8958</v>
      </c>
      <c r="S2214" s="1" t="s">
        <v>20141</v>
      </c>
      <c r="T2214" s="1" t="s">
        <v>7</v>
      </c>
      <c r="U2214" s="1" t="s">
        <v>46</v>
      </c>
    </row>
    <row r="2215" spans="1:21" x14ac:dyDescent="0.2">
      <c r="A2215" s="88" t="s">
        <v>17935</v>
      </c>
      <c r="B2215" s="88"/>
      <c r="C2215" s="1" t="s">
        <v>7349</v>
      </c>
      <c r="D2215" s="1" t="s">
        <v>7350</v>
      </c>
      <c r="E2215" s="1" t="e">
        <v>#N/A</v>
      </c>
      <c r="F2215" s="1" t="e">
        <v>#N/A</v>
      </c>
      <c r="G2215" t="e">
        <v>#N/A</v>
      </c>
      <c r="H2215" s="1" t="e">
        <v>#N/A</v>
      </c>
      <c r="I2215" s="1" t="e">
        <v>#N/A</v>
      </c>
      <c r="J2215" s="2" t="e">
        <v>#N/A</v>
      </c>
      <c r="K2215" s="1" t="e">
        <v>#N/A</v>
      </c>
      <c r="L2215" s="1" t="e">
        <v>#N/A</v>
      </c>
      <c r="M2215" s="1" t="e">
        <v>#N/A</v>
      </c>
      <c r="N2215" s="1" t="e">
        <v>#N/A</v>
      </c>
      <c r="O2215" s="1" t="e">
        <v>#N/A</v>
      </c>
      <c r="P2215" s="1" t="s">
        <v>8955</v>
      </c>
      <c r="Q2215" s="1" t="s">
        <v>8956</v>
      </c>
      <c r="R2215" s="1" t="s">
        <v>8975</v>
      </c>
      <c r="S2215" s="1" t="s">
        <v>20142</v>
      </c>
      <c r="T2215" s="1" t="s">
        <v>252</v>
      </c>
      <c r="U2215" s="1" t="s">
        <v>496</v>
      </c>
    </row>
    <row r="2216" spans="1:21" x14ac:dyDescent="0.2">
      <c r="A2216" s="88" t="s">
        <v>17936</v>
      </c>
      <c r="B2216" s="88" t="e">
        <f>VLOOKUP(C2216,#REF!,1,0)</f>
        <v>#REF!</v>
      </c>
      <c r="C2216" s="1" t="s">
        <v>7359</v>
      </c>
      <c r="D2216" s="1" t="s">
        <v>7360</v>
      </c>
      <c r="E2216" s="1" t="s">
        <v>18502</v>
      </c>
      <c r="F2216" s="1" t="s">
        <v>8957</v>
      </c>
      <c r="G2216" t="s">
        <v>8959</v>
      </c>
      <c r="H2216" s="1" t="s">
        <v>9252</v>
      </c>
      <c r="I2216" s="1" t="s">
        <v>8971</v>
      </c>
      <c r="J2216" s="2" t="s">
        <v>10492</v>
      </c>
      <c r="K2216" s="1" t="s">
        <v>10492</v>
      </c>
      <c r="L2216" s="1" t="s">
        <v>21600</v>
      </c>
      <c r="M2216" s="1">
        <v>510</v>
      </c>
      <c r="N2216" s="1" t="s">
        <v>8953</v>
      </c>
      <c r="O2216" s="1" t="s">
        <v>8954</v>
      </c>
      <c r="P2216" s="1" t="s">
        <v>8955</v>
      </c>
      <c r="Q2216" s="1" t="s">
        <v>8956</v>
      </c>
      <c r="R2216" s="1" t="s">
        <v>9103</v>
      </c>
      <c r="S2216" s="1" t="s">
        <v>20144</v>
      </c>
      <c r="T2216" s="1" t="s">
        <v>7</v>
      </c>
      <c r="U2216" s="1" t="s">
        <v>1524</v>
      </c>
    </row>
    <row r="2217" spans="1:21" x14ac:dyDescent="0.2">
      <c r="A2217" s="88" t="s">
        <v>17937</v>
      </c>
      <c r="B2217" s="88" t="e">
        <f>VLOOKUP(C2217,#REF!,1,0)</f>
        <v>#REF!</v>
      </c>
      <c r="C2217" s="1" t="s">
        <v>7361</v>
      </c>
      <c r="D2217" s="1" t="s">
        <v>7362</v>
      </c>
      <c r="E2217" s="1" t="s">
        <v>11100</v>
      </c>
      <c r="F2217" s="1" t="s">
        <v>8957</v>
      </c>
      <c r="G2217" t="s">
        <v>9183</v>
      </c>
      <c r="H2217" s="1" t="s">
        <v>8948</v>
      </c>
      <c r="I2217" s="1" t="s">
        <v>8949</v>
      </c>
      <c r="J2217" s="2" t="s">
        <v>9036</v>
      </c>
      <c r="K2217" s="1" t="s">
        <v>9036</v>
      </c>
      <c r="L2217" s="1" t="s">
        <v>9292</v>
      </c>
      <c r="M2217" s="1">
        <v>368</v>
      </c>
      <c r="N2217" s="1" t="s">
        <v>8953</v>
      </c>
      <c r="O2217" s="1" t="s">
        <v>8954</v>
      </c>
      <c r="P2217" s="1" t="s">
        <v>8955</v>
      </c>
      <c r="Q2217" s="1" t="s">
        <v>8956</v>
      </c>
      <c r="R2217" s="1" t="s">
        <v>8958</v>
      </c>
      <c r="S2217" s="1" t="s">
        <v>7363</v>
      </c>
      <c r="T2217" s="1" t="s">
        <v>11</v>
      </c>
      <c r="U2217" s="1" t="s">
        <v>727</v>
      </c>
    </row>
    <row r="2218" spans="1:21" x14ac:dyDescent="0.2">
      <c r="A2218" s="88" t="s">
        <v>17938</v>
      </c>
      <c r="B2218" s="88" t="e">
        <f>VLOOKUP(C2218,#REF!,1,0)</f>
        <v>#REF!</v>
      </c>
      <c r="C2218" s="1" t="s">
        <v>7364</v>
      </c>
      <c r="D2218" s="1" t="s">
        <v>7365</v>
      </c>
      <c r="E2218" s="1" t="s">
        <v>18502</v>
      </c>
      <c r="F2218" s="1" t="s">
        <v>9060</v>
      </c>
      <c r="G2218" t="s">
        <v>9183</v>
      </c>
      <c r="H2218" s="1" t="s">
        <v>9100</v>
      </c>
      <c r="I2218" s="1" t="s">
        <v>8949</v>
      </c>
      <c r="J2218" s="2" t="s">
        <v>20779</v>
      </c>
      <c r="K2218" s="1" t="s">
        <v>9036</v>
      </c>
      <c r="L2218" s="1" t="s">
        <v>9292</v>
      </c>
      <c r="M2218" s="1">
        <v>612</v>
      </c>
      <c r="N2218" s="1" t="s">
        <v>9059</v>
      </c>
      <c r="O2218" s="1" t="s">
        <v>8954</v>
      </c>
      <c r="P2218" s="1" t="s">
        <v>8955</v>
      </c>
      <c r="Q2218" s="1" t="s">
        <v>8956</v>
      </c>
      <c r="R2218" s="1" t="s">
        <v>9103</v>
      </c>
      <c r="S2218" s="1" t="s">
        <v>20145</v>
      </c>
      <c r="T2218" s="1" t="s">
        <v>7</v>
      </c>
      <c r="U2218" s="1" t="s">
        <v>2121</v>
      </c>
    </row>
    <row r="2219" spans="1:21" x14ac:dyDescent="0.2">
      <c r="A2219" s="88" t="s">
        <v>17939</v>
      </c>
      <c r="B2219" s="88" t="e">
        <f>VLOOKUP(C2219,#REF!,1,0)</f>
        <v>#REF!</v>
      </c>
      <c r="C2219" s="1" t="s">
        <v>7366</v>
      </c>
      <c r="D2219" s="1" t="s">
        <v>7367</v>
      </c>
      <c r="E2219" s="1" t="s">
        <v>12908</v>
      </c>
      <c r="F2219" s="1" t="e">
        <v>#N/A</v>
      </c>
      <c r="G2219" t="s">
        <v>8959</v>
      </c>
      <c r="H2219" s="1" t="s">
        <v>9252</v>
      </c>
      <c r="I2219" s="1" t="s">
        <v>9101</v>
      </c>
      <c r="J2219" s="2" t="s">
        <v>20838</v>
      </c>
      <c r="K2219" s="1" t="s">
        <v>20755</v>
      </c>
      <c r="L2219" s="1" t="s">
        <v>8951</v>
      </c>
      <c r="M2219" s="1">
        <v>152</v>
      </c>
      <c r="N2219" s="1" t="s">
        <v>9059</v>
      </c>
      <c r="O2219" s="1" t="s">
        <v>8989</v>
      </c>
      <c r="P2219" s="1" t="s">
        <v>8955</v>
      </c>
      <c r="Q2219" s="1" t="s">
        <v>8956</v>
      </c>
      <c r="R2219" s="1" t="s">
        <v>8975</v>
      </c>
      <c r="S2219" s="1" t="s">
        <v>20146</v>
      </c>
      <c r="T2219" s="1" t="s">
        <v>7</v>
      </c>
      <c r="U2219" s="1" t="s">
        <v>61</v>
      </c>
    </row>
    <row r="2220" spans="1:21" x14ac:dyDescent="0.2">
      <c r="A2220" s="88" t="s">
        <v>17940</v>
      </c>
      <c r="B2220" s="88" t="e">
        <f>VLOOKUP(C2220,#REF!,1,0)</f>
        <v>#REF!</v>
      </c>
      <c r="C2220" s="1" t="s">
        <v>7372</v>
      </c>
      <c r="D2220" s="1" t="s">
        <v>7373</v>
      </c>
      <c r="E2220" s="1" t="s">
        <v>10049</v>
      </c>
      <c r="F2220" s="1" t="s">
        <v>8959</v>
      </c>
      <c r="G2220" t="s">
        <v>8959</v>
      </c>
      <c r="H2220" s="1" t="s">
        <v>9252</v>
      </c>
      <c r="I2220" s="1" t="s">
        <v>18504</v>
      </c>
      <c r="J2220" s="2" t="s">
        <v>20779</v>
      </c>
      <c r="K2220" s="1" t="s">
        <v>9036</v>
      </c>
      <c r="L2220" s="1" t="s">
        <v>21600</v>
      </c>
      <c r="M2220" s="1">
        <v>283</v>
      </c>
      <c r="N2220" s="1" t="s">
        <v>20806</v>
      </c>
      <c r="O2220" s="1" t="s">
        <v>8989</v>
      </c>
      <c r="P2220" s="1" t="s">
        <v>8955</v>
      </c>
      <c r="Q2220" s="1" t="s">
        <v>8956</v>
      </c>
      <c r="R2220" s="1" t="s">
        <v>8958</v>
      </c>
      <c r="S2220" s="1" t="s">
        <v>20148</v>
      </c>
      <c r="T2220" s="1" t="s">
        <v>17</v>
      </c>
      <c r="U2220" s="1" t="s">
        <v>35</v>
      </c>
    </row>
    <row r="2221" spans="1:21" x14ac:dyDescent="0.2">
      <c r="A2221" s="88" t="s">
        <v>17941</v>
      </c>
      <c r="B2221" s="88" t="e">
        <f>VLOOKUP(C2221,#REF!,1,0)</f>
        <v>#REF!</v>
      </c>
      <c r="C2221" s="1" t="s">
        <v>7374</v>
      </c>
      <c r="D2221" s="1" t="s">
        <v>7375</v>
      </c>
      <c r="E2221" s="1" t="s">
        <v>12908</v>
      </c>
      <c r="F2221" s="1" t="s">
        <v>9060</v>
      </c>
      <c r="G2221" t="s">
        <v>8959</v>
      </c>
      <c r="H2221" s="1" t="s">
        <v>8948</v>
      </c>
      <c r="I2221" s="1" t="s">
        <v>8949</v>
      </c>
      <c r="J2221" s="2" t="s">
        <v>10492</v>
      </c>
      <c r="K2221" s="1" t="s">
        <v>10492</v>
      </c>
      <c r="L2221" s="1" t="s">
        <v>21600</v>
      </c>
      <c r="M2221" s="1">
        <v>916</v>
      </c>
      <c r="N2221" s="1" t="s">
        <v>20806</v>
      </c>
      <c r="O2221" s="1" t="s">
        <v>8989</v>
      </c>
      <c r="P2221" s="1" t="s">
        <v>8955</v>
      </c>
      <c r="Q2221" s="1" t="s">
        <v>8956</v>
      </c>
      <c r="R2221" s="1" t="s">
        <v>8958</v>
      </c>
      <c r="S2221" s="1" t="s">
        <v>20149</v>
      </c>
      <c r="T2221" s="1" t="s">
        <v>7</v>
      </c>
      <c r="U2221" s="1" t="s">
        <v>938</v>
      </c>
    </row>
    <row r="2222" spans="1:21" x14ac:dyDescent="0.2">
      <c r="A2222" s="88" t="s">
        <v>17942</v>
      </c>
      <c r="B2222" s="88" t="e">
        <f>VLOOKUP(C2222,#REF!,1,0)</f>
        <v>#REF!</v>
      </c>
      <c r="C2222" s="1" t="s">
        <v>7379</v>
      </c>
      <c r="D2222" s="1" t="s">
        <v>7380</v>
      </c>
      <c r="E2222" s="1" t="s">
        <v>9246</v>
      </c>
      <c r="F2222" s="1" t="s">
        <v>8957</v>
      </c>
      <c r="G2222" t="s">
        <v>9061</v>
      </c>
      <c r="H2222" s="1" t="s">
        <v>9035</v>
      </c>
      <c r="I2222" s="1" t="s">
        <v>8998</v>
      </c>
      <c r="J2222" s="2" t="s">
        <v>9018</v>
      </c>
      <c r="K2222" s="1" t="s">
        <v>9018</v>
      </c>
      <c r="L2222" s="1" t="s">
        <v>9157</v>
      </c>
      <c r="M2222" s="1">
        <v>1018</v>
      </c>
      <c r="N2222" s="1" t="s">
        <v>9059</v>
      </c>
      <c r="O2222" s="1" t="s">
        <v>8954</v>
      </c>
      <c r="P2222" s="1" t="s">
        <v>8955</v>
      </c>
      <c r="Q2222" s="1" t="s">
        <v>8956</v>
      </c>
      <c r="R2222" s="1" t="s">
        <v>8958</v>
      </c>
      <c r="S2222" s="1" t="s">
        <v>7381</v>
      </c>
      <c r="T2222" s="1" t="s">
        <v>17</v>
      </c>
      <c r="U2222" s="1" t="s">
        <v>2819</v>
      </c>
    </row>
    <row r="2223" spans="1:21" x14ac:dyDescent="0.2">
      <c r="A2223" s="88" t="s">
        <v>17943</v>
      </c>
      <c r="B2223" s="88" t="e">
        <f>VLOOKUP(C2223,#REF!,1,0)</f>
        <v>#REF!</v>
      </c>
      <c r="C2223" s="1" t="s">
        <v>7382</v>
      </c>
      <c r="D2223" s="1" t="s">
        <v>7383</v>
      </c>
      <c r="E2223" s="1" t="s">
        <v>9642</v>
      </c>
      <c r="F2223" s="1" t="s">
        <v>8959</v>
      </c>
      <c r="G2223" t="s">
        <v>8959</v>
      </c>
      <c r="H2223" s="1" t="s">
        <v>20714</v>
      </c>
      <c r="I2223" s="1" t="s">
        <v>9050</v>
      </c>
      <c r="J2223" s="2" t="s">
        <v>21297</v>
      </c>
      <c r="K2223" s="1" t="s">
        <v>21297</v>
      </c>
      <c r="L2223" s="1" t="s">
        <v>8951</v>
      </c>
      <c r="M2223" s="1">
        <v>88704</v>
      </c>
      <c r="N2223" s="1" t="s">
        <v>8953</v>
      </c>
      <c r="O2223" s="1" t="s">
        <v>8954</v>
      </c>
      <c r="P2223" s="1" t="s">
        <v>8955</v>
      </c>
      <c r="Q2223" s="1" t="s">
        <v>8956</v>
      </c>
      <c r="R2223" s="1" t="s">
        <v>9103</v>
      </c>
      <c r="S2223" s="1" t="s">
        <v>20151</v>
      </c>
      <c r="T2223" s="1" t="s">
        <v>7</v>
      </c>
      <c r="U2223" s="1" t="s">
        <v>7384</v>
      </c>
    </row>
    <row r="2224" spans="1:21" x14ac:dyDescent="0.2">
      <c r="A2224" s="88" t="s">
        <v>17944</v>
      </c>
      <c r="B2224" s="88" t="e">
        <f>VLOOKUP(C2224,#REF!,1,0)</f>
        <v>#REF!</v>
      </c>
      <c r="C2224" s="1" t="s">
        <v>7385</v>
      </c>
      <c r="D2224" s="1" t="s">
        <v>7386</v>
      </c>
      <c r="E2224" s="1" t="s">
        <v>9246</v>
      </c>
      <c r="F2224" s="1" t="s">
        <v>9060</v>
      </c>
      <c r="G2224" t="s">
        <v>9061</v>
      </c>
      <c r="H2224" s="1" t="s">
        <v>8948</v>
      </c>
      <c r="I2224" s="1" t="s">
        <v>8998</v>
      </c>
      <c r="J2224" s="2" t="s">
        <v>9245</v>
      </c>
      <c r="K2224" s="1" t="s">
        <v>9245</v>
      </c>
      <c r="L2224" s="1" t="s">
        <v>8951</v>
      </c>
      <c r="M2224" s="1">
        <v>196</v>
      </c>
      <c r="N2224" s="1" t="s">
        <v>8953</v>
      </c>
      <c r="O2224" s="1" t="s">
        <v>8989</v>
      </c>
      <c r="P2224" s="1" t="s">
        <v>8955</v>
      </c>
      <c r="Q2224" s="1" t="s">
        <v>8956</v>
      </c>
      <c r="R2224" s="1" t="s">
        <v>8958</v>
      </c>
      <c r="S2224" s="1" t="s">
        <v>7387</v>
      </c>
      <c r="T2224" s="1" t="s">
        <v>7</v>
      </c>
      <c r="U2224" s="1" t="s">
        <v>61</v>
      </c>
    </row>
    <row r="2225" spans="1:21" x14ac:dyDescent="0.2">
      <c r="A2225" s="88" t="s">
        <v>17946</v>
      </c>
      <c r="B2225" s="88" t="e">
        <f>VLOOKUP(C2225,#REF!,1,0)</f>
        <v>#REF!</v>
      </c>
      <c r="C2225" s="1" t="s">
        <v>7391</v>
      </c>
      <c r="D2225" s="1" t="s">
        <v>7392</v>
      </c>
      <c r="E2225" s="1" t="s">
        <v>9246</v>
      </c>
      <c r="F2225" s="1" t="s">
        <v>8957</v>
      </c>
      <c r="G2225" t="s">
        <v>9061</v>
      </c>
      <c r="H2225" s="1" t="s">
        <v>8948</v>
      </c>
      <c r="I2225" s="1" t="s">
        <v>8971</v>
      </c>
      <c r="J2225" s="2" t="s">
        <v>21456</v>
      </c>
      <c r="K2225" s="1" t="s">
        <v>21456</v>
      </c>
      <c r="L2225" s="1" t="s">
        <v>8951</v>
      </c>
      <c r="M2225" s="1">
        <v>49269</v>
      </c>
      <c r="N2225" s="1" t="s">
        <v>8953</v>
      </c>
      <c r="O2225" s="1" t="s">
        <v>8954</v>
      </c>
      <c r="P2225" s="1" t="s">
        <v>8955</v>
      </c>
      <c r="Q2225" s="1" t="s">
        <v>8956</v>
      </c>
      <c r="R2225" s="1" t="s">
        <v>8958</v>
      </c>
      <c r="S2225" s="1" t="s">
        <v>7393</v>
      </c>
      <c r="T2225" s="1" t="s">
        <v>17</v>
      </c>
      <c r="U2225" s="1" t="s">
        <v>1524</v>
      </c>
    </row>
    <row r="2226" spans="1:21" x14ac:dyDescent="0.2">
      <c r="A2226" s="88" t="s">
        <v>17947</v>
      </c>
      <c r="B2226" s="88" t="e">
        <f>VLOOKUP(C2226,#REF!,1,0)</f>
        <v>#REF!</v>
      </c>
      <c r="C2226" s="1" t="s">
        <v>7394</v>
      </c>
      <c r="D2226" s="1" t="s">
        <v>7395</v>
      </c>
      <c r="E2226" s="1" t="s">
        <v>9246</v>
      </c>
      <c r="F2226" s="1" t="s">
        <v>8957</v>
      </c>
      <c r="G2226" t="s">
        <v>8959</v>
      </c>
      <c r="H2226" s="1" t="s">
        <v>9075</v>
      </c>
      <c r="I2226" s="1" t="s">
        <v>8971</v>
      </c>
      <c r="J2226" s="2" t="s">
        <v>20779</v>
      </c>
      <c r="K2226" s="1" t="s">
        <v>9036</v>
      </c>
      <c r="L2226" s="1" t="s">
        <v>21600</v>
      </c>
      <c r="M2226" s="1">
        <v>1431</v>
      </c>
      <c r="N2226" s="1" t="s">
        <v>8953</v>
      </c>
      <c r="O2226" s="1" t="s">
        <v>8989</v>
      </c>
      <c r="P2226" s="1" t="s">
        <v>8955</v>
      </c>
      <c r="Q2226" s="1" t="s">
        <v>8956</v>
      </c>
      <c r="R2226" s="1" t="s">
        <v>8958</v>
      </c>
      <c r="S2226" s="1" t="s">
        <v>20153</v>
      </c>
      <c r="T2226" s="1" t="s">
        <v>17</v>
      </c>
      <c r="U2226" s="1" t="s">
        <v>565</v>
      </c>
    </row>
    <row r="2227" spans="1:21" x14ac:dyDescent="0.2">
      <c r="A2227" s="88" t="s">
        <v>17948</v>
      </c>
      <c r="B2227" s="88" t="e">
        <f>VLOOKUP(C2227,#REF!,1,0)</f>
        <v>#REF!</v>
      </c>
      <c r="C2227" s="1" t="s">
        <v>7396</v>
      </c>
      <c r="D2227" s="1" t="s">
        <v>7397</v>
      </c>
      <c r="E2227" s="1" t="s">
        <v>9246</v>
      </c>
      <c r="F2227" s="1" t="s">
        <v>8959</v>
      </c>
      <c r="G2227" t="s">
        <v>8959</v>
      </c>
      <c r="H2227" s="1" t="s">
        <v>9154</v>
      </c>
      <c r="I2227" s="1" t="s">
        <v>8998</v>
      </c>
      <c r="J2227" s="2" t="s">
        <v>10492</v>
      </c>
      <c r="K2227" s="1" t="s">
        <v>21645</v>
      </c>
      <c r="L2227" s="1" t="s">
        <v>8951</v>
      </c>
      <c r="M2227" s="1">
        <v>160</v>
      </c>
      <c r="N2227" s="1" t="s">
        <v>9059</v>
      </c>
      <c r="O2227" s="1" t="s">
        <v>8954</v>
      </c>
      <c r="P2227" s="1" t="s">
        <v>8955</v>
      </c>
      <c r="Q2227" s="1" t="s">
        <v>8956</v>
      </c>
      <c r="R2227" s="1" t="s">
        <v>8975</v>
      </c>
      <c r="S2227" s="1" t="s">
        <v>20154</v>
      </c>
      <c r="T2227" s="1" t="s">
        <v>7</v>
      </c>
      <c r="U2227" s="1" t="s">
        <v>831</v>
      </c>
    </row>
    <row r="2228" spans="1:21" x14ac:dyDescent="0.2">
      <c r="A2228" s="88" t="s">
        <v>17949</v>
      </c>
      <c r="B2228" s="88" t="e">
        <f>VLOOKUP(C2228,#REF!,1,0)</f>
        <v>#REF!</v>
      </c>
      <c r="C2228" s="1" t="s">
        <v>7398</v>
      </c>
      <c r="D2228" s="1" t="s">
        <v>7399</v>
      </c>
      <c r="E2228" s="1" t="s">
        <v>9246</v>
      </c>
      <c r="F2228" s="1" t="s">
        <v>8957</v>
      </c>
      <c r="G2228" t="s">
        <v>9009</v>
      </c>
      <c r="H2228" s="1" t="s">
        <v>9092</v>
      </c>
      <c r="I2228" s="1" t="s">
        <v>8949</v>
      </c>
      <c r="J2228" s="2" t="s">
        <v>9102</v>
      </c>
      <c r="K2228" s="1" t="s">
        <v>9102</v>
      </c>
      <c r="L2228" s="1" t="s">
        <v>9157</v>
      </c>
      <c r="M2228" s="1">
        <v>270</v>
      </c>
      <c r="N2228" s="1" t="s">
        <v>9059</v>
      </c>
      <c r="O2228" s="1" t="s">
        <v>8989</v>
      </c>
      <c r="P2228" s="1" t="s">
        <v>8955</v>
      </c>
      <c r="Q2228" s="1" t="s">
        <v>8956</v>
      </c>
      <c r="R2228" s="1" t="s">
        <v>8958</v>
      </c>
      <c r="S2228" s="1" t="s">
        <v>7400</v>
      </c>
      <c r="T2228" s="1" t="s">
        <v>4</v>
      </c>
      <c r="U2228" s="1" t="s">
        <v>57</v>
      </c>
    </row>
    <row r="2229" spans="1:21" x14ac:dyDescent="0.2">
      <c r="A2229" s="88" t="s">
        <v>17950</v>
      </c>
      <c r="B2229" s="88" t="e">
        <f>VLOOKUP(C2229,#REF!,1,0)</f>
        <v>#REF!</v>
      </c>
      <c r="C2229" s="1" t="s">
        <v>7401</v>
      </c>
      <c r="D2229" s="1" t="s">
        <v>7402</v>
      </c>
      <c r="E2229" s="1" t="s">
        <v>9246</v>
      </c>
      <c r="F2229" s="1" t="s">
        <v>8974</v>
      </c>
      <c r="G2229" t="s">
        <v>9061</v>
      </c>
      <c r="H2229" s="1" t="s">
        <v>9100</v>
      </c>
      <c r="I2229" s="1" t="s">
        <v>8998</v>
      </c>
      <c r="J2229" s="2" t="s">
        <v>10492</v>
      </c>
      <c r="K2229" s="1" t="s">
        <v>10492</v>
      </c>
      <c r="L2229" s="1" t="s">
        <v>21600</v>
      </c>
      <c r="M2229" s="1">
        <v>14</v>
      </c>
      <c r="N2229" s="1" t="s">
        <v>9059</v>
      </c>
      <c r="O2229" s="1" t="s">
        <v>8989</v>
      </c>
      <c r="P2229" s="1" t="s">
        <v>8955</v>
      </c>
      <c r="Q2229" s="1" t="s">
        <v>8956</v>
      </c>
      <c r="R2229" s="1" t="s">
        <v>8958</v>
      </c>
      <c r="S2229" s="1" t="s">
        <v>20155</v>
      </c>
      <c r="T2229" s="1" t="s">
        <v>17</v>
      </c>
      <c r="U2229" s="1" t="s">
        <v>24</v>
      </c>
    </row>
    <row r="2230" spans="1:21" x14ac:dyDescent="0.2">
      <c r="A2230" s="88" t="s">
        <v>17951</v>
      </c>
      <c r="B2230" s="88" t="e">
        <f>VLOOKUP(C2230,#REF!,1,0)</f>
        <v>#REF!</v>
      </c>
      <c r="C2230" s="1" t="s">
        <v>7403</v>
      </c>
      <c r="D2230" s="1" t="s">
        <v>7404</v>
      </c>
      <c r="E2230" s="1" t="s">
        <v>9642</v>
      </c>
      <c r="F2230" s="1" t="s">
        <v>8957</v>
      </c>
      <c r="G2230" t="s">
        <v>9183</v>
      </c>
      <c r="H2230" s="1" t="s">
        <v>8984</v>
      </c>
      <c r="I2230" s="1" t="s">
        <v>9269</v>
      </c>
      <c r="J2230" s="2" t="s">
        <v>10218</v>
      </c>
      <c r="K2230" s="1" t="s">
        <v>10218</v>
      </c>
      <c r="L2230" s="1" t="s">
        <v>21600</v>
      </c>
      <c r="M2230" s="1">
        <v>4000</v>
      </c>
      <c r="N2230" s="1" t="s">
        <v>8953</v>
      </c>
      <c r="O2230" s="1" t="s">
        <v>8954</v>
      </c>
      <c r="P2230" s="1" t="s">
        <v>8955</v>
      </c>
      <c r="Q2230" s="1" t="s">
        <v>8956</v>
      </c>
      <c r="R2230" s="1" t="s">
        <v>8958</v>
      </c>
      <c r="S2230" s="1" t="s">
        <v>7405</v>
      </c>
      <c r="T2230" s="1" t="s">
        <v>11</v>
      </c>
      <c r="U2230" s="1" t="s">
        <v>126</v>
      </c>
    </row>
    <row r="2231" spans="1:21" x14ac:dyDescent="0.2">
      <c r="A2231" s="88" t="s">
        <v>17952</v>
      </c>
      <c r="B2231" s="88" t="e">
        <f>VLOOKUP(C2231,#REF!,1,0)</f>
        <v>#REF!</v>
      </c>
      <c r="C2231" s="1" t="s">
        <v>7406</v>
      </c>
      <c r="D2231" s="1" t="s">
        <v>7407</v>
      </c>
      <c r="E2231" s="1" t="s">
        <v>9246</v>
      </c>
      <c r="F2231" s="1" t="s">
        <v>8957</v>
      </c>
      <c r="G2231" t="s">
        <v>9009</v>
      </c>
      <c r="H2231" s="1" t="s">
        <v>8984</v>
      </c>
      <c r="I2231" s="1" t="s">
        <v>8949</v>
      </c>
      <c r="J2231" s="2" t="s">
        <v>20779</v>
      </c>
      <c r="K2231" s="1" t="s">
        <v>9036</v>
      </c>
      <c r="L2231" s="1" t="s">
        <v>21600</v>
      </c>
      <c r="M2231" s="1">
        <v>440</v>
      </c>
      <c r="N2231" s="1" t="s">
        <v>8953</v>
      </c>
      <c r="O2231" s="1" t="s">
        <v>8954</v>
      </c>
      <c r="P2231" s="1" t="s">
        <v>8955</v>
      </c>
      <c r="Q2231" s="1" t="s">
        <v>8956</v>
      </c>
      <c r="R2231" s="1" t="s">
        <v>8958</v>
      </c>
      <c r="S2231" s="1" t="s">
        <v>20156</v>
      </c>
      <c r="T2231" s="1" t="s">
        <v>17</v>
      </c>
      <c r="U2231" s="1" t="s">
        <v>7408</v>
      </c>
    </row>
    <row r="2232" spans="1:21" x14ac:dyDescent="0.2">
      <c r="A2232" s="88" t="s">
        <v>17953</v>
      </c>
      <c r="B2232" s="88" t="e">
        <f>VLOOKUP(C2232,#REF!,1,0)</f>
        <v>#REF!</v>
      </c>
      <c r="C2232" s="1" t="s">
        <v>7413</v>
      </c>
      <c r="D2232" s="1" t="s">
        <v>7414</v>
      </c>
      <c r="E2232" s="1" t="s">
        <v>9010</v>
      </c>
      <c r="F2232" s="1" t="s">
        <v>8957</v>
      </c>
      <c r="G2232" t="s">
        <v>9061</v>
      </c>
      <c r="H2232" s="1" t="s">
        <v>9035</v>
      </c>
      <c r="I2232" s="1" t="s">
        <v>9155</v>
      </c>
      <c r="J2232" s="2" t="s">
        <v>13361</v>
      </c>
      <c r="K2232" s="1" t="s">
        <v>13361</v>
      </c>
      <c r="L2232" s="1" t="s">
        <v>21600</v>
      </c>
      <c r="M2232" s="1">
        <v>535</v>
      </c>
      <c r="N2232" s="1" t="s">
        <v>8953</v>
      </c>
      <c r="O2232" s="1" t="s">
        <v>8989</v>
      </c>
      <c r="P2232" s="1" t="s">
        <v>8955</v>
      </c>
      <c r="Q2232" s="1" t="s">
        <v>8956</v>
      </c>
      <c r="R2232" s="1" t="s">
        <v>8975</v>
      </c>
      <c r="S2232" s="1" t="s">
        <v>7415</v>
      </c>
      <c r="T2232" s="1" t="s">
        <v>4</v>
      </c>
      <c r="U2232" s="1" t="s">
        <v>1979</v>
      </c>
    </row>
    <row r="2233" spans="1:21" x14ac:dyDescent="0.2">
      <c r="A2233" s="88" t="s">
        <v>17954</v>
      </c>
      <c r="B2233" s="88" t="e">
        <f>VLOOKUP(C2233,#REF!,1,0)</f>
        <v>#REF!</v>
      </c>
      <c r="C2233" s="1" t="s">
        <v>7416</v>
      </c>
      <c r="D2233" s="1" t="s">
        <v>7417</v>
      </c>
      <c r="E2233" s="1" t="s">
        <v>9246</v>
      </c>
      <c r="F2233" s="1" t="s">
        <v>8957</v>
      </c>
      <c r="G2233" t="s">
        <v>9061</v>
      </c>
      <c r="H2233" s="1" t="s">
        <v>9049</v>
      </c>
      <c r="I2233" s="1" t="s">
        <v>9050</v>
      </c>
      <c r="J2233" s="2" t="s">
        <v>9036</v>
      </c>
      <c r="K2233" s="1" t="s">
        <v>9036</v>
      </c>
      <c r="L2233" s="1" t="s">
        <v>8951</v>
      </c>
      <c r="M2233" s="1">
        <v>7879</v>
      </c>
      <c r="N2233" s="1" t="s">
        <v>8953</v>
      </c>
      <c r="O2233" s="1" t="s">
        <v>8954</v>
      </c>
      <c r="P2233" s="1" t="s">
        <v>8955</v>
      </c>
      <c r="Q2233" s="1" t="s">
        <v>8956</v>
      </c>
      <c r="R2233" s="1" t="s">
        <v>8958</v>
      </c>
      <c r="S2233" s="1" t="s">
        <v>7418</v>
      </c>
      <c r="T2233" s="1" t="s">
        <v>242</v>
      </c>
      <c r="U2233" s="1" t="s">
        <v>61</v>
      </c>
    </row>
    <row r="2234" spans="1:21" x14ac:dyDescent="0.2">
      <c r="A2234" s="88" t="s">
        <v>17955</v>
      </c>
      <c r="B2234" s="88" t="e">
        <f>VLOOKUP(C2234,#REF!,1,0)</f>
        <v>#REF!</v>
      </c>
      <c r="C2234" s="1" t="s">
        <v>7419</v>
      </c>
      <c r="D2234" s="1" t="s">
        <v>7420</v>
      </c>
      <c r="E2234" s="1" t="s">
        <v>9246</v>
      </c>
      <c r="F2234" s="1" t="s">
        <v>9060</v>
      </c>
      <c r="G2234" t="s">
        <v>9061</v>
      </c>
      <c r="H2234" s="1" t="s">
        <v>9154</v>
      </c>
      <c r="I2234" s="1" t="s">
        <v>8998</v>
      </c>
      <c r="J2234" s="2" t="s">
        <v>20838</v>
      </c>
      <c r="K2234" s="1" t="s">
        <v>20755</v>
      </c>
      <c r="L2234" s="1" t="s">
        <v>9292</v>
      </c>
      <c r="M2234" s="1">
        <v>75</v>
      </c>
      <c r="N2234" s="1" t="s">
        <v>9059</v>
      </c>
      <c r="O2234" s="1" t="s">
        <v>8989</v>
      </c>
      <c r="P2234" s="1" t="s">
        <v>8955</v>
      </c>
      <c r="Q2234" s="1" t="s">
        <v>8956</v>
      </c>
      <c r="R2234" s="1" t="s">
        <v>8975</v>
      </c>
      <c r="S2234" s="1" t="s">
        <v>20157</v>
      </c>
      <c r="T2234" s="1" t="s">
        <v>17</v>
      </c>
      <c r="U2234" s="1" t="s">
        <v>1915</v>
      </c>
    </row>
    <row r="2235" spans="1:21" x14ac:dyDescent="0.2">
      <c r="A2235" s="88" t="s">
        <v>17956</v>
      </c>
      <c r="B2235" s="88" t="e">
        <f>VLOOKUP(C2235,#REF!,1,0)</f>
        <v>#REF!</v>
      </c>
      <c r="C2235" s="1" t="s">
        <v>7421</v>
      </c>
      <c r="D2235" s="1" t="s">
        <v>7422</v>
      </c>
      <c r="E2235" s="1" t="s">
        <v>9246</v>
      </c>
      <c r="F2235" s="1" t="s">
        <v>9060</v>
      </c>
      <c r="G2235" t="s">
        <v>9009</v>
      </c>
      <c r="H2235" s="1" t="s">
        <v>9154</v>
      </c>
      <c r="I2235" s="1" t="s">
        <v>8998</v>
      </c>
      <c r="J2235" s="2" t="s">
        <v>9036</v>
      </c>
      <c r="K2235" s="1" t="s">
        <v>9036</v>
      </c>
      <c r="L2235" s="1" t="s">
        <v>9133</v>
      </c>
      <c r="M2235" s="1">
        <v>126</v>
      </c>
      <c r="N2235" s="1" t="s">
        <v>9059</v>
      </c>
      <c r="O2235" s="1" t="s">
        <v>8989</v>
      </c>
      <c r="P2235" s="1" t="s">
        <v>8955</v>
      </c>
      <c r="Q2235" s="1" t="s">
        <v>8956</v>
      </c>
      <c r="R2235" s="1" t="s">
        <v>8958</v>
      </c>
      <c r="S2235" s="1" t="s">
        <v>7423</v>
      </c>
      <c r="T2235" s="1" t="s">
        <v>17</v>
      </c>
      <c r="U2235" s="1" t="s">
        <v>147</v>
      </c>
    </row>
    <row r="2236" spans="1:21" x14ac:dyDescent="0.2">
      <c r="A2236" s="88" t="s">
        <v>17957</v>
      </c>
      <c r="B2236" s="88" t="e">
        <f>VLOOKUP(C2236,#REF!,1,0)</f>
        <v>#REF!</v>
      </c>
      <c r="C2236" s="1" t="s">
        <v>7424</v>
      </c>
      <c r="D2236" s="1" t="s">
        <v>7425</v>
      </c>
      <c r="E2236" s="1" t="s">
        <v>9642</v>
      </c>
      <c r="F2236" s="1" t="s">
        <v>8959</v>
      </c>
      <c r="G2236" t="s">
        <v>9183</v>
      </c>
      <c r="H2236" s="1" t="s">
        <v>9092</v>
      </c>
      <c r="I2236" s="1" t="s">
        <v>9308</v>
      </c>
      <c r="J2236" s="2" t="s">
        <v>9018</v>
      </c>
      <c r="K2236" s="1" t="s">
        <v>9018</v>
      </c>
      <c r="L2236" s="1" t="s">
        <v>8951</v>
      </c>
      <c r="M2236" s="1">
        <v>12611</v>
      </c>
      <c r="N2236" s="1" t="s">
        <v>8953</v>
      </c>
      <c r="O2236" s="1" t="s">
        <v>8954</v>
      </c>
      <c r="P2236" s="1" t="s">
        <v>8955</v>
      </c>
      <c r="Q2236" s="1" t="s">
        <v>8956</v>
      </c>
      <c r="R2236" s="1" t="s">
        <v>8975</v>
      </c>
      <c r="S2236" s="1" t="s">
        <v>7426</v>
      </c>
      <c r="T2236" s="1" t="s">
        <v>11</v>
      </c>
      <c r="U2236" s="1" t="s">
        <v>46</v>
      </c>
    </row>
    <row r="2237" spans="1:21" x14ac:dyDescent="0.2">
      <c r="A2237" s="88" t="s">
        <v>17958</v>
      </c>
      <c r="B2237" s="88" t="e">
        <f>VLOOKUP(C2237,#REF!,1,0)</f>
        <v>#REF!</v>
      </c>
      <c r="C2237" s="1" t="s">
        <v>7427</v>
      </c>
      <c r="D2237" s="1" t="s">
        <v>7428</v>
      </c>
      <c r="E2237" s="1" t="s">
        <v>9246</v>
      </c>
      <c r="F2237" s="1" t="s">
        <v>8957</v>
      </c>
      <c r="G2237" t="s">
        <v>9009</v>
      </c>
      <c r="H2237" s="1" t="s">
        <v>15172</v>
      </c>
      <c r="I2237" s="1" t="s">
        <v>8949</v>
      </c>
      <c r="J2237" s="2" t="s">
        <v>9036</v>
      </c>
      <c r="K2237" s="1" t="s">
        <v>9036</v>
      </c>
      <c r="L2237" s="1" t="s">
        <v>8987</v>
      </c>
      <c r="M2237" s="1">
        <v>220</v>
      </c>
      <c r="N2237" s="1" t="s">
        <v>9059</v>
      </c>
      <c r="O2237" s="1" t="s">
        <v>8954</v>
      </c>
      <c r="P2237" s="1" t="s">
        <v>8955</v>
      </c>
      <c r="Q2237" s="1" t="s">
        <v>8956</v>
      </c>
      <c r="R2237" s="1" t="s">
        <v>9103</v>
      </c>
      <c r="S2237" s="1" t="s">
        <v>7429</v>
      </c>
      <c r="T2237" s="1" t="s">
        <v>17</v>
      </c>
      <c r="U2237" s="1" t="s">
        <v>61</v>
      </c>
    </row>
    <row r="2238" spans="1:21" x14ac:dyDescent="0.2">
      <c r="A2238" s="88" t="s">
        <v>17959</v>
      </c>
      <c r="B2238" s="88" t="e">
        <f>VLOOKUP(C2238,#REF!,1,0)</f>
        <v>#REF!</v>
      </c>
      <c r="C2238" s="1" t="s">
        <v>7430</v>
      </c>
      <c r="D2238" s="1" t="s">
        <v>7431</v>
      </c>
      <c r="E2238" s="1" t="s">
        <v>9010</v>
      </c>
      <c r="F2238" s="1" t="s">
        <v>8957</v>
      </c>
      <c r="G2238" t="s">
        <v>8959</v>
      </c>
      <c r="H2238" s="1" t="s">
        <v>9605</v>
      </c>
      <c r="I2238" s="1" t="s">
        <v>9101</v>
      </c>
      <c r="J2238" s="2" t="s">
        <v>9036</v>
      </c>
      <c r="K2238" s="1" t="s">
        <v>9036</v>
      </c>
      <c r="L2238" s="1" t="s">
        <v>21600</v>
      </c>
      <c r="M2238" s="1">
        <v>11909</v>
      </c>
      <c r="N2238" s="1" t="s">
        <v>8953</v>
      </c>
      <c r="O2238" s="1" t="s">
        <v>8954</v>
      </c>
      <c r="P2238" s="1" t="s">
        <v>8955</v>
      </c>
      <c r="Q2238" s="1" t="s">
        <v>8956</v>
      </c>
      <c r="R2238" s="1" t="s">
        <v>8975</v>
      </c>
      <c r="S2238" s="1" t="s">
        <v>7432</v>
      </c>
      <c r="T2238" s="1" t="s">
        <v>242</v>
      </c>
      <c r="U2238" s="1" t="s">
        <v>808</v>
      </c>
    </row>
    <row r="2239" spans="1:21" x14ac:dyDescent="0.2">
      <c r="A2239" s="88" t="s">
        <v>17960</v>
      </c>
      <c r="B2239" s="88" t="e">
        <f>VLOOKUP(C2239,#REF!,1,0)</f>
        <v>#REF!</v>
      </c>
      <c r="C2239" s="1" t="s">
        <v>7433</v>
      </c>
      <c r="D2239" s="1" t="s">
        <v>7434</v>
      </c>
      <c r="E2239" s="1" t="s">
        <v>9246</v>
      </c>
      <c r="F2239" s="1" t="s">
        <v>8957</v>
      </c>
      <c r="G2239" t="s">
        <v>9061</v>
      </c>
      <c r="H2239" s="1" t="s">
        <v>20712</v>
      </c>
      <c r="I2239" s="1" t="s">
        <v>8998</v>
      </c>
      <c r="J2239" s="2" t="s">
        <v>20779</v>
      </c>
      <c r="K2239" s="1" t="s">
        <v>9036</v>
      </c>
      <c r="L2239" s="1" t="s">
        <v>8987</v>
      </c>
      <c r="M2239" s="1">
        <v>7240</v>
      </c>
      <c r="N2239" s="1" t="s">
        <v>9059</v>
      </c>
      <c r="O2239" s="1" t="s">
        <v>8954</v>
      </c>
      <c r="P2239" s="1" t="s">
        <v>8955</v>
      </c>
      <c r="Q2239" s="1" t="s">
        <v>8956</v>
      </c>
      <c r="R2239" s="1" t="s">
        <v>8975</v>
      </c>
      <c r="S2239" s="1" t="s">
        <v>20158</v>
      </c>
      <c r="T2239" s="1" t="s">
        <v>7</v>
      </c>
      <c r="U2239" s="1" t="s">
        <v>180</v>
      </c>
    </row>
    <row r="2240" spans="1:21" x14ac:dyDescent="0.2">
      <c r="A2240" s="88" t="s">
        <v>17961</v>
      </c>
      <c r="B2240" s="88" t="e">
        <f>VLOOKUP(C2240,#REF!,1,0)</f>
        <v>#REF!</v>
      </c>
      <c r="C2240" s="1" t="s">
        <v>7438</v>
      </c>
      <c r="D2240" s="1" t="s">
        <v>7439</v>
      </c>
      <c r="E2240" s="1" t="s">
        <v>10032</v>
      </c>
      <c r="F2240" s="1" t="s">
        <v>9060</v>
      </c>
      <c r="G2240" t="s">
        <v>8959</v>
      </c>
      <c r="H2240" s="1" t="s">
        <v>8948</v>
      </c>
      <c r="I2240" s="1" t="s">
        <v>8949</v>
      </c>
      <c r="J2240" s="2" t="s">
        <v>20785</v>
      </c>
      <c r="K2240" s="1" t="s">
        <v>18491</v>
      </c>
      <c r="L2240" s="1" t="s">
        <v>9076</v>
      </c>
      <c r="M2240" s="1">
        <v>4</v>
      </c>
      <c r="N2240" s="1" t="s">
        <v>9059</v>
      </c>
      <c r="O2240" s="1" t="s">
        <v>8989</v>
      </c>
      <c r="P2240" s="1" t="s">
        <v>8955</v>
      </c>
      <c r="Q2240" s="1" t="s">
        <v>8956</v>
      </c>
      <c r="R2240" s="1" t="s">
        <v>9103</v>
      </c>
      <c r="S2240" s="1" t="s">
        <v>20160</v>
      </c>
      <c r="T2240" s="1" t="s">
        <v>17</v>
      </c>
      <c r="U2240" s="1" t="s">
        <v>7440</v>
      </c>
    </row>
    <row r="2241" spans="1:21" x14ac:dyDescent="0.2">
      <c r="A2241" s="88" t="s">
        <v>17962</v>
      </c>
      <c r="B2241" s="88" t="e">
        <f>VLOOKUP(C2241,#REF!,1,0)</f>
        <v>#REF!</v>
      </c>
      <c r="C2241" s="1" t="s">
        <v>7441</v>
      </c>
      <c r="D2241" s="1" t="s">
        <v>7442</v>
      </c>
      <c r="E2241" s="1" t="s">
        <v>18502</v>
      </c>
      <c r="F2241" s="1" t="s">
        <v>8957</v>
      </c>
      <c r="G2241" t="s">
        <v>8959</v>
      </c>
      <c r="H2241" s="1" t="s">
        <v>20714</v>
      </c>
      <c r="I2241" s="1" t="s">
        <v>9155</v>
      </c>
      <c r="J2241" s="2" t="s">
        <v>20779</v>
      </c>
      <c r="K2241" s="1" t="s">
        <v>9036</v>
      </c>
      <c r="L2241" s="1" t="s">
        <v>8987</v>
      </c>
      <c r="M2241" s="1">
        <v>8062</v>
      </c>
      <c r="N2241" s="1" t="s">
        <v>8953</v>
      </c>
      <c r="O2241" s="1" t="s">
        <v>8954</v>
      </c>
      <c r="P2241" s="1" t="s">
        <v>8955</v>
      </c>
      <c r="Q2241" s="1" t="s">
        <v>8956</v>
      </c>
      <c r="R2241" s="1" t="s">
        <v>8975</v>
      </c>
      <c r="S2241" s="1" t="s">
        <v>20161</v>
      </c>
      <c r="T2241" s="1" t="s">
        <v>7</v>
      </c>
      <c r="U2241" s="1" t="s">
        <v>580</v>
      </c>
    </row>
    <row r="2242" spans="1:21" x14ac:dyDescent="0.2">
      <c r="A2242" s="88" t="s">
        <v>17963</v>
      </c>
      <c r="B2242" s="88" t="e">
        <f>VLOOKUP(C2242,#REF!,1,0)</f>
        <v>#REF!</v>
      </c>
      <c r="C2242" s="1" t="s">
        <v>7443</v>
      </c>
      <c r="D2242" s="1" t="s">
        <v>7444</v>
      </c>
      <c r="E2242" s="1" t="s">
        <v>9010</v>
      </c>
      <c r="F2242" s="1" t="s">
        <v>8957</v>
      </c>
      <c r="G2242" t="s">
        <v>9183</v>
      </c>
      <c r="H2242" s="1" t="s">
        <v>9049</v>
      </c>
      <c r="I2242" s="1" t="s">
        <v>9325</v>
      </c>
      <c r="J2242" s="2" t="s">
        <v>10258</v>
      </c>
      <c r="K2242" s="1" t="s">
        <v>10258</v>
      </c>
      <c r="L2242" s="1" t="s">
        <v>8951</v>
      </c>
      <c r="M2242" s="1">
        <v>226870</v>
      </c>
      <c r="N2242" s="1" t="s">
        <v>8953</v>
      </c>
      <c r="O2242" s="1" t="s">
        <v>8954</v>
      </c>
      <c r="P2242" s="1" t="s">
        <v>8955</v>
      </c>
      <c r="Q2242" s="1" t="s">
        <v>8956</v>
      </c>
      <c r="R2242" s="1" t="s">
        <v>8975</v>
      </c>
      <c r="S2242" s="1" t="s">
        <v>7445</v>
      </c>
      <c r="T2242" s="1" t="s">
        <v>11</v>
      </c>
      <c r="U2242" s="1" t="s">
        <v>396</v>
      </c>
    </row>
    <row r="2243" spans="1:21" x14ac:dyDescent="0.2">
      <c r="A2243" s="88" t="s">
        <v>17964</v>
      </c>
      <c r="B2243" s="88" t="e">
        <f>VLOOKUP(C2243,#REF!,1,0)</f>
        <v>#REF!</v>
      </c>
      <c r="C2243" s="1" t="s">
        <v>7448</v>
      </c>
      <c r="D2243" s="1" t="s">
        <v>7449</v>
      </c>
      <c r="E2243" s="1" t="s">
        <v>20834</v>
      </c>
      <c r="F2243" s="1" t="s">
        <v>8957</v>
      </c>
      <c r="G2243" t="s">
        <v>8959</v>
      </c>
      <c r="H2243" s="1" t="s">
        <v>20714</v>
      </c>
      <c r="I2243" s="1" t="s">
        <v>20725</v>
      </c>
      <c r="J2243" s="2" t="s">
        <v>21257</v>
      </c>
      <c r="K2243" s="1" t="s">
        <v>21879</v>
      </c>
      <c r="L2243" s="1" t="s">
        <v>21600</v>
      </c>
      <c r="M2243" s="1">
        <v>23</v>
      </c>
      <c r="N2243" s="1" t="s">
        <v>9059</v>
      </c>
      <c r="O2243" s="1" t="s">
        <v>8989</v>
      </c>
      <c r="P2243" s="1" t="s">
        <v>8955</v>
      </c>
      <c r="Q2243" s="1" t="s">
        <v>8956</v>
      </c>
      <c r="R2243" s="1" t="s">
        <v>8958</v>
      </c>
      <c r="S2243" s="1" t="s">
        <v>20162</v>
      </c>
      <c r="T2243" s="1" t="s">
        <v>17</v>
      </c>
      <c r="U2243" s="1" t="s">
        <v>184</v>
      </c>
    </row>
    <row r="2244" spans="1:21" x14ac:dyDescent="0.2">
      <c r="A2244" s="88" t="s">
        <v>17965</v>
      </c>
      <c r="B2244" s="88" t="e">
        <f>VLOOKUP(C2244,#REF!,1,0)</f>
        <v>#REF!</v>
      </c>
      <c r="C2244" s="1" t="s">
        <v>7450</v>
      </c>
      <c r="D2244" s="1" t="s">
        <v>7451</v>
      </c>
      <c r="E2244" s="1" t="s">
        <v>9815</v>
      </c>
      <c r="F2244" s="1" t="s">
        <v>8959</v>
      </c>
      <c r="G2244" t="s">
        <v>9061</v>
      </c>
      <c r="H2244" s="1" t="s">
        <v>9035</v>
      </c>
      <c r="I2244" s="1" t="s">
        <v>8998</v>
      </c>
      <c r="J2244" s="2" t="s">
        <v>10492</v>
      </c>
      <c r="K2244" s="1" t="s">
        <v>21645</v>
      </c>
      <c r="L2244" s="1" t="s">
        <v>9292</v>
      </c>
      <c r="M2244" s="1">
        <v>1245</v>
      </c>
      <c r="N2244" s="1" t="s">
        <v>9059</v>
      </c>
      <c r="O2244" s="1" t="s">
        <v>8954</v>
      </c>
      <c r="P2244" s="1" t="s">
        <v>8955</v>
      </c>
      <c r="Q2244" s="1" t="s">
        <v>8956</v>
      </c>
      <c r="R2244" s="1" t="s">
        <v>8975</v>
      </c>
      <c r="S2244" s="1" t="s">
        <v>20163</v>
      </c>
      <c r="T2244" s="1" t="s">
        <v>7</v>
      </c>
      <c r="U2244" s="1" t="s">
        <v>562</v>
      </c>
    </row>
    <row r="2245" spans="1:21" x14ac:dyDescent="0.2">
      <c r="A2245" s="88" t="s">
        <v>17966</v>
      </c>
      <c r="B2245" s="88" t="e">
        <f>VLOOKUP(C2245,#REF!,1,0)</f>
        <v>#REF!</v>
      </c>
      <c r="C2245" s="1" t="s">
        <v>7452</v>
      </c>
      <c r="D2245" s="1" t="s">
        <v>7453</v>
      </c>
      <c r="E2245" s="1" t="s">
        <v>9246</v>
      </c>
      <c r="F2245" s="1" t="s">
        <v>8957</v>
      </c>
      <c r="G2245" t="s">
        <v>9061</v>
      </c>
      <c r="H2245" s="1" t="s">
        <v>9252</v>
      </c>
      <c r="I2245" s="1" t="s">
        <v>8949</v>
      </c>
      <c r="J2245" s="2" t="s">
        <v>20779</v>
      </c>
      <c r="K2245" s="1" t="s">
        <v>9036</v>
      </c>
      <c r="L2245" s="1" t="s">
        <v>21600</v>
      </c>
      <c r="M2245" s="1">
        <v>115</v>
      </c>
      <c r="N2245" s="1" t="s">
        <v>9059</v>
      </c>
      <c r="O2245" s="1" t="s">
        <v>8954</v>
      </c>
      <c r="P2245" s="1" t="s">
        <v>8955</v>
      </c>
      <c r="Q2245" s="1" t="s">
        <v>8956</v>
      </c>
      <c r="R2245" s="1" t="s">
        <v>8958</v>
      </c>
      <c r="S2245" s="1" t="s">
        <v>20164</v>
      </c>
      <c r="T2245" s="1" t="s">
        <v>17</v>
      </c>
      <c r="U2245" s="1" t="s">
        <v>93</v>
      </c>
    </row>
    <row r="2246" spans="1:21" x14ac:dyDescent="0.2">
      <c r="A2246" s="88" t="s">
        <v>17969</v>
      </c>
      <c r="B2246" s="88" t="e">
        <f>VLOOKUP(C2246,#REF!,1,0)</f>
        <v>#REF!</v>
      </c>
      <c r="C2246" s="1" t="s">
        <v>7474</v>
      </c>
      <c r="D2246" s="1" t="s">
        <v>7475</v>
      </c>
      <c r="E2246" s="1" t="s">
        <v>10873</v>
      </c>
      <c r="F2246" s="1" t="s">
        <v>8957</v>
      </c>
      <c r="G2246" t="s">
        <v>9009</v>
      </c>
      <c r="H2246" s="1" t="s">
        <v>9605</v>
      </c>
      <c r="I2246" s="1" t="s">
        <v>9121</v>
      </c>
      <c r="J2246" s="2" t="s">
        <v>10517</v>
      </c>
      <c r="K2246" s="1" t="s">
        <v>10517</v>
      </c>
      <c r="L2246" s="1" t="s">
        <v>9157</v>
      </c>
      <c r="M2246" s="1">
        <v>30</v>
      </c>
      <c r="N2246" s="1" t="s">
        <v>9059</v>
      </c>
      <c r="O2246" s="1" t="s">
        <v>8989</v>
      </c>
      <c r="P2246" s="1" t="s">
        <v>8955</v>
      </c>
      <c r="Q2246" s="1" t="s">
        <v>8956</v>
      </c>
      <c r="R2246" s="1" t="s">
        <v>8975</v>
      </c>
      <c r="S2246" s="1" t="s">
        <v>7476</v>
      </c>
      <c r="T2246" s="1" t="s">
        <v>17</v>
      </c>
      <c r="U2246" s="1" t="s">
        <v>2819</v>
      </c>
    </row>
    <row r="2247" spans="1:21" x14ac:dyDescent="0.2">
      <c r="A2247" s="88" t="s">
        <v>17970</v>
      </c>
      <c r="B2247" s="88" t="e">
        <f>VLOOKUP(C2247,#REF!,1,0)</f>
        <v>#REF!</v>
      </c>
      <c r="C2247" s="1" t="s">
        <v>7477</v>
      </c>
      <c r="D2247" s="1" t="s">
        <v>7478</v>
      </c>
      <c r="E2247" s="1" t="s">
        <v>9246</v>
      </c>
      <c r="F2247" s="1" t="s">
        <v>8959</v>
      </c>
      <c r="G2247" t="s">
        <v>9183</v>
      </c>
      <c r="H2247" s="1" t="s">
        <v>8948</v>
      </c>
      <c r="I2247" s="1" t="s">
        <v>8959</v>
      </c>
      <c r="J2247" s="2" t="s">
        <v>10492</v>
      </c>
      <c r="K2247" s="1" t="s">
        <v>21645</v>
      </c>
      <c r="L2247" s="1" t="s">
        <v>20839</v>
      </c>
      <c r="M2247" s="1">
        <v>81</v>
      </c>
      <c r="N2247" s="1" t="s">
        <v>8953</v>
      </c>
      <c r="O2247" s="1" t="s">
        <v>8989</v>
      </c>
      <c r="P2247" s="1" t="s">
        <v>8955</v>
      </c>
      <c r="Q2247" s="1" t="s">
        <v>8956</v>
      </c>
      <c r="R2247" s="1" t="s">
        <v>8958</v>
      </c>
      <c r="S2247" s="1" t="s">
        <v>20170</v>
      </c>
      <c r="T2247" s="1" t="s">
        <v>17</v>
      </c>
      <c r="U2247" s="1" t="s">
        <v>24</v>
      </c>
    </row>
    <row r="2248" spans="1:21" x14ac:dyDescent="0.2">
      <c r="A2248" s="88" t="s">
        <v>17971</v>
      </c>
      <c r="B2248" s="88" t="e">
        <f>VLOOKUP(C2248,#REF!,1,0)</f>
        <v>#REF!</v>
      </c>
      <c r="C2248" s="1" t="s">
        <v>7479</v>
      </c>
      <c r="D2248" s="1" t="s">
        <v>7480</v>
      </c>
      <c r="E2248" s="1" t="s">
        <v>20858</v>
      </c>
      <c r="F2248" s="1" t="s">
        <v>8974</v>
      </c>
      <c r="G2248" t="s">
        <v>9009</v>
      </c>
      <c r="H2248" s="1" t="s">
        <v>9605</v>
      </c>
      <c r="I2248" s="1" t="s">
        <v>8949</v>
      </c>
      <c r="J2248" s="2" t="s">
        <v>20779</v>
      </c>
      <c r="K2248" s="1" t="s">
        <v>9036</v>
      </c>
      <c r="L2248" s="1" t="s">
        <v>9076</v>
      </c>
      <c r="M2248" s="1">
        <v>140000</v>
      </c>
      <c r="N2248" s="1" t="s">
        <v>8953</v>
      </c>
      <c r="O2248" s="1" t="s">
        <v>8954</v>
      </c>
      <c r="P2248" s="1" t="s">
        <v>8955</v>
      </c>
      <c r="Q2248" s="1" t="s">
        <v>8956</v>
      </c>
      <c r="R2248" s="1" t="s">
        <v>9103</v>
      </c>
      <c r="S2248" s="1" t="s">
        <v>20171</v>
      </c>
      <c r="T2248" s="1" t="s">
        <v>17</v>
      </c>
      <c r="U2248" s="1" t="s">
        <v>161</v>
      </c>
    </row>
    <row r="2249" spans="1:21" x14ac:dyDescent="0.2">
      <c r="A2249" s="95" t="s">
        <v>17972</v>
      </c>
      <c r="B2249" s="88" t="e">
        <f>VLOOKUP(C2249,#REF!,1,0)</f>
        <v>#REF!</v>
      </c>
      <c r="C2249" s="1" t="s">
        <v>21072</v>
      </c>
      <c r="D2249" s="1" t="s">
        <v>7481</v>
      </c>
      <c r="E2249" s="1" t="s">
        <v>9815</v>
      </c>
      <c r="F2249" s="1" t="s">
        <v>8959</v>
      </c>
      <c r="G2249" t="s">
        <v>8959</v>
      </c>
      <c r="H2249" s="1" t="s">
        <v>20712</v>
      </c>
      <c r="I2249" s="1" t="s">
        <v>9155</v>
      </c>
      <c r="J2249" s="2" t="s">
        <v>20825</v>
      </c>
      <c r="K2249" s="1" t="s">
        <v>12500</v>
      </c>
      <c r="L2249" s="1" t="s">
        <v>8987</v>
      </c>
      <c r="M2249" s="1">
        <v>134</v>
      </c>
      <c r="N2249" s="1" t="s">
        <v>9059</v>
      </c>
      <c r="O2249" s="1" t="s">
        <v>8954</v>
      </c>
      <c r="P2249" s="1" t="s">
        <v>8955</v>
      </c>
      <c r="Q2249" s="1" t="s">
        <v>8956</v>
      </c>
      <c r="R2249" s="1" t="s">
        <v>9103</v>
      </c>
      <c r="S2249" s="1" t="s">
        <v>20172</v>
      </c>
      <c r="T2249" s="1" t="s">
        <v>17</v>
      </c>
      <c r="U2249" s="1" t="s">
        <v>4538</v>
      </c>
    </row>
    <row r="2250" spans="1:21" x14ac:dyDescent="0.2">
      <c r="A2250" s="88" t="s">
        <v>17973</v>
      </c>
      <c r="B2250" s="88" t="e">
        <f>VLOOKUP(C2250,#REF!,1,0)</f>
        <v>#REF!</v>
      </c>
      <c r="C2250" s="1" t="s">
        <v>7482</v>
      </c>
      <c r="D2250" s="1" t="s">
        <v>7483</v>
      </c>
      <c r="E2250" s="1" t="s">
        <v>9333</v>
      </c>
      <c r="F2250" s="1" t="s">
        <v>8974</v>
      </c>
      <c r="G2250" t="s">
        <v>8959</v>
      </c>
      <c r="H2250" s="1" t="s">
        <v>9035</v>
      </c>
      <c r="I2250" s="1" t="s">
        <v>8998</v>
      </c>
      <c r="J2250" s="2" t="s">
        <v>9436</v>
      </c>
      <c r="K2250" s="1" t="s">
        <v>9436</v>
      </c>
      <c r="L2250" s="1" t="s">
        <v>9464</v>
      </c>
      <c r="M2250" s="1">
        <v>32</v>
      </c>
      <c r="N2250" s="1" t="s">
        <v>11658</v>
      </c>
      <c r="O2250" s="1" t="s">
        <v>8989</v>
      </c>
      <c r="P2250" s="1" t="s">
        <v>8955</v>
      </c>
      <c r="Q2250" s="1" t="s">
        <v>8956</v>
      </c>
      <c r="R2250" s="1" t="s">
        <v>8958</v>
      </c>
      <c r="S2250" s="1" t="s">
        <v>7484</v>
      </c>
      <c r="T2250" s="1" t="s">
        <v>4</v>
      </c>
      <c r="U2250" s="1" t="s">
        <v>64</v>
      </c>
    </row>
    <row r="2251" spans="1:21" x14ac:dyDescent="0.2">
      <c r="A2251" s="88" t="s">
        <v>17974</v>
      </c>
      <c r="B2251" s="88" t="e">
        <f>VLOOKUP(C2251,#REF!,1,0)</f>
        <v>#REF!</v>
      </c>
      <c r="C2251" s="1" t="s">
        <v>7488</v>
      </c>
      <c r="D2251" s="1" t="s">
        <v>7489</v>
      </c>
      <c r="E2251" s="1" t="s">
        <v>20810</v>
      </c>
      <c r="F2251" s="1" t="s">
        <v>8974</v>
      </c>
      <c r="G2251" t="s">
        <v>8959</v>
      </c>
      <c r="H2251" s="1" t="s">
        <v>8984</v>
      </c>
      <c r="I2251" s="1" t="s">
        <v>9155</v>
      </c>
      <c r="J2251" s="2" t="s">
        <v>21393</v>
      </c>
      <c r="K2251" s="1" t="s">
        <v>21880</v>
      </c>
      <c r="L2251" s="1" t="s">
        <v>9076</v>
      </c>
      <c r="M2251" s="1">
        <v>2082</v>
      </c>
      <c r="N2251" s="1" t="s">
        <v>8953</v>
      </c>
      <c r="O2251" s="1" t="s">
        <v>8954</v>
      </c>
      <c r="P2251" s="1" t="s">
        <v>8955</v>
      </c>
      <c r="Q2251" s="1" t="s">
        <v>8956</v>
      </c>
      <c r="R2251" s="1" t="s">
        <v>9103</v>
      </c>
      <c r="S2251" s="1" t="s">
        <v>20701</v>
      </c>
      <c r="T2251" s="1" t="s">
        <v>7</v>
      </c>
      <c r="U2251" s="1" t="s">
        <v>64</v>
      </c>
    </row>
    <row r="2252" spans="1:21" x14ac:dyDescent="0.2">
      <c r="A2252" s="88" t="s">
        <v>17975</v>
      </c>
      <c r="B2252" s="88" t="e">
        <f>VLOOKUP(C2252,#REF!,1,0)</f>
        <v>#REF!</v>
      </c>
      <c r="C2252" s="1" t="s">
        <v>7490</v>
      </c>
      <c r="D2252" s="1" t="s">
        <v>7491</v>
      </c>
      <c r="E2252" s="1" t="s">
        <v>9387</v>
      </c>
      <c r="F2252" s="1" t="s">
        <v>8957</v>
      </c>
      <c r="G2252" t="s">
        <v>8959</v>
      </c>
      <c r="H2252" s="1" t="s">
        <v>8984</v>
      </c>
      <c r="I2252" s="1" t="s">
        <v>8998</v>
      </c>
      <c r="J2252" s="2" t="s">
        <v>9036</v>
      </c>
      <c r="K2252" s="1" t="s">
        <v>9036</v>
      </c>
      <c r="L2252" s="1" t="s">
        <v>9133</v>
      </c>
      <c r="M2252" s="1">
        <v>222</v>
      </c>
      <c r="N2252" s="1" t="s">
        <v>8953</v>
      </c>
      <c r="O2252" s="1" t="s">
        <v>8989</v>
      </c>
      <c r="P2252" s="1" t="s">
        <v>8955</v>
      </c>
      <c r="Q2252" s="1" t="s">
        <v>8956</v>
      </c>
      <c r="R2252" s="1" t="s">
        <v>8958</v>
      </c>
      <c r="S2252" s="1" t="s">
        <v>7492</v>
      </c>
      <c r="T2252" s="1" t="s">
        <v>11</v>
      </c>
      <c r="U2252" s="1" t="s">
        <v>5</v>
      </c>
    </row>
    <row r="2253" spans="1:21" x14ac:dyDescent="0.2">
      <c r="A2253" s="88" t="s">
        <v>17976</v>
      </c>
      <c r="B2253" s="88" t="e">
        <f>VLOOKUP(C2253,#REF!,1,0)</f>
        <v>#REF!</v>
      </c>
      <c r="C2253" s="1" t="s">
        <v>7493</v>
      </c>
      <c r="D2253" s="1" t="s">
        <v>7494</v>
      </c>
      <c r="E2253" s="1" t="s">
        <v>9387</v>
      </c>
      <c r="F2253" s="1" t="s">
        <v>8957</v>
      </c>
      <c r="G2253" t="s">
        <v>8959</v>
      </c>
      <c r="H2253" s="1" t="s">
        <v>8984</v>
      </c>
      <c r="I2253" s="1" t="s">
        <v>8998</v>
      </c>
      <c r="J2253" s="2" t="s">
        <v>9036</v>
      </c>
      <c r="K2253" s="1" t="s">
        <v>9036</v>
      </c>
      <c r="L2253" s="1" t="s">
        <v>8951</v>
      </c>
      <c r="M2253" s="1">
        <v>246</v>
      </c>
      <c r="N2253" s="1" t="s">
        <v>8953</v>
      </c>
      <c r="O2253" s="1" t="s">
        <v>8954</v>
      </c>
      <c r="P2253" s="1" t="s">
        <v>8955</v>
      </c>
      <c r="Q2253" s="1" t="s">
        <v>8956</v>
      </c>
      <c r="R2253" s="1" t="s">
        <v>8958</v>
      </c>
      <c r="S2253" s="1" t="s">
        <v>7495</v>
      </c>
      <c r="T2253" s="1" t="s">
        <v>4</v>
      </c>
      <c r="U2253" s="1" t="s">
        <v>64</v>
      </c>
    </row>
    <row r="2254" spans="1:21" x14ac:dyDescent="0.2">
      <c r="A2254" s="88" t="s">
        <v>17977</v>
      </c>
      <c r="B2254" s="88" t="e">
        <f>VLOOKUP(C2254,#REF!,1,0)</f>
        <v>#REF!</v>
      </c>
      <c r="C2254" s="1" t="s">
        <v>7496</v>
      </c>
      <c r="D2254" s="1" t="s">
        <v>7497</v>
      </c>
      <c r="E2254" s="1" t="s">
        <v>21074</v>
      </c>
      <c r="F2254" s="1" t="s">
        <v>8957</v>
      </c>
      <c r="G2254" t="s">
        <v>8959</v>
      </c>
      <c r="H2254" s="1" t="s">
        <v>9154</v>
      </c>
      <c r="I2254" s="1" t="s">
        <v>9308</v>
      </c>
      <c r="J2254" s="2" t="s">
        <v>20736</v>
      </c>
      <c r="K2254" s="1" t="s">
        <v>20736</v>
      </c>
      <c r="L2254" s="1" t="s">
        <v>8987</v>
      </c>
      <c r="M2254" s="1">
        <v>73378</v>
      </c>
      <c r="N2254" s="1" t="s">
        <v>8953</v>
      </c>
      <c r="O2254" s="1" t="s">
        <v>8954</v>
      </c>
      <c r="P2254" s="1" t="s">
        <v>8955</v>
      </c>
      <c r="Q2254" s="1" t="s">
        <v>8956</v>
      </c>
      <c r="R2254" s="1" t="s">
        <v>8958</v>
      </c>
      <c r="S2254" s="1" t="s">
        <v>20174</v>
      </c>
      <c r="T2254" s="1" t="s">
        <v>7</v>
      </c>
      <c r="U2254" s="1" t="s">
        <v>1010</v>
      </c>
    </row>
    <row r="2255" spans="1:21" x14ac:dyDescent="0.2">
      <c r="A2255" s="88" t="s">
        <v>17978</v>
      </c>
      <c r="B2255" s="88" t="e">
        <f>VLOOKUP(C2255,#REF!,1,0)</f>
        <v>#REF!</v>
      </c>
      <c r="C2255" s="1" t="s">
        <v>7498</v>
      </c>
      <c r="D2255" s="1" t="s">
        <v>7499</v>
      </c>
      <c r="E2255" s="1" t="s">
        <v>9630</v>
      </c>
      <c r="F2255" s="1" t="s">
        <v>8959</v>
      </c>
      <c r="G2255" t="s">
        <v>8959</v>
      </c>
      <c r="H2255" s="1" t="s">
        <v>9049</v>
      </c>
      <c r="I2255" s="1" t="s">
        <v>9050</v>
      </c>
      <c r="J2255" s="2" t="s">
        <v>18489</v>
      </c>
      <c r="K2255" s="1" t="s">
        <v>18489</v>
      </c>
      <c r="L2255" s="1" t="s">
        <v>8951</v>
      </c>
      <c r="M2255" s="1">
        <v>128175</v>
      </c>
      <c r="N2255" s="1" t="s">
        <v>8953</v>
      </c>
      <c r="O2255" s="1" t="s">
        <v>8954</v>
      </c>
      <c r="P2255" s="1" t="s">
        <v>8955</v>
      </c>
      <c r="Q2255" s="1" t="s">
        <v>8956</v>
      </c>
      <c r="R2255" s="1" t="s">
        <v>9103</v>
      </c>
      <c r="S2255" s="1" t="s">
        <v>7500</v>
      </c>
      <c r="T2255" s="1" t="s">
        <v>17</v>
      </c>
      <c r="U2255" s="1" t="s">
        <v>110</v>
      </c>
    </row>
    <row r="2256" spans="1:21" x14ac:dyDescent="0.2">
      <c r="A2256" s="88" t="s">
        <v>17979</v>
      </c>
      <c r="B2256" s="88" t="e">
        <f>VLOOKUP(C2256,#REF!,1,0)</f>
        <v>#REF!</v>
      </c>
      <c r="C2256" s="1" t="s">
        <v>7505</v>
      </c>
      <c r="D2256" s="1" t="s">
        <v>7506</v>
      </c>
      <c r="E2256" s="1" t="s">
        <v>18502</v>
      </c>
      <c r="F2256" s="1" t="s">
        <v>9060</v>
      </c>
      <c r="G2256" t="s">
        <v>9061</v>
      </c>
      <c r="H2256" s="1" t="s">
        <v>9092</v>
      </c>
      <c r="I2256" s="1" t="s">
        <v>8959</v>
      </c>
      <c r="J2256" s="2" t="s">
        <v>20723</v>
      </c>
      <c r="K2256" s="1" t="s">
        <v>20723</v>
      </c>
      <c r="L2256" s="1" t="s">
        <v>8987</v>
      </c>
      <c r="M2256" s="1">
        <v>7738</v>
      </c>
      <c r="N2256" s="1" t="s">
        <v>8953</v>
      </c>
      <c r="O2256" s="1" t="s">
        <v>8989</v>
      </c>
      <c r="P2256" s="1" t="s">
        <v>8955</v>
      </c>
      <c r="Q2256" s="1" t="s">
        <v>8956</v>
      </c>
      <c r="R2256" s="1" t="s">
        <v>8975</v>
      </c>
      <c r="S2256" s="1" t="s">
        <v>20176</v>
      </c>
      <c r="T2256" s="1" t="s">
        <v>7</v>
      </c>
      <c r="U2256" s="1" t="s">
        <v>180</v>
      </c>
    </row>
    <row r="2257" spans="1:21" x14ac:dyDescent="0.2">
      <c r="A2257" s="88" t="s">
        <v>17980</v>
      </c>
      <c r="B2257" s="88" t="e">
        <f>VLOOKUP(C2257,#REF!,1,0)</f>
        <v>#REF!</v>
      </c>
      <c r="C2257" s="1" t="s">
        <v>7515</v>
      </c>
      <c r="D2257" s="1" t="s">
        <v>7516</v>
      </c>
      <c r="E2257" s="1" t="s">
        <v>9246</v>
      </c>
      <c r="F2257" s="1" t="s">
        <v>8957</v>
      </c>
      <c r="G2257" t="s">
        <v>9061</v>
      </c>
      <c r="H2257" s="1" t="s">
        <v>9252</v>
      </c>
      <c r="I2257" s="1" t="s">
        <v>8949</v>
      </c>
      <c r="J2257" s="2" t="s">
        <v>10492</v>
      </c>
      <c r="K2257" s="1" t="s">
        <v>10492</v>
      </c>
      <c r="L2257" s="1" t="s">
        <v>21600</v>
      </c>
      <c r="M2257" s="1">
        <v>1533</v>
      </c>
      <c r="N2257" s="1" t="s">
        <v>9059</v>
      </c>
      <c r="O2257" s="1" t="s">
        <v>8989</v>
      </c>
      <c r="P2257" s="1" t="s">
        <v>8955</v>
      </c>
      <c r="Q2257" s="1" t="s">
        <v>8956</v>
      </c>
      <c r="R2257" s="1" t="s">
        <v>8958</v>
      </c>
      <c r="S2257" s="1" t="s">
        <v>7517</v>
      </c>
      <c r="T2257" s="1" t="s">
        <v>17</v>
      </c>
      <c r="U2257" s="1" t="s">
        <v>147</v>
      </c>
    </row>
    <row r="2258" spans="1:21" x14ac:dyDescent="0.2">
      <c r="A2258" s="88" t="s">
        <v>21076</v>
      </c>
      <c r="B2258" s="88" t="e">
        <f>VLOOKUP(C2258,#REF!,1,0)</f>
        <v>#REF!</v>
      </c>
      <c r="C2258" s="1" t="s">
        <v>7521</v>
      </c>
      <c r="D2258" s="1" t="s">
        <v>7522</v>
      </c>
      <c r="E2258" s="1" t="s">
        <v>11671</v>
      </c>
      <c r="F2258" s="1" t="s">
        <v>8957</v>
      </c>
      <c r="G2258" t="s">
        <v>9061</v>
      </c>
      <c r="H2258" s="1" t="s">
        <v>20712</v>
      </c>
      <c r="I2258" s="1" t="s">
        <v>9155</v>
      </c>
      <c r="J2258" s="2" t="s">
        <v>21318</v>
      </c>
      <c r="K2258" s="1" t="s">
        <v>21881</v>
      </c>
      <c r="L2258" s="1" t="s">
        <v>21600</v>
      </c>
      <c r="M2258" s="1">
        <v>2135</v>
      </c>
      <c r="N2258" s="1" t="s">
        <v>9059</v>
      </c>
      <c r="O2258" s="1" t="s">
        <v>8954</v>
      </c>
      <c r="P2258" s="1" t="s">
        <v>8955</v>
      </c>
      <c r="Q2258" s="1" t="s">
        <v>8956</v>
      </c>
      <c r="R2258" s="1" t="s">
        <v>9103</v>
      </c>
      <c r="S2258" s="1" t="s">
        <v>20179</v>
      </c>
      <c r="T2258" s="1" t="s">
        <v>7</v>
      </c>
      <c r="U2258" s="1" t="s">
        <v>93</v>
      </c>
    </row>
    <row r="2259" spans="1:21" x14ac:dyDescent="0.2">
      <c r="A2259" s="88" t="s">
        <v>17981</v>
      </c>
      <c r="B2259" s="88" t="e">
        <f>VLOOKUP(C2259,#REF!,1,0)</f>
        <v>#REF!</v>
      </c>
      <c r="C2259" s="1" t="s">
        <v>7523</v>
      </c>
      <c r="D2259" s="1" t="s">
        <v>7524</v>
      </c>
      <c r="E2259" s="1" t="s">
        <v>11671</v>
      </c>
      <c r="F2259" s="1" t="s">
        <v>8957</v>
      </c>
      <c r="G2259" t="s">
        <v>8959</v>
      </c>
      <c r="H2259" s="1" t="s">
        <v>20712</v>
      </c>
      <c r="I2259" s="1" t="s">
        <v>9155</v>
      </c>
      <c r="J2259" s="2" t="s">
        <v>21394</v>
      </c>
      <c r="K2259" s="1" t="s">
        <v>21394</v>
      </c>
      <c r="L2259" s="1" t="s">
        <v>8987</v>
      </c>
      <c r="M2259" s="1">
        <v>5146</v>
      </c>
      <c r="N2259" s="1" t="s">
        <v>8953</v>
      </c>
      <c r="O2259" s="1" t="s">
        <v>8954</v>
      </c>
      <c r="P2259" s="1" t="s">
        <v>8955</v>
      </c>
      <c r="Q2259" s="1" t="s">
        <v>8956</v>
      </c>
      <c r="R2259" s="1" t="s">
        <v>9103</v>
      </c>
      <c r="S2259" s="1" t="s">
        <v>20180</v>
      </c>
      <c r="T2259" s="1" t="s">
        <v>7</v>
      </c>
      <c r="U2259" s="1" t="s">
        <v>61</v>
      </c>
    </row>
    <row r="2260" spans="1:21" x14ac:dyDescent="0.2">
      <c r="A2260" s="88" t="s">
        <v>17982</v>
      </c>
      <c r="B2260" s="88" t="e">
        <f>VLOOKUP(C2260,#REF!,1,0)</f>
        <v>#REF!</v>
      </c>
      <c r="C2260" s="1" t="s">
        <v>7525</v>
      </c>
      <c r="D2260" s="1" t="s">
        <v>7526</v>
      </c>
      <c r="E2260" s="1" t="s">
        <v>9310</v>
      </c>
      <c r="F2260" s="1" t="s">
        <v>8957</v>
      </c>
      <c r="G2260" t="s">
        <v>8959</v>
      </c>
      <c r="H2260" s="1" t="s">
        <v>8948</v>
      </c>
      <c r="I2260" s="1" t="s">
        <v>8998</v>
      </c>
      <c r="J2260" s="2" t="s">
        <v>10629</v>
      </c>
      <c r="K2260" s="1" t="s">
        <v>10629</v>
      </c>
      <c r="L2260" s="1" t="s">
        <v>9076</v>
      </c>
      <c r="M2260" s="1">
        <v>9000</v>
      </c>
      <c r="N2260" s="1" t="s">
        <v>8953</v>
      </c>
      <c r="O2260" s="1" t="s">
        <v>8989</v>
      </c>
      <c r="P2260" s="1" t="s">
        <v>8955</v>
      </c>
      <c r="Q2260" s="1" t="s">
        <v>8956</v>
      </c>
      <c r="R2260" s="1" t="s">
        <v>8958</v>
      </c>
      <c r="S2260" s="1" t="s">
        <v>20181</v>
      </c>
      <c r="T2260" s="1" t="s">
        <v>7</v>
      </c>
      <c r="U2260" s="1" t="s">
        <v>7527</v>
      </c>
    </row>
    <row r="2261" spans="1:21" x14ac:dyDescent="0.2">
      <c r="A2261" s="88" t="s">
        <v>17983</v>
      </c>
      <c r="B2261" s="88" t="e">
        <f>VLOOKUP(C2261,#REF!,1,0)</f>
        <v>#REF!</v>
      </c>
      <c r="C2261" s="1" t="s">
        <v>7528</v>
      </c>
      <c r="D2261" s="1" t="s">
        <v>7529</v>
      </c>
      <c r="E2261" s="1" t="s">
        <v>9317</v>
      </c>
      <c r="F2261" s="1" t="s">
        <v>8957</v>
      </c>
      <c r="G2261" t="s">
        <v>9009</v>
      </c>
      <c r="H2261" s="1" t="s">
        <v>8948</v>
      </c>
      <c r="I2261" s="1" t="s">
        <v>8949</v>
      </c>
      <c r="J2261" s="2" t="s">
        <v>20779</v>
      </c>
      <c r="K2261" s="1" t="s">
        <v>9036</v>
      </c>
      <c r="L2261" s="1" t="s">
        <v>21600</v>
      </c>
      <c r="M2261" s="1">
        <v>7680</v>
      </c>
      <c r="N2261" s="1" t="s">
        <v>8953</v>
      </c>
      <c r="O2261" s="1" t="s">
        <v>8954</v>
      </c>
      <c r="P2261" s="1" t="s">
        <v>8955</v>
      </c>
      <c r="Q2261" s="1" t="s">
        <v>8956</v>
      </c>
      <c r="R2261" s="1" t="s">
        <v>9103</v>
      </c>
      <c r="S2261" s="1" t="s">
        <v>7530</v>
      </c>
      <c r="T2261" s="1" t="s">
        <v>11</v>
      </c>
      <c r="U2261" s="1" t="s">
        <v>392</v>
      </c>
    </row>
    <row r="2262" spans="1:21" x14ac:dyDescent="0.2">
      <c r="A2262" s="88" t="s">
        <v>17984</v>
      </c>
      <c r="B2262" s="88" t="e">
        <f>VLOOKUP(C2262,#REF!,1,0)</f>
        <v>#REF!</v>
      </c>
      <c r="C2262" s="1" t="s">
        <v>7531</v>
      </c>
      <c r="D2262" s="1" t="s">
        <v>7532</v>
      </c>
      <c r="E2262" s="1" t="s">
        <v>18502</v>
      </c>
      <c r="F2262" s="1" t="s">
        <v>8957</v>
      </c>
      <c r="G2262" t="s">
        <v>8959</v>
      </c>
      <c r="H2262" s="1" t="s">
        <v>9173</v>
      </c>
      <c r="I2262" s="1" t="s">
        <v>8959</v>
      </c>
      <c r="J2262" s="2" t="s">
        <v>21395</v>
      </c>
      <c r="K2262" s="1" t="s">
        <v>21741</v>
      </c>
      <c r="L2262" s="1" t="s">
        <v>21600</v>
      </c>
      <c r="M2262" s="1">
        <v>1758</v>
      </c>
      <c r="N2262" s="1" t="s">
        <v>8953</v>
      </c>
      <c r="O2262" s="1" t="s">
        <v>8954</v>
      </c>
      <c r="P2262" s="1" t="s">
        <v>8955</v>
      </c>
      <c r="Q2262" s="1" t="s">
        <v>8956</v>
      </c>
      <c r="R2262" s="1" t="s">
        <v>8975</v>
      </c>
      <c r="S2262" s="1" t="s">
        <v>20182</v>
      </c>
      <c r="T2262" s="1" t="s">
        <v>7</v>
      </c>
      <c r="U2262" s="1" t="s">
        <v>1929</v>
      </c>
    </row>
    <row r="2263" spans="1:21" x14ac:dyDescent="0.2">
      <c r="A2263" s="88" t="s">
        <v>17985</v>
      </c>
      <c r="B2263" s="88" t="e">
        <f>VLOOKUP(C2263,#REF!,1,0)</f>
        <v>#REF!</v>
      </c>
      <c r="C2263" s="1" t="s">
        <v>7536</v>
      </c>
      <c r="D2263" s="1" t="s">
        <v>7537</v>
      </c>
      <c r="E2263" s="1" t="s">
        <v>9317</v>
      </c>
      <c r="F2263" s="1" t="s">
        <v>9060</v>
      </c>
      <c r="G2263" t="s">
        <v>8959</v>
      </c>
      <c r="H2263" s="1" t="s">
        <v>9605</v>
      </c>
      <c r="I2263" s="1" t="s">
        <v>9101</v>
      </c>
      <c r="J2263" s="2" t="s">
        <v>21298</v>
      </c>
      <c r="K2263" s="1" t="s">
        <v>21298</v>
      </c>
      <c r="L2263" s="1" t="s">
        <v>9292</v>
      </c>
      <c r="M2263" s="1">
        <v>1167</v>
      </c>
      <c r="N2263" s="1" t="s">
        <v>8953</v>
      </c>
      <c r="O2263" s="1" t="s">
        <v>8989</v>
      </c>
      <c r="P2263" s="1" t="s">
        <v>8955</v>
      </c>
      <c r="Q2263" s="1" t="s">
        <v>8956</v>
      </c>
      <c r="R2263" s="1" t="s">
        <v>8975</v>
      </c>
      <c r="S2263" s="1" t="s">
        <v>20184</v>
      </c>
      <c r="T2263" s="1" t="s">
        <v>17</v>
      </c>
      <c r="U2263" s="1" t="s">
        <v>7440</v>
      </c>
    </row>
    <row r="2264" spans="1:21" x14ac:dyDescent="0.2">
      <c r="A2264" s="88" t="s">
        <v>17986</v>
      </c>
      <c r="B2264" s="88" t="e">
        <f>VLOOKUP(C2264,#REF!,1,0)</f>
        <v>#REF!</v>
      </c>
      <c r="C2264" s="1" t="s">
        <v>7538</v>
      </c>
      <c r="D2264" s="1" t="s">
        <v>7539</v>
      </c>
      <c r="E2264" s="1" t="s">
        <v>10873</v>
      </c>
      <c r="F2264" s="1" t="s">
        <v>9060</v>
      </c>
      <c r="G2264" t="s">
        <v>9061</v>
      </c>
      <c r="H2264" s="1" t="s">
        <v>9100</v>
      </c>
      <c r="I2264" s="1" t="s">
        <v>9155</v>
      </c>
      <c r="J2264" s="2" t="s">
        <v>20838</v>
      </c>
      <c r="K2264" s="1" t="s">
        <v>20755</v>
      </c>
      <c r="L2264" s="1" t="s">
        <v>8951</v>
      </c>
      <c r="M2264" s="1">
        <v>34</v>
      </c>
      <c r="N2264" s="1" t="s">
        <v>9059</v>
      </c>
      <c r="O2264" s="1" t="s">
        <v>8989</v>
      </c>
      <c r="P2264" s="1" t="s">
        <v>8955</v>
      </c>
      <c r="Q2264" s="1" t="s">
        <v>8956</v>
      </c>
      <c r="R2264" s="1" t="s">
        <v>8975</v>
      </c>
      <c r="S2264" s="1" t="s">
        <v>20185</v>
      </c>
      <c r="T2264" s="1" t="s">
        <v>7</v>
      </c>
      <c r="U2264" s="1" t="s">
        <v>122</v>
      </c>
    </row>
    <row r="2265" spans="1:21" x14ac:dyDescent="0.2">
      <c r="A2265" s="88" t="s">
        <v>17987</v>
      </c>
      <c r="B2265" s="88" t="e">
        <f>VLOOKUP(C2265,#REF!,1,0)</f>
        <v>#REF!</v>
      </c>
      <c r="C2265" s="1" t="s">
        <v>7540</v>
      </c>
      <c r="D2265" s="1" t="s">
        <v>7541</v>
      </c>
      <c r="E2265" s="1" t="s">
        <v>9852</v>
      </c>
      <c r="F2265" s="1" t="s">
        <v>8957</v>
      </c>
      <c r="G2265" t="s">
        <v>8959</v>
      </c>
      <c r="H2265" s="1" t="s">
        <v>9252</v>
      </c>
      <c r="I2265" s="1" t="s">
        <v>9422</v>
      </c>
      <c r="J2265" s="2" t="s">
        <v>9036</v>
      </c>
      <c r="K2265" s="1" t="s">
        <v>9036</v>
      </c>
      <c r="L2265" s="1" t="s">
        <v>8951</v>
      </c>
      <c r="M2265" s="1">
        <v>78</v>
      </c>
      <c r="N2265" s="1" t="s">
        <v>9059</v>
      </c>
      <c r="O2265" s="1" t="s">
        <v>8954</v>
      </c>
      <c r="P2265" s="1" t="s">
        <v>8955</v>
      </c>
      <c r="Q2265" s="1" t="s">
        <v>8956</v>
      </c>
      <c r="R2265" s="1" t="s">
        <v>9103</v>
      </c>
      <c r="S2265" s="1" t="s">
        <v>7542</v>
      </c>
      <c r="T2265" s="1" t="s">
        <v>4</v>
      </c>
      <c r="U2265" s="1" t="s">
        <v>74</v>
      </c>
    </row>
    <row r="2266" spans="1:21" x14ac:dyDescent="0.2">
      <c r="A2266" s="88" t="s">
        <v>17988</v>
      </c>
      <c r="B2266" s="88" t="e">
        <f>VLOOKUP(C2266,#REF!,1,0)</f>
        <v>#REF!</v>
      </c>
      <c r="C2266" s="1" t="s">
        <v>7543</v>
      </c>
      <c r="D2266" s="1" t="s">
        <v>7544</v>
      </c>
      <c r="E2266" s="1" t="s">
        <v>20810</v>
      </c>
      <c r="F2266" s="1" t="s">
        <v>8959</v>
      </c>
      <c r="G2266" t="s">
        <v>8959</v>
      </c>
      <c r="H2266" s="1" t="s">
        <v>9605</v>
      </c>
      <c r="I2266" s="1" t="s">
        <v>9101</v>
      </c>
      <c r="J2266" s="2" t="s">
        <v>21348</v>
      </c>
      <c r="K2266" s="1" t="s">
        <v>21742</v>
      </c>
      <c r="L2266" s="1" t="s">
        <v>9292</v>
      </c>
      <c r="M2266" s="1">
        <v>2534</v>
      </c>
      <c r="N2266" s="1" t="s">
        <v>8953</v>
      </c>
      <c r="O2266" s="1" t="s">
        <v>8989</v>
      </c>
      <c r="P2266" s="1" t="s">
        <v>8955</v>
      </c>
      <c r="Q2266" s="1" t="s">
        <v>8956</v>
      </c>
      <c r="R2266" s="1" t="s">
        <v>8975</v>
      </c>
      <c r="S2266" s="1" t="s">
        <v>20186</v>
      </c>
      <c r="T2266" s="1" t="s">
        <v>17</v>
      </c>
      <c r="U2266" s="1" t="s">
        <v>7545</v>
      </c>
    </row>
    <row r="2267" spans="1:21" x14ac:dyDescent="0.2">
      <c r="A2267" s="88" t="s">
        <v>17989</v>
      </c>
      <c r="B2267" s="88" t="e">
        <f>VLOOKUP(C2267,#REF!,1,0)</f>
        <v>#REF!</v>
      </c>
      <c r="C2267" s="1" t="s">
        <v>7546</v>
      </c>
      <c r="D2267" s="1" t="s">
        <v>7547</v>
      </c>
      <c r="E2267" s="1" t="s">
        <v>9636</v>
      </c>
      <c r="F2267" s="1" t="s">
        <v>8957</v>
      </c>
      <c r="G2267" t="s">
        <v>9061</v>
      </c>
      <c r="H2267" s="1" t="s">
        <v>20714</v>
      </c>
      <c r="I2267" s="1" t="s">
        <v>20725</v>
      </c>
      <c r="J2267" s="2" t="s">
        <v>21205</v>
      </c>
      <c r="K2267" s="1" t="s">
        <v>21205</v>
      </c>
      <c r="L2267" s="1" t="s">
        <v>9292</v>
      </c>
      <c r="M2267" s="1">
        <v>54900</v>
      </c>
      <c r="N2267" s="1" t="s">
        <v>8953</v>
      </c>
      <c r="O2267" s="1" t="s">
        <v>8989</v>
      </c>
      <c r="P2267" s="1" t="s">
        <v>8955</v>
      </c>
      <c r="Q2267" s="1" t="s">
        <v>8956</v>
      </c>
      <c r="R2267" s="1" t="s">
        <v>8958</v>
      </c>
      <c r="S2267" s="1" t="s">
        <v>20187</v>
      </c>
      <c r="T2267" s="1" t="s">
        <v>7</v>
      </c>
      <c r="U2267" s="1" t="s">
        <v>24</v>
      </c>
    </row>
    <row r="2268" spans="1:21" x14ac:dyDescent="0.2">
      <c r="A2268" s="88" t="s">
        <v>17991</v>
      </c>
      <c r="B2268" s="88" t="e">
        <f>VLOOKUP(C2268,#REF!,1,0)</f>
        <v>#REF!</v>
      </c>
      <c r="C2268" s="1" t="s">
        <v>7550</v>
      </c>
      <c r="D2268" s="1" t="s">
        <v>7551</v>
      </c>
      <c r="E2268" s="1" t="s">
        <v>9010</v>
      </c>
      <c r="F2268" s="1" t="s">
        <v>8959</v>
      </c>
      <c r="G2268" t="s">
        <v>8959</v>
      </c>
      <c r="H2268" s="1" t="s">
        <v>9173</v>
      </c>
      <c r="I2268" s="1" t="s">
        <v>9174</v>
      </c>
      <c r="J2268" s="2" t="s">
        <v>9112</v>
      </c>
      <c r="K2268" s="1" t="s">
        <v>9112</v>
      </c>
      <c r="L2268" s="1" t="s">
        <v>9133</v>
      </c>
      <c r="M2268" s="1">
        <v>5161</v>
      </c>
      <c r="N2268" s="1" t="s">
        <v>8953</v>
      </c>
      <c r="O2268" s="1" t="s">
        <v>8954</v>
      </c>
      <c r="P2268" s="1" t="s">
        <v>8955</v>
      </c>
      <c r="Q2268" s="1" t="s">
        <v>8956</v>
      </c>
      <c r="R2268" s="1" t="s">
        <v>8975</v>
      </c>
      <c r="S2268" s="1" t="s">
        <v>7552</v>
      </c>
      <c r="T2268" s="1" t="s">
        <v>17</v>
      </c>
      <c r="U2268" s="1" t="s">
        <v>1421</v>
      </c>
    </row>
    <row r="2269" spans="1:21" x14ac:dyDescent="0.2">
      <c r="A2269" s="88" t="s">
        <v>17993</v>
      </c>
      <c r="B2269" s="88" t="e">
        <f>VLOOKUP(C2269,#REF!,1,0)</f>
        <v>#REF!</v>
      </c>
      <c r="C2269" s="1" t="s">
        <v>7555</v>
      </c>
      <c r="D2269" s="1" t="s">
        <v>7556</v>
      </c>
      <c r="E2269" s="1" t="s">
        <v>10049</v>
      </c>
      <c r="F2269" s="1" t="s">
        <v>8959</v>
      </c>
      <c r="G2269" t="s">
        <v>9183</v>
      </c>
      <c r="H2269" s="1" t="s">
        <v>9035</v>
      </c>
      <c r="I2269" s="1" t="s">
        <v>8998</v>
      </c>
      <c r="J2269" s="2" t="s">
        <v>10258</v>
      </c>
      <c r="K2269" s="1" t="s">
        <v>10258</v>
      </c>
      <c r="L2269" s="1" t="s">
        <v>8987</v>
      </c>
      <c r="M2269" s="1">
        <v>1157</v>
      </c>
      <c r="N2269" s="1" t="s">
        <v>8953</v>
      </c>
      <c r="O2269" s="1" t="s">
        <v>8954</v>
      </c>
      <c r="P2269" s="1" t="s">
        <v>8955</v>
      </c>
      <c r="Q2269" s="1" t="s">
        <v>8956</v>
      </c>
      <c r="R2269" s="1" t="s">
        <v>8958</v>
      </c>
      <c r="S2269" s="1" t="s">
        <v>7557</v>
      </c>
      <c r="T2269" s="1" t="s">
        <v>11</v>
      </c>
      <c r="U2269" s="1" t="s">
        <v>2196</v>
      </c>
    </row>
    <row r="2270" spans="1:21" x14ac:dyDescent="0.2">
      <c r="A2270" s="88" t="s">
        <v>17994</v>
      </c>
      <c r="B2270" s="88" t="e">
        <f>VLOOKUP(C2270,#REF!,1,0)</f>
        <v>#REF!</v>
      </c>
      <c r="C2270" s="1" t="s">
        <v>7566</v>
      </c>
      <c r="D2270" s="1" t="s">
        <v>7567</v>
      </c>
      <c r="E2270" s="1" t="s">
        <v>9246</v>
      </c>
      <c r="F2270" s="1" t="s">
        <v>9060</v>
      </c>
      <c r="G2270" t="s">
        <v>9009</v>
      </c>
      <c r="H2270" s="1" t="s">
        <v>9252</v>
      </c>
      <c r="I2270" s="1" t="s">
        <v>9253</v>
      </c>
      <c r="J2270" s="2" t="s">
        <v>9036</v>
      </c>
      <c r="K2270" s="1" t="s">
        <v>9036</v>
      </c>
      <c r="L2270" s="1" t="s">
        <v>9292</v>
      </c>
      <c r="M2270" s="1">
        <v>54285</v>
      </c>
      <c r="N2270" s="1" t="s">
        <v>9059</v>
      </c>
      <c r="O2270" s="1" t="s">
        <v>8989</v>
      </c>
      <c r="P2270" s="1" t="s">
        <v>8955</v>
      </c>
      <c r="Q2270" s="1" t="s">
        <v>8956</v>
      </c>
      <c r="R2270" s="1" t="s">
        <v>8975</v>
      </c>
      <c r="S2270" s="1" t="s">
        <v>7568</v>
      </c>
      <c r="T2270" s="1" t="s">
        <v>11</v>
      </c>
      <c r="U2270" s="1" t="s">
        <v>7569</v>
      </c>
    </row>
    <row r="2271" spans="1:21" x14ac:dyDescent="0.2">
      <c r="A2271" s="88" t="s">
        <v>17995</v>
      </c>
      <c r="B2271" s="88" t="e">
        <f>VLOOKUP(C2271,#REF!,1,0)</f>
        <v>#REF!</v>
      </c>
      <c r="C2271" s="1" t="s">
        <v>7570</v>
      </c>
      <c r="D2271" s="1" t="s">
        <v>7571</v>
      </c>
      <c r="E2271" s="1" t="s">
        <v>18499</v>
      </c>
      <c r="F2271" s="1" t="s">
        <v>8959</v>
      </c>
      <c r="G2271" t="s">
        <v>8959</v>
      </c>
      <c r="H2271" s="1" t="s">
        <v>9100</v>
      </c>
      <c r="I2271" s="1" t="s">
        <v>9101</v>
      </c>
      <c r="J2271" s="2" t="s">
        <v>9102</v>
      </c>
      <c r="K2271" s="1" t="s">
        <v>9102</v>
      </c>
      <c r="L2271" s="1" t="s">
        <v>8951</v>
      </c>
      <c r="M2271" s="1">
        <v>100</v>
      </c>
      <c r="N2271" s="1" t="s">
        <v>8953</v>
      </c>
      <c r="O2271" s="1" t="s">
        <v>8989</v>
      </c>
      <c r="P2271" s="1" t="s">
        <v>8955</v>
      </c>
      <c r="Q2271" s="1" t="s">
        <v>8956</v>
      </c>
      <c r="R2271" s="1" t="s">
        <v>9103</v>
      </c>
      <c r="S2271" s="1" t="s">
        <v>7572</v>
      </c>
      <c r="T2271" s="1" t="s">
        <v>17</v>
      </c>
      <c r="U2271" s="1" t="s">
        <v>342</v>
      </c>
    </row>
    <row r="2272" spans="1:21" x14ac:dyDescent="0.2">
      <c r="A2272" s="88" t="s">
        <v>17996</v>
      </c>
      <c r="B2272" s="88" t="e">
        <f>VLOOKUP(C2272,#REF!,1,0)</f>
        <v>#REF!</v>
      </c>
      <c r="C2272" s="1" t="s">
        <v>7570</v>
      </c>
      <c r="D2272" s="1" t="s">
        <v>7571</v>
      </c>
      <c r="E2272" s="1" t="s">
        <v>10032</v>
      </c>
      <c r="F2272" s="1" t="s">
        <v>8959</v>
      </c>
      <c r="G2272" t="s">
        <v>8959</v>
      </c>
      <c r="H2272" s="1" t="s">
        <v>9605</v>
      </c>
      <c r="I2272" s="1" t="s">
        <v>8949</v>
      </c>
      <c r="J2272" s="2" t="s">
        <v>21079</v>
      </c>
      <c r="K2272" s="1" t="s">
        <v>21861</v>
      </c>
      <c r="L2272" s="1" t="s">
        <v>8951</v>
      </c>
      <c r="M2272" s="1">
        <v>100</v>
      </c>
      <c r="N2272" s="1" t="s">
        <v>8953</v>
      </c>
      <c r="O2272" s="1" t="s">
        <v>8989</v>
      </c>
      <c r="P2272" s="1" t="s">
        <v>8955</v>
      </c>
      <c r="Q2272" s="1" t="s">
        <v>8956</v>
      </c>
      <c r="R2272" s="1" t="s">
        <v>9103</v>
      </c>
      <c r="S2272" s="1" t="s">
        <v>20702</v>
      </c>
      <c r="T2272" s="1" t="s">
        <v>17</v>
      </c>
      <c r="U2272" s="1" t="s">
        <v>342</v>
      </c>
    </row>
    <row r="2273" spans="1:21" x14ac:dyDescent="0.2">
      <c r="A2273" s="88" t="s">
        <v>17997</v>
      </c>
      <c r="B2273" s="88" t="e">
        <f>VLOOKUP(C2273,#REF!,1,0)</f>
        <v>#REF!</v>
      </c>
      <c r="C2273" s="1" t="s">
        <v>7573</v>
      </c>
      <c r="D2273" s="1" t="s">
        <v>7574</v>
      </c>
      <c r="E2273" s="1" t="s">
        <v>9010</v>
      </c>
      <c r="F2273" s="1" t="s">
        <v>9060</v>
      </c>
      <c r="G2273" t="s">
        <v>9061</v>
      </c>
      <c r="H2273" s="1" t="s">
        <v>9075</v>
      </c>
      <c r="I2273" s="1" t="s">
        <v>8949</v>
      </c>
      <c r="J2273" s="2" t="s">
        <v>9212</v>
      </c>
      <c r="K2273" s="1" t="s">
        <v>9212</v>
      </c>
      <c r="L2273" s="1" t="s">
        <v>21600</v>
      </c>
      <c r="M2273" s="1">
        <v>90</v>
      </c>
      <c r="N2273" s="1" t="s">
        <v>8953</v>
      </c>
      <c r="O2273" s="1" t="s">
        <v>8954</v>
      </c>
      <c r="P2273" s="1" t="s">
        <v>8955</v>
      </c>
      <c r="Q2273" s="1" t="s">
        <v>8956</v>
      </c>
      <c r="R2273" s="1" t="s">
        <v>8975</v>
      </c>
      <c r="S2273" s="1" t="s">
        <v>7575</v>
      </c>
      <c r="T2273" s="1" t="s">
        <v>17</v>
      </c>
      <c r="U2273" s="1" t="s">
        <v>93</v>
      </c>
    </row>
    <row r="2274" spans="1:21" x14ac:dyDescent="0.2">
      <c r="A2274" s="88" t="s">
        <v>17998</v>
      </c>
      <c r="B2274" s="88" t="e">
        <f>VLOOKUP(C2274,#REF!,1,0)</f>
        <v>#REF!</v>
      </c>
      <c r="C2274" s="1" t="s">
        <v>7579</v>
      </c>
      <c r="D2274" s="1" t="s">
        <v>7580</v>
      </c>
      <c r="E2274" s="1" t="s">
        <v>9310</v>
      </c>
      <c r="F2274" s="1" t="s">
        <v>8957</v>
      </c>
      <c r="G2274" t="s">
        <v>9183</v>
      </c>
      <c r="H2274" s="1" t="s">
        <v>9252</v>
      </c>
      <c r="I2274" s="1" t="s">
        <v>9308</v>
      </c>
      <c r="J2274" s="2" t="s">
        <v>11623</v>
      </c>
      <c r="K2274" s="1" t="s">
        <v>11623</v>
      </c>
      <c r="L2274" s="1" t="s">
        <v>9133</v>
      </c>
      <c r="M2274" s="1">
        <v>2480</v>
      </c>
      <c r="N2274" s="1" t="s">
        <v>8953</v>
      </c>
      <c r="O2274" s="1" t="s">
        <v>8954</v>
      </c>
      <c r="P2274" s="1" t="s">
        <v>8955</v>
      </c>
      <c r="Q2274" s="1" t="s">
        <v>8956</v>
      </c>
      <c r="R2274" s="1" t="s">
        <v>8958</v>
      </c>
      <c r="S2274" s="1" t="s">
        <v>7581</v>
      </c>
      <c r="T2274" s="1" t="s">
        <v>11</v>
      </c>
      <c r="U2274" s="1" t="s">
        <v>1598</v>
      </c>
    </row>
    <row r="2275" spans="1:21" x14ac:dyDescent="0.2">
      <c r="A2275" s="88" t="s">
        <v>17999</v>
      </c>
      <c r="B2275" s="88" t="e">
        <f>VLOOKUP(C2275,#REF!,1,0)</f>
        <v>#REF!</v>
      </c>
      <c r="C2275" s="1" t="s">
        <v>7582</v>
      </c>
      <c r="D2275" s="1" t="s">
        <v>7583</v>
      </c>
      <c r="E2275" s="1" t="s">
        <v>9310</v>
      </c>
      <c r="F2275" s="1" t="s">
        <v>8957</v>
      </c>
      <c r="G2275" t="s">
        <v>8959</v>
      </c>
      <c r="H2275" s="1" t="s">
        <v>9035</v>
      </c>
      <c r="I2275" s="1" t="s">
        <v>8998</v>
      </c>
      <c r="J2275" s="2" t="s">
        <v>9036</v>
      </c>
      <c r="K2275" s="1" t="s">
        <v>9036</v>
      </c>
      <c r="L2275" s="1" t="s">
        <v>8951</v>
      </c>
      <c r="M2275" s="1">
        <v>8777</v>
      </c>
      <c r="N2275" s="1" t="s">
        <v>8953</v>
      </c>
      <c r="O2275" s="1" t="s">
        <v>8989</v>
      </c>
      <c r="P2275" s="1" t="s">
        <v>8955</v>
      </c>
      <c r="Q2275" s="1" t="s">
        <v>8956</v>
      </c>
      <c r="R2275" s="1" t="s">
        <v>8958</v>
      </c>
      <c r="S2275" s="1" t="s">
        <v>7584</v>
      </c>
      <c r="T2275" s="1" t="s">
        <v>4</v>
      </c>
      <c r="U2275" s="1" t="s">
        <v>43</v>
      </c>
    </row>
    <row r="2276" spans="1:21" x14ac:dyDescent="0.2">
      <c r="A2276" s="88" t="s">
        <v>18000</v>
      </c>
      <c r="B2276" s="88" t="e">
        <f>VLOOKUP(C2276,#REF!,1,0)</f>
        <v>#REF!</v>
      </c>
      <c r="C2276" s="1" t="s">
        <v>7585</v>
      </c>
      <c r="D2276" s="1" t="s">
        <v>7586</v>
      </c>
      <c r="E2276" s="1" t="s">
        <v>18502</v>
      </c>
      <c r="F2276" s="1" t="s">
        <v>8974</v>
      </c>
      <c r="G2276" t="s">
        <v>8959</v>
      </c>
      <c r="H2276" s="1" t="s">
        <v>9035</v>
      </c>
      <c r="I2276" s="1" t="s">
        <v>8998</v>
      </c>
      <c r="J2276" s="2" t="s">
        <v>21080</v>
      </c>
      <c r="K2276" s="1" t="s">
        <v>9679</v>
      </c>
      <c r="L2276" s="1" t="s">
        <v>9076</v>
      </c>
      <c r="M2276" s="1">
        <v>5500</v>
      </c>
      <c r="N2276" s="1" t="s">
        <v>8953</v>
      </c>
      <c r="O2276" s="1" t="s">
        <v>8989</v>
      </c>
      <c r="P2276" s="1" t="s">
        <v>8955</v>
      </c>
      <c r="Q2276" s="1" t="s">
        <v>8956</v>
      </c>
      <c r="R2276" s="1" t="s">
        <v>8975</v>
      </c>
      <c r="S2276" s="1" t="s">
        <v>20191</v>
      </c>
      <c r="T2276" s="1" t="s">
        <v>7</v>
      </c>
      <c r="U2276" s="1" t="s">
        <v>93</v>
      </c>
    </row>
    <row r="2277" spans="1:21" x14ac:dyDescent="0.2">
      <c r="A2277" s="88" t="s">
        <v>18001</v>
      </c>
      <c r="B2277" s="88" t="e">
        <f>VLOOKUP(C2277,#REF!,1,0)</f>
        <v>#REF!</v>
      </c>
      <c r="C2277" s="1" t="s">
        <v>7587</v>
      </c>
      <c r="D2277" s="1" t="s">
        <v>7588</v>
      </c>
      <c r="E2277" s="1" t="s">
        <v>18502</v>
      </c>
      <c r="F2277" s="1" t="s">
        <v>8974</v>
      </c>
      <c r="G2277" t="s">
        <v>8959</v>
      </c>
      <c r="H2277" s="1" t="s">
        <v>9035</v>
      </c>
      <c r="I2277" s="1" t="s">
        <v>8949</v>
      </c>
      <c r="J2277" s="2" t="s">
        <v>21081</v>
      </c>
      <c r="K2277" s="1" t="s">
        <v>21882</v>
      </c>
      <c r="L2277" s="1" t="s">
        <v>8951</v>
      </c>
      <c r="M2277" s="1">
        <v>440000</v>
      </c>
      <c r="N2277" s="1" t="s">
        <v>20915</v>
      </c>
      <c r="O2277" s="1" t="s">
        <v>8989</v>
      </c>
      <c r="P2277" s="1" t="s">
        <v>8955</v>
      </c>
      <c r="Q2277" s="1" t="s">
        <v>8956</v>
      </c>
      <c r="R2277" s="1" t="s">
        <v>8975</v>
      </c>
      <c r="S2277" s="1" t="s">
        <v>20192</v>
      </c>
      <c r="T2277" s="1" t="s">
        <v>17</v>
      </c>
      <c r="U2277" s="1" t="s">
        <v>93</v>
      </c>
    </row>
    <row r="2278" spans="1:21" x14ac:dyDescent="0.2">
      <c r="A2278" s="88" t="s">
        <v>18002</v>
      </c>
      <c r="B2278" s="88" t="e">
        <f>VLOOKUP(C2278,#REF!,1,0)</f>
        <v>#REF!</v>
      </c>
      <c r="C2278" s="1" t="s">
        <v>7589</v>
      </c>
      <c r="D2278" s="1" t="s">
        <v>7590</v>
      </c>
      <c r="E2278" s="1" t="s">
        <v>9333</v>
      </c>
      <c r="F2278" s="1" t="s">
        <v>8957</v>
      </c>
      <c r="G2278" t="s">
        <v>8959</v>
      </c>
      <c r="H2278" s="1" t="s">
        <v>9075</v>
      </c>
      <c r="I2278" s="1" t="s">
        <v>8998</v>
      </c>
      <c r="J2278" s="2" t="s">
        <v>10492</v>
      </c>
      <c r="K2278" s="1" t="s">
        <v>10492</v>
      </c>
      <c r="L2278" s="1" t="s">
        <v>21600</v>
      </c>
      <c r="M2278" s="1">
        <v>377</v>
      </c>
      <c r="N2278" s="1" t="s">
        <v>9059</v>
      </c>
      <c r="O2278" s="1" t="s">
        <v>8989</v>
      </c>
      <c r="P2278" s="1" t="s">
        <v>8955</v>
      </c>
      <c r="Q2278" s="1" t="s">
        <v>8956</v>
      </c>
      <c r="R2278" s="1" t="s">
        <v>8975</v>
      </c>
      <c r="S2278" s="1" t="s">
        <v>20193</v>
      </c>
      <c r="T2278" s="1" t="s">
        <v>17</v>
      </c>
      <c r="U2278" s="1" t="s">
        <v>43</v>
      </c>
    </row>
    <row r="2279" spans="1:21" x14ac:dyDescent="0.2">
      <c r="A2279" s="88" t="s">
        <v>18003</v>
      </c>
      <c r="B2279" s="88" t="e">
        <f>VLOOKUP(C2279,#REF!,1,0)</f>
        <v>#REF!</v>
      </c>
      <c r="C2279" s="1" t="s">
        <v>7591</v>
      </c>
      <c r="D2279" s="1" t="s">
        <v>7592</v>
      </c>
      <c r="E2279" s="1" t="s">
        <v>9010</v>
      </c>
      <c r="F2279" s="1" t="s">
        <v>8957</v>
      </c>
      <c r="G2279" t="s">
        <v>9009</v>
      </c>
      <c r="H2279" s="1" t="s">
        <v>9035</v>
      </c>
      <c r="I2279" s="1" t="s">
        <v>8949</v>
      </c>
      <c r="J2279" s="2" t="s">
        <v>8972</v>
      </c>
      <c r="K2279" s="1" t="s">
        <v>8972</v>
      </c>
      <c r="L2279" s="1" t="s">
        <v>21600</v>
      </c>
      <c r="M2279" s="1">
        <v>9</v>
      </c>
      <c r="N2279" s="1" t="s">
        <v>9059</v>
      </c>
      <c r="O2279" s="1" t="s">
        <v>8989</v>
      </c>
      <c r="P2279" s="1" t="s">
        <v>8955</v>
      </c>
      <c r="Q2279" s="1" t="s">
        <v>8956</v>
      </c>
      <c r="R2279" s="1" t="s">
        <v>8975</v>
      </c>
      <c r="S2279" s="1" t="s">
        <v>7593</v>
      </c>
      <c r="T2279" s="1" t="s">
        <v>17</v>
      </c>
      <c r="U2279" s="1" t="s">
        <v>1780</v>
      </c>
    </row>
    <row r="2280" spans="1:21" x14ac:dyDescent="0.2">
      <c r="A2280" s="88" t="s">
        <v>18004</v>
      </c>
      <c r="B2280" s="88" t="e">
        <f>VLOOKUP(C2280,#REF!,1,0)</f>
        <v>#REF!</v>
      </c>
      <c r="C2280" s="1" t="s">
        <v>7594</v>
      </c>
      <c r="D2280" s="1" t="s">
        <v>7595</v>
      </c>
      <c r="E2280" s="1" t="s">
        <v>9010</v>
      </c>
      <c r="F2280" s="1" t="s">
        <v>8957</v>
      </c>
      <c r="G2280" t="s">
        <v>8959</v>
      </c>
      <c r="H2280" s="1" t="s">
        <v>8984</v>
      </c>
      <c r="I2280" s="1" t="s">
        <v>8949</v>
      </c>
      <c r="J2280" s="2" t="s">
        <v>9036</v>
      </c>
      <c r="K2280" s="1" t="s">
        <v>9036</v>
      </c>
      <c r="L2280" s="1" t="s">
        <v>9133</v>
      </c>
      <c r="M2280" s="1">
        <v>494</v>
      </c>
      <c r="N2280" s="1" t="s">
        <v>8953</v>
      </c>
      <c r="O2280" s="1" t="s">
        <v>8954</v>
      </c>
      <c r="P2280" s="1" t="s">
        <v>8955</v>
      </c>
      <c r="Q2280" s="1" t="s">
        <v>8956</v>
      </c>
      <c r="R2280" s="1" t="s">
        <v>8975</v>
      </c>
      <c r="S2280" s="1" t="s">
        <v>7596</v>
      </c>
      <c r="T2280" s="1" t="s">
        <v>17</v>
      </c>
      <c r="U2280" s="1" t="s">
        <v>147</v>
      </c>
    </row>
    <row r="2281" spans="1:21" x14ac:dyDescent="0.2">
      <c r="A2281" s="88" t="s">
        <v>18005</v>
      </c>
      <c r="B2281" s="88" t="e">
        <f>VLOOKUP(C2281,#REF!,1,0)</f>
        <v>#REF!</v>
      </c>
      <c r="C2281" s="1" t="s">
        <v>7597</v>
      </c>
      <c r="D2281" s="1" t="s">
        <v>7598</v>
      </c>
      <c r="E2281" s="1" t="s">
        <v>9310</v>
      </c>
      <c r="F2281" s="1" t="s">
        <v>8957</v>
      </c>
      <c r="G2281" t="s">
        <v>8959</v>
      </c>
      <c r="H2281" s="1" t="s">
        <v>9035</v>
      </c>
      <c r="I2281" s="1" t="s">
        <v>8998</v>
      </c>
      <c r="J2281" s="2" t="s">
        <v>10492</v>
      </c>
      <c r="K2281" s="1" t="s">
        <v>10492</v>
      </c>
      <c r="L2281" s="1" t="s">
        <v>21600</v>
      </c>
      <c r="M2281" s="1">
        <v>466</v>
      </c>
      <c r="N2281" s="1" t="s">
        <v>8953</v>
      </c>
      <c r="O2281" s="1" t="s">
        <v>8954</v>
      </c>
      <c r="P2281" s="1" t="s">
        <v>8955</v>
      </c>
      <c r="Q2281" s="1" t="s">
        <v>8956</v>
      </c>
      <c r="R2281" s="1" t="s">
        <v>8958</v>
      </c>
      <c r="S2281" s="1" t="s">
        <v>20194</v>
      </c>
      <c r="T2281" s="1" t="s">
        <v>17</v>
      </c>
      <c r="U2281" s="1" t="s">
        <v>921</v>
      </c>
    </row>
    <row r="2282" spans="1:21" x14ac:dyDescent="0.2">
      <c r="A2282" s="88" t="s">
        <v>18006</v>
      </c>
      <c r="B2282" s="88" t="e">
        <f>VLOOKUP(C2282,#REF!,1,0)</f>
        <v>#REF!</v>
      </c>
      <c r="C2282" s="1" t="s">
        <v>7599</v>
      </c>
      <c r="D2282" s="1" t="s">
        <v>7600</v>
      </c>
      <c r="E2282" s="1" t="s">
        <v>9310</v>
      </c>
      <c r="F2282" s="1" t="s">
        <v>8957</v>
      </c>
      <c r="G2282" t="s">
        <v>8959</v>
      </c>
      <c r="H2282" s="1" t="s">
        <v>9035</v>
      </c>
      <c r="I2282" s="1" t="s">
        <v>9308</v>
      </c>
      <c r="J2282" s="131" t="s">
        <v>21584</v>
      </c>
      <c r="K2282" s="1" t="s">
        <v>21584</v>
      </c>
      <c r="L2282" s="1" t="s">
        <v>9133</v>
      </c>
      <c r="M2282" s="1">
        <v>1102</v>
      </c>
      <c r="N2282" s="1" t="s">
        <v>20806</v>
      </c>
      <c r="O2282" s="1" t="s">
        <v>8954</v>
      </c>
      <c r="P2282" s="1" t="s">
        <v>8955</v>
      </c>
      <c r="Q2282" s="1" t="s">
        <v>8956</v>
      </c>
      <c r="R2282" s="1" t="s">
        <v>8958</v>
      </c>
      <c r="S2282" s="1" t="s">
        <v>20195</v>
      </c>
      <c r="T2282" s="1" t="s">
        <v>7</v>
      </c>
      <c r="U2282" s="1" t="s">
        <v>110</v>
      </c>
    </row>
    <row r="2283" spans="1:21" x14ac:dyDescent="0.2">
      <c r="A2283" s="88" t="s">
        <v>18007</v>
      </c>
      <c r="B2283" s="88" t="e">
        <f>VLOOKUP(C2283,#REF!,1,0)</f>
        <v>#REF!</v>
      </c>
      <c r="C2283" s="1" t="s">
        <v>7601</v>
      </c>
      <c r="D2283" s="1" t="s">
        <v>7602</v>
      </c>
      <c r="E2283" s="1" t="s">
        <v>9310</v>
      </c>
      <c r="F2283" s="1" t="s">
        <v>8957</v>
      </c>
      <c r="G2283" t="s">
        <v>8959</v>
      </c>
      <c r="H2283" s="1" t="s">
        <v>14948</v>
      </c>
      <c r="I2283" s="1" t="s">
        <v>9101</v>
      </c>
      <c r="J2283" s="131" t="s">
        <v>21396</v>
      </c>
      <c r="K2283" s="77" t="s">
        <v>21910</v>
      </c>
      <c r="L2283" s="1" t="s">
        <v>8951</v>
      </c>
      <c r="M2283" s="1">
        <v>604</v>
      </c>
      <c r="N2283" s="1" t="s">
        <v>8953</v>
      </c>
      <c r="O2283" s="1" t="s">
        <v>8954</v>
      </c>
      <c r="P2283" s="1" t="s">
        <v>8955</v>
      </c>
      <c r="Q2283" s="1" t="s">
        <v>8956</v>
      </c>
      <c r="R2283" s="1" t="s">
        <v>8958</v>
      </c>
      <c r="S2283" s="1" t="s">
        <v>7603</v>
      </c>
      <c r="T2283" s="1" t="s">
        <v>17</v>
      </c>
      <c r="U2283" s="1" t="s">
        <v>7604</v>
      </c>
    </row>
    <row r="2284" spans="1:21" x14ac:dyDescent="0.2">
      <c r="A2284" s="88" t="s">
        <v>18008</v>
      </c>
      <c r="B2284" s="88" t="e">
        <f>VLOOKUP(C2284,#REF!,1,0)</f>
        <v>#REF!</v>
      </c>
      <c r="C2284" s="1" t="s">
        <v>7605</v>
      </c>
      <c r="D2284" s="1" t="s">
        <v>7606</v>
      </c>
      <c r="E2284" s="1" t="s">
        <v>9310</v>
      </c>
      <c r="F2284" s="1" t="s">
        <v>8957</v>
      </c>
      <c r="G2284" t="s">
        <v>8959</v>
      </c>
      <c r="H2284" s="1" t="s">
        <v>9605</v>
      </c>
      <c r="I2284" s="1" t="s">
        <v>9101</v>
      </c>
      <c r="J2284" s="2" t="s">
        <v>14335</v>
      </c>
      <c r="K2284" s="1" t="s">
        <v>14335</v>
      </c>
      <c r="L2284" s="1" t="s">
        <v>9292</v>
      </c>
      <c r="M2284" s="1">
        <v>1384</v>
      </c>
      <c r="N2284" s="1" t="s">
        <v>8953</v>
      </c>
      <c r="O2284" s="1" t="s">
        <v>8954</v>
      </c>
      <c r="P2284" s="1" t="s">
        <v>8955</v>
      </c>
      <c r="Q2284" s="1" t="s">
        <v>8956</v>
      </c>
      <c r="R2284" s="1" t="s">
        <v>8975</v>
      </c>
      <c r="S2284" s="1" t="s">
        <v>7607</v>
      </c>
      <c r="T2284" s="1" t="s">
        <v>242</v>
      </c>
      <c r="U2284" s="1" t="s">
        <v>7608</v>
      </c>
    </row>
    <row r="2285" spans="1:21" x14ac:dyDescent="0.2">
      <c r="A2285" s="88" t="s">
        <v>18009</v>
      </c>
      <c r="B2285" s="88" t="e">
        <f>VLOOKUP(C2285,#REF!,1,0)</f>
        <v>#REF!</v>
      </c>
      <c r="C2285" s="1" t="s">
        <v>7609</v>
      </c>
      <c r="D2285" s="1" t="s">
        <v>7610</v>
      </c>
      <c r="E2285" s="1" t="s">
        <v>9310</v>
      </c>
      <c r="F2285" s="1" t="s">
        <v>8959</v>
      </c>
      <c r="G2285" t="s">
        <v>9183</v>
      </c>
      <c r="H2285" s="1" t="s">
        <v>8948</v>
      </c>
      <c r="I2285" s="1" t="s">
        <v>8949</v>
      </c>
      <c r="J2285" s="2" t="s">
        <v>21258</v>
      </c>
      <c r="K2285" s="1" t="s">
        <v>21743</v>
      </c>
      <c r="L2285" s="1" t="s">
        <v>21600</v>
      </c>
      <c r="M2285" s="1">
        <v>100</v>
      </c>
      <c r="N2285" s="1" t="s">
        <v>8953</v>
      </c>
      <c r="O2285" s="1" t="s">
        <v>8989</v>
      </c>
      <c r="P2285" s="1" t="s">
        <v>8955</v>
      </c>
      <c r="Q2285" s="1" t="s">
        <v>8956</v>
      </c>
      <c r="R2285" s="1" t="s">
        <v>9103</v>
      </c>
      <c r="S2285" s="1" t="s">
        <v>20196</v>
      </c>
      <c r="T2285" s="1" t="s">
        <v>7</v>
      </c>
      <c r="U2285" s="1" t="s">
        <v>184</v>
      </c>
    </row>
    <row r="2286" spans="1:21" x14ac:dyDescent="0.2">
      <c r="A2286" s="88" t="s">
        <v>18010</v>
      </c>
      <c r="B2286" s="88" t="e">
        <f>VLOOKUP(C2286,#REF!,1,0)</f>
        <v>#REF!</v>
      </c>
      <c r="C2286" s="1" t="s">
        <v>7611</v>
      </c>
      <c r="D2286" s="1" t="s">
        <v>7612</v>
      </c>
      <c r="E2286" s="1" t="s">
        <v>9310</v>
      </c>
      <c r="F2286" s="1" t="s">
        <v>9060</v>
      </c>
      <c r="G2286" t="s">
        <v>8959</v>
      </c>
      <c r="H2286" s="1" t="s">
        <v>8948</v>
      </c>
      <c r="I2286" s="1" t="s">
        <v>8949</v>
      </c>
      <c r="J2286" s="2" t="s">
        <v>9036</v>
      </c>
      <c r="K2286" s="1" t="s">
        <v>9036</v>
      </c>
      <c r="L2286" s="1" t="s">
        <v>21600</v>
      </c>
      <c r="M2286" s="1">
        <v>1348</v>
      </c>
      <c r="N2286" s="1" t="s">
        <v>8953</v>
      </c>
      <c r="O2286" s="1" t="s">
        <v>8989</v>
      </c>
      <c r="P2286" s="1" t="s">
        <v>8955</v>
      </c>
      <c r="Q2286" s="1" t="s">
        <v>8956</v>
      </c>
      <c r="R2286" s="1" t="s">
        <v>8958</v>
      </c>
      <c r="S2286" s="1" t="s">
        <v>7613</v>
      </c>
      <c r="T2286" s="1" t="s">
        <v>17</v>
      </c>
      <c r="U2286" s="1" t="s">
        <v>1966</v>
      </c>
    </row>
    <row r="2287" spans="1:21" x14ac:dyDescent="0.2">
      <c r="A2287" s="88" t="s">
        <v>18011</v>
      </c>
      <c r="B2287" s="88" t="e">
        <f>VLOOKUP(C2287,#REF!,1,0)</f>
        <v>#REF!</v>
      </c>
      <c r="C2287" s="1" t="s">
        <v>7614</v>
      </c>
      <c r="D2287" s="1" t="s">
        <v>7615</v>
      </c>
      <c r="E2287" s="1" t="s">
        <v>10873</v>
      </c>
      <c r="F2287" s="1" t="s">
        <v>9060</v>
      </c>
      <c r="G2287" t="s">
        <v>9183</v>
      </c>
      <c r="H2287" s="1" t="s">
        <v>8948</v>
      </c>
      <c r="I2287" s="1" t="s">
        <v>8949</v>
      </c>
      <c r="J2287" s="2" t="s">
        <v>21457</v>
      </c>
      <c r="K2287" s="1" t="s">
        <v>21805</v>
      </c>
      <c r="L2287" s="1" t="s">
        <v>21600</v>
      </c>
      <c r="M2287" s="1">
        <v>546</v>
      </c>
      <c r="N2287" s="1" t="s">
        <v>8953</v>
      </c>
      <c r="O2287" s="1" t="s">
        <v>8989</v>
      </c>
      <c r="P2287" s="1" t="s">
        <v>8955</v>
      </c>
      <c r="Q2287" s="1" t="s">
        <v>8956</v>
      </c>
      <c r="R2287" s="1" t="s">
        <v>8975</v>
      </c>
      <c r="S2287" s="1" t="s">
        <v>7616</v>
      </c>
      <c r="T2287" s="1" t="s">
        <v>11</v>
      </c>
      <c r="U2287" s="1" t="s">
        <v>61</v>
      </c>
    </row>
    <row r="2288" spans="1:21" x14ac:dyDescent="0.2">
      <c r="A2288" s="88" t="s">
        <v>18012</v>
      </c>
      <c r="B2288" s="88" t="e">
        <f>VLOOKUP(C2288,#REF!,1,0)</f>
        <v>#REF!</v>
      </c>
      <c r="C2288" s="1" t="s">
        <v>7617</v>
      </c>
      <c r="D2288" s="1" t="s">
        <v>7618</v>
      </c>
      <c r="E2288" s="1" t="s">
        <v>9310</v>
      </c>
      <c r="F2288" s="1" t="s">
        <v>8957</v>
      </c>
      <c r="G2288" t="s">
        <v>8959</v>
      </c>
      <c r="H2288" s="1" t="s">
        <v>9035</v>
      </c>
      <c r="I2288" s="1" t="s">
        <v>8998</v>
      </c>
      <c r="J2288" s="2" t="s">
        <v>10492</v>
      </c>
      <c r="K2288" s="1" t="s">
        <v>10492</v>
      </c>
      <c r="L2288" s="1" t="s">
        <v>21600</v>
      </c>
      <c r="M2288" s="1">
        <v>76250</v>
      </c>
      <c r="N2288" s="1" t="s">
        <v>8953</v>
      </c>
      <c r="O2288" s="1" t="s">
        <v>8954</v>
      </c>
      <c r="P2288" s="1" t="s">
        <v>8955</v>
      </c>
      <c r="Q2288" s="1" t="s">
        <v>8956</v>
      </c>
      <c r="R2288" s="1" t="s">
        <v>8975</v>
      </c>
      <c r="S2288" s="1" t="s">
        <v>20197</v>
      </c>
      <c r="T2288" s="1" t="s">
        <v>7</v>
      </c>
      <c r="U2288" s="1" t="s">
        <v>61</v>
      </c>
    </row>
    <row r="2289" spans="1:21" x14ac:dyDescent="0.2">
      <c r="A2289" s="88" t="s">
        <v>18014</v>
      </c>
      <c r="B2289" s="88" t="e">
        <f>VLOOKUP(C2289,#REF!,1,0)</f>
        <v>#REF!</v>
      </c>
      <c r="C2289" s="1" t="s">
        <v>7621</v>
      </c>
      <c r="D2289" s="1" t="s">
        <v>7622</v>
      </c>
      <c r="E2289" s="1" t="s">
        <v>10873</v>
      </c>
      <c r="F2289" s="1" t="s">
        <v>9060</v>
      </c>
      <c r="G2289" t="s">
        <v>9183</v>
      </c>
      <c r="H2289" s="1" t="s">
        <v>8948</v>
      </c>
      <c r="I2289" s="1" t="s">
        <v>9155</v>
      </c>
      <c r="J2289" s="2" t="s">
        <v>9018</v>
      </c>
      <c r="K2289" s="1" t="s">
        <v>21762</v>
      </c>
      <c r="L2289" s="1" t="s">
        <v>21600</v>
      </c>
      <c r="M2289" s="1">
        <v>25</v>
      </c>
      <c r="N2289" s="1" t="s">
        <v>9059</v>
      </c>
      <c r="O2289" s="1" t="s">
        <v>8954</v>
      </c>
      <c r="P2289" s="1" t="s">
        <v>8955</v>
      </c>
      <c r="Q2289" s="1" t="s">
        <v>8956</v>
      </c>
      <c r="R2289" s="1" t="s">
        <v>8975</v>
      </c>
      <c r="S2289" s="1" t="s">
        <v>7623</v>
      </c>
      <c r="T2289" s="1" t="s">
        <v>17</v>
      </c>
      <c r="U2289" s="1" t="s">
        <v>1110</v>
      </c>
    </row>
    <row r="2290" spans="1:21" x14ac:dyDescent="0.2">
      <c r="A2290" s="88" t="s">
        <v>18015</v>
      </c>
      <c r="B2290" s="88" t="e">
        <f>VLOOKUP(C2290,#REF!,1,0)</f>
        <v>#REF!</v>
      </c>
      <c r="C2290" s="1" t="s">
        <v>7624</v>
      </c>
      <c r="D2290" s="1" t="s">
        <v>7625</v>
      </c>
      <c r="E2290" s="1" t="s">
        <v>9310</v>
      </c>
      <c r="F2290" s="1" t="s">
        <v>8957</v>
      </c>
      <c r="G2290" t="s">
        <v>8959</v>
      </c>
      <c r="H2290" s="1" t="s">
        <v>9035</v>
      </c>
      <c r="I2290" s="1" t="s">
        <v>9308</v>
      </c>
      <c r="J2290" s="2" t="s">
        <v>9787</v>
      </c>
      <c r="K2290" s="1" t="s">
        <v>9787</v>
      </c>
      <c r="L2290" s="1" t="s">
        <v>21600</v>
      </c>
      <c r="M2290" s="1">
        <v>3751</v>
      </c>
      <c r="N2290" s="1" t="s">
        <v>8953</v>
      </c>
      <c r="O2290" s="1" t="s">
        <v>8954</v>
      </c>
      <c r="P2290" s="1" t="s">
        <v>8955</v>
      </c>
      <c r="Q2290" s="1" t="s">
        <v>8956</v>
      </c>
      <c r="R2290" s="1" t="s">
        <v>9103</v>
      </c>
      <c r="S2290" s="1" t="s">
        <v>20199</v>
      </c>
      <c r="T2290" s="1" t="s">
        <v>7</v>
      </c>
      <c r="U2290" s="1" t="s">
        <v>110</v>
      </c>
    </row>
    <row r="2291" spans="1:21" x14ac:dyDescent="0.2">
      <c r="A2291" s="95" t="s">
        <v>18016</v>
      </c>
      <c r="B2291" s="88" t="e">
        <f>VLOOKUP(C2291,#REF!,1,0)</f>
        <v>#REF!</v>
      </c>
      <c r="C2291" s="1" t="s">
        <v>7626</v>
      </c>
      <c r="D2291" s="1" t="s">
        <v>7627</v>
      </c>
      <c r="E2291" s="1" t="s">
        <v>9310</v>
      </c>
      <c r="F2291" s="1" t="s">
        <v>8957</v>
      </c>
      <c r="G2291" t="s">
        <v>8959</v>
      </c>
      <c r="H2291" s="1" t="s">
        <v>9035</v>
      </c>
      <c r="I2291" s="1" t="s">
        <v>9308</v>
      </c>
      <c r="J2291" s="2" t="s">
        <v>18497</v>
      </c>
      <c r="K2291" s="1" t="s">
        <v>18497</v>
      </c>
      <c r="L2291" s="1" t="s">
        <v>8987</v>
      </c>
      <c r="M2291" s="1">
        <v>1112120</v>
      </c>
      <c r="N2291" s="1" t="s">
        <v>8953</v>
      </c>
      <c r="O2291" s="1" t="s">
        <v>8989</v>
      </c>
      <c r="P2291" s="1" t="s">
        <v>8955</v>
      </c>
      <c r="Q2291" s="1" t="s">
        <v>8956</v>
      </c>
      <c r="R2291" s="1" t="s">
        <v>9103</v>
      </c>
      <c r="S2291" s="1" t="s">
        <v>20200</v>
      </c>
      <c r="T2291" s="1" t="s">
        <v>7</v>
      </c>
      <c r="U2291" s="1" t="s">
        <v>27</v>
      </c>
    </row>
    <row r="2292" spans="1:21" x14ac:dyDescent="0.2">
      <c r="A2292" s="88" t="s">
        <v>18017</v>
      </c>
      <c r="B2292" s="88" t="e">
        <f>VLOOKUP(C2292,#REF!,1,0)</f>
        <v>#REF!</v>
      </c>
      <c r="C2292" s="1" t="s">
        <v>7628</v>
      </c>
      <c r="D2292" s="1" t="s">
        <v>7629</v>
      </c>
      <c r="E2292" s="1" t="s">
        <v>9010</v>
      </c>
      <c r="F2292" s="1" t="s">
        <v>8957</v>
      </c>
      <c r="G2292" t="s">
        <v>8959</v>
      </c>
      <c r="H2292" s="1" t="s">
        <v>9035</v>
      </c>
      <c r="I2292" s="1" t="s">
        <v>9101</v>
      </c>
      <c r="J2292" s="2" t="s">
        <v>18491</v>
      </c>
      <c r="K2292" s="1" t="s">
        <v>18491</v>
      </c>
      <c r="L2292" s="1" t="s">
        <v>9464</v>
      </c>
      <c r="M2292" s="1">
        <v>2625</v>
      </c>
      <c r="N2292" s="1" t="s">
        <v>8953</v>
      </c>
      <c r="O2292" s="1" t="s">
        <v>8954</v>
      </c>
      <c r="P2292" s="1" t="s">
        <v>8955</v>
      </c>
      <c r="Q2292" s="1" t="s">
        <v>8956</v>
      </c>
      <c r="R2292" s="1" t="s">
        <v>8975</v>
      </c>
      <c r="S2292" s="1" t="s">
        <v>7630</v>
      </c>
      <c r="T2292" s="1" t="s">
        <v>17</v>
      </c>
      <c r="U2292" s="1" t="s">
        <v>700</v>
      </c>
    </row>
    <row r="2293" spans="1:21" x14ac:dyDescent="0.2">
      <c r="A2293" s="88" t="s">
        <v>18018</v>
      </c>
      <c r="B2293" s="88" t="e">
        <f>VLOOKUP(C2293,#REF!,1,0)</f>
        <v>#REF!</v>
      </c>
      <c r="C2293" s="1" t="s">
        <v>7631</v>
      </c>
      <c r="D2293" s="1" t="s">
        <v>7632</v>
      </c>
      <c r="E2293" s="1" t="s">
        <v>9310</v>
      </c>
      <c r="F2293" s="1" t="s">
        <v>8957</v>
      </c>
      <c r="G2293" t="s">
        <v>8959</v>
      </c>
      <c r="H2293" s="1" t="s">
        <v>20714</v>
      </c>
      <c r="I2293" s="1" t="s">
        <v>20725</v>
      </c>
      <c r="J2293" s="2" t="s">
        <v>21083</v>
      </c>
      <c r="K2293" s="1" t="s">
        <v>21744</v>
      </c>
      <c r="L2293" s="1" t="s">
        <v>8951</v>
      </c>
      <c r="M2293" s="1">
        <v>439</v>
      </c>
      <c r="N2293" s="1" t="s">
        <v>8953</v>
      </c>
      <c r="O2293" s="1" t="s">
        <v>8954</v>
      </c>
      <c r="P2293" s="1" t="s">
        <v>8955</v>
      </c>
      <c r="Q2293" s="1" t="s">
        <v>8956</v>
      </c>
      <c r="R2293" s="1" t="s">
        <v>8975</v>
      </c>
      <c r="S2293" s="1" t="s">
        <v>20201</v>
      </c>
      <c r="T2293" s="1" t="s">
        <v>7</v>
      </c>
      <c r="U2293" s="1" t="s">
        <v>184</v>
      </c>
    </row>
    <row r="2294" spans="1:21" x14ac:dyDescent="0.2">
      <c r="A2294" s="88" t="s">
        <v>18019</v>
      </c>
      <c r="B2294" s="88" t="e">
        <f>VLOOKUP(C2294,#REF!,1,0)</f>
        <v>#REF!</v>
      </c>
      <c r="C2294" s="1" t="s">
        <v>7633</v>
      </c>
      <c r="D2294" s="1" t="s">
        <v>7634</v>
      </c>
      <c r="E2294" s="1" t="s">
        <v>9310</v>
      </c>
      <c r="F2294" s="1" t="s">
        <v>8957</v>
      </c>
      <c r="G2294" t="s">
        <v>9183</v>
      </c>
      <c r="H2294" s="1" t="s">
        <v>8984</v>
      </c>
      <c r="I2294" s="1" t="s">
        <v>9155</v>
      </c>
      <c r="J2294" s="2" t="s">
        <v>9036</v>
      </c>
      <c r="K2294" s="1" t="s">
        <v>9036</v>
      </c>
      <c r="L2294" s="1" t="s">
        <v>21600</v>
      </c>
      <c r="M2294" s="1">
        <v>69</v>
      </c>
      <c r="N2294" s="1" t="s">
        <v>9059</v>
      </c>
      <c r="O2294" s="1" t="s">
        <v>8989</v>
      </c>
      <c r="P2294" s="1" t="s">
        <v>8955</v>
      </c>
      <c r="Q2294" s="1" t="s">
        <v>8956</v>
      </c>
      <c r="R2294" s="1" t="s">
        <v>8958</v>
      </c>
      <c r="S2294" s="1" t="s">
        <v>7635</v>
      </c>
      <c r="T2294" s="1" t="s">
        <v>17</v>
      </c>
      <c r="U2294" s="1" t="s">
        <v>64</v>
      </c>
    </row>
    <row r="2295" spans="1:21" x14ac:dyDescent="0.2">
      <c r="A2295" s="88" t="s">
        <v>18020</v>
      </c>
      <c r="B2295" s="88" t="e">
        <f>VLOOKUP(C2295,#REF!,1,0)</f>
        <v>#REF!</v>
      </c>
      <c r="C2295" s="1" t="s">
        <v>7636</v>
      </c>
      <c r="D2295" s="1" t="s">
        <v>7637</v>
      </c>
      <c r="E2295" s="1" t="s">
        <v>9310</v>
      </c>
      <c r="F2295" s="1" t="s">
        <v>8957</v>
      </c>
      <c r="G2295" t="s">
        <v>8959</v>
      </c>
      <c r="H2295" s="1" t="s">
        <v>9035</v>
      </c>
      <c r="I2295" s="1" t="s">
        <v>8998</v>
      </c>
      <c r="J2295" s="2" t="s">
        <v>21397</v>
      </c>
      <c r="K2295" s="1" t="s">
        <v>21350</v>
      </c>
      <c r="L2295" s="1" t="s">
        <v>8987</v>
      </c>
      <c r="M2295" s="1">
        <v>4657</v>
      </c>
      <c r="N2295" s="1" t="s">
        <v>9059</v>
      </c>
      <c r="O2295" s="1" t="s">
        <v>8954</v>
      </c>
      <c r="P2295" s="1" t="s">
        <v>8955</v>
      </c>
      <c r="Q2295" s="1" t="s">
        <v>8956</v>
      </c>
      <c r="R2295" s="1" t="s">
        <v>8975</v>
      </c>
      <c r="S2295" s="1" t="s">
        <v>20202</v>
      </c>
      <c r="T2295" s="1" t="s">
        <v>7</v>
      </c>
      <c r="U2295" s="1" t="s">
        <v>61</v>
      </c>
    </row>
    <row r="2296" spans="1:21" x14ac:dyDescent="0.2">
      <c r="A2296" s="88" t="s">
        <v>18021</v>
      </c>
      <c r="B2296" s="88" t="e">
        <f>VLOOKUP(C2296,#REF!,1,0)</f>
        <v>#REF!</v>
      </c>
      <c r="C2296" s="1" t="s">
        <v>7638</v>
      </c>
      <c r="D2296" s="1" t="s">
        <v>7639</v>
      </c>
      <c r="E2296" s="1" t="s">
        <v>9310</v>
      </c>
      <c r="F2296" s="1" t="s">
        <v>8957</v>
      </c>
      <c r="G2296" t="s">
        <v>20843</v>
      </c>
      <c r="H2296" s="1" t="s">
        <v>9035</v>
      </c>
      <c r="I2296" s="1" t="s">
        <v>8998</v>
      </c>
      <c r="J2296" s="2" t="s">
        <v>20811</v>
      </c>
      <c r="K2296" s="1" t="s">
        <v>21707</v>
      </c>
      <c r="L2296" s="1" t="s">
        <v>8987</v>
      </c>
      <c r="M2296" s="1">
        <v>1478</v>
      </c>
      <c r="N2296" s="1" t="s">
        <v>9059</v>
      </c>
      <c r="O2296" s="1" t="s">
        <v>8989</v>
      </c>
      <c r="P2296" s="1" t="s">
        <v>8955</v>
      </c>
      <c r="Q2296" s="1" t="s">
        <v>8956</v>
      </c>
      <c r="R2296" s="1" t="s">
        <v>8975</v>
      </c>
      <c r="S2296" s="1" t="s">
        <v>20203</v>
      </c>
      <c r="T2296" s="1" t="s">
        <v>7</v>
      </c>
      <c r="U2296" s="1" t="s">
        <v>93</v>
      </c>
    </row>
    <row r="2297" spans="1:21" x14ac:dyDescent="0.2">
      <c r="A2297" s="88" t="s">
        <v>18022</v>
      </c>
      <c r="B2297" s="88" t="e">
        <f>VLOOKUP(C2297,#REF!,1,0)</f>
        <v>#REF!</v>
      </c>
      <c r="C2297" s="1" t="s">
        <v>7640</v>
      </c>
      <c r="D2297" s="1" t="s">
        <v>7641</v>
      </c>
      <c r="E2297" s="1" t="s">
        <v>9010</v>
      </c>
      <c r="F2297" s="1" t="s">
        <v>8957</v>
      </c>
      <c r="G2297" t="s">
        <v>8959</v>
      </c>
      <c r="H2297" s="1" t="s">
        <v>9252</v>
      </c>
      <c r="I2297" s="1" t="s">
        <v>9253</v>
      </c>
      <c r="J2297" s="2" t="s">
        <v>9036</v>
      </c>
      <c r="K2297" s="1" t="s">
        <v>9036</v>
      </c>
      <c r="L2297" s="1" t="s">
        <v>8951</v>
      </c>
      <c r="M2297" s="1">
        <v>840</v>
      </c>
      <c r="N2297" s="1" t="s">
        <v>8953</v>
      </c>
      <c r="O2297" s="1" t="s">
        <v>8954</v>
      </c>
      <c r="P2297" s="1" t="s">
        <v>8955</v>
      </c>
      <c r="Q2297" s="1" t="s">
        <v>8956</v>
      </c>
      <c r="R2297" s="1" t="s">
        <v>8958</v>
      </c>
      <c r="S2297" s="1" t="s">
        <v>7642</v>
      </c>
      <c r="T2297" s="1" t="s">
        <v>4</v>
      </c>
      <c r="U2297" s="1" t="s">
        <v>61</v>
      </c>
    </row>
    <row r="2298" spans="1:21" x14ac:dyDescent="0.2">
      <c r="A2298" s="88" t="s">
        <v>18023</v>
      </c>
      <c r="B2298" s="88" t="e">
        <f>VLOOKUP(C2298,#REF!,1,0)</f>
        <v>#REF!</v>
      </c>
      <c r="C2298" s="1" t="s">
        <v>7643</v>
      </c>
      <c r="D2298" s="1" t="s">
        <v>7644</v>
      </c>
      <c r="E2298" s="1" t="s">
        <v>9010</v>
      </c>
      <c r="F2298" s="1" t="s">
        <v>8957</v>
      </c>
      <c r="G2298" t="s">
        <v>8959</v>
      </c>
      <c r="H2298" s="1" t="s">
        <v>9092</v>
      </c>
      <c r="I2298" s="1" t="s">
        <v>8949</v>
      </c>
      <c r="J2298" s="2" t="s">
        <v>9036</v>
      </c>
      <c r="K2298" s="1" t="s">
        <v>9036</v>
      </c>
      <c r="L2298" s="1" t="s">
        <v>8951</v>
      </c>
      <c r="M2298" s="1">
        <v>26</v>
      </c>
      <c r="N2298" s="1" t="s">
        <v>9059</v>
      </c>
      <c r="O2298" s="1" t="s">
        <v>8989</v>
      </c>
      <c r="P2298" s="1" t="s">
        <v>8955</v>
      </c>
      <c r="Q2298" s="1" t="s">
        <v>8956</v>
      </c>
      <c r="R2298" s="1" t="s">
        <v>8958</v>
      </c>
      <c r="S2298" s="1" t="s">
        <v>7645</v>
      </c>
      <c r="T2298" s="1" t="s">
        <v>4</v>
      </c>
      <c r="U2298" s="1" t="s">
        <v>74</v>
      </c>
    </row>
    <row r="2299" spans="1:21" x14ac:dyDescent="0.2">
      <c r="A2299" s="88" t="s">
        <v>18024</v>
      </c>
      <c r="B2299" s="88" t="e">
        <f>VLOOKUP(C2299,#REF!,1,0)</f>
        <v>#REF!</v>
      </c>
      <c r="C2299" s="1" t="s">
        <v>7646</v>
      </c>
      <c r="D2299" s="1" t="s">
        <v>7647</v>
      </c>
      <c r="E2299" s="1" t="s">
        <v>9246</v>
      </c>
      <c r="F2299" s="1" t="s">
        <v>9060</v>
      </c>
      <c r="G2299" t="s">
        <v>8959</v>
      </c>
      <c r="H2299" s="1" t="s">
        <v>9100</v>
      </c>
      <c r="I2299" s="1" t="s">
        <v>8949</v>
      </c>
      <c r="J2299" s="2" t="s">
        <v>20779</v>
      </c>
      <c r="K2299" s="1" t="s">
        <v>9036</v>
      </c>
      <c r="L2299" s="1" t="s">
        <v>9133</v>
      </c>
      <c r="M2299" s="1">
        <v>3688</v>
      </c>
      <c r="N2299" s="1" t="s">
        <v>9059</v>
      </c>
      <c r="O2299" s="1" t="s">
        <v>8989</v>
      </c>
      <c r="P2299" s="1" t="s">
        <v>8955</v>
      </c>
      <c r="Q2299" s="1" t="s">
        <v>8956</v>
      </c>
      <c r="R2299" s="1" t="s">
        <v>8975</v>
      </c>
      <c r="S2299" s="1" t="s">
        <v>20204</v>
      </c>
      <c r="T2299" s="1" t="s">
        <v>17</v>
      </c>
      <c r="U2299" s="1" t="s">
        <v>2121</v>
      </c>
    </row>
    <row r="2300" spans="1:21" x14ac:dyDescent="0.2">
      <c r="A2300" s="88" t="s">
        <v>18026</v>
      </c>
      <c r="B2300" s="88" t="e">
        <f>VLOOKUP(C2300,#REF!,1,0)</f>
        <v>#REF!</v>
      </c>
      <c r="C2300" s="1" t="s">
        <v>7650</v>
      </c>
      <c r="D2300" s="1" t="s">
        <v>7651</v>
      </c>
      <c r="E2300" s="1" t="s">
        <v>9310</v>
      </c>
      <c r="F2300" s="1" t="s">
        <v>8957</v>
      </c>
      <c r="G2300" t="s">
        <v>8959</v>
      </c>
      <c r="H2300" s="1" t="s">
        <v>20712</v>
      </c>
      <c r="I2300" s="1" t="s">
        <v>8998</v>
      </c>
      <c r="J2300" s="2" t="s">
        <v>10492</v>
      </c>
      <c r="K2300" s="1" t="s">
        <v>21645</v>
      </c>
      <c r="L2300" s="1" t="s">
        <v>9076</v>
      </c>
      <c r="M2300" s="1">
        <v>500</v>
      </c>
      <c r="N2300" s="1" t="s">
        <v>8953</v>
      </c>
      <c r="O2300" s="1" t="e">
        <v>#N/A</v>
      </c>
      <c r="P2300" s="1" t="s">
        <v>8955</v>
      </c>
      <c r="Q2300" s="1" t="s">
        <v>8956</v>
      </c>
      <c r="R2300" s="1" t="s">
        <v>8958</v>
      </c>
      <c r="S2300" s="1" t="s">
        <v>20206</v>
      </c>
      <c r="T2300" s="1" t="s">
        <v>7</v>
      </c>
      <c r="U2300" s="1" t="s">
        <v>110</v>
      </c>
    </row>
    <row r="2301" spans="1:21" x14ac:dyDescent="0.2">
      <c r="A2301" s="88" t="s">
        <v>18027</v>
      </c>
      <c r="B2301" s="88" t="e">
        <f>VLOOKUP(C2301,#REF!,1,0)</f>
        <v>#REF!</v>
      </c>
      <c r="C2301" s="1" t="s">
        <v>7655</v>
      </c>
      <c r="D2301" s="1" t="s">
        <v>7656</v>
      </c>
      <c r="E2301" s="1" t="s">
        <v>9310</v>
      </c>
      <c r="F2301" s="1" t="s">
        <v>9060</v>
      </c>
      <c r="G2301" t="s">
        <v>9061</v>
      </c>
      <c r="H2301" s="1" t="s">
        <v>8984</v>
      </c>
      <c r="I2301" s="1" t="s">
        <v>8949</v>
      </c>
      <c r="J2301" s="2" t="s">
        <v>8972</v>
      </c>
      <c r="K2301" s="1" t="s">
        <v>8972</v>
      </c>
      <c r="L2301" s="1" t="s">
        <v>21600</v>
      </c>
      <c r="M2301" s="1">
        <v>93</v>
      </c>
      <c r="N2301" s="1" t="s">
        <v>9059</v>
      </c>
      <c r="O2301" s="1" t="s">
        <v>8989</v>
      </c>
      <c r="P2301" s="1" t="s">
        <v>8955</v>
      </c>
      <c r="Q2301" s="1" t="s">
        <v>8956</v>
      </c>
      <c r="R2301" s="1" t="s">
        <v>8975</v>
      </c>
      <c r="S2301" s="1" t="s">
        <v>7657</v>
      </c>
      <c r="T2301" s="1" t="s">
        <v>11</v>
      </c>
      <c r="U2301" s="1" t="s">
        <v>93</v>
      </c>
    </row>
    <row r="2302" spans="1:21" x14ac:dyDescent="0.2">
      <c r="A2302" s="88" t="s">
        <v>18028</v>
      </c>
      <c r="B2302" s="88" t="e">
        <f>VLOOKUP(C2302,#REF!,1,0)</f>
        <v>#REF!</v>
      </c>
      <c r="C2302" s="1" t="s">
        <v>21087</v>
      </c>
      <c r="D2302" s="1" t="s">
        <v>7658</v>
      </c>
      <c r="E2302" s="1" t="s">
        <v>9310</v>
      </c>
      <c r="F2302" s="1" t="s">
        <v>9060</v>
      </c>
      <c r="G2302" t="s">
        <v>8959</v>
      </c>
      <c r="H2302" s="1" t="s">
        <v>20714</v>
      </c>
      <c r="I2302" s="1" t="s">
        <v>9050</v>
      </c>
      <c r="J2302" s="2" t="s">
        <v>21398</v>
      </c>
      <c r="K2302" s="1" t="s">
        <v>21398</v>
      </c>
      <c r="L2302" s="1" t="s">
        <v>9133</v>
      </c>
      <c r="M2302" s="1">
        <v>3050</v>
      </c>
      <c r="N2302" s="1" t="s">
        <v>8953</v>
      </c>
      <c r="O2302" s="1" t="s">
        <v>8954</v>
      </c>
      <c r="P2302" s="1" t="s">
        <v>8955</v>
      </c>
      <c r="Q2302" s="1" t="s">
        <v>8956</v>
      </c>
      <c r="R2302" s="1" t="s">
        <v>8958</v>
      </c>
      <c r="S2302" s="1" t="s">
        <v>20208</v>
      </c>
      <c r="T2302" s="1" t="s">
        <v>17</v>
      </c>
      <c r="U2302" s="1" t="s">
        <v>46</v>
      </c>
    </row>
    <row r="2303" spans="1:21" x14ac:dyDescent="0.2">
      <c r="A2303" s="88" t="s">
        <v>18029</v>
      </c>
      <c r="B2303" s="88" t="e">
        <f>VLOOKUP(C2303,#REF!,1,0)</f>
        <v>#REF!</v>
      </c>
      <c r="C2303" s="1" t="s">
        <v>7659</v>
      </c>
      <c r="D2303" s="1" t="s">
        <v>7660</v>
      </c>
      <c r="E2303" s="1" t="s">
        <v>9310</v>
      </c>
      <c r="F2303" s="1" t="s">
        <v>8957</v>
      </c>
      <c r="G2303" t="s">
        <v>9061</v>
      </c>
      <c r="H2303" s="1" t="s">
        <v>9252</v>
      </c>
      <c r="I2303" s="1" t="s">
        <v>9253</v>
      </c>
      <c r="J2303" s="2" t="s">
        <v>21462</v>
      </c>
      <c r="K2303" s="1" t="s">
        <v>21462</v>
      </c>
      <c r="L2303" s="1" t="s">
        <v>21600</v>
      </c>
      <c r="M2303" s="1">
        <v>1204</v>
      </c>
      <c r="N2303" s="1" t="s">
        <v>8953</v>
      </c>
      <c r="O2303" s="1" t="s">
        <v>8954</v>
      </c>
      <c r="P2303" s="1" t="s">
        <v>8955</v>
      </c>
      <c r="Q2303" s="1" t="s">
        <v>8956</v>
      </c>
      <c r="R2303" s="1" t="s">
        <v>8958</v>
      </c>
      <c r="S2303" s="1" t="s">
        <v>7661</v>
      </c>
      <c r="T2303" s="1" t="s">
        <v>242</v>
      </c>
      <c r="U2303" s="1" t="s">
        <v>24</v>
      </c>
    </row>
    <row r="2304" spans="1:21" x14ac:dyDescent="0.2">
      <c r="A2304" s="88" t="s">
        <v>18030</v>
      </c>
      <c r="B2304" s="88" t="e">
        <f>VLOOKUP(C2304,#REF!,1,0)</f>
        <v>#REF!</v>
      </c>
      <c r="C2304" s="1" t="s">
        <v>7662</v>
      </c>
      <c r="D2304" s="1" t="s">
        <v>7663</v>
      </c>
      <c r="E2304" s="1" t="s">
        <v>9010</v>
      </c>
      <c r="F2304" s="1" t="s">
        <v>8957</v>
      </c>
      <c r="G2304" t="s">
        <v>8959</v>
      </c>
      <c r="H2304" s="1" t="s">
        <v>9049</v>
      </c>
      <c r="I2304" s="1" t="s">
        <v>9121</v>
      </c>
      <c r="J2304" s="2" t="s">
        <v>21399</v>
      </c>
      <c r="K2304" s="1" t="s">
        <v>21399</v>
      </c>
      <c r="L2304" s="1" t="s">
        <v>21600</v>
      </c>
      <c r="M2304" s="1">
        <v>706</v>
      </c>
      <c r="N2304" s="1" t="s">
        <v>8953</v>
      </c>
      <c r="O2304" s="1" t="s">
        <v>8954</v>
      </c>
      <c r="P2304" s="1" t="s">
        <v>8955</v>
      </c>
      <c r="Q2304" s="1" t="s">
        <v>8956</v>
      </c>
      <c r="R2304" s="1" t="s">
        <v>8958</v>
      </c>
      <c r="S2304" s="1" t="s">
        <v>7664</v>
      </c>
      <c r="T2304" s="1" t="s">
        <v>17</v>
      </c>
      <c r="U2304" s="1" t="s">
        <v>7384</v>
      </c>
    </row>
    <row r="2305" spans="1:21" x14ac:dyDescent="0.2">
      <c r="A2305" s="88" t="s">
        <v>18031</v>
      </c>
      <c r="B2305" s="88" t="e">
        <f>VLOOKUP(C2305,#REF!,1,0)</f>
        <v>#REF!</v>
      </c>
      <c r="C2305" s="1" t="s">
        <v>7665</v>
      </c>
      <c r="D2305" s="1" t="s">
        <v>7666</v>
      </c>
      <c r="E2305" s="1" t="s">
        <v>9310</v>
      </c>
      <c r="F2305" s="1" t="s">
        <v>9060</v>
      </c>
      <c r="G2305" t="s">
        <v>9009</v>
      </c>
      <c r="H2305" s="1" t="s">
        <v>8984</v>
      </c>
      <c r="I2305" s="1" t="s">
        <v>9155</v>
      </c>
      <c r="J2305" s="2" t="s">
        <v>9036</v>
      </c>
      <c r="K2305" s="1" t="s">
        <v>9036</v>
      </c>
      <c r="L2305" s="1" t="s">
        <v>9133</v>
      </c>
      <c r="M2305" s="1">
        <v>1990</v>
      </c>
      <c r="N2305" s="1" t="s">
        <v>8953</v>
      </c>
      <c r="O2305" s="1" t="s">
        <v>8954</v>
      </c>
      <c r="P2305" s="1" t="s">
        <v>8955</v>
      </c>
      <c r="Q2305" s="1" t="s">
        <v>8956</v>
      </c>
      <c r="R2305" s="1" t="s">
        <v>8975</v>
      </c>
      <c r="S2305" s="1" t="s">
        <v>7667</v>
      </c>
      <c r="T2305" s="1" t="s">
        <v>17</v>
      </c>
      <c r="U2305" s="1" t="s">
        <v>1001</v>
      </c>
    </row>
    <row r="2306" spans="1:21" x14ac:dyDescent="0.2">
      <c r="A2306" s="88" t="s">
        <v>18032</v>
      </c>
      <c r="B2306" s="88" t="e">
        <f>VLOOKUP(C2306,#REF!,1,0)</f>
        <v>#REF!</v>
      </c>
      <c r="C2306" s="1" t="s">
        <v>7668</v>
      </c>
      <c r="D2306" s="1" t="s">
        <v>7669</v>
      </c>
      <c r="E2306" s="1" t="s">
        <v>18502</v>
      </c>
      <c r="F2306" s="1" t="s">
        <v>8957</v>
      </c>
      <c r="G2306" t="s">
        <v>9061</v>
      </c>
      <c r="H2306" s="1" t="s">
        <v>21088</v>
      </c>
      <c r="I2306" s="1" t="s">
        <v>8949</v>
      </c>
      <c r="J2306" s="2" t="s">
        <v>20779</v>
      </c>
      <c r="K2306" s="1" t="s">
        <v>9036</v>
      </c>
      <c r="L2306" s="1" t="s">
        <v>8951</v>
      </c>
      <c r="M2306" s="1">
        <v>137</v>
      </c>
      <c r="N2306" s="1" t="s">
        <v>9059</v>
      </c>
      <c r="O2306" s="1" t="s">
        <v>8954</v>
      </c>
      <c r="P2306" s="1" t="s">
        <v>8955</v>
      </c>
      <c r="Q2306" s="1" t="s">
        <v>8956</v>
      </c>
      <c r="R2306" s="1" t="s">
        <v>8975</v>
      </c>
      <c r="S2306" s="1" t="s">
        <v>20209</v>
      </c>
      <c r="T2306" s="1" t="s">
        <v>7</v>
      </c>
      <c r="U2306" s="1" t="s">
        <v>544</v>
      </c>
    </row>
    <row r="2307" spans="1:21" x14ac:dyDescent="0.2">
      <c r="A2307" s="88" t="s">
        <v>18033</v>
      </c>
      <c r="B2307" s="88" t="e">
        <f>VLOOKUP(C2307,#REF!,1,0)</f>
        <v>#REF!</v>
      </c>
      <c r="C2307" s="1" t="s">
        <v>7670</v>
      </c>
      <c r="D2307" s="1" t="s">
        <v>7671</v>
      </c>
      <c r="E2307" s="1" t="s">
        <v>9310</v>
      </c>
      <c r="F2307" s="1" t="s">
        <v>8957</v>
      </c>
      <c r="G2307" t="s">
        <v>8959</v>
      </c>
      <c r="H2307" s="1" t="s">
        <v>9173</v>
      </c>
      <c r="I2307" s="1" t="s">
        <v>9174</v>
      </c>
      <c r="J2307" s="2" t="s">
        <v>21585</v>
      </c>
      <c r="K2307" s="1" t="s">
        <v>21745</v>
      </c>
      <c r="L2307" s="1" t="s">
        <v>9133</v>
      </c>
      <c r="M2307" s="1">
        <v>1426</v>
      </c>
      <c r="N2307" s="1" t="s">
        <v>8953</v>
      </c>
      <c r="O2307" s="1" t="s">
        <v>8954</v>
      </c>
      <c r="P2307" s="1" t="s">
        <v>8955</v>
      </c>
      <c r="Q2307" s="1" t="s">
        <v>8956</v>
      </c>
      <c r="R2307" s="1" t="s">
        <v>8958</v>
      </c>
      <c r="S2307" s="1" t="s">
        <v>20210</v>
      </c>
      <c r="T2307" s="1" t="s">
        <v>7</v>
      </c>
      <c r="U2307" s="1" t="s">
        <v>2024</v>
      </c>
    </row>
    <row r="2308" spans="1:21" x14ac:dyDescent="0.2">
      <c r="A2308" s="88" t="s">
        <v>18034</v>
      </c>
      <c r="B2308" s="88" t="e">
        <f>VLOOKUP(C2308,#REF!,1,0)</f>
        <v>#REF!</v>
      </c>
      <c r="C2308" s="1" t="s">
        <v>7672</v>
      </c>
      <c r="D2308" s="1" t="s">
        <v>7673</v>
      </c>
      <c r="E2308" s="1" t="s">
        <v>9310</v>
      </c>
      <c r="F2308" s="1" t="s">
        <v>8957</v>
      </c>
      <c r="G2308" t="s">
        <v>8959</v>
      </c>
      <c r="H2308" s="1" t="s">
        <v>20712</v>
      </c>
      <c r="I2308" s="1" t="s">
        <v>9155</v>
      </c>
      <c r="J2308" s="2" t="s">
        <v>10629</v>
      </c>
      <c r="K2308" s="1" t="s">
        <v>10629</v>
      </c>
      <c r="L2308" s="1" t="s">
        <v>21600</v>
      </c>
      <c r="M2308" s="1">
        <v>1210</v>
      </c>
      <c r="N2308" s="1" t="s">
        <v>8953</v>
      </c>
      <c r="O2308" s="1" t="s">
        <v>8954</v>
      </c>
      <c r="P2308" s="1" t="s">
        <v>8955</v>
      </c>
      <c r="Q2308" s="1" t="s">
        <v>8956</v>
      </c>
      <c r="R2308" s="1" t="s">
        <v>9103</v>
      </c>
      <c r="S2308" s="1" t="s">
        <v>20211</v>
      </c>
      <c r="T2308" s="1" t="s">
        <v>7</v>
      </c>
      <c r="U2308" s="1" t="s">
        <v>61</v>
      </c>
    </row>
    <row r="2309" spans="1:21" x14ac:dyDescent="0.2">
      <c r="A2309" s="88" t="s">
        <v>18035</v>
      </c>
      <c r="B2309" s="88" t="e">
        <f>VLOOKUP(C2309,#REF!,1,0)</f>
        <v>#REF!</v>
      </c>
      <c r="C2309" s="1" t="s">
        <v>7674</v>
      </c>
      <c r="D2309" s="1" t="s">
        <v>7675</v>
      </c>
      <c r="E2309" s="1" t="s">
        <v>9380</v>
      </c>
      <c r="F2309" s="1" t="s">
        <v>8959</v>
      </c>
      <c r="G2309" t="s">
        <v>8959</v>
      </c>
      <c r="H2309" s="1" t="s">
        <v>9035</v>
      </c>
      <c r="I2309" s="1" t="s">
        <v>9308</v>
      </c>
      <c r="J2309" s="2" t="s">
        <v>21089</v>
      </c>
      <c r="K2309" s="1" t="s">
        <v>12121</v>
      </c>
      <c r="L2309" s="1" t="s">
        <v>8951</v>
      </c>
      <c r="M2309" s="1">
        <v>13975</v>
      </c>
      <c r="N2309" s="1" t="s">
        <v>8953</v>
      </c>
      <c r="O2309" s="1" t="s">
        <v>8954</v>
      </c>
      <c r="P2309" s="1" t="s">
        <v>8955</v>
      </c>
      <c r="Q2309" s="1" t="s">
        <v>8956</v>
      </c>
      <c r="R2309" s="1" t="s">
        <v>9103</v>
      </c>
      <c r="S2309" s="1" t="s">
        <v>20212</v>
      </c>
      <c r="T2309" s="1" t="s">
        <v>7</v>
      </c>
      <c r="U2309" s="1" t="s">
        <v>24</v>
      </c>
    </row>
    <row r="2310" spans="1:21" x14ac:dyDescent="0.2">
      <c r="A2310" s="88" t="s">
        <v>18036</v>
      </c>
      <c r="B2310" s="88" t="e">
        <f>VLOOKUP(C2310,#REF!,1,0)</f>
        <v>#REF!</v>
      </c>
      <c r="C2310" s="1" t="s">
        <v>7676</v>
      </c>
      <c r="D2310" s="1" t="s">
        <v>7677</v>
      </c>
      <c r="E2310" s="1" t="s">
        <v>9310</v>
      </c>
      <c r="F2310" s="1" t="s">
        <v>8959</v>
      </c>
      <c r="G2310" t="s">
        <v>8959</v>
      </c>
      <c r="H2310" s="1" t="s">
        <v>9092</v>
      </c>
      <c r="I2310" s="1" t="s">
        <v>9308</v>
      </c>
      <c r="J2310" s="2" t="s">
        <v>20779</v>
      </c>
      <c r="K2310" s="1" t="s">
        <v>9036</v>
      </c>
      <c r="L2310" s="1" t="s">
        <v>8951</v>
      </c>
      <c r="M2310" s="1">
        <v>526</v>
      </c>
      <c r="N2310" s="1" t="s">
        <v>8953</v>
      </c>
      <c r="O2310" s="1" t="s">
        <v>8989</v>
      </c>
      <c r="P2310" s="1" t="s">
        <v>8955</v>
      </c>
      <c r="Q2310" s="1" t="s">
        <v>8956</v>
      </c>
      <c r="R2310" s="1" t="s">
        <v>8958</v>
      </c>
      <c r="S2310" s="1" t="s">
        <v>20213</v>
      </c>
      <c r="T2310" s="1" t="s">
        <v>17</v>
      </c>
      <c r="U2310" s="1" t="s">
        <v>126</v>
      </c>
    </row>
    <row r="2311" spans="1:21" x14ac:dyDescent="0.2">
      <c r="A2311" s="88" t="s">
        <v>18037</v>
      </c>
      <c r="B2311" s="88" t="e">
        <f>VLOOKUP(C2311,#REF!,1,0)</f>
        <v>#REF!</v>
      </c>
      <c r="C2311" s="1" t="s">
        <v>7678</v>
      </c>
      <c r="D2311" s="1" t="s">
        <v>7679</v>
      </c>
      <c r="E2311" s="1" t="s">
        <v>9310</v>
      </c>
      <c r="F2311" s="1" t="s">
        <v>8959</v>
      </c>
      <c r="G2311" t="s">
        <v>9183</v>
      </c>
      <c r="H2311" s="1" t="s">
        <v>9943</v>
      </c>
      <c r="I2311" s="1" t="s">
        <v>8971</v>
      </c>
      <c r="J2311" s="2" t="s">
        <v>21400</v>
      </c>
      <c r="K2311" s="1" t="s">
        <v>21400</v>
      </c>
      <c r="L2311" s="1" t="s">
        <v>9133</v>
      </c>
      <c r="M2311" s="1">
        <v>564</v>
      </c>
      <c r="N2311" s="1" t="s">
        <v>8953</v>
      </c>
      <c r="O2311" s="1" t="s">
        <v>8989</v>
      </c>
      <c r="P2311" s="1" t="s">
        <v>8955</v>
      </c>
      <c r="Q2311" s="1" t="s">
        <v>8956</v>
      </c>
      <c r="R2311" s="1" t="s">
        <v>8975</v>
      </c>
      <c r="S2311" s="1" t="s">
        <v>7680</v>
      </c>
      <c r="T2311" s="1" t="s">
        <v>17</v>
      </c>
      <c r="U2311" s="1" t="s">
        <v>7681</v>
      </c>
    </row>
    <row r="2312" spans="1:21" x14ac:dyDescent="0.2">
      <c r="A2312" s="95" t="s">
        <v>18038</v>
      </c>
      <c r="B2312" s="88" t="e">
        <f>VLOOKUP(C2312,#REF!,1,0)</f>
        <v>#REF!</v>
      </c>
      <c r="C2312" s="1" t="s">
        <v>7682</v>
      </c>
      <c r="D2312" s="1" t="s">
        <v>7683</v>
      </c>
      <c r="E2312" s="1" t="s">
        <v>9310</v>
      </c>
      <c r="F2312" s="1" t="s">
        <v>8957</v>
      </c>
      <c r="G2312" t="s">
        <v>9061</v>
      </c>
      <c r="H2312" s="1" t="s">
        <v>9252</v>
      </c>
      <c r="I2312" s="1" t="s">
        <v>8959</v>
      </c>
      <c r="J2312" s="2" t="s">
        <v>20723</v>
      </c>
      <c r="K2312" s="1" t="s">
        <v>20723</v>
      </c>
      <c r="L2312" s="1" t="s">
        <v>8987</v>
      </c>
      <c r="M2312" s="1">
        <v>441</v>
      </c>
      <c r="N2312" s="1" t="s">
        <v>9059</v>
      </c>
      <c r="O2312" s="1" t="s">
        <v>21513</v>
      </c>
      <c r="P2312" s="1" t="s">
        <v>8955</v>
      </c>
      <c r="Q2312" s="1" t="s">
        <v>8956</v>
      </c>
      <c r="R2312" s="1" t="s">
        <v>8975</v>
      </c>
      <c r="S2312" s="1" t="s">
        <v>20214</v>
      </c>
      <c r="T2312" s="1" t="s">
        <v>7</v>
      </c>
      <c r="U2312" s="1" t="s">
        <v>378</v>
      </c>
    </row>
    <row r="2313" spans="1:21" x14ac:dyDescent="0.2">
      <c r="A2313" s="88" t="s">
        <v>18040</v>
      </c>
      <c r="B2313" s="88" t="e">
        <f>VLOOKUP(C2313,#REF!,1,0)</f>
        <v>#REF!</v>
      </c>
      <c r="C2313" s="1" t="s">
        <v>7686</v>
      </c>
      <c r="D2313" s="1" t="s">
        <v>7687</v>
      </c>
      <c r="E2313" s="1" t="s">
        <v>9310</v>
      </c>
      <c r="F2313" s="1" t="s">
        <v>8957</v>
      </c>
      <c r="G2313" t="s">
        <v>9009</v>
      </c>
      <c r="H2313" s="1" t="s">
        <v>9035</v>
      </c>
      <c r="I2313" s="1" t="s">
        <v>8998</v>
      </c>
      <c r="J2313" s="2" t="s">
        <v>10492</v>
      </c>
      <c r="K2313" s="1" t="s">
        <v>10492</v>
      </c>
      <c r="L2313" s="1" t="s">
        <v>8987</v>
      </c>
      <c r="M2313" s="1">
        <v>2447</v>
      </c>
      <c r="N2313" s="1" t="s">
        <v>9059</v>
      </c>
      <c r="O2313" s="1" t="s">
        <v>8954</v>
      </c>
      <c r="P2313" s="1" t="s">
        <v>8955</v>
      </c>
      <c r="Q2313" s="1" t="s">
        <v>8956</v>
      </c>
      <c r="R2313" s="1" t="s">
        <v>8975</v>
      </c>
      <c r="S2313" s="1" t="s">
        <v>20216</v>
      </c>
      <c r="T2313" s="1" t="s">
        <v>7</v>
      </c>
      <c r="U2313" s="1" t="s">
        <v>686</v>
      </c>
    </row>
    <row r="2314" spans="1:21" x14ac:dyDescent="0.2">
      <c r="A2314" s="88" t="s">
        <v>18041</v>
      </c>
      <c r="B2314" s="88" t="e">
        <f>VLOOKUP(C2314,#REF!,1,0)</f>
        <v>#REF!</v>
      </c>
      <c r="C2314" s="1" t="s">
        <v>7688</v>
      </c>
      <c r="D2314" s="1" t="s">
        <v>7689</v>
      </c>
      <c r="E2314" s="1" t="s">
        <v>18502</v>
      </c>
      <c r="F2314" s="1" t="s">
        <v>8957</v>
      </c>
      <c r="G2314" t="s">
        <v>8959</v>
      </c>
      <c r="H2314" s="1" t="s">
        <v>8984</v>
      </c>
      <c r="I2314" s="1" t="s">
        <v>8998</v>
      </c>
      <c r="J2314" s="2" t="s">
        <v>20779</v>
      </c>
      <c r="K2314" s="1" t="s">
        <v>9036</v>
      </c>
      <c r="L2314" s="1" t="s">
        <v>9157</v>
      </c>
      <c r="M2314" s="1">
        <v>6923</v>
      </c>
      <c r="N2314" s="1" t="s">
        <v>9059</v>
      </c>
      <c r="O2314" s="1" t="s">
        <v>8989</v>
      </c>
      <c r="P2314" s="1" t="s">
        <v>8955</v>
      </c>
      <c r="Q2314" s="1" t="s">
        <v>8956</v>
      </c>
      <c r="R2314" s="1" t="s">
        <v>8958</v>
      </c>
      <c r="S2314" s="1" t="s">
        <v>20217</v>
      </c>
      <c r="T2314" s="1" t="s">
        <v>7</v>
      </c>
      <c r="U2314" s="1" t="s">
        <v>6293</v>
      </c>
    </row>
    <row r="2315" spans="1:21" x14ac:dyDescent="0.2">
      <c r="A2315" s="88" t="s">
        <v>18043</v>
      </c>
      <c r="B2315" s="88" t="e">
        <f>VLOOKUP(C2315,#REF!,1,0)</f>
        <v>#REF!</v>
      </c>
      <c r="C2315" s="1" t="s">
        <v>7692</v>
      </c>
      <c r="D2315" s="1" t="s">
        <v>7693</v>
      </c>
      <c r="E2315" s="1" t="s">
        <v>18502</v>
      </c>
      <c r="F2315" s="1" t="s">
        <v>8957</v>
      </c>
      <c r="G2315" t="s">
        <v>8959</v>
      </c>
      <c r="H2315" s="1" t="s">
        <v>9092</v>
      </c>
      <c r="I2315" s="1" t="s">
        <v>20848</v>
      </c>
      <c r="J2315" s="2" t="s">
        <v>10492</v>
      </c>
      <c r="K2315" s="1" t="s">
        <v>21645</v>
      </c>
      <c r="L2315" s="1" t="s">
        <v>21600</v>
      </c>
      <c r="M2315" s="1">
        <v>1227</v>
      </c>
      <c r="N2315" s="1" t="s">
        <v>8953</v>
      </c>
      <c r="O2315" s="1" t="s">
        <v>8989</v>
      </c>
      <c r="P2315" s="1" t="s">
        <v>8955</v>
      </c>
      <c r="Q2315" s="1" t="s">
        <v>8956</v>
      </c>
      <c r="R2315" s="1" t="s">
        <v>9103</v>
      </c>
      <c r="S2315" s="1" t="s">
        <v>20218</v>
      </c>
      <c r="T2315" s="1" t="s">
        <v>7</v>
      </c>
      <c r="U2315" s="1" t="s">
        <v>64</v>
      </c>
    </row>
    <row r="2316" spans="1:21" x14ac:dyDescent="0.2">
      <c r="A2316" s="88" t="s">
        <v>18044</v>
      </c>
      <c r="B2316" s="88" t="e">
        <f>VLOOKUP(C2316,#REF!,1,0)</f>
        <v>#REF!</v>
      </c>
      <c r="C2316" s="1" t="s">
        <v>7694</v>
      </c>
      <c r="D2316" s="1" t="s">
        <v>7695</v>
      </c>
      <c r="E2316" s="1" t="s">
        <v>9310</v>
      </c>
      <c r="F2316" s="1" t="s">
        <v>8959</v>
      </c>
      <c r="G2316" t="s">
        <v>9009</v>
      </c>
      <c r="H2316" s="1" t="s">
        <v>8984</v>
      </c>
      <c r="I2316" s="1" t="s">
        <v>9131</v>
      </c>
      <c r="J2316" s="2" t="s">
        <v>21309</v>
      </c>
      <c r="K2316" s="1" t="s">
        <v>21309</v>
      </c>
      <c r="L2316" s="1" t="s">
        <v>8951</v>
      </c>
      <c r="M2316" s="1">
        <v>27725</v>
      </c>
      <c r="N2316" s="1" t="s">
        <v>8953</v>
      </c>
      <c r="O2316" s="1" t="s">
        <v>8954</v>
      </c>
      <c r="P2316" s="1" t="s">
        <v>8955</v>
      </c>
      <c r="Q2316" s="1" t="s">
        <v>8956</v>
      </c>
      <c r="R2316" s="1" t="s">
        <v>8975</v>
      </c>
      <c r="S2316" s="1" t="s">
        <v>7696</v>
      </c>
      <c r="T2316" s="1" t="s">
        <v>11</v>
      </c>
      <c r="U2316" s="1" t="s">
        <v>4369</v>
      </c>
    </row>
    <row r="2317" spans="1:21" x14ac:dyDescent="0.2">
      <c r="A2317" s="88" t="s">
        <v>18045</v>
      </c>
      <c r="B2317" s="88" t="e">
        <f>VLOOKUP(C2317,#REF!,1,0)</f>
        <v>#REF!</v>
      </c>
      <c r="C2317" s="1" t="s">
        <v>7697</v>
      </c>
      <c r="D2317" s="1" t="s">
        <v>7698</v>
      </c>
      <c r="E2317" s="1" t="s">
        <v>9310</v>
      </c>
      <c r="F2317" s="1" t="s">
        <v>8959</v>
      </c>
      <c r="G2317" t="s">
        <v>8959</v>
      </c>
      <c r="H2317" s="1" t="s">
        <v>9605</v>
      </c>
      <c r="I2317" s="1" t="s">
        <v>9101</v>
      </c>
      <c r="J2317" s="2" t="s">
        <v>20841</v>
      </c>
      <c r="K2317" s="1" t="s">
        <v>20724</v>
      </c>
      <c r="L2317" s="1" t="s">
        <v>9292</v>
      </c>
      <c r="M2317" s="1">
        <v>14700</v>
      </c>
      <c r="N2317" s="1" t="s">
        <v>8953</v>
      </c>
      <c r="O2317" s="1" t="s">
        <v>8954</v>
      </c>
      <c r="P2317" s="1" t="s">
        <v>8955</v>
      </c>
      <c r="Q2317" s="1" t="s">
        <v>8956</v>
      </c>
      <c r="R2317" s="1" t="s">
        <v>8958</v>
      </c>
      <c r="S2317" s="1" t="s">
        <v>20219</v>
      </c>
      <c r="T2317" s="1" t="s">
        <v>17</v>
      </c>
      <c r="U2317" s="1" t="s">
        <v>110</v>
      </c>
    </row>
    <row r="2318" spans="1:21" x14ac:dyDescent="0.2">
      <c r="A2318" s="88" t="s">
        <v>18046</v>
      </c>
      <c r="B2318" s="88" t="e">
        <f>VLOOKUP(C2318,#REF!,1,0)</f>
        <v>#REF!</v>
      </c>
      <c r="C2318" s="1" t="s">
        <v>7699</v>
      </c>
      <c r="D2318" s="1" t="s">
        <v>7700</v>
      </c>
      <c r="E2318" s="1" t="s">
        <v>9310</v>
      </c>
      <c r="F2318" s="1" t="s">
        <v>8957</v>
      </c>
      <c r="G2318" t="s">
        <v>9061</v>
      </c>
      <c r="H2318" s="1" t="s">
        <v>8948</v>
      </c>
      <c r="I2318" s="1" t="s">
        <v>8949</v>
      </c>
      <c r="J2318" s="2" t="s">
        <v>20779</v>
      </c>
      <c r="K2318" s="1" t="s">
        <v>9036</v>
      </c>
      <c r="L2318" s="1" t="s">
        <v>9076</v>
      </c>
      <c r="M2318" s="1">
        <v>20</v>
      </c>
      <c r="N2318" s="1" t="s">
        <v>9059</v>
      </c>
      <c r="O2318" s="1" t="s">
        <v>8989</v>
      </c>
      <c r="P2318" s="1" t="s">
        <v>8955</v>
      </c>
      <c r="Q2318" s="1" t="s">
        <v>8956</v>
      </c>
      <c r="R2318" s="1" t="s">
        <v>8958</v>
      </c>
      <c r="S2318" s="1" t="s">
        <v>20220</v>
      </c>
      <c r="T2318" s="1" t="s">
        <v>7</v>
      </c>
      <c r="U2318" s="1" t="s">
        <v>21</v>
      </c>
    </row>
    <row r="2319" spans="1:21" x14ac:dyDescent="0.2">
      <c r="A2319" s="88" t="s">
        <v>18047</v>
      </c>
      <c r="B2319" s="88" t="e">
        <f>VLOOKUP(C2319,#REF!,1,0)</f>
        <v>#REF!</v>
      </c>
      <c r="C2319" s="1" t="s">
        <v>7701</v>
      </c>
      <c r="D2319" s="1" t="s">
        <v>7702</v>
      </c>
      <c r="E2319" s="1" t="s">
        <v>18502</v>
      </c>
      <c r="F2319" s="1" t="s">
        <v>8957</v>
      </c>
      <c r="G2319" t="s">
        <v>9061</v>
      </c>
      <c r="H2319" s="1" t="s">
        <v>9075</v>
      </c>
      <c r="I2319" s="1" t="s">
        <v>8998</v>
      </c>
      <c r="J2319" s="2" t="s">
        <v>10492</v>
      </c>
      <c r="K2319" s="1" t="s">
        <v>10492</v>
      </c>
      <c r="L2319" s="1" t="s">
        <v>21600</v>
      </c>
      <c r="M2319" s="1">
        <v>313</v>
      </c>
      <c r="N2319" s="1" t="s">
        <v>8953</v>
      </c>
      <c r="O2319" s="1" t="s">
        <v>8989</v>
      </c>
      <c r="P2319" s="1" t="s">
        <v>8955</v>
      </c>
      <c r="Q2319" s="1" t="s">
        <v>8956</v>
      </c>
      <c r="R2319" s="1" t="s">
        <v>8958</v>
      </c>
      <c r="S2319" s="1" t="s">
        <v>20221</v>
      </c>
      <c r="T2319" s="1" t="s">
        <v>17</v>
      </c>
      <c r="U2319" s="1" t="s">
        <v>126</v>
      </c>
    </row>
    <row r="2320" spans="1:21" x14ac:dyDescent="0.2">
      <c r="A2320" s="88" t="s">
        <v>18048</v>
      </c>
      <c r="B2320" s="88" t="e">
        <f>VLOOKUP(C2320,#REF!,1,0)</f>
        <v>#REF!</v>
      </c>
      <c r="C2320" s="1" t="s">
        <v>7703</v>
      </c>
      <c r="D2320" s="1" t="s">
        <v>7704</v>
      </c>
      <c r="E2320" s="1" t="s">
        <v>9310</v>
      </c>
      <c r="F2320" s="1" t="s">
        <v>8957</v>
      </c>
      <c r="G2320" t="s">
        <v>8959</v>
      </c>
      <c r="H2320" s="1" t="s">
        <v>9035</v>
      </c>
      <c r="I2320" s="1" t="s">
        <v>8998</v>
      </c>
      <c r="J2320" s="2" t="s">
        <v>10861</v>
      </c>
      <c r="K2320" s="1" t="s">
        <v>10861</v>
      </c>
      <c r="L2320" s="1" t="s">
        <v>9157</v>
      </c>
      <c r="M2320" s="1">
        <v>274</v>
      </c>
      <c r="N2320" s="1" t="s">
        <v>8953</v>
      </c>
      <c r="O2320" s="1" t="s">
        <v>8954</v>
      </c>
      <c r="P2320" s="1" t="s">
        <v>8955</v>
      </c>
      <c r="Q2320" s="1" t="s">
        <v>8956</v>
      </c>
      <c r="R2320" s="1" t="s">
        <v>8975</v>
      </c>
      <c r="S2320" s="1" t="s">
        <v>7705</v>
      </c>
      <c r="T2320" s="1" t="s">
        <v>11</v>
      </c>
      <c r="U2320" s="1" t="s">
        <v>46</v>
      </c>
    </row>
    <row r="2321" spans="1:21" x14ac:dyDescent="0.2">
      <c r="A2321" s="88" t="s">
        <v>18049</v>
      </c>
      <c r="B2321" s="88" t="e">
        <f>VLOOKUP(C2321,#REF!,1,0)</f>
        <v>#REF!</v>
      </c>
      <c r="C2321" s="1" t="s">
        <v>7706</v>
      </c>
      <c r="D2321" s="1" t="s">
        <v>7707</v>
      </c>
      <c r="E2321" s="1" t="s">
        <v>9310</v>
      </c>
      <c r="F2321" s="1" t="s">
        <v>8957</v>
      </c>
      <c r="G2321" t="s">
        <v>9061</v>
      </c>
      <c r="H2321" s="1" t="s">
        <v>9075</v>
      </c>
      <c r="I2321" s="1" t="s">
        <v>8998</v>
      </c>
      <c r="J2321" s="2" t="s">
        <v>20890</v>
      </c>
      <c r="K2321" s="1" t="s">
        <v>21201</v>
      </c>
      <c r="L2321" s="1" t="s">
        <v>9157</v>
      </c>
      <c r="M2321" s="1">
        <v>8917</v>
      </c>
      <c r="N2321" s="1" t="s">
        <v>8953</v>
      </c>
      <c r="O2321" s="1" t="s">
        <v>8954</v>
      </c>
      <c r="P2321" s="1" t="s">
        <v>8955</v>
      </c>
      <c r="Q2321" s="1" t="s">
        <v>8956</v>
      </c>
      <c r="R2321" s="1" t="s">
        <v>8975</v>
      </c>
      <c r="S2321" s="1" t="s">
        <v>20222</v>
      </c>
      <c r="T2321" s="1" t="s">
        <v>17</v>
      </c>
      <c r="U2321" s="1" t="s">
        <v>1780</v>
      </c>
    </row>
    <row r="2322" spans="1:21" x14ac:dyDescent="0.2">
      <c r="A2322" s="88" t="s">
        <v>18050</v>
      </c>
      <c r="B2322" s="88" t="e">
        <f>VLOOKUP(C2322,#REF!,1,0)</f>
        <v>#REF!</v>
      </c>
      <c r="C2322" s="1" t="s">
        <v>7708</v>
      </c>
      <c r="D2322" s="1" t="s">
        <v>7709</v>
      </c>
      <c r="E2322" s="1" t="s">
        <v>9310</v>
      </c>
      <c r="F2322" s="1" t="s">
        <v>8957</v>
      </c>
      <c r="G2322" t="s">
        <v>9061</v>
      </c>
      <c r="H2322" s="1" t="s">
        <v>9035</v>
      </c>
      <c r="I2322" s="1" t="s">
        <v>8998</v>
      </c>
      <c r="J2322" s="2" t="s">
        <v>20723</v>
      </c>
      <c r="K2322" s="1" t="s">
        <v>20723</v>
      </c>
      <c r="L2322" s="1" t="s">
        <v>8951</v>
      </c>
      <c r="M2322" s="1">
        <v>14926</v>
      </c>
      <c r="N2322" s="1" t="s">
        <v>8953</v>
      </c>
      <c r="O2322" s="1" t="s">
        <v>8954</v>
      </c>
      <c r="P2322" s="1" t="s">
        <v>8955</v>
      </c>
      <c r="Q2322" s="1" t="s">
        <v>8956</v>
      </c>
      <c r="R2322" s="1" t="s">
        <v>8975</v>
      </c>
      <c r="S2322" s="1" t="s">
        <v>20223</v>
      </c>
      <c r="T2322" s="1" t="s">
        <v>17</v>
      </c>
      <c r="U2322" s="1" t="s">
        <v>7710</v>
      </c>
    </row>
    <row r="2323" spans="1:21" x14ac:dyDescent="0.2">
      <c r="A2323" s="88" t="s">
        <v>18051</v>
      </c>
      <c r="B2323" s="88" t="e">
        <f>VLOOKUP(C2323,#REF!,1,0)</f>
        <v>#REF!</v>
      </c>
      <c r="C2323" s="1" t="s">
        <v>7718</v>
      </c>
      <c r="D2323" s="1" t="s">
        <v>7719</v>
      </c>
      <c r="E2323" s="1" t="s">
        <v>9310</v>
      </c>
      <c r="F2323" s="1" t="s">
        <v>8957</v>
      </c>
      <c r="G2323" t="s">
        <v>8959</v>
      </c>
      <c r="H2323" s="1" t="s">
        <v>9035</v>
      </c>
      <c r="I2323" s="1" t="s">
        <v>8998</v>
      </c>
      <c r="J2323" s="2" t="s">
        <v>20723</v>
      </c>
      <c r="K2323" s="1" t="s">
        <v>20723</v>
      </c>
      <c r="L2323" s="1" t="s">
        <v>9157</v>
      </c>
      <c r="M2323" s="1">
        <v>5372</v>
      </c>
      <c r="N2323" s="1" t="s">
        <v>9059</v>
      </c>
      <c r="O2323" s="1" t="s">
        <v>8954</v>
      </c>
      <c r="P2323" s="1" t="s">
        <v>8955</v>
      </c>
      <c r="Q2323" s="1" t="s">
        <v>8956</v>
      </c>
      <c r="R2323" s="1" t="s">
        <v>8975</v>
      </c>
      <c r="S2323" s="1" t="s">
        <v>20226</v>
      </c>
      <c r="T2323" s="1" t="s">
        <v>7</v>
      </c>
      <c r="U2323" s="1" t="s">
        <v>7710</v>
      </c>
    </row>
    <row r="2324" spans="1:21" x14ac:dyDescent="0.2">
      <c r="A2324" s="88" t="s">
        <v>18052</v>
      </c>
      <c r="B2324" s="88" t="e">
        <f>VLOOKUP(C2324,#REF!,1,0)</f>
        <v>#REF!</v>
      </c>
      <c r="C2324" s="1" t="s">
        <v>7720</v>
      </c>
      <c r="D2324" s="1" t="s">
        <v>7721</v>
      </c>
      <c r="E2324" s="1" t="s">
        <v>9310</v>
      </c>
      <c r="F2324" s="1" t="s">
        <v>8957</v>
      </c>
      <c r="G2324" t="s">
        <v>9061</v>
      </c>
      <c r="H2324" s="1" t="s">
        <v>9035</v>
      </c>
      <c r="I2324" s="1" t="s">
        <v>8998</v>
      </c>
      <c r="J2324" s="2" t="s">
        <v>9036</v>
      </c>
      <c r="K2324" s="1" t="s">
        <v>9036</v>
      </c>
      <c r="L2324" s="1" t="s">
        <v>21600</v>
      </c>
      <c r="M2324" s="1">
        <v>74</v>
      </c>
      <c r="N2324" s="1" t="s">
        <v>9059</v>
      </c>
      <c r="O2324" s="1" t="s">
        <v>8954</v>
      </c>
      <c r="P2324" s="1" t="s">
        <v>8955</v>
      </c>
      <c r="Q2324" s="1" t="s">
        <v>8956</v>
      </c>
      <c r="R2324" s="1" t="s">
        <v>8975</v>
      </c>
      <c r="S2324" s="1" t="s">
        <v>7722</v>
      </c>
      <c r="T2324" s="1" t="s">
        <v>4</v>
      </c>
      <c r="U2324" s="1" t="s">
        <v>126</v>
      </c>
    </row>
    <row r="2325" spans="1:21" x14ac:dyDescent="0.2">
      <c r="A2325" s="88" t="s">
        <v>18053</v>
      </c>
      <c r="B2325" s="88" t="e">
        <f>VLOOKUP(C2325,#REF!,1,0)</f>
        <v>#REF!</v>
      </c>
      <c r="C2325" s="1" t="s">
        <v>7726</v>
      </c>
      <c r="D2325" s="1" t="s">
        <v>7727</v>
      </c>
      <c r="E2325" s="1" t="s">
        <v>9010</v>
      </c>
      <c r="F2325" s="1" t="s">
        <v>8957</v>
      </c>
      <c r="G2325" t="s">
        <v>9061</v>
      </c>
      <c r="H2325" s="1" t="s">
        <v>8948</v>
      </c>
      <c r="I2325" s="1" t="s">
        <v>8998</v>
      </c>
      <c r="J2325" s="2" t="s">
        <v>15000</v>
      </c>
      <c r="K2325" s="1" t="s">
        <v>15000</v>
      </c>
      <c r="L2325" s="1" t="s">
        <v>21600</v>
      </c>
      <c r="M2325" s="1">
        <v>80</v>
      </c>
      <c r="N2325" s="1" t="s">
        <v>9059</v>
      </c>
      <c r="O2325" s="1" t="s">
        <v>8989</v>
      </c>
      <c r="P2325" s="1" t="s">
        <v>8955</v>
      </c>
      <c r="Q2325" s="1" t="s">
        <v>8956</v>
      </c>
      <c r="R2325" s="1" t="s">
        <v>8975</v>
      </c>
      <c r="S2325" s="1" t="s">
        <v>7728</v>
      </c>
      <c r="T2325" s="1" t="s">
        <v>17</v>
      </c>
      <c r="U2325" s="1" t="s">
        <v>93</v>
      </c>
    </row>
    <row r="2326" spans="1:21" x14ac:dyDescent="0.2">
      <c r="A2326" s="88" t="s">
        <v>18055</v>
      </c>
      <c r="B2326" s="88" t="e">
        <f>VLOOKUP(C2326,#REF!,1,0)</f>
        <v>#REF!</v>
      </c>
      <c r="C2326" s="1" t="s">
        <v>7732</v>
      </c>
      <c r="D2326" s="1" t="s">
        <v>7733</v>
      </c>
      <c r="E2326" s="1" t="s">
        <v>9333</v>
      </c>
      <c r="F2326" s="1" t="s">
        <v>8957</v>
      </c>
      <c r="G2326" t="s">
        <v>8959</v>
      </c>
      <c r="H2326" s="1" t="s">
        <v>8984</v>
      </c>
      <c r="I2326" s="1" t="s">
        <v>8998</v>
      </c>
      <c r="J2326" s="2" t="s">
        <v>18497</v>
      </c>
      <c r="K2326" s="1" t="s">
        <v>18497</v>
      </c>
      <c r="L2326" s="1" t="s">
        <v>9157</v>
      </c>
      <c r="M2326" s="1">
        <v>167</v>
      </c>
      <c r="N2326" s="1" t="s">
        <v>9059</v>
      </c>
      <c r="O2326" s="1" t="s">
        <v>8989</v>
      </c>
      <c r="P2326" s="1" t="s">
        <v>8955</v>
      </c>
      <c r="Q2326" s="1" t="s">
        <v>8956</v>
      </c>
      <c r="R2326" s="1" t="s">
        <v>8975</v>
      </c>
      <c r="S2326" s="1" t="s">
        <v>20228</v>
      </c>
      <c r="T2326" s="1" t="s">
        <v>17</v>
      </c>
      <c r="U2326" s="1" t="s">
        <v>46</v>
      </c>
    </row>
    <row r="2327" spans="1:21" x14ac:dyDescent="0.2">
      <c r="A2327" s="88" t="s">
        <v>18056</v>
      </c>
      <c r="B2327" s="88" t="e">
        <f>VLOOKUP(C2327,#REF!,1,0)</f>
        <v>#REF!</v>
      </c>
      <c r="C2327" s="1" t="s">
        <v>7734</v>
      </c>
      <c r="D2327" s="1" t="s">
        <v>7735</v>
      </c>
      <c r="E2327" s="1" t="s">
        <v>9310</v>
      </c>
      <c r="F2327" s="1" t="s">
        <v>8957</v>
      </c>
      <c r="G2327" t="s">
        <v>8959</v>
      </c>
      <c r="H2327" s="1" t="s">
        <v>9035</v>
      </c>
      <c r="I2327" s="1" t="s">
        <v>9308</v>
      </c>
      <c r="J2327" s="2" t="s">
        <v>21345</v>
      </c>
      <c r="K2327" s="1" t="s">
        <v>21329</v>
      </c>
      <c r="L2327" s="1" t="s">
        <v>21600</v>
      </c>
      <c r="M2327" s="1">
        <v>592</v>
      </c>
      <c r="N2327" s="1" t="s">
        <v>8953</v>
      </c>
      <c r="O2327" s="1" t="s">
        <v>8989</v>
      </c>
      <c r="P2327" s="1" t="s">
        <v>8955</v>
      </c>
      <c r="Q2327" s="1" t="s">
        <v>8956</v>
      </c>
      <c r="R2327" s="1" t="s">
        <v>8975</v>
      </c>
      <c r="S2327" s="1" t="s">
        <v>20229</v>
      </c>
      <c r="T2327" s="1" t="s">
        <v>7</v>
      </c>
      <c r="U2327" s="1" t="s">
        <v>35</v>
      </c>
    </row>
    <row r="2328" spans="1:21" x14ac:dyDescent="0.2">
      <c r="A2328" s="88" t="s">
        <v>18057</v>
      </c>
      <c r="B2328" s="88" t="e">
        <f>VLOOKUP(C2328,#REF!,1,0)</f>
        <v>#REF!</v>
      </c>
      <c r="C2328" s="1" t="s">
        <v>7736</v>
      </c>
      <c r="D2328" s="1" t="s">
        <v>7737</v>
      </c>
      <c r="E2328" s="1" t="s">
        <v>9310</v>
      </c>
      <c r="F2328" s="1" t="s">
        <v>8957</v>
      </c>
      <c r="G2328" t="s">
        <v>9061</v>
      </c>
      <c r="H2328" s="1" t="s">
        <v>9154</v>
      </c>
      <c r="I2328" s="1" t="s">
        <v>9155</v>
      </c>
      <c r="J2328" s="2" t="s">
        <v>20838</v>
      </c>
      <c r="K2328" s="1" t="s">
        <v>20755</v>
      </c>
      <c r="L2328" s="1" t="s">
        <v>8987</v>
      </c>
      <c r="M2328" s="1">
        <v>530</v>
      </c>
      <c r="N2328" s="1" t="s">
        <v>9059</v>
      </c>
      <c r="O2328" s="1" t="s">
        <v>8989</v>
      </c>
      <c r="P2328" s="1" t="s">
        <v>8955</v>
      </c>
      <c r="Q2328" s="1" t="s">
        <v>8956</v>
      </c>
      <c r="R2328" s="1" t="s">
        <v>8975</v>
      </c>
      <c r="S2328" s="1" t="s">
        <v>20230</v>
      </c>
      <c r="T2328" s="1" t="s">
        <v>7</v>
      </c>
      <c r="U2328" s="1" t="s">
        <v>77</v>
      </c>
    </row>
    <row r="2329" spans="1:21" x14ac:dyDescent="0.2">
      <c r="A2329" s="88" t="s">
        <v>18058</v>
      </c>
      <c r="B2329" s="88" t="e">
        <f>VLOOKUP(C2329,#REF!,1,0)</f>
        <v>#REF!</v>
      </c>
      <c r="C2329" s="1" t="s">
        <v>7738</v>
      </c>
      <c r="D2329" s="1" t="s">
        <v>7739</v>
      </c>
      <c r="E2329" s="1" t="s">
        <v>9010</v>
      </c>
      <c r="F2329" s="1" t="s">
        <v>8957</v>
      </c>
      <c r="G2329" t="s">
        <v>8959</v>
      </c>
      <c r="H2329" s="1" t="s">
        <v>8948</v>
      </c>
      <c r="I2329" s="1" t="s">
        <v>8949</v>
      </c>
      <c r="J2329" s="2" t="s">
        <v>9041</v>
      </c>
      <c r="K2329" s="1" t="s">
        <v>9041</v>
      </c>
      <c r="L2329" s="1" t="s">
        <v>9133</v>
      </c>
      <c r="M2329" s="1">
        <v>1635</v>
      </c>
      <c r="N2329" s="1" t="s">
        <v>8953</v>
      </c>
      <c r="O2329" s="1" t="s">
        <v>8989</v>
      </c>
      <c r="P2329" s="1" t="s">
        <v>8955</v>
      </c>
      <c r="Q2329" s="1" t="s">
        <v>8956</v>
      </c>
      <c r="R2329" s="1" t="s">
        <v>8958</v>
      </c>
      <c r="S2329" s="1" t="s">
        <v>7740</v>
      </c>
      <c r="T2329" s="1" t="s">
        <v>11</v>
      </c>
      <c r="U2329" s="1" t="s">
        <v>921</v>
      </c>
    </row>
    <row r="2330" spans="1:21" x14ac:dyDescent="0.2">
      <c r="A2330" s="88" t="s">
        <v>18059</v>
      </c>
      <c r="B2330" s="88" t="e">
        <f>VLOOKUP(C2330,#REF!,1,0)</f>
        <v>#REF!</v>
      </c>
      <c r="C2330" s="1" t="s">
        <v>7741</v>
      </c>
      <c r="D2330" s="1" t="s">
        <v>7742</v>
      </c>
      <c r="E2330" s="1" t="s">
        <v>9310</v>
      </c>
      <c r="F2330" s="1" t="s">
        <v>8957</v>
      </c>
      <c r="G2330" t="s">
        <v>9061</v>
      </c>
      <c r="H2330" s="1" t="s">
        <v>9035</v>
      </c>
      <c r="I2330" s="1" t="s">
        <v>8998</v>
      </c>
      <c r="J2330" s="2" t="s">
        <v>21259</v>
      </c>
      <c r="K2330" s="1" t="s">
        <v>21883</v>
      </c>
      <c r="L2330" s="1" t="s">
        <v>8987</v>
      </c>
      <c r="M2330" s="1">
        <v>630</v>
      </c>
      <c r="N2330" s="1" t="s">
        <v>9059</v>
      </c>
      <c r="O2330" s="1" t="s">
        <v>8954</v>
      </c>
      <c r="P2330" s="1" t="s">
        <v>8955</v>
      </c>
      <c r="Q2330" s="1" t="s">
        <v>8956</v>
      </c>
      <c r="R2330" s="1" t="s">
        <v>8975</v>
      </c>
      <c r="S2330" s="1" t="s">
        <v>20231</v>
      </c>
      <c r="T2330" s="1" t="s">
        <v>7</v>
      </c>
      <c r="U2330" s="1" t="s">
        <v>61</v>
      </c>
    </row>
    <row r="2331" spans="1:21" x14ac:dyDescent="0.2">
      <c r="A2331" s="88" t="s">
        <v>18060</v>
      </c>
      <c r="B2331" s="88" t="e">
        <f>VLOOKUP(C2331,#REF!,1,0)</f>
        <v>#REF!</v>
      </c>
      <c r="C2331" s="1" t="s">
        <v>7747</v>
      </c>
      <c r="D2331" s="1" t="s">
        <v>7748</v>
      </c>
      <c r="E2331" s="1" t="s">
        <v>9310</v>
      </c>
      <c r="F2331" s="1" t="s">
        <v>8957</v>
      </c>
      <c r="G2331" t="s">
        <v>9061</v>
      </c>
      <c r="H2331" s="1" t="s">
        <v>9075</v>
      </c>
      <c r="I2331" s="1" t="s">
        <v>8949</v>
      </c>
      <c r="J2331" s="2" t="s">
        <v>9036</v>
      </c>
      <c r="K2331" s="1" t="s">
        <v>9036</v>
      </c>
      <c r="L2331" s="1" t="s">
        <v>8987</v>
      </c>
      <c r="M2331" s="1">
        <v>2602</v>
      </c>
      <c r="N2331" s="1" t="s">
        <v>8953</v>
      </c>
      <c r="O2331" s="1" t="s">
        <v>8989</v>
      </c>
      <c r="P2331" s="1" t="s">
        <v>8955</v>
      </c>
      <c r="Q2331" s="1" t="s">
        <v>8956</v>
      </c>
      <c r="R2331" s="1" t="s">
        <v>8975</v>
      </c>
      <c r="S2331" s="1" t="s">
        <v>7749</v>
      </c>
      <c r="T2331" s="1" t="s">
        <v>4</v>
      </c>
      <c r="U2331" s="1" t="s">
        <v>24</v>
      </c>
    </row>
    <row r="2332" spans="1:21" x14ac:dyDescent="0.2">
      <c r="A2332" s="88" t="s">
        <v>18061</v>
      </c>
      <c r="B2332" s="88" t="e">
        <f>VLOOKUP(C2332,#REF!,1,0)</f>
        <v>#REF!</v>
      </c>
      <c r="C2332" s="1" t="s">
        <v>7750</v>
      </c>
      <c r="D2332" s="1" t="s">
        <v>7751</v>
      </c>
      <c r="E2332" s="1" t="s">
        <v>9310</v>
      </c>
      <c r="F2332" s="1" t="s">
        <v>8959</v>
      </c>
      <c r="G2332" t="s">
        <v>9061</v>
      </c>
      <c r="H2332" s="1" t="s">
        <v>9035</v>
      </c>
      <c r="I2332" s="1" t="s">
        <v>9308</v>
      </c>
      <c r="J2332" s="2" t="s">
        <v>18489</v>
      </c>
      <c r="K2332" s="1" t="s">
        <v>21673</v>
      </c>
      <c r="L2332" s="1" t="s">
        <v>20867</v>
      </c>
      <c r="M2332" s="1">
        <v>1881</v>
      </c>
      <c r="N2332" s="1" t="s">
        <v>8953</v>
      </c>
      <c r="O2332" s="1" t="s">
        <v>8989</v>
      </c>
      <c r="P2332" s="1" t="s">
        <v>8955</v>
      </c>
      <c r="Q2332" s="1" t="s">
        <v>8956</v>
      </c>
      <c r="R2332" s="1" t="s">
        <v>8958</v>
      </c>
      <c r="S2332" s="1" t="s">
        <v>20232</v>
      </c>
      <c r="T2332" s="1" t="s">
        <v>7</v>
      </c>
      <c r="U2332" s="1" t="s">
        <v>7752</v>
      </c>
    </row>
    <row r="2333" spans="1:21" x14ac:dyDescent="0.2">
      <c r="A2333" s="88" t="s">
        <v>18062</v>
      </c>
      <c r="B2333" s="88" t="e">
        <f>VLOOKUP(C2333,#REF!,1,0)</f>
        <v>#REF!</v>
      </c>
      <c r="C2333" s="1" t="s">
        <v>7753</v>
      </c>
      <c r="D2333" s="1" t="s">
        <v>7754</v>
      </c>
      <c r="E2333" s="1" t="s">
        <v>9310</v>
      </c>
      <c r="F2333" s="1" t="s">
        <v>8957</v>
      </c>
      <c r="G2333" t="s">
        <v>8959</v>
      </c>
      <c r="H2333" s="1" t="s">
        <v>9035</v>
      </c>
      <c r="I2333" s="1" t="s">
        <v>8998</v>
      </c>
      <c r="J2333" s="2" t="s">
        <v>20779</v>
      </c>
      <c r="K2333" s="1" t="s">
        <v>9036</v>
      </c>
      <c r="L2333" s="1" t="s">
        <v>8987</v>
      </c>
      <c r="M2333" s="1">
        <v>111</v>
      </c>
      <c r="N2333" s="1" t="s">
        <v>9059</v>
      </c>
      <c r="O2333" s="1" t="s">
        <v>8989</v>
      </c>
      <c r="P2333" s="1" t="s">
        <v>8955</v>
      </c>
      <c r="Q2333" s="1" t="s">
        <v>8956</v>
      </c>
      <c r="R2333" s="1" t="s">
        <v>8975</v>
      </c>
      <c r="S2333" s="1" t="s">
        <v>20233</v>
      </c>
      <c r="T2333" s="1" t="s">
        <v>7</v>
      </c>
      <c r="U2333" s="1" t="s">
        <v>831</v>
      </c>
    </row>
    <row r="2334" spans="1:21" x14ac:dyDescent="0.2">
      <c r="A2334" s="88" t="s">
        <v>18063</v>
      </c>
      <c r="B2334" s="88" t="e">
        <f>VLOOKUP(C2334,#REF!,1,0)</f>
        <v>#REF!</v>
      </c>
      <c r="C2334" s="1" t="s">
        <v>7755</v>
      </c>
      <c r="D2334" s="1" t="s">
        <v>7756</v>
      </c>
      <c r="E2334" s="1" t="s">
        <v>9310</v>
      </c>
      <c r="F2334" s="1" t="s">
        <v>8957</v>
      </c>
      <c r="G2334" t="s">
        <v>9009</v>
      </c>
      <c r="H2334" s="1" t="s">
        <v>9605</v>
      </c>
      <c r="I2334" s="1" t="s">
        <v>9155</v>
      </c>
      <c r="J2334" s="2" t="s">
        <v>9036</v>
      </c>
      <c r="K2334" s="1" t="s">
        <v>9036</v>
      </c>
      <c r="L2334" s="1" t="s">
        <v>9292</v>
      </c>
      <c r="M2334" s="1">
        <v>232252</v>
      </c>
      <c r="N2334" s="1" t="s">
        <v>8953</v>
      </c>
      <c r="O2334" s="1" t="s">
        <v>8954</v>
      </c>
      <c r="P2334" s="1" t="s">
        <v>8955</v>
      </c>
      <c r="Q2334" s="1" t="s">
        <v>8956</v>
      </c>
      <c r="R2334" s="1" t="s">
        <v>8958</v>
      </c>
      <c r="S2334" s="1" t="s">
        <v>7757</v>
      </c>
      <c r="T2334" s="1" t="s">
        <v>17</v>
      </c>
      <c r="U2334" s="1" t="s">
        <v>2248</v>
      </c>
    </row>
    <row r="2335" spans="1:21" x14ac:dyDescent="0.2">
      <c r="A2335" s="88" t="s">
        <v>18064</v>
      </c>
      <c r="B2335" s="88" t="e">
        <f>VLOOKUP(C2335,#REF!,1,0)</f>
        <v>#REF!</v>
      </c>
      <c r="C2335" s="1" t="s">
        <v>7758</v>
      </c>
      <c r="D2335" s="1" t="s">
        <v>7759</v>
      </c>
      <c r="E2335" s="1" t="s">
        <v>9310</v>
      </c>
      <c r="F2335" s="1" t="s">
        <v>8957</v>
      </c>
      <c r="G2335" t="s">
        <v>9061</v>
      </c>
      <c r="H2335" s="1" t="s">
        <v>9075</v>
      </c>
      <c r="I2335" s="1" t="s">
        <v>8971</v>
      </c>
      <c r="J2335" s="2" t="s">
        <v>21401</v>
      </c>
      <c r="K2335" s="1" t="s">
        <v>21746</v>
      </c>
      <c r="L2335" s="1" t="s">
        <v>21600</v>
      </c>
      <c r="M2335" s="1">
        <v>40</v>
      </c>
      <c r="N2335" s="1" t="s">
        <v>9059</v>
      </c>
      <c r="O2335" s="1" t="s">
        <v>8989</v>
      </c>
      <c r="P2335" s="1" t="s">
        <v>8955</v>
      </c>
      <c r="Q2335" s="1" t="s">
        <v>8956</v>
      </c>
      <c r="R2335" s="1" t="s">
        <v>8975</v>
      </c>
      <c r="S2335" s="1" t="s">
        <v>20234</v>
      </c>
      <c r="T2335" s="1" t="s">
        <v>17</v>
      </c>
      <c r="U2335" s="1" t="s">
        <v>61</v>
      </c>
    </row>
    <row r="2336" spans="1:21" x14ac:dyDescent="0.2">
      <c r="A2336" s="88" t="s">
        <v>18065</v>
      </c>
      <c r="B2336" s="88" t="e">
        <f>VLOOKUP(C2336,#REF!,1,0)</f>
        <v>#REF!</v>
      </c>
      <c r="C2336" s="1" t="s">
        <v>7760</v>
      </c>
      <c r="D2336" s="1" t="s">
        <v>7761</v>
      </c>
      <c r="E2336" s="1" t="s">
        <v>9310</v>
      </c>
      <c r="F2336" s="1" t="s">
        <v>8957</v>
      </c>
      <c r="G2336" t="s">
        <v>8959</v>
      </c>
      <c r="H2336" s="1" t="s">
        <v>9075</v>
      </c>
      <c r="I2336" s="1" t="s">
        <v>9101</v>
      </c>
      <c r="J2336" s="2" t="s">
        <v>8972</v>
      </c>
      <c r="K2336" s="1" t="s">
        <v>21768</v>
      </c>
      <c r="L2336" s="1" t="s">
        <v>8951</v>
      </c>
      <c r="M2336" s="1">
        <v>3500</v>
      </c>
      <c r="N2336" s="1" t="s">
        <v>8953</v>
      </c>
      <c r="O2336" s="1" t="s">
        <v>8954</v>
      </c>
      <c r="P2336" s="1" t="s">
        <v>8955</v>
      </c>
      <c r="Q2336" s="1" t="s">
        <v>8956</v>
      </c>
      <c r="R2336" s="1" t="s">
        <v>8958</v>
      </c>
      <c r="S2336" s="1" t="s">
        <v>7762</v>
      </c>
      <c r="T2336" s="1" t="s">
        <v>17</v>
      </c>
      <c r="U2336" s="1" t="s">
        <v>7763</v>
      </c>
    </row>
    <row r="2337" spans="1:21" x14ac:dyDescent="0.2">
      <c r="A2337" s="88" t="s">
        <v>18066</v>
      </c>
      <c r="B2337" s="88" t="e">
        <f>VLOOKUP(C2337,#REF!,1,0)</f>
        <v>#REF!</v>
      </c>
      <c r="C2337" s="1" t="s">
        <v>7764</v>
      </c>
      <c r="D2337" s="1" t="s">
        <v>7765</v>
      </c>
      <c r="E2337" s="1" t="s">
        <v>9010</v>
      </c>
      <c r="F2337" s="1" t="s">
        <v>8957</v>
      </c>
      <c r="G2337" t="s">
        <v>8959</v>
      </c>
      <c r="H2337" s="1" t="s">
        <v>9075</v>
      </c>
      <c r="I2337" s="1" t="s">
        <v>8998</v>
      </c>
      <c r="J2337" s="2" t="s">
        <v>9036</v>
      </c>
      <c r="K2337" s="1" t="s">
        <v>9036</v>
      </c>
      <c r="L2337" s="1" t="s">
        <v>21600</v>
      </c>
      <c r="M2337" s="1">
        <v>2997</v>
      </c>
      <c r="N2337" s="1" t="s">
        <v>8953</v>
      </c>
      <c r="O2337" s="1" t="s">
        <v>8989</v>
      </c>
      <c r="P2337" s="1" t="s">
        <v>8955</v>
      </c>
      <c r="Q2337" s="1" t="s">
        <v>8956</v>
      </c>
      <c r="R2337" s="1" t="s">
        <v>8958</v>
      </c>
      <c r="S2337" s="1" t="s">
        <v>7766</v>
      </c>
      <c r="T2337" s="1" t="s">
        <v>4</v>
      </c>
      <c r="U2337" s="1" t="s">
        <v>184</v>
      </c>
    </row>
    <row r="2338" spans="1:21" x14ac:dyDescent="0.2">
      <c r="A2338" s="88" t="s">
        <v>18068</v>
      </c>
      <c r="B2338" s="88" t="e">
        <f>VLOOKUP(C2338,#REF!,1,0)</f>
        <v>#REF!</v>
      </c>
      <c r="C2338" s="1" t="s">
        <v>7770</v>
      </c>
      <c r="D2338" s="1" t="s">
        <v>7771</v>
      </c>
      <c r="E2338" s="1" t="s">
        <v>9010</v>
      </c>
      <c r="F2338" s="1" t="s">
        <v>8957</v>
      </c>
      <c r="G2338" t="s">
        <v>9061</v>
      </c>
      <c r="H2338" s="1" t="s">
        <v>9100</v>
      </c>
      <c r="I2338" s="1" t="s">
        <v>8949</v>
      </c>
      <c r="J2338" s="2" t="s">
        <v>10953</v>
      </c>
      <c r="K2338" s="1" t="s">
        <v>10953</v>
      </c>
      <c r="L2338" s="1" t="s">
        <v>9157</v>
      </c>
      <c r="M2338" s="1" t="s">
        <v>9479</v>
      </c>
      <c r="N2338" s="1" t="s">
        <v>8953</v>
      </c>
      <c r="O2338" s="1" t="s">
        <v>8989</v>
      </c>
      <c r="P2338" s="1" t="s">
        <v>8955</v>
      </c>
      <c r="Q2338" s="1" t="s">
        <v>8956</v>
      </c>
      <c r="R2338" s="1" t="s">
        <v>9103</v>
      </c>
      <c r="S2338" s="1" t="s">
        <v>7772</v>
      </c>
      <c r="T2338" s="1" t="s">
        <v>11</v>
      </c>
      <c r="U2338" s="1" t="s">
        <v>46</v>
      </c>
    </row>
    <row r="2339" spans="1:21" x14ac:dyDescent="0.2">
      <c r="A2339" s="88" t="s">
        <v>18069</v>
      </c>
      <c r="B2339" s="88" t="e">
        <f>VLOOKUP(C2339,#REF!,1,0)</f>
        <v>#REF!</v>
      </c>
      <c r="C2339" s="1" t="s">
        <v>7773</v>
      </c>
      <c r="D2339" s="1" t="s">
        <v>7774</v>
      </c>
      <c r="E2339" s="1" t="s">
        <v>9010</v>
      </c>
      <c r="F2339" s="1" t="s">
        <v>8957</v>
      </c>
      <c r="G2339" t="s">
        <v>9061</v>
      </c>
      <c r="H2339" s="1" t="s">
        <v>9100</v>
      </c>
      <c r="I2339" s="1" t="s">
        <v>8949</v>
      </c>
      <c r="J2339" s="2" t="s">
        <v>12408</v>
      </c>
      <c r="K2339" s="1" t="s">
        <v>12408</v>
      </c>
      <c r="L2339" s="1" t="s">
        <v>9133</v>
      </c>
      <c r="M2339" s="1" t="s">
        <v>9479</v>
      </c>
      <c r="N2339" s="1" t="s">
        <v>8953</v>
      </c>
      <c r="O2339" s="1" t="s">
        <v>8989</v>
      </c>
      <c r="P2339" s="1" t="s">
        <v>8955</v>
      </c>
      <c r="Q2339" s="1" t="s">
        <v>8956</v>
      </c>
      <c r="R2339" s="1" t="s">
        <v>9103</v>
      </c>
      <c r="S2339" s="1" t="s">
        <v>7772</v>
      </c>
      <c r="T2339" s="1" t="s">
        <v>11</v>
      </c>
      <c r="U2339" s="1" t="s">
        <v>392</v>
      </c>
    </row>
    <row r="2340" spans="1:21" x14ac:dyDescent="0.2">
      <c r="A2340" s="88" t="s">
        <v>18070</v>
      </c>
      <c r="B2340" s="88" t="e">
        <f>VLOOKUP(C2340,#REF!,1,0)</f>
        <v>#REF!</v>
      </c>
      <c r="C2340" s="1" t="s">
        <v>7775</v>
      </c>
      <c r="D2340" s="1" t="s">
        <v>7776</v>
      </c>
      <c r="E2340" s="1" t="s">
        <v>9310</v>
      </c>
      <c r="F2340" s="1" t="s">
        <v>8957</v>
      </c>
      <c r="G2340" t="s">
        <v>9061</v>
      </c>
      <c r="H2340" s="1" t="s">
        <v>9035</v>
      </c>
      <c r="I2340" s="1" t="s">
        <v>8998</v>
      </c>
      <c r="J2340" s="2" t="s">
        <v>21261</v>
      </c>
      <c r="K2340" s="1" t="s">
        <v>21261</v>
      </c>
      <c r="L2340" s="1" t="s">
        <v>9133</v>
      </c>
      <c r="M2340" s="1">
        <v>11205</v>
      </c>
      <c r="N2340" s="1" t="s">
        <v>8953</v>
      </c>
      <c r="O2340" s="1" t="s">
        <v>8989</v>
      </c>
      <c r="P2340" s="1" t="s">
        <v>8955</v>
      </c>
      <c r="Q2340" s="1" t="s">
        <v>8956</v>
      </c>
      <c r="R2340" s="1" t="s">
        <v>8975</v>
      </c>
      <c r="S2340" s="1" t="s">
        <v>7777</v>
      </c>
      <c r="T2340" s="1" t="s">
        <v>17</v>
      </c>
      <c r="U2340" s="1" t="s">
        <v>1421</v>
      </c>
    </row>
    <row r="2341" spans="1:21" x14ac:dyDescent="0.2">
      <c r="A2341" s="88" t="s">
        <v>18071</v>
      </c>
      <c r="B2341" s="88" t="e">
        <f>VLOOKUP(C2341,#REF!,1,0)</f>
        <v>#REF!</v>
      </c>
      <c r="C2341" s="1" t="s">
        <v>7778</v>
      </c>
      <c r="D2341" s="1" t="s">
        <v>7779</v>
      </c>
      <c r="E2341" s="1" t="s">
        <v>9310</v>
      </c>
      <c r="F2341" s="1" t="s">
        <v>8957</v>
      </c>
      <c r="G2341" t="s">
        <v>8959</v>
      </c>
      <c r="H2341" s="1" t="s">
        <v>9100</v>
      </c>
      <c r="I2341" s="1" t="s">
        <v>8949</v>
      </c>
      <c r="J2341" s="2" t="s">
        <v>9036</v>
      </c>
      <c r="K2341" s="1" t="s">
        <v>9036</v>
      </c>
      <c r="L2341" s="1" t="s">
        <v>8987</v>
      </c>
      <c r="M2341" s="1">
        <v>210</v>
      </c>
      <c r="N2341" s="1" t="s">
        <v>8953</v>
      </c>
      <c r="O2341" s="1" t="s">
        <v>8989</v>
      </c>
      <c r="P2341" s="1" t="s">
        <v>8955</v>
      </c>
      <c r="Q2341" s="1" t="s">
        <v>8956</v>
      </c>
      <c r="R2341" s="1" t="s">
        <v>8958</v>
      </c>
      <c r="S2341" s="1" t="s">
        <v>7780</v>
      </c>
      <c r="T2341" s="1" t="s">
        <v>11</v>
      </c>
      <c r="U2341" s="1" t="s">
        <v>46</v>
      </c>
    </row>
    <row r="2342" spans="1:21" x14ac:dyDescent="0.2">
      <c r="A2342" s="88" t="s">
        <v>18072</v>
      </c>
      <c r="B2342" s="88" t="e">
        <f>VLOOKUP(C2342,#REF!,1,0)</f>
        <v>#REF!</v>
      </c>
      <c r="C2342" s="1" t="s">
        <v>7781</v>
      </c>
      <c r="D2342" s="1" t="s">
        <v>7782</v>
      </c>
      <c r="E2342" s="1" t="s">
        <v>9310</v>
      </c>
      <c r="F2342" s="1" t="s">
        <v>8957</v>
      </c>
      <c r="G2342" t="s">
        <v>8959</v>
      </c>
      <c r="H2342" s="1" t="s">
        <v>8948</v>
      </c>
      <c r="I2342" s="1" t="s">
        <v>9725</v>
      </c>
      <c r="J2342" s="2" t="s">
        <v>9051</v>
      </c>
      <c r="K2342" s="1" t="s">
        <v>9051</v>
      </c>
      <c r="L2342" s="1" t="s">
        <v>9076</v>
      </c>
      <c r="M2342" s="1">
        <v>1875</v>
      </c>
      <c r="N2342" s="1" t="s">
        <v>8953</v>
      </c>
      <c r="O2342" s="1" t="s">
        <v>8989</v>
      </c>
      <c r="P2342" s="1" t="s">
        <v>8955</v>
      </c>
      <c r="Q2342" s="1" t="s">
        <v>8956</v>
      </c>
      <c r="R2342" s="1" t="s">
        <v>8975</v>
      </c>
      <c r="S2342" s="1" t="s">
        <v>7783</v>
      </c>
      <c r="T2342" s="1" t="s">
        <v>11</v>
      </c>
      <c r="U2342" s="1" t="s">
        <v>392</v>
      </c>
    </row>
    <row r="2343" spans="1:21" x14ac:dyDescent="0.2">
      <c r="A2343" s="88" t="s">
        <v>18074</v>
      </c>
      <c r="B2343" s="88" t="e">
        <f>VLOOKUP(C2343,#REF!,1,0)</f>
        <v>#REF!</v>
      </c>
      <c r="C2343" s="1" t="s">
        <v>7786</v>
      </c>
      <c r="D2343" s="1" t="s">
        <v>7787</v>
      </c>
      <c r="E2343" s="1" t="s">
        <v>9010</v>
      </c>
      <c r="F2343" s="1" t="s">
        <v>8957</v>
      </c>
      <c r="G2343" t="s">
        <v>8959</v>
      </c>
      <c r="H2343" s="1" t="s">
        <v>9035</v>
      </c>
      <c r="I2343" s="1" t="s">
        <v>8998</v>
      </c>
      <c r="J2343" s="2" t="s">
        <v>9300</v>
      </c>
      <c r="K2343" s="1" t="s">
        <v>9300</v>
      </c>
      <c r="L2343" s="1" t="s">
        <v>9076</v>
      </c>
      <c r="M2343" s="1">
        <v>542</v>
      </c>
      <c r="N2343" s="1" t="s">
        <v>9059</v>
      </c>
      <c r="O2343" s="1" t="s">
        <v>8954</v>
      </c>
      <c r="P2343" s="1" t="s">
        <v>8955</v>
      </c>
      <c r="Q2343" s="1" t="s">
        <v>8956</v>
      </c>
      <c r="R2343" s="1" t="s">
        <v>9103</v>
      </c>
      <c r="S2343" s="1" t="s">
        <v>7788</v>
      </c>
      <c r="T2343" s="1" t="s">
        <v>7</v>
      </c>
      <c r="U2343" s="1" t="s">
        <v>7789</v>
      </c>
    </row>
    <row r="2344" spans="1:21" x14ac:dyDescent="0.2">
      <c r="A2344" s="88" t="s">
        <v>18075</v>
      </c>
      <c r="B2344" s="88" t="e">
        <f>VLOOKUP(C2344,#REF!,1,0)</f>
        <v>#REF!</v>
      </c>
      <c r="C2344" s="1" t="s">
        <v>7790</v>
      </c>
      <c r="D2344" s="1" t="s">
        <v>7791</v>
      </c>
      <c r="E2344" s="1" t="s">
        <v>9310</v>
      </c>
      <c r="F2344" s="1" t="s">
        <v>8957</v>
      </c>
      <c r="G2344" t="s">
        <v>8959</v>
      </c>
      <c r="H2344" s="1" t="s">
        <v>9035</v>
      </c>
      <c r="I2344" s="1" t="s">
        <v>8998</v>
      </c>
      <c r="J2344" s="2" t="s">
        <v>21402</v>
      </c>
      <c r="K2344" s="1" t="s">
        <v>21747</v>
      </c>
      <c r="L2344" s="1" t="s">
        <v>21097</v>
      </c>
      <c r="M2344" s="1">
        <v>48900</v>
      </c>
      <c r="N2344" s="1" t="s">
        <v>8953</v>
      </c>
      <c r="O2344" s="1" t="s">
        <v>8954</v>
      </c>
      <c r="P2344" s="1" t="s">
        <v>8955</v>
      </c>
      <c r="Q2344" s="1" t="s">
        <v>8956</v>
      </c>
      <c r="R2344" s="1" t="s">
        <v>8975</v>
      </c>
      <c r="S2344" s="1" t="s">
        <v>20237</v>
      </c>
      <c r="T2344" s="1" t="s">
        <v>7</v>
      </c>
      <c r="U2344" s="1" t="s">
        <v>4363</v>
      </c>
    </row>
    <row r="2345" spans="1:21" x14ac:dyDescent="0.2">
      <c r="A2345" s="88" t="s">
        <v>18076</v>
      </c>
      <c r="B2345" s="88" t="e">
        <f>VLOOKUP(C2345,#REF!,1,0)</f>
        <v>#REF!</v>
      </c>
      <c r="C2345" s="1" t="s">
        <v>7792</v>
      </c>
      <c r="D2345" s="1" t="s">
        <v>7793</v>
      </c>
      <c r="E2345" s="1" t="s">
        <v>9310</v>
      </c>
      <c r="F2345" s="1" t="s">
        <v>8957</v>
      </c>
      <c r="G2345" t="s">
        <v>8959</v>
      </c>
      <c r="H2345" s="1" t="s">
        <v>9100</v>
      </c>
      <c r="I2345" s="1" t="s">
        <v>9155</v>
      </c>
      <c r="J2345" s="2" t="s">
        <v>21449</v>
      </c>
      <c r="K2345" s="1" t="s">
        <v>10629</v>
      </c>
      <c r="L2345" s="1" t="s">
        <v>9076</v>
      </c>
      <c r="M2345" s="1">
        <v>36</v>
      </c>
      <c r="N2345" s="1" t="s">
        <v>9059</v>
      </c>
      <c r="O2345" s="1" t="s">
        <v>8954</v>
      </c>
      <c r="P2345" s="1" t="s">
        <v>8955</v>
      </c>
      <c r="Q2345" s="1" t="s">
        <v>8956</v>
      </c>
      <c r="R2345" s="1" t="s">
        <v>8975</v>
      </c>
      <c r="S2345" s="1" t="s">
        <v>20238</v>
      </c>
      <c r="T2345" s="1" t="s">
        <v>17</v>
      </c>
      <c r="U2345" s="1" t="s">
        <v>61</v>
      </c>
    </row>
    <row r="2346" spans="1:21" x14ac:dyDescent="0.2">
      <c r="A2346" s="88" t="s">
        <v>18077</v>
      </c>
      <c r="B2346" s="88" t="e">
        <f>VLOOKUP(C2346,#REF!,1,0)</f>
        <v>#REF!</v>
      </c>
      <c r="C2346" s="1" t="s">
        <v>7794</v>
      </c>
      <c r="D2346" s="1" t="s">
        <v>7795</v>
      </c>
      <c r="E2346" s="1" t="s">
        <v>9310</v>
      </c>
      <c r="F2346" s="1" t="s">
        <v>8957</v>
      </c>
      <c r="G2346" t="s">
        <v>9061</v>
      </c>
      <c r="H2346" s="1" t="s">
        <v>9035</v>
      </c>
      <c r="I2346" s="1" t="s">
        <v>8998</v>
      </c>
      <c r="J2346" s="2" t="s">
        <v>20838</v>
      </c>
      <c r="K2346" s="1" t="s">
        <v>20755</v>
      </c>
      <c r="L2346" s="1" t="s">
        <v>8987</v>
      </c>
      <c r="M2346" s="1">
        <v>484</v>
      </c>
      <c r="N2346" s="1" t="s">
        <v>9059</v>
      </c>
      <c r="O2346" s="1" t="s">
        <v>8954</v>
      </c>
      <c r="P2346" s="1" t="s">
        <v>8955</v>
      </c>
      <c r="Q2346" s="1" t="s">
        <v>8956</v>
      </c>
      <c r="R2346" s="1" t="s">
        <v>8975</v>
      </c>
      <c r="S2346" s="1" t="s">
        <v>20239</v>
      </c>
      <c r="T2346" s="1" t="s">
        <v>7</v>
      </c>
      <c r="U2346" s="1" t="s">
        <v>147</v>
      </c>
    </row>
    <row r="2347" spans="1:21" x14ac:dyDescent="0.2">
      <c r="A2347" s="88" t="s">
        <v>18078</v>
      </c>
      <c r="B2347" s="88" t="e">
        <f>VLOOKUP(C2347,#REF!,1,0)</f>
        <v>#REF!</v>
      </c>
      <c r="C2347" s="1" t="s">
        <v>7796</v>
      </c>
      <c r="D2347" s="1" t="s">
        <v>7797</v>
      </c>
      <c r="E2347" s="1" t="s">
        <v>9310</v>
      </c>
      <c r="F2347" s="1" t="s">
        <v>8957</v>
      </c>
      <c r="G2347" t="s">
        <v>8959</v>
      </c>
      <c r="H2347" s="1" t="s">
        <v>9100</v>
      </c>
      <c r="I2347" s="1" t="s">
        <v>8949</v>
      </c>
      <c r="J2347" s="2" t="s">
        <v>21098</v>
      </c>
      <c r="K2347" s="1" t="s">
        <v>21784</v>
      </c>
      <c r="L2347" s="1" t="s">
        <v>9076</v>
      </c>
      <c r="M2347" s="1">
        <v>25824</v>
      </c>
      <c r="N2347" s="1" t="s">
        <v>8953</v>
      </c>
      <c r="O2347" s="1" t="s">
        <v>8989</v>
      </c>
      <c r="P2347" s="1" t="s">
        <v>8955</v>
      </c>
      <c r="Q2347" s="1" t="s">
        <v>8956</v>
      </c>
      <c r="R2347" s="1" t="s">
        <v>8958</v>
      </c>
      <c r="S2347" s="1" t="s">
        <v>20240</v>
      </c>
      <c r="T2347" s="1" t="s">
        <v>7</v>
      </c>
      <c r="U2347" s="1" t="s">
        <v>21</v>
      </c>
    </row>
    <row r="2348" spans="1:21" x14ac:dyDescent="0.2">
      <c r="A2348" s="88" t="s">
        <v>18079</v>
      </c>
      <c r="B2348" s="88" t="e">
        <f>VLOOKUP(C2348,#REF!,1,0)</f>
        <v>#REF!</v>
      </c>
      <c r="C2348" s="1" t="s">
        <v>7798</v>
      </c>
      <c r="D2348" s="1" t="s">
        <v>7799</v>
      </c>
      <c r="E2348" s="1" t="s">
        <v>9310</v>
      </c>
      <c r="F2348" s="1" t="s">
        <v>8957</v>
      </c>
      <c r="G2348" t="s">
        <v>8959</v>
      </c>
      <c r="H2348" s="1" t="s">
        <v>9075</v>
      </c>
      <c r="I2348" s="1" t="s">
        <v>8949</v>
      </c>
      <c r="J2348" s="2" t="s">
        <v>8972</v>
      </c>
      <c r="K2348" s="1" t="s">
        <v>8972</v>
      </c>
      <c r="L2348" s="1" t="s">
        <v>9076</v>
      </c>
      <c r="M2348" s="1">
        <v>893</v>
      </c>
      <c r="N2348" s="1" t="s">
        <v>8953</v>
      </c>
      <c r="O2348" s="1" t="s">
        <v>8954</v>
      </c>
      <c r="P2348" s="1" t="s">
        <v>8955</v>
      </c>
      <c r="Q2348" s="1" t="s">
        <v>8956</v>
      </c>
      <c r="R2348" s="1" t="s">
        <v>8958</v>
      </c>
      <c r="S2348" s="1" t="s">
        <v>7800</v>
      </c>
      <c r="T2348" s="1" t="s">
        <v>7</v>
      </c>
      <c r="U2348" s="1" t="s">
        <v>126</v>
      </c>
    </row>
    <row r="2349" spans="1:21" x14ac:dyDescent="0.2">
      <c r="A2349" s="88" t="s">
        <v>18080</v>
      </c>
      <c r="B2349" s="88" t="e">
        <f>VLOOKUP(C2349,#REF!,1,0)</f>
        <v>#REF!</v>
      </c>
      <c r="C2349" s="1" t="s">
        <v>7801</v>
      </c>
      <c r="D2349" s="1" t="s">
        <v>7802</v>
      </c>
      <c r="E2349" s="1" t="s">
        <v>9310</v>
      </c>
      <c r="F2349" s="1" t="s">
        <v>8957</v>
      </c>
      <c r="G2349" t="s">
        <v>8959</v>
      </c>
      <c r="H2349" s="1" t="s">
        <v>9035</v>
      </c>
      <c r="I2349" s="1" t="s">
        <v>8998</v>
      </c>
      <c r="J2349" s="2" t="s">
        <v>20779</v>
      </c>
      <c r="K2349" s="1" t="s">
        <v>9036</v>
      </c>
      <c r="L2349" s="1" t="s">
        <v>9292</v>
      </c>
      <c r="M2349" s="1">
        <v>2831</v>
      </c>
      <c r="N2349" s="1" t="s">
        <v>8953</v>
      </c>
      <c r="O2349" s="1" t="s">
        <v>8954</v>
      </c>
      <c r="P2349" s="1" t="s">
        <v>8955</v>
      </c>
      <c r="Q2349" s="1" t="s">
        <v>8956</v>
      </c>
      <c r="R2349" s="1" t="s">
        <v>9103</v>
      </c>
      <c r="S2349" s="1" t="s">
        <v>20241</v>
      </c>
      <c r="T2349" s="1" t="s">
        <v>7</v>
      </c>
      <c r="U2349" s="1" t="s">
        <v>27</v>
      </c>
    </row>
    <row r="2350" spans="1:21" x14ac:dyDescent="0.2">
      <c r="A2350" s="88" t="s">
        <v>18082</v>
      </c>
      <c r="B2350" s="88" t="e">
        <f>VLOOKUP(C2350,#REF!,1,0)</f>
        <v>#REF!</v>
      </c>
      <c r="C2350" s="1" t="s">
        <v>7805</v>
      </c>
      <c r="D2350" s="1" t="s">
        <v>7806</v>
      </c>
      <c r="E2350" s="1" t="s">
        <v>9310</v>
      </c>
      <c r="F2350" s="1" t="s">
        <v>8957</v>
      </c>
      <c r="G2350" t="s">
        <v>8959</v>
      </c>
      <c r="H2350" s="1" t="s">
        <v>9154</v>
      </c>
      <c r="I2350" s="1" t="s">
        <v>8949</v>
      </c>
      <c r="J2350" s="2" t="s">
        <v>21432</v>
      </c>
      <c r="K2350" s="1" t="s">
        <v>21884</v>
      </c>
      <c r="L2350" s="1" t="s">
        <v>21600</v>
      </c>
      <c r="M2350" s="1">
        <v>5859</v>
      </c>
      <c r="N2350" s="1" t="s">
        <v>8953</v>
      </c>
      <c r="O2350" s="1" t="s">
        <v>8989</v>
      </c>
      <c r="P2350" s="1" t="s">
        <v>8955</v>
      </c>
      <c r="Q2350" s="1" t="s">
        <v>8956</v>
      </c>
      <c r="R2350" s="1" t="s">
        <v>9103</v>
      </c>
      <c r="S2350" s="1" t="s">
        <v>20243</v>
      </c>
      <c r="T2350" s="1" t="s">
        <v>7</v>
      </c>
      <c r="U2350" s="1" t="s">
        <v>21</v>
      </c>
    </row>
    <row r="2351" spans="1:21" x14ac:dyDescent="0.2">
      <c r="A2351" s="88" t="s">
        <v>18083</v>
      </c>
      <c r="B2351" s="88" t="e">
        <f>VLOOKUP(C2351,#REF!,1,0)</f>
        <v>#REF!</v>
      </c>
      <c r="C2351" s="1" t="s">
        <v>7807</v>
      </c>
      <c r="D2351" s="1" t="s">
        <v>7808</v>
      </c>
      <c r="E2351" s="1" t="s">
        <v>9310</v>
      </c>
      <c r="F2351" s="1" t="s">
        <v>8957</v>
      </c>
      <c r="G2351" t="s">
        <v>8959</v>
      </c>
      <c r="H2351" s="1" t="s">
        <v>9100</v>
      </c>
      <c r="I2351" s="1" t="s">
        <v>8949</v>
      </c>
      <c r="J2351" s="2" t="s">
        <v>18497</v>
      </c>
      <c r="K2351" s="1" t="s">
        <v>21658</v>
      </c>
      <c r="L2351" s="1" t="s">
        <v>21604</v>
      </c>
      <c r="M2351" s="1">
        <v>88</v>
      </c>
      <c r="N2351" s="1" t="s">
        <v>9059</v>
      </c>
      <c r="O2351" s="1" t="s">
        <v>8989</v>
      </c>
      <c r="P2351" s="1" t="s">
        <v>8955</v>
      </c>
      <c r="Q2351" s="1" t="s">
        <v>8956</v>
      </c>
      <c r="R2351" s="1" t="s">
        <v>8975</v>
      </c>
      <c r="S2351" s="1" t="s">
        <v>20244</v>
      </c>
      <c r="T2351" s="1" t="s">
        <v>7</v>
      </c>
      <c r="U2351" s="1" t="s">
        <v>7809</v>
      </c>
    </row>
    <row r="2352" spans="1:21" x14ac:dyDescent="0.2">
      <c r="A2352" s="88" t="s">
        <v>18084</v>
      </c>
      <c r="B2352" s="88" t="e">
        <f>VLOOKUP(C2352,#REF!,1,0)</f>
        <v>#REF!</v>
      </c>
      <c r="C2352" s="1" t="s">
        <v>7810</v>
      </c>
      <c r="D2352" s="1" t="s">
        <v>7811</v>
      </c>
      <c r="E2352" s="1" t="s">
        <v>9310</v>
      </c>
      <c r="F2352" s="1" t="s">
        <v>8957</v>
      </c>
      <c r="G2352" t="s">
        <v>8959</v>
      </c>
      <c r="H2352" s="1" t="s">
        <v>9605</v>
      </c>
      <c r="I2352" s="1" t="s">
        <v>8971</v>
      </c>
      <c r="J2352" s="2" t="s">
        <v>9102</v>
      </c>
      <c r="K2352" s="1" t="s">
        <v>9102</v>
      </c>
      <c r="L2352" s="1" t="s">
        <v>9292</v>
      </c>
      <c r="M2352" s="1">
        <v>373</v>
      </c>
      <c r="N2352" s="1" t="s">
        <v>8953</v>
      </c>
      <c r="O2352" s="1" t="s">
        <v>8989</v>
      </c>
      <c r="P2352" s="1" t="s">
        <v>8955</v>
      </c>
      <c r="Q2352" s="1" t="s">
        <v>8956</v>
      </c>
      <c r="R2352" s="1" t="s">
        <v>8958</v>
      </c>
      <c r="S2352" s="1" t="s">
        <v>7812</v>
      </c>
      <c r="T2352" s="1" t="s">
        <v>924</v>
      </c>
      <c r="U2352" s="1" t="s">
        <v>1017</v>
      </c>
    </row>
    <row r="2353" spans="1:21" x14ac:dyDescent="0.2">
      <c r="A2353" s="88" t="s">
        <v>18085</v>
      </c>
      <c r="B2353" s="88" t="e">
        <f>VLOOKUP(C2353,#REF!,1,0)</f>
        <v>#REF!</v>
      </c>
      <c r="C2353" s="1" t="s">
        <v>7813</v>
      </c>
      <c r="D2353" s="1" t="s">
        <v>7814</v>
      </c>
      <c r="E2353" s="1" t="s">
        <v>18502</v>
      </c>
      <c r="F2353" s="1" t="s">
        <v>8957</v>
      </c>
      <c r="G2353" t="s">
        <v>8959</v>
      </c>
      <c r="H2353" s="1" t="s">
        <v>9035</v>
      </c>
      <c r="I2353" s="1" t="s">
        <v>8998</v>
      </c>
      <c r="J2353" s="2" t="s">
        <v>10492</v>
      </c>
      <c r="K2353" s="1" t="s">
        <v>10492</v>
      </c>
      <c r="L2353" s="1" t="s">
        <v>21100</v>
      </c>
      <c r="M2353" s="1">
        <v>4950</v>
      </c>
      <c r="N2353" s="1" t="s">
        <v>9059</v>
      </c>
      <c r="O2353" s="1" t="s">
        <v>8954</v>
      </c>
      <c r="P2353" s="1" t="s">
        <v>8955</v>
      </c>
      <c r="Q2353" s="1" t="s">
        <v>8956</v>
      </c>
      <c r="R2353" s="1" t="s">
        <v>8975</v>
      </c>
      <c r="S2353" s="1" t="s">
        <v>20245</v>
      </c>
      <c r="T2353" s="1" t="s">
        <v>7</v>
      </c>
      <c r="U2353" s="1" t="s">
        <v>110</v>
      </c>
    </row>
    <row r="2354" spans="1:21" x14ac:dyDescent="0.2">
      <c r="A2354" s="88" t="s">
        <v>18086</v>
      </c>
      <c r="B2354" s="88" t="e">
        <f>VLOOKUP(C2354,#REF!,1,0)</f>
        <v>#REF!</v>
      </c>
      <c r="C2354" s="1" t="s">
        <v>7815</v>
      </c>
      <c r="D2354" s="1" t="s">
        <v>7816</v>
      </c>
      <c r="E2354" s="1" t="s">
        <v>9317</v>
      </c>
      <c r="F2354" s="1" t="s">
        <v>8957</v>
      </c>
      <c r="G2354" t="s">
        <v>9183</v>
      </c>
      <c r="H2354" s="1" t="s">
        <v>8948</v>
      </c>
      <c r="I2354" s="1" t="s">
        <v>8949</v>
      </c>
      <c r="J2354" s="2" t="s">
        <v>8972</v>
      </c>
      <c r="K2354" s="1" t="s">
        <v>8972</v>
      </c>
      <c r="L2354" s="1" t="s">
        <v>21600</v>
      </c>
      <c r="M2354" s="1">
        <v>105</v>
      </c>
      <c r="N2354" s="1" t="s">
        <v>9059</v>
      </c>
      <c r="O2354" s="1" t="s">
        <v>8989</v>
      </c>
      <c r="P2354" s="1" t="s">
        <v>8955</v>
      </c>
      <c r="Q2354" s="1" t="s">
        <v>8956</v>
      </c>
      <c r="R2354" s="1" t="s">
        <v>9103</v>
      </c>
      <c r="S2354" s="1" t="s">
        <v>7817</v>
      </c>
      <c r="T2354" s="1" t="s">
        <v>11</v>
      </c>
      <c r="U2354" s="1" t="s">
        <v>392</v>
      </c>
    </row>
    <row r="2355" spans="1:21" x14ac:dyDescent="0.2">
      <c r="A2355" s="88" t="s">
        <v>18087</v>
      </c>
      <c r="B2355" s="88" t="e">
        <f>VLOOKUP(C2355,#REF!,1,0)</f>
        <v>#REF!</v>
      </c>
      <c r="C2355" s="1" t="s">
        <v>7818</v>
      </c>
      <c r="D2355" s="1" t="s">
        <v>7819</v>
      </c>
      <c r="E2355" s="1" t="s">
        <v>9317</v>
      </c>
      <c r="F2355" s="1" t="s">
        <v>20874</v>
      </c>
      <c r="G2355" t="s">
        <v>9061</v>
      </c>
      <c r="H2355" s="1" t="s">
        <v>9605</v>
      </c>
      <c r="I2355" s="1" t="s">
        <v>8949</v>
      </c>
      <c r="J2355" s="2" t="s">
        <v>10492</v>
      </c>
      <c r="K2355" s="1" t="s">
        <v>10492</v>
      </c>
      <c r="L2355" s="1" t="s">
        <v>21600</v>
      </c>
      <c r="M2355" s="1">
        <v>2267750</v>
      </c>
      <c r="N2355" s="1" t="s">
        <v>8953</v>
      </c>
      <c r="O2355" s="1" t="s">
        <v>8989</v>
      </c>
      <c r="P2355" s="1" t="s">
        <v>8955</v>
      </c>
      <c r="Q2355" s="1" t="s">
        <v>8956</v>
      </c>
      <c r="R2355" s="1" t="s">
        <v>9103</v>
      </c>
      <c r="S2355" s="1" t="s">
        <v>20246</v>
      </c>
      <c r="T2355" s="1" t="s">
        <v>17</v>
      </c>
      <c r="U2355" s="1" t="s">
        <v>126</v>
      </c>
    </row>
    <row r="2356" spans="1:21" x14ac:dyDescent="0.2">
      <c r="A2356" s="88" t="s">
        <v>18088</v>
      </c>
      <c r="B2356" s="88" t="e">
        <f>VLOOKUP(C2356,#REF!,1,0)</f>
        <v>#REF!</v>
      </c>
      <c r="C2356" s="1" t="s">
        <v>7820</v>
      </c>
      <c r="D2356" s="1" t="s">
        <v>7821</v>
      </c>
      <c r="E2356" s="1" t="s">
        <v>18502</v>
      </c>
      <c r="F2356" s="1" t="s">
        <v>8974</v>
      </c>
      <c r="G2356" t="s">
        <v>8959</v>
      </c>
      <c r="H2356" s="1" t="s">
        <v>9252</v>
      </c>
      <c r="I2356" s="1" t="s">
        <v>18504</v>
      </c>
      <c r="J2356" s="2" t="s">
        <v>20838</v>
      </c>
      <c r="K2356" s="1" t="s">
        <v>20755</v>
      </c>
      <c r="L2356" s="1" t="s">
        <v>8951</v>
      </c>
      <c r="M2356" s="1">
        <v>499</v>
      </c>
      <c r="N2356" s="1" t="s">
        <v>9059</v>
      </c>
      <c r="O2356" s="1" t="s">
        <v>8989</v>
      </c>
      <c r="P2356" s="1" t="s">
        <v>8955</v>
      </c>
      <c r="Q2356" s="1" t="s">
        <v>8956</v>
      </c>
      <c r="R2356" s="1" t="s">
        <v>8975</v>
      </c>
      <c r="S2356" s="1" t="s">
        <v>20247</v>
      </c>
      <c r="T2356" s="1" t="s">
        <v>17</v>
      </c>
      <c r="U2356" s="1" t="s">
        <v>87</v>
      </c>
    </row>
    <row r="2357" spans="1:21" x14ac:dyDescent="0.2">
      <c r="A2357" s="88" t="s">
        <v>18090</v>
      </c>
      <c r="B2357" s="88" t="e">
        <f>VLOOKUP(C2357,#REF!,1,0)</f>
        <v>#REF!</v>
      </c>
      <c r="C2357" s="1" t="s">
        <v>7824</v>
      </c>
      <c r="D2357" s="1" t="s">
        <v>7825</v>
      </c>
      <c r="E2357" s="1" t="s">
        <v>18502</v>
      </c>
      <c r="F2357" s="1" t="s">
        <v>8957</v>
      </c>
      <c r="G2357" t="s">
        <v>9009</v>
      </c>
      <c r="H2357" s="1" t="s">
        <v>8948</v>
      </c>
      <c r="I2357" s="1" t="s">
        <v>8949</v>
      </c>
      <c r="J2357" s="2" t="s">
        <v>20809</v>
      </c>
      <c r="K2357" s="1" t="s">
        <v>21698</v>
      </c>
      <c r="L2357" s="1" t="s">
        <v>21600</v>
      </c>
      <c r="M2357" s="1">
        <v>5100</v>
      </c>
      <c r="N2357" s="1" t="s">
        <v>8953</v>
      </c>
      <c r="O2357" s="1" t="s">
        <v>8989</v>
      </c>
      <c r="P2357" s="1" t="s">
        <v>8955</v>
      </c>
      <c r="Q2357" s="1" t="s">
        <v>8956</v>
      </c>
      <c r="R2357" s="1" t="s">
        <v>8975</v>
      </c>
      <c r="S2357" s="1" t="s">
        <v>20248</v>
      </c>
      <c r="T2357" s="1" t="s">
        <v>17</v>
      </c>
      <c r="U2357" s="1" t="s">
        <v>24</v>
      </c>
    </row>
    <row r="2358" spans="1:21" x14ac:dyDescent="0.2">
      <c r="A2358" s="88" t="s">
        <v>18091</v>
      </c>
      <c r="B2358" s="88" t="e">
        <f>VLOOKUP(C2358,#REF!,1,0)</f>
        <v>#REF!</v>
      </c>
      <c r="C2358" s="1" t="s">
        <v>7826</v>
      </c>
      <c r="D2358" s="1" t="s">
        <v>7827</v>
      </c>
      <c r="E2358" s="1" t="s">
        <v>10850</v>
      </c>
      <c r="F2358" s="1" t="s">
        <v>8957</v>
      </c>
      <c r="G2358" t="s">
        <v>8959</v>
      </c>
      <c r="H2358" s="1" t="s">
        <v>9100</v>
      </c>
      <c r="I2358" s="1" t="s">
        <v>8949</v>
      </c>
      <c r="J2358" s="2" t="s">
        <v>20779</v>
      </c>
      <c r="K2358" s="1" t="s">
        <v>9036</v>
      </c>
      <c r="L2358" s="1" t="s">
        <v>9133</v>
      </c>
      <c r="M2358" s="1">
        <v>3089</v>
      </c>
      <c r="N2358" s="1" t="s">
        <v>9059</v>
      </c>
      <c r="O2358" s="1" t="s">
        <v>8954</v>
      </c>
      <c r="P2358" s="1" t="s">
        <v>8955</v>
      </c>
      <c r="Q2358" s="1" t="s">
        <v>8956</v>
      </c>
      <c r="R2358" s="1" t="s">
        <v>8958</v>
      </c>
      <c r="S2358" s="1" t="s">
        <v>20249</v>
      </c>
      <c r="T2358" s="1" t="s">
        <v>17</v>
      </c>
      <c r="U2358" s="1" t="s">
        <v>57</v>
      </c>
    </row>
    <row r="2359" spans="1:21" x14ac:dyDescent="0.2">
      <c r="A2359" s="88" t="s">
        <v>18092</v>
      </c>
      <c r="B2359" s="88" t="e">
        <f>VLOOKUP(C2359,#REF!,1,0)</f>
        <v>#REF!</v>
      </c>
      <c r="C2359" s="1" t="s">
        <v>7828</v>
      </c>
      <c r="D2359" s="1" t="s">
        <v>7829</v>
      </c>
      <c r="E2359" s="1" t="s">
        <v>9246</v>
      </c>
      <c r="F2359" s="1" t="s">
        <v>8957</v>
      </c>
      <c r="G2359" t="s">
        <v>9061</v>
      </c>
      <c r="H2359" s="1" t="s">
        <v>9100</v>
      </c>
      <c r="I2359" s="1" t="s">
        <v>8949</v>
      </c>
      <c r="J2359" s="2" t="s">
        <v>20779</v>
      </c>
      <c r="K2359" s="1" t="s">
        <v>9036</v>
      </c>
      <c r="L2359" s="1" t="s">
        <v>21600</v>
      </c>
      <c r="M2359" s="1">
        <v>19</v>
      </c>
      <c r="N2359" s="1" t="s">
        <v>9059</v>
      </c>
      <c r="O2359" s="1" t="s">
        <v>8989</v>
      </c>
      <c r="P2359" s="1" t="s">
        <v>8955</v>
      </c>
      <c r="Q2359" s="1" t="s">
        <v>8956</v>
      </c>
      <c r="R2359" s="1" t="s">
        <v>8958</v>
      </c>
      <c r="S2359" s="1" t="s">
        <v>20250</v>
      </c>
      <c r="T2359" s="1" t="s">
        <v>17</v>
      </c>
      <c r="U2359" s="1" t="s">
        <v>57</v>
      </c>
    </row>
    <row r="2360" spans="1:21" x14ac:dyDescent="0.2">
      <c r="A2360" s="88" t="s">
        <v>18093</v>
      </c>
      <c r="B2360" s="88" t="e">
        <f>VLOOKUP(C2360,#REF!,1,0)</f>
        <v>#REF!</v>
      </c>
      <c r="C2360" s="1" t="s">
        <v>7830</v>
      </c>
      <c r="D2360" s="1" t="s">
        <v>7831</v>
      </c>
      <c r="E2360" s="1" t="s">
        <v>9310</v>
      </c>
      <c r="F2360" s="1" t="s">
        <v>8957</v>
      </c>
      <c r="G2360" t="s">
        <v>9061</v>
      </c>
      <c r="H2360" s="1" t="s">
        <v>9100</v>
      </c>
      <c r="I2360" s="1" t="s">
        <v>8949</v>
      </c>
      <c r="J2360" s="2" t="s">
        <v>10492</v>
      </c>
      <c r="K2360" s="1" t="s">
        <v>10492</v>
      </c>
      <c r="L2360" s="1" t="s">
        <v>20832</v>
      </c>
      <c r="M2360" s="1">
        <v>209</v>
      </c>
      <c r="N2360" s="1" t="s">
        <v>9059</v>
      </c>
      <c r="O2360" s="1" t="s">
        <v>8954</v>
      </c>
      <c r="P2360" s="1" t="s">
        <v>8955</v>
      </c>
      <c r="Q2360" s="1" t="s">
        <v>8956</v>
      </c>
      <c r="R2360" s="1" t="s">
        <v>8958</v>
      </c>
      <c r="S2360" s="1" t="s">
        <v>20251</v>
      </c>
      <c r="T2360" s="1" t="s">
        <v>17</v>
      </c>
      <c r="U2360" s="1" t="s">
        <v>392</v>
      </c>
    </row>
    <row r="2361" spans="1:21" x14ac:dyDescent="0.2">
      <c r="A2361" s="88" t="s">
        <v>18094</v>
      </c>
      <c r="B2361" s="88" t="e">
        <f>VLOOKUP(C2361,#REF!,1,0)</f>
        <v>#REF!</v>
      </c>
      <c r="C2361" s="1" t="s">
        <v>7832</v>
      </c>
      <c r="D2361" s="1" t="s">
        <v>7833</v>
      </c>
      <c r="E2361" s="1" t="s">
        <v>18502</v>
      </c>
      <c r="F2361" s="1" t="s">
        <v>9060</v>
      </c>
      <c r="G2361" t="s">
        <v>8959</v>
      </c>
      <c r="H2361" s="1" t="s">
        <v>8984</v>
      </c>
      <c r="I2361" s="1" t="s">
        <v>9422</v>
      </c>
      <c r="J2361" s="2" t="s">
        <v>18497</v>
      </c>
      <c r="K2361" s="1" t="s">
        <v>18497</v>
      </c>
      <c r="L2361" s="1" t="s">
        <v>8987</v>
      </c>
      <c r="M2361" s="1">
        <v>746</v>
      </c>
      <c r="N2361" s="1" t="s">
        <v>8953</v>
      </c>
      <c r="O2361" s="1" t="s">
        <v>8954</v>
      </c>
      <c r="P2361" s="1" t="s">
        <v>8955</v>
      </c>
      <c r="Q2361" s="1" t="s">
        <v>8956</v>
      </c>
      <c r="R2361" s="1" t="s">
        <v>8975</v>
      </c>
      <c r="S2361" s="1" t="s">
        <v>20252</v>
      </c>
      <c r="T2361" s="1" t="s">
        <v>7</v>
      </c>
      <c r="U2361" s="1" t="s">
        <v>1918</v>
      </c>
    </row>
    <row r="2362" spans="1:21" x14ac:dyDescent="0.2">
      <c r="A2362" s="88" t="s">
        <v>18095</v>
      </c>
      <c r="B2362" s="88" t="e">
        <f>VLOOKUP(C2362,#REF!,1,0)</f>
        <v>#REF!</v>
      </c>
      <c r="C2362" s="1" t="s">
        <v>7840</v>
      </c>
      <c r="D2362" s="1" t="s">
        <v>7841</v>
      </c>
      <c r="E2362" s="1" t="s">
        <v>9310</v>
      </c>
      <c r="F2362" s="1" t="s">
        <v>8959</v>
      </c>
      <c r="G2362" t="s">
        <v>9061</v>
      </c>
      <c r="H2362" s="1" t="s">
        <v>9075</v>
      </c>
      <c r="I2362" s="1" t="s">
        <v>8971</v>
      </c>
      <c r="J2362" s="2" t="s">
        <v>10525</v>
      </c>
      <c r="K2362" s="1" t="s">
        <v>10525</v>
      </c>
      <c r="L2362" s="1" t="s">
        <v>21105</v>
      </c>
      <c r="M2362" s="1">
        <v>5244</v>
      </c>
      <c r="N2362" s="1" t="s">
        <v>8953</v>
      </c>
      <c r="O2362" s="1" t="s">
        <v>8989</v>
      </c>
      <c r="P2362" s="1" t="s">
        <v>8955</v>
      </c>
      <c r="Q2362" s="1" t="s">
        <v>8956</v>
      </c>
      <c r="R2362" s="1" t="s">
        <v>9103</v>
      </c>
      <c r="S2362" s="1" t="s">
        <v>20255</v>
      </c>
      <c r="T2362" s="1" t="s">
        <v>17</v>
      </c>
      <c r="U2362" s="1" t="s">
        <v>97</v>
      </c>
    </row>
    <row r="2363" spans="1:21" x14ac:dyDescent="0.2">
      <c r="A2363" s="88" t="s">
        <v>18096</v>
      </c>
      <c r="B2363" s="88" t="e">
        <f>VLOOKUP(C2363,#REF!,1,0)</f>
        <v>#REF!</v>
      </c>
      <c r="C2363" s="1" t="s">
        <v>7842</v>
      </c>
      <c r="D2363" s="1" t="s">
        <v>7843</v>
      </c>
      <c r="E2363" s="1" t="s">
        <v>10032</v>
      </c>
      <c r="F2363" s="1" t="s">
        <v>8957</v>
      </c>
      <c r="G2363" t="s">
        <v>8959</v>
      </c>
      <c r="H2363" s="1" t="s">
        <v>9100</v>
      </c>
      <c r="I2363" s="1" t="s">
        <v>9155</v>
      </c>
      <c r="J2363" s="2" t="s">
        <v>21449</v>
      </c>
      <c r="K2363" s="1" t="s">
        <v>10629</v>
      </c>
      <c r="L2363" s="1" t="s">
        <v>9076</v>
      </c>
      <c r="M2363" s="1">
        <v>18</v>
      </c>
      <c r="N2363" s="1" t="s">
        <v>9059</v>
      </c>
      <c r="O2363" s="1" t="s">
        <v>8989</v>
      </c>
      <c r="P2363" s="1" t="s">
        <v>8955</v>
      </c>
      <c r="Q2363" s="1" t="s">
        <v>8956</v>
      </c>
      <c r="R2363" s="1" t="s">
        <v>8975</v>
      </c>
      <c r="S2363" s="1" t="s">
        <v>20256</v>
      </c>
      <c r="T2363" s="1" t="s">
        <v>7</v>
      </c>
      <c r="U2363" s="1" t="s">
        <v>392</v>
      </c>
    </row>
    <row r="2364" spans="1:21" x14ac:dyDescent="0.2">
      <c r="A2364" s="88" t="s">
        <v>18097</v>
      </c>
      <c r="B2364" s="88" t="e">
        <f>VLOOKUP(C2364,#REF!,1,0)</f>
        <v>#REF!</v>
      </c>
      <c r="C2364" s="1" t="s">
        <v>7844</v>
      </c>
      <c r="D2364" s="1" t="s">
        <v>7845</v>
      </c>
      <c r="E2364" s="1" t="s">
        <v>9310</v>
      </c>
      <c r="F2364" s="1" t="s">
        <v>8957</v>
      </c>
      <c r="G2364" t="s">
        <v>9061</v>
      </c>
      <c r="H2364" s="1" t="s">
        <v>9943</v>
      </c>
      <c r="I2364" s="1" t="s">
        <v>8971</v>
      </c>
      <c r="J2364" s="2" t="s">
        <v>21300</v>
      </c>
      <c r="K2364" s="1" t="s">
        <v>21300</v>
      </c>
      <c r="L2364" s="1" t="s">
        <v>8987</v>
      </c>
      <c r="M2364" s="1">
        <v>26541</v>
      </c>
      <c r="N2364" s="1" t="s">
        <v>8953</v>
      </c>
      <c r="O2364" s="1" t="s">
        <v>8954</v>
      </c>
      <c r="P2364" s="1" t="s">
        <v>8955</v>
      </c>
      <c r="Q2364" s="1" t="s">
        <v>8956</v>
      </c>
      <c r="R2364" s="1" t="s">
        <v>8975</v>
      </c>
      <c r="S2364" s="1" t="s">
        <v>20257</v>
      </c>
      <c r="T2364" s="1" t="s">
        <v>7</v>
      </c>
      <c r="U2364" s="1" t="s">
        <v>7846</v>
      </c>
    </row>
    <row r="2365" spans="1:21" x14ac:dyDescent="0.2">
      <c r="A2365" s="88" t="s">
        <v>18098</v>
      </c>
      <c r="B2365" s="88" t="e">
        <f>VLOOKUP(C2365,#REF!,1,0)</f>
        <v>#REF!</v>
      </c>
      <c r="C2365" s="1" t="s">
        <v>7847</v>
      </c>
      <c r="D2365" s="1" t="s">
        <v>7848</v>
      </c>
      <c r="E2365" s="1" t="s">
        <v>10850</v>
      </c>
      <c r="F2365" s="1" t="s">
        <v>8957</v>
      </c>
      <c r="G2365" t="s">
        <v>8959</v>
      </c>
      <c r="H2365" s="1" t="s">
        <v>9035</v>
      </c>
      <c r="I2365" s="1" t="s">
        <v>8959</v>
      </c>
      <c r="J2365" s="2" t="s">
        <v>10492</v>
      </c>
      <c r="K2365" s="1" t="s">
        <v>21645</v>
      </c>
      <c r="L2365" s="1" t="s">
        <v>9076</v>
      </c>
      <c r="M2365" s="1">
        <v>800</v>
      </c>
      <c r="N2365" s="1" t="s">
        <v>8953</v>
      </c>
      <c r="O2365" s="1" t="s">
        <v>8989</v>
      </c>
      <c r="P2365" s="1" t="s">
        <v>8955</v>
      </c>
      <c r="Q2365" s="1" t="s">
        <v>8956</v>
      </c>
      <c r="R2365" s="1" t="s">
        <v>9103</v>
      </c>
      <c r="S2365" s="1" t="s">
        <v>20258</v>
      </c>
      <c r="T2365" s="1" t="s">
        <v>17</v>
      </c>
      <c r="U2365" s="1" t="s">
        <v>1076</v>
      </c>
    </row>
    <row r="2366" spans="1:21" x14ac:dyDescent="0.2">
      <c r="A2366" s="88" t="s">
        <v>18099</v>
      </c>
      <c r="B2366" s="88" t="e">
        <f>VLOOKUP(C2366,#REF!,1,0)</f>
        <v>#REF!</v>
      </c>
      <c r="C2366" s="1" t="s">
        <v>7849</v>
      </c>
      <c r="D2366" s="1" t="s">
        <v>7850</v>
      </c>
      <c r="E2366" s="1" t="s">
        <v>9310</v>
      </c>
      <c r="F2366" s="1" t="s">
        <v>8957</v>
      </c>
      <c r="G2366" t="s">
        <v>9009</v>
      </c>
      <c r="H2366" s="1" t="s">
        <v>9075</v>
      </c>
      <c r="I2366" s="1" t="s">
        <v>8998</v>
      </c>
      <c r="J2366" s="2" t="s">
        <v>21404</v>
      </c>
      <c r="K2366" s="1" t="s">
        <v>21766</v>
      </c>
      <c r="L2366" s="1" t="s">
        <v>9076</v>
      </c>
      <c r="M2366" s="1">
        <v>10</v>
      </c>
      <c r="N2366" s="1" t="s">
        <v>9059</v>
      </c>
      <c r="O2366" s="1" t="s">
        <v>8989</v>
      </c>
      <c r="P2366" s="1" t="s">
        <v>8955</v>
      </c>
      <c r="Q2366" s="1" t="s">
        <v>8956</v>
      </c>
      <c r="R2366" s="1" t="s">
        <v>8975</v>
      </c>
      <c r="S2366" s="1"/>
      <c r="T2366" s="1">
        <v>2019</v>
      </c>
      <c r="U2366" s="1"/>
    </row>
    <row r="2367" spans="1:21" x14ac:dyDescent="0.2">
      <c r="A2367" s="88" t="s">
        <v>18100</v>
      </c>
      <c r="B2367" s="88" t="e">
        <f>VLOOKUP(C2367,#REF!,1,0)</f>
        <v>#REF!</v>
      </c>
      <c r="C2367" s="1" t="s">
        <v>7851</v>
      </c>
      <c r="D2367" s="1" t="s">
        <v>7852</v>
      </c>
      <c r="E2367" s="1" t="s">
        <v>9317</v>
      </c>
      <c r="F2367" s="1" t="s">
        <v>9060</v>
      </c>
      <c r="G2367" t="s">
        <v>8959</v>
      </c>
      <c r="H2367" s="1" t="s">
        <v>9605</v>
      </c>
      <c r="I2367" s="1" t="s">
        <v>9101</v>
      </c>
      <c r="J2367" s="2" t="s">
        <v>8972</v>
      </c>
      <c r="K2367" s="1" t="s">
        <v>8972</v>
      </c>
      <c r="L2367" s="1" t="s">
        <v>9464</v>
      </c>
      <c r="M2367" s="1">
        <v>1700</v>
      </c>
      <c r="N2367" s="1" t="s">
        <v>8953</v>
      </c>
      <c r="O2367" s="1" t="s">
        <v>8954</v>
      </c>
      <c r="P2367" s="1" t="s">
        <v>8955</v>
      </c>
      <c r="Q2367" s="1" t="s">
        <v>8956</v>
      </c>
      <c r="R2367" s="1" t="s">
        <v>8975</v>
      </c>
      <c r="S2367" s="1" t="s">
        <v>7853</v>
      </c>
      <c r="T2367" s="1" t="s">
        <v>11</v>
      </c>
      <c r="U2367" s="1" t="s">
        <v>700</v>
      </c>
    </row>
    <row r="2368" spans="1:21" x14ac:dyDescent="0.2">
      <c r="A2368" s="88" t="s">
        <v>18101</v>
      </c>
      <c r="B2368" s="88" t="e">
        <f>VLOOKUP(C2368,#REF!,1,0)</f>
        <v>#REF!</v>
      </c>
      <c r="C2368" s="1" t="s">
        <v>7854</v>
      </c>
      <c r="D2368" s="1" t="s">
        <v>7855</v>
      </c>
      <c r="E2368" s="1" t="s">
        <v>9465</v>
      </c>
      <c r="F2368" s="1" t="s">
        <v>8959</v>
      </c>
      <c r="G2368" t="s">
        <v>9061</v>
      </c>
      <c r="H2368" s="1" t="s">
        <v>9035</v>
      </c>
      <c r="I2368" s="1" t="s">
        <v>8998</v>
      </c>
      <c r="J2368" s="2" t="s">
        <v>18497</v>
      </c>
      <c r="K2368" s="1" t="s">
        <v>18497</v>
      </c>
      <c r="L2368" s="1" t="s">
        <v>8951</v>
      </c>
      <c r="M2368" s="1">
        <v>11966</v>
      </c>
      <c r="N2368" s="1" t="s">
        <v>9059</v>
      </c>
      <c r="O2368" s="1" t="s">
        <v>8954</v>
      </c>
      <c r="P2368" s="1" t="s">
        <v>8955</v>
      </c>
      <c r="Q2368" s="1" t="s">
        <v>8956</v>
      </c>
      <c r="R2368" s="1" t="s">
        <v>8975</v>
      </c>
      <c r="S2368" s="1" t="s">
        <v>20259</v>
      </c>
      <c r="T2368" s="1" t="s">
        <v>7</v>
      </c>
      <c r="U2368" s="1" t="s">
        <v>138</v>
      </c>
    </row>
    <row r="2369" spans="1:21" x14ac:dyDescent="0.2">
      <c r="A2369" s="88" t="s">
        <v>18102</v>
      </c>
      <c r="B2369" s="88" t="e">
        <f>VLOOKUP(C2369,#REF!,1,0)</f>
        <v>#REF!</v>
      </c>
      <c r="C2369" s="1" t="s">
        <v>7856</v>
      </c>
      <c r="D2369" s="1" t="s">
        <v>7857</v>
      </c>
      <c r="E2369" s="1" t="s">
        <v>9380</v>
      </c>
      <c r="F2369" s="1" t="s">
        <v>8957</v>
      </c>
      <c r="G2369" t="s">
        <v>8959</v>
      </c>
      <c r="H2369" s="1" t="s">
        <v>8948</v>
      </c>
      <c r="I2369" s="1" t="s">
        <v>8998</v>
      </c>
      <c r="J2369" s="2" t="s">
        <v>20811</v>
      </c>
      <c r="K2369" s="1" t="s">
        <v>13923</v>
      </c>
      <c r="L2369" s="1" t="s">
        <v>8951</v>
      </c>
      <c r="M2369" s="1">
        <v>190</v>
      </c>
      <c r="N2369" s="1" t="s">
        <v>9059</v>
      </c>
      <c r="O2369" s="1" t="s">
        <v>8989</v>
      </c>
      <c r="P2369" s="1" t="s">
        <v>8955</v>
      </c>
      <c r="Q2369" s="1" t="s">
        <v>8956</v>
      </c>
      <c r="R2369" s="1" t="s">
        <v>8975</v>
      </c>
      <c r="S2369" s="1" t="s">
        <v>20260</v>
      </c>
      <c r="T2369" s="1" t="s">
        <v>7</v>
      </c>
      <c r="U2369" s="1" t="s">
        <v>2434</v>
      </c>
    </row>
    <row r="2370" spans="1:21" x14ac:dyDescent="0.2">
      <c r="A2370" s="88" t="s">
        <v>18103</v>
      </c>
      <c r="B2370" s="88" t="e">
        <f>VLOOKUP(C2370,#REF!,1,0)</f>
        <v>#REF!</v>
      </c>
      <c r="C2370" s="1" t="s">
        <v>7858</v>
      </c>
      <c r="D2370" s="1" t="s">
        <v>7859</v>
      </c>
      <c r="E2370" s="1" t="s">
        <v>9010</v>
      </c>
      <c r="F2370" s="1" t="s">
        <v>8957</v>
      </c>
      <c r="G2370" t="s">
        <v>8959</v>
      </c>
      <c r="H2370" s="1" t="s">
        <v>9605</v>
      </c>
      <c r="I2370" s="1" t="s">
        <v>9121</v>
      </c>
      <c r="J2370" s="2" t="s">
        <v>10178</v>
      </c>
      <c r="K2370" s="1" t="s">
        <v>10178</v>
      </c>
      <c r="L2370" s="1" t="s">
        <v>9464</v>
      </c>
      <c r="M2370" s="1">
        <v>34</v>
      </c>
      <c r="N2370" s="1" t="s">
        <v>11658</v>
      </c>
      <c r="O2370" s="1" t="s">
        <v>8954</v>
      </c>
      <c r="P2370" s="1" t="s">
        <v>8955</v>
      </c>
      <c r="Q2370" s="1" t="s">
        <v>8956</v>
      </c>
      <c r="R2370" s="1" t="s">
        <v>9103</v>
      </c>
      <c r="S2370" s="1" t="s">
        <v>7860</v>
      </c>
      <c r="T2370" s="1" t="s">
        <v>17</v>
      </c>
      <c r="U2370" s="1" t="s">
        <v>625</v>
      </c>
    </row>
    <row r="2371" spans="1:21" x14ac:dyDescent="0.2">
      <c r="A2371" s="88" t="s">
        <v>18104</v>
      </c>
      <c r="B2371" s="88" t="e">
        <f>VLOOKUP(C2371,#REF!,1,0)</f>
        <v>#REF!</v>
      </c>
      <c r="C2371" s="1" t="s">
        <v>7861</v>
      </c>
      <c r="D2371" s="1" t="s">
        <v>7862</v>
      </c>
      <c r="E2371" s="1" t="s">
        <v>9010</v>
      </c>
      <c r="F2371" s="1" t="s">
        <v>8957</v>
      </c>
      <c r="G2371" t="s">
        <v>8959</v>
      </c>
      <c r="H2371" s="1" t="s">
        <v>8948</v>
      </c>
      <c r="I2371" s="1" t="s">
        <v>8949</v>
      </c>
      <c r="J2371" s="2" t="s">
        <v>9937</v>
      </c>
      <c r="K2371" s="1" t="s">
        <v>9937</v>
      </c>
      <c r="L2371" s="1" t="s">
        <v>8951</v>
      </c>
      <c r="M2371" s="1">
        <v>3</v>
      </c>
      <c r="N2371" s="1" t="s">
        <v>9059</v>
      </c>
      <c r="O2371" s="1" t="s">
        <v>8989</v>
      </c>
      <c r="P2371" s="1" t="s">
        <v>8955</v>
      </c>
      <c r="Q2371" s="1" t="s">
        <v>8956</v>
      </c>
      <c r="R2371" s="1" t="s">
        <v>8958</v>
      </c>
      <c r="S2371" s="1" t="s">
        <v>7863</v>
      </c>
      <c r="T2371" s="1" t="s">
        <v>11</v>
      </c>
      <c r="U2371" s="1" t="s">
        <v>392</v>
      </c>
    </row>
    <row r="2372" spans="1:21" x14ac:dyDescent="0.2">
      <c r="A2372" s="88" t="s">
        <v>7864</v>
      </c>
      <c r="B2372" s="88" t="e">
        <f>VLOOKUP(C2372,#REF!,1,0)</f>
        <v>#REF!</v>
      </c>
      <c r="C2372" s="1" t="s">
        <v>7865</v>
      </c>
      <c r="D2372" s="1" t="s">
        <v>7866</v>
      </c>
      <c r="E2372" s="1" t="s">
        <v>18502</v>
      </c>
      <c r="F2372" s="1" t="s">
        <v>8957</v>
      </c>
      <c r="G2372" t="s">
        <v>8959</v>
      </c>
      <c r="H2372" s="1" t="s">
        <v>9100</v>
      </c>
      <c r="I2372" s="1" t="s">
        <v>8949</v>
      </c>
      <c r="J2372" s="2" t="s">
        <v>20736</v>
      </c>
      <c r="K2372" s="1" t="s">
        <v>21640</v>
      </c>
      <c r="L2372" s="1" t="s">
        <v>9292</v>
      </c>
      <c r="M2372" s="1">
        <v>972</v>
      </c>
      <c r="N2372" s="1" t="s">
        <v>11658</v>
      </c>
      <c r="O2372" s="1" t="s">
        <v>8989</v>
      </c>
      <c r="P2372" s="1" t="s">
        <v>8955</v>
      </c>
      <c r="Q2372" s="1" t="s">
        <v>8956</v>
      </c>
      <c r="R2372" s="1" t="s">
        <v>8958</v>
      </c>
      <c r="S2372" s="1" t="s">
        <v>20261</v>
      </c>
      <c r="T2372" s="1" t="s">
        <v>11</v>
      </c>
      <c r="U2372" s="1" t="s">
        <v>7867</v>
      </c>
    </row>
    <row r="2373" spans="1:21" x14ac:dyDescent="0.2">
      <c r="A2373" s="88" t="s">
        <v>18106</v>
      </c>
      <c r="B2373" s="88" t="e">
        <f>VLOOKUP(C2373,#REF!,1,0)</f>
        <v>#REF!</v>
      </c>
      <c r="C2373" s="1" t="s">
        <v>7870</v>
      </c>
      <c r="D2373" s="1" t="s">
        <v>7871</v>
      </c>
      <c r="E2373" s="1" t="s">
        <v>9010</v>
      </c>
      <c r="F2373" s="1" t="s">
        <v>9060</v>
      </c>
      <c r="G2373" t="s">
        <v>9009</v>
      </c>
      <c r="H2373" s="1" t="s">
        <v>9035</v>
      </c>
      <c r="I2373" s="1" t="s">
        <v>8998</v>
      </c>
      <c r="J2373" s="2" t="s">
        <v>10135</v>
      </c>
      <c r="K2373" s="1" t="s">
        <v>10135</v>
      </c>
      <c r="L2373" s="1" t="s">
        <v>9133</v>
      </c>
      <c r="M2373" s="1">
        <v>7926</v>
      </c>
      <c r="N2373" s="1" t="s">
        <v>8953</v>
      </c>
      <c r="O2373" s="1" t="s">
        <v>8954</v>
      </c>
      <c r="P2373" s="1" t="s">
        <v>8955</v>
      </c>
      <c r="Q2373" s="1" t="s">
        <v>8956</v>
      </c>
      <c r="R2373" s="1" t="s">
        <v>8958</v>
      </c>
      <c r="S2373" s="1" t="s">
        <v>7872</v>
      </c>
      <c r="T2373" s="1" t="s">
        <v>4</v>
      </c>
      <c r="U2373" s="1" t="s">
        <v>2287</v>
      </c>
    </row>
    <row r="2374" spans="1:21" x14ac:dyDescent="0.2">
      <c r="A2374" s="88" t="s">
        <v>18107</v>
      </c>
      <c r="B2374" s="88" t="e">
        <f>VLOOKUP(C2374,#REF!,1,0)</f>
        <v>#REF!</v>
      </c>
      <c r="C2374" s="1" t="s">
        <v>7873</v>
      </c>
      <c r="D2374" s="1" t="s">
        <v>7874</v>
      </c>
      <c r="E2374" s="1" t="s">
        <v>9317</v>
      </c>
      <c r="F2374" s="1" t="s">
        <v>8957</v>
      </c>
      <c r="G2374" t="s">
        <v>9061</v>
      </c>
      <c r="H2374" s="1" t="s">
        <v>9100</v>
      </c>
      <c r="I2374" s="1" t="s">
        <v>8949</v>
      </c>
      <c r="J2374" s="2" t="s">
        <v>20830</v>
      </c>
      <c r="K2374" s="1" t="s">
        <v>9041</v>
      </c>
      <c r="L2374" s="1" t="s">
        <v>8951</v>
      </c>
      <c r="M2374" s="1">
        <v>63</v>
      </c>
      <c r="N2374" s="1" t="s">
        <v>9059</v>
      </c>
      <c r="O2374" s="1" t="s">
        <v>8989</v>
      </c>
      <c r="P2374" s="1" t="s">
        <v>8955</v>
      </c>
      <c r="Q2374" s="1" t="s">
        <v>8956</v>
      </c>
      <c r="R2374" s="1" t="s">
        <v>9103</v>
      </c>
      <c r="S2374" s="1" t="s">
        <v>20263</v>
      </c>
      <c r="T2374" s="1" t="s">
        <v>7</v>
      </c>
      <c r="U2374" s="1" t="s">
        <v>110</v>
      </c>
    </row>
    <row r="2375" spans="1:21" x14ac:dyDescent="0.2">
      <c r="A2375" s="88" t="s">
        <v>18108</v>
      </c>
      <c r="B2375" s="88" t="e">
        <f>VLOOKUP(C2375,#REF!,1,0)</f>
        <v>#REF!</v>
      </c>
      <c r="C2375" s="1" t="s">
        <v>7875</v>
      </c>
      <c r="D2375" s="1" t="s">
        <v>7876</v>
      </c>
      <c r="E2375" s="1" t="s">
        <v>9317</v>
      </c>
      <c r="F2375" s="1" t="s">
        <v>8974</v>
      </c>
      <c r="G2375" t="s">
        <v>9061</v>
      </c>
      <c r="H2375" s="1" t="s">
        <v>9100</v>
      </c>
      <c r="I2375" s="1" t="s">
        <v>20930</v>
      </c>
      <c r="J2375" s="2" t="s">
        <v>20779</v>
      </c>
      <c r="K2375" s="1" t="s">
        <v>9036</v>
      </c>
      <c r="L2375" s="1" t="s">
        <v>8987</v>
      </c>
      <c r="M2375" s="1">
        <v>1588</v>
      </c>
      <c r="N2375" s="1" t="s">
        <v>9059</v>
      </c>
      <c r="O2375" s="1" t="s">
        <v>8954</v>
      </c>
      <c r="P2375" s="1" t="s">
        <v>8955</v>
      </c>
      <c r="Q2375" s="1" t="s">
        <v>8956</v>
      </c>
      <c r="R2375" s="1" t="s">
        <v>8975</v>
      </c>
      <c r="S2375" s="1" t="s">
        <v>20264</v>
      </c>
      <c r="T2375" s="1" t="s">
        <v>17</v>
      </c>
      <c r="U2375" s="1" t="s">
        <v>382</v>
      </c>
    </row>
    <row r="2376" spans="1:21" x14ac:dyDescent="0.2">
      <c r="A2376" s="88" t="s">
        <v>18109</v>
      </c>
      <c r="B2376" s="88" t="e">
        <f>VLOOKUP(C2376,#REF!,1,0)</f>
        <v>#REF!</v>
      </c>
      <c r="C2376" s="1" t="s">
        <v>7877</v>
      </c>
      <c r="D2376" s="1" t="s">
        <v>7878</v>
      </c>
      <c r="E2376" s="1" t="s">
        <v>9010</v>
      </c>
      <c r="F2376" s="1" t="s">
        <v>8959</v>
      </c>
      <c r="G2376" t="s">
        <v>9009</v>
      </c>
      <c r="H2376" s="1" t="s">
        <v>8984</v>
      </c>
      <c r="I2376" s="1" t="s">
        <v>8998</v>
      </c>
      <c r="J2376" s="2" t="s">
        <v>8972</v>
      </c>
      <c r="K2376" s="1" t="s">
        <v>8972</v>
      </c>
      <c r="L2376" s="1" t="s">
        <v>21600</v>
      </c>
      <c r="M2376" s="1">
        <v>2700</v>
      </c>
      <c r="N2376" s="1" t="s">
        <v>8953</v>
      </c>
      <c r="O2376" s="1" t="s">
        <v>8989</v>
      </c>
      <c r="P2376" s="1" t="s">
        <v>8955</v>
      </c>
      <c r="Q2376" s="1" t="s">
        <v>8956</v>
      </c>
      <c r="R2376" s="1" t="s">
        <v>8975</v>
      </c>
      <c r="S2376" s="1" t="s">
        <v>7879</v>
      </c>
      <c r="T2376" s="1" t="s">
        <v>17</v>
      </c>
      <c r="U2376" s="1" t="s">
        <v>180</v>
      </c>
    </row>
    <row r="2377" spans="1:21" x14ac:dyDescent="0.2">
      <c r="A2377" s="88" t="s">
        <v>18111</v>
      </c>
      <c r="B2377" s="88" t="e">
        <f>VLOOKUP(C2377,#REF!,1,0)</f>
        <v>#REF!</v>
      </c>
      <c r="C2377" s="1" t="s">
        <v>7882</v>
      </c>
      <c r="D2377" s="1" t="s">
        <v>7883</v>
      </c>
      <c r="E2377" s="1" t="s">
        <v>18502</v>
      </c>
      <c r="F2377" s="1" t="s">
        <v>8959</v>
      </c>
      <c r="G2377" t="s">
        <v>8959</v>
      </c>
      <c r="H2377" s="1" t="s">
        <v>9605</v>
      </c>
      <c r="I2377" s="1" t="s">
        <v>20930</v>
      </c>
      <c r="J2377" s="2" t="s">
        <v>21388</v>
      </c>
      <c r="K2377" s="1" t="s">
        <v>21371</v>
      </c>
      <c r="L2377" s="1" t="s">
        <v>9076</v>
      </c>
      <c r="M2377" s="1">
        <v>35316</v>
      </c>
      <c r="N2377" s="1" t="s">
        <v>8953</v>
      </c>
      <c r="O2377" s="1" t="s">
        <v>8989</v>
      </c>
      <c r="P2377" s="1" t="s">
        <v>8955</v>
      </c>
      <c r="Q2377" s="1" t="s">
        <v>8956</v>
      </c>
      <c r="R2377" s="1" t="s">
        <v>9103</v>
      </c>
      <c r="S2377" s="1" t="s">
        <v>20265</v>
      </c>
      <c r="T2377" s="1" t="s">
        <v>7</v>
      </c>
      <c r="U2377" s="1" t="s">
        <v>286</v>
      </c>
    </row>
    <row r="2378" spans="1:21" x14ac:dyDescent="0.2">
      <c r="A2378" s="88" t="s">
        <v>18112</v>
      </c>
      <c r="B2378" s="88" t="e">
        <f>VLOOKUP(C2378,#REF!,1,0)</f>
        <v>#REF!</v>
      </c>
      <c r="C2378" s="1" t="s">
        <v>7884</v>
      </c>
      <c r="D2378" s="1" t="s">
        <v>7885</v>
      </c>
      <c r="E2378" s="1" t="s">
        <v>9465</v>
      </c>
      <c r="F2378" s="1" t="s">
        <v>8957</v>
      </c>
      <c r="G2378" t="s">
        <v>9183</v>
      </c>
      <c r="H2378" s="1" t="s">
        <v>9075</v>
      </c>
      <c r="I2378" s="1" t="s">
        <v>8998</v>
      </c>
      <c r="J2378" s="2" t="s">
        <v>9036</v>
      </c>
      <c r="K2378" s="1" t="s">
        <v>9036</v>
      </c>
      <c r="L2378" s="1" t="s">
        <v>9133</v>
      </c>
      <c r="M2378" s="1">
        <v>100</v>
      </c>
      <c r="N2378" s="1" t="s">
        <v>9059</v>
      </c>
      <c r="O2378" s="1" t="s">
        <v>8989</v>
      </c>
      <c r="P2378" s="1" t="s">
        <v>8955</v>
      </c>
      <c r="Q2378" s="1" t="s">
        <v>8956</v>
      </c>
      <c r="R2378" s="1" t="s">
        <v>8958</v>
      </c>
      <c r="S2378" s="1" t="s">
        <v>7886</v>
      </c>
      <c r="T2378" s="1" t="s">
        <v>17</v>
      </c>
      <c r="U2378" s="1" t="s">
        <v>666</v>
      </c>
    </row>
    <row r="2379" spans="1:21" x14ac:dyDescent="0.2">
      <c r="A2379" s="88" t="s">
        <v>18113</v>
      </c>
      <c r="B2379" s="88" t="e">
        <f>VLOOKUP(C2379,#REF!,1,0)</f>
        <v>#REF!</v>
      </c>
      <c r="C2379" s="1" t="s">
        <v>7887</v>
      </c>
      <c r="D2379" s="1" t="s">
        <v>7888</v>
      </c>
      <c r="E2379" s="1" t="s">
        <v>9465</v>
      </c>
      <c r="F2379" s="1" t="s">
        <v>9060</v>
      </c>
      <c r="G2379" t="s">
        <v>9061</v>
      </c>
      <c r="H2379" s="1" t="s">
        <v>8984</v>
      </c>
      <c r="I2379" s="1" t="s">
        <v>8998</v>
      </c>
      <c r="J2379" s="2" t="s">
        <v>20838</v>
      </c>
      <c r="K2379" s="1" t="s">
        <v>20755</v>
      </c>
      <c r="L2379" s="1" t="s">
        <v>21600</v>
      </c>
      <c r="M2379" s="1">
        <v>7772</v>
      </c>
      <c r="N2379" s="1" t="s">
        <v>8953</v>
      </c>
      <c r="O2379" s="1" t="s">
        <v>8989</v>
      </c>
      <c r="P2379" s="1" t="s">
        <v>8955</v>
      </c>
      <c r="Q2379" s="1" t="s">
        <v>8956</v>
      </c>
      <c r="R2379" s="1" t="s">
        <v>8975</v>
      </c>
      <c r="S2379" s="1" t="s">
        <v>20266</v>
      </c>
      <c r="T2379" s="1" t="s">
        <v>7</v>
      </c>
      <c r="U2379" s="1" t="s">
        <v>831</v>
      </c>
    </row>
    <row r="2380" spans="1:21" x14ac:dyDescent="0.2">
      <c r="A2380" s="88" t="s">
        <v>18114</v>
      </c>
      <c r="B2380" s="88" t="e">
        <f>VLOOKUP(C2380,#REF!,1,0)</f>
        <v>#REF!</v>
      </c>
      <c r="C2380" s="1" t="s">
        <v>7889</v>
      </c>
      <c r="D2380" s="1" t="s">
        <v>7890</v>
      </c>
      <c r="E2380" s="1" t="s">
        <v>9246</v>
      </c>
      <c r="F2380" s="1" t="s">
        <v>8959</v>
      </c>
      <c r="G2380" t="s">
        <v>8959</v>
      </c>
      <c r="H2380" s="1" t="s">
        <v>9035</v>
      </c>
      <c r="I2380" s="1" t="s">
        <v>8998</v>
      </c>
      <c r="J2380" s="2" t="s">
        <v>9036</v>
      </c>
      <c r="K2380" s="1" t="s">
        <v>9036</v>
      </c>
      <c r="L2380" s="1" t="s">
        <v>8951</v>
      </c>
      <c r="M2380" s="1">
        <v>30000</v>
      </c>
      <c r="N2380" s="1" t="s">
        <v>8953</v>
      </c>
      <c r="O2380" s="1" t="s">
        <v>8954</v>
      </c>
      <c r="P2380" s="1" t="s">
        <v>8955</v>
      </c>
      <c r="Q2380" s="1" t="s">
        <v>8956</v>
      </c>
      <c r="R2380" s="1" t="s">
        <v>9103</v>
      </c>
      <c r="S2380" s="1" t="s">
        <v>7891</v>
      </c>
      <c r="T2380" s="1" t="s">
        <v>17</v>
      </c>
      <c r="U2380" s="1" t="s">
        <v>126</v>
      </c>
    </row>
    <row r="2381" spans="1:21" x14ac:dyDescent="0.2">
      <c r="A2381" s="88" t="s">
        <v>18115</v>
      </c>
      <c r="B2381" s="88" t="e">
        <f>VLOOKUP(C2381,#REF!,1,0)</f>
        <v>#REF!</v>
      </c>
      <c r="C2381" s="1" t="s">
        <v>7892</v>
      </c>
      <c r="D2381" s="1" t="s">
        <v>7893</v>
      </c>
      <c r="E2381" s="1" t="s">
        <v>9246</v>
      </c>
      <c r="F2381" s="1" t="s">
        <v>8959</v>
      </c>
      <c r="G2381" t="s">
        <v>9009</v>
      </c>
      <c r="H2381" s="1" t="s">
        <v>9035</v>
      </c>
      <c r="I2381" s="1" t="s">
        <v>8998</v>
      </c>
      <c r="J2381" s="2" t="s">
        <v>9102</v>
      </c>
      <c r="K2381" s="1" t="s">
        <v>9102</v>
      </c>
      <c r="L2381" s="1" t="s">
        <v>9076</v>
      </c>
      <c r="M2381" s="1">
        <v>384</v>
      </c>
      <c r="N2381" s="1" t="s">
        <v>8953</v>
      </c>
      <c r="O2381" s="1" t="s">
        <v>8989</v>
      </c>
      <c r="P2381" s="1" t="s">
        <v>8955</v>
      </c>
      <c r="Q2381" s="1" t="s">
        <v>8956</v>
      </c>
      <c r="R2381" s="1" t="s">
        <v>8975</v>
      </c>
      <c r="S2381" s="1" t="s">
        <v>7894</v>
      </c>
      <c r="T2381" s="1" t="s">
        <v>7</v>
      </c>
      <c r="U2381" s="1" t="s">
        <v>670</v>
      </c>
    </row>
    <row r="2382" spans="1:21" x14ac:dyDescent="0.2">
      <c r="A2382" s="88" t="s">
        <v>18116</v>
      </c>
      <c r="B2382" s="88" t="e">
        <f>VLOOKUP(C2382,#REF!,1,0)</f>
        <v>#REF!</v>
      </c>
      <c r="C2382" s="1" t="s">
        <v>7895</v>
      </c>
      <c r="D2382" s="1" t="s">
        <v>7896</v>
      </c>
      <c r="E2382" s="1" t="s">
        <v>10687</v>
      </c>
      <c r="F2382" s="1" t="s">
        <v>8957</v>
      </c>
      <c r="G2382" t="s">
        <v>8959</v>
      </c>
      <c r="H2382" s="1" t="s">
        <v>9173</v>
      </c>
      <c r="I2382" s="1" t="s">
        <v>9101</v>
      </c>
      <c r="J2382" s="2" t="s">
        <v>18497</v>
      </c>
      <c r="K2382" s="1" t="s">
        <v>18497</v>
      </c>
      <c r="L2382" s="1" t="s">
        <v>8987</v>
      </c>
      <c r="M2382" s="1">
        <v>1210</v>
      </c>
      <c r="N2382" s="1" t="s">
        <v>9059</v>
      </c>
      <c r="O2382" s="1" t="s">
        <v>8954</v>
      </c>
      <c r="P2382" s="1" t="s">
        <v>8955</v>
      </c>
      <c r="Q2382" s="1" t="s">
        <v>8956</v>
      </c>
      <c r="R2382" s="1" t="s">
        <v>8958</v>
      </c>
      <c r="S2382" s="1" t="s">
        <v>20267</v>
      </c>
      <c r="T2382" s="1" t="s">
        <v>7</v>
      </c>
      <c r="U2382" s="1" t="s">
        <v>46</v>
      </c>
    </row>
    <row r="2383" spans="1:21" x14ac:dyDescent="0.2">
      <c r="A2383" s="88" t="s">
        <v>18117</v>
      </c>
      <c r="B2383" s="88" t="e">
        <f>VLOOKUP(C2383,#REF!,1,0)</f>
        <v>#REF!</v>
      </c>
      <c r="C2383" s="1" t="s">
        <v>7897</v>
      </c>
      <c r="D2383" s="1" t="s">
        <v>7898</v>
      </c>
      <c r="E2383" s="1" t="s">
        <v>9317</v>
      </c>
      <c r="F2383" s="1" t="s">
        <v>8957</v>
      </c>
      <c r="G2383" t="s">
        <v>8959</v>
      </c>
      <c r="H2383" s="1" t="s">
        <v>9100</v>
      </c>
      <c r="I2383" s="1" t="s">
        <v>9101</v>
      </c>
      <c r="J2383" s="2" t="s">
        <v>21442</v>
      </c>
      <c r="K2383" s="1" t="s">
        <v>21442</v>
      </c>
      <c r="L2383" s="1" t="s">
        <v>21600</v>
      </c>
      <c r="M2383" s="1">
        <v>50</v>
      </c>
      <c r="N2383" s="1" t="s">
        <v>8953</v>
      </c>
      <c r="O2383" s="1" t="s">
        <v>8989</v>
      </c>
      <c r="P2383" s="1" t="s">
        <v>8955</v>
      </c>
      <c r="Q2383" s="1" t="s">
        <v>8956</v>
      </c>
      <c r="R2383" s="1" t="s">
        <v>8958</v>
      </c>
      <c r="S2383" s="1" t="s">
        <v>20268</v>
      </c>
      <c r="T2383" s="1" t="s">
        <v>17</v>
      </c>
      <c r="U2383" s="1" t="s">
        <v>126</v>
      </c>
    </row>
    <row r="2384" spans="1:21" x14ac:dyDescent="0.2">
      <c r="A2384" s="88" t="s">
        <v>18118</v>
      </c>
      <c r="B2384" s="88" t="e">
        <f>VLOOKUP(C2384,#REF!,1,0)</f>
        <v>#REF!</v>
      </c>
      <c r="C2384" s="1" t="s">
        <v>7899</v>
      </c>
      <c r="D2384" s="1" t="s">
        <v>7900</v>
      </c>
      <c r="E2384" s="1" t="s">
        <v>9246</v>
      </c>
      <c r="F2384" s="1" t="s">
        <v>8957</v>
      </c>
      <c r="G2384" t="s">
        <v>9061</v>
      </c>
      <c r="H2384" s="1" t="s">
        <v>9154</v>
      </c>
      <c r="I2384" s="1" t="s">
        <v>8998</v>
      </c>
      <c r="J2384" s="2" t="s">
        <v>9036</v>
      </c>
      <c r="K2384" s="1" t="s">
        <v>9036</v>
      </c>
      <c r="L2384" s="1" t="s">
        <v>8987</v>
      </c>
      <c r="M2384" s="1">
        <v>118</v>
      </c>
      <c r="N2384" s="1" t="s">
        <v>8953</v>
      </c>
      <c r="O2384" s="1" t="s">
        <v>8954</v>
      </c>
      <c r="P2384" s="1" t="s">
        <v>8955</v>
      </c>
      <c r="Q2384" s="1" t="s">
        <v>8956</v>
      </c>
      <c r="R2384" s="1" t="s">
        <v>8958</v>
      </c>
      <c r="S2384" s="1" t="s">
        <v>7901</v>
      </c>
      <c r="T2384" s="1" t="s">
        <v>17</v>
      </c>
      <c r="U2384" s="1" t="s">
        <v>126</v>
      </c>
    </row>
    <row r="2385" spans="1:21" x14ac:dyDescent="0.2">
      <c r="A2385" s="88" t="s">
        <v>18119</v>
      </c>
      <c r="B2385" s="88" t="e">
        <f>VLOOKUP(C2385,#REF!,1,0)</f>
        <v>#REF!</v>
      </c>
      <c r="C2385" s="1" t="s">
        <v>7902</v>
      </c>
      <c r="D2385" s="1" t="s">
        <v>7903</v>
      </c>
      <c r="E2385" s="1" t="s">
        <v>9213</v>
      </c>
      <c r="F2385" s="1" t="s">
        <v>8957</v>
      </c>
      <c r="G2385" t="s">
        <v>8959</v>
      </c>
      <c r="H2385" s="1" t="s">
        <v>9092</v>
      </c>
      <c r="I2385" s="1" t="s">
        <v>8949</v>
      </c>
      <c r="J2385" s="2" t="s">
        <v>21433</v>
      </c>
      <c r="K2385" s="1" t="s">
        <v>21885</v>
      </c>
      <c r="L2385" s="1" t="s">
        <v>20878</v>
      </c>
      <c r="M2385" s="1">
        <v>542</v>
      </c>
      <c r="N2385" s="1" t="s">
        <v>8953</v>
      </c>
      <c r="O2385" s="1" t="s">
        <v>8989</v>
      </c>
      <c r="P2385" s="1" t="s">
        <v>8955</v>
      </c>
      <c r="Q2385" s="1" t="s">
        <v>8956</v>
      </c>
      <c r="R2385" s="1" t="s">
        <v>9103</v>
      </c>
      <c r="S2385" s="1" t="s">
        <v>20269</v>
      </c>
      <c r="T2385" s="1" t="s">
        <v>7</v>
      </c>
      <c r="U2385" s="1" t="s">
        <v>4953</v>
      </c>
    </row>
    <row r="2386" spans="1:21" x14ac:dyDescent="0.2">
      <c r="A2386" s="88" t="s">
        <v>18120</v>
      </c>
      <c r="B2386" s="88" t="e">
        <f>VLOOKUP(C2386,#REF!,1,0)</f>
        <v>#REF!</v>
      </c>
      <c r="C2386" s="1" t="s">
        <v>7904</v>
      </c>
      <c r="D2386" s="1" t="s">
        <v>7905</v>
      </c>
      <c r="E2386" s="1" t="s">
        <v>9010</v>
      </c>
      <c r="F2386" s="1" t="s">
        <v>8959</v>
      </c>
      <c r="G2386" t="s">
        <v>9183</v>
      </c>
      <c r="H2386" s="1" t="s">
        <v>8948</v>
      </c>
      <c r="I2386" s="1" t="s">
        <v>8998</v>
      </c>
      <c r="J2386" s="2" t="s">
        <v>11690</v>
      </c>
      <c r="K2386" s="1" t="s">
        <v>11690</v>
      </c>
      <c r="L2386" s="1" t="s">
        <v>8987</v>
      </c>
      <c r="M2386" s="1">
        <v>108</v>
      </c>
      <c r="N2386" s="1" t="s">
        <v>8953</v>
      </c>
      <c r="O2386" s="1" t="s">
        <v>8954</v>
      </c>
      <c r="P2386" s="1" t="s">
        <v>8955</v>
      </c>
      <c r="Q2386" s="1" t="s">
        <v>8956</v>
      </c>
      <c r="R2386" s="1" t="s">
        <v>9103</v>
      </c>
      <c r="S2386" s="1" t="s">
        <v>7906</v>
      </c>
      <c r="T2386" s="1" t="s">
        <v>11</v>
      </c>
      <c r="U2386" s="1" t="s">
        <v>126</v>
      </c>
    </row>
    <row r="2387" spans="1:21" x14ac:dyDescent="0.2">
      <c r="A2387" s="88" t="s">
        <v>18121</v>
      </c>
      <c r="B2387" s="88" t="e">
        <f>VLOOKUP(C2387,#REF!,1,0)</f>
        <v>#REF!</v>
      </c>
      <c r="C2387" s="1" t="s">
        <v>21103</v>
      </c>
      <c r="D2387" s="1" t="s">
        <v>7907</v>
      </c>
      <c r="E2387" s="1" t="s">
        <v>18502</v>
      </c>
      <c r="F2387" s="1" t="s">
        <v>8957</v>
      </c>
      <c r="G2387" t="s">
        <v>9061</v>
      </c>
      <c r="H2387" s="1" t="s">
        <v>8948</v>
      </c>
      <c r="I2387" s="1" t="s">
        <v>8949</v>
      </c>
      <c r="J2387" s="2" t="s">
        <v>20811</v>
      </c>
      <c r="K2387" s="1" t="s">
        <v>13923</v>
      </c>
      <c r="L2387" s="1" t="s">
        <v>8987</v>
      </c>
      <c r="M2387" s="1">
        <v>26</v>
      </c>
      <c r="N2387" s="1" t="s">
        <v>9059</v>
      </c>
      <c r="O2387" s="1" t="s">
        <v>8989</v>
      </c>
      <c r="P2387" s="1" t="s">
        <v>8955</v>
      </c>
      <c r="Q2387" s="1" t="s">
        <v>8956</v>
      </c>
      <c r="R2387" s="1" t="s">
        <v>8975</v>
      </c>
      <c r="S2387" s="1" t="s">
        <v>20270</v>
      </c>
      <c r="T2387" s="1" t="s">
        <v>17</v>
      </c>
      <c r="U2387" s="1" t="s">
        <v>2627</v>
      </c>
    </row>
    <row r="2388" spans="1:21" x14ac:dyDescent="0.2">
      <c r="A2388" s="88" t="s">
        <v>18122</v>
      </c>
      <c r="B2388" s="88" t="e">
        <f>VLOOKUP(C2388,#REF!,1,0)</f>
        <v>#REF!</v>
      </c>
      <c r="C2388" s="1" t="s">
        <v>7908</v>
      </c>
      <c r="D2388" s="1" t="s">
        <v>7909</v>
      </c>
      <c r="E2388" s="1" t="s">
        <v>18502</v>
      </c>
      <c r="F2388" s="1" t="s">
        <v>8957</v>
      </c>
      <c r="G2388" t="s">
        <v>9061</v>
      </c>
      <c r="H2388" s="1" t="s">
        <v>9035</v>
      </c>
      <c r="I2388" s="1" t="s">
        <v>8998</v>
      </c>
      <c r="J2388" s="2" t="s">
        <v>10492</v>
      </c>
      <c r="K2388" s="1" t="s">
        <v>10492</v>
      </c>
      <c r="L2388" s="1" t="s">
        <v>21110</v>
      </c>
      <c r="M2388" s="1">
        <v>7000</v>
      </c>
      <c r="N2388" s="1" t="s">
        <v>8953</v>
      </c>
      <c r="O2388" s="1" t="s">
        <v>8954</v>
      </c>
      <c r="P2388" s="1" t="s">
        <v>8955</v>
      </c>
      <c r="Q2388" s="1" t="s">
        <v>8956</v>
      </c>
      <c r="R2388" s="1" t="s">
        <v>8975</v>
      </c>
      <c r="S2388" s="1" t="s">
        <v>20271</v>
      </c>
      <c r="T2388" s="1" t="s">
        <v>7</v>
      </c>
      <c r="U2388" s="1" t="s">
        <v>27</v>
      </c>
    </row>
    <row r="2389" spans="1:21" x14ac:dyDescent="0.2">
      <c r="A2389" s="88" t="s">
        <v>18123</v>
      </c>
      <c r="B2389" s="88" t="e">
        <f>VLOOKUP(C2389,#REF!,1,0)</f>
        <v>#REF!</v>
      </c>
      <c r="C2389" s="1" t="s">
        <v>7910</v>
      </c>
      <c r="D2389" s="1" t="s">
        <v>7911</v>
      </c>
      <c r="E2389" s="1" t="s">
        <v>18502</v>
      </c>
      <c r="F2389" s="1" t="s">
        <v>8959</v>
      </c>
      <c r="G2389" t="s">
        <v>8959</v>
      </c>
      <c r="H2389" s="1" t="s">
        <v>8984</v>
      </c>
      <c r="I2389" s="1" t="s">
        <v>8998</v>
      </c>
      <c r="J2389" s="2" t="s">
        <v>10492</v>
      </c>
      <c r="K2389" s="1" t="s">
        <v>21645</v>
      </c>
      <c r="L2389" s="1" t="s">
        <v>9076</v>
      </c>
      <c r="M2389" s="1">
        <v>10</v>
      </c>
      <c r="N2389" s="1" t="s">
        <v>9059</v>
      </c>
      <c r="O2389" s="1" t="s">
        <v>8989</v>
      </c>
      <c r="P2389" s="1" t="s">
        <v>8955</v>
      </c>
      <c r="Q2389" s="1" t="s">
        <v>8956</v>
      </c>
      <c r="R2389" s="1" t="s">
        <v>9103</v>
      </c>
      <c r="S2389" s="1" t="s">
        <v>20272</v>
      </c>
      <c r="T2389" s="1" t="s">
        <v>17</v>
      </c>
      <c r="U2389" s="1" t="s">
        <v>93</v>
      </c>
    </row>
    <row r="2390" spans="1:21" x14ac:dyDescent="0.2">
      <c r="A2390" s="88" t="s">
        <v>18124</v>
      </c>
      <c r="B2390" s="88" t="e">
        <f>VLOOKUP(C2390,#REF!,1,0)</f>
        <v>#REF!</v>
      </c>
      <c r="C2390" s="1" t="s">
        <v>7912</v>
      </c>
      <c r="D2390" s="1" t="s">
        <v>7913</v>
      </c>
      <c r="E2390" s="1" t="s">
        <v>9010</v>
      </c>
      <c r="F2390" s="1" t="s">
        <v>8957</v>
      </c>
      <c r="G2390" t="s">
        <v>8959</v>
      </c>
      <c r="H2390" s="1" t="s">
        <v>9154</v>
      </c>
      <c r="I2390" s="1" t="s">
        <v>8998</v>
      </c>
      <c r="J2390" s="2" t="s">
        <v>10742</v>
      </c>
      <c r="K2390" s="1" t="s">
        <v>10742</v>
      </c>
      <c r="L2390" s="1" t="s">
        <v>8987</v>
      </c>
      <c r="M2390" s="1">
        <v>436</v>
      </c>
      <c r="N2390" s="1" t="s">
        <v>8953</v>
      </c>
      <c r="O2390" s="1" t="s">
        <v>8989</v>
      </c>
      <c r="P2390" s="1" t="s">
        <v>8955</v>
      </c>
      <c r="Q2390" s="1" t="s">
        <v>8956</v>
      </c>
      <c r="R2390" s="1" t="s">
        <v>8975</v>
      </c>
      <c r="S2390" s="1" t="s">
        <v>7914</v>
      </c>
      <c r="T2390" s="1" t="s">
        <v>17</v>
      </c>
      <c r="U2390" s="1" t="s">
        <v>64</v>
      </c>
    </row>
    <row r="2391" spans="1:21" x14ac:dyDescent="0.2">
      <c r="A2391" s="88" t="s">
        <v>18125</v>
      </c>
      <c r="B2391" s="88" t="e">
        <f>VLOOKUP(C2391,#REF!,1,0)</f>
        <v>#REF!</v>
      </c>
      <c r="C2391" s="1" t="s">
        <v>7915</v>
      </c>
      <c r="D2391" s="1" t="s">
        <v>7916</v>
      </c>
      <c r="E2391" s="1" t="s">
        <v>18502</v>
      </c>
      <c r="F2391" s="1" t="s">
        <v>8957</v>
      </c>
      <c r="G2391" t="s">
        <v>9061</v>
      </c>
      <c r="H2391" s="1" t="s">
        <v>9075</v>
      </c>
      <c r="I2391" s="1" t="s">
        <v>8998</v>
      </c>
      <c r="J2391" s="2" t="s">
        <v>20736</v>
      </c>
      <c r="K2391" s="1" t="s">
        <v>21640</v>
      </c>
      <c r="L2391" s="1" t="s">
        <v>9157</v>
      </c>
      <c r="M2391" s="1">
        <v>123</v>
      </c>
      <c r="N2391" s="1" t="s">
        <v>9059</v>
      </c>
      <c r="O2391" s="1" t="s">
        <v>8989</v>
      </c>
      <c r="P2391" s="1" t="s">
        <v>8955</v>
      </c>
      <c r="Q2391" s="1" t="s">
        <v>8956</v>
      </c>
      <c r="R2391" s="1" t="s">
        <v>8975</v>
      </c>
      <c r="S2391" s="1" t="s">
        <v>20273</v>
      </c>
      <c r="T2391" s="1" t="s">
        <v>17</v>
      </c>
      <c r="U2391" s="1" t="s">
        <v>5806</v>
      </c>
    </row>
    <row r="2392" spans="1:21" x14ac:dyDescent="0.2">
      <c r="A2392" s="88" t="s">
        <v>18126</v>
      </c>
      <c r="B2392" s="88" t="e">
        <f>VLOOKUP(C2392,#REF!,1,0)</f>
        <v>#REF!</v>
      </c>
      <c r="C2392" s="1" t="s">
        <v>7917</v>
      </c>
      <c r="D2392" s="1" t="s">
        <v>7918</v>
      </c>
      <c r="E2392" s="1" t="s">
        <v>9010</v>
      </c>
      <c r="F2392" s="1" t="s">
        <v>8957</v>
      </c>
      <c r="G2392" t="s">
        <v>9061</v>
      </c>
      <c r="H2392" s="1" t="s">
        <v>8948</v>
      </c>
      <c r="I2392" s="1" t="s">
        <v>8949</v>
      </c>
      <c r="J2392" s="2" t="s">
        <v>9036</v>
      </c>
      <c r="K2392" s="1" t="s">
        <v>9036</v>
      </c>
      <c r="L2392" s="1" t="s">
        <v>8951</v>
      </c>
      <c r="M2392" s="1">
        <v>163</v>
      </c>
      <c r="N2392" s="1" t="s">
        <v>8953</v>
      </c>
      <c r="O2392" s="1" t="s">
        <v>8989</v>
      </c>
      <c r="P2392" s="1" t="s">
        <v>8955</v>
      </c>
      <c r="Q2392" s="1" t="s">
        <v>8956</v>
      </c>
      <c r="R2392" s="1" t="s">
        <v>8958</v>
      </c>
      <c r="S2392" s="1" t="s">
        <v>7919</v>
      </c>
      <c r="T2392" s="1" t="s">
        <v>920</v>
      </c>
      <c r="U2392" s="1" t="s">
        <v>921</v>
      </c>
    </row>
    <row r="2393" spans="1:21" x14ac:dyDescent="0.2">
      <c r="A2393" s="88" t="s">
        <v>18127</v>
      </c>
      <c r="B2393" s="88" t="e">
        <f>VLOOKUP(C2393,#REF!,1,0)</f>
        <v>#REF!</v>
      </c>
      <c r="C2393" s="1" t="s">
        <v>7920</v>
      </c>
      <c r="D2393" s="1" t="s">
        <v>7921</v>
      </c>
      <c r="E2393" s="1" t="s">
        <v>9010</v>
      </c>
      <c r="F2393" s="1" t="s">
        <v>8957</v>
      </c>
      <c r="G2393" t="s">
        <v>9061</v>
      </c>
      <c r="H2393" s="1" t="s">
        <v>8948</v>
      </c>
      <c r="I2393" s="1" t="s">
        <v>8949</v>
      </c>
      <c r="J2393" s="2" t="s">
        <v>21462</v>
      </c>
      <c r="K2393" s="1" t="s">
        <v>21462</v>
      </c>
      <c r="L2393" s="1" t="s">
        <v>9292</v>
      </c>
      <c r="M2393" s="1">
        <v>104</v>
      </c>
      <c r="N2393" s="1" t="s">
        <v>8953</v>
      </c>
      <c r="O2393" s="1" t="s">
        <v>8989</v>
      </c>
      <c r="P2393" s="1" t="s">
        <v>8955</v>
      </c>
      <c r="Q2393" s="1" t="s">
        <v>8956</v>
      </c>
      <c r="R2393" s="1" t="s">
        <v>8958</v>
      </c>
      <c r="S2393" s="1" t="s">
        <v>7922</v>
      </c>
      <c r="T2393" s="1" t="s">
        <v>242</v>
      </c>
      <c r="U2393" s="1" t="s">
        <v>1076</v>
      </c>
    </row>
    <row r="2394" spans="1:21" x14ac:dyDescent="0.2">
      <c r="A2394" s="88" t="s">
        <v>18128</v>
      </c>
      <c r="B2394" s="88" t="e">
        <f>VLOOKUP(C2394,#REF!,1,0)</f>
        <v>#REF!</v>
      </c>
      <c r="C2394" s="1" t="s">
        <v>7923</v>
      </c>
      <c r="D2394" s="1" t="s">
        <v>7924</v>
      </c>
      <c r="E2394" s="1" t="s">
        <v>9310</v>
      </c>
      <c r="F2394" s="1" t="s">
        <v>8959</v>
      </c>
      <c r="G2394" t="s">
        <v>8959</v>
      </c>
      <c r="H2394" s="1" t="s">
        <v>8948</v>
      </c>
      <c r="I2394" s="1" t="s">
        <v>8949</v>
      </c>
      <c r="J2394" s="2" t="s">
        <v>10492</v>
      </c>
      <c r="K2394" s="1" t="s">
        <v>21645</v>
      </c>
      <c r="L2394" s="1" t="s">
        <v>21600</v>
      </c>
      <c r="M2394" s="1">
        <v>20493</v>
      </c>
      <c r="N2394" s="1" t="s">
        <v>8953</v>
      </c>
      <c r="O2394" s="1" t="s">
        <v>8954</v>
      </c>
      <c r="P2394" s="1" t="s">
        <v>8955</v>
      </c>
      <c r="Q2394" s="1" t="s">
        <v>8956</v>
      </c>
      <c r="R2394" s="1" t="s">
        <v>8958</v>
      </c>
      <c r="S2394" s="1" t="s">
        <v>20274</v>
      </c>
      <c r="T2394" s="1" t="s">
        <v>17</v>
      </c>
      <c r="U2394" s="1" t="s">
        <v>93</v>
      </c>
    </row>
    <row r="2395" spans="1:21" x14ac:dyDescent="0.2">
      <c r="A2395" s="88" t="s">
        <v>18129</v>
      </c>
      <c r="B2395" s="88" t="e">
        <f>VLOOKUP(C2395,#REF!,1,0)</f>
        <v>#REF!</v>
      </c>
      <c r="C2395" s="1" t="s">
        <v>7925</v>
      </c>
      <c r="D2395" s="1" t="s">
        <v>7926</v>
      </c>
      <c r="E2395" s="1" t="s">
        <v>18502</v>
      </c>
      <c r="F2395" s="1" t="s">
        <v>8959</v>
      </c>
      <c r="G2395" t="s">
        <v>8959</v>
      </c>
      <c r="H2395" s="1" t="s">
        <v>9035</v>
      </c>
      <c r="I2395" s="1" t="s">
        <v>9308</v>
      </c>
      <c r="J2395" s="2" t="s">
        <v>21392</v>
      </c>
      <c r="K2395" s="1" t="s">
        <v>21552</v>
      </c>
      <c r="L2395" s="1" t="s">
        <v>9133</v>
      </c>
      <c r="M2395" s="1">
        <v>353818</v>
      </c>
      <c r="N2395" s="1" t="s">
        <v>8953</v>
      </c>
      <c r="O2395" s="1" t="s">
        <v>8954</v>
      </c>
      <c r="P2395" s="1" t="s">
        <v>8955</v>
      </c>
      <c r="Q2395" s="1" t="s">
        <v>8956</v>
      </c>
      <c r="R2395" s="1" t="s">
        <v>8975</v>
      </c>
      <c r="S2395" s="1" t="s">
        <v>20275</v>
      </c>
      <c r="T2395" s="1" t="s">
        <v>7</v>
      </c>
      <c r="U2395" s="1" t="s">
        <v>1918</v>
      </c>
    </row>
    <row r="2396" spans="1:21" x14ac:dyDescent="0.2">
      <c r="A2396" s="88" t="s">
        <v>18130</v>
      </c>
      <c r="B2396" s="88" t="e">
        <f>VLOOKUP(C2396,#REF!,1,0)</f>
        <v>#REF!</v>
      </c>
      <c r="C2396" s="1" t="s">
        <v>7927</v>
      </c>
      <c r="D2396" s="1" t="s">
        <v>7928</v>
      </c>
      <c r="E2396" s="1" t="s">
        <v>10873</v>
      </c>
      <c r="F2396" s="1" t="s">
        <v>8957</v>
      </c>
      <c r="G2396" t="s">
        <v>9061</v>
      </c>
      <c r="H2396" s="1" t="s">
        <v>9100</v>
      </c>
      <c r="I2396" s="1" t="s">
        <v>8949</v>
      </c>
      <c r="J2396" s="2" t="s">
        <v>20779</v>
      </c>
      <c r="K2396" s="1" t="s">
        <v>9036</v>
      </c>
      <c r="L2396" s="1" t="s">
        <v>21600</v>
      </c>
      <c r="M2396" s="1">
        <v>2770</v>
      </c>
      <c r="N2396" s="1" t="s">
        <v>9059</v>
      </c>
      <c r="O2396" s="1" t="s">
        <v>8954</v>
      </c>
      <c r="P2396" s="1" t="s">
        <v>8955</v>
      </c>
      <c r="Q2396" s="1" t="s">
        <v>8956</v>
      </c>
      <c r="R2396" s="1" t="s">
        <v>8975</v>
      </c>
      <c r="S2396" s="1" t="s">
        <v>20703</v>
      </c>
      <c r="T2396" s="1" t="s">
        <v>17</v>
      </c>
      <c r="U2396" s="1" t="s">
        <v>544</v>
      </c>
    </row>
    <row r="2397" spans="1:21" x14ac:dyDescent="0.2">
      <c r="A2397" s="88" t="s">
        <v>18131</v>
      </c>
      <c r="B2397" s="88" t="e">
        <f>VLOOKUP(C2397,#REF!,1,0)</f>
        <v>#REF!</v>
      </c>
      <c r="C2397" s="1" t="s">
        <v>7929</v>
      </c>
      <c r="D2397" s="1" t="s">
        <v>7930</v>
      </c>
      <c r="E2397" s="1" t="s">
        <v>9310</v>
      </c>
      <c r="F2397" s="1" t="s">
        <v>8957</v>
      </c>
      <c r="G2397" t="s">
        <v>8959</v>
      </c>
      <c r="H2397" s="1" t="s">
        <v>9075</v>
      </c>
      <c r="I2397" s="1" t="s">
        <v>8949</v>
      </c>
      <c r="J2397" s="2" t="s">
        <v>18497</v>
      </c>
      <c r="K2397" s="1" t="s">
        <v>18497</v>
      </c>
      <c r="L2397" s="1" t="s">
        <v>9292</v>
      </c>
      <c r="M2397" s="1">
        <v>894</v>
      </c>
      <c r="N2397" s="1" t="s">
        <v>9059</v>
      </c>
      <c r="O2397" s="1" t="s">
        <v>8954</v>
      </c>
      <c r="P2397" s="1" t="s">
        <v>8955</v>
      </c>
      <c r="Q2397" s="1" t="s">
        <v>8956</v>
      </c>
      <c r="R2397" s="1" t="s">
        <v>8975</v>
      </c>
      <c r="S2397" s="1" t="s">
        <v>20276</v>
      </c>
      <c r="T2397" s="1" t="s">
        <v>7</v>
      </c>
      <c r="U2397" s="1" t="s">
        <v>1918</v>
      </c>
    </row>
    <row r="2398" spans="1:21" x14ac:dyDescent="0.2">
      <c r="A2398" s="88" t="s">
        <v>18133</v>
      </c>
      <c r="B2398" s="88" t="e">
        <f>VLOOKUP(C2398,#REF!,1,0)</f>
        <v>#REF!</v>
      </c>
      <c r="C2398" s="1" t="s">
        <v>7933</v>
      </c>
      <c r="D2398" s="1" t="s">
        <v>7934</v>
      </c>
      <c r="E2398" s="1" t="s">
        <v>10850</v>
      </c>
      <c r="F2398" s="1" t="s">
        <v>8959</v>
      </c>
      <c r="G2398" t="s">
        <v>8959</v>
      </c>
      <c r="H2398" s="1" t="s">
        <v>9100</v>
      </c>
      <c r="I2398" s="1" t="s">
        <v>8949</v>
      </c>
      <c r="J2398" s="2" t="s">
        <v>21449</v>
      </c>
      <c r="K2398" s="1" t="s">
        <v>21702</v>
      </c>
      <c r="L2398" s="1" t="s">
        <v>21600</v>
      </c>
      <c r="M2398" s="1">
        <v>45171</v>
      </c>
      <c r="N2398" s="1" t="s">
        <v>8953</v>
      </c>
      <c r="O2398" s="1" t="s">
        <v>8989</v>
      </c>
      <c r="P2398" s="1" t="s">
        <v>8955</v>
      </c>
      <c r="Q2398" s="1" t="s">
        <v>8956</v>
      </c>
      <c r="R2398" s="1" t="s">
        <v>9103</v>
      </c>
      <c r="S2398" s="1" t="s">
        <v>20278</v>
      </c>
      <c r="T2398" s="1" t="s">
        <v>7</v>
      </c>
      <c r="U2398" s="1" t="s">
        <v>46</v>
      </c>
    </row>
    <row r="2399" spans="1:21" x14ac:dyDescent="0.2">
      <c r="A2399" s="88" t="s">
        <v>18134</v>
      </c>
      <c r="B2399" s="88" t="e">
        <f>VLOOKUP(C2399,#REF!,1,0)</f>
        <v>#REF!</v>
      </c>
      <c r="C2399" s="1" t="s">
        <v>7935</v>
      </c>
      <c r="D2399" s="1" t="s">
        <v>7936</v>
      </c>
      <c r="E2399" s="1" t="s">
        <v>9310</v>
      </c>
      <c r="F2399" s="1" t="s">
        <v>8957</v>
      </c>
      <c r="G2399" t="s">
        <v>8959</v>
      </c>
      <c r="H2399" s="1" t="s">
        <v>9035</v>
      </c>
      <c r="I2399" s="1" t="s">
        <v>8998</v>
      </c>
      <c r="J2399" s="2" t="s">
        <v>20723</v>
      </c>
      <c r="K2399" s="1" t="s">
        <v>20723</v>
      </c>
      <c r="L2399" s="1" t="s">
        <v>8987</v>
      </c>
      <c r="M2399" s="1">
        <v>1000</v>
      </c>
      <c r="N2399" s="1" t="s">
        <v>8953</v>
      </c>
      <c r="O2399" s="1" t="s">
        <v>8989</v>
      </c>
      <c r="P2399" s="1" t="s">
        <v>8955</v>
      </c>
      <c r="Q2399" s="1" t="s">
        <v>8956</v>
      </c>
      <c r="R2399" s="1" t="s">
        <v>8975</v>
      </c>
      <c r="S2399" s="1" t="s">
        <v>20279</v>
      </c>
      <c r="T2399" s="1" t="s">
        <v>17</v>
      </c>
      <c r="U2399" s="1" t="s">
        <v>234</v>
      </c>
    </row>
    <row r="2400" spans="1:21" x14ac:dyDescent="0.2">
      <c r="A2400" s="88" t="s">
        <v>18135</v>
      </c>
      <c r="B2400" s="88" t="e">
        <f>VLOOKUP(C2400,#REF!,1,0)</f>
        <v>#REF!</v>
      </c>
      <c r="C2400" s="1" t="s">
        <v>7937</v>
      </c>
      <c r="D2400" s="1" t="s">
        <v>7938</v>
      </c>
      <c r="E2400" s="1" t="s">
        <v>9310</v>
      </c>
      <c r="F2400" s="1" t="s">
        <v>8957</v>
      </c>
      <c r="G2400" t="s">
        <v>8959</v>
      </c>
      <c r="H2400" s="1" t="s">
        <v>9035</v>
      </c>
      <c r="I2400" s="1" t="s">
        <v>8998</v>
      </c>
      <c r="J2400" s="2" t="s">
        <v>18497</v>
      </c>
      <c r="K2400" s="1" t="s">
        <v>18497</v>
      </c>
      <c r="L2400" s="1" t="s">
        <v>9292</v>
      </c>
      <c r="M2400" s="1">
        <v>495</v>
      </c>
      <c r="N2400" s="1" t="s">
        <v>9059</v>
      </c>
      <c r="O2400" s="1" t="s">
        <v>8954</v>
      </c>
      <c r="P2400" s="1" t="s">
        <v>8955</v>
      </c>
      <c r="Q2400" s="1" t="s">
        <v>8956</v>
      </c>
      <c r="R2400" s="1" t="s">
        <v>8975</v>
      </c>
      <c r="S2400" s="1" t="s">
        <v>20280</v>
      </c>
      <c r="T2400" s="1" t="s">
        <v>7</v>
      </c>
      <c r="U2400" s="1" t="s">
        <v>831</v>
      </c>
    </row>
    <row r="2401" spans="1:21" x14ac:dyDescent="0.2">
      <c r="A2401" s="88" t="s">
        <v>18136</v>
      </c>
      <c r="B2401" s="88" t="e">
        <f>VLOOKUP(C2401,#REF!,1,0)</f>
        <v>#REF!</v>
      </c>
      <c r="C2401" s="1" t="s">
        <v>7939</v>
      </c>
      <c r="D2401" s="1" t="s">
        <v>7940</v>
      </c>
      <c r="E2401" s="1" t="s">
        <v>9310</v>
      </c>
      <c r="F2401" s="1" t="s">
        <v>8957</v>
      </c>
      <c r="G2401" t="s">
        <v>8959</v>
      </c>
      <c r="H2401" s="1" t="s">
        <v>8984</v>
      </c>
      <c r="I2401" s="1" t="s">
        <v>8998</v>
      </c>
      <c r="J2401" s="2" t="s">
        <v>20723</v>
      </c>
      <c r="K2401" s="1" t="s">
        <v>20723</v>
      </c>
      <c r="L2401" s="1" t="s">
        <v>8951</v>
      </c>
      <c r="M2401" s="1">
        <v>398</v>
      </c>
      <c r="N2401" s="1" t="s">
        <v>9059</v>
      </c>
      <c r="O2401" s="1" t="s">
        <v>8989</v>
      </c>
      <c r="P2401" s="1" t="s">
        <v>8955</v>
      </c>
      <c r="Q2401" s="1" t="s">
        <v>8956</v>
      </c>
      <c r="R2401" s="1" t="s">
        <v>8975</v>
      </c>
      <c r="S2401" s="1" t="s">
        <v>20281</v>
      </c>
      <c r="T2401" s="1" t="s">
        <v>7</v>
      </c>
      <c r="U2401" s="1" t="s">
        <v>562</v>
      </c>
    </row>
    <row r="2402" spans="1:21" x14ac:dyDescent="0.2">
      <c r="A2402" s="88" t="s">
        <v>18137</v>
      </c>
      <c r="B2402" s="88" t="e">
        <f>VLOOKUP(C2402,#REF!,1,0)</f>
        <v>#REF!</v>
      </c>
      <c r="C2402" s="1" t="s">
        <v>7941</v>
      </c>
      <c r="D2402" s="1" t="s">
        <v>7942</v>
      </c>
      <c r="E2402" s="1" t="s">
        <v>18502</v>
      </c>
      <c r="F2402" s="1" t="s">
        <v>8957</v>
      </c>
      <c r="G2402" t="s">
        <v>8959</v>
      </c>
      <c r="H2402" s="1" t="s">
        <v>9035</v>
      </c>
      <c r="I2402" s="1" t="s">
        <v>8998</v>
      </c>
      <c r="J2402" s="2" t="s">
        <v>20838</v>
      </c>
      <c r="K2402" s="1" t="s">
        <v>20755</v>
      </c>
      <c r="L2402" s="1" t="s">
        <v>21600</v>
      </c>
      <c r="M2402" s="1">
        <v>38</v>
      </c>
      <c r="N2402" s="1" t="s">
        <v>9059</v>
      </c>
      <c r="O2402" s="1" t="s">
        <v>8989</v>
      </c>
      <c r="P2402" s="1" t="s">
        <v>8955</v>
      </c>
      <c r="Q2402" s="1" t="s">
        <v>8956</v>
      </c>
      <c r="R2402" s="1" t="s">
        <v>9103</v>
      </c>
      <c r="S2402" s="1" t="s">
        <v>20282</v>
      </c>
      <c r="T2402" s="1" t="s">
        <v>11</v>
      </c>
      <c r="U2402" s="1" t="s">
        <v>1050</v>
      </c>
    </row>
    <row r="2403" spans="1:21" x14ac:dyDescent="0.2">
      <c r="A2403" s="88" t="s">
        <v>18138</v>
      </c>
      <c r="B2403" s="88" t="e">
        <f>VLOOKUP(C2403,#REF!,1,0)</f>
        <v>#REF!</v>
      </c>
      <c r="C2403" s="1" t="s">
        <v>7943</v>
      </c>
      <c r="D2403" s="1" t="s">
        <v>7944</v>
      </c>
      <c r="E2403" s="1" t="s">
        <v>18502</v>
      </c>
      <c r="F2403" s="1" t="s">
        <v>9060</v>
      </c>
      <c r="G2403" t="s">
        <v>9061</v>
      </c>
      <c r="H2403" s="1" t="s">
        <v>9092</v>
      </c>
      <c r="I2403" s="1" t="s">
        <v>8949</v>
      </c>
      <c r="J2403" s="2" t="s">
        <v>20779</v>
      </c>
      <c r="K2403" s="1" t="s">
        <v>9036</v>
      </c>
      <c r="L2403" s="1" t="s">
        <v>9076</v>
      </c>
      <c r="M2403" s="1">
        <v>11520</v>
      </c>
      <c r="N2403" s="1" t="s">
        <v>8953</v>
      </c>
      <c r="O2403" s="1" t="s">
        <v>8989</v>
      </c>
      <c r="P2403" s="1" t="s">
        <v>8955</v>
      </c>
      <c r="Q2403" s="1" t="s">
        <v>8956</v>
      </c>
      <c r="R2403" s="1" t="s">
        <v>8958</v>
      </c>
      <c r="S2403" s="1" t="s">
        <v>20283</v>
      </c>
      <c r="T2403" s="1" t="s">
        <v>7</v>
      </c>
      <c r="U2403" s="1" t="s">
        <v>21</v>
      </c>
    </row>
    <row r="2404" spans="1:21" x14ac:dyDescent="0.2">
      <c r="A2404" s="88" t="s">
        <v>18139</v>
      </c>
      <c r="B2404" s="88" t="e">
        <f>VLOOKUP(C2404,#REF!,1,0)</f>
        <v>#REF!</v>
      </c>
      <c r="C2404" s="1" t="s">
        <v>7945</v>
      </c>
      <c r="D2404" s="1" t="s">
        <v>7946</v>
      </c>
      <c r="E2404" s="1" t="s">
        <v>18502</v>
      </c>
      <c r="F2404" s="1" t="s">
        <v>8957</v>
      </c>
      <c r="G2404" t="s">
        <v>9061</v>
      </c>
      <c r="H2404" s="1" t="s">
        <v>9092</v>
      </c>
      <c r="I2404" s="1" t="s">
        <v>8949</v>
      </c>
      <c r="J2404" s="2" t="s">
        <v>21458</v>
      </c>
      <c r="K2404" s="1" t="s">
        <v>21439</v>
      </c>
      <c r="L2404" s="1" t="s">
        <v>9076</v>
      </c>
      <c r="M2404" s="1">
        <v>1512</v>
      </c>
      <c r="N2404" s="1" t="s">
        <v>8953</v>
      </c>
      <c r="O2404" s="1" t="s">
        <v>8989</v>
      </c>
      <c r="P2404" s="1" t="s">
        <v>8955</v>
      </c>
      <c r="Q2404" s="1" t="s">
        <v>8956</v>
      </c>
      <c r="R2404" s="1" t="s">
        <v>9103</v>
      </c>
      <c r="S2404" s="1" t="s">
        <v>20284</v>
      </c>
      <c r="T2404" s="1" t="s">
        <v>7</v>
      </c>
      <c r="U2404" s="1" t="s">
        <v>21</v>
      </c>
    </row>
    <row r="2405" spans="1:21" x14ac:dyDescent="0.2">
      <c r="A2405" s="88" t="s">
        <v>18140</v>
      </c>
      <c r="B2405" s="88" t="e">
        <f>VLOOKUP(C2405,#REF!,1,0)</f>
        <v>#REF!</v>
      </c>
      <c r="C2405" s="1" t="s">
        <v>7947</v>
      </c>
      <c r="D2405" s="1" t="s">
        <v>7948</v>
      </c>
      <c r="E2405" s="1" t="s">
        <v>18502</v>
      </c>
      <c r="F2405" s="1" t="s">
        <v>8957</v>
      </c>
      <c r="G2405" t="s">
        <v>8959</v>
      </c>
      <c r="H2405" s="1" t="s">
        <v>9605</v>
      </c>
      <c r="I2405" s="1" t="s">
        <v>9101</v>
      </c>
      <c r="J2405" s="2" t="s">
        <v>21449</v>
      </c>
      <c r="K2405" s="1" t="s">
        <v>10629</v>
      </c>
      <c r="L2405" s="1" t="s">
        <v>9076</v>
      </c>
      <c r="M2405" s="84">
        <v>100000</v>
      </c>
      <c r="N2405" s="1" t="s">
        <v>8953</v>
      </c>
      <c r="O2405" s="84" t="s">
        <v>8989</v>
      </c>
      <c r="P2405" s="1" t="s">
        <v>8955</v>
      </c>
      <c r="Q2405" s="1" t="s">
        <v>8956</v>
      </c>
      <c r="R2405" s="1" t="s">
        <v>8975</v>
      </c>
      <c r="S2405" s="1" t="s">
        <v>20285</v>
      </c>
      <c r="T2405" s="1" t="s">
        <v>17</v>
      </c>
      <c r="U2405" s="1" t="s">
        <v>700</v>
      </c>
    </row>
    <row r="2406" spans="1:21" x14ac:dyDescent="0.2">
      <c r="A2406" s="88" t="s">
        <v>18142</v>
      </c>
      <c r="B2406" s="88" t="e">
        <f>VLOOKUP(C2406,#REF!,1,0)</f>
        <v>#REF!</v>
      </c>
      <c r="C2406" s="1" t="s">
        <v>7951</v>
      </c>
      <c r="D2406" s="1" t="s">
        <v>7952</v>
      </c>
      <c r="E2406" s="1" t="s">
        <v>9310</v>
      </c>
      <c r="F2406" s="1" t="s">
        <v>8957</v>
      </c>
      <c r="G2406" t="s">
        <v>9009</v>
      </c>
      <c r="H2406" s="1" t="s">
        <v>9092</v>
      </c>
      <c r="I2406" s="1" t="s">
        <v>9101</v>
      </c>
      <c r="J2406" s="2" t="s">
        <v>20841</v>
      </c>
      <c r="K2406" s="1" t="s">
        <v>20724</v>
      </c>
      <c r="L2406" s="1" t="s">
        <v>20856</v>
      </c>
      <c r="M2406" s="1">
        <v>291</v>
      </c>
      <c r="N2406" s="1" t="s">
        <v>8953</v>
      </c>
      <c r="O2406" s="1" t="s">
        <v>8989</v>
      </c>
      <c r="P2406" s="1" t="s">
        <v>8955</v>
      </c>
      <c r="Q2406" s="1" t="s">
        <v>8956</v>
      </c>
      <c r="R2406" s="1" t="s">
        <v>8975</v>
      </c>
      <c r="S2406" s="1" t="s">
        <v>20287</v>
      </c>
      <c r="T2406" s="1" t="s">
        <v>7</v>
      </c>
      <c r="U2406" s="1" t="s">
        <v>1614</v>
      </c>
    </row>
    <row r="2407" spans="1:21" x14ac:dyDescent="0.2">
      <c r="A2407" s="88" t="s">
        <v>18143</v>
      </c>
      <c r="B2407" s="88" t="e">
        <f>VLOOKUP(C2407,#REF!,1,0)</f>
        <v>#REF!</v>
      </c>
      <c r="C2407" s="1" t="s">
        <v>7953</v>
      </c>
      <c r="D2407" s="1" t="s">
        <v>7954</v>
      </c>
      <c r="E2407" s="1" t="s">
        <v>9010</v>
      </c>
      <c r="F2407" s="1" t="s">
        <v>8959</v>
      </c>
      <c r="G2407" t="s">
        <v>8959</v>
      </c>
      <c r="H2407" s="1" t="s">
        <v>8984</v>
      </c>
      <c r="I2407" s="1" t="s">
        <v>8998</v>
      </c>
      <c r="J2407" s="2" t="s">
        <v>9036</v>
      </c>
      <c r="K2407" s="1" t="s">
        <v>9036</v>
      </c>
      <c r="L2407" s="1" t="s">
        <v>9076</v>
      </c>
      <c r="M2407" s="1">
        <v>360</v>
      </c>
      <c r="N2407" s="1" t="s">
        <v>8953</v>
      </c>
      <c r="O2407" s="1" t="s">
        <v>8989</v>
      </c>
      <c r="P2407" s="1" t="s">
        <v>8955</v>
      </c>
      <c r="Q2407" s="1" t="s">
        <v>8956</v>
      </c>
      <c r="R2407" s="1" t="s">
        <v>8958</v>
      </c>
      <c r="S2407" s="1" t="s">
        <v>7955</v>
      </c>
      <c r="T2407" s="1" t="s">
        <v>11</v>
      </c>
      <c r="U2407" s="1" t="s">
        <v>61</v>
      </c>
    </row>
    <row r="2408" spans="1:21" x14ac:dyDescent="0.2">
      <c r="A2408" s="88" t="s">
        <v>18144</v>
      </c>
      <c r="B2408" s="88" t="e">
        <f>VLOOKUP(C2408,#REF!,1,0)</f>
        <v>#REF!</v>
      </c>
      <c r="C2408" s="1" t="s">
        <v>7956</v>
      </c>
      <c r="D2408" s="1" t="s">
        <v>7957</v>
      </c>
      <c r="E2408" s="1" t="s">
        <v>9310</v>
      </c>
      <c r="F2408" s="1" t="s">
        <v>9060</v>
      </c>
      <c r="G2408" t="s">
        <v>8959</v>
      </c>
      <c r="H2408" s="1" t="s">
        <v>9075</v>
      </c>
      <c r="I2408" s="1" t="s">
        <v>8949</v>
      </c>
      <c r="J2408" s="2" t="s">
        <v>18497</v>
      </c>
      <c r="K2408" s="1" t="s">
        <v>18497</v>
      </c>
      <c r="L2408" s="1" t="s">
        <v>8987</v>
      </c>
      <c r="M2408" s="1">
        <v>4080000</v>
      </c>
      <c r="N2408" s="1" t="s">
        <v>8953</v>
      </c>
      <c r="O2408" s="1" t="s">
        <v>8954</v>
      </c>
      <c r="P2408" s="1" t="s">
        <v>8955</v>
      </c>
      <c r="Q2408" s="1" t="s">
        <v>8956</v>
      </c>
      <c r="R2408" s="1" t="s">
        <v>8975</v>
      </c>
      <c r="S2408" s="1" t="s">
        <v>20288</v>
      </c>
      <c r="T2408" s="1" t="s">
        <v>7</v>
      </c>
      <c r="U2408" s="1" t="s">
        <v>39</v>
      </c>
    </row>
    <row r="2409" spans="1:21" x14ac:dyDescent="0.2">
      <c r="A2409" s="88" t="s">
        <v>18145</v>
      </c>
      <c r="B2409" s="88" t="e">
        <f>VLOOKUP(C2409,#REF!,1,0)</f>
        <v>#REF!</v>
      </c>
      <c r="C2409" s="1" t="s">
        <v>7958</v>
      </c>
      <c r="D2409" s="1" t="s">
        <v>7959</v>
      </c>
      <c r="E2409" s="1" t="s">
        <v>9310</v>
      </c>
      <c r="F2409" s="1" t="s">
        <v>8957</v>
      </c>
      <c r="G2409" t="s">
        <v>8959</v>
      </c>
      <c r="H2409" s="1" t="s">
        <v>20714</v>
      </c>
      <c r="I2409" s="1" t="s">
        <v>20725</v>
      </c>
      <c r="J2409" s="2" t="s">
        <v>10492</v>
      </c>
      <c r="K2409" s="1" t="s">
        <v>10492</v>
      </c>
      <c r="L2409" s="1" t="s">
        <v>8987</v>
      </c>
      <c r="M2409" s="1">
        <v>8576</v>
      </c>
      <c r="N2409" s="1" t="s">
        <v>8953</v>
      </c>
      <c r="O2409" s="1" t="s">
        <v>8989</v>
      </c>
      <c r="P2409" s="1" t="s">
        <v>8955</v>
      </c>
      <c r="Q2409" s="1" t="s">
        <v>8956</v>
      </c>
      <c r="R2409" s="1" t="s">
        <v>8958</v>
      </c>
      <c r="S2409" s="1" t="s">
        <v>20289</v>
      </c>
      <c r="T2409" s="1" t="s">
        <v>7</v>
      </c>
      <c r="U2409" s="1" t="s">
        <v>1797</v>
      </c>
    </row>
    <row r="2410" spans="1:21" x14ac:dyDescent="0.2">
      <c r="A2410" s="88" t="s">
        <v>18146</v>
      </c>
      <c r="B2410" s="88" t="e">
        <f>VLOOKUP(C2410,#REF!,1,0)</f>
        <v>#REF!</v>
      </c>
      <c r="C2410" s="1" t="s">
        <v>7960</v>
      </c>
      <c r="D2410" s="1" t="s">
        <v>7961</v>
      </c>
      <c r="E2410" s="1" t="s">
        <v>9310</v>
      </c>
      <c r="F2410" s="1" t="s">
        <v>8957</v>
      </c>
      <c r="G2410" t="s">
        <v>8959</v>
      </c>
      <c r="H2410" s="1" t="s">
        <v>8984</v>
      </c>
      <c r="I2410" s="1" t="s">
        <v>8998</v>
      </c>
      <c r="J2410" s="2" t="s">
        <v>10258</v>
      </c>
      <c r="K2410" s="1" t="s">
        <v>21766</v>
      </c>
      <c r="L2410" s="1" t="s">
        <v>21600</v>
      </c>
      <c r="M2410" s="1">
        <v>15500</v>
      </c>
      <c r="N2410" s="1" t="s">
        <v>8953</v>
      </c>
      <c r="O2410" s="1" t="s">
        <v>8954</v>
      </c>
      <c r="P2410" s="1" t="s">
        <v>8955</v>
      </c>
      <c r="Q2410" s="1" t="s">
        <v>8956</v>
      </c>
      <c r="R2410" s="1" t="s">
        <v>9103</v>
      </c>
      <c r="S2410" s="1" t="s">
        <v>7962</v>
      </c>
      <c r="T2410" s="1" t="s">
        <v>11</v>
      </c>
      <c r="U2410" s="1" t="s">
        <v>97</v>
      </c>
    </row>
    <row r="2411" spans="1:21" x14ac:dyDescent="0.2">
      <c r="A2411" s="88" t="s">
        <v>18147</v>
      </c>
      <c r="B2411" s="88" t="e">
        <f>VLOOKUP(C2411,#REF!,1,0)</f>
        <v>#REF!</v>
      </c>
      <c r="C2411" s="1" t="s">
        <v>7963</v>
      </c>
      <c r="D2411" s="1" t="s">
        <v>7964</v>
      </c>
      <c r="E2411" s="1" t="s">
        <v>9176</v>
      </c>
      <c r="F2411" s="1" t="s">
        <v>8974</v>
      </c>
      <c r="G2411" t="s">
        <v>9009</v>
      </c>
      <c r="H2411" s="1" t="s">
        <v>9605</v>
      </c>
      <c r="I2411" s="1" t="s">
        <v>8985</v>
      </c>
      <c r="J2411" s="2" t="s">
        <v>10936</v>
      </c>
      <c r="K2411" s="1" t="s">
        <v>21772</v>
      </c>
      <c r="L2411" s="1" t="s">
        <v>8987</v>
      </c>
      <c r="M2411" s="1">
        <v>126</v>
      </c>
      <c r="N2411" s="1" t="s">
        <v>8953</v>
      </c>
      <c r="O2411" s="1" t="s">
        <v>8954</v>
      </c>
      <c r="P2411" s="1" t="s">
        <v>8955</v>
      </c>
      <c r="Q2411" s="1" t="s">
        <v>8956</v>
      </c>
      <c r="R2411" s="1" t="s">
        <v>8958</v>
      </c>
      <c r="S2411" s="1" t="s">
        <v>7965</v>
      </c>
      <c r="T2411" s="1" t="s">
        <v>11</v>
      </c>
      <c r="U2411" s="1" t="s">
        <v>46</v>
      </c>
    </row>
    <row r="2412" spans="1:21" x14ac:dyDescent="0.2">
      <c r="A2412" s="88" t="s">
        <v>18149</v>
      </c>
      <c r="B2412" s="88" t="e">
        <f>VLOOKUP(C2412,#REF!,1,0)</f>
        <v>#REF!</v>
      </c>
      <c r="C2412" s="1" t="s">
        <v>7969</v>
      </c>
      <c r="D2412" s="1" t="s">
        <v>7970</v>
      </c>
      <c r="E2412" s="1" t="s">
        <v>9310</v>
      </c>
      <c r="F2412" s="1" t="s">
        <v>8957</v>
      </c>
      <c r="G2412" t="s">
        <v>9061</v>
      </c>
      <c r="H2412" s="1" t="s">
        <v>9035</v>
      </c>
      <c r="I2412" s="1" t="s">
        <v>8998</v>
      </c>
      <c r="J2412" s="2" t="s">
        <v>10492</v>
      </c>
      <c r="K2412" s="1" t="s">
        <v>10492</v>
      </c>
      <c r="L2412" s="1" t="s">
        <v>8987</v>
      </c>
      <c r="M2412" s="1">
        <v>373</v>
      </c>
      <c r="N2412" s="1" t="s">
        <v>9059</v>
      </c>
      <c r="O2412" s="1" t="s">
        <v>8954</v>
      </c>
      <c r="P2412" s="1" t="s">
        <v>8955</v>
      </c>
      <c r="Q2412" s="1" t="s">
        <v>8956</v>
      </c>
      <c r="R2412" s="1" t="s">
        <v>8958</v>
      </c>
      <c r="S2412" s="1" t="s">
        <v>20291</v>
      </c>
      <c r="T2412" s="1" t="s">
        <v>7</v>
      </c>
      <c r="U2412" s="1" t="s">
        <v>2377</v>
      </c>
    </row>
    <row r="2413" spans="1:21" x14ac:dyDescent="0.2">
      <c r="A2413" s="88" t="s">
        <v>18150</v>
      </c>
      <c r="B2413" s="88" t="e">
        <f>VLOOKUP(C2413,#REF!,1,0)</f>
        <v>#REF!</v>
      </c>
      <c r="C2413" s="1" t="s">
        <v>7971</v>
      </c>
      <c r="D2413" s="1" t="s">
        <v>7972</v>
      </c>
      <c r="E2413" s="1" t="s">
        <v>18502</v>
      </c>
      <c r="F2413" s="1" t="s">
        <v>8959</v>
      </c>
      <c r="G2413" t="s">
        <v>8959</v>
      </c>
      <c r="H2413" s="1" t="s">
        <v>20712</v>
      </c>
      <c r="I2413" s="1" t="s">
        <v>8998</v>
      </c>
      <c r="J2413" s="2" t="s">
        <v>21405</v>
      </c>
      <c r="K2413" s="1" t="s">
        <v>21405</v>
      </c>
      <c r="L2413" s="1" t="s">
        <v>21600</v>
      </c>
      <c r="M2413" s="1">
        <v>371</v>
      </c>
      <c r="N2413" s="1" t="s">
        <v>9059</v>
      </c>
      <c r="O2413" s="1" t="s">
        <v>8954</v>
      </c>
      <c r="P2413" s="1" t="s">
        <v>8955</v>
      </c>
      <c r="Q2413" s="1" t="s">
        <v>8956</v>
      </c>
      <c r="R2413" s="1" t="s">
        <v>8975</v>
      </c>
      <c r="S2413" s="1" t="s">
        <v>20292</v>
      </c>
      <c r="T2413" s="1" t="s">
        <v>7</v>
      </c>
      <c r="U2413" s="1" t="s">
        <v>126</v>
      </c>
    </row>
    <row r="2414" spans="1:21" x14ac:dyDescent="0.2">
      <c r="A2414" s="88" t="s">
        <v>18151</v>
      </c>
      <c r="B2414" s="88" t="e">
        <f>VLOOKUP(C2414,#REF!,1,0)</f>
        <v>#REF!</v>
      </c>
      <c r="C2414" s="1" t="s">
        <v>7973</v>
      </c>
      <c r="D2414" s="1" t="s">
        <v>7974</v>
      </c>
      <c r="E2414" s="1" t="s">
        <v>9310</v>
      </c>
      <c r="F2414" s="1" t="s">
        <v>8959</v>
      </c>
      <c r="G2414" t="s">
        <v>8959</v>
      </c>
      <c r="H2414" s="1" t="s">
        <v>8948</v>
      </c>
      <c r="I2414" s="1" t="s">
        <v>8949</v>
      </c>
      <c r="J2414" s="2" t="s">
        <v>10087</v>
      </c>
      <c r="K2414" s="1" t="s">
        <v>10087</v>
      </c>
      <c r="L2414" s="1" t="s">
        <v>9076</v>
      </c>
      <c r="M2414" s="1">
        <v>1000</v>
      </c>
      <c r="N2414" s="1" t="s">
        <v>8953</v>
      </c>
      <c r="O2414" s="1" t="s">
        <v>8989</v>
      </c>
      <c r="P2414" s="1" t="s">
        <v>8955</v>
      </c>
      <c r="Q2414" s="1" t="s">
        <v>8956</v>
      </c>
      <c r="R2414" s="1" t="s">
        <v>8958</v>
      </c>
      <c r="S2414" s="1" t="s">
        <v>7975</v>
      </c>
      <c r="T2414" s="1" t="s">
        <v>11</v>
      </c>
      <c r="U2414" s="1" t="s">
        <v>921</v>
      </c>
    </row>
    <row r="2415" spans="1:21" x14ac:dyDescent="0.2">
      <c r="A2415" s="88" t="s">
        <v>18152</v>
      </c>
      <c r="B2415" s="88" t="e">
        <f>VLOOKUP(C2415,#REF!,1,0)</f>
        <v>#REF!</v>
      </c>
      <c r="C2415" s="1" t="s">
        <v>7976</v>
      </c>
      <c r="D2415" s="1" t="s">
        <v>7977</v>
      </c>
      <c r="E2415" s="1" t="s">
        <v>9310</v>
      </c>
      <c r="F2415" s="1" t="s">
        <v>8957</v>
      </c>
      <c r="G2415" t="s">
        <v>8959</v>
      </c>
      <c r="H2415" s="1" t="s">
        <v>9605</v>
      </c>
      <c r="I2415" s="1" t="s">
        <v>9101</v>
      </c>
      <c r="J2415" s="2" t="s">
        <v>21586</v>
      </c>
      <c r="K2415" s="1" t="s">
        <v>21586</v>
      </c>
      <c r="L2415" s="1" t="s">
        <v>20947</v>
      </c>
      <c r="M2415" s="1">
        <v>50864</v>
      </c>
      <c r="N2415" s="1" t="s">
        <v>8953</v>
      </c>
      <c r="O2415" s="1" t="s">
        <v>8989</v>
      </c>
      <c r="P2415" s="1" t="s">
        <v>8955</v>
      </c>
      <c r="Q2415" s="1" t="s">
        <v>8956</v>
      </c>
      <c r="R2415" s="1" t="s">
        <v>8958</v>
      </c>
      <c r="S2415" s="1" t="s">
        <v>20293</v>
      </c>
      <c r="T2415" s="1" t="s">
        <v>17</v>
      </c>
      <c r="U2415" s="1" t="s">
        <v>184</v>
      </c>
    </row>
    <row r="2416" spans="1:21" x14ac:dyDescent="0.2">
      <c r="A2416" s="88" t="s">
        <v>18153</v>
      </c>
      <c r="B2416" s="88" t="e">
        <f>VLOOKUP(C2416,#REF!,1,0)</f>
        <v>#REF!</v>
      </c>
      <c r="C2416" s="1" t="s">
        <v>7978</v>
      </c>
      <c r="D2416" s="1" t="s">
        <v>7979</v>
      </c>
      <c r="E2416" s="1" t="s">
        <v>9310</v>
      </c>
      <c r="F2416" s="1" t="s">
        <v>8957</v>
      </c>
      <c r="G2416" t="s">
        <v>9183</v>
      </c>
      <c r="H2416" s="1" t="s">
        <v>9100</v>
      </c>
      <c r="I2416" s="1" t="s">
        <v>9101</v>
      </c>
      <c r="J2416" s="2" t="s">
        <v>9436</v>
      </c>
      <c r="K2416" s="1" t="s">
        <v>21764</v>
      </c>
      <c r="L2416" s="1" t="s">
        <v>9076</v>
      </c>
      <c r="M2416" s="1">
        <v>1664</v>
      </c>
      <c r="N2416" s="1" t="s">
        <v>8953</v>
      </c>
      <c r="O2416" s="1" t="s">
        <v>8954</v>
      </c>
      <c r="P2416" s="1" t="s">
        <v>8955</v>
      </c>
      <c r="Q2416" s="1" t="s">
        <v>8956</v>
      </c>
      <c r="R2416" s="1" t="s">
        <v>8975</v>
      </c>
      <c r="S2416" s="1" t="s">
        <v>7980</v>
      </c>
      <c r="T2416" s="1" t="s">
        <v>11</v>
      </c>
      <c r="U2416" s="1" t="s">
        <v>15</v>
      </c>
    </row>
    <row r="2417" spans="1:21" x14ac:dyDescent="0.2">
      <c r="A2417" s="88" t="s">
        <v>18154</v>
      </c>
      <c r="B2417" s="88" t="e">
        <f>VLOOKUP(C2417,#REF!,1,0)</f>
        <v>#REF!</v>
      </c>
      <c r="C2417" s="1" t="s">
        <v>7981</v>
      </c>
      <c r="D2417" s="1" t="s">
        <v>7982</v>
      </c>
      <c r="E2417" s="1" t="s">
        <v>9010</v>
      </c>
      <c r="F2417" s="1" t="s">
        <v>8957</v>
      </c>
      <c r="G2417" t="s">
        <v>8959</v>
      </c>
      <c r="H2417" s="1" t="s">
        <v>9605</v>
      </c>
      <c r="I2417" s="1" t="s">
        <v>9101</v>
      </c>
      <c r="J2417" s="2" t="s">
        <v>10517</v>
      </c>
      <c r="K2417" s="1" t="s">
        <v>21806</v>
      </c>
      <c r="L2417" s="1" t="s">
        <v>8987</v>
      </c>
      <c r="M2417" s="1">
        <v>90000</v>
      </c>
      <c r="N2417" s="1" t="s">
        <v>8953</v>
      </c>
      <c r="O2417" s="1" t="s">
        <v>8989</v>
      </c>
      <c r="P2417" s="1" t="s">
        <v>8955</v>
      </c>
      <c r="Q2417" s="1" t="s">
        <v>8956</v>
      </c>
      <c r="R2417" s="1" t="s">
        <v>9103</v>
      </c>
      <c r="S2417" s="1" t="s">
        <v>7983</v>
      </c>
      <c r="T2417" s="1" t="s">
        <v>17</v>
      </c>
      <c r="U2417" s="1" t="s">
        <v>7984</v>
      </c>
    </row>
    <row r="2418" spans="1:21" x14ac:dyDescent="0.2">
      <c r="A2418" s="88" t="s">
        <v>18155</v>
      </c>
      <c r="B2418" s="88" t="e">
        <f>VLOOKUP(C2418,#REF!,1,0)</f>
        <v>#REF!</v>
      </c>
      <c r="C2418" s="1" t="s">
        <v>7985</v>
      </c>
      <c r="D2418" s="1" t="s">
        <v>7986</v>
      </c>
      <c r="E2418" s="1" t="s">
        <v>18502</v>
      </c>
      <c r="F2418" s="1" t="s">
        <v>8959</v>
      </c>
      <c r="G2418" t="s">
        <v>8959</v>
      </c>
      <c r="H2418" s="1" t="s">
        <v>9092</v>
      </c>
      <c r="I2418" s="1" t="s">
        <v>9308</v>
      </c>
      <c r="J2418" s="2" t="s">
        <v>20779</v>
      </c>
      <c r="K2418" s="1" t="s">
        <v>9036</v>
      </c>
      <c r="L2418" s="1" t="s">
        <v>8987</v>
      </c>
      <c r="M2418" s="1">
        <v>1249</v>
      </c>
      <c r="N2418" s="1" t="s">
        <v>8953</v>
      </c>
      <c r="O2418" s="1" t="s">
        <v>8989</v>
      </c>
      <c r="P2418" s="1" t="s">
        <v>8955</v>
      </c>
      <c r="Q2418" s="1" t="s">
        <v>8956</v>
      </c>
      <c r="R2418" s="1" t="s">
        <v>8958</v>
      </c>
      <c r="S2418" s="1" t="s">
        <v>20294</v>
      </c>
      <c r="T2418" s="1" t="s">
        <v>7</v>
      </c>
      <c r="U2418" s="1" t="s">
        <v>7987</v>
      </c>
    </row>
    <row r="2419" spans="1:21" x14ac:dyDescent="0.2">
      <c r="A2419" s="88" t="s">
        <v>18156</v>
      </c>
      <c r="B2419" s="88" t="e">
        <f>VLOOKUP(C2419,#REF!,1,0)</f>
        <v>#REF!</v>
      </c>
      <c r="C2419" s="1" t="s">
        <v>7988</v>
      </c>
      <c r="D2419" s="1" t="s">
        <v>7989</v>
      </c>
      <c r="E2419" s="1" t="s">
        <v>9010</v>
      </c>
      <c r="F2419" s="1" t="s">
        <v>8957</v>
      </c>
      <c r="G2419" t="s">
        <v>9009</v>
      </c>
      <c r="H2419" s="1" t="s">
        <v>9049</v>
      </c>
      <c r="I2419" s="1" t="s">
        <v>9050</v>
      </c>
      <c r="J2419" s="2" t="s">
        <v>8972</v>
      </c>
      <c r="K2419" s="1" t="s">
        <v>8972</v>
      </c>
      <c r="L2419" s="1" t="s">
        <v>21600</v>
      </c>
      <c r="M2419" s="1">
        <v>428</v>
      </c>
      <c r="N2419" s="1" t="s">
        <v>8953</v>
      </c>
      <c r="O2419" s="1" t="s">
        <v>8954</v>
      </c>
      <c r="P2419" s="1" t="s">
        <v>8955</v>
      </c>
      <c r="Q2419" s="1" t="s">
        <v>8956</v>
      </c>
      <c r="R2419" s="1" t="s">
        <v>8975</v>
      </c>
      <c r="S2419" s="1" t="s">
        <v>7990</v>
      </c>
      <c r="T2419" s="1" t="s">
        <v>4</v>
      </c>
      <c r="U2419" s="1" t="s">
        <v>4756</v>
      </c>
    </row>
    <row r="2420" spans="1:21" x14ac:dyDescent="0.2">
      <c r="A2420" s="88" t="s">
        <v>18157</v>
      </c>
      <c r="B2420" s="88" t="e">
        <f>VLOOKUP(C2420,#REF!,1,0)</f>
        <v>#REF!</v>
      </c>
      <c r="C2420" s="1" t="s">
        <v>7991</v>
      </c>
      <c r="D2420" s="1" t="s">
        <v>7992</v>
      </c>
      <c r="E2420" s="1" t="s">
        <v>9010</v>
      </c>
      <c r="F2420" s="1" t="s">
        <v>8957</v>
      </c>
      <c r="G2420" t="s">
        <v>9183</v>
      </c>
      <c r="H2420" s="1" t="s">
        <v>8948</v>
      </c>
      <c r="I2420" s="1" t="s">
        <v>9101</v>
      </c>
      <c r="J2420" s="2" t="s">
        <v>9436</v>
      </c>
      <c r="K2420" s="1" t="s">
        <v>9436</v>
      </c>
      <c r="L2420" s="1" t="s">
        <v>8951</v>
      </c>
      <c r="M2420" s="1">
        <v>962</v>
      </c>
      <c r="N2420" s="1" t="s">
        <v>9059</v>
      </c>
      <c r="O2420" s="1" t="s">
        <v>8989</v>
      </c>
      <c r="P2420" s="1" t="s">
        <v>8955</v>
      </c>
      <c r="Q2420" s="1" t="s">
        <v>8956</v>
      </c>
      <c r="R2420" s="1" t="s">
        <v>8958</v>
      </c>
      <c r="S2420" s="1" t="s">
        <v>7993</v>
      </c>
      <c r="T2420" s="1" t="s">
        <v>11</v>
      </c>
      <c r="U2420" s="1" t="s">
        <v>322</v>
      </c>
    </row>
    <row r="2421" spans="1:21" x14ac:dyDescent="0.2">
      <c r="A2421" s="88" t="s">
        <v>18158</v>
      </c>
      <c r="B2421" s="88" t="e">
        <f>VLOOKUP(C2421,#REF!,1,0)</f>
        <v>#REF!</v>
      </c>
      <c r="C2421" s="1" t="s">
        <v>7994</v>
      </c>
      <c r="D2421" s="1" t="s">
        <v>7995</v>
      </c>
      <c r="E2421" s="1" t="s">
        <v>9010</v>
      </c>
      <c r="F2421" s="1" t="s">
        <v>8957</v>
      </c>
      <c r="G2421" t="s">
        <v>9183</v>
      </c>
      <c r="H2421" s="1" t="s">
        <v>9100</v>
      </c>
      <c r="I2421" s="1" t="s">
        <v>8949</v>
      </c>
      <c r="J2421" s="2" t="s">
        <v>10492</v>
      </c>
      <c r="K2421" s="1" t="s">
        <v>21645</v>
      </c>
      <c r="L2421" s="1" t="s">
        <v>9464</v>
      </c>
      <c r="M2421" s="1">
        <v>280</v>
      </c>
      <c r="N2421" s="1" t="s">
        <v>9059</v>
      </c>
      <c r="O2421" s="1" t="s">
        <v>8989</v>
      </c>
      <c r="P2421" s="1" t="s">
        <v>8955</v>
      </c>
      <c r="Q2421" s="1" t="s">
        <v>8956</v>
      </c>
      <c r="R2421" s="1" t="s">
        <v>8975</v>
      </c>
      <c r="S2421" s="1" t="s">
        <v>20295</v>
      </c>
      <c r="T2421" s="1" t="s">
        <v>7</v>
      </c>
      <c r="U2421" s="1" t="s">
        <v>21</v>
      </c>
    </row>
    <row r="2422" spans="1:21" x14ac:dyDescent="0.2">
      <c r="A2422" s="88" t="s">
        <v>18159</v>
      </c>
      <c r="B2422" s="88" t="e">
        <f>VLOOKUP(C2422,#REF!,1,0)</f>
        <v>#REF!</v>
      </c>
      <c r="C2422" s="1" t="s">
        <v>8000</v>
      </c>
      <c r="D2422" s="1" t="s">
        <v>8001</v>
      </c>
      <c r="E2422" s="1" t="s">
        <v>10850</v>
      </c>
      <c r="F2422" s="1" t="s">
        <v>8957</v>
      </c>
      <c r="G2422" t="s">
        <v>8959</v>
      </c>
      <c r="H2422" s="1" t="s">
        <v>20714</v>
      </c>
      <c r="I2422" s="1" t="s">
        <v>9050</v>
      </c>
      <c r="J2422" s="2" t="s">
        <v>21349</v>
      </c>
      <c r="K2422" s="1" t="s">
        <v>21886</v>
      </c>
      <c r="L2422" s="1" t="s">
        <v>8987</v>
      </c>
      <c r="M2422" s="1">
        <v>76370</v>
      </c>
      <c r="N2422" s="1" t="s">
        <v>8953</v>
      </c>
      <c r="O2422" s="1" t="s">
        <v>8989</v>
      </c>
      <c r="P2422" s="1" t="s">
        <v>8955</v>
      </c>
      <c r="Q2422" s="1" t="s">
        <v>8956</v>
      </c>
      <c r="R2422" s="1" t="s">
        <v>8975</v>
      </c>
      <c r="S2422" s="1" t="s">
        <v>20296</v>
      </c>
      <c r="T2422" s="1" t="s">
        <v>7</v>
      </c>
      <c r="U2422" s="1" t="s">
        <v>686</v>
      </c>
    </row>
    <row r="2423" spans="1:21" x14ac:dyDescent="0.2">
      <c r="A2423" s="88" t="s">
        <v>18160</v>
      </c>
      <c r="B2423" s="88" t="e">
        <f>VLOOKUP(C2423,#REF!,1,0)</f>
        <v>#REF!</v>
      </c>
      <c r="C2423" s="1" t="s">
        <v>8002</v>
      </c>
      <c r="D2423" s="1" t="s">
        <v>8003</v>
      </c>
      <c r="E2423" s="1" t="s">
        <v>9310</v>
      </c>
      <c r="F2423" s="1" t="s">
        <v>8957</v>
      </c>
      <c r="G2423" t="s">
        <v>8959</v>
      </c>
      <c r="H2423" s="1" t="s">
        <v>9035</v>
      </c>
      <c r="I2423" s="1" t="s">
        <v>8998</v>
      </c>
      <c r="J2423" s="2" t="s">
        <v>21397</v>
      </c>
      <c r="K2423" s="1" t="s">
        <v>21350</v>
      </c>
      <c r="L2423" s="1" t="s">
        <v>8987</v>
      </c>
      <c r="M2423" s="1">
        <v>1018</v>
      </c>
      <c r="N2423" s="1" t="s">
        <v>9059</v>
      </c>
      <c r="O2423" s="1" t="s">
        <v>8954</v>
      </c>
      <c r="P2423" s="1" t="s">
        <v>8955</v>
      </c>
      <c r="Q2423" s="1" t="s">
        <v>8956</v>
      </c>
      <c r="R2423" s="1" t="s">
        <v>8958</v>
      </c>
      <c r="S2423" s="1" t="s">
        <v>20297</v>
      </c>
      <c r="T2423" s="1" t="s">
        <v>17</v>
      </c>
      <c r="U2423" s="1" t="s">
        <v>61</v>
      </c>
    </row>
    <row r="2424" spans="1:21" x14ac:dyDescent="0.2">
      <c r="A2424" s="88" t="s">
        <v>18161</v>
      </c>
      <c r="B2424" s="88" t="e">
        <f>VLOOKUP(C2424,#REF!,1,0)</f>
        <v>#REF!</v>
      </c>
      <c r="C2424" s="1" t="s">
        <v>8004</v>
      </c>
      <c r="D2424" s="1" t="s">
        <v>8005</v>
      </c>
      <c r="E2424" s="1" t="s">
        <v>9310</v>
      </c>
      <c r="F2424" s="1" t="s">
        <v>8957</v>
      </c>
      <c r="G2424" t="s">
        <v>8959</v>
      </c>
      <c r="H2424" s="1" t="s">
        <v>9035</v>
      </c>
      <c r="I2424" s="1" t="s">
        <v>8998</v>
      </c>
      <c r="J2424" s="2" t="s">
        <v>9036</v>
      </c>
      <c r="K2424" s="1" t="s">
        <v>9036</v>
      </c>
      <c r="L2424" s="1" t="s">
        <v>8987</v>
      </c>
      <c r="M2424" s="1">
        <v>1018</v>
      </c>
      <c r="N2424" s="1" t="s">
        <v>8953</v>
      </c>
      <c r="O2424" s="1" t="s">
        <v>8954</v>
      </c>
      <c r="P2424" s="1" t="s">
        <v>8955</v>
      </c>
      <c r="Q2424" s="1" t="s">
        <v>8956</v>
      </c>
      <c r="R2424" s="1" t="s">
        <v>9103</v>
      </c>
      <c r="S2424" s="1" t="s">
        <v>8006</v>
      </c>
      <c r="T2424" s="1" t="s">
        <v>17</v>
      </c>
      <c r="U2424" s="1" t="s">
        <v>126</v>
      </c>
    </row>
    <row r="2425" spans="1:21" x14ac:dyDescent="0.2">
      <c r="A2425" s="88" t="s">
        <v>18162</v>
      </c>
      <c r="B2425" s="88" t="e">
        <f>VLOOKUP(C2425,#REF!,1,0)</f>
        <v>#REF!</v>
      </c>
      <c r="C2425" s="1" t="s">
        <v>8007</v>
      </c>
      <c r="D2425" s="1" t="s">
        <v>8008</v>
      </c>
      <c r="E2425" s="1" t="s">
        <v>9310</v>
      </c>
      <c r="F2425" s="1" t="s">
        <v>8957</v>
      </c>
      <c r="G2425" t="s">
        <v>8959</v>
      </c>
      <c r="H2425" s="1" t="s">
        <v>20714</v>
      </c>
      <c r="I2425" s="1" t="s">
        <v>20843</v>
      </c>
      <c r="J2425" s="2" t="s">
        <v>21265</v>
      </c>
      <c r="K2425" s="1" t="s">
        <v>21265</v>
      </c>
      <c r="L2425" s="1" t="s">
        <v>8987</v>
      </c>
      <c r="M2425" s="1">
        <v>6465</v>
      </c>
      <c r="N2425" s="1" t="s">
        <v>8953</v>
      </c>
      <c r="O2425" s="1" t="s">
        <v>8989</v>
      </c>
      <c r="P2425" s="1" t="s">
        <v>8955</v>
      </c>
      <c r="Q2425" s="1" t="s">
        <v>8956</v>
      </c>
      <c r="R2425" s="1" t="s">
        <v>8975</v>
      </c>
      <c r="S2425" s="1" t="s">
        <v>20298</v>
      </c>
      <c r="T2425" s="1" t="s">
        <v>7</v>
      </c>
      <c r="U2425" s="1" t="s">
        <v>933</v>
      </c>
    </row>
    <row r="2426" spans="1:21" x14ac:dyDescent="0.2">
      <c r="A2426" s="88" t="s">
        <v>18163</v>
      </c>
      <c r="B2426" s="88" t="e">
        <f>VLOOKUP(C2426,#REF!,1,0)</f>
        <v>#REF!</v>
      </c>
      <c r="C2426" s="1" t="s">
        <v>8013</v>
      </c>
      <c r="D2426" s="1" t="s">
        <v>8014</v>
      </c>
      <c r="E2426" s="1" t="s">
        <v>18502</v>
      </c>
      <c r="F2426" s="1" t="s">
        <v>8957</v>
      </c>
      <c r="G2426" t="s">
        <v>8959</v>
      </c>
      <c r="H2426" s="1" t="s">
        <v>20714</v>
      </c>
      <c r="I2426" s="1" t="s">
        <v>20725</v>
      </c>
      <c r="J2426" s="2" t="s">
        <v>18497</v>
      </c>
      <c r="K2426" s="1" t="s">
        <v>21658</v>
      </c>
      <c r="L2426" s="1" t="s">
        <v>8951</v>
      </c>
      <c r="M2426" s="1">
        <v>4036</v>
      </c>
      <c r="N2426" s="1" t="s">
        <v>8953</v>
      </c>
      <c r="O2426" s="1" t="s">
        <v>8989</v>
      </c>
      <c r="P2426" s="1" t="s">
        <v>8955</v>
      </c>
      <c r="Q2426" s="1" t="s">
        <v>8956</v>
      </c>
      <c r="R2426" s="1" t="s">
        <v>8958</v>
      </c>
      <c r="S2426" s="1" t="s">
        <v>20300</v>
      </c>
      <c r="T2426" s="1" t="s">
        <v>17</v>
      </c>
      <c r="U2426" s="1" t="s">
        <v>443</v>
      </c>
    </row>
    <row r="2427" spans="1:21" x14ac:dyDescent="0.2">
      <c r="A2427" s="88" t="s">
        <v>18164</v>
      </c>
      <c r="B2427" s="88" t="e">
        <f>VLOOKUP(C2427,#REF!,1,0)</f>
        <v>#REF!</v>
      </c>
      <c r="C2427" s="1" t="s">
        <v>8015</v>
      </c>
      <c r="D2427" s="1" t="s">
        <v>8016</v>
      </c>
      <c r="E2427" s="1" t="s">
        <v>9310</v>
      </c>
      <c r="F2427" s="1" t="s">
        <v>8957</v>
      </c>
      <c r="G2427" t="s">
        <v>8959</v>
      </c>
      <c r="H2427" s="1" t="s">
        <v>9035</v>
      </c>
      <c r="I2427" s="1" t="s">
        <v>8998</v>
      </c>
      <c r="J2427" s="2" t="s">
        <v>20736</v>
      </c>
      <c r="K2427" s="1" t="s">
        <v>21640</v>
      </c>
      <c r="L2427" s="1" t="s">
        <v>21118</v>
      </c>
      <c r="M2427" s="1">
        <v>280</v>
      </c>
      <c r="N2427" s="1" t="s">
        <v>9059</v>
      </c>
      <c r="O2427" s="1" t="s">
        <v>8989</v>
      </c>
      <c r="P2427" s="1" t="s">
        <v>8955</v>
      </c>
      <c r="Q2427" s="1" t="s">
        <v>8956</v>
      </c>
      <c r="R2427" s="1" t="s">
        <v>8958</v>
      </c>
      <c r="S2427" s="1" t="s">
        <v>20301</v>
      </c>
      <c r="T2427" s="1" t="s">
        <v>7</v>
      </c>
      <c r="U2427" s="1" t="s">
        <v>378</v>
      </c>
    </row>
    <row r="2428" spans="1:21" x14ac:dyDescent="0.2">
      <c r="A2428" s="88" t="s">
        <v>18165</v>
      </c>
      <c r="B2428" s="88" t="e">
        <f>VLOOKUP(C2428,#REF!,1,0)</f>
        <v>#REF!</v>
      </c>
      <c r="C2428" s="1" t="s">
        <v>8017</v>
      </c>
      <c r="D2428" s="1" t="s">
        <v>8018</v>
      </c>
      <c r="E2428" s="1" t="s">
        <v>9310</v>
      </c>
      <c r="F2428" s="1" t="s">
        <v>8957</v>
      </c>
      <c r="G2428" t="s">
        <v>9183</v>
      </c>
      <c r="H2428" s="1" t="s">
        <v>9154</v>
      </c>
      <c r="I2428" s="1" t="s">
        <v>8949</v>
      </c>
      <c r="J2428" s="2" t="s">
        <v>11518</v>
      </c>
      <c r="K2428" s="1" t="s">
        <v>11518</v>
      </c>
      <c r="L2428" s="1" t="s">
        <v>9133</v>
      </c>
      <c r="M2428" s="1">
        <v>165</v>
      </c>
      <c r="N2428" s="1" t="s">
        <v>8953</v>
      </c>
      <c r="O2428" s="1" t="s">
        <v>8989</v>
      </c>
      <c r="P2428" s="1" t="s">
        <v>8955</v>
      </c>
      <c r="Q2428" s="1" t="s">
        <v>8956</v>
      </c>
      <c r="R2428" s="1" t="s">
        <v>8975</v>
      </c>
      <c r="S2428" s="1" t="s">
        <v>8019</v>
      </c>
      <c r="T2428" s="1" t="s">
        <v>11</v>
      </c>
      <c r="U2428" s="1" t="s">
        <v>126</v>
      </c>
    </row>
    <row r="2429" spans="1:21" x14ac:dyDescent="0.2">
      <c r="A2429" s="88" t="s">
        <v>18166</v>
      </c>
      <c r="B2429" s="88" t="e">
        <f>VLOOKUP(C2429,#REF!,1,0)</f>
        <v>#REF!</v>
      </c>
      <c r="C2429" s="1" t="s">
        <v>21119</v>
      </c>
      <c r="D2429" s="1" t="s">
        <v>8020</v>
      </c>
      <c r="E2429" s="1" t="s">
        <v>9380</v>
      </c>
      <c r="F2429" s="1" t="s">
        <v>8974</v>
      </c>
      <c r="G2429" t="s">
        <v>8959</v>
      </c>
      <c r="H2429" s="1" t="s">
        <v>9075</v>
      </c>
      <c r="I2429" s="1" t="s">
        <v>8949</v>
      </c>
      <c r="J2429" s="2" t="s">
        <v>18497</v>
      </c>
      <c r="K2429" s="1" t="s">
        <v>18497</v>
      </c>
      <c r="L2429" s="1" t="s">
        <v>20839</v>
      </c>
      <c r="M2429" s="1">
        <v>93000</v>
      </c>
      <c r="N2429" s="1" t="s">
        <v>20915</v>
      </c>
      <c r="O2429" s="1" t="s">
        <v>8989</v>
      </c>
      <c r="P2429" s="1" t="s">
        <v>8955</v>
      </c>
      <c r="Q2429" s="1" t="s">
        <v>8956</v>
      </c>
      <c r="R2429" s="1" t="s">
        <v>9103</v>
      </c>
      <c r="S2429" s="1" t="s">
        <v>20302</v>
      </c>
      <c r="T2429" s="1" t="s">
        <v>17</v>
      </c>
      <c r="U2429" s="1" t="s">
        <v>64</v>
      </c>
    </row>
    <row r="2430" spans="1:21" x14ac:dyDescent="0.2">
      <c r="A2430" s="88" t="s">
        <v>18167</v>
      </c>
      <c r="B2430" s="88" t="e">
        <f>VLOOKUP(C2430,#REF!,1,0)</f>
        <v>#REF!</v>
      </c>
      <c r="C2430" s="1" t="s">
        <v>21121</v>
      </c>
      <c r="D2430" s="1" t="s">
        <v>8024</v>
      </c>
      <c r="E2430" s="1" t="s">
        <v>9310</v>
      </c>
      <c r="F2430" s="1" t="s">
        <v>8959</v>
      </c>
      <c r="G2430" t="s">
        <v>8959</v>
      </c>
      <c r="H2430" s="1" t="s">
        <v>21123</v>
      </c>
      <c r="I2430" s="1" t="s">
        <v>20930</v>
      </c>
      <c r="J2430" s="2" t="s">
        <v>20825</v>
      </c>
      <c r="K2430" s="1" t="s">
        <v>14097</v>
      </c>
      <c r="L2430" s="1" t="s">
        <v>9076</v>
      </c>
      <c r="M2430" s="1">
        <v>8586</v>
      </c>
      <c r="N2430" s="1" t="s">
        <v>8953</v>
      </c>
      <c r="O2430" s="1" t="s">
        <v>8989</v>
      </c>
      <c r="P2430" s="1" t="s">
        <v>8955</v>
      </c>
      <c r="Q2430" s="1" t="s">
        <v>8956</v>
      </c>
      <c r="R2430" s="1" t="s">
        <v>9103</v>
      </c>
      <c r="S2430" s="1" t="s">
        <v>20304</v>
      </c>
      <c r="T2430" s="1" t="s">
        <v>17</v>
      </c>
      <c r="U2430" s="1" t="s">
        <v>378</v>
      </c>
    </row>
    <row r="2431" spans="1:21" x14ac:dyDescent="0.2">
      <c r="A2431" s="88" t="s">
        <v>18169</v>
      </c>
      <c r="B2431" s="88" t="e">
        <f>VLOOKUP(C2431,#REF!,1,0)</f>
        <v>#REF!</v>
      </c>
      <c r="C2431" s="1" t="s">
        <v>8027</v>
      </c>
      <c r="D2431" s="1" t="s">
        <v>8028</v>
      </c>
      <c r="E2431" s="1" t="s">
        <v>10032</v>
      </c>
      <c r="F2431" s="1" t="s">
        <v>8957</v>
      </c>
      <c r="G2431" t="s">
        <v>8959</v>
      </c>
      <c r="H2431" s="1" t="s">
        <v>9092</v>
      </c>
      <c r="I2431" s="1" t="s">
        <v>8998</v>
      </c>
      <c r="J2431" s="2" t="s">
        <v>9036</v>
      </c>
      <c r="K2431" s="1" t="s">
        <v>9036</v>
      </c>
      <c r="L2431" s="1" t="s">
        <v>8987</v>
      </c>
      <c r="M2431" s="1">
        <v>4532</v>
      </c>
      <c r="N2431" s="1" t="s">
        <v>8953</v>
      </c>
      <c r="O2431" s="1" t="s">
        <v>8989</v>
      </c>
      <c r="P2431" s="1" t="s">
        <v>8955</v>
      </c>
      <c r="Q2431" s="1" t="s">
        <v>8956</v>
      </c>
      <c r="R2431" s="1" t="s">
        <v>8958</v>
      </c>
      <c r="S2431" s="1" t="s">
        <v>8029</v>
      </c>
      <c r="T2431" s="1" t="s">
        <v>4</v>
      </c>
      <c r="U2431" s="1" t="s">
        <v>2627</v>
      </c>
    </row>
    <row r="2432" spans="1:21" x14ac:dyDescent="0.2">
      <c r="A2432" s="88" t="s">
        <v>18170</v>
      </c>
      <c r="B2432" s="88" t="e">
        <f>VLOOKUP(C2432,#REF!,1,0)</f>
        <v>#REF!</v>
      </c>
      <c r="C2432" s="1" t="s">
        <v>8030</v>
      </c>
      <c r="D2432" s="1" t="s">
        <v>8031</v>
      </c>
      <c r="E2432" s="1" t="s">
        <v>9333</v>
      </c>
      <c r="F2432" s="1" t="s">
        <v>8957</v>
      </c>
      <c r="G2432" t="s">
        <v>8959</v>
      </c>
      <c r="H2432" s="1" t="s">
        <v>20714</v>
      </c>
      <c r="I2432" s="1" t="s">
        <v>20725</v>
      </c>
      <c r="J2432" s="2" t="s">
        <v>10525</v>
      </c>
      <c r="K2432" s="1" t="s">
        <v>21650</v>
      </c>
      <c r="L2432" s="1" t="s">
        <v>8951</v>
      </c>
      <c r="M2432" s="1">
        <v>347</v>
      </c>
      <c r="N2432" s="1" t="s">
        <v>9059</v>
      </c>
      <c r="O2432" s="1" t="s">
        <v>8954</v>
      </c>
      <c r="P2432" s="1" t="s">
        <v>8955</v>
      </c>
      <c r="Q2432" s="1" t="s">
        <v>8956</v>
      </c>
      <c r="R2432" s="1" t="s">
        <v>8975</v>
      </c>
      <c r="S2432" s="1" t="s">
        <v>20306</v>
      </c>
      <c r="T2432" s="1" t="s">
        <v>7</v>
      </c>
      <c r="U2432" s="1" t="s">
        <v>443</v>
      </c>
    </row>
    <row r="2433" spans="1:21" x14ac:dyDescent="0.2">
      <c r="A2433" s="88" t="s">
        <v>18171</v>
      </c>
      <c r="B2433" s="88" t="e">
        <f>VLOOKUP(C2433,#REF!,1,0)</f>
        <v>#REF!</v>
      </c>
      <c r="C2433" s="1" t="s">
        <v>8032</v>
      </c>
      <c r="D2433" s="1" t="s">
        <v>8033</v>
      </c>
      <c r="E2433" s="1" t="s">
        <v>9317</v>
      </c>
      <c r="F2433" s="1" t="s">
        <v>9060</v>
      </c>
      <c r="G2433" t="s">
        <v>8959</v>
      </c>
      <c r="H2433" s="1" t="s">
        <v>9092</v>
      </c>
      <c r="I2433" s="1" t="s">
        <v>9155</v>
      </c>
      <c r="J2433" s="2" t="s">
        <v>12807</v>
      </c>
      <c r="K2433" s="1" t="s">
        <v>21748</v>
      </c>
      <c r="L2433" s="1" t="s">
        <v>9133</v>
      </c>
      <c r="M2433" s="1">
        <v>2000</v>
      </c>
      <c r="N2433" s="1" t="s">
        <v>8953</v>
      </c>
      <c r="O2433" s="1" t="s">
        <v>8989</v>
      </c>
      <c r="P2433" s="1" t="s">
        <v>8955</v>
      </c>
      <c r="Q2433" s="1" t="s">
        <v>8956</v>
      </c>
      <c r="R2433" s="1" t="s">
        <v>8975</v>
      </c>
      <c r="S2433" s="1" t="s">
        <v>8034</v>
      </c>
      <c r="T2433" s="1" t="s">
        <v>11</v>
      </c>
      <c r="U2433" s="1" t="s">
        <v>1848</v>
      </c>
    </row>
    <row r="2434" spans="1:21" x14ac:dyDescent="0.2">
      <c r="A2434" s="88" t="s">
        <v>18172</v>
      </c>
      <c r="B2434" s="88" t="e">
        <f>VLOOKUP(C2434,#REF!,1,0)</f>
        <v>#REF!</v>
      </c>
      <c r="C2434" s="1" t="s">
        <v>8035</v>
      </c>
      <c r="D2434" s="1" t="s">
        <v>8036</v>
      </c>
      <c r="E2434" s="1" t="s">
        <v>9380</v>
      </c>
      <c r="F2434" s="1" t="s">
        <v>8957</v>
      </c>
      <c r="G2434" t="s">
        <v>8959</v>
      </c>
      <c r="H2434" s="1" t="s">
        <v>8984</v>
      </c>
      <c r="I2434" s="1" t="s">
        <v>8985</v>
      </c>
      <c r="J2434" s="2" t="s">
        <v>18489</v>
      </c>
      <c r="K2434" s="1" t="s">
        <v>18489</v>
      </c>
      <c r="L2434" s="1" t="s">
        <v>8951</v>
      </c>
      <c r="M2434" s="1">
        <v>322</v>
      </c>
      <c r="N2434" s="1" t="s">
        <v>8953</v>
      </c>
      <c r="O2434" s="1" t="s">
        <v>8989</v>
      </c>
      <c r="P2434" s="1" t="s">
        <v>8955</v>
      </c>
      <c r="Q2434" s="1" t="s">
        <v>8956</v>
      </c>
      <c r="R2434" s="1" t="s">
        <v>8958</v>
      </c>
      <c r="S2434" s="1" t="s">
        <v>20307</v>
      </c>
      <c r="T2434" s="1" t="s">
        <v>7</v>
      </c>
      <c r="U2434" s="1" t="s">
        <v>8037</v>
      </c>
    </row>
    <row r="2435" spans="1:21" x14ac:dyDescent="0.2">
      <c r="A2435" s="88" t="s">
        <v>18173</v>
      </c>
      <c r="B2435" s="88" t="e">
        <f>VLOOKUP(C2435,#REF!,1,0)</f>
        <v>#REF!</v>
      </c>
      <c r="C2435" s="1" t="s">
        <v>8038</v>
      </c>
      <c r="D2435" s="1" t="s">
        <v>8039</v>
      </c>
      <c r="E2435" s="1" t="s">
        <v>9310</v>
      </c>
      <c r="F2435" s="1" t="s">
        <v>8957</v>
      </c>
      <c r="G2435" t="s">
        <v>9061</v>
      </c>
      <c r="H2435" s="1" t="s">
        <v>9100</v>
      </c>
      <c r="I2435" s="1" t="s">
        <v>9155</v>
      </c>
      <c r="J2435" s="2" t="s">
        <v>20785</v>
      </c>
      <c r="K2435" s="1" t="s">
        <v>18491</v>
      </c>
      <c r="L2435" s="1" t="s">
        <v>9076</v>
      </c>
      <c r="M2435" s="1">
        <v>3360</v>
      </c>
      <c r="N2435" s="1" t="s">
        <v>8953</v>
      </c>
      <c r="O2435" s="1" t="s">
        <v>8989</v>
      </c>
      <c r="P2435" s="1" t="s">
        <v>8955</v>
      </c>
      <c r="Q2435" s="1" t="s">
        <v>8956</v>
      </c>
      <c r="R2435" s="1" t="s">
        <v>8958</v>
      </c>
      <c r="S2435" s="1" t="s">
        <v>20308</v>
      </c>
      <c r="T2435" s="1" t="s">
        <v>7</v>
      </c>
      <c r="U2435" s="1" t="s">
        <v>342</v>
      </c>
    </row>
    <row r="2436" spans="1:21" x14ac:dyDescent="0.2">
      <c r="A2436" s="88" t="s">
        <v>18174</v>
      </c>
      <c r="B2436" s="88" t="e">
        <f>VLOOKUP(C2436,#REF!,1,0)</f>
        <v>#REF!</v>
      </c>
      <c r="C2436" s="1" t="s">
        <v>8040</v>
      </c>
      <c r="D2436" s="1" t="s">
        <v>8041</v>
      </c>
      <c r="E2436" s="1" t="s">
        <v>9010</v>
      </c>
      <c r="F2436" s="1" t="s">
        <v>9060</v>
      </c>
      <c r="G2436" t="s">
        <v>9009</v>
      </c>
      <c r="H2436" s="1" t="s">
        <v>9100</v>
      </c>
      <c r="I2436" s="1" t="s">
        <v>8998</v>
      </c>
      <c r="J2436" s="2" t="s">
        <v>9018</v>
      </c>
      <c r="K2436" s="1" t="s">
        <v>9018</v>
      </c>
      <c r="L2436" s="1" t="s">
        <v>8987</v>
      </c>
      <c r="M2436" s="1">
        <v>1000</v>
      </c>
      <c r="N2436" s="1" t="s">
        <v>8953</v>
      </c>
      <c r="O2436" s="1" t="s">
        <v>8989</v>
      </c>
      <c r="P2436" s="1" t="s">
        <v>8955</v>
      </c>
      <c r="Q2436" s="1" t="s">
        <v>8956</v>
      </c>
      <c r="R2436" s="1" t="s">
        <v>8958</v>
      </c>
      <c r="S2436" s="1" t="s">
        <v>8042</v>
      </c>
      <c r="T2436" s="1" t="s">
        <v>4</v>
      </c>
      <c r="U2436" s="1" t="s">
        <v>493</v>
      </c>
    </row>
    <row r="2437" spans="1:21" x14ac:dyDescent="0.2">
      <c r="A2437" s="88" t="s">
        <v>18175</v>
      </c>
      <c r="B2437" s="88" t="e">
        <f>VLOOKUP(C2437,#REF!,1,0)</f>
        <v>#REF!</v>
      </c>
      <c r="C2437" s="1" t="s">
        <v>8043</v>
      </c>
      <c r="D2437" s="1" t="s">
        <v>8044</v>
      </c>
      <c r="E2437" s="1" t="s">
        <v>9310</v>
      </c>
      <c r="F2437" s="1" t="s">
        <v>8957</v>
      </c>
      <c r="G2437" t="s">
        <v>8959</v>
      </c>
      <c r="H2437" s="1" t="s">
        <v>20714</v>
      </c>
      <c r="I2437" s="1" t="s">
        <v>20725</v>
      </c>
      <c r="J2437" s="2" t="s">
        <v>21260</v>
      </c>
      <c r="K2437" s="1" t="s">
        <v>21260</v>
      </c>
      <c r="L2437" s="1" t="s">
        <v>21600</v>
      </c>
      <c r="M2437" s="1">
        <v>111</v>
      </c>
      <c r="N2437" s="1" t="s">
        <v>9059</v>
      </c>
      <c r="O2437" s="1" t="s">
        <v>8954</v>
      </c>
      <c r="P2437" s="1" t="s">
        <v>8955</v>
      </c>
      <c r="Q2437" s="1" t="s">
        <v>8956</v>
      </c>
      <c r="R2437" s="1" t="s">
        <v>8958</v>
      </c>
      <c r="S2437" s="1" t="s">
        <v>20309</v>
      </c>
      <c r="T2437" s="1" t="s">
        <v>17</v>
      </c>
      <c r="U2437" s="1" t="s">
        <v>74</v>
      </c>
    </row>
    <row r="2438" spans="1:21" x14ac:dyDescent="0.2">
      <c r="A2438" s="88" t="s">
        <v>18177</v>
      </c>
      <c r="B2438" s="88" t="e">
        <f>VLOOKUP(C2438,#REF!,1,0)</f>
        <v>#REF!</v>
      </c>
      <c r="C2438" s="1" t="s">
        <v>8047</v>
      </c>
      <c r="D2438" s="1" t="s">
        <v>8048</v>
      </c>
      <c r="E2438" s="1" t="s">
        <v>9310</v>
      </c>
      <c r="F2438" s="1" t="s">
        <v>8957</v>
      </c>
      <c r="G2438" t="s">
        <v>8959</v>
      </c>
      <c r="H2438" s="1" t="s">
        <v>20714</v>
      </c>
      <c r="I2438" s="1" t="s">
        <v>9050</v>
      </c>
      <c r="J2438" s="2" t="s">
        <v>20736</v>
      </c>
      <c r="K2438" s="1" t="s">
        <v>21640</v>
      </c>
      <c r="L2438" s="1" t="s">
        <v>8987</v>
      </c>
      <c r="M2438" s="1">
        <v>8030</v>
      </c>
      <c r="N2438" s="1" t="s">
        <v>8953</v>
      </c>
      <c r="O2438" s="1" t="s">
        <v>8989</v>
      </c>
      <c r="P2438" s="1" t="s">
        <v>8955</v>
      </c>
      <c r="Q2438" s="1" t="s">
        <v>8956</v>
      </c>
      <c r="R2438" s="1" t="s">
        <v>8958</v>
      </c>
      <c r="S2438" s="1" t="s">
        <v>20311</v>
      </c>
      <c r="T2438" s="1" t="s">
        <v>7</v>
      </c>
      <c r="U2438" s="1" t="s">
        <v>27</v>
      </c>
    </row>
    <row r="2439" spans="1:21" x14ac:dyDescent="0.2">
      <c r="A2439" s="88" t="s">
        <v>18178</v>
      </c>
      <c r="B2439" s="88" t="e">
        <f>VLOOKUP(C2439,#REF!,1,0)</f>
        <v>#REF!</v>
      </c>
      <c r="C2439" s="1" t="s">
        <v>8049</v>
      </c>
      <c r="D2439" s="1" t="s">
        <v>8050</v>
      </c>
      <c r="E2439" s="1" t="s">
        <v>9310</v>
      </c>
      <c r="F2439" s="1" t="s">
        <v>8957</v>
      </c>
      <c r="G2439" t="s">
        <v>8959</v>
      </c>
      <c r="H2439" s="1" t="s">
        <v>9075</v>
      </c>
      <c r="I2439" s="1" t="s">
        <v>8998</v>
      </c>
      <c r="J2439" s="2" t="s">
        <v>12769</v>
      </c>
      <c r="K2439" s="1" t="s">
        <v>21807</v>
      </c>
      <c r="L2439" s="1" t="s">
        <v>21600</v>
      </c>
      <c r="M2439" s="1">
        <v>124</v>
      </c>
      <c r="N2439" s="1" t="s">
        <v>8953</v>
      </c>
      <c r="O2439" s="1" t="s">
        <v>8989</v>
      </c>
      <c r="P2439" s="1" t="s">
        <v>8955</v>
      </c>
      <c r="Q2439" s="1" t="s">
        <v>8956</v>
      </c>
      <c r="R2439" s="1" t="s">
        <v>9103</v>
      </c>
      <c r="S2439" s="1" t="s">
        <v>8051</v>
      </c>
      <c r="T2439" s="1" t="s">
        <v>11</v>
      </c>
      <c r="U2439" s="1" t="s">
        <v>64</v>
      </c>
    </row>
    <row r="2440" spans="1:21" x14ac:dyDescent="0.2">
      <c r="A2440" s="88" t="s">
        <v>18179</v>
      </c>
      <c r="B2440" s="88" t="e">
        <f>VLOOKUP(C2440,#REF!,1,0)</f>
        <v>#REF!</v>
      </c>
      <c r="C2440" s="1" t="s">
        <v>8052</v>
      </c>
      <c r="D2440" s="1" t="s">
        <v>8053</v>
      </c>
      <c r="E2440" s="1" t="s">
        <v>18502</v>
      </c>
      <c r="F2440" s="1" t="s">
        <v>8957</v>
      </c>
      <c r="G2440" t="s">
        <v>8959</v>
      </c>
      <c r="H2440" s="1" t="s">
        <v>9100</v>
      </c>
      <c r="I2440" s="1" t="s">
        <v>8949</v>
      </c>
      <c r="J2440" s="2" t="s">
        <v>10492</v>
      </c>
      <c r="K2440" s="1" t="s">
        <v>10492</v>
      </c>
      <c r="L2440" s="1" t="s">
        <v>21600</v>
      </c>
      <c r="M2440" s="1">
        <v>285</v>
      </c>
      <c r="N2440" s="1" t="s">
        <v>9059</v>
      </c>
      <c r="O2440" s="1" t="s">
        <v>8989</v>
      </c>
      <c r="P2440" s="1" t="s">
        <v>8955</v>
      </c>
      <c r="Q2440" s="1" t="s">
        <v>8956</v>
      </c>
      <c r="R2440" s="1" t="s">
        <v>8958</v>
      </c>
      <c r="S2440" s="1" t="s">
        <v>20312</v>
      </c>
      <c r="T2440" s="1" t="s">
        <v>7</v>
      </c>
      <c r="U2440" s="1" t="s">
        <v>938</v>
      </c>
    </row>
    <row r="2441" spans="1:21" x14ac:dyDescent="0.2">
      <c r="A2441" s="88" t="s">
        <v>18180</v>
      </c>
      <c r="B2441" s="88" t="e">
        <f>VLOOKUP(C2441,#REF!,1,0)</f>
        <v>#REF!</v>
      </c>
      <c r="C2441" s="1" t="s">
        <v>8054</v>
      </c>
      <c r="D2441" s="1" t="s">
        <v>8055</v>
      </c>
      <c r="E2441" s="1" t="s">
        <v>9010</v>
      </c>
      <c r="F2441" s="1" t="s">
        <v>8957</v>
      </c>
      <c r="G2441" t="s">
        <v>9061</v>
      </c>
      <c r="H2441" s="1" t="s">
        <v>9035</v>
      </c>
      <c r="I2441" s="1" t="s">
        <v>8998</v>
      </c>
      <c r="J2441" s="2" t="s">
        <v>9679</v>
      </c>
      <c r="K2441" s="1" t="s">
        <v>21783</v>
      </c>
      <c r="L2441" s="1" t="s">
        <v>9157</v>
      </c>
      <c r="M2441" s="1">
        <v>759</v>
      </c>
      <c r="N2441" s="1" t="s">
        <v>8953</v>
      </c>
      <c r="O2441" s="1" t="s">
        <v>8954</v>
      </c>
      <c r="P2441" s="1" t="s">
        <v>8955</v>
      </c>
      <c r="Q2441" s="1" t="s">
        <v>8956</v>
      </c>
      <c r="R2441" s="1" t="s">
        <v>8975</v>
      </c>
      <c r="S2441" s="1" t="s">
        <v>8056</v>
      </c>
      <c r="T2441" s="1" t="s">
        <v>17</v>
      </c>
      <c r="U2441" s="1" t="s">
        <v>39</v>
      </c>
    </row>
    <row r="2442" spans="1:21" x14ac:dyDescent="0.2">
      <c r="A2442" s="88" t="s">
        <v>18181</v>
      </c>
      <c r="B2442" s="88" t="e">
        <f>VLOOKUP(C2442,#REF!,1,0)</f>
        <v>#REF!</v>
      </c>
      <c r="C2442" s="1" t="s">
        <v>8057</v>
      </c>
      <c r="D2442" s="1" t="s">
        <v>8058</v>
      </c>
      <c r="E2442" s="1" t="s">
        <v>18502</v>
      </c>
      <c r="F2442" s="1" t="s">
        <v>8957</v>
      </c>
      <c r="G2442" t="s">
        <v>20843</v>
      </c>
      <c r="H2442" s="1" t="s">
        <v>9075</v>
      </c>
      <c r="I2442" s="1" t="s">
        <v>9101</v>
      </c>
      <c r="J2442" s="2" t="s">
        <v>10492</v>
      </c>
      <c r="K2442" s="1" t="s">
        <v>10492</v>
      </c>
      <c r="L2442" s="1" t="s">
        <v>8951</v>
      </c>
      <c r="M2442" s="1">
        <v>141</v>
      </c>
      <c r="N2442" s="1" t="s">
        <v>8953</v>
      </c>
      <c r="O2442" s="1" t="s">
        <v>8954</v>
      </c>
      <c r="P2442" s="1" t="s">
        <v>8955</v>
      </c>
      <c r="Q2442" s="1" t="s">
        <v>8956</v>
      </c>
      <c r="R2442" s="1" t="s">
        <v>8958</v>
      </c>
      <c r="S2442" s="1" t="s">
        <v>20313</v>
      </c>
      <c r="T2442" s="1" t="s">
        <v>7</v>
      </c>
      <c r="U2442" s="1" t="s">
        <v>24</v>
      </c>
    </row>
    <row r="2443" spans="1:21" x14ac:dyDescent="0.2">
      <c r="A2443" s="88" t="s">
        <v>18182</v>
      </c>
      <c r="B2443" s="88" t="e">
        <f>VLOOKUP(C2443,#REF!,1,0)</f>
        <v>#REF!</v>
      </c>
      <c r="C2443" s="1" t="s">
        <v>8059</v>
      </c>
      <c r="D2443" s="1" t="s">
        <v>8060</v>
      </c>
      <c r="E2443" s="1" t="s">
        <v>9310</v>
      </c>
      <c r="F2443" s="1" t="s">
        <v>8957</v>
      </c>
      <c r="G2443" t="s">
        <v>8959</v>
      </c>
      <c r="H2443" s="1" t="s">
        <v>9605</v>
      </c>
      <c r="I2443" s="1" t="s">
        <v>8998</v>
      </c>
      <c r="J2443" s="2" t="s">
        <v>9041</v>
      </c>
      <c r="K2443" s="1" t="s">
        <v>9041</v>
      </c>
      <c r="L2443" s="1" t="s">
        <v>9464</v>
      </c>
      <c r="M2443" s="1">
        <v>405</v>
      </c>
      <c r="N2443" s="1" t="s">
        <v>8953</v>
      </c>
      <c r="O2443" s="1" t="s">
        <v>8989</v>
      </c>
      <c r="P2443" s="1" t="s">
        <v>8955</v>
      </c>
      <c r="Q2443" s="1" t="s">
        <v>8956</v>
      </c>
      <c r="R2443" s="1" t="s">
        <v>8958</v>
      </c>
      <c r="S2443" s="1" t="s">
        <v>8061</v>
      </c>
      <c r="T2443" s="1" t="s">
        <v>11</v>
      </c>
      <c r="U2443" s="1" t="s">
        <v>234</v>
      </c>
    </row>
    <row r="2444" spans="1:21" x14ac:dyDescent="0.2">
      <c r="A2444" s="88" t="s">
        <v>18183</v>
      </c>
      <c r="B2444" s="88" t="e">
        <f>VLOOKUP(C2444,#REF!,1,0)</f>
        <v>#REF!</v>
      </c>
      <c r="C2444" s="1" t="s">
        <v>8062</v>
      </c>
      <c r="D2444" s="1" t="s">
        <v>8063</v>
      </c>
      <c r="E2444" s="1" t="s">
        <v>9310</v>
      </c>
      <c r="F2444" s="1" t="s">
        <v>8957</v>
      </c>
      <c r="G2444" t="s">
        <v>9061</v>
      </c>
      <c r="H2444" s="1" t="s">
        <v>9605</v>
      </c>
      <c r="I2444" s="1" t="s">
        <v>8998</v>
      </c>
      <c r="J2444" s="2" t="s">
        <v>9436</v>
      </c>
      <c r="K2444" s="1" t="s">
        <v>9436</v>
      </c>
      <c r="L2444" s="1" t="s">
        <v>8987</v>
      </c>
      <c r="M2444" s="1">
        <v>5987</v>
      </c>
      <c r="N2444" s="1" t="s">
        <v>8953</v>
      </c>
      <c r="O2444" s="1" t="s">
        <v>8989</v>
      </c>
      <c r="P2444" s="1" t="s">
        <v>8955</v>
      </c>
      <c r="Q2444" s="1" t="s">
        <v>8956</v>
      </c>
      <c r="R2444" s="1" t="s">
        <v>8958</v>
      </c>
      <c r="S2444" s="1" t="s">
        <v>8064</v>
      </c>
      <c r="T2444" s="1" t="s">
        <v>11</v>
      </c>
      <c r="U2444" s="1" t="s">
        <v>1010</v>
      </c>
    </row>
    <row r="2445" spans="1:21" x14ac:dyDescent="0.2">
      <c r="A2445" s="88" t="s">
        <v>18184</v>
      </c>
      <c r="B2445" s="88" t="e">
        <f>VLOOKUP(C2445,#REF!,1,0)</f>
        <v>#REF!</v>
      </c>
      <c r="C2445" s="1" t="s">
        <v>8065</v>
      </c>
      <c r="D2445" s="1" t="s">
        <v>8066</v>
      </c>
      <c r="E2445" s="1" t="s">
        <v>9310</v>
      </c>
      <c r="F2445" s="1" t="s">
        <v>8957</v>
      </c>
      <c r="G2445" t="s">
        <v>9061</v>
      </c>
      <c r="H2445" s="1" t="s">
        <v>8984</v>
      </c>
      <c r="I2445" s="1" t="s">
        <v>8971</v>
      </c>
      <c r="J2445" s="2" t="s">
        <v>18489</v>
      </c>
      <c r="K2445" s="1" t="s">
        <v>18489</v>
      </c>
      <c r="L2445" s="1" t="s">
        <v>8987</v>
      </c>
      <c r="M2445" s="1">
        <v>466</v>
      </c>
      <c r="N2445" s="1" t="s">
        <v>9059</v>
      </c>
      <c r="O2445" s="1" t="s">
        <v>8989</v>
      </c>
      <c r="P2445" s="1" t="s">
        <v>8955</v>
      </c>
      <c r="Q2445" s="1" t="s">
        <v>8956</v>
      </c>
      <c r="R2445" s="1" t="s">
        <v>8975</v>
      </c>
      <c r="S2445" s="1" t="s">
        <v>20314</v>
      </c>
      <c r="T2445" s="1" t="s">
        <v>7</v>
      </c>
      <c r="U2445" s="1" t="s">
        <v>147</v>
      </c>
    </row>
    <row r="2446" spans="1:21" x14ac:dyDescent="0.2">
      <c r="A2446" s="88" t="s">
        <v>18185</v>
      </c>
      <c r="B2446" s="88" t="e">
        <f>VLOOKUP(C2446,#REF!,1,0)</f>
        <v>#REF!</v>
      </c>
      <c r="C2446" s="1" t="s">
        <v>8067</v>
      </c>
      <c r="D2446" s="1" t="s">
        <v>8068</v>
      </c>
      <c r="E2446" s="1" t="s">
        <v>9310</v>
      </c>
      <c r="F2446" s="1" t="s">
        <v>8957</v>
      </c>
      <c r="G2446" t="s">
        <v>8959</v>
      </c>
      <c r="H2446" s="1" t="s">
        <v>9100</v>
      </c>
      <c r="I2446" s="1" t="s">
        <v>8949</v>
      </c>
      <c r="J2446" s="2" t="s">
        <v>20779</v>
      </c>
      <c r="K2446" s="1" t="s">
        <v>9036</v>
      </c>
      <c r="L2446" s="1" t="s">
        <v>9464</v>
      </c>
      <c r="M2446" s="1">
        <v>631</v>
      </c>
      <c r="N2446" s="1" t="s">
        <v>8953</v>
      </c>
      <c r="O2446" s="1" t="s">
        <v>8954</v>
      </c>
      <c r="P2446" s="1" t="s">
        <v>8955</v>
      </c>
      <c r="Q2446" s="1" t="s">
        <v>8956</v>
      </c>
      <c r="R2446" s="1" t="s">
        <v>8958</v>
      </c>
      <c r="S2446" s="1" t="s">
        <v>20315</v>
      </c>
      <c r="T2446" s="1" t="s">
        <v>7</v>
      </c>
      <c r="U2446" s="1" t="s">
        <v>27</v>
      </c>
    </row>
    <row r="2447" spans="1:21" x14ac:dyDescent="0.2">
      <c r="A2447" s="88" t="s">
        <v>18186</v>
      </c>
      <c r="B2447" s="88" t="e">
        <f>VLOOKUP(C2447,#REF!,1,0)</f>
        <v>#REF!</v>
      </c>
      <c r="C2447" s="1" t="s">
        <v>15489</v>
      </c>
      <c r="D2447" s="1" t="s">
        <v>8072</v>
      </c>
      <c r="E2447" s="1" t="s">
        <v>18502</v>
      </c>
      <c r="F2447" s="1" t="s">
        <v>8959</v>
      </c>
      <c r="G2447" t="s">
        <v>8959</v>
      </c>
      <c r="H2447" s="1" t="s">
        <v>9100</v>
      </c>
      <c r="I2447" s="1" t="s">
        <v>8949</v>
      </c>
      <c r="J2447" s="2" t="s">
        <v>10492</v>
      </c>
      <c r="K2447" s="1" t="s">
        <v>10492</v>
      </c>
      <c r="L2447" s="1" t="s">
        <v>21600</v>
      </c>
      <c r="M2447" s="1">
        <v>99</v>
      </c>
      <c r="N2447" s="1" t="s">
        <v>8953</v>
      </c>
      <c r="O2447" s="1" t="s">
        <v>8954</v>
      </c>
      <c r="P2447" s="1" t="s">
        <v>8955</v>
      </c>
      <c r="Q2447" s="1" t="s">
        <v>8956</v>
      </c>
      <c r="R2447" s="1" t="s">
        <v>8958</v>
      </c>
      <c r="S2447" s="1" t="s">
        <v>20317</v>
      </c>
      <c r="T2447" s="1" t="s">
        <v>7</v>
      </c>
      <c r="U2447" s="1" t="s">
        <v>57</v>
      </c>
    </row>
    <row r="2448" spans="1:21" x14ac:dyDescent="0.2">
      <c r="A2448" s="88" t="s">
        <v>18187</v>
      </c>
      <c r="B2448" s="88" t="e">
        <f>VLOOKUP(C2448,#REF!,1,0)</f>
        <v>#REF!</v>
      </c>
      <c r="C2448" s="1" t="s">
        <v>8073</v>
      </c>
      <c r="D2448" s="1" t="s">
        <v>8074</v>
      </c>
      <c r="E2448" s="1" t="s">
        <v>9310</v>
      </c>
      <c r="F2448" s="1" t="s">
        <v>8974</v>
      </c>
      <c r="G2448" t="s">
        <v>9061</v>
      </c>
      <c r="H2448" s="1" t="s">
        <v>9092</v>
      </c>
      <c r="I2448" s="1" t="s">
        <v>9308</v>
      </c>
      <c r="J2448" s="2" t="s">
        <v>9036</v>
      </c>
      <c r="K2448" s="1" t="s">
        <v>9036</v>
      </c>
      <c r="L2448" s="1" t="s">
        <v>9133</v>
      </c>
      <c r="M2448" s="1">
        <v>420</v>
      </c>
      <c r="N2448" s="1" t="s">
        <v>8953</v>
      </c>
      <c r="O2448" s="1" t="s">
        <v>8989</v>
      </c>
      <c r="P2448" s="1" t="s">
        <v>8955</v>
      </c>
      <c r="Q2448" s="1" t="s">
        <v>8956</v>
      </c>
      <c r="R2448" s="1" t="s">
        <v>8958</v>
      </c>
      <c r="S2448" s="1" t="s">
        <v>8075</v>
      </c>
      <c r="T2448" s="1" t="s">
        <v>4</v>
      </c>
      <c r="U2448" s="1" t="s">
        <v>110</v>
      </c>
    </row>
    <row r="2449" spans="1:21" x14ac:dyDescent="0.2">
      <c r="A2449" s="88" t="s">
        <v>18188</v>
      </c>
      <c r="B2449" s="88" t="e">
        <f>VLOOKUP(C2449,#REF!,1,0)</f>
        <v>#REF!</v>
      </c>
      <c r="C2449" s="1" t="s">
        <v>8076</v>
      </c>
      <c r="D2449" s="1" t="s">
        <v>8077</v>
      </c>
      <c r="E2449" s="1" t="s">
        <v>9010</v>
      </c>
      <c r="F2449" s="1" t="s">
        <v>8957</v>
      </c>
      <c r="G2449" t="s">
        <v>9009</v>
      </c>
      <c r="H2449" s="1" t="s">
        <v>9035</v>
      </c>
      <c r="I2449" s="1" t="s">
        <v>9308</v>
      </c>
      <c r="J2449" s="2" t="s">
        <v>10844</v>
      </c>
      <c r="K2449" s="1" t="s">
        <v>10844</v>
      </c>
      <c r="L2449" s="1" t="s">
        <v>21600</v>
      </c>
      <c r="M2449" s="1">
        <v>247</v>
      </c>
      <c r="N2449" s="1" t="s">
        <v>8953</v>
      </c>
      <c r="O2449" s="1" t="s">
        <v>8989</v>
      </c>
      <c r="P2449" s="1" t="s">
        <v>8955</v>
      </c>
      <c r="Q2449" s="1" t="s">
        <v>8956</v>
      </c>
      <c r="R2449" s="1" t="s">
        <v>8958</v>
      </c>
      <c r="S2449" s="1" t="s">
        <v>8078</v>
      </c>
      <c r="T2449" s="1" t="s">
        <v>11</v>
      </c>
      <c r="U2449" s="1" t="s">
        <v>46</v>
      </c>
    </row>
    <row r="2450" spans="1:21" x14ac:dyDescent="0.2">
      <c r="A2450" s="88" t="s">
        <v>18189</v>
      </c>
      <c r="B2450" s="88" t="e">
        <f>VLOOKUP(C2450,#REF!,1,0)</f>
        <v>#REF!</v>
      </c>
      <c r="C2450" s="1" t="s">
        <v>8079</v>
      </c>
      <c r="D2450" s="1" t="s">
        <v>8080</v>
      </c>
      <c r="E2450" s="1" t="s">
        <v>18502</v>
      </c>
      <c r="F2450" s="1" t="s">
        <v>8959</v>
      </c>
      <c r="G2450" t="s">
        <v>20843</v>
      </c>
      <c r="H2450" s="1" t="s">
        <v>9252</v>
      </c>
      <c r="I2450" s="1" t="s">
        <v>18504</v>
      </c>
      <c r="J2450" s="2" t="s">
        <v>18497</v>
      </c>
      <c r="K2450" s="1" t="s">
        <v>18497</v>
      </c>
      <c r="L2450" s="1" t="s">
        <v>8987</v>
      </c>
      <c r="M2450" s="1">
        <v>88994</v>
      </c>
      <c r="N2450" s="1" t="s">
        <v>8953</v>
      </c>
      <c r="O2450" s="1" t="s">
        <v>8989</v>
      </c>
      <c r="P2450" s="1" t="s">
        <v>8955</v>
      </c>
      <c r="Q2450" s="1" t="s">
        <v>8956</v>
      </c>
      <c r="R2450" s="1" t="s">
        <v>8958</v>
      </c>
      <c r="S2450" s="1" t="s">
        <v>20318</v>
      </c>
      <c r="T2450" s="1" t="s">
        <v>17</v>
      </c>
      <c r="U2450" s="1" t="s">
        <v>180</v>
      </c>
    </row>
    <row r="2451" spans="1:21" x14ac:dyDescent="0.2">
      <c r="A2451" s="88" t="s">
        <v>18190</v>
      </c>
      <c r="B2451" s="88" t="e">
        <f>VLOOKUP(C2451,#REF!,1,0)</f>
        <v>#REF!</v>
      </c>
      <c r="C2451" s="1" t="s">
        <v>8081</v>
      </c>
      <c r="D2451" s="1" t="s">
        <v>8082</v>
      </c>
      <c r="E2451" s="1" t="s">
        <v>18502</v>
      </c>
      <c r="F2451" s="1" t="s">
        <v>8974</v>
      </c>
      <c r="G2451" t="s">
        <v>20843</v>
      </c>
      <c r="H2451" s="1" t="s">
        <v>9252</v>
      </c>
      <c r="I2451" s="1" t="s">
        <v>18504</v>
      </c>
      <c r="J2451" s="2" t="s">
        <v>18497</v>
      </c>
      <c r="K2451" s="1" t="s">
        <v>18497</v>
      </c>
      <c r="L2451" s="1" t="s">
        <v>8987</v>
      </c>
      <c r="M2451" s="1">
        <v>223109</v>
      </c>
      <c r="N2451" s="1" t="s">
        <v>8953</v>
      </c>
      <c r="O2451" s="1" t="s">
        <v>8989</v>
      </c>
      <c r="P2451" s="1" t="s">
        <v>8955</v>
      </c>
      <c r="Q2451" s="1" t="s">
        <v>8956</v>
      </c>
      <c r="R2451" s="1" t="s">
        <v>8958</v>
      </c>
      <c r="S2451" s="1" t="s">
        <v>20319</v>
      </c>
      <c r="T2451" s="1" t="s">
        <v>17</v>
      </c>
      <c r="U2451" s="1" t="s">
        <v>180</v>
      </c>
    </row>
    <row r="2452" spans="1:21" x14ac:dyDescent="0.2">
      <c r="A2452" s="88" t="s">
        <v>18191</v>
      </c>
      <c r="B2452" s="88" t="e">
        <f>VLOOKUP(C2452,#REF!,1,0)</f>
        <v>#REF!</v>
      </c>
      <c r="C2452" s="1" t="s">
        <v>8083</v>
      </c>
      <c r="D2452" s="1" t="s">
        <v>8084</v>
      </c>
      <c r="E2452" s="1" t="s">
        <v>9333</v>
      </c>
      <c r="F2452" s="1" t="s">
        <v>8957</v>
      </c>
      <c r="G2452" t="s">
        <v>9183</v>
      </c>
      <c r="H2452" s="1" t="s">
        <v>9092</v>
      </c>
      <c r="I2452" s="1" t="s">
        <v>8959</v>
      </c>
      <c r="J2452" s="2" t="s">
        <v>20762</v>
      </c>
      <c r="K2452" s="1" t="s">
        <v>21731</v>
      </c>
      <c r="L2452" s="1" t="s">
        <v>8987</v>
      </c>
      <c r="M2452" s="1">
        <v>2923</v>
      </c>
      <c r="N2452" s="1" t="s">
        <v>8953</v>
      </c>
      <c r="O2452" s="1" t="s">
        <v>8954</v>
      </c>
      <c r="P2452" s="1" t="s">
        <v>8955</v>
      </c>
      <c r="Q2452" s="1" t="s">
        <v>8956</v>
      </c>
      <c r="R2452" s="1" t="s">
        <v>8975</v>
      </c>
      <c r="S2452" s="1" t="s">
        <v>20320</v>
      </c>
      <c r="T2452" s="1" t="s">
        <v>7</v>
      </c>
      <c r="U2452" s="1" t="s">
        <v>1472</v>
      </c>
    </row>
    <row r="2453" spans="1:21" x14ac:dyDescent="0.2">
      <c r="A2453" s="88" t="s">
        <v>18192</v>
      </c>
      <c r="B2453" s="88" t="e">
        <f>VLOOKUP(C2453,#REF!,1,0)</f>
        <v>#REF!</v>
      </c>
      <c r="C2453" s="1" t="s">
        <v>8085</v>
      </c>
      <c r="D2453" s="1" t="s">
        <v>8086</v>
      </c>
      <c r="E2453" s="1" t="s">
        <v>9333</v>
      </c>
      <c r="F2453" s="1" t="s">
        <v>8957</v>
      </c>
      <c r="G2453" t="s">
        <v>9009</v>
      </c>
      <c r="H2453" s="1" t="s">
        <v>9252</v>
      </c>
      <c r="I2453" s="1" t="s">
        <v>18504</v>
      </c>
      <c r="J2453" s="2" t="s">
        <v>20779</v>
      </c>
      <c r="K2453" s="1" t="s">
        <v>9036</v>
      </c>
      <c r="L2453" s="1" t="s">
        <v>8987</v>
      </c>
      <c r="M2453" s="1">
        <v>15000</v>
      </c>
      <c r="N2453" s="1" t="s">
        <v>8953</v>
      </c>
      <c r="O2453" s="1" t="s">
        <v>8954</v>
      </c>
      <c r="P2453" s="1" t="s">
        <v>8955</v>
      </c>
      <c r="Q2453" s="1" t="s">
        <v>8956</v>
      </c>
      <c r="R2453" s="1" t="s">
        <v>8958</v>
      </c>
      <c r="S2453" s="1" t="s">
        <v>20321</v>
      </c>
      <c r="T2453" s="1" t="s">
        <v>7</v>
      </c>
      <c r="U2453" s="1" t="s">
        <v>267</v>
      </c>
    </row>
    <row r="2454" spans="1:21" x14ac:dyDescent="0.2">
      <c r="A2454" s="88" t="s">
        <v>18193</v>
      </c>
      <c r="B2454" s="88" t="e">
        <f>VLOOKUP(C2454,#REF!,1,0)</f>
        <v>#REF!</v>
      </c>
      <c r="C2454" s="1" t="s">
        <v>8087</v>
      </c>
      <c r="D2454" s="1" t="s">
        <v>8088</v>
      </c>
      <c r="E2454" s="1" t="s">
        <v>9333</v>
      </c>
      <c r="F2454" s="1" t="s">
        <v>8957</v>
      </c>
      <c r="G2454" t="s">
        <v>9183</v>
      </c>
      <c r="H2454" s="1" t="s">
        <v>9075</v>
      </c>
      <c r="I2454" s="1" t="s">
        <v>9422</v>
      </c>
      <c r="J2454" s="2" t="s">
        <v>21216</v>
      </c>
      <c r="K2454" s="1" t="s">
        <v>21216</v>
      </c>
      <c r="L2454" s="1" t="s">
        <v>9157</v>
      </c>
      <c r="M2454" s="1">
        <v>15464</v>
      </c>
      <c r="N2454" s="1" t="s">
        <v>8953</v>
      </c>
      <c r="O2454" s="1" t="s">
        <v>8954</v>
      </c>
      <c r="P2454" s="1" t="s">
        <v>8955</v>
      </c>
      <c r="Q2454" s="1" t="s">
        <v>8956</v>
      </c>
      <c r="R2454" s="1" t="s">
        <v>8975</v>
      </c>
      <c r="S2454" s="1" t="s">
        <v>8089</v>
      </c>
      <c r="T2454" s="1" t="s">
        <v>17</v>
      </c>
      <c r="U2454" s="1" t="s">
        <v>580</v>
      </c>
    </row>
    <row r="2455" spans="1:21" x14ac:dyDescent="0.2">
      <c r="A2455" s="88" t="s">
        <v>18194</v>
      </c>
      <c r="B2455" s="88" t="e">
        <f>VLOOKUP(C2455,#REF!,1,0)</f>
        <v>#REF!</v>
      </c>
      <c r="C2455" s="1" t="s">
        <v>8090</v>
      </c>
      <c r="D2455" s="1" t="s">
        <v>8091</v>
      </c>
      <c r="E2455" s="1" t="s">
        <v>18502</v>
      </c>
      <c r="F2455" s="1" t="s">
        <v>8957</v>
      </c>
      <c r="G2455" t="s">
        <v>9061</v>
      </c>
      <c r="H2455" s="1" t="s">
        <v>8984</v>
      </c>
      <c r="I2455" s="1" t="s">
        <v>9155</v>
      </c>
      <c r="J2455" s="2" t="s">
        <v>10525</v>
      </c>
      <c r="K2455" s="1" t="s">
        <v>21650</v>
      </c>
      <c r="L2455" s="1" t="s">
        <v>8987</v>
      </c>
      <c r="M2455" s="1">
        <v>314</v>
      </c>
      <c r="N2455" s="1" t="s">
        <v>8953</v>
      </c>
      <c r="O2455" s="1" t="s">
        <v>8954</v>
      </c>
      <c r="P2455" s="1" t="s">
        <v>8955</v>
      </c>
      <c r="Q2455" s="1" t="s">
        <v>8956</v>
      </c>
      <c r="R2455" s="1" t="s">
        <v>8975</v>
      </c>
      <c r="S2455" s="1" t="s">
        <v>20322</v>
      </c>
      <c r="T2455" s="1" t="s">
        <v>7</v>
      </c>
      <c r="U2455" s="1" t="s">
        <v>891</v>
      </c>
    </row>
    <row r="2456" spans="1:21" x14ac:dyDescent="0.2">
      <c r="A2456" s="88" t="s">
        <v>18195</v>
      </c>
      <c r="B2456" s="88" t="e">
        <f>VLOOKUP(C2456,#REF!,1,0)</f>
        <v>#REF!</v>
      </c>
      <c r="C2456" s="1" t="s">
        <v>8095</v>
      </c>
      <c r="D2456" s="1" t="s">
        <v>8096</v>
      </c>
      <c r="E2456" s="1" t="s">
        <v>9310</v>
      </c>
      <c r="F2456" s="1" t="s">
        <v>8957</v>
      </c>
      <c r="G2456" t="s">
        <v>8959</v>
      </c>
      <c r="H2456" s="1" t="s">
        <v>20712</v>
      </c>
      <c r="I2456" s="1" t="s">
        <v>8949</v>
      </c>
      <c r="J2456" s="2" t="s">
        <v>20779</v>
      </c>
      <c r="K2456" s="1" t="s">
        <v>9036</v>
      </c>
      <c r="L2456" s="1" t="s">
        <v>9076</v>
      </c>
      <c r="M2456" s="1">
        <v>6686</v>
      </c>
      <c r="N2456" s="1" t="s">
        <v>8953</v>
      </c>
      <c r="O2456" s="1" t="s">
        <v>8954</v>
      </c>
      <c r="P2456" s="1" t="s">
        <v>8955</v>
      </c>
      <c r="Q2456" s="1" t="s">
        <v>8956</v>
      </c>
      <c r="R2456" s="1" t="s">
        <v>9103</v>
      </c>
      <c r="S2456" s="1" t="s">
        <v>20324</v>
      </c>
      <c r="T2456" s="1" t="s">
        <v>7</v>
      </c>
      <c r="U2456" s="1" t="s">
        <v>43</v>
      </c>
    </row>
    <row r="2457" spans="1:21" x14ac:dyDescent="0.2">
      <c r="A2457" s="88" t="s">
        <v>18196</v>
      </c>
      <c r="B2457" s="88" t="e">
        <f>VLOOKUP(C2457,#REF!,1,0)</f>
        <v>#REF!</v>
      </c>
      <c r="C2457" s="1" t="s">
        <v>8097</v>
      </c>
      <c r="D2457" s="1" t="s">
        <v>8098</v>
      </c>
      <c r="E2457" s="1" t="s">
        <v>18502</v>
      </c>
      <c r="F2457" s="1" t="s">
        <v>8959</v>
      </c>
      <c r="G2457" t="s">
        <v>8959</v>
      </c>
      <c r="H2457" s="1" t="s">
        <v>20712</v>
      </c>
      <c r="I2457" s="1" t="s">
        <v>8998</v>
      </c>
      <c r="J2457" s="2" t="s">
        <v>20723</v>
      </c>
      <c r="K2457" s="1" t="s">
        <v>20723</v>
      </c>
      <c r="L2457" s="1" t="s">
        <v>8951</v>
      </c>
      <c r="M2457" s="1">
        <v>6692</v>
      </c>
      <c r="N2457" s="1" t="s">
        <v>9059</v>
      </c>
      <c r="O2457" s="1" t="s">
        <v>8954</v>
      </c>
      <c r="P2457" s="1" t="s">
        <v>8955</v>
      </c>
      <c r="Q2457" s="1" t="s">
        <v>8956</v>
      </c>
      <c r="R2457" s="1" t="s">
        <v>8975</v>
      </c>
      <c r="S2457" s="1" t="s">
        <v>20325</v>
      </c>
      <c r="T2457" s="1" t="s">
        <v>7</v>
      </c>
      <c r="U2457" s="1" t="s">
        <v>61</v>
      </c>
    </row>
    <row r="2458" spans="1:21" x14ac:dyDescent="0.2">
      <c r="A2458" s="88" t="s">
        <v>18197</v>
      </c>
      <c r="B2458" s="88" t="e">
        <f>VLOOKUP(C2458,#REF!,1,0)</f>
        <v>#REF!</v>
      </c>
      <c r="C2458" s="1" t="s">
        <v>8099</v>
      </c>
      <c r="D2458" s="1" t="s">
        <v>8100</v>
      </c>
      <c r="E2458" s="1" t="s">
        <v>9176</v>
      </c>
      <c r="F2458" s="1" t="s">
        <v>8959</v>
      </c>
      <c r="G2458" t="s">
        <v>8959</v>
      </c>
      <c r="H2458" s="1" t="s">
        <v>9075</v>
      </c>
      <c r="I2458" s="1" t="s">
        <v>8949</v>
      </c>
      <c r="J2458" s="2" t="s">
        <v>10369</v>
      </c>
      <c r="K2458" s="1" t="s">
        <v>10369</v>
      </c>
      <c r="L2458" s="1" t="s">
        <v>21600</v>
      </c>
      <c r="M2458" s="1">
        <v>50</v>
      </c>
      <c r="N2458" s="1" t="s">
        <v>9479</v>
      </c>
      <c r="O2458" s="1" t="s">
        <v>8989</v>
      </c>
      <c r="P2458" s="1" t="s">
        <v>8955</v>
      </c>
      <c r="Q2458" s="1" t="s">
        <v>8956</v>
      </c>
      <c r="R2458" s="1" t="s">
        <v>8958</v>
      </c>
      <c r="S2458" s="1" t="s">
        <v>8101</v>
      </c>
      <c r="T2458" s="1" t="s">
        <v>17</v>
      </c>
      <c r="U2458" s="1" t="s">
        <v>184</v>
      </c>
    </row>
    <row r="2459" spans="1:21" x14ac:dyDescent="0.2">
      <c r="A2459" s="88" t="s">
        <v>18198</v>
      </c>
      <c r="B2459" s="88" t="e">
        <f>VLOOKUP(C2459,#REF!,1,0)</f>
        <v>#REF!</v>
      </c>
      <c r="C2459" s="1" t="s">
        <v>8102</v>
      </c>
      <c r="D2459" s="1" t="s">
        <v>8103</v>
      </c>
      <c r="E2459" s="1" t="s">
        <v>9010</v>
      </c>
      <c r="F2459" s="1" t="s">
        <v>8959</v>
      </c>
      <c r="G2459" t="s">
        <v>9061</v>
      </c>
      <c r="H2459" s="1" t="s">
        <v>11850</v>
      </c>
      <c r="I2459" s="1" t="s">
        <v>8998</v>
      </c>
      <c r="J2459" s="2" t="s">
        <v>9036</v>
      </c>
      <c r="K2459" s="1" t="s">
        <v>9036</v>
      </c>
      <c r="L2459" s="1" t="s">
        <v>8951</v>
      </c>
      <c r="M2459" s="1">
        <v>32120</v>
      </c>
      <c r="N2459" s="1" t="s">
        <v>8953</v>
      </c>
      <c r="O2459" s="1" t="s">
        <v>8989</v>
      </c>
      <c r="P2459" s="1" t="s">
        <v>8955</v>
      </c>
      <c r="Q2459" s="1" t="s">
        <v>8956</v>
      </c>
      <c r="R2459" s="1" t="s">
        <v>8958</v>
      </c>
      <c r="S2459" s="1" t="s">
        <v>8104</v>
      </c>
      <c r="T2459" s="1" t="s">
        <v>11</v>
      </c>
      <c r="U2459" s="1" t="s">
        <v>286</v>
      </c>
    </row>
    <row r="2460" spans="1:21" x14ac:dyDescent="0.2">
      <c r="A2460" s="88" t="s">
        <v>18199</v>
      </c>
      <c r="B2460" s="88" t="e">
        <f>VLOOKUP(C2460,#REF!,1,0)</f>
        <v>#REF!</v>
      </c>
      <c r="C2460" s="1" t="s">
        <v>8105</v>
      </c>
      <c r="D2460" s="1" t="s">
        <v>8106</v>
      </c>
      <c r="E2460" s="1" t="s">
        <v>9310</v>
      </c>
      <c r="F2460" s="1" t="s">
        <v>8957</v>
      </c>
      <c r="G2460" t="s">
        <v>9183</v>
      </c>
      <c r="H2460" s="1" t="s">
        <v>9100</v>
      </c>
      <c r="I2460" s="1" t="s">
        <v>8998</v>
      </c>
      <c r="J2460" s="2" t="s">
        <v>21406</v>
      </c>
      <c r="K2460" s="1" t="s">
        <v>21887</v>
      </c>
      <c r="L2460" s="1" t="s">
        <v>9076</v>
      </c>
      <c r="M2460" s="1">
        <v>40000</v>
      </c>
      <c r="N2460" s="1" t="s">
        <v>8953</v>
      </c>
      <c r="O2460" s="1" t="s">
        <v>8989</v>
      </c>
      <c r="P2460" s="1" t="s">
        <v>8955</v>
      </c>
      <c r="Q2460" s="1" t="s">
        <v>8956</v>
      </c>
      <c r="R2460" s="1" t="s">
        <v>8975</v>
      </c>
      <c r="S2460" s="1" t="s">
        <v>20326</v>
      </c>
      <c r="T2460" s="1" t="s">
        <v>17</v>
      </c>
      <c r="U2460" s="1" t="s">
        <v>2394</v>
      </c>
    </row>
    <row r="2461" spans="1:21" x14ac:dyDescent="0.2">
      <c r="A2461" s="88" t="s">
        <v>18200</v>
      </c>
      <c r="B2461" s="88" t="e">
        <f>VLOOKUP(C2461,#REF!,1,0)</f>
        <v>#REF!</v>
      </c>
      <c r="C2461" s="1" t="s">
        <v>8107</v>
      </c>
      <c r="D2461" s="1" t="s">
        <v>8108</v>
      </c>
      <c r="E2461" s="1" t="s">
        <v>9333</v>
      </c>
      <c r="F2461" s="1" t="s">
        <v>8959</v>
      </c>
      <c r="G2461" t="s">
        <v>8959</v>
      </c>
      <c r="H2461" s="1" t="s">
        <v>9100</v>
      </c>
      <c r="I2461" s="1" t="s">
        <v>8971</v>
      </c>
      <c r="J2461" s="2" t="s">
        <v>9018</v>
      </c>
      <c r="K2461" s="1" t="s">
        <v>9018</v>
      </c>
      <c r="L2461" s="1" t="s">
        <v>21600</v>
      </c>
      <c r="M2461" s="1">
        <v>8000</v>
      </c>
      <c r="N2461" s="1" t="s">
        <v>8953</v>
      </c>
      <c r="O2461" s="1" t="s">
        <v>8989</v>
      </c>
      <c r="P2461" s="1" t="s">
        <v>8955</v>
      </c>
      <c r="Q2461" s="1" t="s">
        <v>8956</v>
      </c>
      <c r="R2461" s="1" t="s">
        <v>8958</v>
      </c>
      <c r="S2461" s="1" t="s">
        <v>8109</v>
      </c>
      <c r="T2461" s="1" t="s">
        <v>4</v>
      </c>
      <c r="U2461" s="1" t="s">
        <v>46</v>
      </c>
    </row>
    <row r="2462" spans="1:21" x14ac:dyDescent="0.2">
      <c r="A2462" s="88" t="s">
        <v>18201</v>
      </c>
      <c r="B2462" s="88" t="e">
        <f>VLOOKUP(C2462,#REF!,1,0)</f>
        <v>#REF!</v>
      </c>
      <c r="C2462" s="1" t="s">
        <v>8110</v>
      </c>
      <c r="D2462" s="1" t="s">
        <v>8111</v>
      </c>
      <c r="E2462" s="1" t="s">
        <v>18502</v>
      </c>
      <c r="F2462" s="1" t="s">
        <v>8959</v>
      </c>
      <c r="G2462" t="s">
        <v>8959</v>
      </c>
      <c r="H2462" s="1" t="s">
        <v>9035</v>
      </c>
      <c r="I2462" s="1" t="s">
        <v>8998</v>
      </c>
      <c r="J2462" s="2" t="s">
        <v>18497</v>
      </c>
      <c r="K2462" s="1" t="s">
        <v>18497</v>
      </c>
      <c r="L2462" s="1" t="s">
        <v>8987</v>
      </c>
      <c r="M2462" s="1">
        <v>180</v>
      </c>
      <c r="N2462" s="1" t="s">
        <v>9059</v>
      </c>
      <c r="O2462" s="1" t="s">
        <v>8989</v>
      </c>
      <c r="P2462" s="1" t="s">
        <v>8955</v>
      </c>
      <c r="Q2462" s="1" t="s">
        <v>8956</v>
      </c>
      <c r="R2462" s="1" t="s">
        <v>8958</v>
      </c>
      <c r="S2462" s="1" t="s">
        <v>20327</v>
      </c>
      <c r="T2462" s="1" t="s">
        <v>17</v>
      </c>
      <c r="U2462" s="1" t="s">
        <v>46</v>
      </c>
    </row>
    <row r="2463" spans="1:21" x14ac:dyDescent="0.2">
      <c r="A2463" s="88" t="s">
        <v>18202</v>
      </c>
      <c r="B2463" s="88"/>
      <c r="C2463" s="1" t="s">
        <v>8112</v>
      </c>
      <c r="D2463" s="1" t="s">
        <v>8113</v>
      </c>
      <c r="E2463" s="1" t="e">
        <v>#N/A</v>
      </c>
      <c r="F2463" s="1" t="e">
        <v>#N/A</v>
      </c>
      <c r="G2463" t="e">
        <v>#N/A</v>
      </c>
      <c r="H2463" s="1" t="e">
        <v>#N/A</v>
      </c>
      <c r="I2463" s="1" t="e">
        <v>#N/A</v>
      </c>
      <c r="J2463" s="2" t="e">
        <v>#N/A</v>
      </c>
      <c r="K2463" s="1" t="e">
        <v>#N/A</v>
      </c>
      <c r="L2463" s="1" t="e">
        <v>#N/A</v>
      </c>
      <c r="M2463" s="1" t="e">
        <v>#N/A</v>
      </c>
      <c r="N2463" s="1" t="e">
        <v>#N/A</v>
      </c>
      <c r="O2463" s="1" t="e">
        <v>#N/A</v>
      </c>
      <c r="P2463" s="1" t="s">
        <v>8955</v>
      </c>
      <c r="Q2463" s="1" t="s">
        <v>8956</v>
      </c>
      <c r="R2463" s="1" t="s">
        <v>8975</v>
      </c>
      <c r="S2463" s="1" t="s">
        <v>20328</v>
      </c>
      <c r="T2463" s="1" t="s">
        <v>252</v>
      </c>
      <c r="U2463" s="1" t="s">
        <v>8114</v>
      </c>
    </row>
    <row r="2464" spans="1:21" x14ac:dyDescent="0.2">
      <c r="A2464" s="88" t="s">
        <v>18203</v>
      </c>
      <c r="B2464" s="88" t="e">
        <f>VLOOKUP(C2464,#REF!,1,0)</f>
        <v>#REF!</v>
      </c>
      <c r="C2464" s="1" t="s">
        <v>8115</v>
      </c>
      <c r="D2464" s="1" t="s">
        <v>8116</v>
      </c>
      <c r="E2464" s="1" t="s">
        <v>9310</v>
      </c>
      <c r="F2464" s="1" t="s">
        <v>8957</v>
      </c>
      <c r="G2464" t="s">
        <v>8959</v>
      </c>
      <c r="H2464" s="1" t="s">
        <v>20712</v>
      </c>
      <c r="I2464" s="1" t="s">
        <v>8949</v>
      </c>
      <c r="J2464" s="2" t="s">
        <v>20863</v>
      </c>
      <c r="K2464" s="1" t="s">
        <v>12408</v>
      </c>
      <c r="L2464" s="1" t="s">
        <v>8987</v>
      </c>
      <c r="M2464" s="1">
        <v>1100</v>
      </c>
      <c r="N2464" s="1" t="s">
        <v>9059</v>
      </c>
      <c r="O2464" s="1" t="s">
        <v>8954</v>
      </c>
      <c r="P2464" s="1" t="s">
        <v>8955</v>
      </c>
      <c r="Q2464" s="1" t="s">
        <v>8956</v>
      </c>
      <c r="R2464" s="1" t="s">
        <v>8975</v>
      </c>
      <c r="S2464" s="1" t="s">
        <v>20329</v>
      </c>
      <c r="T2464" s="1" t="s">
        <v>17</v>
      </c>
      <c r="U2464" s="1" t="s">
        <v>1421</v>
      </c>
    </row>
    <row r="2465" spans="1:16382" x14ac:dyDescent="0.2">
      <c r="A2465" s="88" t="s">
        <v>18204</v>
      </c>
      <c r="B2465" s="88" t="e">
        <f>VLOOKUP(C2465,#REF!,1,0)</f>
        <v>#REF!</v>
      </c>
      <c r="C2465" s="1" t="s">
        <v>8117</v>
      </c>
      <c r="D2465" s="1" t="s">
        <v>8118</v>
      </c>
      <c r="E2465" s="1" t="s">
        <v>9310</v>
      </c>
      <c r="F2465" s="1" t="s">
        <v>8957</v>
      </c>
      <c r="G2465" t="s">
        <v>8959</v>
      </c>
      <c r="H2465" s="1" t="s">
        <v>9154</v>
      </c>
      <c r="I2465" s="1" t="s">
        <v>8949</v>
      </c>
      <c r="J2465" s="2" t="s">
        <v>10492</v>
      </c>
      <c r="K2465" s="1" t="s">
        <v>21645</v>
      </c>
      <c r="L2465" s="1" t="s">
        <v>21600</v>
      </c>
      <c r="M2465" s="1">
        <v>19792</v>
      </c>
      <c r="N2465" s="1" t="s">
        <v>8953</v>
      </c>
      <c r="O2465" s="1" t="s">
        <v>8954</v>
      </c>
      <c r="P2465" s="1" t="s">
        <v>8955</v>
      </c>
      <c r="Q2465" s="1" t="s">
        <v>8956</v>
      </c>
      <c r="R2465" s="1" t="s">
        <v>9103</v>
      </c>
      <c r="S2465" s="1" t="s">
        <v>20330</v>
      </c>
      <c r="T2465" s="1" t="s">
        <v>17</v>
      </c>
      <c r="U2465" s="1" t="s">
        <v>74</v>
      </c>
    </row>
    <row r="2466" spans="1:16382" x14ac:dyDescent="0.2">
      <c r="A2466" s="88" t="s">
        <v>18205</v>
      </c>
      <c r="B2466" s="88" t="e">
        <f>VLOOKUP(C2466,#REF!,1,0)</f>
        <v>#REF!</v>
      </c>
      <c r="C2466" s="1" t="s">
        <v>8122</v>
      </c>
      <c r="D2466" s="1" t="s">
        <v>8123</v>
      </c>
      <c r="E2466" s="1" t="s">
        <v>18502</v>
      </c>
      <c r="F2466" s="1" t="s">
        <v>8957</v>
      </c>
      <c r="G2466" t="s">
        <v>9061</v>
      </c>
      <c r="H2466" s="1" t="s">
        <v>9100</v>
      </c>
      <c r="I2466" s="1" t="s">
        <v>8949</v>
      </c>
      <c r="J2466" s="2" t="s">
        <v>20785</v>
      </c>
      <c r="K2466" s="1" t="s">
        <v>18491</v>
      </c>
      <c r="L2466" s="1" t="s">
        <v>9076</v>
      </c>
      <c r="M2466" s="1">
        <v>24000</v>
      </c>
      <c r="N2466" s="1" t="s">
        <v>8953</v>
      </c>
      <c r="O2466" s="1" t="s">
        <v>8989</v>
      </c>
      <c r="P2466" s="1" t="s">
        <v>8955</v>
      </c>
      <c r="Q2466" s="1" t="s">
        <v>8956</v>
      </c>
      <c r="R2466" s="1" t="s">
        <v>8975</v>
      </c>
      <c r="S2466" s="1" t="s">
        <v>20332</v>
      </c>
      <c r="T2466" s="1" t="s">
        <v>7</v>
      </c>
      <c r="U2466" s="1" t="s">
        <v>580</v>
      </c>
    </row>
    <row r="2467" spans="1:16382" x14ac:dyDescent="0.2">
      <c r="A2467" s="95" t="s">
        <v>18206</v>
      </c>
      <c r="B2467" s="88" t="e">
        <f>VLOOKUP(C2467,#REF!,1,0)</f>
        <v>#REF!</v>
      </c>
      <c r="C2467" s="1" t="s">
        <v>8124</v>
      </c>
      <c r="D2467" s="1" t="s">
        <v>8125</v>
      </c>
      <c r="E2467" s="1" t="s">
        <v>9310</v>
      </c>
      <c r="F2467" s="1" t="s">
        <v>9060</v>
      </c>
      <c r="G2467" t="s">
        <v>8959</v>
      </c>
      <c r="H2467" s="1" t="s">
        <v>9075</v>
      </c>
      <c r="I2467" s="1" t="s">
        <v>8959</v>
      </c>
      <c r="J2467" s="2" t="s">
        <v>20785</v>
      </c>
      <c r="K2467" s="1" t="s">
        <v>18491</v>
      </c>
      <c r="L2467" s="1" t="s">
        <v>20966</v>
      </c>
      <c r="M2467" s="1">
        <v>323</v>
      </c>
      <c r="N2467" s="1" t="s">
        <v>9059</v>
      </c>
      <c r="O2467" s="1" t="s">
        <v>8954</v>
      </c>
      <c r="P2467" s="1" t="s">
        <v>8955</v>
      </c>
      <c r="Q2467" s="1" t="s">
        <v>8956</v>
      </c>
      <c r="R2467" s="1" t="s">
        <v>8958</v>
      </c>
      <c r="S2467" s="1" t="s">
        <v>20333</v>
      </c>
      <c r="T2467" s="1" t="s">
        <v>7</v>
      </c>
      <c r="U2467" s="1" t="s">
        <v>27</v>
      </c>
    </row>
    <row r="2468" spans="1:16382" x14ac:dyDescent="0.2">
      <c r="A2468" s="88" t="s">
        <v>18207</v>
      </c>
      <c r="B2468" s="88" t="e">
        <f>VLOOKUP(C2468,#REF!,1,0)</f>
        <v>#REF!</v>
      </c>
      <c r="C2468" s="1" t="s">
        <v>8126</v>
      </c>
      <c r="D2468" s="1" t="s">
        <v>8127</v>
      </c>
      <c r="E2468" s="1" t="s">
        <v>9310</v>
      </c>
      <c r="F2468" s="1" t="s">
        <v>8957</v>
      </c>
      <c r="G2468" t="s">
        <v>9183</v>
      </c>
      <c r="H2468" s="1" t="s">
        <v>9049</v>
      </c>
      <c r="I2468" s="1" t="s">
        <v>9050</v>
      </c>
      <c r="J2468" s="2" t="s">
        <v>8972</v>
      </c>
      <c r="K2468" s="1" t="s">
        <v>8972</v>
      </c>
      <c r="L2468" s="1" t="s">
        <v>21600</v>
      </c>
      <c r="M2468" s="1">
        <v>40</v>
      </c>
      <c r="N2468" s="1" t="s">
        <v>8953</v>
      </c>
      <c r="O2468" s="1" t="s">
        <v>8954</v>
      </c>
      <c r="P2468" s="1" t="s">
        <v>8955</v>
      </c>
      <c r="Q2468" s="1" t="s">
        <v>8956</v>
      </c>
      <c r="R2468" s="1" t="s">
        <v>9103</v>
      </c>
      <c r="S2468" s="1" t="s">
        <v>8128</v>
      </c>
      <c r="T2468" s="1" t="s">
        <v>11</v>
      </c>
      <c r="U2468" s="1" t="s">
        <v>1076</v>
      </c>
    </row>
    <row r="2469" spans="1:16382" x14ac:dyDescent="0.2">
      <c r="A2469" s="88" t="s">
        <v>18208</v>
      </c>
      <c r="B2469" s="88" t="e">
        <f>VLOOKUP(C2469,#REF!,1,0)</f>
        <v>#REF!</v>
      </c>
      <c r="C2469" s="1" t="s">
        <v>8129</v>
      </c>
      <c r="D2469" s="1" t="s">
        <v>8130</v>
      </c>
      <c r="E2469" s="1" t="s">
        <v>9310</v>
      </c>
      <c r="F2469" s="1" t="s">
        <v>8959</v>
      </c>
      <c r="G2469" t="s">
        <v>8959</v>
      </c>
      <c r="H2469" s="1" t="s">
        <v>20714</v>
      </c>
      <c r="I2469" s="1" t="s">
        <v>9050</v>
      </c>
      <c r="J2469" s="2" t="s">
        <v>20838</v>
      </c>
      <c r="K2469" s="1" t="s">
        <v>20755</v>
      </c>
      <c r="L2469" s="1" t="s">
        <v>21600</v>
      </c>
      <c r="M2469" s="1">
        <v>88</v>
      </c>
      <c r="N2469" s="1" t="s">
        <v>8953</v>
      </c>
      <c r="O2469" s="1" t="s">
        <v>8954</v>
      </c>
      <c r="P2469" s="1" t="s">
        <v>8955</v>
      </c>
      <c r="Q2469" s="1" t="s">
        <v>8956</v>
      </c>
      <c r="R2469" s="1" t="s">
        <v>9103</v>
      </c>
      <c r="S2469" s="1" t="s">
        <v>20334</v>
      </c>
      <c r="T2469" s="1" t="s">
        <v>17</v>
      </c>
      <c r="U2469" s="1" t="s">
        <v>27</v>
      </c>
    </row>
    <row r="2470" spans="1:16382" x14ac:dyDescent="0.2">
      <c r="A2470" s="88" t="s">
        <v>18209</v>
      </c>
      <c r="B2470" s="88" t="e">
        <f>VLOOKUP(C2470,#REF!,1,0)</f>
        <v>#REF!</v>
      </c>
      <c r="C2470" s="1" t="s">
        <v>8131</v>
      </c>
      <c r="D2470" s="1" t="s">
        <v>8132</v>
      </c>
      <c r="E2470" s="1" t="s">
        <v>9310</v>
      </c>
      <c r="F2470" s="1" t="s">
        <v>8957</v>
      </c>
      <c r="G2470" t="s">
        <v>8959</v>
      </c>
      <c r="H2470" s="1" t="s">
        <v>9605</v>
      </c>
      <c r="I2470" s="1" t="s">
        <v>9422</v>
      </c>
      <c r="J2470" s="2" t="s">
        <v>20838</v>
      </c>
      <c r="K2470" s="1" t="s">
        <v>20755</v>
      </c>
      <c r="L2470" s="1" t="s">
        <v>21600</v>
      </c>
      <c r="M2470" s="1">
        <v>13050</v>
      </c>
      <c r="N2470" s="1" t="s">
        <v>20915</v>
      </c>
      <c r="O2470" s="1" t="s">
        <v>8989</v>
      </c>
      <c r="P2470" s="1" t="s">
        <v>8955</v>
      </c>
      <c r="Q2470" s="1" t="s">
        <v>8956</v>
      </c>
      <c r="R2470" s="1" t="s">
        <v>9103</v>
      </c>
      <c r="S2470" s="1" t="s">
        <v>20334</v>
      </c>
      <c r="T2470" s="1" t="s">
        <v>7</v>
      </c>
      <c r="U2470" s="1" t="s">
        <v>61</v>
      </c>
    </row>
    <row r="2471" spans="1:16382" x14ac:dyDescent="0.2">
      <c r="A2471" s="88" t="s">
        <v>18210</v>
      </c>
      <c r="B2471" s="88" t="e">
        <f>VLOOKUP(C2471,#REF!,1,0)</f>
        <v>#REF!</v>
      </c>
      <c r="C2471" s="1" t="s">
        <v>8133</v>
      </c>
      <c r="D2471" s="1" t="s">
        <v>8134</v>
      </c>
      <c r="E2471" s="1" t="s">
        <v>18502</v>
      </c>
      <c r="F2471" s="1" t="s">
        <v>8959</v>
      </c>
      <c r="G2471" t="s">
        <v>8959</v>
      </c>
      <c r="H2471" s="1" t="s">
        <v>20712</v>
      </c>
      <c r="I2471" s="1" t="s">
        <v>8998</v>
      </c>
      <c r="J2471" s="2" t="s">
        <v>20779</v>
      </c>
      <c r="K2471" s="1" t="s">
        <v>9036</v>
      </c>
      <c r="L2471" s="1" t="s">
        <v>9292</v>
      </c>
      <c r="M2471" s="1">
        <v>7489</v>
      </c>
      <c r="N2471" s="1" t="s">
        <v>8953</v>
      </c>
      <c r="O2471" s="1" t="s">
        <v>8989</v>
      </c>
      <c r="P2471" s="1" t="s">
        <v>8955</v>
      </c>
      <c r="Q2471" s="1" t="s">
        <v>8956</v>
      </c>
      <c r="R2471" s="1" t="s">
        <v>8958</v>
      </c>
      <c r="S2471" s="1" t="s">
        <v>20335</v>
      </c>
      <c r="T2471" s="1" t="s">
        <v>924</v>
      </c>
      <c r="U2471" s="1" t="s">
        <v>8135</v>
      </c>
    </row>
    <row r="2472" spans="1:16382" x14ac:dyDescent="0.2">
      <c r="A2472" s="88" t="s">
        <v>18211</v>
      </c>
      <c r="B2472" s="88" t="e">
        <f>VLOOKUP(C2472,#REF!,1,0)</f>
        <v>#REF!</v>
      </c>
      <c r="C2472" s="1" t="s">
        <v>8136</v>
      </c>
      <c r="D2472" s="1" t="s">
        <v>8137</v>
      </c>
      <c r="E2472" s="1" t="s">
        <v>9333</v>
      </c>
      <c r="F2472" s="1" t="s">
        <v>8974</v>
      </c>
      <c r="G2472" t="s">
        <v>9183</v>
      </c>
      <c r="H2472" s="1" t="s">
        <v>9605</v>
      </c>
      <c r="I2472" s="1" t="s">
        <v>9101</v>
      </c>
      <c r="J2472" s="2" t="s">
        <v>10525</v>
      </c>
      <c r="K2472" s="1" t="s">
        <v>21650</v>
      </c>
      <c r="L2472" s="1" t="s">
        <v>8987</v>
      </c>
      <c r="M2472" s="1">
        <v>10100</v>
      </c>
      <c r="N2472" s="1" t="s">
        <v>8953</v>
      </c>
      <c r="O2472" s="1" t="s">
        <v>8989</v>
      </c>
      <c r="P2472" s="1" t="s">
        <v>8955</v>
      </c>
      <c r="Q2472" s="1" t="s">
        <v>8956</v>
      </c>
      <c r="R2472" s="1" t="s">
        <v>8975</v>
      </c>
      <c r="S2472" s="1" t="s">
        <v>20336</v>
      </c>
      <c r="T2472" s="1" t="s">
        <v>7</v>
      </c>
      <c r="U2472" s="1" t="s">
        <v>7510</v>
      </c>
    </row>
    <row r="2473" spans="1:16382" s="115" customFormat="1" x14ac:dyDescent="0.2">
      <c r="A2473" s="113" t="s">
        <v>18212</v>
      </c>
      <c r="B2473" s="88" t="e">
        <f>VLOOKUP(C2473,#REF!,1,0)</f>
        <v>#REF!</v>
      </c>
      <c r="C2473" s="114" t="s">
        <v>8141</v>
      </c>
      <c r="D2473" s="114" t="s">
        <v>8142</v>
      </c>
      <c r="E2473" s="114" t="s">
        <v>9310</v>
      </c>
      <c r="F2473" s="114" t="s">
        <v>8957</v>
      </c>
      <c r="G2473" s="115" t="s">
        <v>9061</v>
      </c>
      <c r="H2473" s="114" t="s">
        <v>8984</v>
      </c>
      <c r="I2473" s="114" t="s">
        <v>8949</v>
      </c>
      <c r="J2473" s="136" t="s">
        <v>9036</v>
      </c>
      <c r="K2473" s="1" t="s">
        <v>9036</v>
      </c>
      <c r="L2473" s="114" t="s">
        <v>9133</v>
      </c>
      <c r="M2473" s="114">
        <v>192</v>
      </c>
      <c r="N2473" s="114" t="s">
        <v>8953</v>
      </c>
      <c r="O2473" s="114" t="s">
        <v>8989</v>
      </c>
      <c r="P2473" s="114" t="s">
        <v>8955</v>
      </c>
      <c r="Q2473" s="114" t="s">
        <v>8956</v>
      </c>
      <c r="R2473" s="114" t="s">
        <v>8958</v>
      </c>
      <c r="S2473" s="114" t="s">
        <v>8143</v>
      </c>
      <c r="T2473" s="114" t="s">
        <v>17</v>
      </c>
      <c r="U2473" s="114" t="s">
        <v>1343</v>
      </c>
    </row>
    <row r="2474" spans="1:16382" x14ac:dyDescent="0.2">
      <c r="A2474" s="113" t="s">
        <v>18213</v>
      </c>
      <c r="B2474" s="88" t="e">
        <f>VLOOKUP(C2474,#REF!,1,0)</f>
        <v>#REF!</v>
      </c>
      <c r="C2474" s="114" t="s">
        <v>8144</v>
      </c>
      <c r="D2474" s="114" t="s">
        <v>8145</v>
      </c>
      <c r="E2474" s="115" t="s">
        <v>9310</v>
      </c>
      <c r="F2474" s="115" t="s">
        <v>8957</v>
      </c>
      <c r="G2474" s="115" t="s">
        <v>8959</v>
      </c>
      <c r="H2474" s="115" t="s">
        <v>8984</v>
      </c>
      <c r="I2474" s="114" t="s">
        <v>20800</v>
      </c>
      <c r="J2474" s="137" t="s">
        <v>20779</v>
      </c>
      <c r="K2474" s="1" t="s">
        <v>9036</v>
      </c>
      <c r="L2474" s="115" t="s">
        <v>9292</v>
      </c>
      <c r="M2474" s="115">
        <v>59040</v>
      </c>
      <c r="N2474" s="115" t="s">
        <v>8953</v>
      </c>
      <c r="O2474" s="115" t="s">
        <v>8989</v>
      </c>
      <c r="P2474" s="1" t="s">
        <v>8955</v>
      </c>
      <c r="Q2474" s="1" t="s">
        <v>8956</v>
      </c>
      <c r="R2474" s="114" t="s">
        <v>8975</v>
      </c>
      <c r="S2474" s="114" t="s">
        <v>20338</v>
      </c>
      <c r="T2474" s="114" t="s">
        <v>17</v>
      </c>
      <c r="U2474" s="114" t="s">
        <v>234</v>
      </c>
      <c r="V2474" s="115"/>
      <c r="W2474" s="115"/>
      <c r="X2474" s="115"/>
      <c r="Y2474" s="115"/>
      <c r="Z2474" s="115"/>
      <c r="AA2474" s="115"/>
      <c r="AB2474" s="115"/>
      <c r="AC2474" s="115"/>
      <c r="AD2474" s="115"/>
      <c r="AE2474" s="115"/>
      <c r="AF2474" s="115"/>
      <c r="AG2474" s="115"/>
      <c r="AH2474" s="115"/>
      <c r="AI2474" s="115"/>
      <c r="AJ2474" s="115"/>
      <c r="AK2474" s="115"/>
      <c r="AL2474" s="115"/>
      <c r="AM2474" s="115"/>
      <c r="AN2474" s="115"/>
      <c r="AO2474" s="115"/>
      <c r="AP2474" s="115"/>
      <c r="AQ2474" s="115"/>
      <c r="AR2474" s="115"/>
      <c r="AS2474" s="115"/>
      <c r="AT2474" s="115"/>
      <c r="AU2474" s="115"/>
      <c r="AV2474" s="115"/>
      <c r="AW2474" s="115"/>
      <c r="AX2474" s="115"/>
      <c r="AY2474" s="115"/>
      <c r="AZ2474" s="115"/>
      <c r="BA2474" s="115"/>
      <c r="BB2474" s="115"/>
      <c r="BC2474" s="115"/>
      <c r="BD2474" s="115"/>
      <c r="BE2474" s="115"/>
      <c r="BF2474" s="115"/>
      <c r="BG2474" s="115"/>
      <c r="BH2474" s="115"/>
      <c r="BI2474" s="115"/>
      <c r="BJ2474" s="115"/>
      <c r="BK2474" s="115"/>
      <c r="BL2474" s="115"/>
      <c r="BM2474" s="115"/>
      <c r="BN2474" s="115"/>
      <c r="BO2474" s="115"/>
      <c r="BP2474" s="115"/>
      <c r="BQ2474" s="115"/>
      <c r="BR2474" s="115"/>
      <c r="BS2474" s="115"/>
      <c r="BT2474" s="115"/>
      <c r="BU2474" s="115"/>
      <c r="BV2474" s="115"/>
      <c r="BW2474" s="115"/>
      <c r="BX2474" s="115"/>
      <c r="BY2474" s="115"/>
      <c r="BZ2474" s="115"/>
      <c r="CA2474" s="115"/>
      <c r="CB2474" s="115"/>
      <c r="CC2474" s="115"/>
      <c r="CD2474" s="115"/>
      <c r="CE2474" s="115"/>
      <c r="CF2474" s="115"/>
      <c r="CG2474" s="115"/>
      <c r="CH2474" s="115"/>
      <c r="CI2474" s="115"/>
      <c r="CJ2474" s="115"/>
      <c r="CK2474" s="115"/>
      <c r="CL2474" s="115"/>
      <c r="CM2474" s="115"/>
      <c r="CN2474" s="115"/>
      <c r="CO2474" s="115"/>
      <c r="CP2474" s="115"/>
      <c r="CQ2474" s="115"/>
      <c r="CR2474" s="115"/>
      <c r="CS2474" s="115"/>
      <c r="CT2474" s="115"/>
      <c r="CU2474" s="115"/>
      <c r="CV2474" s="115"/>
      <c r="CW2474" s="115"/>
      <c r="CX2474" s="115"/>
      <c r="CY2474" s="115"/>
      <c r="CZ2474" s="115"/>
      <c r="DA2474" s="115"/>
      <c r="DB2474" s="115"/>
      <c r="DC2474" s="115"/>
      <c r="DD2474" s="115"/>
      <c r="DE2474" s="115"/>
      <c r="DF2474" s="115"/>
      <c r="DG2474" s="115"/>
      <c r="DH2474" s="115"/>
      <c r="DI2474" s="115"/>
      <c r="DJ2474" s="115"/>
      <c r="DK2474" s="115"/>
      <c r="DL2474" s="115"/>
      <c r="DM2474" s="115"/>
      <c r="DN2474" s="115"/>
      <c r="DO2474" s="115"/>
      <c r="DP2474" s="115"/>
      <c r="DQ2474" s="115"/>
      <c r="DR2474" s="115"/>
      <c r="DS2474" s="115"/>
      <c r="DT2474" s="115"/>
      <c r="DU2474" s="115"/>
      <c r="DV2474" s="115"/>
      <c r="DW2474" s="115"/>
      <c r="DX2474" s="115"/>
      <c r="DY2474" s="115"/>
      <c r="DZ2474" s="115"/>
      <c r="EA2474" s="115"/>
      <c r="EB2474" s="115"/>
      <c r="EC2474" s="115"/>
      <c r="ED2474" s="115"/>
      <c r="EE2474" s="115"/>
      <c r="EF2474" s="115"/>
      <c r="EG2474" s="115"/>
      <c r="EH2474" s="115"/>
      <c r="EI2474" s="115"/>
      <c r="EJ2474" s="115"/>
      <c r="EK2474" s="115"/>
      <c r="EL2474" s="115"/>
      <c r="EM2474" s="115"/>
      <c r="EN2474" s="115"/>
      <c r="EO2474" s="115"/>
      <c r="EP2474" s="115"/>
      <c r="EQ2474" s="115"/>
      <c r="ER2474" s="115"/>
      <c r="ES2474" s="115"/>
      <c r="ET2474" s="115"/>
      <c r="EU2474" s="115"/>
      <c r="EV2474" s="115"/>
      <c r="EW2474" s="115"/>
      <c r="EX2474" s="115"/>
      <c r="EY2474" s="115"/>
      <c r="EZ2474" s="115"/>
      <c r="FA2474" s="115"/>
      <c r="FB2474" s="115"/>
      <c r="FC2474" s="115"/>
      <c r="FD2474" s="115"/>
      <c r="FE2474" s="115"/>
      <c r="FF2474" s="115"/>
      <c r="FG2474" s="115"/>
      <c r="FH2474" s="115"/>
      <c r="FI2474" s="115"/>
      <c r="FJ2474" s="115"/>
      <c r="FK2474" s="115"/>
      <c r="FL2474" s="115"/>
      <c r="FM2474" s="115"/>
      <c r="FN2474" s="115"/>
      <c r="FO2474" s="115"/>
      <c r="FP2474" s="115"/>
      <c r="FQ2474" s="115"/>
      <c r="FR2474" s="115"/>
      <c r="FS2474" s="115"/>
      <c r="FT2474" s="115"/>
      <c r="FU2474" s="115"/>
      <c r="FV2474" s="115"/>
      <c r="FW2474" s="115"/>
      <c r="FX2474" s="115"/>
      <c r="FY2474" s="115"/>
      <c r="FZ2474" s="115"/>
      <c r="GA2474" s="115"/>
      <c r="GB2474" s="115"/>
      <c r="GC2474" s="115"/>
      <c r="GD2474" s="115"/>
      <c r="GE2474" s="115"/>
      <c r="GF2474" s="115"/>
      <c r="GG2474" s="115"/>
      <c r="GH2474" s="115"/>
      <c r="GI2474" s="115"/>
      <c r="GJ2474" s="115"/>
      <c r="GK2474" s="115"/>
      <c r="GL2474" s="115"/>
      <c r="GM2474" s="115"/>
      <c r="GN2474" s="115"/>
      <c r="GO2474" s="115"/>
      <c r="GP2474" s="115"/>
      <c r="GQ2474" s="115"/>
      <c r="GR2474" s="115"/>
      <c r="GS2474" s="115"/>
      <c r="GT2474" s="115"/>
      <c r="GU2474" s="115"/>
      <c r="GV2474" s="115"/>
      <c r="GW2474" s="115"/>
      <c r="GX2474" s="115"/>
      <c r="GY2474" s="115"/>
      <c r="GZ2474" s="115"/>
      <c r="HA2474" s="115"/>
      <c r="HB2474" s="115"/>
      <c r="HC2474" s="115"/>
      <c r="HD2474" s="115"/>
      <c r="HE2474" s="115"/>
      <c r="HF2474" s="115"/>
      <c r="HG2474" s="115"/>
      <c r="HH2474" s="115"/>
      <c r="HI2474" s="115"/>
      <c r="HJ2474" s="115"/>
      <c r="HK2474" s="115"/>
      <c r="HL2474" s="115"/>
      <c r="HM2474" s="115"/>
      <c r="HN2474" s="115"/>
      <c r="HO2474" s="115"/>
      <c r="HP2474" s="115"/>
      <c r="HQ2474" s="115"/>
      <c r="HR2474" s="115"/>
      <c r="HS2474" s="115"/>
      <c r="HT2474" s="115"/>
      <c r="HU2474" s="115"/>
      <c r="HV2474" s="115"/>
      <c r="HW2474" s="115"/>
      <c r="HX2474" s="115"/>
      <c r="HY2474" s="115"/>
      <c r="HZ2474" s="115"/>
      <c r="IA2474" s="115"/>
      <c r="IB2474" s="115"/>
      <c r="IC2474" s="115"/>
      <c r="ID2474" s="115"/>
      <c r="IE2474" s="115"/>
      <c r="IF2474" s="115"/>
      <c r="IG2474" s="115"/>
      <c r="IH2474" s="115"/>
      <c r="II2474" s="115"/>
      <c r="IJ2474" s="115"/>
      <c r="IK2474" s="115"/>
      <c r="IL2474" s="115"/>
      <c r="IM2474" s="115"/>
      <c r="IN2474" s="115"/>
      <c r="IO2474" s="115"/>
      <c r="IP2474" s="115"/>
      <c r="IQ2474" s="115"/>
      <c r="IR2474" s="115"/>
      <c r="IS2474" s="115"/>
      <c r="IT2474" s="115"/>
      <c r="IU2474" s="115"/>
      <c r="IV2474" s="115"/>
      <c r="IW2474" s="115"/>
      <c r="IX2474" s="115"/>
      <c r="IY2474" s="115"/>
      <c r="IZ2474" s="115"/>
      <c r="JA2474" s="115"/>
      <c r="JB2474" s="115"/>
      <c r="JC2474" s="115"/>
      <c r="JD2474" s="115"/>
      <c r="JE2474" s="115"/>
      <c r="JF2474" s="115"/>
      <c r="JG2474" s="115"/>
      <c r="JH2474" s="115"/>
      <c r="JI2474" s="115"/>
      <c r="JJ2474" s="115"/>
      <c r="JK2474" s="115"/>
      <c r="JL2474" s="115"/>
      <c r="JM2474" s="115"/>
      <c r="JN2474" s="115"/>
      <c r="JO2474" s="115"/>
      <c r="JP2474" s="115"/>
      <c r="JQ2474" s="115"/>
      <c r="JR2474" s="115"/>
      <c r="JS2474" s="115"/>
      <c r="JT2474" s="115"/>
      <c r="JU2474" s="115"/>
      <c r="JV2474" s="115"/>
      <c r="JW2474" s="115"/>
      <c r="JX2474" s="115"/>
      <c r="JY2474" s="115"/>
      <c r="JZ2474" s="115"/>
      <c r="KA2474" s="115"/>
      <c r="KB2474" s="115"/>
      <c r="KC2474" s="115"/>
      <c r="KD2474" s="115"/>
      <c r="KE2474" s="115"/>
      <c r="KF2474" s="115"/>
      <c r="KG2474" s="115"/>
      <c r="KH2474" s="115"/>
      <c r="KI2474" s="115"/>
      <c r="KJ2474" s="115"/>
      <c r="KK2474" s="115"/>
      <c r="KL2474" s="115"/>
      <c r="KM2474" s="115"/>
      <c r="KN2474" s="115"/>
      <c r="KO2474" s="115"/>
      <c r="KP2474" s="115"/>
      <c r="KQ2474" s="115"/>
      <c r="KR2474" s="115"/>
      <c r="KS2474" s="115"/>
      <c r="KT2474" s="115"/>
      <c r="KU2474" s="115"/>
      <c r="KV2474" s="115"/>
      <c r="KW2474" s="115"/>
      <c r="KX2474" s="115"/>
      <c r="KY2474" s="115"/>
      <c r="KZ2474" s="115"/>
      <c r="LA2474" s="115"/>
      <c r="LB2474" s="115"/>
      <c r="LC2474" s="115"/>
      <c r="LD2474" s="115"/>
      <c r="LE2474" s="115"/>
      <c r="LF2474" s="115"/>
      <c r="LG2474" s="115"/>
      <c r="LH2474" s="115"/>
      <c r="LI2474" s="115"/>
      <c r="LJ2474" s="115"/>
      <c r="LK2474" s="115"/>
      <c r="LL2474" s="115"/>
      <c r="LM2474" s="115"/>
      <c r="LN2474" s="115"/>
      <c r="LO2474" s="115"/>
      <c r="LP2474" s="115"/>
      <c r="LQ2474" s="115"/>
      <c r="LR2474" s="115"/>
      <c r="LS2474" s="115"/>
      <c r="LT2474" s="115"/>
      <c r="LU2474" s="115"/>
      <c r="LV2474" s="115"/>
      <c r="LW2474" s="115"/>
      <c r="LX2474" s="115"/>
      <c r="LY2474" s="115"/>
      <c r="LZ2474" s="115"/>
      <c r="MA2474" s="115"/>
      <c r="MB2474" s="115"/>
      <c r="MC2474" s="115"/>
      <c r="MD2474" s="115"/>
      <c r="ME2474" s="115"/>
      <c r="MF2474" s="115"/>
      <c r="MG2474" s="115"/>
      <c r="MH2474" s="115"/>
      <c r="MI2474" s="115"/>
      <c r="MJ2474" s="115"/>
      <c r="MK2474" s="115"/>
      <c r="ML2474" s="115"/>
      <c r="MM2474" s="115"/>
      <c r="MN2474" s="115"/>
      <c r="MO2474" s="115"/>
      <c r="MP2474" s="115"/>
      <c r="MQ2474" s="115"/>
      <c r="MR2474" s="115"/>
      <c r="MS2474" s="115"/>
      <c r="MT2474" s="115"/>
      <c r="MU2474" s="115"/>
      <c r="MV2474" s="115"/>
      <c r="MW2474" s="115"/>
      <c r="MX2474" s="115"/>
      <c r="MY2474" s="115"/>
      <c r="MZ2474" s="115"/>
      <c r="NA2474" s="115"/>
      <c r="NB2474" s="115"/>
      <c r="NC2474" s="115"/>
      <c r="ND2474" s="115"/>
      <c r="NE2474" s="115"/>
      <c r="NF2474" s="115"/>
      <c r="NG2474" s="115"/>
      <c r="NH2474" s="115"/>
      <c r="NI2474" s="115"/>
      <c r="NJ2474" s="115"/>
      <c r="NK2474" s="115"/>
      <c r="NL2474" s="115"/>
      <c r="NM2474" s="115"/>
      <c r="NN2474" s="115"/>
      <c r="NO2474" s="115"/>
      <c r="NP2474" s="115"/>
      <c r="NQ2474" s="115"/>
      <c r="NR2474" s="115"/>
      <c r="NS2474" s="115"/>
      <c r="NT2474" s="115"/>
      <c r="NU2474" s="115"/>
      <c r="NV2474" s="115"/>
      <c r="NW2474" s="115"/>
      <c r="NX2474" s="115"/>
      <c r="NY2474" s="115"/>
      <c r="NZ2474" s="115"/>
      <c r="OA2474" s="115"/>
      <c r="OB2474" s="115"/>
      <c r="OC2474" s="115"/>
      <c r="OD2474" s="115"/>
      <c r="OE2474" s="115"/>
      <c r="OF2474" s="115"/>
      <c r="OG2474" s="115"/>
      <c r="OH2474" s="115"/>
      <c r="OI2474" s="115"/>
      <c r="OJ2474" s="115"/>
      <c r="OK2474" s="115"/>
      <c r="OL2474" s="115"/>
      <c r="OM2474" s="115"/>
      <c r="ON2474" s="115"/>
      <c r="OO2474" s="115"/>
      <c r="OP2474" s="115"/>
      <c r="OQ2474" s="115"/>
      <c r="OR2474" s="115"/>
      <c r="OS2474" s="115"/>
      <c r="OT2474" s="115"/>
      <c r="OU2474" s="115"/>
      <c r="OV2474" s="115"/>
      <c r="OW2474" s="115"/>
      <c r="OX2474" s="115"/>
      <c r="OY2474" s="115"/>
      <c r="OZ2474" s="115"/>
      <c r="PA2474" s="115"/>
      <c r="PB2474" s="115"/>
      <c r="PC2474" s="115"/>
      <c r="PD2474" s="115"/>
      <c r="PE2474" s="115"/>
      <c r="PF2474" s="115"/>
      <c r="PG2474" s="115"/>
      <c r="PH2474" s="115"/>
      <c r="PI2474" s="115"/>
      <c r="PJ2474" s="115"/>
      <c r="PK2474" s="115"/>
      <c r="PL2474" s="115"/>
      <c r="PM2474" s="115"/>
      <c r="PN2474" s="115"/>
      <c r="PO2474" s="115"/>
      <c r="PP2474" s="115"/>
      <c r="PQ2474" s="115"/>
      <c r="PR2474" s="115"/>
      <c r="PS2474" s="115"/>
      <c r="PT2474" s="115"/>
      <c r="PU2474" s="115"/>
      <c r="PV2474" s="115"/>
      <c r="PW2474" s="115"/>
      <c r="PX2474" s="115"/>
      <c r="PY2474" s="115"/>
      <c r="PZ2474" s="115"/>
      <c r="QA2474" s="115"/>
      <c r="QB2474" s="115"/>
      <c r="QC2474" s="115"/>
      <c r="QD2474" s="115"/>
      <c r="QE2474" s="115"/>
      <c r="QF2474" s="115"/>
      <c r="QG2474" s="115"/>
      <c r="QH2474" s="115"/>
      <c r="QI2474" s="115"/>
      <c r="QJ2474" s="115"/>
      <c r="QK2474" s="115"/>
      <c r="QL2474" s="115"/>
      <c r="QM2474" s="115"/>
      <c r="QN2474" s="115"/>
      <c r="QO2474" s="115"/>
      <c r="QP2474" s="115"/>
      <c r="QQ2474" s="115"/>
      <c r="QR2474" s="115"/>
      <c r="QS2474" s="115"/>
      <c r="QT2474" s="115"/>
      <c r="QU2474" s="115"/>
      <c r="QV2474" s="115"/>
      <c r="QW2474" s="115"/>
      <c r="QX2474" s="115"/>
      <c r="QY2474" s="115"/>
      <c r="QZ2474" s="115"/>
      <c r="RA2474" s="115"/>
      <c r="RB2474" s="115"/>
      <c r="RC2474" s="115"/>
      <c r="RD2474" s="115"/>
      <c r="RE2474" s="115"/>
      <c r="RF2474" s="115"/>
      <c r="RG2474" s="115"/>
      <c r="RH2474" s="115"/>
      <c r="RI2474" s="115"/>
      <c r="RJ2474" s="115"/>
      <c r="RK2474" s="115"/>
      <c r="RL2474" s="115"/>
      <c r="RM2474" s="115"/>
      <c r="RN2474" s="115"/>
      <c r="RO2474" s="115"/>
      <c r="RP2474" s="115"/>
      <c r="RQ2474" s="115"/>
      <c r="RR2474" s="115"/>
      <c r="RS2474" s="115"/>
      <c r="RT2474" s="115"/>
      <c r="RU2474" s="115"/>
      <c r="RV2474" s="115"/>
      <c r="RW2474" s="115"/>
      <c r="RX2474" s="115"/>
      <c r="RY2474" s="115"/>
      <c r="RZ2474" s="115"/>
      <c r="SA2474" s="115"/>
      <c r="SB2474" s="115"/>
      <c r="SC2474" s="115"/>
      <c r="SD2474" s="115"/>
      <c r="SE2474" s="115"/>
      <c r="SF2474" s="115"/>
      <c r="SG2474" s="115"/>
      <c r="SH2474" s="115"/>
      <c r="SI2474" s="115"/>
      <c r="SJ2474" s="115"/>
      <c r="SK2474" s="115"/>
      <c r="SL2474" s="115"/>
      <c r="SM2474" s="115"/>
      <c r="SN2474" s="115"/>
      <c r="SO2474" s="115"/>
      <c r="SP2474" s="115"/>
      <c r="SQ2474" s="115"/>
      <c r="SR2474" s="115"/>
      <c r="SS2474" s="115"/>
      <c r="ST2474" s="115"/>
      <c r="SU2474" s="115"/>
      <c r="SV2474" s="115"/>
      <c r="SW2474" s="115"/>
      <c r="SX2474" s="115"/>
      <c r="SY2474" s="115"/>
      <c r="SZ2474" s="115"/>
      <c r="TA2474" s="115"/>
      <c r="TB2474" s="115"/>
      <c r="TC2474" s="115"/>
      <c r="TD2474" s="115"/>
      <c r="TE2474" s="115"/>
      <c r="TF2474" s="115"/>
      <c r="TG2474" s="115"/>
      <c r="TH2474" s="115"/>
      <c r="TI2474" s="115"/>
      <c r="TJ2474" s="115"/>
      <c r="TK2474" s="115"/>
      <c r="TL2474" s="115"/>
      <c r="TM2474" s="115"/>
      <c r="TN2474" s="115"/>
      <c r="TO2474" s="115"/>
      <c r="TP2474" s="115"/>
      <c r="TQ2474" s="115"/>
      <c r="TR2474" s="115"/>
      <c r="TS2474" s="115"/>
      <c r="TT2474" s="115"/>
      <c r="TU2474" s="115"/>
      <c r="TV2474" s="115"/>
      <c r="TW2474" s="115"/>
      <c r="TX2474" s="115"/>
      <c r="TY2474" s="115"/>
      <c r="TZ2474" s="115"/>
      <c r="UA2474" s="115"/>
      <c r="UB2474" s="115"/>
      <c r="UC2474" s="115"/>
      <c r="UD2474" s="115"/>
      <c r="UE2474" s="115"/>
      <c r="UF2474" s="115"/>
      <c r="UG2474" s="115"/>
      <c r="UH2474" s="115"/>
      <c r="UI2474" s="115"/>
      <c r="UJ2474" s="115"/>
      <c r="UK2474" s="115"/>
      <c r="UL2474" s="115"/>
      <c r="UM2474" s="115"/>
      <c r="UN2474" s="115"/>
      <c r="UO2474" s="115"/>
      <c r="UP2474" s="115"/>
      <c r="UQ2474" s="115"/>
      <c r="UR2474" s="115"/>
      <c r="US2474" s="115"/>
      <c r="UT2474" s="115"/>
      <c r="UU2474" s="115"/>
      <c r="UV2474" s="115"/>
      <c r="UW2474" s="115"/>
      <c r="UX2474" s="115"/>
      <c r="UY2474" s="115"/>
      <c r="UZ2474" s="115"/>
      <c r="VA2474" s="115"/>
      <c r="VB2474" s="115"/>
      <c r="VC2474" s="115"/>
      <c r="VD2474" s="115"/>
      <c r="VE2474" s="115"/>
      <c r="VF2474" s="115"/>
      <c r="VG2474" s="115"/>
      <c r="VH2474" s="115"/>
      <c r="VI2474" s="115"/>
      <c r="VJ2474" s="115"/>
      <c r="VK2474" s="115"/>
      <c r="VL2474" s="115"/>
      <c r="VM2474" s="115"/>
      <c r="VN2474" s="115"/>
      <c r="VO2474" s="115"/>
      <c r="VP2474" s="115"/>
      <c r="VQ2474" s="115"/>
      <c r="VR2474" s="115"/>
      <c r="VS2474" s="115"/>
      <c r="VT2474" s="115"/>
      <c r="VU2474" s="115"/>
      <c r="VV2474" s="115"/>
      <c r="VW2474" s="115"/>
      <c r="VX2474" s="115"/>
      <c r="VY2474" s="115"/>
      <c r="VZ2474" s="115"/>
      <c r="WA2474" s="115"/>
      <c r="WB2474" s="115"/>
      <c r="WC2474" s="115"/>
      <c r="WD2474" s="115"/>
      <c r="WE2474" s="115"/>
      <c r="WF2474" s="115"/>
      <c r="WG2474" s="115"/>
      <c r="WH2474" s="115"/>
      <c r="WI2474" s="115"/>
      <c r="WJ2474" s="115"/>
      <c r="WK2474" s="115"/>
      <c r="WL2474" s="115"/>
      <c r="WM2474" s="115"/>
      <c r="WN2474" s="115"/>
      <c r="WO2474" s="115"/>
      <c r="WP2474" s="115"/>
      <c r="WQ2474" s="115"/>
      <c r="WR2474" s="115"/>
      <c r="WS2474" s="115"/>
      <c r="WT2474" s="115"/>
      <c r="WU2474" s="115"/>
      <c r="WV2474" s="115"/>
      <c r="WW2474" s="115"/>
      <c r="WX2474" s="115"/>
      <c r="WY2474" s="115"/>
      <c r="WZ2474" s="115"/>
      <c r="XA2474" s="115"/>
      <c r="XB2474" s="115"/>
      <c r="XC2474" s="115"/>
      <c r="XD2474" s="115"/>
      <c r="XE2474" s="115"/>
      <c r="XF2474" s="115"/>
      <c r="XG2474" s="115"/>
      <c r="XH2474" s="115"/>
      <c r="XI2474" s="115"/>
      <c r="XJ2474" s="115"/>
      <c r="XK2474" s="115"/>
      <c r="XL2474" s="115"/>
      <c r="XM2474" s="115"/>
      <c r="XN2474" s="115"/>
      <c r="XO2474" s="115"/>
      <c r="XP2474" s="115"/>
      <c r="XQ2474" s="115"/>
      <c r="XR2474" s="115"/>
      <c r="XS2474" s="115"/>
      <c r="XT2474" s="115"/>
      <c r="XU2474" s="115"/>
      <c r="XV2474" s="115"/>
      <c r="XW2474" s="115"/>
      <c r="XX2474" s="115"/>
      <c r="XY2474" s="115"/>
      <c r="XZ2474" s="115"/>
      <c r="YA2474" s="115"/>
      <c r="YB2474" s="115"/>
      <c r="YC2474" s="115"/>
      <c r="YD2474" s="115"/>
      <c r="YE2474" s="115"/>
      <c r="YF2474" s="115"/>
      <c r="YG2474" s="115"/>
      <c r="YH2474" s="115"/>
      <c r="YI2474" s="115"/>
      <c r="YJ2474" s="115"/>
      <c r="YK2474" s="115"/>
      <c r="YL2474" s="115"/>
      <c r="YM2474" s="115"/>
      <c r="YN2474" s="115"/>
      <c r="YO2474" s="115"/>
      <c r="YP2474" s="115"/>
      <c r="YQ2474" s="115"/>
      <c r="YR2474" s="115"/>
      <c r="YS2474" s="115"/>
      <c r="YT2474" s="115"/>
      <c r="YU2474" s="115"/>
      <c r="YV2474" s="115"/>
      <c r="YW2474" s="115"/>
      <c r="YX2474" s="115"/>
      <c r="YY2474" s="115"/>
      <c r="YZ2474" s="115"/>
      <c r="ZA2474" s="115"/>
      <c r="ZB2474" s="115"/>
      <c r="ZC2474" s="115"/>
      <c r="ZD2474" s="115"/>
      <c r="ZE2474" s="115"/>
      <c r="ZF2474" s="115"/>
      <c r="ZG2474" s="115"/>
      <c r="ZH2474" s="115"/>
      <c r="ZI2474" s="115"/>
      <c r="ZJ2474" s="115"/>
      <c r="ZK2474" s="115"/>
      <c r="ZL2474" s="115"/>
      <c r="ZM2474" s="115"/>
      <c r="ZN2474" s="115"/>
      <c r="ZO2474" s="115"/>
      <c r="ZP2474" s="115"/>
      <c r="ZQ2474" s="115"/>
      <c r="ZR2474" s="115"/>
      <c r="ZS2474" s="115"/>
      <c r="ZT2474" s="115"/>
      <c r="ZU2474" s="115"/>
      <c r="ZV2474" s="115"/>
      <c r="ZW2474" s="115"/>
      <c r="ZX2474" s="115"/>
      <c r="ZY2474" s="115"/>
      <c r="ZZ2474" s="115"/>
      <c r="AAA2474" s="115"/>
      <c r="AAB2474" s="115"/>
      <c r="AAC2474" s="115"/>
      <c r="AAD2474" s="115"/>
      <c r="AAE2474" s="115"/>
      <c r="AAF2474" s="115"/>
      <c r="AAG2474" s="115"/>
      <c r="AAH2474" s="115"/>
      <c r="AAI2474" s="115"/>
      <c r="AAJ2474" s="115"/>
      <c r="AAK2474" s="115"/>
      <c r="AAL2474" s="115"/>
      <c r="AAM2474" s="115"/>
      <c r="AAN2474" s="115"/>
      <c r="AAO2474" s="115"/>
      <c r="AAP2474" s="115"/>
      <c r="AAQ2474" s="115"/>
      <c r="AAR2474" s="115"/>
      <c r="AAS2474" s="115"/>
      <c r="AAT2474" s="115"/>
      <c r="AAU2474" s="115"/>
      <c r="AAV2474" s="115"/>
      <c r="AAW2474" s="115"/>
      <c r="AAX2474" s="115"/>
      <c r="AAY2474" s="115"/>
      <c r="AAZ2474" s="115"/>
      <c r="ABA2474" s="115"/>
      <c r="ABB2474" s="115"/>
      <c r="ABC2474" s="115"/>
      <c r="ABD2474" s="115"/>
      <c r="ABE2474" s="115"/>
      <c r="ABF2474" s="115"/>
      <c r="ABG2474" s="115"/>
      <c r="ABH2474" s="115"/>
      <c r="ABI2474" s="115"/>
      <c r="ABJ2474" s="115"/>
      <c r="ABK2474" s="115"/>
      <c r="ABL2474" s="115"/>
      <c r="ABM2474" s="115"/>
      <c r="ABN2474" s="115"/>
      <c r="ABO2474" s="115"/>
      <c r="ABP2474" s="115"/>
      <c r="ABQ2474" s="115"/>
      <c r="ABR2474" s="115"/>
      <c r="ABS2474" s="115"/>
      <c r="ABT2474" s="115"/>
      <c r="ABU2474" s="115"/>
      <c r="ABV2474" s="115"/>
      <c r="ABW2474" s="115"/>
      <c r="ABX2474" s="115"/>
      <c r="ABY2474" s="115"/>
      <c r="ABZ2474" s="115"/>
      <c r="ACA2474" s="115"/>
      <c r="ACB2474" s="115"/>
      <c r="ACC2474" s="115"/>
      <c r="ACD2474" s="115"/>
      <c r="ACE2474" s="115"/>
      <c r="ACF2474" s="115"/>
      <c r="ACG2474" s="115"/>
      <c r="ACH2474" s="115"/>
      <c r="ACI2474" s="115"/>
      <c r="ACJ2474" s="115"/>
      <c r="ACK2474" s="115"/>
      <c r="ACL2474" s="115"/>
      <c r="ACM2474" s="115"/>
      <c r="ACN2474" s="115"/>
      <c r="ACO2474" s="115"/>
      <c r="ACP2474" s="115"/>
      <c r="ACQ2474" s="115"/>
      <c r="ACR2474" s="115"/>
      <c r="ACS2474" s="115"/>
      <c r="ACT2474" s="115"/>
      <c r="ACU2474" s="115"/>
      <c r="ACV2474" s="115"/>
      <c r="ACW2474" s="115"/>
      <c r="ACX2474" s="115"/>
      <c r="ACY2474" s="115"/>
      <c r="ACZ2474" s="115"/>
      <c r="ADA2474" s="115"/>
      <c r="ADB2474" s="115"/>
      <c r="ADC2474" s="115"/>
      <c r="ADD2474" s="115"/>
      <c r="ADE2474" s="115"/>
      <c r="ADF2474" s="115"/>
      <c r="ADG2474" s="115"/>
      <c r="ADH2474" s="115"/>
      <c r="ADI2474" s="115"/>
      <c r="ADJ2474" s="115"/>
      <c r="ADK2474" s="115"/>
      <c r="ADL2474" s="115"/>
      <c r="ADM2474" s="115"/>
      <c r="ADN2474" s="115"/>
      <c r="ADO2474" s="115"/>
      <c r="ADP2474" s="115"/>
      <c r="ADQ2474" s="115"/>
      <c r="ADR2474" s="115"/>
      <c r="ADS2474" s="115"/>
      <c r="ADT2474" s="115"/>
      <c r="ADU2474" s="115"/>
      <c r="ADV2474" s="115"/>
      <c r="ADW2474" s="115"/>
      <c r="ADX2474" s="115"/>
      <c r="ADY2474" s="115"/>
      <c r="ADZ2474" s="115"/>
      <c r="AEA2474" s="115"/>
      <c r="AEB2474" s="115"/>
      <c r="AEC2474" s="115"/>
      <c r="AED2474" s="115"/>
      <c r="AEE2474" s="115"/>
      <c r="AEF2474" s="115"/>
      <c r="AEG2474" s="115"/>
      <c r="AEH2474" s="115"/>
      <c r="AEI2474" s="115"/>
      <c r="AEJ2474" s="115"/>
      <c r="AEK2474" s="115"/>
      <c r="AEL2474" s="115"/>
      <c r="AEM2474" s="115"/>
      <c r="AEN2474" s="115"/>
      <c r="AEO2474" s="115"/>
      <c r="AEP2474" s="115"/>
      <c r="AEQ2474" s="115"/>
      <c r="AER2474" s="115"/>
      <c r="AES2474" s="115"/>
      <c r="AET2474" s="115"/>
      <c r="AEU2474" s="115"/>
      <c r="AEV2474" s="115"/>
      <c r="AEW2474" s="115"/>
      <c r="AEX2474" s="115"/>
      <c r="AEY2474" s="115"/>
      <c r="AEZ2474" s="115"/>
      <c r="AFA2474" s="115"/>
      <c r="AFB2474" s="115"/>
      <c r="AFC2474" s="115"/>
      <c r="AFD2474" s="115"/>
      <c r="AFE2474" s="115"/>
      <c r="AFF2474" s="115"/>
      <c r="AFG2474" s="115"/>
      <c r="AFH2474" s="115"/>
      <c r="AFI2474" s="115"/>
      <c r="AFJ2474" s="115"/>
      <c r="AFK2474" s="115"/>
      <c r="AFL2474" s="115"/>
      <c r="AFM2474" s="115"/>
      <c r="AFN2474" s="115"/>
      <c r="AFO2474" s="115"/>
      <c r="AFP2474" s="115"/>
      <c r="AFQ2474" s="115"/>
      <c r="AFR2474" s="115"/>
      <c r="AFS2474" s="115"/>
      <c r="AFT2474" s="115"/>
      <c r="AFU2474" s="115"/>
      <c r="AFV2474" s="115"/>
      <c r="AFW2474" s="115"/>
      <c r="AFX2474" s="115"/>
      <c r="AFY2474" s="115"/>
      <c r="AFZ2474" s="115"/>
      <c r="AGA2474" s="115"/>
      <c r="AGB2474" s="115"/>
      <c r="AGC2474" s="115"/>
      <c r="AGD2474" s="115"/>
      <c r="AGE2474" s="115"/>
      <c r="AGF2474" s="115"/>
      <c r="AGG2474" s="115"/>
      <c r="AGH2474" s="115"/>
      <c r="AGI2474" s="115"/>
      <c r="AGJ2474" s="115"/>
      <c r="AGK2474" s="115"/>
      <c r="AGL2474" s="115"/>
      <c r="AGM2474" s="115"/>
      <c r="AGN2474" s="115"/>
      <c r="AGO2474" s="115"/>
      <c r="AGP2474" s="115"/>
      <c r="AGQ2474" s="115"/>
      <c r="AGR2474" s="115"/>
      <c r="AGS2474" s="115"/>
      <c r="AGT2474" s="115"/>
      <c r="AGU2474" s="115"/>
      <c r="AGV2474" s="115"/>
      <c r="AGW2474" s="115"/>
      <c r="AGX2474" s="115"/>
      <c r="AGY2474" s="115"/>
      <c r="AGZ2474" s="115"/>
      <c r="AHA2474" s="115"/>
      <c r="AHB2474" s="115"/>
      <c r="AHC2474" s="115"/>
      <c r="AHD2474" s="115"/>
      <c r="AHE2474" s="115"/>
      <c r="AHF2474" s="115"/>
      <c r="AHG2474" s="115"/>
      <c r="AHH2474" s="115"/>
      <c r="AHI2474" s="115"/>
      <c r="AHJ2474" s="115"/>
      <c r="AHK2474" s="115"/>
      <c r="AHL2474" s="115"/>
      <c r="AHM2474" s="115"/>
      <c r="AHN2474" s="115"/>
      <c r="AHO2474" s="115"/>
      <c r="AHP2474" s="115"/>
      <c r="AHQ2474" s="115"/>
      <c r="AHR2474" s="115"/>
      <c r="AHS2474" s="115"/>
      <c r="AHT2474" s="115"/>
      <c r="AHU2474" s="115"/>
      <c r="AHV2474" s="115"/>
      <c r="AHW2474" s="115"/>
      <c r="AHX2474" s="115"/>
      <c r="AHY2474" s="115"/>
      <c r="AHZ2474" s="115"/>
      <c r="AIA2474" s="115"/>
      <c r="AIB2474" s="115"/>
      <c r="AIC2474" s="115"/>
      <c r="AID2474" s="115"/>
      <c r="AIE2474" s="115"/>
      <c r="AIF2474" s="115"/>
      <c r="AIG2474" s="115"/>
      <c r="AIH2474" s="115"/>
      <c r="AII2474" s="115"/>
      <c r="AIJ2474" s="115"/>
      <c r="AIK2474" s="115"/>
      <c r="AIL2474" s="115"/>
      <c r="AIM2474" s="115"/>
      <c r="AIN2474" s="115"/>
      <c r="AIO2474" s="115"/>
      <c r="AIP2474" s="115"/>
      <c r="AIQ2474" s="115"/>
      <c r="AIR2474" s="115"/>
      <c r="AIS2474" s="115"/>
      <c r="AIT2474" s="115"/>
      <c r="AIU2474" s="115"/>
      <c r="AIV2474" s="115"/>
      <c r="AIW2474" s="115"/>
      <c r="AIX2474" s="115"/>
      <c r="AIY2474" s="115"/>
      <c r="AIZ2474" s="115"/>
      <c r="AJA2474" s="115"/>
      <c r="AJB2474" s="115"/>
      <c r="AJC2474" s="115"/>
      <c r="AJD2474" s="115"/>
      <c r="AJE2474" s="115"/>
      <c r="AJF2474" s="115"/>
      <c r="AJG2474" s="115"/>
      <c r="AJH2474" s="115"/>
      <c r="AJI2474" s="115"/>
      <c r="AJJ2474" s="115"/>
      <c r="AJK2474" s="115"/>
      <c r="AJL2474" s="115"/>
      <c r="AJM2474" s="115"/>
      <c r="AJN2474" s="115"/>
      <c r="AJO2474" s="115"/>
      <c r="AJP2474" s="115"/>
      <c r="AJQ2474" s="115"/>
      <c r="AJR2474" s="115"/>
      <c r="AJS2474" s="115"/>
      <c r="AJT2474" s="115"/>
      <c r="AJU2474" s="115"/>
      <c r="AJV2474" s="115"/>
      <c r="AJW2474" s="115"/>
      <c r="AJX2474" s="115"/>
      <c r="AJY2474" s="115"/>
      <c r="AJZ2474" s="115"/>
      <c r="AKA2474" s="115"/>
      <c r="AKB2474" s="115"/>
      <c r="AKC2474" s="115"/>
      <c r="AKD2474" s="115"/>
      <c r="AKE2474" s="115"/>
      <c r="AKF2474" s="115"/>
      <c r="AKG2474" s="115"/>
      <c r="AKH2474" s="115"/>
      <c r="AKI2474" s="115"/>
      <c r="AKJ2474" s="115"/>
      <c r="AKK2474" s="115"/>
      <c r="AKL2474" s="115"/>
      <c r="AKM2474" s="115"/>
      <c r="AKN2474" s="115"/>
      <c r="AKO2474" s="115"/>
      <c r="AKP2474" s="115"/>
      <c r="AKQ2474" s="115"/>
      <c r="AKR2474" s="115"/>
      <c r="AKS2474" s="115"/>
      <c r="AKT2474" s="115"/>
      <c r="AKU2474" s="115"/>
      <c r="AKV2474" s="115"/>
      <c r="AKW2474" s="115"/>
      <c r="AKX2474" s="115"/>
      <c r="AKY2474" s="115"/>
      <c r="AKZ2474" s="115"/>
      <c r="ALA2474" s="115"/>
      <c r="ALB2474" s="115"/>
      <c r="ALC2474" s="115"/>
      <c r="ALD2474" s="115"/>
      <c r="ALE2474" s="115"/>
      <c r="ALF2474" s="115"/>
      <c r="ALG2474" s="115"/>
      <c r="ALH2474" s="115"/>
      <c r="ALI2474" s="115"/>
      <c r="ALJ2474" s="115"/>
      <c r="ALK2474" s="115"/>
      <c r="ALL2474" s="115"/>
      <c r="ALM2474" s="115"/>
      <c r="ALN2474" s="115"/>
      <c r="ALO2474" s="115"/>
      <c r="ALP2474" s="115"/>
      <c r="ALQ2474" s="115"/>
      <c r="ALR2474" s="115"/>
      <c r="ALS2474" s="115"/>
      <c r="ALT2474" s="115"/>
      <c r="ALU2474" s="115"/>
      <c r="ALV2474" s="115"/>
      <c r="ALW2474" s="115"/>
      <c r="ALX2474" s="115"/>
      <c r="ALY2474" s="115"/>
      <c r="ALZ2474" s="115"/>
      <c r="AMA2474" s="115"/>
      <c r="AMB2474" s="115"/>
      <c r="AMC2474" s="115"/>
      <c r="AMD2474" s="115"/>
      <c r="AME2474" s="115"/>
      <c r="AMF2474" s="115"/>
      <c r="AMG2474" s="115"/>
      <c r="AMH2474" s="115"/>
      <c r="AMI2474" s="115"/>
      <c r="AMJ2474" s="115"/>
      <c r="AMK2474" s="115"/>
      <c r="AML2474" s="115"/>
      <c r="AMM2474" s="115"/>
      <c r="AMN2474" s="115"/>
      <c r="AMO2474" s="115"/>
      <c r="AMP2474" s="115"/>
      <c r="AMQ2474" s="115"/>
      <c r="AMR2474" s="115"/>
      <c r="AMS2474" s="115"/>
      <c r="AMT2474" s="115"/>
      <c r="AMU2474" s="115"/>
      <c r="AMV2474" s="115"/>
      <c r="AMW2474" s="115"/>
      <c r="AMX2474" s="115"/>
      <c r="AMY2474" s="115"/>
      <c r="AMZ2474" s="115"/>
      <c r="ANA2474" s="115"/>
      <c r="ANB2474" s="115"/>
      <c r="ANC2474" s="115"/>
      <c r="AND2474" s="115"/>
      <c r="ANE2474" s="115"/>
      <c r="ANF2474" s="115"/>
      <c r="ANG2474" s="115"/>
      <c r="ANH2474" s="115"/>
      <c r="ANI2474" s="115"/>
      <c r="ANJ2474" s="115"/>
      <c r="ANK2474" s="115"/>
      <c r="ANL2474" s="115"/>
      <c r="ANM2474" s="115"/>
      <c r="ANN2474" s="115"/>
      <c r="ANO2474" s="115"/>
      <c r="ANP2474" s="115"/>
      <c r="ANQ2474" s="115"/>
      <c r="ANR2474" s="115"/>
      <c r="ANS2474" s="115"/>
      <c r="ANT2474" s="115"/>
      <c r="ANU2474" s="115"/>
      <c r="ANV2474" s="115"/>
      <c r="ANW2474" s="115"/>
      <c r="ANX2474" s="115"/>
      <c r="ANY2474" s="115"/>
      <c r="ANZ2474" s="115"/>
      <c r="AOA2474" s="115"/>
      <c r="AOB2474" s="115"/>
      <c r="AOC2474" s="115"/>
      <c r="AOD2474" s="115"/>
      <c r="AOE2474" s="115"/>
      <c r="AOF2474" s="115"/>
      <c r="AOG2474" s="115"/>
      <c r="AOH2474" s="115"/>
      <c r="AOI2474" s="115"/>
      <c r="AOJ2474" s="115"/>
      <c r="AOK2474" s="115"/>
      <c r="AOL2474" s="115"/>
      <c r="AOM2474" s="115"/>
      <c r="AON2474" s="115"/>
      <c r="AOO2474" s="115"/>
      <c r="AOP2474" s="115"/>
      <c r="AOQ2474" s="115"/>
      <c r="AOR2474" s="115"/>
      <c r="AOS2474" s="115"/>
      <c r="AOT2474" s="115"/>
      <c r="AOU2474" s="115"/>
      <c r="AOV2474" s="115"/>
      <c r="AOW2474" s="115"/>
      <c r="AOX2474" s="115"/>
      <c r="AOY2474" s="115"/>
      <c r="AOZ2474" s="115"/>
      <c r="APA2474" s="115"/>
      <c r="APB2474" s="115"/>
      <c r="APC2474" s="115"/>
      <c r="APD2474" s="115"/>
      <c r="APE2474" s="115"/>
      <c r="APF2474" s="115"/>
      <c r="APG2474" s="115"/>
      <c r="APH2474" s="115"/>
      <c r="API2474" s="115"/>
      <c r="APJ2474" s="115"/>
      <c r="APK2474" s="115"/>
      <c r="APL2474" s="115"/>
      <c r="APM2474" s="115"/>
      <c r="APN2474" s="115"/>
      <c r="APO2474" s="115"/>
      <c r="APP2474" s="115"/>
      <c r="APQ2474" s="115"/>
      <c r="APR2474" s="115"/>
      <c r="APS2474" s="115"/>
      <c r="APT2474" s="115"/>
      <c r="APU2474" s="115"/>
      <c r="APV2474" s="115"/>
      <c r="APW2474" s="115"/>
      <c r="APX2474" s="115"/>
      <c r="APY2474" s="115"/>
      <c r="APZ2474" s="115"/>
      <c r="AQA2474" s="115"/>
      <c r="AQB2474" s="115"/>
      <c r="AQC2474" s="115"/>
      <c r="AQD2474" s="115"/>
      <c r="AQE2474" s="115"/>
      <c r="AQF2474" s="115"/>
      <c r="AQG2474" s="115"/>
      <c r="AQH2474" s="115"/>
      <c r="AQI2474" s="115"/>
      <c r="AQJ2474" s="115"/>
      <c r="AQK2474" s="115"/>
      <c r="AQL2474" s="115"/>
      <c r="AQM2474" s="115"/>
      <c r="AQN2474" s="115"/>
      <c r="AQO2474" s="115"/>
      <c r="AQP2474" s="115"/>
      <c r="AQQ2474" s="115"/>
      <c r="AQR2474" s="115"/>
      <c r="AQS2474" s="115"/>
      <c r="AQT2474" s="115"/>
      <c r="AQU2474" s="115"/>
      <c r="AQV2474" s="115"/>
      <c r="AQW2474" s="115"/>
      <c r="AQX2474" s="115"/>
      <c r="AQY2474" s="115"/>
      <c r="AQZ2474" s="115"/>
      <c r="ARA2474" s="115"/>
      <c r="ARB2474" s="115"/>
      <c r="ARC2474" s="115"/>
      <c r="ARD2474" s="115"/>
      <c r="ARE2474" s="115"/>
      <c r="ARF2474" s="115"/>
      <c r="ARG2474" s="115"/>
      <c r="ARH2474" s="115"/>
      <c r="ARI2474" s="115"/>
      <c r="ARJ2474" s="115"/>
      <c r="ARK2474" s="115"/>
      <c r="ARL2474" s="115"/>
      <c r="ARM2474" s="115"/>
      <c r="ARN2474" s="115"/>
      <c r="ARO2474" s="115"/>
      <c r="ARP2474" s="115"/>
      <c r="ARQ2474" s="115"/>
      <c r="ARR2474" s="115"/>
      <c r="ARS2474" s="115"/>
      <c r="ART2474" s="115"/>
      <c r="ARU2474" s="115"/>
      <c r="ARV2474" s="115"/>
      <c r="ARW2474" s="115"/>
      <c r="ARX2474" s="115"/>
      <c r="ARY2474" s="115"/>
      <c r="ARZ2474" s="115"/>
      <c r="ASA2474" s="115"/>
      <c r="ASB2474" s="115"/>
      <c r="ASC2474" s="115"/>
      <c r="ASD2474" s="115"/>
      <c r="ASE2474" s="115"/>
      <c r="ASF2474" s="115"/>
      <c r="ASG2474" s="115"/>
      <c r="ASH2474" s="115"/>
      <c r="ASI2474" s="115"/>
      <c r="ASJ2474" s="115"/>
      <c r="ASK2474" s="115"/>
      <c r="ASL2474" s="115"/>
      <c r="ASM2474" s="115"/>
      <c r="ASN2474" s="115"/>
      <c r="ASO2474" s="115"/>
      <c r="ASP2474" s="115"/>
      <c r="ASQ2474" s="115"/>
      <c r="ASR2474" s="115"/>
      <c r="ASS2474" s="115"/>
      <c r="AST2474" s="115"/>
      <c r="ASU2474" s="115"/>
      <c r="ASV2474" s="115"/>
      <c r="ASW2474" s="115"/>
      <c r="ASX2474" s="115"/>
      <c r="ASY2474" s="115"/>
      <c r="ASZ2474" s="115"/>
      <c r="ATA2474" s="115"/>
      <c r="ATB2474" s="115"/>
      <c r="ATC2474" s="115"/>
      <c r="ATD2474" s="115"/>
      <c r="ATE2474" s="115"/>
      <c r="ATF2474" s="115"/>
      <c r="ATG2474" s="115"/>
      <c r="ATH2474" s="115"/>
      <c r="ATI2474" s="115"/>
      <c r="ATJ2474" s="115"/>
      <c r="ATK2474" s="115"/>
      <c r="ATL2474" s="115"/>
      <c r="ATM2474" s="115"/>
      <c r="ATN2474" s="115"/>
      <c r="ATO2474" s="115"/>
      <c r="ATP2474" s="115"/>
      <c r="ATQ2474" s="115"/>
      <c r="ATR2474" s="115"/>
      <c r="ATS2474" s="115"/>
      <c r="ATT2474" s="115"/>
      <c r="ATU2474" s="115"/>
      <c r="ATV2474" s="115"/>
      <c r="ATW2474" s="115"/>
      <c r="ATX2474" s="115"/>
      <c r="ATY2474" s="115"/>
      <c r="ATZ2474" s="115"/>
      <c r="AUA2474" s="115"/>
      <c r="AUB2474" s="115"/>
      <c r="AUC2474" s="115"/>
      <c r="AUD2474" s="115"/>
      <c r="AUE2474" s="115"/>
      <c r="AUF2474" s="115"/>
      <c r="AUG2474" s="115"/>
      <c r="AUH2474" s="115"/>
      <c r="AUI2474" s="115"/>
      <c r="AUJ2474" s="115"/>
      <c r="AUK2474" s="115"/>
      <c r="AUL2474" s="115"/>
      <c r="AUM2474" s="115"/>
      <c r="AUN2474" s="115"/>
      <c r="AUO2474" s="115"/>
      <c r="AUP2474" s="115"/>
      <c r="AUQ2474" s="115"/>
      <c r="AUR2474" s="115"/>
      <c r="AUS2474" s="115"/>
      <c r="AUT2474" s="115"/>
      <c r="AUU2474" s="115"/>
      <c r="AUV2474" s="115"/>
      <c r="AUW2474" s="115"/>
      <c r="AUX2474" s="115"/>
      <c r="AUY2474" s="115"/>
      <c r="AUZ2474" s="115"/>
      <c r="AVA2474" s="115"/>
      <c r="AVB2474" s="115"/>
      <c r="AVC2474" s="115"/>
      <c r="AVD2474" s="115"/>
      <c r="AVE2474" s="115"/>
      <c r="AVF2474" s="115"/>
      <c r="AVG2474" s="115"/>
      <c r="AVH2474" s="115"/>
      <c r="AVI2474" s="115"/>
      <c r="AVJ2474" s="115"/>
      <c r="AVK2474" s="115"/>
      <c r="AVL2474" s="115"/>
      <c r="AVM2474" s="115"/>
      <c r="AVN2474" s="115"/>
      <c r="AVO2474" s="115"/>
      <c r="AVP2474" s="115"/>
      <c r="AVQ2474" s="115"/>
      <c r="AVR2474" s="115"/>
      <c r="AVS2474" s="115"/>
      <c r="AVT2474" s="115"/>
      <c r="AVU2474" s="115"/>
      <c r="AVV2474" s="115"/>
      <c r="AVW2474" s="115"/>
      <c r="AVX2474" s="115"/>
      <c r="AVY2474" s="115"/>
      <c r="AVZ2474" s="115"/>
      <c r="AWA2474" s="115"/>
      <c r="AWB2474" s="115"/>
      <c r="AWC2474" s="115"/>
      <c r="AWD2474" s="115"/>
      <c r="AWE2474" s="115"/>
      <c r="AWF2474" s="115"/>
      <c r="AWG2474" s="115"/>
      <c r="AWH2474" s="115"/>
      <c r="AWI2474" s="115"/>
      <c r="AWJ2474" s="115"/>
      <c r="AWK2474" s="115"/>
      <c r="AWL2474" s="115"/>
      <c r="AWM2474" s="115"/>
      <c r="AWN2474" s="115"/>
      <c r="AWO2474" s="115"/>
      <c r="AWP2474" s="115"/>
      <c r="AWQ2474" s="115"/>
      <c r="AWR2474" s="115"/>
      <c r="AWS2474" s="115"/>
      <c r="AWT2474" s="115"/>
      <c r="AWU2474" s="115"/>
      <c r="AWV2474" s="115"/>
      <c r="AWW2474" s="115"/>
      <c r="AWX2474" s="115"/>
      <c r="AWY2474" s="115"/>
      <c r="AWZ2474" s="115"/>
      <c r="AXA2474" s="115"/>
      <c r="AXB2474" s="115"/>
      <c r="AXC2474" s="115"/>
      <c r="AXD2474" s="115"/>
      <c r="AXE2474" s="115"/>
      <c r="AXF2474" s="115"/>
      <c r="AXG2474" s="115"/>
      <c r="AXH2474" s="115"/>
      <c r="AXI2474" s="115"/>
      <c r="AXJ2474" s="115"/>
      <c r="AXK2474" s="115"/>
      <c r="AXL2474" s="115"/>
      <c r="AXM2474" s="115"/>
      <c r="AXN2474" s="115"/>
      <c r="AXO2474" s="115"/>
      <c r="AXP2474" s="115"/>
      <c r="AXQ2474" s="115"/>
      <c r="AXR2474" s="115"/>
      <c r="AXS2474" s="115"/>
      <c r="AXT2474" s="115"/>
      <c r="AXU2474" s="115"/>
      <c r="AXV2474" s="115"/>
      <c r="AXW2474" s="115"/>
      <c r="AXX2474" s="115"/>
      <c r="AXY2474" s="115"/>
      <c r="AXZ2474" s="115"/>
      <c r="AYA2474" s="115"/>
      <c r="AYB2474" s="115"/>
      <c r="AYC2474" s="115"/>
      <c r="AYD2474" s="115"/>
      <c r="AYE2474" s="115"/>
      <c r="AYF2474" s="115"/>
      <c r="AYG2474" s="115"/>
      <c r="AYH2474" s="115"/>
      <c r="AYI2474" s="115"/>
      <c r="AYJ2474" s="115"/>
      <c r="AYK2474" s="115"/>
      <c r="AYL2474" s="115"/>
      <c r="AYM2474" s="115"/>
      <c r="AYN2474" s="115"/>
      <c r="AYO2474" s="115"/>
      <c r="AYP2474" s="115"/>
      <c r="AYQ2474" s="115"/>
      <c r="AYR2474" s="115"/>
      <c r="AYS2474" s="115"/>
      <c r="AYT2474" s="115"/>
      <c r="AYU2474" s="115"/>
      <c r="AYV2474" s="115"/>
      <c r="AYW2474" s="115"/>
      <c r="AYX2474" s="115"/>
      <c r="AYY2474" s="115"/>
      <c r="AYZ2474" s="115"/>
      <c r="AZA2474" s="115"/>
      <c r="AZB2474" s="115"/>
      <c r="AZC2474" s="115"/>
      <c r="AZD2474" s="115"/>
      <c r="AZE2474" s="115"/>
      <c r="AZF2474" s="115"/>
      <c r="AZG2474" s="115"/>
      <c r="AZH2474" s="115"/>
      <c r="AZI2474" s="115"/>
      <c r="AZJ2474" s="115"/>
      <c r="AZK2474" s="115"/>
      <c r="AZL2474" s="115"/>
      <c r="AZM2474" s="115"/>
      <c r="AZN2474" s="115"/>
      <c r="AZO2474" s="115"/>
      <c r="AZP2474" s="115"/>
      <c r="AZQ2474" s="115"/>
      <c r="AZR2474" s="115"/>
      <c r="AZS2474" s="115"/>
      <c r="AZT2474" s="115"/>
      <c r="AZU2474" s="115"/>
      <c r="AZV2474" s="115"/>
      <c r="AZW2474" s="115"/>
      <c r="AZX2474" s="115"/>
      <c r="AZY2474" s="115"/>
      <c r="AZZ2474" s="115"/>
      <c r="BAA2474" s="115"/>
      <c r="BAB2474" s="115"/>
      <c r="BAC2474" s="115"/>
      <c r="BAD2474" s="115"/>
      <c r="BAE2474" s="115"/>
      <c r="BAF2474" s="115"/>
      <c r="BAG2474" s="115"/>
      <c r="BAH2474" s="115"/>
      <c r="BAI2474" s="115"/>
      <c r="BAJ2474" s="115"/>
      <c r="BAK2474" s="115"/>
      <c r="BAL2474" s="115"/>
      <c r="BAM2474" s="115"/>
      <c r="BAN2474" s="115"/>
      <c r="BAO2474" s="115"/>
      <c r="BAP2474" s="115"/>
      <c r="BAQ2474" s="115"/>
      <c r="BAR2474" s="115"/>
      <c r="BAS2474" s="115"/>
      <c r="BAT2474" s="115"/>
      <c r="BAU2474" s="115"/>
      <c r="BAV2474" s="115"/>
      <c r="BAW2474" s="115"/>
      <c r="BAX2474" s="115"/>
      <c r="BAY2474" s="115"/>
      <c r="BAZ2474" s="115"/>
      <c r="BBA2474" s="115"/>
      <c r="BBB2474" s="115"/>
      <c r="BBC2474" s="115"/>
      <c r="BBD2474" s="115"/>
      <c r="BBE2474" s="115"/>
      <c r="BBF2474" s="115"/>
      <c r="BBG2474" s="115"/>
      <c r="BBH2474" s="115"/>
      <c r="BBI2474" s="115"/>
      <c r="BBJ2474" s="115"/>
      <c r="BBK2474" s="115"/>
      <c r="BBL2474" s="115"/>
      <c r="BBM2474" s="115"/>
      <c r="BBN2474" s="115"/>
      <c r="BBO2474" s="115"/>
      <c r="BBP2474" s="115"/>
      <c r="BBQ2474" s="115"/>
      <c r="BBR2474" s="115"/>
      <c r="BBS2474" s="115"/>
      <c r="BBT2474" s="115"/>
      <c r="BBU2474" s="115"/>
      <c r="BBV2474" s="115"/>
      <c r="BBW2474" s="115"/>
      <c r="BBX2474" s="115"/>
      <c r="BBY2474" s="115"/>
      <c r="BBZ2474" s="115"/>
      <c r="BCA2474" s="115"/>
      <c r="BCB2474" s="115"/>
      <c r="BCC2474" s="115"/>
      <c r="BCD2474" s="115"/>
      <c r="BCE2474" s="115"/>
      <c r="BCF2474" s="115"/>
      <c r="BCG2474" s="115"/>
      <c r="BCH2474" s="115"/>
      <c r="BCI2474" s="115"/>
      <c r="BCJ2474" s="115"/>
      <c r="BCK2474" s="115"/>
      <c r="BCL2474" s="115"/>
      <c r="BCM2474" s="115"/>
      <c r="BCN2474" s="115"/>
      <c r="BCO2474" s="115"/>
      <c r="BCP2474" s="115"/>
      <c r="BCQ2474" s="115"/>
      <c r="BCR2474" s="115"/>
      <c r="BCS2474" s="115"/>
      <c r="BCT2474" s="115"/>
      <c r="BCU2474" s="115"/>
      <c r="BCV2474" s="115"/>
      <c r="BCW2474" s="115"/>
      <c r="BCX2474" s="115"/>
      <c r="BCY2474" s="115"/>
      <c r="BCZ2474" s="115"/>
      <c r="BDA2474" s="115"/>
      <c r="BDB2474" s="115"/>
      <c r="BDC2474" s="115"/>
      <c r="BDD2474" s="115"/>
      <c r="BDE2474" s="115"/>
      <c r="BDF2474" s="115"/>
      <c r="BDG2474" s="115"/>
      <c r="BDH2474" s="115"/>
      <c r="BDI2474" s="115"/>
      <c r="BDJ2474" s="115"/>
      <c r="BDK2474" s="115"/>
      <c r="BDL2474" s="115"/>
      <c r="BDM2474" s="115"/>
      <c r="BDN2474" s="115"/>
      <c r="BDO2474" s="115"/>
      <c r="BDP2474" s="115"/>
      <c r="BDQ2474" s="115"/>
      <c r="BDR2474" s="115"/>
      <c r="BDS2474" s="115"/>
      <c r="BDT2474" s="115"/>
      <c r="BDU2474" s="115"/>
      <c r="BDV2474" s="115"/>
      <c r="BDW2474" s="115"/>
      <c r="BDX2474" s="115"/>
      <c r="BDY2474" s="115"/>
      <c r="BDZ2474" s="115"/>
      <c r="BEA2474" s="115"/>
      <c r="BEB2474" s="115"/>
      <c r="BEC2474" s="115"/>
      <c r="BED2474" s="115"/>
      <c r="BEE2474" s="115"/>
      <c r="BEF2474" s="115"/>
      <c r="BEG2474" s="115"/>
      <c r="BEH2474" s="115"/>
      <c r="BEI2474" s="115"/>
      <c r="BEJ2474" s="115"/>
      <c r="BEK2474" s="115"/>
      <c r="BEL2474" s="115"/>
      <c r="BEM2474" s="115"/>
      <c r="BEN2474" s="115"/>
      <c r="BEO2474" s="115"/>
      <c r="BEP2474" s="115"/>
      <c r="BEQ2474" s="115"/>
      <c r="BER2474" s="115"/>
      <c r="BES2474" s="115"/>
      <c r="BET2474" s="115"/>
      <c r="BEU2474" s="115"/>
      <c r="BEV2474" s="115"/>
      <c r="BEW2474" s="115"/>
      <c r="BEX2474" s="115"/>
      <c r="BEY2474" s="115"/>
      <c r="BEZ2474" s="115"/>
      <c r="BFA2474" s="115"/>
      <c r="BFB2474" s="115"/>
      <c r="BFC2474" s="115"/>
      <c r="BFD2474" s="115"/>
      <c r="BFE2474" s="115"/>
      <c r="BFF2474" s="115"/>
      <c r="BFG2474" s="115"/>
      <c r="BFH2474" s="115"/>
      <c r="BFI2474" s="115"/>
      <c r="BFJ2474" s="115"/>
      <c r="BFK2474" s="115"/>
      <c r="BFL2474" s="115"/>
      <c r="BFM2474" s="115"/>
      <c r="BFN2474" s="115"/>
      <c r="BFO2474" s="115"/>
      <c r="BFP2474" s="115"/>
      <c r="BFQ2474" s="115"/>
      <c r="BFR2474" s="115"/>
      <c r="BFS2474" s="115"/>
      <c r="BFT2474" s="115"/>
      <c r="BFU2474" s="115"/>
      <c r="BFV2474" s="115"/>
      <c r="BFW2474" s="115"/>
      <c r="BFX2474" s="115"/>
      <c r="BFY2474" s="115"/>
      <c r="BFZ2474" s="115"/>
      <c r="BGA2474" s="115"/>
      <c r="BGB2474" s="115"/>
      <c r="BGC2474" s="115"/>
      <c r="BGD2474" s="115"/>
      <c r="BGE2474" s="115"/>
      <c r="BGF2474" s="115"/>
      <c r="BGG2474" s="115"/>
      <c r="BGH2474" s="115"/>
      <c r="BGI2474" s="115"/>
      <c r="BGJ2474" s="115"/>
      <c r="BGK2474" s="115"/>
      <c r="BGL2474" s="115"/>
      <c r="BGM2474" s="115"/>
      <c r="BGN2474" s="115"/>
      <c r="BGO2474" s="115"/>
      <c r="BGP2474" s="115"/>
      <c r="BGQ2474" s="115"/>
      <c r="BGR2474" s="115"/>
      <c r="BGS2474" s="115"/>
      <c r="BGT2474" s="115"/>
      <c r="BGU2474" s="115"/>
      <c r="BGV2474" s="115"/>
      <c r="BGW2474" s="115"/>
      <c r="BGX2474" s="115"/>
      <c r="BGY2474" s="115"/>
      <c r="BGZ2474" s="115"/>
      <c r="BHA2474" s="115"/>
      <c r="BHB2474" s="115"/>
      <c r="BHC2474" s="115"/>
      <c r="BHD2474" s="115"/>
      <c r="BHE2474" s="115"/>
      <c r="BHF2474" s="115"/>
      <c r="BHG2474" s="115"/>
      <c r="BHH2474" s="115"/>
      <c r="BHI2474" s="115"/>
      <c r="BHJ2474" s="115"/>
      <c r="BHK2474" s="115"/>
      <c r="BHL2474" s="115"/>
      <c r="BHM2474" s="115"/>
      <c r="BHN2474" s="115"/>
      <c r="BHO2474" s="115"/>
      <c r="BHP2474" s="115"/>
      <c r="BHQ2474" s="115"/>
      <c r="BHR2474" s="115"/>
      <c r="BHS2474" s="115"/>
      <c r="BHT2474" s="115"/>
      <c r="BHU2474" s="115"/>
      <c r="BHV2474" s="115"/>
      <c r="BHW2474" s="115"/>
      <c r="BHX2474" s="115"/>
      <c r="BHY2474" s="115"/>
      <c r="BHZ2474" s="115"/>
      <c r="BIA2474" s="115"/>
      <c r="BIB2474" s="115"/>
      <c r="BIC2474" s="115"/>
      <c r="BID2474" s="115"/>
      <c r="BIE2474" s="115"/>
      <c r="BIF2474" s="115"/>
      <c r="BIG2474" s="115"/>
      <c r="BIH2474" s="115"/>
      <c r="BII2474" s="115"/>
      <c r="BIJ2474" s="115"/>
      <c r="BIK2474" s="115"/>
      <c r="BIL2474" s="115"/>
      <c r="BIM2474" s="115"/>
      <c r="BIN2474" s="115"/>
      <c r="BIO2474" s="115"/>
      <c r="BIP2474" s="115"/>
      <c r="BIQ2474" s="115"/>
      <c r="BIR2474" s="115"/>
      <c r="BIS2474" s="115"/>
      <c r="BIT2474" s="115"/>
      <c r="BIU2474" s="115"/>
      <c r="BIV2474" s="115"/>
      <c r="BIW2474" s="115"/>
      <c r="BIX2474" s="115"/>
      <c r="BIY2474" s="115"/>
      <c r="BIZ2474" s="115"/>
      <c r="BJA2474" s="115"/>
      <c r="BJB2474" s="115"/>
      <c r="BJC2474" s="115"/>
      <c r="BJD2474" s="115"/>
      <c r="BJE2474" s="115"/>
      <c r="BJF2474" s="115"/>
      <c r="BJG2474" s="115"/>
      <c r="BJH2474" s="115"/>
      <c r="BJI2474" s="115"/>
      <c r="BJJ2474" s="115"/>
      <c r="BJK2474" s="115"/>
      <c r="BJL2474" s="115"/>
      <c r="BJM2474" s="115"/>
      <c r="BJN2474" s="115"/>
      <c r="BJO2474" s="115"/>
      <c r="BJP2474" s="115"/>
      <c r="BJQ2474" s="115"/>
      <c r="BJR2474" s="115"/>
      <c r="BJS2474" s="115"/>
      <c r="BJT2474" s="115"/>
      <c r="BJU2474" s="115"/>
      <c r="BJV2474" s="115"/>
      <c r="BJW2474" s="115"/>
      <c r="BJX2474" s="115"/>
      <c r="BJY2474" s="115"/>
      <c r="BJZ2474" s="115"/>
      <c r="BKA2474" s="115"/>
      <c r="BKB2474" s="115"/>
      <c r="BKC2474" s="115"/>
      <c r="BKD2474" s="115"/>
      <c r="BKE2474" s="115"/>
      <c r="BKF2474" s="115"/>
      <c r="BKG2474" s="115"/>
      <c r="BKH2474" s="115"/>
      <c r="BKI2474" s="115"/>
      <c r="BKJ2474" s="115"/>
      <c r="BKK2474" s="115"/>
      <c r="BKL2474" s="115"/>
      <c r="BKM2474" s="115"/>
      <c r="BKN2474" s="115"/>
      <c r="BKO2474" s="115"/>
      <c r="BKP2474" s="115"/>
      <c r="BKQ2474" s="115"/>
      <c r="BKR2474" s="115"/>
      <c r="BKS2474" s="115"/>
      <c r="BKT2474" s="115"/>
      <c r="BKU2474" s="115"/>
      <c r="BKV2474" s="115"/>
      <c r="BKW2474" s="115"/>
      <c r="BKX2474" s="115"/>
      <c r="BKY2474" s="115"/>
      <c r="BKZ2474" s="115"/>
      <c r="BLA2474" s="115"/>
      <c r="BLB2474" s="115"/>
      <c r="BLC2474" s="115"/>
      <c r="BLD2474" s="115"/>
      <c r="BLE2474" s="115"/>
      <c r="BLF2474" s="115"/>
      <c r="BLG2474" s="115"/>
      <c r="BLH2474" s="115"/>
      <c r="BLI2474" s="115"/>
      <c r="BLJ2474" s="115"/>
      <c r="BLK2474" s="115"/>
      <c r="BLL2474" s="115"/>
      <c r="BLM2474" s="115"/>
      <c r="BLN2474" s="115"/>
      <c r="BLO2474" s="115"/>
      <c r="BLP2474" s="115"/>
      <c r="BLQ2474" s="115"/>
      <c r="BLR2474" s="115"/>
      <c r="BLS2474" s="115"/>
      <c r="BLT2474" s="115"/>
      <c r="BLU2474" s="115"/>
      <c r="BLV2474" s="115"/>
      <c r="BLW2474" s="115"/>
      <c r="BLX2474" s="115"/>
      <c r="BLY2474" s="115"/>
      <c r="BLZ2474" s="115"/>
      <c r="BMA2474" s="115"/>
      <c r="BMB2474" s="115"/>
      <c r="BMC2474" s="115"/>
      <c r="BMD2474" s="115"/>
      <c r="BME2474" s="115"/>
      <c r="BMF2474" s="115"/>
      <c r="BMG2474" s="115"/>
      <c r="BMH2474" s="115"/>
      <c r="BMI2474" s="115"/>
      <c r="BMJ2474" s="115"/>
      <c r="BMK2474" s="115"/>
      <c r="BML2474" s="115"/>
      <c r="BMM2474" s="115"/>
      <c r="BMN2474" s="115"/>
      <c r="BMO2474" s="115"/>
      <c r="BMP2474" s="115"/>
      <c r="BMQ2474" s="115"/>
      <c r="BMR2474" s="115"/>
      <c r="BMS2474" s="115"/>
      <c r="BMT2474" s="115"/>
      <c r="BMU2474" s="115"/>
      <c r="BMV2474" s="115"/>
      <c r="BMW2474" s="115"/>
      <c r="BMX2474" s="115"/>
      <c r="BMY2474" s="115"/>
      <c r="BMZ2474" s="115"/>
      <c r="BNA2474" s="115"/>
      <c r="BNB2474" s="115"/>
      <c r="BNC2474" s="115"/>
      <c r="BND2474" s="115"/>
      <c r="BNE2474" s="115"/>
      <c r="BNF2474" s="115"/>
      <c r="BNG2474" s="115"/>
      <c r="BNH2474" s="115"/>
      <c r="BNI2474" s="115"/>
      <c r="BNJ2474" s="115"/>
      <c r="BNK2474" s="115"/>
      <c r="BNL2474" s="115"/>
      <c r="BNM2474" s="115"/>
      <c r="BNN2474" s="115"/>
      <c r="BNO2474" s="115"/>
      <c r="BNP2474" s="115"/>
      <c r="BNQ2474" s="115"/>
      <c r="BNR2474" s="115"/>
      <c r="BNS2474" s="115"/>
      <c r="BNT2474" s="115"/>
      <c r="BNU2474" s="115"/>
      <c r="BNV2474" s="115"/>
      <c r="BNW2474" s="115"/>
      <c r="BNX2474" s="115"/>
      <c r="BNY2474" s="115"/>
      <c r="BNZ2474" s="115"/>
      <c r="BOA2474" s="115"/>
      <c r="BOB2474" s="115"/>
      <c r="BOC2474" s="115"/>
      <c r="BOD2474" s="115"/>
      <c r="BOE2474" s="115"/>
      <c r="BOF2474" s="115"/>
      <c r="BOG2474" s="115"/>
      <c r="BOH2474" s="115"/>
      <c r="BOI2474" s="115"/>
      <c r="BOJ2474" s="115"/>
      <c r="BOK2474" s="115"/>
      <c r="BOL2474" s="115"/>
      <c r="BOM2474" s="115"/>
      <c r="BON2474" s="115"/>
      <c r="BOO2474" s="115"/>
      <c r="BOP2474" s="115"/>
      <c r="BOQ2474" s="115"/>
      <c r="BOR2474" s="115"/>
      <c r="BOS2474" s="115"/>
      <c r="BOT2474" s="115"/>
      <c r="BOU2474" s="115"/>
      <c r="BOV2474" s="115"/>
      <c r="BOW2474" s="115"/>
      <c r="BOX2474" s="115"/>
      <c r="BOY2474" s="115"/>
      <c r="BOZ2474" s="115"/>
      <c r="BPA2474" s="115"/>
      <c r="BPB2474" s="115"/>
      <c r="BPC2474" s="115"/>
      <c r="BPD2474" s="115"/>
      <c r="BPE2474" s="115"/>
      <c r="BPF2474" s="115"/>
      <c r="BPG2474" s="115"/>
      <c r="BPH2474" s="115"/>
      <c r="BPI2474" s="115"/>
      <c r="BPJ2474" s="115"/>
      <c r="BPK2474" s="115"/>
      <c r="BPL2474" s="115"/>
      <c r="BPM2474" s="115"/>
      <c r="BPN2474" s="115"/>
      <c r="BPO2474" s="115"/>
      <c r="BPP2474" s="115"/>
      <c r="BPQ2474" s="115"/>
      <c r="BPR2474" s="115"/>
      <c r="BPS2474" s="115"/>
      <c r="BPT2474" s="115"/>
      <c r="BPU2474" s="115"/>
      <c r="BPV2474" s="115"/>
      <c r="BPW2474" s="115"/>
      <c r="BPX2474" s="115"/>
      <c r="BPY2474" s="115"/>
      <c r="BPZ2474" s="115"/>
      <c r="BQA2474" s="115"/>
      <c r="BQB2474" s="115"/>
      <c r="BQC2474" s="115"/>
      <c r="BQD2474" s="115"/>
      <c r="BQE2474" s="115"/>
      <c r="BQF2474" s="115"/>
      <c r="BQG2474" s="115"/>
      <c r="BQH2474" s="115"/>
      <c r="BQI2474" s="115"/>
      <c r="BQJ2474" s="115"/>
      <c r="BQK2474" s="115"/>
      <c r="BQL2474" s="115"/>
      <c r="BQM2474" s="115"/>
      <c r="BQN2474" s="115"/>
      <c r="BQO2474" s="115"/>
      <c r="BQP2474" s="115"/>
      <c r="BQQ2474" s="115"/>
      <c r="BQR2474" s="115"/>
      <c r="BQS2474" s="115"/>
      <c r="BQT2474" s="115"/>
      <c r="BQU2474" s="115"/>
      <c r="BQV2474" s="115"/>
      <c r="BQW2474" s="115"/>
      <c r="BQX2474" s="115"/>
      <c r="BQY2474" s="115"/>
      <c r="BQZ2474" s="115"/>
      <c r="BRA2474" s="115"/>
      <c r="BRB2474" s="115"/>
      <c r="BRC2474" s="115"/>
      <c r="BRD2474" s="115"/>
      <c r="BRE2474" s="115"/>
      <c r="BRF2474" s="115"/>
      <c r="BRG2474" s="115"/>
      <c r="BRH2474" s="115"/>
      <c r="BRI2474" s="115"/>
      <c r="BRJ2474" s="115"/>
      <c r="BRK2474" s="115"/>
      <c r="BRL2474" s="115"/>
      <c r="BRM2474" s="115"/>
      <c r="BRN2474" s="115"/>
      <c r="BRO2474" s="115"/>
      <c r="BRP2474" s="115"/>
      <c r="BRQ2474" s="115"/>
      <c r="BRR2474" s="115"/>
      <c r="BRS2474" s="115"/>
      <c r="BRT2474" s="115"/>
      <c r="BRU2474" s="115"/>
      <c r="BRV2474" s="115"/>
      <c r="BRW2474" s="115"/>
      <c r="BRX2474" s="115"/>
      <c r="BRY2474" s="115"/>
      <c r="BRZ2474" s="115"/>
      <c r="BSA2474" s="115"/>
      <c r="BSB2474" s="115"/>
      <c r="BSC2474" s="115"/>
      <c r="BSD2474" s="115"/>
      <c r="BSE2474" s="115"/>
      <c r="BSF2474" s="115"/>
      <c r="BSG2474" s="115"/>
      <c r="BSH2474" s="115"/>
      <c r="BSI2474" s="115"/>
      <c r="BSJ2474" s="115"/>
      <c r="BSK2474" s="115"/>
      <c r="BSL2474" s="115"/>
      <c r="BSM2474" s="115"/>
      <c r="BSN2474" s="115"/>
      <c r="BSO2474" s="115"/>
      <c r="BSP2474" s="115"/>
      <c r="BSQ2474" s="115"/>
      <c r="BSR2474" s="115"/>
      <c r="BSS2474" s="115"/>
      <c r="BST2474" s="115"/>
      <c r="BSU2474" s="115"/>
      <c r="BSV2474" s="115"/>
      <c r="BSW2474" s="115"/>
      <c r="BSX2474" s="115"/>
      <c r="BSY2474" s="115"/>
      <c r="BSZ2474" s="115"/>
      <c r="BTA2474" s="115"/>
      <c r="BTB2474" s="115"/>
      <c r="BTC2474" s="115"/>
      <c r="BTD2474" s="115"/>
      <c r="BTE2474" s="115"/>
      <c r="BTF2474" s="115"/>
      <c r="BTG2474" s="115"/>
      <c r="BTH2474" s="115"/>
      <c r="BTI2474" s="115"/>
      <c r="BTJ2474" s="115"/>
      <c r="BTK2474" s="115"/>
      <c r="BTL2474" s="115"/>
      <c r="BTM2474" s="115"/>
      <c r="BTN2474" s="115"/>
      <c r="BTO2474" s="115"/>
      <c r="BTP2474" s="115"/>
      <c r="BTQ2474" s="115"/>
      <c r="BTR2474" s="115"/>
      <c r="BTS2474" s="115"/>
      <c r="BTT2474" s="115"/>
      <c r="BTU2474" s="115"/>
      <c r="BTV2474" s="115"/>
      <c r="BTW2474" s="115"/>
      <c r="BTX2474" s="115"/>
      <c r="BTY2474" s="115"/>
      <c r="BTZ2474" s="115"/>
      <c r="BUA2474" s="115"/>
      <c r="BUB2474" s="115"/>
      <c r="BUC2474" s="115"/>
      <c r="BUD2474" s="115"/>
      <c r="BUE2474" s="115"/>
      <c r="BUF2474" s="115"/>
      <c r="BUG2474" s="115"/>
      <c r="BUH2474" s="115"/>
      <c r="BUI2474" s="115"/>
      <c r="BUJ2474" s="115"/>
      <c r="BUK2474" s="115"/>
      <c r="BUL2474" s="115"/>
      <c r="BUM2474" s="115"/>
      <c r="BUN2474" s="115"/>
      <c r="BUO2474" s="115"/>
      <c r="BUP2474" s="115"/>
      <c r="BUQ2474" s="115"/>
      <c r="BUR2474" s="115"/>
      <c r="BUS2474" s="115"/>
      <c r="BUT2474" s="115"/>
      <c r="BUU2474" s="115"/>
      <c r="BUV2474" s="115"/>
      <c r="BUW2474" s="115"/>
      <c r="BUX2474" s="115"/>
      <c r="BUY2474" s="115"/>
      <c r="BUZ2474" s="115"/>
      <c r="BVA2474" s="115"/>
      <c r="BVB2474" s="115"/>
      <c r="BVC2474" s="115"/>
      <c r="BVD2474" s="115"/>
      <c r="BVE2474" s="115"/>
      <c r="BVF2474" s="115"/>
      <c r="BVG2474" s="115"/>
      <c r="BVH2474" s="115"/>
      <c r="BVI2474" s="115"/>
      <c r="BVJ2474" s="115"/>
      <c r="BVK2474" s="115"/>
      <c r="BVL2474" s="115"/>
      <c r="BVM2474" s="115"/>
      <c r="BVN2474" s="115"/>
      <c r="BVO2474" s="115"/>
      <c r="BVP2474" s="115"/>
      <c r="BVQ2474" s="115"/>
      <c r="BVR2474" s="115"/>
      <c r="BVS2474" s="115"/>
      <c r="BVT2474" s="115"/>
      <c r="BVU2474" s="115"/>
      <c r="BVV2474" s="115"/>
      <c r="BVW2474" s="115"/>
      <c r="BVX2474" s="115"/>
      <c r="BVY2474" s="115"/>
      <c r="BVZ2474" s="115"/>
      <c r="BWA2474" s="115"/>
      <c r="BWB2474" s="115"/>
      <c r="BWC2474" s="115"/>
      <c r="BWD2474" s="115"/>
      <c r="BWE2474" s="115"/>
      <c r="BWF2474" s="115"/>
      <c r="BWG2474" s="115"/>
      <c r="BWH2474" s="115"/>
      <c r="BWI2474" s="115"/>
      <c r="BWJ2474" s="115"/>
      <c r="BWK2474" s="115"/>
      <c r="BWL2474" s="115"/>
      <c r="BWM2474" s="115"/>
      <c r="BWN2474" s="115"/>
      <c r="BWO2474" s="115"/>
      <c r="BWP2474" s="115"/>
      <c r="BWQ2474" s="115"/>
      <c r="BWR2474" s="115"/>
      <c r="BWS2474" s="115"/>
      <c r="BWT2474" s="115"/>
      <c r="BWU2474" s="115"/>
      <c r="BWV2474" s="115"/>
      <c r="BWW2474" s="115"/>
      <c r="BWX2474" s="115"/>
      <c r="BWY2474" s="115"/>
      <c r="BWZ2474" s="115"/>
      <c r="BXA2474" s="115"/>
      <c r="BXB2474" s="115"/>
      <c r="BXC2474" s="115"/>
      <c r="BXD2474" s="115"/>
      <c r="BXE2474" s="115"/>
      <c r="BXF2474" s="115"/>
      <c r="BXG2474" s="115"/>
      <c r="BXH2474" s="115"/>
      <c r="BXI2474" s="115"/>
      <c r="BXJ2474" s="115"/>
      <c r="BXK2474" s="115"/>
      <c r="BXL2474" s="115"/>
      <c r="BXM2474" s="115"/>
      <c r="BXN2474" s="115"/>
      <c r="BXO2474" s="115"/>
      <c r="BXP2474" s="115"/>
      <c r="BXQ2474" s="115"/>
      <c r="BXR2474" s="115"/>
      <c r="BXS2474" s="115"/>
      <c r="BXT2474" s="115"/>
      <c r="BXU2474" s="115"/>
      <c r="BXV2474" s="115"/>
      <c r="BXW2474" s="115"/>
      <c r="BXX2474" s="115"/>
      <c r="BXY2474" s="115"/>
      <c r="BXZ2474" s="115"/>
      <c r="BYA2474" s="115"/>
      <c r="BYB2474" s="115"/>
      <c r="BYC2474" s="115"/>
      <c r="BYD2474" s="115"/>
      <c r="BYE2474" s="115"/>
      <c r="BYF2474" s="115"/>
      <c r="BYG2474" s="115"/>
      <c r="BYH2474" s="115"/>
      <c r="BYI2474" s="115"/>
      <c r="BYJ2474" s="115"/>
      <c r="BYK2474" s="115"/>
      <c r="BYL2474" s="115"/>
      <c r="BYM2474" s="115"/>
      <c r="BYN2474" s="115"/>
      <c r="BYO2474" s="115"/>
      <c r="BYP2474" s="115"/>
      <c r="BYQ2474" s="115"/>
      <c r="BYR2474" s="115"/>
      <c r="BYS2474" s="115"/>
      <c r="BYT2474" s="115"/>
      <c r="BYU2474" s="115"/>
      <c r="BYV2474" s="115"/>
      <c r="BYW2474" s="115"/>
      <c r="BYX2474" s="115"/>
      <c r="BYY2474" s="115"/>
      <c r="BYZ2474" s="115"/>
      <c r="BZA2474" s="115"/>
      <c r="BZB2474" s="115"/>
      <c r="BZC2474" s="115"/>
      <c r="BZD2474" s="115"/>
      <c r="BZE2474" s="115"/>
      <c r="BZF2474" s="115"/>
      <c r="BZG2474" s="115"/>
      <c r="BZH2474" s="115"/>
      <c r="BZI2474" s="115"/>
      <c r="BZJ2474" s="115"/>
      <c r="BZK2474" s="115"/>
      <c r="BZL2474" s="115"/>
      <c r="BZM2474" s="115"/>
      <c r="BZN2474" s="115"/>
      <c r="BZO2474" s="115"/>
      <c r="BZP2474" s="115"/>
      <c r="BZQ2474" s="115"/>
      <c r="BZR2474" s="115"/>
      <c r="BZS2474" s="115"/>
      <c r="BZT2474" s="115"/>
      <c r="BZU2474" s="115"/>
      <c r="BZV2474" s="115"/>
      <c r="BZW2474" s="115"/>
      <c r="BZX2474" s="115"/>
      <c r="BZY2474" s="115"/>
      <c r="BZZ2474" s="115"/>
      <c r="CAA2474" s="115"/>
      <c r="CAB2474" s="115"/>
      <c r="CAC2474" s="115"/>
      <c r="CAD2474" s="115"/>
      <c r="CAE2474" s="115"/>
      <c r="CAF2474" s="115"/>
      <c r="CAG2474" s="115"/>
      <c r="CAH2474" s="115"/>
      <c r="CAI2474" s="115"/>
      <c r="CAJ2474" s="115"/>
      <c r="CAK2474" s="115"/>
      <c r="CAL2474" s="115"/>
      <c r="CAM2474" s="115"/>
      <c r="CAN2474" s="115"/>
      <c r="CAO2474" s="115"/>
      <c r="CAP2474" s="115"/>
      <c r="CAQ2474" s="115"/>
      <c r="CAR2474" s="115"/>
      <c r="CAS2474" s="115"/>
      <c r="CAT2474" s="115"/>
      <c r="CAU2474" s="115"/>
      <c r="CAV2474" s="115"/>
      <c r="CAW2474" s="115"/>
      <c r="CAX2474" s="115"/>
      <c r="CAY2474" s="115"/>
      <c r="CAZ2474" s="115"/>
      <c r="CBA2474" s="115"/>
      <c r="CBB2474" s="115"/>
      <c r="CBC2474" s="115"/>
      <c r="CBD2474" s="115"/>
      <c r="CBE2474" s="115"/>
      <c r="CBF2474" s="115"/>
      <c r="CBG2474" s="115"/>
      <c r="CBH2474" s="115"/>
      <c r="CBI2474" s="115"/>
      <c r="CBJ2474" s="115"/>
      <c r="CBK2474" s="115"/>
      <c r="CBL2474" s="115"/>
      <c r="CBM2474" s="115"/>
      <c r="CBN2474" s="115"/>
      <c r="CBO2474" s="115"/>
      <c r="CBP2474" s="115"/>
      <c r="CBQ2474" s="115"/>
      <c r="CBR2474" s="115"/>
      <c r="CBS2474" s="115"/>
      <c r="CBT2474" s="115"/>
      <c r="CBU2474" s="115"/>
      <c r="CBV2474" s="115"/>
      <c r="CBW2474" s="115"/>
      <c r="CBX2474" s="115"/>
      <c r="CBY2474" s="115"/>
      <c r="CBZ2474" s="115"/>
      <c r="CCA2474" s="115"/>
      <c r="CCB2474" s="115"/>
      <c r="CCC2474" s="115"/>
      <c r="CCD2474" s="115"/>
      <c r="CCE2474" s="115"/>
      <c r="CCF2474" s="115"/>
      <c r="CCG2474" s="115"/>
      <c r="CCH2474" s="115"/>
      <c r="CCI2474" s="115"/>
      <c r="CCJ2474" s="115"/>
      <c r="CCK2474" s="115"/>
      <c r="CCL2474" s="115"/>
      <c r="CCM2474" s="115"/>
      <c r="CCN2474" s="115"/>
      <c r="CCO2474" s="115"/>
      <c r="CCP2474" s="115"/>
      <c r="CCQ2474" s="115"/>
      <c r="CCR2474" s="115"/>
      <c r="CCS2474" s="115"/>
      <c r="CCT2474" s="115"/>
      <c r="CCU2474" s="115"/>
      <c r="CCV2474" s="115"/>
      <c r="CCW2474" s="115"/>
      <c r="CCX2474" s="115"/>
      <c r="CCY2474" s="115"/>
      <c r="CCZ2474" s="115"/>
      <c r="CDA2474" s="115"/>
      <c r="CDB2474" s="115"/>
      <c r="CDC2474" s="115"/>
      <c r="CDD2474" s="115"/>
      <c r="CDE2474" s="115"/>
      <c r="CDF2474" s="115"/>
      <c r="CDG2474" s="115"/>
      <c r="CDH2474" s="115"/>
      <c r="CDI2474" s="115"/>
      <c r="CDJ2474" s="115"/>
      <c r="CDK2474" s="115"/>
      <c r="CDL2474" s="115"/>
      <c r="CDM2474" s="115"/>
      <c r="CDN2474" s="115"/>
      <c r="CDO2474" s="115"/>
      <c r="CDP2474" s="115"/>
      <c r="CDQ2474" s="115"/>
      <c r="CDR2474" s="115"/>
      <c r="CDS2474" s="115"/>
      <c r="CDT2474" s="115"/>
      <c r="CDU2474" s="115"/>
      <c r="CDV2474" s="115"/>
      <c r="CDW2474" s="115"/>
      <c r="CDX2474" s="115"/>
      <c r="CDY2474" s="115"/>
      <c r="CDZ2474" s="115"/>
      <c r="CEA2474" s="115"/>
      <c r="CEB2474" s="115"/>
      <c r="CEC2474" s="115"/>
      <c r="CED2474" s="115"/>
      <c r="CEE2474" s="115"/>
      <c r="CEF2474" s="115"/>
      <c r="CEG2474" s="115"/>
      <c r="CEH2474" s="115"/>
      <c r="CEI2474" s="115"/>
      <c r="CEJ2474" s="115"/>
      <c r="CEK2474" s="115"/>
      <c r="CEL2474" s="115"/>
      <c r="CEM2474" s="115"/>
      <c r="CEN2474" s="115"/>
      <c r="CEO2474" s="115"/>
      <c r="CEP2474" s="115"/>
      <c r="CEQ2474" s="115"/>
      <c r="CER2474" s="115"/>
      <c r="CES2474" s="115"/>
      <c r="CET2474" s="115"/>
      <c r="CEU2474" s="115"/>
      <c r="CEV2474" s="115"/>
      <c r="CEW2474" s="115"/>
      <c r="CEX2474" s="115"/>
      <c r="CEY2474" s="115"/>
      <c r="CEZ2474" s="115"/>
      <c r="CFA2474" s="115"/>
      <c r="CFB2474" s="115"/>
      <c r="CFC2474" s="115"/>
      <c r="CFD2474" s="115"/>
      <c r="CFE2474" s="115"/>
      <c r="CFF2474" s="115"/>
      <c r="CFG2474" s="115"/>
      <c r="CFH2474" s="115"/>
      <c r="CFI2474" s="115"/>
      <c r="CFJ2474" s="115"/>
      <c r="CFK2474" s="115"/>
      <c r="CFL2474" s="115"/>
      <c r="CFM2474" s="115"/>
      <c r="CFN2474" s="115"/>
      <c r="CFO2474" s="115"/>
      <c r="CFP2474" s="115"/>
      <c r="CFQ2474" s="115"/>
      <c r="CFR2474" s="115"/>
      <c r="CFS2474" s="115"/>
      <c r="CFT2474" s="115"/>
      <c r="CFU2474" s="115"/>
      <c r="CFV2474" s="115"/>
      <c r="CFW2474" s="115"/>
      <c r="CFX2474" s="115"/>
      <c r="CFY2474" s="115"/>
      <c r="CFZ2474" s="115"/>
      <c r="CGA2474" s="115"/>
      <c r="CGB2474" s="115"/>
      <c r="CGC2474" s="115"/>
      <c r="CGD2474" s="115"/>
      <c r="CGE2474" s="115"/>
      <c r="CGF2474" s="115"/>
      <c r="CGG2474" s="115"/>
      <c r="CGH2474" s="115"/>
      <c r="CGI2474" s="115"/>
      <c r="CGJ2474" s="115"/>
      <c r="CGK2474" s="115"/>
      <c r="CGL2474" s="115"/>
      <c r="CGM2474" s="115"/>
      <c r="CGN2474" s="115"/>
      <c r="CGO2474" s="115"/>
      <c r="CGP2474" s="115"/>
      <c r="CGQ2474" s="115"/>
      <c r="CGR2474" s="115"/>
      <c r="CGS2474" s="115"/>
      <c r="CGT2474" s="115"/>
      <c r="CGU2474" s="115"/>
      <c r="CGV2474" s="115"/>
      <c r="CGW2474" s="115"/>
      <c r="CGX2474" s="115"/>
      <c r="CGY2474" s="115"/>
      <c r="CGZ2474" s="115"/>
      <c r="CHA2474" s="115"/>
      <c r="CHB2474" s="115"/>
      <c r="CHC2474" s="115"/>
      <c r="CHD2474" s="115"/>
      <c r="CHE2474" s="115"/>
      <c r="CHF2474" s="115"/>
      <c r="CHG2474" s="115"/>
      <c r="CHH2474" s="115"/>
      <c r="CHI2474" s="115"/>
      <c r="CHJ2474" s="115"/>
      <c r="CHK2474" s="115"/>
      <c r="CHL2474" s="115"/>
      <c r="CHM2474" s="115"/>
      <c r="CHN2474" s="115"/>
      <c r="CHO2474" s="115"/>
      <c r="CHP2474" s="115"/>
      <c r="CHQ2474" s="115"/>
      <c r="CHR2474" s="115"/>
      <c r="CHS2474" s="115"/>
      <c r="CHT2474" s="115"/>
      <c r="CHU2474" s="115"/>
      <c r="CHV2474" s="115"/>
      <c r="CHW2474" s="115"/>
      <c r="CHX2474" s="115"/>
      <c r="CHY2474" s="115"/>
      <c r="CHZ2474" s="115"/>
      <c r="CIA2474" s="115"/>
      <c r="CIB2474" s="115"/>
      <c r="CIC2474" s="115"/>
      <c r="CID2474" s="115"/>
      <c r="CIE2474" s="115"/>
      <c r="CIF2474" s="115"/>
      <c r="CIG2474" s="115"/>
      <c r="CIH2474" s="115"/>
      <c r="CII2474" s="115"/>
      <c r="CIJ2474" s="115"/>
      <c r="CIK2474" s="115"/>
      <c r="CIL2474" s="115"/>
      <c r="CIM2474" s="115"/>
      <c r="CIN2474" s="115"/>
      <c r="CIO2474" s="115"/>
      <c r="CIP2474" s="115"/>
      <c r="CIQ2474" s="115"/>
      <c r="CIR2474" s="115"/>
      <c r="CIS2474" s="115"/>
      <c r="CIT2474" s="115"/>
      <c r="CIU2474" s="115"/>
      <c r="CIV2474" s="115"/>
      <c r="CIW2474" s="115"/>
      <c r="CIX2474" s="115"/>
      <c r="CIY2474" s="115"/>
      <c r="CIZ2474" s="115"/>
      <c r="CJA2474" s="115"/>
      <c r="CJB2474" s="115"/>
      <c r="CJC2474" s="115"/>
      <c r="CJD2474" s="115"/>
      <c r="CJE2474" s="115"/>
      <c r="CJF2474" s="115"/>
      <c r="CJG2474" s="115"/>
      <c r="CJH2474" s="115"/>
      <c r="CJI2474" s="115"/>
      <c r="CJJ2474" s="115"/>
      <c r="CJK2474" s="115"/>
      <c r="CJL2474" s="115"/>
      <c r="CJM2474" s="115"/>
      <c r="CJN2474" s="115"/>
      <c r="CJO2474" s="115"/>
      <c r="CJP2474" s="115"/>
      <c r="CJQ2474" s="115"/>
      <c r="CJR2474" s="115"/>
      <c r="CJS2474" s="115"/>
      <c r="CJT2474" s="115"/>
      <c r="CJU2474" s="115"/>
      <c r="CJV2474" s="115"/>
      <c r="CJW2474" s="115"/>
      <c r="CJX2474" s="115"/>
      <c r="CJY2474" s="115"/>
      <c r="CJZ2474" s="115"/>
      <c r="CKA2474" s="115"/>
      <c r="CKB2474" s="115"/>
      <c r="CKC2474" s="115"/>
      <c r="CKD2474" s="115"/>
      <c r="CKE2474" s="115"/>
      <c r="CKF2474" s="115"/>
      <c r="CKG2474" s="115"/>
      <c r="CKH2474" s="115"/>
      <c r="CKI2474" s="115"/>
      <c r="CKJ2474" s="115"/>
      <c r="CKK2474" s="115"/>
      <c r="CKL2474" s="115"/>
      <c r="CKM2474" s="115"/>
      <c r="CKN2474" s="115"/>
      <c r="CKO2474" s="115"/>
      <c r="CKP2474" s="115"/>
      <c r="CKQ2474" s="115"/>
      <c r="CKR2474" s="115"/>
      <c r="CKS2474" s="115"/>
      <c r="CKT2474" s="115"/>
      <c r="CKU2474" s="115"/>
      <c r="CKV2474" s="115"/>
      <c r="CKW2474" s="115"/>
      <c r="CKX2474" s="115"/>
      <c r="CKY2474" s="115"/>
      <c r="CKZ2474" s="115"/>
      <c r="CLA2474" s="115"/>
      <c r="CLB2474" s="115"/>
      <c r="CLC2474" s="115"/>
      <c r="CLD2474" s="115"/>
      <c r="CLE2474" s="115"/>
      <c r="CLF2474" s="115"/>
      <c r="CLG2474" s="115"/>
      <c r="CLH2474" s="115"/>
      <c r="CLI2474" s="115"/>
      <c r="CLJ2474" s="115"/>
      <c r="CLK2474" s="115"/>
      <c r="CLL2474" s="115"/>
      <c r="CLM2474" s="115"/>
      <c r="CLN2474" s="115"/>
      <c r="CLO2474" s="115"/>
      <c r="CLP2474" s="115"/>
      <c r="CLQ2474" s="115"/>
      <c r="CLR2474" s="115"/>
      <c r="CLS2474" s="115"/>
      <c r="CLT2474" s="115"/>
      <c r="CLU2474" s="115"/>
      <c r="CLV2474" s="115"/>
      <c r="CLW2474" s="115"/>
      <c r="CLX2474" s="115"/>
      <c r="CLY2474" s="115"/>
      <c r="CLZ2474" s="115"/>
      <c r="CMA2474" s="115"/>
      <c r="CMB2474" s="115"/>
      <c r="CMC2474" s="115"/>
      <c r="CMD2474" s="115"/>
      <c r="CME2474" s="115"/>
      <c r="CMF2474" s="115"/>
      <c r="CMG2474" s="115"/>
      <c r="CMH2474" s="115"/>
      <c r="CMI2474" s="115"/>
      <c r="CMJ2474" s="115"/>
      <c r="CMK2474" s="115"/>
      <c r="CML2474" s="115"/>
      <c r="CMM2474" s="115"/>
      <c r="CMN2474" s="115"/>
      <c r="CMO2474" s="115"/>
      <c r="CMP2474" s="115"/>
      <c r="CMQ2474" s="115"/>
      <c r="CMR2474" s="115"/>
      <c r="CMS2474" s="115"/>
      <c r="CMT2474" s="115"/>
      <c r="CMU2474" s="115"/>
      <c r="CMV2474" s="115"/>
      <c r="CMW2474" s="115"/>
      <c r="CMX2474" s="115"/>
      <c r="CMY2474" s="115"/>
      <c r="CMZ2474" s="115"/>
      <c r="CNA2474" s="115"/>
      <c r="CNB2474" s="115"/>
      <c r="CNC2474" s="115"/>
      <c r="CND2474" s="115"/>
      <c r="CNE2474" s="115"/>
      <c r="CNF2474" s="115"/>
      <c r="CNG2474" s="115"/>
      <c r="CNH2474" s="115"/>
      <c r="CNI2474" s="115"/>
      <c r="CNJ2474" s="115"/>
      <c r="CNK2474" s="115"/>
      <c r="CNL2474" s="115"/>
      <c r="CNM2474" s="115"/>
      <c r="CNN2474" s="115"/>
      <c r="CNO2474" s="115"/>
      <c r="CNP2474" s="115"/>
      <c r="CNQ2474" s="115"/>
      <c r="CNR2474" s="115"/>
      <c r="CNS2474" s="115"/>
      <c r="CNT2474" s="115"/>
      <c r="CNU2474" s="115"/>
      <c r="CNV2474" s="115"/>
      <c r="CNW2474" s="115"/>
      <c r="CNX2474" s="115"/>
      <c r="CNY2474" s="115"/>
      <c r="CNZ2474" s="115"/>
      <c r="COA2474" s="115"/>
      <c r="COB2474" s="115"/>
      <c r="COC2474" s="115"/>
      <c r="COD2474" s="115"/>
      <c r="COE2474" s="115"/>
      <c r="COF2474" s="115"/>
      <c r="COG2474" s="115"/>
      <c r="COH2474" s="115"/>
      <c r="COI2474" s="115"/>
      <c r="COJ2474" s="115"/>
      <c r="COK2474" s="115"/>
      <c r="COL2474" s="115"/>
      <c r="COM2474" s="115"/>
      <c r="CON2474" s="115"/>
      <c r="COO2474" s="115"/>
      <c r="COP2474" s="115"/>
      <c r="COQ2474" s="115"/>
      <c r="COR2474" s="115"/>
      <c r="COS2474" s="115"/>
      <c r="COT2474" s="115"/>
      <c r="COU2474" s="115"/>
      <c r="COV2474" s="115"/>
      <c r="COW2474" s="115"/>
      <c r="COX2474" s="115"/>
      <c r="COY2474" s="115"/>
      <c r="COZ2474" s="115"/>
      <c r="CPA2474" s="115"/>
      <c r="CPB2474" s="115"/>
      <c r="CPC2474" s="115"/>
      <c r="CPD2474" s="115"/>
      <c r="CPE2474" s="115"/>
      <c r="CPF2474" s="115"/>
      <c r="CPG2474" s="115"/>
      <c r="CPH2474" s="115"/>
      <c r="CPI2474" s="115"/>
      <c r="CPJ2474" s="115"/>
      <c r="CPK2474" s="115"/>
      <c r="CPL2474" s="115"/>
      <c r="CPM2474" s="115"/>
      <c r="CPN2474" s="115"/>
      <c r="CPO2474" s="115"/>
      <c r="CPP2474" s="115"/>
      <c r="CPQ2474" s="115"/>
      <c r="CPR2474" s="115"/>
      <c r="CPS2474" s="115"/>
      <c r="CPT2474" s="115"/>
      <c r="CPU2474" s="115"/>
      <c r="CPV2474" s="115"/>
      <c r="CPW2474" s="115"/>
      <c r="CPX2474" s="115"/>
      <c r="CPY2474" s="115"/>
      <c r="CPZ2474" s="115"/>
      <c r="CQA2474" s="115"/>
      <c r="CQB2474" s="115"/>
      <c r="CQC2474" s="115"/>
      <c r="CQD2474" s="115"/>
      <c r="CQE2474" s="115"/>
      <c r="CQF2474" s="115"/>
      <c r="CQG2474" s="115"/>
      <c r="CQH2474" s="115"/>
      <c r="CQI2474" s="115"/>
      <c r="CQJ2474" s="115"/>
      <c r="CQK2474" s="115"/>
      <c r="CQL2474" s="115"/>
      <c r="CQM2474" s="115"/>
      <c r="CQN2474" s="115"/>
      <c r="CQO2474" s="115"/>
      <c r="CQP2474" s="115"/>
      <c r="CQQ2474" s="115"/>
      <c r="CQR2474" s="115"/>
      <c r="CQS2474" s="115"/>
      <c r="CQT2474" s="115"/>
      <c r="CQU2474" s="115"/>
      <c r="CQV2474" s="115"/>
      <c r="CQW2474" s="115"/>
      <c r="CQX2474" s="115"/>
      <c r="CQY2474" s="115"/>
      <c r="CQZ2474" s="115"/>
      <c r="CRA2474" s="115"/>
      <c r="CRB2474" s="115"/>
      <c r="CRC2474" s="115"/>
      <c r="CRD2474" s="115"/>
      <c r="CRE2474" s="115"/>
      <c r="CRF2474" s="115"/>
      <c r="CRG2474" s="115"/>
      <c r="CRH2474" s="115"/>
      <c r="CRI2474" s="115"/>
      <c r="CRJ2474" s="115"/>
      <c r="CRK2474" s="115"/>
      <c r="CRL2474" s="115"/>
      <c r="CRM2474" s="115"/>
      <c r="CRN2474" s="115"/>
      <c r="CRO2474" s="115"/>
      <c r="CRP2474" s="115"/>
      <c r="CRQ2474" s="115"/>
      <c r="CRR2474" s="115"/>
      <c r="CRS2474" s="115"/>
      <c r="CRT2474" s="115"/>
      <c r="CRU2474" s="115"/>
      <c r="CRV2474" s="115"/>
      <c r="CRW2474" s="115"/>
      <c r="CRX2474" s="115"/>
      <c r="CRY2474" s="115"/>
      <c r="CRZ2474" s="115"/>
      <c r="CSA2474" s="115"/>
      <c r="CSB2474" s="115"/>
      <c r="CSC2474" s="115"/>
      <c r="CSD2474" s="115"/>
      <c r="CSE2474" s="115"/>
      <c r="CSF2474" s="115"/>
      <c r="CSG2474" s="115"/>
      <c r="CSH2474" s="115"/>
      <c r="CSI2474" s="115"/>
      <c r="CSJ2474" s="115"/>
      <c r="CSK2474" s="115"/>
      <c r="CSL2474" s="115"/>
      <c r="CSM2474" s="115"/>
      <c r="CSN2474" s="115"/>
      <c r="CSO2474" s="115"/>
      <c r="CSP2474" s="115"/>
      <c r="CSQ2474" s="115"/>
      <c r="CSR2474" s="115"/>
      <c r="CSS2474" s="115"/>
      <c r="CST2474" s="115"/>
      <c r="CSU2474" s="115"/>
      <c r="CSV2474" s="115"/>
      <c r="CSW2474" s="115"/>
      <c r="CSX2474" s="115"/>
      <c r="CSY2474" s="115"/>
      <c r="CSZ2474" s="115"/>
      <c r="CTA2474" s="115"/>
      <c r="CTB2474" s="115"/>
      <c r="CTC2474" s="115"/>
      <c r="CTD2474" s="115"/>
      <c r="CTE2474" s="115"/>
      <c r="CTF2474" s="115"/>
      <c r="CTG2474" s="115"/>
      <c r="CTH2474" s="115"/>
      <c r="CTI2474" s="115"/>
      <c r="CTJ2474" s="115"/>
      <c r="CTK2474" s="115"/>
      <c r="CTL2474" s="115"/>
      <c r="CTM2474" s="115"/>
      <c r="CTN2474" s="115"/>
      <c r="CTO2474" s="115"/>
      <c r="CTP2474" s="115"/>
      <c r="CTQ2474" s="115"/>
      <c r="CTR2474" s="115"/>
      <c r="CTS2474" s="115"/>
      <c r="CTT2474" s="115"/>
      <c r="CTU2474" s="115"/>
      <c r="CTV2474" s="115"/>
      <c r="CTW2474" s="115"/>
      <c r="CTX2474" s="115"/>
      <c r="CTY2474" s="115"/>
      <c r="CTZ2474" s="115"/>
      <c r="CUA2474" s="115"/>
      <c r="CUB2474" s="115"/>
      <c r="CUC2474" s="115"/>
      <c r="CUD2474" s="115"/>
      <c r="CUE2474" s="115"/>
      <c r="CUF2474" s="115"/>
      <c r="CUG2474" s="115"/>
      <c r="CUH2474" s="115"/>
      <c r="CUI2474" s="115"/>
      <c r="CUJ2474" s="115"/>
      <c r="CUK2474" s="115"/>
      <c r="CUL2474" s="115"/>
      <c r="CUM2474" s="115"/>
      <c r="CUN2474" s="115"/>
      <c r="CUO2474" s="115"/>
      <c r="CUP2474" s="115"/>
      <c r="CUQ2474" s="115"/>
      <c r="CUR2474" s="115"/>
      <c r="CUS2474" s="115"/>
      <c r="CUT2474" s="115"/>
      <c r="CUU2474" s="115"/>
      <c r="CUV2474" s="115"/>
      <c r="CUW2474" s="115"/>
      <c r="CUX2474" s="115"/>
      <c r="CUY2474" s="115"/>
      <c r="CUZ2474" s="115"/>
      <c r="CVA2474" s="115"/>
      <c r="CVB2474" s="115"/>
      <c r="CVC2474" s="115"/>
      <c r="CVD2474" s="115"/>
      <c r="CVE2474" s="115"/>
      <c r="CVF2474" s="115"/>
      <c r="CVG2474" s="115"/>
      <c r="CVH2474" s="115"/>
      <c r="CVI2474" s="115"/>
      <c r="CVJ2474" s="115"/>
      <c r="CVK2474" s="115"/>
      <c r="CVL2474" s="115"/>
      <c r="CVM2474" s="115"/>
      <c r="CVN2474" s="115"/>
      <c r="CVO2474" s="115"/>
      <c r="CVP2474" s="115"/>
      <c r="CVQ2474" s="115"/>
      <c r="CVR2474" s="115"/>
      <c r="CVS2474" s="115"/>
      <c r="CVT2474" s="115"/>
      <c r="CVU2474" s="115"/>
      <c r="CVV2474" s="115"/>
      <c r="CVW2474" s="115"/>
      <c r="CVX2474" s="115"/>
      <c r="CVY2474" s="115"/>
      <c r="CVZ2474" s="115"/>
      <c r="CWA2474" s="115"/>
      <c r="CWB2474" s="115"/>
      <c r="CWC2474" s="115"/>
      <c r="CWD2474" s="115"/>
      <c r="CWE2474" s="115"/>
      <c r="CWF2474" s="115"/>
      <c r="CWG2474" s="115"/>
      <c r="CWH2474" s="115"/>
      <c r="CWI2474" s="115"/>
      <c r="CWJ2474" s="115"/>
      <c r="CWK2474" s="115"/>
      <c r="CWL2474" s="115"/>
      <c r="CWM2474" s="115"/>
      <c r="CWN2474" s="115"/>
      <c r="CWO2474" s="115"/>
      <c r="CWP2474" s="115"/>
      <c r="CWQ2474" s="115"/>
      <c r="CWR2474" s="115"/>
      <c r="CWS2474" s="115"/>
      <c r="CWT2474" s="115"/>
      <c r="CWU2474" s="115"/>
      <c r="CWV2474" s="115"/>
      <c r="CWW2474" s="115"/>
      <c r="CWX2474" s="115"/>
      <c r="CWY2474" s="115"/>
      <c r="CWZ2474" s="115"/>
      <c r="CXA2474" s="115"/>
      <c r="CXB2474" s="115"/>
      <c r="CXC2474" s="115"/>
      <c r="CXD2474" s="115"/>
      <c r="CXE2474" s="115"/>
      <c r="CXF2474" s="115"/>
      <c r="CXG2474" s="115"/>
      <c r="CXH2474" s="115"/>
      <c r="CXI2474" s="115"/>
      <c r="CXJ2474" s="115"/>
      <c r="CXK2474" s="115"/>
      <c r="CXL2474" s="115"/>
      <c r="CXM2474" s="115"/>
      <c r="CXN2474" s="115"/>
      <c r="CXO2474" s="115"/>
      <c r="CXP2474" s="115"/>
      <c r="CXQ2474" s="115"/>
      <c r="CXR2474" s="115"/>
      <c r="CXS2474" s="115"/>
      <c r="CXT2474" s="115"/>
      <c r="CXU2474" s="115"/>
      <c r="CXV2474" s="115"/>
      <c r="CXW2474" s="115"/>
      <c r="CXX2474" s="115"/>
      <c r="CXY2474" s="115"/>
      <c r="CXZ2474" s="115"/>
      <c r="CYA2474" s="115"/>
      <c r="CYB2474" s="115"/>
      <c r="CYC2474" s="115"/>
      <c r="CYD2474" s="115"/>
      <c r="CYE2474" s="115"/>
      <c r="CYF2474" s="115"/>
      <c r="CYG2474" s="115"/>
      <c r="CYH2474" s="115"/>
      <c r="CYI2474" s="115"/>
      <c r="CYJ2474" s="115"/>
      <c r="CYK2474" s="115"/>
      <c r="CYL2474" s="115"/>
      <c r="CYM2474" s="115"/>
      <c r="CYN2474" s="115"/>
      <c r="CYO2474" s="115"/>
      <c r="CYP2474" s="115"/>
      <c r="CYQ2474" s="115"/>
      <c r="CYR2474" s="115"/>
      <c r="CYS2474" s="115"/>
      <c r="CYT2474" s="115"/>
      <c r="CYU2474" s="115"/>
      <c r="CYV2474" s="115"/>
      <c r="CYW2474" s="115"/>
      <c r="CYX2474" s="115"/>
      <c r="CYY2474" s="115"/>
      <c r="CYZ2474" s="115"/>
      <c r="CZA2474" s="115"/>
      <c r="CZB2474" s="115"/>
      <c r="CZC2474" s="115"/>
      <c r="CZD2474" s="115"/>
      <c r="CZE2474" s="115"/>
      <c r="CZF2474" s="115"/>
      <c r="CZG2474" s="115"/>
      <c r="CZH2474" s="115"/>
      <c r="CZI2474" s="115"/>
      <c r="CZJ2474" s="115"/>
      <c r="CZK2474" s="115"/>
      <c r="CZL2474" s="115"/>
      <c r="CZM2474" s="115"/>
      <c r="CZN2474" s="115"/>
      <c r="CZO2474" s="115"/>
      <c r="CZP2474" s="115"/>
      <c r="CZQ2474" s="115"/>
      <c r="CZR2474" s="115"/>
      <c r="CZS2474" s="115"/>
      <c r="CZT2474" s="115"/>
      <c r="CZU2474" s="115"/>
      <c r="CZV2474" s="115"/>
      <c r="CZW2474" s="115"/>
      <c r="CZX2474" s="115"/>
      <c r="CZY2474" s="115"/>
      <c r="CZZ2474" s="115"/>
      <c r="DAA2474" s="115"/>
      <c r="DAB2474" s="115"/>
      <c r="DAC2474" s="115"/>
      <c r="DAD2474" s="115"/>
      <c r="DAE2474" s="115"/>
      <c r="DAF2474" s="115"/>
      <c r="DAG2474" s="115"/>
      <c r="DAH2474" s="115"/>
      <c r="DAI2474" s="115"/>
      <c r="DAJ2474" s="115"/>
      <c r="DAK2474" s="115"/>
      <c r="DAL2474" s="115"/>
      <c r="DAM2474" s="115"/>
      <c r="DAN2474" s="115"/>
      <c r="DAO2474" s="115"/>
      <c r="DAP2474" s="115"/>
      <c r="DAQ2474" s="115"/>
      <c r="DAR2474" s="115"/>
      <c r="DAS2474" s="115"/>
      <c r="DAT2474" s="115"/>
      <c r="DAU2474" s="115"/>
      <c r="DAV2474" s="115"/>
      <c r="DAW2474" s="115"/>
      <c r="DAX2474" s="115"/>
      <c r="DAY2474" s="115"/>
      <c r="DAZ2474" s="115"/>
      <c r="DBA2474" s="115"/>
      <c r="DBB2474" s="115"/>
      <c r="DBC2474" s="115"/>
      <c r="DBD2474" s="115"/>
      <c r="DBE2474" s="115"/>
      <c r="DBF2474" s="115"/>
      <c r="DBG2474" s="115"/>
      <c r="DBH2474" s="115"/>
      <c r="DBI2474" s="115"/>
      <c r="DBJ2474" s="115"/>
      <c r="DBK2474" s="115"/>
      <c r="DBL2474" s="115"/>
      <c r="DBM2474" s="115"/>
      <c r="DBN2474" s="115"/>
      <c r="DBO2474" s="115"/>
      <c r="DBP2474" s="115"/>
      <c r="DBQ2474" s="115"/>
      <c r="DBR2474" s="115"/>
      <c r="DBS2474" s="115"/>
      <c r="DBT2474" s="115"/>
      <c r="DBU2474" s="115"/>
      <c r="DBV2474" s="115"/>
      <c r="DBW2474" s="115"/>
      <c r="DBX2474" s="115"/>
      <c r="DBY2474" s="115"/>
      <c r="DBZ2474" s="115"/>
      <c r="DCA2474" s="115"/>
      <c r="DCB2474" s="115"/>
      <c r="DCC2474" s="115"/>
      <c r="DCD2474" s="115"/>
      <c r="DCE2474" s="115"/>
      <c r="DCF2474" s="115"/>
      <c r="DCG2474" s="115"/>
      <c r="DCH2474" s="115"/>
      <c r="DCI2474" s="115"/>
      <c r="DCJ2474" s="115"/>
      <c r="DCK2474" s="115"/>
      <c r="DCL2474" s="115"/>
      <c r="DCM2474" s="115"/>
      <c r="DCN2474" s="115"/>
      <c r="DCO2474" s="115"/>
      <c r="DCP2474" s="115"/>
      <c r="DCQ2474" s="115"/>
      <c r="DCR2474" s="115"/>
      <c r="DCS2474" s="115"/>
      <c r="DCT2474" s="115"/>
      <c r="DCU2474" s="115"/>
      <c r="DCV2474" s="115"/>
      <c r="DCW2474" s="115"/>
      <c r="DCX2474" s="115"/>
      <c r="DCY2474" s="115"/>
      <c r="DCZ2474" s="115"/>
      <c r="DDA2474" s="115"/>
      <c r="DDB2474" s="115"/>
      <c r="DDC2474" s="115"/>
      <c r="DDD2474" s="115"/>
      <c r="DDE2474" s="115"/>
      <c r="DDF2474" s="115"/>
      <c r="DDG2474" s="115"/>
      <c r="DDH2474" s="115"/>
      <c r="DDI2474" s="115"/>
      <c r="DDJ2474" s="115"/>
      <c r="DDK2474" s="115"/>
      <c r="DDL2474" s="115"/>
      <c r="DDM2474" s="115"/>
      <c r="DDN2474" s="115"/>
      <c r="DDO2474" s="115"/>
      <c r="DDP2474" s="115"/>
      <c r="DDQ2474" s="115"/>
      <c r="DDR2474" s="115"/>
      <c r="DDS2474" s="115"/>
      <c r="DDT2474" s="115"/>
      <c r="DDU2474" s="115"/>
      <c r="DDV2474" s="115"/>
      <c r="DDW2474" s="115"/>
      <c r="DDX2474" s="115"/>
      <c r="DDY2474" s="115"/>
      <c r="DDZ2474" s="115"/>
      <c r="DEA2474" s="115"/>
      <c r="DEB2474" s="115"/>
      <c r="DEC2474" s="115"/>
      <c r="DED2474" s="115"/>
      <c r="DEE2474" s="115"/>
      <c r="DEF2474" s="115"/>
      <c r="DEG2474" s="115"/>
      <c r="DEH2474" s="115"/>
      <c r="DEI2474" s="115"/>
      <c r="DEJ2474" s="115"/>
      <c r="DEK2474" s="115"/>
      <c r="DEL2474" s="115"/>
      <c r="DEM2474" s="115"/>
      <c r="DEN2474" s="115"/>
      <c r="DEO2474" s="115"/>
      <c r="DEP2474" s="115"/>
      <c r="DEQ2474" s="115"/>
      <c r="DER2474" s="115"/>
      <c r="DES2474" s="115"/>
      <c r="DET2474" s="115"/>
      <c r="DEU2474" s="115"/>
      <c r="DEV2474" s="115"/>
      <c r="DEW2474" s="115"/>
      <c r="DEX2474" s="115"/>
      <c r="DEY2474" s="115"/>
      <c r="DEZ2474" s="115"/>
      <c r="DFA2474" s="115"/>
      <c r="DFB2474" s="115"/>
      <c r="DFC2474" s="115"/>
      <c r="DFD2474" s="115"/>
      <c r="DFE2474" s="115"/>
      <c r="DFF2474" s="115"/>
      <c r="DFG2474" s="115"/>
      <c r="DFH2474" s="115"/>
      <c r="DFI2474" s="115"/>
      <c r="DFJ2474" s="115"/>
      <c r="DFK2474" s="115"/>
      <c r="DFL2474" s="115"/>
      <c r="DFM2474" s="115"/>
      <c r="DFN2474" s="115"/>
      <c r="DFO2474" s="115"/>
      <c r="DFP2474" s="115"/>
      <c r="DFQ2474" s="115"/>
      <c r="DFR2474" s="115"/>
      <c r="DFS2474" s="115"/>
      <c r="DFT2474" s="115"/>
      <c r="DFU2474" s="115"/>
      <c r="DFV2474" s="115"/>
      <c r="DFW2474" s="115"/>
      <c r="DFX2474" s="115"/>
      <c r="DFY2474" s="115"/>
      <c r="DFZ2474" s="115"/>
      <c r="DGA2474" s="115"/>
      <c r="DGB2474" s="115"/>
      <c r="DGC2474" s="115"/>
      <c r="DGD2474" s="115"/>
      <c r="DGE2474" s="115"/>
      <c r="DGF2474" s="115"/>
      <c r="DGG2474" s="115"/>
      <c r="DGH2474" s="115"/>
      <c r="DGI2474" s="115"/>
      <c r="DGJ2474" s="115"/>
      <c r="DGK2474" s="115"/>
      <c r="DGL2474" s="115"/>
      <c r="DGM2474" s="115"/>
      <c r="DGN2474" s="115"/>
      <c r="DGO2474" s="115"/>
      <c r="DGP2474" s="115"/>
      <c r="DGQ2474" s="115"/>
      <c r="DGR2474" s="115"/>
      <c r="DGS2474" s="115"/>
      <c r="DGT2474" s="115"/>
      <c r="DGU2474" s="115"/>
      <c r="DGV2474" s="115"/>
      <c r="DGW2474" s="115"/>
      <c r="DGX2474" s="115"/>
      <c r="DGY2474" s="115"/>
      <c r="DGZ2474" s="115"/>
      <c r="DHA2474" s="115"/>
      <c r="DHB2474" s="115"/>
      <c r="DHC2474" s="115"/>
      <c r="DHD2474" s="115"/>
      <c r="DHE2474" s="115"/>
      <c r="DHF2474" s="115"/>
      <c r="DHG2474" s="115"/>
      <c r="DHH2474" s="115"/>
      <c r="DHI2474" s="115"/>
      <c r="DHJ2474" s="115"/>
      <c r="DHK2474" s="115"/>
      <c r="DHL2474" s="115"/>
      <c r="DHM2474" s="115"/>
      <c r="DHN2474" s="115"/>
      <c r="DHO2474" s="115"/>
      <c r="DHP2474" s="115"/>
      <c r="DHQ2474" s="115"/>
      <c r="DHR2474" s="115"/>
      <c r="DHS2474" s="115"/>
      <c r="DHT2474" s="115"/>
      <c r="DHU2474" s="115"/>
      <c r="DHV2474" s="115"/>
      <c r="DHW2474" s="115"/>
      <c r="DHX2474" s="115"/>
      <c r="DHY2474" s="115"/>
      <c r="DHZ2474" s="115"/>
      <c r="DIA2474" s="115"/>
      <c r="DIB2474" s="115"/>
      <c r="DIC2474" s="115"/>
      <c r="DID2474" s="115"/>
      <c r="DIE2474" s="115"/>
      <c r="DIF2474" s="115"/>
      <c r="DIG2474" s="115"/>
      <c r="DIH2474" s="115"/>
      <c r="DII2474" s="115"/>
      <c r="DIJ2474" s="115"/>
      <c r="DIK2474" s="115"/>
      <c r="DIL2474" s="115"/>
      <c r="DIM2474" s="115"/>
      <c r="DIN2474" s="115"/>
      <c r="DIO2474" s="115"/>
      <c r="DIP2474" s="115"/>
      <c r="DIQ2474" s="115"/>
      <c r="DIR2474" s="115"/>
      <c r="DIS2474" s="115"/>
      <c r="DIT2474" s="115"/>
      <c r="DIU2474" s="115"/>
      <c r="DIV2474" s="115"/>
      <c r="DIW2474" s="115"/>
      <c r="DIX2474" s="115"/>
      <c r="DIY2474" s="115"/>
      <c r="DIZ2474" s="115"/>
      <c r="DJA2474" s="115"/>
      <c r="DJB2474" s="115"/>
      <c r="DJC2474" s="115"/>
      <c r="DJD2474" s="115"/>
      <c r="DJE2474" s="115"/>
      <c r="DJF2474" s="115"/>
      <c r="DJG2474" s="115"/>
      <c r="DJH2474" s="115"/>
      <c r="DJI2474" s="115"/>
      <c r="DJJ2474" s="115"/>
      <c r="DJK2474" s="115"/>
      <c r="DJL2474" s="115"/>
      <c r="DJM2474" s="115"/>
      <c r="DJN2474" s="115"/>
      <c r="DJO2474" s="115"/>
      <c r="DJP2474" s="115"/>
      <c r="DJQ2474" s="115"/>
      <c r="DJR2474" s="115"/>
      <c r="DJS2474" s="115"/>
      <c r="DJT2474" s="115"/>
      <c r="DJU2474" s="115"/>
      <c r="DJV2474" s="115"/>
      <c r="DJW2474" s="115"/>
      <c r="DJX2474" s="115"/>
      <c r="DJY2474" s="115"/>
      <c r="DJZ2474" s="115"/>
      <c r="DKA2474" s="115"/>
      <c r="DKB2474" s="115"/>
      <c r="DKC2474" s="115"/>
      <c r="DKD2474" s="115"/>
      <c r="DKE2474" s="115"/>
      <c r="DKF2474" s="115"/>
      <c r="DKG2474" s="115"/>
      <c r="DKH2474" s="115"/>
      <c r="DKI2474" s="115"/>
      <c r="DKJ2474" s="115"/>
      <c r="DKK2474" s="115"/>
      <c r="DKL2474" s="115"/>
      <c r="DKM2474" s="115"/>
      <c r="DKN2474" s="115"/>
      <c r="DKO2474" s="115"/>
      <c r="DKP2474" s="115"/>
      <c r="DKQ2474" s="115"/>
      <c r="DKR2474" s="115"/>
      <c r="DKS2474" s="115"/>
      <c r="DKT2474" s="115"/>
      <c r="DKU2474" s="115"/>
      <c r="DKV2474" s="115"/>
      <c r="DKW2474" s="115"/>
      <c r="DKX2474" s="115"/>
      <c r="DKY2474" s="115"/>
      <c r="DKZ2474" s="115"/>
      <c r="DLA2474" s="115"/>
      <c r="DLB2474" s="115"/>
      <c r="DLC2474" s="115"/>
      <c r="DLD2474" s="115"/>
      <c r="DLE2474" s="115"/>
      <c r="DLF2474" s="115"/>
      <c r="DLG2474" s="115"/>
      <c r="DLH2474" s="115"/>
      <c r="DLI2474" s="115"/>
      <c r="DLJ2474" s="115"/>
      <c r="DLK2474" s="115"/>
      <c r="DLL2474" s="115"/>
      <c r="DLM2474" s="115"/>
      <c r="DLN2474" s="115"/>
      <c r="DLO2474" s="115"/>
      <c r="DLP2474" s="115"/>
      <c r="DLQ2474" s="115"/>
      <c r="DLR2474" s="115"/>
      <c r="DLS2474" s="115"/>
      <c r="DLT2474" s="115"/>
      <c r="DLU2474" s="115"/>
      <c r="DLV2474" s="115"/>
      <c r="DLW2474" s="115"/>
      <c r="DLX2474" s="115"/>
      <c r="DLY2474" s="115"/>
      <c r="DLZ2474" s="115"/>
      <c r="DMA2474" s="115"/>
      <c r="DMB2474" s="115"/>
      <c r="DMC2474" s="115"/>
      <c r="DMD2474" s="115"/>
      <c r="DME2474" s="115"/>
      <c r="DMF2474" s="115"/>
      <c r="DMG2474" s="115"/>
      <c r="DMH2474" s="115"/>
      <c r="DMI2474" s="115"/>
      <c r="DMJ2474" s="115"/>
      <c r="DMK2474" s="115"/>
      <c r="DML2474" s="115"/>
      <c r="DMM2474" s="115"/>
      <c r="DMN2474" s="115"/>
      <c r="DMO2474" s="115"/>
      <c r="DMP2474" s="115"/>
      <c r="DMQ2474" s="115"/>
      <c r="DMR2474" s="115"/>
      <c r="DMS2474" s="115"/>
      <c r="DMT2474" s="115"/>
      <c r="DMU2474" s="115"/>
      <c r="DMV2474" s="115"/>
      <c r="DMW2474" s="115"/>
      <c r="DMX2474" s="115"/>
      <c r="DMY2474" s="115"/>
      <c r="DMZ2474" s="115"/>
      <c r="DNA2474" s="115"/>
      <c r="DNB2474" s="115"/>
      <c r="DNC2474" s="115"/>
      <c r="DND2474" s="115"/>
      <c r="DNE2474" s="115"/>
      <c r="DNF2474" s="115"/>
      <c r="DNG2474" s="115"/>
      <c r="DNH2474" s="115"/>
      <c r="DNI2474" s="115"/>
      <c r="DNJ2474" s="115"/>
      <c r="DNK2474" s="115"/>
      <c r="DNL2474" s="115"/>
      <c r="DNM2474" s="115"/>
      <c r="DNN2474" s="115"/>
      <c r="DNO2474" s="115"/>
      <c r="DNP2474" s="115"/>
      <c r="DNQ2474" s="115"/>
      <c r="DNR2474" s="115"/>
      <c r="DNS2474" s="115"/>
      <c r="DNT2474" s="115"/>
      <c r="DNU2474" s="115"/>
      <c r="DNV2474" s="115"/>
      <c r="DNW2474" s="115"/>
      <c r="DNX2474" s="115"/>
      <c r="DNY2474" s="115"/>
      <c r="DNZ2474" s="115"/>
      <c r="DOA2474" s="115"/>
      <c r="DOB2474" s="115"/>
      <c r="DOC2474" s="115"/>
      <c r="DOD2474" s="115"/>
      <c r="DOE2474" s="115"/>
      <c r="DOF2474" s="115"/>
      <c r="DOG2474" s="115"/>
      <c r="DOH2474" s="115"/>
      <c r="DOI2474" s="115"/>
      <c r="DOJ2474" s="115"/>
      <c r="DOK2474" s="115"/>
      <c r="DOL2474" s="115"/>
      <c r="DOM2474" s="115"/>
      <c r="DON2474" s="115"/>
      <c r="DOO2474" s="115"/>
      <c r="DOP2474" s="115"/>
      <c r="DOQ2474" s="115"/>
      <c r="DOR2474" s="115"/>
      <c r="DOS2474" s="115"/>
      <c r="DOT2474" s="115"/>
      <c r="DOU2474" s="115"/>
      <c r="DOV2474" s="115"/>
      <c r="DOW2474" s="115"/>
      <c r="DOX2474" s="115"/>
      <c r="DOY2474" s="115"/>
      <c r="DOZ2474" s="115"/>
      <c r="DPA2474" s="115"/>
      <c r="DPB2474" s="115"/>
      <c r="DPC2474" s="115"/>
      <c r="DPD2474" s="115"/>
      <c r="DPE2474" s="115"/>
      <c r="DPF2474" s="115"/>
      <c r="DPG2474" s="115"/>
      <c r="DPH2474" s="115"/>
      <c r="DPI2474" s="115"/>
      <c r="DPJ2474" s="115"/>
      <c r="DPK2474" s="115"/>
      <c r="DPL2474" s="115"/>
      <c r="DPM2474" s="115"/>
      <c r="DPN2474" s="115"/>
      <c r="DPO2474" s="115"/>
      <c r="DPP2474" s="115"/>
      <c r="DPQ2474" s="115"/>
      <c r="DPR2474" s="115"/>
      <c r="DPS2474" s="115"/>
      <c r="DPT2474" s="115"/>
      <c r="DPU2474" s="115"/>
      <c r="DPV2474" s="115"/>
      <c r="DPW2474" s="115"/>
      <c r="DPX2474" s="115"/>
      <c r="DPY2474" s="115"/>
      <c r="DPZ2474" s="115"/>
      <c r="DQA2474" s="115"/>
      <c r="DQB2474" s="115"/>
      <c r="DQC2474" s="115"/>
      <c r="DQD2474" s="115"/>
      <c r="DQE2474" s="115"/>
      <c r="DQF2474" s="115"/>
      <c r="DQG2474" s="115"/>
      <c r="DQH2474" s="115"/>
      <c r="DQI2474" s="115"/>
      <c r="DQJ2474" s="115"/>
      <c r="DQK2474" s="115"/>
      <c r="DQL2474" s="115"/>
      <c r="DQM2474" s="115"/>
      <c r="DQN2474" s="115"/>
      <c r="DQO2474" s="115"/>
      <c r="DQP2474" s="115"/>
      <c r="DQQ2474" s="115"/>
      <c r="DQR2474" s="115"/>
      <c r="DQS2474" s="115"/>
      <c r="DQT2474" s="115"/>
      <c r="DQU2474" s="115"/>
      <c r="DQV2474" s="115"/>
      <c r="DQW2474" s="115"/>
      <c r="DQX2474" s="115"/>
      <c r="DQY2474" s="115"/>
      <c r="DQZ2474" s="115"/>
      <c r="DRA2474" s="115"/>
      <c r="DRB2474" s="115"/>
      <c r="DRC2474" s="115"/>
      <c r="DRD2474" s="115"/>
      <c r="DRE2474" s="115"/>
      <c r="DRF2474" s="115"/>
      <c r="DRG2474" s="115"/>
      <c r="DRH2474" s="115"/>
      <c r="DRI2474" s="115"/>
      <c r="DRJ2474" s="115"/>
      <c r="DRK2474" s="115"/>
      <c r="DRL2474" s="115"/>
      <c r="DRM2474" s="115"/>
      <c r="DRN2474" s="115"/>
      <c r="DRO2474" s="115"/>
      <c r="DRP2474" s="115"/>
      <c r="DRQ2474" s="115"/>
      <c r="DRR2474" s="115"/>
      <c r="DRS2474" s="115"/>
      <c r="DRT2474" s="115"/>
      <c r="DRU2474" s="115"/>
      <c r="DRV2474" s="115"/>
      <c r="DRW2474" s="115"/>
      <c r="DRX2474" s="115"/>
      <c r="DRY2474" s="115"/>
      <c r="DRZ2474" s="115"/>
      <c r="DSA2474" s="115"/>
      <c r="DSB2474" s="115"/>
      <c r="DSC2474" s="115"/>
      <c r="DSD2474" s="115"/>
      <c r="DSE2474" s="115"/>
      <c r="DSF2474" s="115"/>
      <c r="DSG2474" s="115"/>
      <c r="DSH2474" s="115"/>
      <c r="DSI2474" s="115"/>
      <c r="DSJ2474" s="115"/>
      <c r="DSK2474" s="115"/>
      <c r="DSL2474" s="115"/>
      <c r="DSM2474" s="115"/>
      <c r="DSN2474" s="115"/>
      <c r="DSO2474" s="115"/>
      <c r="DSP2474" s="115"/>
      <c r="DSQ2474" s="115"/>
      <c r="DSR2474" s="115"/>
      <c r="DSS2474" s="115"/>
      <c r="DST2474" s="115"/>
      <c r="DSU2474" s="115"/>
      <c r="DSV2474" s="115"/>
      <c r="DSW2474" s="115"/>
      <c r="DSX2474" s="115"/>
      <c r="DSY2474" s="115"/>
      <c r="DSZ2474" s="115"/>
      <c r="DTA2474" s="115"/>
      <c r="DTB2474" s="115"/>
      <c r="DTC2474" s="115"/>
      <c r="DTD2474" s="115"/>
      <c r="DTE2474" s="115"/>
      <c r="DTF2474" s="115"/>
      <c r="DTG2474" s="115"/>
      <c r="DTH2474" s="115"/>
      <c r="DTI2474" s="115"/>
      <c r="DTJ2474" s="115"/>
      <c r="DTK2474" s="115"/>
      <c r="DTL2474" s="115"/>
      <c r="DTM2474" s="115"/>
      <c r="DTN2474" s="115"/>
      <c r="DTO2474" s="115"/>
      <c r="DTP2474" s="115"/>
      <c r="DTQ2474" s="115"/>
      <c r="DTR2474" s="115"/>
      <c r="DTS2474" s="115"/>
      <c r="DTT2474" s="115"/>
      <c r="DTU2474" s="115"/>
      <c r="DTV2474" s="115"/>
      <c r="DTW2474" s="115"/>
      <c r="DTX2474" s="115"/>
      <c r="DTY2474" s="115"/>
      <c r="DTZ2474" s="115"/>
      <c r="DUA2474" s="115"/>
      <c r="DUB2474" s="115"/>
      <c r="DUC2474" s="115"/>
      <c r="DUD2474" s="115"/>
      <c r="DUE2474" s="115"/>
      <c r="DUF2474" s="115"/>
      <c r="DUG2474" s="115"/>
      <c r="DUH2474" s="115"/>
      <c r="DUI2474" s="115"/>
      <c r="DUJ2474" s="115"/>
      <c r="DUK2474" s="115"/>
      <c r="DUL2474" s="115"/>
      <c r="DUM2474" s="115"/>
      <c r="DUN2474" s="115"/>
      <c r="DUO2474" s="115"/>
      <c r="DUP2474" s="115"/>
      <c r="DUQ2474" s="115"/>
      <c r="DUR2474" s="115"/>
      <c r="DUS2474" s="115"/>
      <c r="DUT2474" s="115"/>
      <c r="DUU2474" s="115"/>
      <c r="DUV2474" s="115"/>
      <c r="DUW2474" s="115"/>
      <c r="DUX2474" s="115"/>
      <c r="DUY2474" s="115"/>
      <c r="DUZ2474" s="115"/>
      <c r="DVA2474" s="115"/>
      <c r="DVB2474" s="115"/>
      <c r="DVC2474" s="115"/>
      <c r="DVD2474" s="115"/>
      <c r="DVE2474" s="115"/>
      <c r="DVF2474" s="115"/>
      <c r="DVG2474" s="115"/>
      <c r="DVH2474" s="115"/>
      <c r="DVI2474" s="115"/>
      <c r="DVJ2474" s="115"/>
      <c r="DVK2474" s="115"/>
      <c r="DVL2474" s="115"/>
      <c r="DVM2474" s="115"/>
      <c r="DVN2474" s="115"/>
      <c r="DVO2474" s="115"/>
      <c r="DVP2474" s="115"/>
      <c r="DVQ2474" s="115"/>
      <c r="DVR2474" s="115"/>
      <c r="DVS2474" s="115"/>
      <c r="DVT2474" s="115"/>
      <c r="DVU2474" s="115"/>
      <c r="DVV2474" s="115"/>
      <c r="DVW2474" s="115"/>
      <c r="DVX2474" s="115"/>
      <c r="DVY2474" s="115"/>
      <c r="DVZ2474" s="115"/>
      <c r="DWA2474" s="115"/>
      <c r="DWB2474" s="115"/>
      <c r="DWC2474" s="115"/>
      <c r="DWD2474" s="115"/>
      <c r="DWE2474" s="115"/>
      <c r="DWF2474" s="115"/>
      <c r="DWG2474" s="115"/>
      <c r="DWH2474" s="115"/>
      <c r="DWI2474" s="115"/>
      <c r="DWJ2474" s="115"/>
      <c r="DWK2474" s="115"/>
      <c r="DWL2474" s="115"/>
      <c r="DWM2474" s="115"/>
      <c r="DWN2474" s="115"/>
      <c r="DWO2474" s="115"/>
      <c r="DWP2474" s="115"/>
      <c r="DWQ2474" s="115"/>
      <c r="DWR2474" s="115"/>
      <c r="DWS2474" s="115"/>
      <c r="DWT2474" s="115"/>
      <c r="DWU2474" s="115"/>
      <c r="DWV2474" s="115"/>
      <c r="DWW2474" s="115"/>
      <c r="DWX2474" s="115"/>
      <c r="DWY2474" s="115"/>
      <c r="DWZ2474" s="115"/>
      <c r="DXA2474" s="115"/>
      <c r="DXB2474" s="115"/>
      <c r="DXC2474" s="115"/>
      <c r="DXD2474" s="115"/>
      <c r="DXE2474" s="115"/>
      <c r="DXF2474" s="115"/>
      <c r="DXG2474" s="115"/>
      <c r="DXH2474" s="115"/>
      <c r="DXI2474" s="115"/>
      <c r="DXJ2474" s="115"/>
      <c r="DXK2474" s="115"/>
      <c r="DXL2474" s="115"/>
      <c r="DXM2474" s="115"/>
      <c r="DXN2474" s="115"/>
      <c r="DXO2474" s="115"/>
      <c r="DXP2474" s="115"/>
      <c r="DXQ2474" s="115"/>
      <c r="DXR2474" s="115"/>
      <c r="DXS2474" s="115"/>
      <c r="DXT2474" s="115"/>
      <c r="DXU2474" s="115"/>
      <c r="DXV2474" s="115"/>
      <c r="DXW2474" s="115"/>
      <c r="DXX2474" s="115"/>
      <c r="DXY2474" s="115"/>
      <c r="DXZ2474" s="115"/>
      <c r="DYA2474" s="115"/>
      <c r="DYB2474" s="115"/>
      <c r="DYC2474" s="115"/>
      <c r="DYD2474" s="115"/>
      <c r="DYE2474" s="115"/>
      <c r="DYF2474" s="115"/>
      <c r="DYG2474" s="115"/>
      <c r="DYH2474" s="115"/>
      <c r="DYI2474" s="115"/>
      <c r="DYJ2474" s="115"/>
      <c r="DYK2474" s="115"/>
      <c r="DYL2474" s="115"/>
      <c r="DYM2474" s="115"/>
      <c r="DYN2474" s="115"/>
      <c r="DYO2474" s="115"/>
      <c r="DYP2474" s="115"/>
      <c r="DYQ2474" s="115"/>
      <c r="DYR2474" s="115"/>
      <c r="DYS2474" s="115"/>
      <c r="DYT2474" s="115"/>
      <c r="DYU2474" s="115"/>
      <c r="DYV2474" s="115"/>
      <c r="DYW2474" s="115"/>
      <c r="DYX2474" s="115"/>
      <c r="DYY2474" s="115"/>
      <c r="DYZ2474" s="115"/>
      <c r="DZA2474" s="115"/>
      <c r="DZB2474" s="115"/>
      <c r="DZC2474" s="115"/>
      <c r="DZD2474" s="115"/>
      <c r="DZE2474" s="115"/>
      <c r="DZF2474" s="115"/>
      <c r="DZG2474" s="115"/>
      <c r="DZH2474" s="115"/>
      <c r="DZI2474" s="115"/>
      <c r="DZJ2474" s="115"/>
      <c r="DZK2474" s="115"/>
      <c r="DZL2474" s="115"/>
      <c r="DZM2474" s="115"/>
      <c r="DZN2474" s="115"/>
      <c r="DZO2474" s="115"/>
      <c r="DZP2474" s="115"/>
      <c r="DZQ2474" s="115"/>
      <c r="DZR2474" s="115"/>
      <c r="DZS2474" s="115"/>
      <c r="DZT2474" s="115"/>
      <c r="DZU2474" s="115"/>
      <c r="DZV2474" s="115"/>
      <c r="DZW2474" s="115"/>
      <c r="DZX2474" s="115"/>
      <c r="DZY2474" s="115"/>
      <c r="DZZ2474" s="115"/>
      <c r="EAA2474" s="115"/>
      <c r="EAB2474" s="115"/>
      <c r="EAC2474" s="115"/>
      <c r="EAD2474" s="115"/>
      <c r="EAE2474" s="115"/>
      <c r="EAF2474" s="115"/>
      <c r="EAG2474" s="115"/>
      <c r="EAH2474" s="115"/>
      <c r="EAI2474" s="115"/>
      <c r="EAJ2474" s="115"/>
      <c r="EAK2474" s="115"/>
      <c r="EAL2474" s="115"/>
      <c r="EAM2474" s="115"/>
      <c r="EAN2474" s="115"/>
      <c r="EAO2474" s="115"/>
      <c r="EAP2474" s="115"/>
      <c r="EAQ2474" s="115"/>
      <c r="EAR2474" s="115"/>
      <c r="EAS2474" s="115"/>
      <c r="EAT2474" s="115"/>
      <c r="EAU2474" s="115"/>
      <c r="EAV2474" s="115"/>
      <c r="EAW2474" s="115"/>
      <c r="EAX2474" s="115"/>
      <c r="EAY2474" s="115"/>
      <c r="EAZ2474" s="115"/>
      <c r="EBA2474" s="115"/>
      <c r="EBB2474" s="115"/>
      <c r="EBC2474" s="115"/>
      <c r="EBD2474" s="115"/>
      <c r="EBE2474" s="115"/>
      <c r="EBF2474" s="115"/>
      <c r="EBG2474" s="115"/>
      <c r="EBH2474" s="115"/>
      <c r="EBI2474" s="115"/>
      <c r="EBJ2474" s="115"/>
      <c r="EBK2474" s="115"/>
      <c r="EBL2474" s="115"/>
      <c r="EBM2474" s="115"/>
      <c r="EBN2474" s="115"/>
      <c r="EBO2474" s="115"/>
      <c r="EBP2474" s="115"/>
      <c r="EBQ2474" s="115"/>
      <c r="EBR2474" s="115"/>
      <c r="EBS2474" s="115"/>
      <c r="EBT2474" s="115"/>
      <c r="EBU2474" s="115"/>
      <c r="EBV2474" s="115"/>
      <c r="EBW2474" s="115"/>
      <c r="EBX2474" s="115"/>
      <c r="EBY2474" s="115"/>
      <c r="EBZ2474" s="115"/>
      <c r="ECA2474" s="115"/>
      <c r="ECB2474" s="115"/>
      <c r="ECC2474" s="115"/>
      <c r="ECD2474" s="115"/>
      <c r="ECE2474" s="115"/>
      <c r="ECF2474" s="115"/>
      <c r="ECG2474" s="115"/>
      <c r="ECH2474" s="115"/>
      <c r="ECI2474" s="115"/>
      <c r="ECJ2474" s="115"/>
      <c r="ECK2474" s="115"/>
      <c r="ECL2474" s="115"/>
      <c r="ECM2474" s="115"/>
      <c r="ECN2474" s="115"/>
      <c r="ECO2474" s="115"/>
      <c r="ECP2474" s="115"/>
      <c r="ECQ2474" s="115"/>
      <c r="ECR2474" s="115"/>
      <c r="ECS2474" s="115"/>
      <c r="ECT2474" s="115"/>
      <c r="ECU2474" s="115"/>
      <c r="ECV2474" s="115"/>
      <c r="ECW2474" s="115"/>
      <c r="ECX2474" s="115"/>
      <c r="ECY2474" s="115"/>
      <c r="ECZ2474" s="115"/>
      <c r="EDA2474" s="115"/>
      <c r="EDB2474" s="115"/>
      <c r="EDC2474" s="115"/>
      <c r="EDD2474" s="115"/>
      <c r="EDE2474" s="115"/>
      <c r="EDF2474" s="115"/>
      <c r="EDG2474" s="115"/>
      <c r="EDH2474" s="115"/>
      <c r="EDI2474" s="115"/>
      <c r="EDJ2474" s="115"/>
      <c r="EDK2474" s="115"/>
      <c r="EDL2474" s="115"/>
      <c r="EDM2474" s="115"/>
      <c r="EDN2474" s="115"/>
      <c r="EDO2474" s="115"/>
      <c r="EDP2474" s="115"/>
      <c r="EDQ2474" s="115"/>
      <c r="EDR2474" s="115"/>
      <c r="EDS2474" s="115"/>
      <c r="EDT2474" s="115"/>
      <c r="EDU2474" s="115"/>
      <c r="EDV2474" s="115"/>
      <c r="EDW2474" s="115"/>
      <c r="EDX2474" s="115"/>
      <c r="EDY2474" s="115"/>
      <c r="EDZ2474" s="115"/>
      <c r="EEA2474" s="115"/>
      <c r="EEB2474" s="115"/>
      <c r="EEC2474" s="115"/>
      <c r="EED2474" s="115"/>
      <c r="EEE2474" s="115"/>
      <c r="EEF2474" s="115"/>
      <c r="EEG2474" s="115"/>
      <c r="EEH2474" s="115"/>
      <c r="EEI2474" s="115"/>
      <c r="EEJ2474" s="115"/>
      <c r="EEK2474" s="115"/>
      <c r="EEL2474" s="115"/>
      <c r="EEM2474" s="115"/>
      <c r="EEN2474" s="115"/>
      <c r="EEO2474" s="115"/>
      <c r="EEP2474" s="115"/>
      <c r="EEQ2474" s="115"/>
      <c r="EER2474" s="115"/>
      <c r="EES2474" s="115"/>
      <c r="EET2474" s="115"/>
      <c r="EEU2474" s="115"/>
      <c r="EEV2474" s="115"/>
      <c r="EEW2474" s="115"/>
      <c r="EEX2474" s="115"/>
      <c r="EEY2474" s="115"/>
      <c r="EEZ2474" s="115"/>
      <c r="EFA2474" s="115"/>
      <c r="EFB2474" s="115"/>
      <c r="EFC2474" s="115"/>
      <c r="EFD2474" s="115"/>
      <c r="EFE2474" s="115"/>
      <c r="EFF2474" s="115"/>
      <c r="EFG2474" s="115"/>
      <c r="EFH2474" s="115"/>
      <c r="EFI2474" s="115"/>
      <c r="EFJ2474" s="115"/>
      <c r="EFK2474" s="115"/>
      <c r="EFL2474" s="115"/>
      <c r="EFM2474" s="115"/>
      <c r="EFN2474" s="115"/>
      <c r="EFO2474" s="115"/>
      <c r="EFP2474" s="115"/>
      <c r="EFQ2474" s="115"/>
      <c r="EFR2474" s="115"/>
      <c r="EFS2474" s="115"/>
      <c r="EFT2474" s="115"/>
      <c r="EFU2474" s="115"/>
      <c r="EFV2474" s="115"/>
      <c r="EFW2474" s="115"/>
      <c r="EFX2474" s="115"/>
      <c r="EFY2474" s="115"/>
      <c r="EFZ2474" s="115"/>
      <c r="EGA2474" s="115"/>
      <c r="EGB2474" s="115"/>
      <c r="EGC2474" s="115"/>
      <c r="EGD2474" s="115"/>
      <c r="EGE2474" s="115"/>
      <c r="EGF2474" s="115"/>
      <c r="EGG2474" s="115"/>
      <c r="EGH2474" s="115"/>
      <c r="EGI2474" s="115"/>
      <c r="EGJ2474" s="115"/>
      <c r="EGK2474" s="115"/>
      <c r="EGL2474" s="115"/>
      <c r="EGM2474" s="115"/>
      <c r="EGN2474" s="115"/>
      <c r="EGO2474" s="115"/>
      <c r="EGP2474" s="115"/>
      <c r="EGQ2474" s="115"/>
      <c r="EGR2474" s="115"/>
      <c r="EGS2474" s="115"/>
      <c r="EGT2474" s="115"/>
      <c r="EGU2474" s="115"/>
      <c r="EGV2474" s="115"/>
      <c r="EGW2474" s="115"/>
      <c r="EGX2474" s="115"/>
      <c r="EGY2474" s="115"/>
      <c r="EGZ2474" s="115"/>
      <c r="EHA2474" s="115"/>
      <c r="EHB2474" s="115"/>
      <c r="EHC2474" s="115"/>
      <c r="EHD2474" s="115"/>
      <c r="EHE2474" s="115"/>
      <c r="EHF2474" s="115"/>
      <c r="EHG2474" s="115"/>
      <c r="EHH2474" s="115"/>
      <c r="EHI2474" s="115"/>
      <c r="EHJ2474" s="115"/>
      <c r="EHK2474" s="115"/>
      <c r="EHL2474" s="115"/>
      <c r="EHM2474" s="115"/>
      <c r="EHN2474" s="115"/>
      <c r="EHO2474" s="115"/>
      <c r="EHP2474" s="115"/>
      <c r="EHQ2474" s="115"/>
      <c r="EHR2474" s="115"/>
      <c r="EHS2474" s="115"/>
      <c r="EHT2474" s="115"/>
      <c r="EHU2474" s="115"/>
      <c r="EHV2474" s="115"/>
      <c r="EHW2474" s="115"/>
      <c r="EHX2474" s="115"/>
      <c r="EHY2474" s="115"/>
      <c r="EHZ2474" s="115"/>
      <c r="EIA2474" s="115"/>
      <c r="EIB2474" s="115"/>
      <c r="EIC2474" s="115"/>
      <c r="EID2474" s="115"/>
      <c r="EIE2474" s="115"/>
      <c r="EIF2474" s="115"/>
      <c r="EIG2474" s="115"/>
      <c r="EIH2474" s="115"/>
      <c r="EII2474" s="115"/>
      <c r="EIJ2474" s="115"/>
      <c r="EIK2474" s="115"/>
      <c r="EIL2474" s="115"/>
      <c r="EIM2474" s="115"/>
      <c r="EIN2474" s="115"/>
      <c r="EIO2474" s="115"/>
      <c r="EIP2474" s="115"/>
      <c r="EIQ2474" s="115"/>
      <c r="EIR2474" s="115"/>
      <c r="EIS2474" s="115"/>
      <c r="EIT2474" s="115"/>
      <c r="EIU2474" s="115"/>
      <c r="EIV2474" s="115"/>
      <c r="EIW2474" s="115"/>
      <c r="EIX2474" s="115"/>
      <c r="EIY2474" s="115"/>
      <c r="EIZ2474" s="115"/>
      <c r="EJA2474" s="115"/>
      <c r="EJB2474" s="115"/>
      <c r="EJC2474" s="115"/>
      <c r="EJD2474" s="115"/>
      <c r="EJE2474" s="115"/>
      <c r="EJF2474" s="115"/>
      <c r="EJG2474" s="115"/>
      <c r="EJH2474" s="115"/>
      <c r="EJI2474" s="115"/>
      <c r="EJJ2474" s="115"/>
      <c r="EJK2474" s="115"/>
      <c r="EJL2474" s="115"/>
      <c r="EJM2474" s="115"/>
      <c r="EJN2474" s="115"/>
      <c r="EJO2474" s="115"/>
      <c r="EJP2474" s="115"/>
      <c r="EJQ2474" s="115"/>
      <c r="EJR2474" s="115"/>
      <c r="EJS2474" s="115"/>
      <c r="EJT2474" s="115"/>
      <c r="EJU2474" s="115"/>
      <c r="EJV2474" s="115"/>
      <c r="EJW2474" s="115"/>
      <c r="EJX2474" s="115"/>
      <c r="EJY2474" s="115"/>
      <c r="EJZ2474" s="115"/>
      <c r="EKA2474" s="115"/>
      <c r="EKB2474" s="115"/>
      <c r="EKC2474" s="115"/>
      <c r="EKD2474" s="115"/>
      <c r="EKE2474" s="115"/>
      <c r="EKF2474" s="115"/>
      <c r="EKG2474" s="115"/>
      <c r="EKH2474" s="115"/>
      <c r="EKI2474" s="115"/>
      <c r="EKJ2474" s="115"/>
      <c r="EKK2474" s="115"/>
      <c r="EKL2474" s="115"/>
      <c r="EKM2474" s="115"/>
      <c r="EKN2474" s="115"/>
      <c r="EKO2474" s="115"/>
      <c r="EKP2474" s="115"/>
      <c r="EKQ2474" s="115"/>
      <c r="EKR2474" s="115"/>
      <c r="EKS2474" s="115"/>
      <c r="EKT2474" s="115"/>
      <c r="EKU2474" s="115"/>
      <c r="EKV2474" s="115"/>
      <c r="EKW2474" s="115"/>
      <c r="EKX2474" s="115"/>
      <c r="EKY2474" s="115"/>
      <c r="EKZ2474" s="115"/>
      <c r="ELA2474" s="115"/>
      <c r="ELB2474" s="115"/>
      <c r="ELC2474" s="115"/>
      <c r="ELD2474" s="115"/>
      <c r="ELE2474" s="115"/>
      <c r="ELF2474" s="115"/>
      <c r="ELG2474" s="115"/>
      <c r="ELH2474" s="115"/>
      <c r="ELI2474" s="115"/>
      <c r="ELJ2474" s="115"/>
      <c r="ELK2474" s="115"/>
      <c r="ELL2474" s="115"/>
      <c r="ELM2474" s="115"/>
      <c r="ELN2474" s="115"/>
      <c r="ELO2474" s="115"/>
      <c r="ELP2474" s="115"/>
      <c r="ELQ2474" s="115"/>
      <c r="ELR2474" s="115"/>
      <c r="ELS2474" s="115"/>
      <c r="ELT2474" s="115"/>
      <c r="ELU2474" s="115"/>
      <c r="ELV2474" s="115"/>
      <c r="ELW2474" s="115"/>
      <c r="ELX2474" s="115"/>
      <c r="ELY2474" s="115"/>
      <c r="ELZ2474" s="115"/>
      <c r="EMA2474" s="115"/>
      <c r="EMB2474" s="115"/>
      <c r="EMC2474" s="115"/>
      <c r="EMD2474" s="115"/>
      <c r="EME2474" s="115"/>
      <c r="EMF2474" s="115"/>
      <c r="EMG2474" s="115"/>
      <c r="EMH2474" s="115"/>
      <c r="EMI2474" s="115"/>
      <c r="EMJ2474" s="115"/>
      <c r="EMK2474" s="115"/>
      <c r="EML2474" s="115"/>
      <c r="EMM2474" s="115"/>
      <c r="EMN2474" s="115"/>
      <c r="EMO2474" s="115"/>
      <c r="EMP2474" s="115"/>
      <c r="EMQ2474" s="115"/>
      <c r="EMR2474" s="115"/>
      <c r="EMS2474" s="115"/>
      <c r="EMT2474" s="115"/>
      <c r="EMU2474" s="115"/>
      <c r="EMV2474" s="115"/>
      <c r="EMW2474" s="115"/>
      <c r="EMX2474" s="115"/>
      <c r="EMY2474" s="115"/>
      <c r="EMZ2474" s="115"/>
      <c r="ENA2474" s="115"/>
      <c r="ENB2474" s="115"/>
      <c r="ENC2474" s="115"/>
      <c r="END2474" s="115"/>
      <c r="ENE2474" s="115"/>
      <c r="ENF2474" s="115"/>
      <c r="ENG2474" s="115"/>
      <c r="ENH2474" s="115"/>
      <c r="ENI2474" s="115"/>
      <c r="ENJ2474" s="115"/>
      <c r="ENK2474" s="115"/>
      <c r="ENL2474" s="115"/>
      <c r="ENM2474" s="115"/>
      <c r="ENN2474" s="115"/>
      <c r="ENO2474" s="115"/>
      <c r="ENP2474" s="115"/>
      <c r="ENQ2474" s="115"/>
      <c r="ENR2474" s="115"/>
      <c r="ENS2474" s="115"/>
      <c r="ENT2474" s="115"/>
      <c r="ENU2474" s="115"/>
      <c r="ENV2474" s="115"/>
      <c r="ENW2474" s="115"/>
      <c r="ENX2474" s="115"/>
      <c r="ENY2474" s="115"/>
      <c r="ENZ2474" s="115"/>
      <c r="EOA2474" s="115"/>
      <c r="EOB2474" s="115"/>
      <c r="EOC2474" s="115"/>
      <c r="EOD2474" s="115"/>
      <c r="EOE2474" s="115"/>
      <c r="EOF2474" s="115"/>
      <c r="EOG2474" s="115"/>
      <c r="EOH2474" s="115"/>
      <c r="EOI2474" s="115"/>
      <c r="EOJ2474" s="115"/>
      <c r="EOK2474" s="115"/>
      <c r="EOL2474" s="115"/>
      <c r="EOM2474" s="115"/>
      <c r="EON2474" s="115"/>
      <c r="EOO2474" s="115"/>
      <c r="EOP2474" s="115"/>
      <c r="EOQ2474" s="115"/>
      <c r="EOR2474" s="115"/>
      <c r="EOS2474" s="115"/>
      <c r="EOT2474" s="115"/>
      <c r="EOU2474" s="115"/>
      <c r="EOV2474" s="115"/>
      <c r="EOW2474" s="115"/>
      <c r="EOX2474" s="115"/>
      <c r="EOY2474" s="115"/>
      <c r="EOZ2474" s="115"/>
      <c r="EPA2474" s="115"/>
      <c r="EPB2474" s="115"/>
      <c r="EPC2474" s="115"/>
      <c r="EPD2474" s="115"/>
      <c r="EPE2474" s="115"/>
      <c r="EPF2474" s="115"/>
      <c r="EPG2474" s="115"/>
      <c r="EPH2474" s="115"/>
      <c r="EPI2474" s="115"/>
      <c r="EPJ2474" s="115"/>
      <c r="EPK2474" s="115"/>
      <c r="EPL2474" s="115"/>
      <c r="EPM2474" s="115"/>
      <c r="EPN2474" s="115"/>
      <c r="EPO2474" s="115"/>
      <c r="EPP2474" s="115"/>
      <c r="EPQ2474" s="115"/>
      <c r="EPR2474" s="115"/>
      <c r="EPS2474" s="115"/>
      <c r="EPT2474" s="115"/>
      <c r="EPU2474" s="115"/>
      <c r="EPV2474" s="115"/>
      <c r="EPW2474" s="115"/>
      <c r="EPX2474" s="115"/>
      <c r="EPY2474" s="115"/>
      <c r="EPZ2474" s="115"/>
      <c r="EQA2474" s="115"/>
      <c r="EQB2474" s="115"/>
      <c r="EQC2474" s="115"/>
      <c r="EQD2474" s="115"/>
      <c r="EQE2474" s="115"/>
      <c r="EQF2474" s="115"/>
      <c r="EQG2474" s="115"/>
      <c r="EQH2474" s="115"/>
      <c r="EQI2474" s="115"/>
      <c r="EQJ2474" s="115"/>
      <c r="EQK2474" s="115"/>
      <c r="EQL2474" s="115"/>
      <c r="EQM2474" s="115"/>
      <c r="EQN2474" s="115"/>
      <c r="EQO2474" s="115"/>
      <c r="EQP2474" s="115"/>
      <c r="EQQ2474" s="115"/>
      <c r="EQR2474" s="115"/>
      <c r="EQS2474" s="115"/>
      <c r="EQT2474" s="115"/>
      <c r="EQU2474" s="115"/>
      <c r="EQV2474" s="115"/>
      <c r="EQW2474" s="115"/>
      <c r="EQX2474" s="115"/>
      <c r="EQY2474" s="115"/>
      <c r="EQZ2474" s="115"/>
      <c r="ERA2474" s="115"/>
      <c r="ERB2474" s="115"/>
      <c r="ERC2474" s="115"/>
      <c r="ERD2474" s="115"/>
      <c r="ERE2474" s="115"/>
      <c r="ERF2474" s="115"/>
      <c r="ERG2474" s="115"/>
      <c r="ERH2474" s="115"/>
      <c r="ERI2474" s="115"/>
      <c r="ERJ2474" s="115"/>
      <c r="ERK2474" s="115"/>
      <c r="ERL2474" s="115"/>
      <c r="ERM2474" s="115"/>
      <c r="ERN2474" s="115"/>
      <c r="ERO2474" s="115"/>
      <c r="ERP2474" s="115"/>
      <c r="ERQ2474" s="115"/>
      <c r="ERR2474" s="115"/>
      <c r="ERS2474" s="115"/>
      <c r="ERT2474" s="115"/>
      <c r="ERU2474" s="115"/>
      <c r="ERV2474" s="115"/>
      <c r="ERW2474" s="115"/>
      <c r="ERX2474" s="115"/>
      <c r="ERY2474" s="115"/>
      <c r="ERZ2474" s="115"/>
      <c r="ESA2474" s="115"/>
      <c r="ESB2474" s="115"/>
      <c r="ESC2474" s="115"/>
      <c r="ESD2474" s="115"/>
      <c r="ESE2474" s="115"/>
      <c r="ESF2474" s="115"/>
      <c r="ESG2474" s="115"/>
      <c r="ESH2474" s="115"/>
      <c r="ESI2474" s="115"/>
      <c r="ESJ2474" s="115"/>
      <c r="ESK2474" s="115"/>
      <c r="ESL2474" s="115"/>
      <c r="ESM2474" s="115"/>
      <c r="ESN2474" s="115"/>
      <c r="ESO2474" s="115"/>
      <c r="ESP2474" s="115"/>
      <c r="ESQ2474" s="115"/>
      <c r="ESR2474" s="115"/>
      <c r="ESS2474" s="115"/>
      <c r="EST2474" s="115"/>
      <c r="ESU2474" s="115"/>
      <c r="ESV2474" s="115"/>
      <c r="ESW2474" s="115"/>
      <c r="ESX2474" s="115"/>
      <c r="ESY2474" s="115"/>
      <c r="ESZ2474" s="115"/>
      <c r="ETA2474" s="115"/>
      <c r="ETB2474" s="115"/>
      <c r="ETC2474" s="115"/>
      <c r="ETD2474" s="115"/>
      <c r="ETE2474" s="115"/>
      <c r="ETF2474" s="115"/>
      <c r="ETG2474" s="115"/>
      <c r="ETH2474" s="115"/>
      <c r="ETI2474" s="115"/>
      <c r="ETJ2474" s="115"/>
      <c r="ETK2474" s="115"/>
      <c r="ETL2474" s="115"/>
      <c r="ETM2474" s="115"/>
      <c r="ETN2474" s="115"/>
      <c r="ETO2474" s="115"/>
      <c r="ETP2474" s="115"/>
      <c r="ETQ2474" s="115"/>
      <c r="ETR2474" s="115"/>
      <c r="ETS2474" s="115"/>
      <c r="ETT2474" s="115"/>
      <c r="ETU2474" s="115"/>
      <c r="ETV2474" s="115"/>
      <c r="ETW2474" s="115"/>
      <c r="ETX2474" s="115"/>
      <c r="ETY2474" s="115"/>
      <c r="ETZ2474" s="115"/>
      <c r="EUA2474" s="115"/>
      <c r="EUB2474" s="115"/>
      <c r="EUC2474" s="115"/>
      <c r="EUD2474" s="115"/>
      <c r="EUE2474" s="115"/>
      <c r="EUF2474" s="115"/>
      <c r="EUG2474" s="115"/>
      <c r="EUH2474" s="115"/>
      <c r="EUI2474" s="115"/>
      <c r="EUJ2474" s="115"/>
      <c r="EUK2474" s="115"/>
      <c r="EUL2474" s="115"/>
      <c r="EUM2474" s="115"/>
      <c r="EUN2474" s="115"/>
      <c r="EUO2474" s="115"/>
      <c r="EUP2474" s="115"/>
      <c r="EUQ2474" s="115"/>
      <c r="EUR2474" s="115"/>
      <c r="EUS2474" s="115"/>
      <c r="EUT2474" s="115"/>
      <c r="EUU2474" s="115"/>
      <c r="EUV2474" s="115"/>
      <c r="EUW2474" s="115"/>
      <c r="EUX2474" s="115"/>
      <c r="EUY2474" s="115"/>
      <c r="EUZ2474" s="115"/>
      <c r="EVA2474" s="115"/>
      <c r="EVB2474" s="115"/>
      <c r="EVC2474" s="115"/>
      <c r="EVD2474" s="115"/>
      <c r="EVE2474" s="115"/>
      <c r="EVF2474" s="115"/>
      <c r="EVG2474" s="115"/>
      <c r="EVH2474" s="115"/>
      <c r="EVI2474" s="115"/>
      <c r="EVJ2474" s="115"/>
      <c r="EVK2474" s="115"/>
      <c r="EVL2474" s="115"/>
      <c r="EVM2474" s="115"/>
      <c r="EVN2474" s="115"/>
      <c r="EVO2474" s="115"/>
      <c r="EVP2474" s="115"/>
      <c r="EVQ2474" s="115"/>
      <c r="EVR2474" s="115"/>
      <c r="EVS2474" s="115"/>
      <c r="EVT2474" s="115"/>
      <c r="EVU2474" s="115"/>
      <c r="EVV2474" s="115"/>
      <c r="EVW2474" s="115"/>
      <c r="EVX2474" s="115"/>
      <c r="EVY2474" s="115"/>
      <c r="EVZ2474" s="115"/>
      <c r="EWA2474" s="115"/>
      <c r="EWB2474" s="115"/>
      <c r="EWC2474" s="115"/>
      <c r="EWD2474" s="115"/>
      <c r="EWE2474" s="115"/>
      <c r="EWF2474" s="115"/>
      <c r="EWG2474" s="115"/>
      <c r="EWH2474" s="115"/>
      <c r="EWI2474" s="115"/>
      <c r="EWJ2474" s="115"/>
      <c r="EWK2474" s="115"/>
      <c r="EWL2474" s="115"/>
      <c r="EWM2474" s="115"/>
      <c r="EWN2474" s="115"/>
      <c r="EWO2474" s="115"/>
      <c r="EWP2474" s="115"/>
      <c r="EWQ2474" s="115"/>
      <c r="EWR2474" s="115"/>
      <c r="EWS2474" s="115"/>
      <c r="EWT2474" s="115"/>
      <c r="EWU2474" s="115"/>
      <c r="EWV2474" s="115"/>
      <c r="EWW2474" s="115"/>
      <c r="EWX2474" s="115"/>
      <c r="EWY2474" s="115"/>
      <c r="EWZ2474" s="115"/>
      <c r="EXA2474" s="115"/>
      <c r="EXB2474" s="115"/>
      <c r="EXC2474" s="115"/>
      <c r="EXD2474" s="115"/>
      <c r="EXE2474" s="115"/>
      <c r="EXF2474" s="115"/>
      <c r="EXG2474" s="115"/>
      <c r="EXH2474" s="115"/>
      <c r="EXI2474" s="115"/>
      <c r="EXJ2474" s="115"/>
      <c r="EXK2474" s="115"/>
      <c r="EXL2474" s="115"/>
      <c r="EXM2474" s="115"/>
      <c r="EXN2474" s="115"/>
      <c r="EXO2474" s="115"/>
      <c r="EXP2474" s="115"/>
      <c r="EXQ2474" s="115"/>
      <c r="EXR2474" s="115"/>
      <c r="EXS2474" s="115"/>
      <c r="EXT2474" s="115"/>
      <c r="EXU2474" s="115"/>
      <c r="EXV2474" s="115"/>
      <c r="EXW2474" s="115"/>
      <c r="EXX2474" s="115"/>
      <c r="EXY2474" s="115"/>
      <c r="EXZ2474" s="115"/>
      <c r="EYA2474" s="115"/>
      <c r="EYB2474" s="115"/>
      <c r="EYC2474" s="115"/>
      <c r="EYD2474" s="115"/>
      <c r="EYE2474" s="115"/>
      <c r="EYF2474" s="115"/>
      <c r="EYG2474" s="115"/>
      <c r="EYH2474" s="115"/>
      <c r="EYI2474" s="115"/>
      <c r="EYJ2474" s="115"/>
      <c r="EYK2474" s="115"/>
      <c r="EYL2474" s="115"/>
      <c r="EYM2474" s="115"/>
      <c r="EYN2474" s="115"/>
      <c r="EYO2474" s="115"/>
      <c r="EYP2474" s="115"/>
      <c r="EYQ2474" s="115"/>
      <c r="EYR2474" s="115"/>
      <c r="EYS2474" s="115"/>
      <c r="EYT2474" s="115"/>
      <c r="EYU2474" s="115"/>
      <c r="EYV2474" s="115"/>
      <c r="EYW2474" s="115"/>
      <c r="EYX2474" s="115"/>
      <c r="EYY2474" s="115"/>
      <c r="EYZ2474" s="115"/>
      <c r="EZA2474" s="115"/>
      <c r="EZB2474" s="115"/>
      <c r="EZC2474" s="115"/>
      <c r="EZD2474" s="115"/>
      <c r="EZE2474" s="115"/>
      <c r="EZF2474" s="115"/>
      <c r="EZG2474" s="115"/>
      <c r="EZH2474" s="115"/>
      <c r="EZI2474" s="115"/>
      <c r="EZJ2474" s="115"/>
      <c r="EZK2474" s="115"/>
      <c r="EZL2474" s="115"/>
      <c r="EZM2474" s="115"/>
      <c r="EZN2474" s="115"/>
      <c r="EZO2474" s="115"/>
      <c r="EZP2474" s="115"/>
      <c r="EZQ2474" s="115"/>
      <c r="EZR2474" s="115"/>
      <c r="EZS2474" s="115"/>
      <c r="EZT2474" s="115"/>
      <c r="EZU2474" s="115"/>
      <c r="EZV2474" s="115"/>
      <c r="EZW2474" s="115"/>
      <c r="EZX2474" s="115"/>
      <c r="EZY2474" s="115"/>
      <c r="EZZ2474" s="115"/>
      <c r="FAA2474" s="115"/>
      <c r="FAB2474" s="115"/>
      <c r="FAC2474" s="115"/>
      <c r="FAD2474" s="115"/>
      <c r="FAE2474" s="115"/>
      <c r="FAF2474" s="115"/>
      <c r="FAG2474" s="115"/>
      <c r="FAH2474" s="115"/>
      <c r="FAI2474" s="115"/>
      <c r="FAJ2474" s="115"/>
      <c r="FAK2474" s="115"/>
      <c r="FAL2474" s="115"/>
      <c r="FAM2474" s="115"/>
      <c r="FAN2474" s="115"/>
      <c r="FAO2474" s="115"/>
      <c r="FAP2474" s="115"/>
      <c r="FAQ2474" s="115"/>
      <c r="FAR2474" s="115"/>
      <c r="FAS2474" s="115"/>
      <c r="FAT2474" s="115"/>
      <c r="FAU2474" s="115"/>
      <c r="FAV2474" s="115"/>
      <c r="FAW2474" s="115"/>
      <c r="FAX2474" s="115"/>
      <c r="FAY2474" s="115"/>
      <c r="FAZ2474" s="115"/>
      <c r="FBA2474" s="115"/>
      <c r="FBB2474" s="115"/>
      <c r="FBC2474" s="115"/>
      <c r="FBD2474" s="115"/>
      <c r="FBE2474" s="115"/>
      <c r="FBF2474" s="115"/>
      <c r="FBG2474" s="115"/>
      <c r="FBH2474" s="115"/>
      <c r="FBI2474" s="115"/>
      <c r="FBJ2474" s="115"/>
      <c r="FBK2474" s="115"/>
      <c r="FBL2474" s="115"/>
      <c r="FBM2474" s="115"/>
      <c r="FBN2474" s="115"/>
      <c r="FBO2474" s="115"/>
      <c r="FBP2474" s="115"/>
      <c r="FBQ2474" s="115"/>
      <c r="FBR2474" s="115"/>
      <c r="FBS2474" s="115"/>
      <c r="FBT2474" s="115"/>
      <c r="FBU2474" s="115"/>
      <c r="FBV2474" s="115"/>
      <c r="FBW2474" s="115"/>
      <c r="FBX2474" s="115"/>
      <c r="FBY2474" s="115"/>
      <c r="FBZ2474" s="115"/>
      <c r="FCA2474" s="115"/>
      <c r="FCB2474" s="115"/>
      <c r="FCC2474" s="115"/>
      <c r="FCD2474" s="115"/>
      <c r="FCE2474" s="115"/>
      <c r="FCF2474" s="115"/>
      <c r="FCG2474" s="115"/>
      <c r="FCH2474" s="115"/>
      <c r="FCI2474" s="115"/>
      <c r="FCJ2474" s="115"/>
      <c r="FCK2474" s="115"/>
      <c r="FCL2474" s="115"/>
      <c r="FCM2474" s="115"/>
      <c r="FCN2474" s="115"/>
      <c r="FCO2474" s="115"/>
      <c r="FCP2474" s="115"/>
      <c r="FCQ2474" s="115"/>
      <c r="FCR2474" s="115"/>
      <c r="FCS2474" s="115"/>
      <c r="FCT2474" s="115"/>
      <c r="FCU2474" s="115"/>
      <c r="FCV2474" s="115"/>
      <c r="FCW2474" s="115"/>
      <c r="FCX2474" s="115"/>
      <c r="FCY2474" s="115"/>
      <c r="FCZ2474" s="115"/>
      <c r="FDA2474" s="115"/>
      <c r="FDB2474" s="115"/>
      <c r="FDC2474" s="115"/>
      <c r="FDD2474" s="115"/>
      <c r="FDE2474" s="115"/>
      <c r="FDF2474" s="115"/>
      <c r="FDG2474" s="115"/>
      <c r="FDH2474" s="115"/>
      <c r="FDI2474" s="115"/>
      <c r="FDJ2474" s="115"/>
      <c r="FDK2474" s="115"/>
      <c r="FDL2474" s="115"/>
      <c r="FDM2474" s="115"/>
      <c r="FDN2474" s="115"/>
      <c r="FDO2474" s="115"/>
      <c r="FDP2474" s="115"/>
      <c r="FDQ2474" s="115"/>
      <c r="FDR2474" s="115"/>
      <c r="FDS2474" s="115"/>
      <c r="FDT2474" s="115"/>
      <c r="FDU2474" s="115"/>
      <c r="FDV2474" s="115"/>
      <c r="FDW2474" s="115"/>
      <c r="FDX2474" s="115"/>
      <c r="FDY2474" s="115"/>
      <c r="FDZ2474" s="115"/>
      <c r="FEA2474" s="115"/>
      <c r="FEB2474" s="115"/>
      <c r="FEC2474" s="115"/>
      <c r="FED2474" s="115"/>
      <c r="FEE2474" s="115"/>
      <c r="FEF2474" s="115"/>
      <c r="FEG2474" s="115"/>
      <c r="FEH2474" s="115"/>
      <c r="FEI2474" s="115"/>
      <c r="FEJ2474" s="115"/>
      <c r="FEK2474" s="115"/>
      <c r="FEL2474" s="115"/>
      <c r="FEM2474" s="115"/>
      <c r="FEN2474" s="115"/>
      <c r="FEO2474" s="115"/>
      <c r="FEP2474" s="115"/>
      <c r="FEQ2474" s="115"/>
      <c r="FER2474" s="115"/>
      <c r="FES2474" s="115"/>
      <c r="FET2474" s="115"/>
      <c r="FEU2474" s="115"/>
      <c r="FEV2474" s="115"/>
      <c r="FEW2474" s="115"/>
      <c r="FEX2474" s="115"/>
      <c r="FEY2474" s="115"/>
      <c r="FEZ2474" s="115"/>
      <c r="FFA2474" s="115"/>
      <c r="FFB2474" s="115"/>
      <c r="FFC2474" s="115"/>
      <c r="FFD2474" s="115"/>
      <c r="FFE2474" s="115"/>
      <c r="FFF2474" s="115"/>
      <c r="FFG2474" s="115"/>
      <c r="FFH2474" s="115"/>
      <c r="FFI2474" s="115"/>
      <c r="FFJ2474" s="115"/>
      <c r="FFK2474" s="115"/>
      <c r="FFL2474" s="115"/>
      <c r="FFM2474" s="115"/>
      <c r="FFN2474" s="115"/>
      <c r="FFO2474" s="115"/>
      <c r="FFP2474" s="115"/>
      <c r="FFQ2474" s="115"/>
      <c r="FFR2474" s="115"/>
      <c r="FFS2474" s="115"/>
      <c r="FFT2474" s="115"/>
      <c r="FFU2474" s="115"/>
      <c r="FFV2474" s="115"/>
      <c r="FFW2474" s="115"/>
      <c r="FFX2474" s="115"/>
      <c r="FFY2474" s="115"/>
      <c r="FFZ2474" s="115"/>
      <c r="FGA2474" s="115"/>
      <c r="FGB2474" s="115"/>
      <c r="FGC2474" s="115"/>
      <c r="FGD2474" s="115"/>
      <c r="FGE2474" s="115"/>
      <c r="FGF2474" s="115"/>
      <c r="FGG2474" s="115"/>
      <c r="FGH2474" s="115"/>
      <c r="FGI2474" s="115"/>
      <c r="FGJ2474" s="115"/>
      <c r="FGK2474" s="115"/>
      <c r="FGL2474" s="115"/>
      <c r="FGM2474" s="115"/>
      <c r="FGN2474" s="115"/>
      <c r="FGO2474" s="115"/>
      <c r="FGP2474" s="115"/>
      <c r="FGQ2474" s="115"/>
      <c r="FGR2474" s="115"/>
      <c r="FGS2474" s="115"/>
      <c r="FGT2474" s="115"/>
      <c r="FGU2474" s="115"/>
      <c r="FGV2474" s="115"/>
      <c r="FGW2474" s="115"/>
      <c r="FGX2474" s="115"/>
      <c r="FGY2474" s="115"/>
      <c r="FGZ2474" s="115"/>
      <c r="FHA2474" s="115"/>
      <c r="FHB2474" s="115"/>
      <c r="FHC2474" s="115"/>
      <c r="FHD2474" s="115"/>
      <c r="FHE2474" s="115"/>
      <c r="FHF2474" s="115"/>
      <c r="FHG2474" s="115"/>
      <c r="FHH2474" s="115"/>
      <c r="FHI2474" s="115"/>
      <c r="FHJ2474" s="115"/>
      <c r="FHK2474" s="115"/>
      <c r="FHL2474" s="115"/>
      <c r="FHM2474" s="115"/>
      <c r="FHN2474" s="115"/>
      <c r="FHO2474" s="115"/>
      <c r="FHP2474" s="115"/>
      <c r="FHQ2474" s="115"/>
      <c r="FHR2474" s="115"/>
      <c r="FHS2474" s="115"/>
      <c r="FHT2474" s="115"/>
      <c r="FHU2474" s="115"/>
      <c r="FHV2474" s="115"/>
      <c r="FHW2474" s="115"/>
      <c r="FHX2474" s="115"/>
      <c r="FHY2474" s="115"/>
      <c r="FHZ2474" s="115"/>
      <c r="FIA2474" s="115"/>
      <c r="FIB2474" s="115"/>
      <c r="FIC2474" s="115"/>
      <c r="FID2474" s="115"/>
      <c r="FIE2474" s="115"/>
      <c r="FIF2474" s="115"/>
      <c r="FIG2474" s="115"/>
      <c r="FIH2474" s="115"/>
      <c r="FII2474" s="115"/>
      <c r="FIJ2474" s="115"/>
      <c r="FIK2474" s="115"/>
      <c r="FIL2474" s="115"/>
      <c r="FIM2474" s="115"/>
      <c r="FIN2474" s="115"/>
      <c r="FIO2474" s="115"/>
      <c r="FIP2474" s="115"/>
      <c r="FIQ2474" s="115"/>
      <c r="FIR2474" s="115"/>
      <c r="FIS2474" s="115"/>
      <c r="FIT2474" s="115"/>
      <c r="FIU2474" s="115"/>
      <c r="FIV2474" s="115"/>
      <c r="FIW2474" s="115"/>
      <c r="FIX2474" s="115"/>
      <c r="FIY2474" s="115"/>
      <c r="FIZ2474" s="115"/>
      <c r="FJA2474" s="115"/>
      <c r="FJB2474" s="115"/>
      <c r="FJC2474" s="115"/>
      <c r="FJD2474" s="115"/>
      <c r="FJE2474" s="115"/>
      <c r="FJF2474" s="115"/>
      <c r="FJG2474" s="115"/>
      <c r="FJH2474" s="115"/>
      <c r="FJI2474" s="115"/>
      <c r="FJJ2474" s="115"/>
      <c r="FJK2474" s="115"/>
      <c r="FJL2474" s="115"/>
      <c r="FJM2474" s="115"/>
      <c r="FJN2474" s="115"/>
      <c r="FJO2474" s="115"/>
      <c r="FJP2474" s="115"/>
      <c r="FJQ2474" s="115"/>
      <c r="FJR2474" s="115"/>
      <c r="FJS2474" s="115"/>
      <c r="FJT2474" s="115"/>
      <c r="FJU2474" s="115"/>
      <c r="FJV2474" s="115"/>
      <c r="FJW2474" s="115"/>
      <c r="FJX2474" s="115"/>
      <c r="FJY2474" s="115"/>
      <c r="FJZ2474" s="115"/>
      <c r="FKA2474" s="115"/>
      <c r="FKB2474" s="115"/>
      <c r="FKC2474" s="115"/>
      <c r="FKD2474" s="115"/>
      <c r="FKE2474" s="115"/>
      <c r="FKF2474" s="115"/>
      <c r="FKG2474" s="115"/>
      <c r="FKH2474" s="115"/>
      <c r="FKI2474" s="115"/>
      <c r="FKJ2474" s="115"/>
      <c r="FKK2474" s="115"/>
      <c r="FKL2474" s="115"/>
      <c r="FKM2474" s="115"/>
      <c r="FKN2474" s="115"/>
      <c r="FKO2474" s="115"/>
      <c r="FKP2474" s="115"/>
      <c r="FKQ2474" s="115"/>
      <c r="FKR2474" s="115"/>
      <c r="FKS2474" s="115"/>
      <c r="FKT2474" s="115"/>
      <c r="FKU2474" s="115"/>
      <c r="FKV2474" s="115"/>
      <c r="FKW2474" s="115"/>
      <c r="FKX2474" s="115"/>
      <c r="FKY2474" s="115"/>
      <c r="FKZ2474" s="115"/>
      <c r="FLA2474" s="115"/>
      <c r="FLB2474" s="115"/>
      <c r="FLC2474" s="115"/>
      <c r="FLD2474" s="115"/>
      <c r="FLE2474" s="115"/>
      <c r="FLF2474" s="115"/>
      <c r="FLG2474" s="115"/>
      <c r="FLH2474" s="115"/>
      <c r="FLI2474" s="115"/>
      <c r="FLJ2474" s="115"/>
      <c r="FLK2474" s="115"/>
      <c r="FLL2474" s="115"/>
      <c r="FLM2474" s="115"/>
      <c r="FLN2474" s="115"/>
      <c r="FLO2474" s="115"/>
      <c r="FLP2474" s="115"/>
      <c r="FLQ2474" s="115"/>
      <c r="FLR2474" s="115"/>
      <c r="FLS2474" s="115"/>
      <c r="FLT2474" s="115"/>
      <c r="FLU2474" s="115"/>
      <c r="FLV2474" s="115"/>
      <c r="FLW2474" s="115"/>
      <c r="FLX2474" s="115"/>
      <c r="FLY2474" s="115"/>
      <c r="FLZ2474" s="115"/>
      <c r="FMA2474" s="115"/>
      <c r="FMB2474" s="115"/>
      <c r="FMC2474" s="115"/>
      <c r="FMD2474" s="115"/>
      <c r="FME2474" s="115"/>
      <c r="FMF2474" s="115"/>
      <c r="FMG2474" s="115"/>
      <c r="FMH2474" s="115"/>
      <c r="FMI2474" s="115"/>
      <c r="FMJ2474" s="115"/>
      <c r="FMK2474" s="115"/>
      <c r="FML2474" s="115"/>
      <c r="FMM2474" s="115"/>
      <c r="FMN2474" s="115"/>
      <c r="FMO2474" s="115"/>
      <c r="FMP2474" s="115"/>
      <c r="FMQ2474" s="115"/>
      <c r="FMR2474" s="115"/>
      <c r="FMS2474" s="115"/>
      <c r="FMT2474" s="115"/>
      <c r="FMU2474" s="115"/>
      <c r="FMV2474" s="115"/>
      <c r="FMW2474" s="115"/>
      <c r="FMX2474" s="115"/>
      <c r="FMY2474" s="115"/>
      <c r="FMZ2474" s="115"/>
      <c r="FNA2474" s="115"/>
      <c r="FNB2474" s="115"/>
      <c r="FNC2474" s="115"/>
      <c r="FND2474" s="115"/>
      <c r="FNE2474" s="115"/>
      <c r="FNF2474" s="115"/>
      <c r="FNG2474" s="115"/>
      <c r="FNH2474" s="115"/>
      <c r="FNI2474" s="115"/>
      <c r="FNJ2474" s="115"/>
      <c r="FNK2474" s="115"/>
      <c r="FNL2474" s="115"/>
      <c r="FNM2474" s="115"/>
      <c r="FNN2474" s="115"/>
      <c r="FNO2474" s="115"/>
      <c r="FNP2474" s="115"/>
      <c r="FNQ2474" s="115"/>
      <c r="FNR2474" s="115"/>
      <c r="FNS2474" s="115"/>
      <c r="FNT2474" s="115"/>
      <c r="FNU2474" s="115"/>
      <c r="FNV2474" s="115"/>
      <c r="FNW2474" s="115"/>
      <c r="FNX2474" s="115"/>
      <c r="FNY2474" s="115"/>
      <c r="FNZ2474" s="115"/>
      <c r="FOA2474" s="115"/>
      <c r="FOB2474" s="115"/>
      <c r="FOC2474" s="115"/>
      <c r="FOD2474" s="115"/>
      <c r="FOE2474" s="115"/>
      <c r="FOF2474" s="115"/>
      <c r="FOG2474" s="115"/>
      <c r="FOH2474" s="115"/>
      <c r="FOI2474" s="115"/>
      <c r="FOJ2474" s="115"/>
      <c r="FOK2474" s="115"/>
      <c r="FOL2474" s="115"/>
      <c r="FOM2474" s="115"/>
      <c r="FON2474" s="115"/>
      <c r="FOO2474" s="115"/>
      <c r="FOP2474" s="115"/>
      <c r="FOQ2474" s="115"/>
      <c r="FOR2474" s="115"/>
      <c r="FOS2474" s="115"/>
      <c r="FOT2474" s="115"/>
      <c r="FOU2474" s="115"/>
      <c r="FOV2474" s="115"/>
      <c r="FOW2474" s="115"/>
      <c r="FOX2474" s="115"/>
      <c r="FOY2474" s="115"/>
      <c r="FOZ2474" s="115"/>
      <c r="FPA2474" s="115"/>
      <c r="FPB2474" s="115"/>
      <c r="FPC2474" s="115"/>
      <c r="FPD2474" s="115"/>
      <c r="FPE2474" s="115"/>
      <c r="FPF2474" s="115"/>
      <c r="FPG2474" s="115"/>
      <c r="FPH2474" s="115"/>
      <c r="FPI2474" s="115"/>
      <c r="FPJ2474" s="115"/>
      <c r="FPK2474" s="115"/>
      <c r="FPL2474" s="115"/>
      <c r="FPM2474" s="115"/>
      <c r="FPN2474" s="115"/>
      <c r="FPO2474" s="115"/>
      <c r="FPP2474" s="115"/>
      <c r="FPQ2474" s="115"/>
      <c r="FPR2474" s="115"/>
      <c r="FPS2474" s="115"/>
      <c r="FPT2474" s="115"/>
      <c r="FPU2474" s="115"/>
      <c r="FPV2474" s="115"/>
      <c r="FPW2474" s="115"/>
      <c r="FPX2474" s="115"/>
      <c r="FPY2474" s="115"/>
      <c r="FPZ2474" s="115"/>
      <c r="FQA2474" s="115"/>
      <c r="FQB2474" s="115"/>
      <c r="FQC2474" s="115"/>
      <c r="FQD2474" s="115"/>
      <c r="FQE2474" s="115"/>
      <c r="FQF2474" s="115"/>
      <c r="FQG2474" s="115"/>
      <c r="FQH2474" s="115"/>
      <c r="FQI2474" s="115"/>
      <c r="FQJ2474" s="115"/>
      <c r="FQK2474" s="115"/>
      <c r="FQL2474" s="115"/>
      <c r="FQM2474" s="115"/>
      <c r="FQN2474" s="115"/>
      <c r="FQO2474" s="115"/>
      <c r="FQP2474" s="115"/>
      <c r="FQQ2474" s="115"/>
      <c r="FQR2474" s="115"/>
      <c r="FQS2474" s="115"/>
      <c r="FQT2474" s="115"/>
      <c r="FQU2474" s="115"/>
      <c r="FQV2474" s="115"/>
      <c r="FQW2474" s="115"/>
      <c r="FQX2474" s="115"/>
      <c r="FQY2474" s="115"/>
      <c r="FQZ2474" s="115"/>
      <c r="FRA2474" s="115"/>
      <c r="FRB2474" s="115"/>
      <c r="FRC2474" s="115"/>
      <c r="FRD2474" s="115"/>
      <c r="FRE2474" s="115"/>
      <c r="FRF2474" s="115"/>
      <c r="FRG2474" s="115"/>
      <c r="FRH2474" s="115"/>
      <c r="FRI2474" s="115"/>
      <c r="FRJ2474" s="115"/>
      <c r="FRK2474" s="115"/>
      <c r="FRL2474" s="115"/>
      <c r="FRM2474" s="115"/>
      <c r="FRN2474" s="115"/>
      <c r="FRO2474" s="115"/>
      <c r="FRP2474" s="115"/>
      <c r="FRQ2474" s="115"/>
      <c r="FRR2474" s="115"/>
      <c r="FRS2474" s="115"/>
      <c r="FRT2474" s="115"/>
      <c r="FRU2474" s="115"/>
      <c r="FRV2474" s="115"/>
      <c r="FRW2474" s="115"/>
      <c r="FRX2474" s="115"/>
      <c r="FRY2474" s="115"/>
      <c r="FRZ2474" s="115"/>
      <c r="FSA2474" s="115"/>
      <c r="FSB2474" s="115"/>
      <c r="FSC2474" s="115"/>
      <c r="FSD2474" s="115"/>
      <c r="FSE2474" s="115"/>
      <c r="FSF2474" s="115"/>
      <c r="FSG2474" s="115"/>
      <c r="FSH2474" s="115"/>
      <c r="FSI2474" s="115"/>
      <c r="FSJ2474" s="115"/>
      <c r="FSK2474" s="115"/>
      <c r="FSL2474" s="115"/>
      <c r="FSM2474" s="115"/>
      <c r="FSN2474" s="115"/>
      <c r="FSO2474" s="115"/>
      <c r="FSP2474" s="115"/>
      <c r="FSQ2474" s="115"/>
      <c r="FSR2474" s="115"/>
      <c r="FSS2474" s="115"/>
      <c r="FST2474" s="115"/>
      <c r="FSU2474" s="115"/>
      <c r="FSV2474" s="115"/>
      <c r="FSW2474" s="115"/>
      <c r="FSX2474" s="115"/>
      <c r="FSY2474" s="115"/>
      <c r="FSZ2474" s="115"/>
      <c r="FTA2474" s="115"/>
      <c r="FTB2474" s="115"/>
      <c r="FTC2474" s="115"/>
      <c r="FTD2474" s="115"/>
      <c r="FTE2474" s="115"/>
      <c r="FTF2474" s="115"/>
      <c r="FTG2474" s="115"/>
      <c r="FTH2474" s="115"/>
      <c r="FTI2474" s="115"/>
      <c r="FTJ2474" s="115"/>
      <c r="FTK2474" s="115"/>
      <c r="FTL2474" s="115"/>
      <c r="FTM2474" s="115"/>
      <c r="FTN2474" s="115"/>
      <c r="FTO2474" s="115"/>
      <c r="FTP2474" s="115"/>
      <c r="FTQ2474" s="115"/>
      <c r="FTR2474" s="115"/>
      <c r="FTS2474" s="115"/>
      <c r="FTT2474" s="115"/>
      <c r="FTU2474" s="115"/>
      <c r="FTV2474" s="115"/>
      <c r="FTW2474" s="115"/>
      <c r="FTX2474" s="115"/>
      <c r="FTY2474" s="115"/>
      <c r="FTZ2474" s="115"/>
      <c r="FUA2474" s="115"/>
      <c r="FUB2474" s="115"/>
      <c r="FUC2474" s="115"/>
      <c r="FUD2474" s="115"/>
      <c r="FUE2474" s="115"/>
      <c r="FUF2474" s="115"/>
      <c r="FUG2474" s="115"/>
      <c r="FUH2474" s="115"/>
      <c r="FUI2474" s="115"/>
      <c r="FUJ2474" s="115"/>
      <c r="FUK2474" s="115"/>
      <c r="FUL2474" s="115"/>
      <c r="FUM2474" s="115"/>
      <c r="FUN2474" s="115"/>
      <c r="FUO2474" s="115"/>
      <c r="FUP2474" s="115"/>
      <c r="FUQ2474" s="115"/>
      <c r="FUR2474" s="115"/>
      <c r="FUS2474" s="115"/>
      <c r="FUT2474" s="115"/>
      <c r="FUU2474" s="115"/>
      <c r="FUV2474" s="115"/>
      <c r="FUW2474" s="115"/>
      <c r="FUX2474" s="115"/>
      <c r="FUY2474" s="115"/>
      <c r="FUZ2474" s="115"/>
      <c r="FVA2474" s="115"/>
      <c r="FVB2474" s="115"/>
      <c r="FVC2474" s="115"/>
      <c r="FVD2474" s="115"/>
      <c r="FVE2474" s="115"/>
      <c r="FVF2474" s="115"/>
      <c r="FVG2474" s="115"/>
      <c r="FVH2474" s="115"/>
      <c r="FVI2474" s="115"/>
      <c r="FVJ2474" s="115"/>
      <c r="FVK2474" s="115"/>
      <c r="FVL2474" s="115"/>
      <c r="FVM2474" s="115"/>
      <c r="FVN2474" s="115"/>
      <c r="FVO2474" s="115"/>
      <c r="FVP2474" s="115"/>
      <c r="FVQ2474" s="115"/>
      <c r="FVR2474" s="115"/>
      <c r="FVS2474" s="115"/>
      <c r="FVT2474" s="115"/>
      <c r="FVU2474" s="115"/>
      <c r="FVV2474" s="115"/>
      <c r="FVW2474" s="115"/>
      <c r="FVX2474" s="115"/>
      <c r="FVY2474" s="115"/>
      <c r="FVZ2474" s="115"/>
      <c r="FWA2474" s="115"/>
      <c r="FWB2474" s="115"/>
      <c r="FWC2474" s="115"/>
      <c r="FWD2474" s="115"/>
      <c r="FWE2474" s="115"/>
      <c r="FWF2474" s="115"/>
      <c r="FWG2474" s="115"/>
      <c r="FWH2474" s="115"/>
      <c r="FWI2474" s="115"/>
      <c r="FWJ2474" s="115"/>
      <c r="FWK2474" s="115"/>
      <c r="FWL2474" s="115"/>
      <c r="FWM2474" s="115"/>
      <c r="FWN2474" s="115"/>
      <c r="FWO2474" s="115"/>
      <c r="FWP2474" s="115"/>
      <c r="FWQ2474" s="115"/>
      <c r="FWR2474" s="115"/>
      <c r="FWS2474" s="115"/>
      <c r="FWT2474" s="115"/>
      <c r="FWU2474" s="115"/>
      <c r="FWV2474" s="115"/>
      <c r="FWW2474" s="115"/>
      <c r="FWX2474" s="115"/>
      <c r="FWY2474" s="115"/>
      <c r="FWZ2474" s="115"/>
      <c r="FXA2474" s="115"/>
      <c r="FXB2474" s="115"/>
      <c r="FXC2474" s="115"/>
      <c r="FXD2474" s="115"/>
      <c r="FXE2474" s="115"/>
      <c r="FXF2474" s="115"/>
      <c r="FXG2474" s="115"/>
      <c r="FXH2474" s="115"/>
      <c r="FXI2474" s="115"/>
      <c r="FXJ2474" s="115"/>
      <c r="FXK2474" s="115"/>
      <c r="FXL2474" s="115"/>
      <c r="FXM2474" s="115"/>
      <c r="FXN2474" s="115"/>
      <c r="FXO2474" s="115"/>
      <c r="FXP2474" s="115"/>
      <c r="FXQ2474" s="115"/>
      <c r="FXR2474" s="115"/>
      <c r="FXS2474" s="115"/>
      <c r="FXT2474" s="115"/>
      <c r="FXU2474" s="115"/>
      <c r="FXV2474" s="115"/>
      <c r="FXW2474" s="115"/>
      <c r="FXX2474" s="115"/>
      <c r="FXY2474" s="115"/>
      <c r="FXZ2474" s="115"/>
      <c r="FYA2474" s="115"/>
      <c r="FYB2474" s="115"/>
      <c r="FYC2474" s="115"/>
      <c r="FYD2474" s="115"/>
      <c r="FYE2474" s="115"/>
      <c r="FYF2474" s="115"/>
      <c r="FYG2474" s="115"/>
      <c r="FYH2474" s="115"/>
      <c r="FYI2474" s="115"/>
      <c r="FYJ2474" s="115"/>
      <c r="FYK2474" s="115"/>
      <c r="FYL2474" s="115"/>
      <c r="FYM2474" s="115"/>
      <c r="FYN2474" s="115"/>
      <c r="FYO2474" s="115"/>
      <c r="FYP2474" s="115"/>
      <c r="FYQ2474" s="115"/>
      <c r="FYR2474" s="115"/>
      <c r="FYS2474" s="115"/>
      <c r="FYT2474" s="115"/>
      <c r="FYU2474" s="115"/>
      <c r="FYV2474" s="115"/>
      <c r="FYW2474" s="115"/>
      <c r="FYX2474" s="115"/>
      <c r="FYY2474" s="115"/>
      <c r="FYZ2474" s="115"/>
      <c r="FZA2474" s="115"/>
      <c r="FZB2474" s="115"/>
      <c r="FZC2474" s="115"/>
      <c r="FZD2474" s="115"/>
      <c r="FZE2474" s="115"/>
      <c r="FZF2474" s="115"/>
      <c r="FZG2474" s="115"/>
      <c r="FZH2474" s="115"/>
      <c r="FZI2474" s="115"/>
      <c r="FZJ2474" s="115"/>
      <c r="FZK2474" s="115"/>
      <c r="FZL2474" s="115"/>
      <c r="FZM2474" s="115"/>
      <c r="FZN2474" s="115"/>
      <c r="FZO2474" s="115"/>
      <c r="FZP2474" s="115"/>
      <c r="FZQ2474" s="115"/>
      <c r="FZR2474" s="115"/>
      <c r="FZS2474" s="115"/>
      <c r="FZT2474" s="115"/>
      <c r="FZU2474" s="115"/>
      <c r="FZV2474" s="115"/>
      <c r="FZW2474" s="115"/>
      <c r="FZX2474" s="115"/>
      <c r="FZY2474" s="115"/>
      <c r="FZZ2474" s="115"/>
      <c r="GAA2474" s="115"/>
      <c r="GAB2474" s="115"/>
      <c r="GAC2474" s="115"/>
      <c r="GAD2474" s="115"/>
      <c r="GAE2474" s="115"/>
      <c r="GAF2474" s="115"/>
      <c r="GAG2474" s="115"/>
      <c r="GAH2474" s="115"/>
      <c r="GAI2474" s="115"/>
      <c r="GAJ2474" s="115"/>
      <c r="GAK2474" s="115"/>
      <c r="GAL2474" s="115"/>
      <c r="GAM2474" s="115"/>
      <c r="GAN2474" s="115"/>
      <c r="GAO2474" s="115"/>
      <c r="GAP2474" s="115"/>
      <c r="GAQ2474" s="115"/>
      <c r="GAR2474" s="115"/>
      <c r="GAS2474" s="115"/>
      <c r="GAT2474" s="115"/>
      <c r="GAU2474" s="115"/>
      <c r="GAV2474" s="115"/>
      <c r="GAW2474" s="115"/>
      <c r="GAX2474" s="115"/>
      <c r="GAY2474" s="115"/>
      <c r="GAZ2474" s="115"/>
      <c r="GBA2474" s="115"/>
      <c r="GBB2474" s="115"/>
      <c r="GBC2474" s="115"/>
      <c r="GBD2474" s="115"/>
      <c r="GBE2474" s="115"/>
      <c r="GBF2474" s="115"/>
      <c r="GBG2474" s="115"/>
      <c r="GBH2474" s="115"/>
      <c r="GBI2474" s="115"/>
      <c r="GBJ2474" s="115"/>
      <c r="GBK2474" s="115"/>
      <c r="GBL2474" s="115"/>
      <c r="GBM2474" s="115"/>
      <c r="GBN2474" s="115"/>
      <c r="GBO2474" s="115"/>
      <c r="GBP2474" s="115"/>
      <c r="GBQ2474" s="115"/>
      <c r="GBR2474" s="115"/>
      <c r="GBS2474" s="115"/>
      <c r="GBT2474" s="115"/>
      <c r="GBU2474" s="115"/>
      <c r="GBV2474" s="115"/>
      <c r="GBW2474" s="115"/>
      <c r="GBX2474" s="115"/>
      <c r="GBY2474" s="115"/>
      <c r="GBZ2474" s="115"/>
      <c r="GCA2474" s="115"/>
      <c r="GCB2474" s="115"/>
      <c r="GCC2474" s="115"/>
      <c r="GCD2474" s="115"/>
      <c r="GCE2474" s="115"/>
      <c r="GCF2474" s="115"/>
      <c r="GCG2474" s="115"/>
      <c r="GCH2474" s="115"/>
      <c r="GCI2474" s="115"/>
      <c r="GCJ2474" s="115"/>
      <c r="GCK2474" s="115"/>
      <c r="GCL2474" s="115"/>
      <c r="GCM2474" s="115"/>
      <c r="GCN2474" s="115"/>
      <c r="GCO2474" s="115"/>
      <c r="GCP2474" s="115"/>
      <c r="GCQ2474" s="115"/>
      <c r="GCR2474" s="115"/>
      <c r="GCS2474" s="115"/>
      <c r="GCT2474" s="115"/>
      <c r="GCU2474" s="115"/>
      <c r="GCV2474" s="115"/>
      <c r="GCW2474" s="115"/>
      <c r="GCX2474" s="115"/>
      <c r="GCY2474" s="115"/>
      <c r="GCZ2474" s="115"/>
      <c r="GDA2474" s="115"/>
      <c r="GDB2474" s="115"/>
      <c r="GDC2474" s="115"/>
      <c r="GDD2474" s="115"/>
      <c r="GDE2474" s="115"/>
      <c r="GDF2474" s="115"/>
      <c r="GDG2474" s="115"/>
      <c r="GDH2474" s="115"/>
      <c r="GDI2474" s="115"/>
      <c r="GDJ2474" s="115"/>
      <c r="GDK2474" s="115"/>
      <c r="GDL2474" s="115"/>
      <c r="GDM2474" s="115"/>
      <c r="GDN2474" s="115"/>
      <c r="GDO2474" s="115"/>
      <c r="GDP2474" s="115"/>
      <c r="GDQ2474" s="115"/>
      <c r="GDR2474" s="115"/>
      <c r="GDS2474" s="115"/>
      <c r="GDT2474" s="115"/>
      <c r="GDU2474" s="115"/>
      <c r="GDV2474" s="115"/>
      <c r="GDW2474" s="115"/>
      <c r="GDX2474" s="115"/>
      <c r="GDY2474" s="115"/>
      <c r="GDZ2474" s="115"/>
      <c r="GEA2474" s="115"/>
      <c r="GEB2474" s="115"/>
      <c r="GEC2474" s="115"/>
      <c r="GED2474" s="115"/>
      <c r="GEE2474" s="115"/>
      <c r="GEF2474" s="115"/>
      <c r="GEG2474" s="115"/>
      <c r="GEH2474" s="115"/>
      <c r="GEI2474" s="115"/>
      <c r="GEJ2474" s="115"/>
      <c r="GEK2474" s="115"/>
      <c r="GEL2474" s="115"/>
      <c r="GEM2474" s="115"/>
      <c r="GEN2474" s="115"/>
      <c r="GEO2474" s="115"/>
      <c r="GEP2474" s="115"/>
      <c r="GEQ2474" s="115"/>
      <c r="GER2474" s="115"/>
      <c r="GES2474" s="115"/>
      <c r="GET2474" s="115"/>
      <c r="GEU2474" s="115"/>
      <c r="GEV2474" s="115"/>
      <c r="GEW2474" s="115"/>
      <c r="GEX2474" s="115"/>
      <c r="GEY2474" s="115"/>
      <c r="GEZ2474" s="115"/>
      <c r="GFA2474" s="115"/>
      <c r="GFB2474" s="115"/>
      <c r="GFC2474" s="115"/>
      <c r="GFD2474" s="115"/>
      <c r="GFE2474" s="115"/>
      <c r="GFF2474" s="115"/>
      <c r="GFG2474" s="115"/>
      <c r="GFH2474" s="115"/>
      <c r="GFI2474" s="115"/>
      <c r="GFJ2474" s="115"/>
      <c r="GFK2474" s="115"/>
      <c r="GFL2474" s="115"/>
      <c r="GFM2474" s="115"/>
      <c r="GFN2474" s="115"/>
      <c r="GFO2474" s="115"/>
      <c r="GFP2474" s="115"/>
      <c r="GFQ2474" s="115"/>
      <c r="GFR2474" s="115"/>
      <c r="GFS2474" s="115"/>
      <c r="GFT2474" s="115"/>
      <c r="GFU2474" s="115"/>
      <c r="GFV2474" s="115"/>
      <c r="GFW2474" s="115"/>
      <c r="GFX2474" s="115"/>
      <c r="GFY2474" s="115"/>
      <c r="GFZ2474" s="115"/>
      <c r="GGA2474" s="115"/>
      <c r="GGB2474" s="115"/>
      <c r="GGC2474" s="115"/>
      <c r="GGD2474" s="115"/>
      <c r="GGE2474" s="115"/>
      <c r="GGF2474" s="115"/>
      <c r="GGG2474" s="115"/>
      <c r="GGH2474" s="115"/>
      <c r="GGI2474" s="115"/>
      <c r="GGJ2474" s="115"/>
      <c r="GGK2474" s="115"/>
      <c r="GGL2474" s="115"/>
      <c r="GGM2474" s="115"/>
      <c r="GGN2474" s="115"/>
      <c r="GGO2474" s="115"/>
      <c r="GGP2474" s="115"/>
      <c r="GGQ2474" s="115"/>
      <c r="GGR2474" s="115"/>
      <c r="GGS2474" s="115"/>
      <c r="GGT2474" s="115"/>
      <c r="GGU2474" s="115"/>
      <c r="GGV2474" s="115"/>
      <c r="GGW2474" s="115"/>
      <c r="GGX2474" s="115"/>
      <c r="GGY2474" s="115"/>
      <c r="GGZ2474" s="115"/>
      <c r="GHA2474" s="115"/>
      <c r="GHB2474" s="115"/>
      <c r="GHC2474" s="115"/>
      <c r="GHD2474" s="115"/>
      <c r="GHE2474" s="115"/>
      <c r="GHF2474" s="115"/>
      <c r="GHG2474" s="115"/>
      <c r="GHH2474" s="115"/>
      <c r="GHI2474" s="115"/>
      <c r="GHJ2474" s="115"/>
      <c r="GHK2474" s="115"/>
      <c r="GHL2474" s="115"/>
      <c r="GHM2474" s="115"/>
      <c r="GHN2474" s="115"/>
      <c r="GHO2474" s="115"/>
      <c r="GHP2474" s="115"/>
      <c r="GHQ2474" s="115"/>
      <c r="GHR2474" s="115"/>
      <c r="GHS2474" s="115"/>
      <c r="GHT2474" s="115"/>
      <c r="GHU2474" s="115"/>
      <c r="GHV2474" s="115"/>
      <c r="GHW2474" s="115"/>
      <c r="GHX2474" s="115"/>
      <c r="GHY2474" s="115"/>
      <c r="GHZ2474" s="115"/>
      <c r="GIA2474" s="115"/>
      <c r="GIB2474" s="115"/>
      <c r="GIC2474" s="115"/>
      <c r="GID2474" s="115"/>
      <c r="GIE2474" s="115"/>
      <c r="GIF2474" s="115"/>
      <c r="GIG2474" s="115"/>
      <c r="GIH2474" s="115"/>
      <c r="GII2474" s="115"/>
      <c r="GIJ2474" s="115"/>
      <c r="GIK2474" s="115"/>
      <c r="GIL2474" s="115"/>
      <c r="GIM2474" s="115"/>
      <c r="GIN2474" s="115"/>
      <c r="GIO2474" s="115"/>
      <c r="GIP2474" s="115"/>
      <c r="GIQ2474" s="115"/>
      <c r="GIR2474" s="115"/>
      <c r="GIS2474" s="115"/>
      <c r="GIT2474" s="115"/>
      <c r="GIU2474" s="115"/>
      <c r="GIV2474" s="115"/>
      <c r="GIW2474" s="115"/>
      <c r="GIX2474" s="115"/>
      <c r="GIY2474" s="115"/>
      <c r="GIZ2474" s="115"/>
      <c r="GJA2474" s="115"/>
      <c r="GJB2474" s="115"/>
      <c r="GJC2474" s="115"/>
      <c r="GJD2474" s="115"/>
      <c r="GJE2474" s="115"/>
      <c r="GJF2474" s="115"/>
      <c r="GJG2474" s="115"/>
      <c r="GJH2474" s="115"/>
      <c r="GJI2474" s="115"/>
      <c r="GJJ2474" s="115"/>
      <c r="GJK2474" s="115"/>
      <c r="GJL2474" s="115"/>
      <c r="GJM2474" s="115"/>
      <c r="GJN2474" s="115"/>
      <c r="GJO2474" s="115"/>
      <c r="GJP2474" s="115"/>
      <c r="GJQ2474" s="115"/>
      <c r="GJR2474" s="115"/>
      <c r="GJS2474" s="115"/>
      <c r="GJT2474" s="115"/>
      <c r="GJU2474" s="115"/>
      <c r="GJV2474" s="115"/>
      <c r="GJW2474" s="115"/>
      <c r="GJX2474" s="115"/>
      <c r="GJY2474" s="115"/>
      <c r="GJZ2474" s="115"/>
      <c r="GKA2474" s="115"/>
      <c r="GKB2474" s="115"/>
      <c r="GKC2474" s="115"/>
      <c r="GKD2474" s="115"/>
      <c r="GKE2474" s="115"/>
      <c r="GKF2474" s="115"/>
      <c r="GKG2474" s="115"/>
      <c r="GKH2474" s="115"/>
      <c r="GKI2474" s="115"/>
      <c r="GKJ2474" s="115"/>
      <c r="GKK2474" s="115"/>
      <c r="GKL2474" s="115"/>
      <c r="GKM2474" s="115"/>
      <c r="GKN2474" s="115"/>
      <c r="GKO2474" s="115"/>
      <c r="GKP2474" s="115"/>
      <c r="GKQ2474" s="115"/>
      <c r="GKR2474" s="115"/>
      <c r="GKS2474" s="115"/>
      <c r="GKT2474" s="115"/>
      <c r="GKU2474" s="115"/>
      <c r="GKV2474" s="115"/>
      <c r="GKW2474" s="115"/>
      <c r="GKX2474" s="115"/>
      <c r="GKY2474" s="115"/>
      <c r="GKZ2474" s="115"/>
      <c r="GLA2474" s="115"/>
      <c r="GLB2474" s="115"/>
      <c r="GLC2474" s="115"/>
      <c r="GLD2474" s="115"/>
      <c r="GLE2474" s="115"/>
      <c r="GLF2474" s="115"/>
      <c r="GLG2474" s="115"/>
      <c r="GLH2474" s="115"/>
      <c r="GLI2474" s="115"/>
      <c r="GLJ2474" s="115"/>
      <c r="GLK2474" s="115"/>
      <c r="GLL2474" s="115"/>
      <c r="GLM2474" s="115"/>
      <c r="GLN2474" s="115"/>
      <c r="GLO2474" s="115"/>
      <c r="GLP2474" s="115"/>
      <c r="GLQ2474" s="115"/>
      <c r="GLR2474" s="115"/>
      <c r="GLS2474" s="115"/>
      <c r="GLT2474" s="115"/>
      <c r="GLU2474" s="115"/>
      <c r="GLV2474" s="115"/>
      <c r="GLW2474" s="115"/>
      <c r="GLX2474" s="115"/>
      <c r="GLY2474" s="115"/>
      <c r="GLZ2474" s="115"/>
      <c r="GMA2474" s="115"/>
      <c r="GMB2474" s="115"/>
      <c r="GMC2474" s="115"/>
      <c r="GMD2474" s="115"/>
      <c r="GME2474" s="115"/>
      <c r="GMF2474" s="115"/>
      <c r="GMG2474" s="115"/>
      <c r="GMH2474" s="115"/>
      <c r="GMI2474" s="115"/>
      <c r="GMJ2474" s="115"/>
      <c r="GMK2474" s="115"/>
      <c r="GML2474" s="115"/>
      <c r="GMM2474" s="115"/>
      <c r="GMN2474" s="115"/>
      <c r="GMO2474" s="115"/>
      <c r="GMP2474" s="115"/>
      <c r="GMQ2474" s="115"/>
      <c r="GMR2474" s="115"/>
      <c r="GMS2474" s="115"/>
      <c r="GMT2474" s="115"/>
      <c r="GMU2474" s="115"/>
      <c r="GMV2474" s="115"/>
      <c r="GMW2474" s="115"/>
      <c r="GMX2474" s="115"/>
      <c r="GMY2474" s="115"/>
      <c r="GMZ2474" s="115"/>
      <c r="GNA2474" s="115"/>
      <c r="GNB2474" s="115"/>
      <c r="GNC2474" s="115"/>
      <c r="GND2474" s="115"/>
      <c r="GNE2474" s="115"/>
      <c r="GNF2474" s="115"/>
      <c r="GNG2474" s="115"/>
      <c r="GNH2474" s="115"/>
      <c r="GNI2474" s="115"/>
      <c r="GNJ2474" s="115"/>
      <c r="GNK2474" s="115"/>
      <c r="GNL2474" s="115"/>
      <c r="GNM2474" s="115"/>
      <c r="GNN2474" s="115"/>
      <c r="GNO2474" s="115"/>
      <c r="GNP2474" s="115"/>
      <c r="GNQ2474" s="115"/>
      <c r="GNR2474" s="115"/>
      <c r="GNS2474" s="115"/>
      <c r="GNT2474" s="115"/>
      <c r="GNU2474" s="115"/>
      <c r="GNV2474" s="115"/>
      <c r="GNW2474" s="115"/>
      <c r="GNX2474" s="115"/>
      <c r="GNY2474" s="115"/>
      <c r="GNZ2474" s="115"/>
      <c r="GOA2474" s="115"/>
      <c r="GOB2474" s="115"/>
      <c r="GOC2474" s="115"/>
      <c r="GOD2474" s="115"/>
      <c r="GOE2474" s="115"/>
      <c r="GOF2474" s="115"/>
      <c r="GOG2474" s="115"/>
      <c r="GOH2474" s="115"/>
      <c r="GOI2474" s="115"/>
      <c r="GOJ2474" s="115"/>
      <c r="GOK2474" s="115"/>
      <c r="GOL2474" s="115"/>
      <c r="GOM2474" s="115"/>
      <c r="GON2474" s="115"/>
      <c r="GOO2474" s="115"/>
      <c r="GOP2474" s="115"/>
      <c r="GOQ2474" s="115"/>
      <c r="GOR2474" s="115"/>
      <c r="GOS2474" s="115"/>
      <c r="GOT2474" s="115"/>
      <c r="GOU2474" s="115"/>
      <c r="GOV2474" s="115"/>
      <c r="GOW2474" s="115"/>
      <c r="GOX2474" s="115"/>
      <c r="GOY2474" s="115"/>
      <c r="GOZ2474" s="115"/>
      <c r="GPA2474" s="115"/>
      <c r="GPB2474" s="115"/>
      <c r="GPC2474" s="115"/>
      <c r="GPD2474" s="115"/>
      <c r="GPE2474" s="115"/>
      <c r="GPF2474" s="115"/>
      <c r="GPG2474" s="115"/>
      <c r="GPH2474" s="115"/>
      <c r="GPI2474" s="115"/>
      <c r="GPJ2474" s="115"/>
      <c r="GPK2474" s="115"/>
      <c r="GPL2474" s="115"/>
      <c r="GPM2474" s="115"/>
      <c r="GPN2474" s="115"/>
      <c r="GPO2474" s="115"/>
      <c r="GPP2474" s="115"/>
      <c r="GPQ2474" s="115"/>
      <c r="GPR2474" s="115"/>
      <c r="GPS2474" s="115"/>
      <c r="GPT2474" s="115"/>
      <c r="GPU2474" s="115"/>
      <c r="GPV2474" s="115"/>
      <c r="GPW2474" s="115"/>
      <c r="GPX2474" s="115"/>
      <c r="GPY2474" s="115"/>
      <c r="GPZ2474" s="115"/>
      <c r="GQA2474" s="115"/>
      <c r="GQB2474" s="115"/>
      <c r="GQC2474" s="115"/>
      <c r="GQD2474" s="115"/>
      <c r="GQE2474" s="115"/>
      <c r="GQF2474" s="115"/>
      <c r="GQG2474" s="115"/>
      <c r="GQH2474" s="115"/>
      <c r="GQI2474" s="115"/>
      <c r="GQJ2474" s="115"/>
      <c r="GQK2474" s="115"/>
      <c r="GQL2474" s="115"/>
      <c r="GQM2474" s="115"/>
      <c r="GQN2474" s="115"/>
      <c r="GQO2474" s="115"/>
      <c r="GQP2474" s="115"/>
      <c r="GQQ2474" s="115"/>
      <c r="GQR2474" s="115"/>
      <c r="GQS2474" s="115"/>
      <c r="GQT2474" s="115"/>
      <c r="GQU2474" s="115"/>
      <c r="GQV2474" s="115"/>
      <c r="GQW2474" s="115"/>
      <c r="GQX2474" s="115"/>
      <c r="GQY2474" s="115"/>
      <c r="GQZ2474" s="115"/>
      <c r="GRA2474" s="115"/>
      <c r="GRB2474" s="115"/>
      <c r="GRC2474" s="115"/>
      <c r="GRD2474" s="115"/>
      <c r="GRE2474" s="115"/>
      <c r="GRF2474" s="115"/>
      <c r="GRG2474" s="115"/>
      <c r="GRH2474" s="115"/>
      <c r="GRI2474" s="115"/>
      <c r="GRJ2474" s="115"/>
      <c r="GRK2474" s="115"/>
      <c r="GRL2474" s="115"/>
      <c r="GRM2474" s="115"/>
      <c r="GRN2474" s="115"/>
      <c r="GRO2474" s="115"/>
      <c r="GRP2474" s="115"/>
      <c r="GRQ2474" s="115"/>
      <c r="GRR2474" s="115"/>
      <c r="GRS2474" s="115"/>
      <c r="GRT2474" s="115"/>
      <c r="GRU2474" s="115"/>
      <c r="GRV2474" s="115"/>
      <c r="GRW2474" s="115"/>
      <c r="GRX2474" s="115"/>
      <c r="GRY2474" s="115"/>
      <c r="GRZ2474" s="115"/>
      <c r="GSA2474" s="115"/>
      <c r="GSB2474" s="115"/>
      <c r="GSC2474" s="115"/>
      <c r="GSD2474" s="115"/>
      <c r="GSE2474" s="115"/>
      <c r="GSF2474" s="115"/>
      <c r="GSG2474" s="115"/>
      <c r="GSH2474" s="115"/>
      <c r="GSI2474" s="115"/>
      <c r="GSJ2474" s="115"/>
      <c r="GSK2474" s="115"/>
      <c r="GSL2474" s="115"/>
      <c r="GSM2474" s="115"/>
      <c r="GSN2474" s="115"/>
      <c r="GSO2474" s="115"/>
      <c r="GSP2474" s="115"/>
      <c r="GSQ2474" s="115"/>
      <c r="GSR2474" s="115"/>
      <c r="GSS2474" s="115"/>
      <c r="GST2474" s="115"/>
      <c r="GSU2474" s="115"/>
      <c r="GSV2474" s="115"/>
      <c r="GSW2474" s="115"/>
      <c r="GSX2474" s="115"/>
      <c r="GSY2474" s="115"/>
      <c r="GSZ2474" s="115"/>
      <c r="GTA2474" s="115"/>
      <c r="GTB2474" s="115"/>
      <c r="GTC2474" s="115"/>
      <c r="GTD2474" s="115"/>
      <c r="GTE2474" s="115"/>
      <c r="GTF2474" s="115"/>
      <c r="GTG2474" s="115"/>
      <c r="GTH2474" s="115"/>
      <c r="GTI2474" s="115"/>
      <c r="GTJ2474" s="115"/>
      <c r="GTK2474" s="115"/>
      <c r="GTL2474" s="115"/>
      <c r="GTM2474" s="115"/>
      <c r="GTN2474" s="115"/>
      <c r="GTO2474" s="115"/>
      <c r="GTP2474" s="115"/>
      <c r="GTQ2474" s="115"/>
      <c r="GTR2474" s="115"/>
      <c r="GTS2474" s="115"/>
      <c r="GTT2474" s="115"/>
      <c r="GTU2474" s="115"/>
      <c r="GTV2474" s="115"/>
      <c r="GTW2474" s="115"/>
      <c r="GTX2474" s="115"/>
      <c r="GTY2474" s="115"/>
      <c r="GTZ2474" s="115"/>
      <c r="GUA2474" s="115"/>
      <c r="GUB2474" s="115"/>
      <c r="GUC2474" s="115"/>
      <c r="GUD2474" s="115"/>
      <c r="GUE2474" s="115"/>
      <c r="GUF2474" s="115"/>
      <c r="GUG2474" s="115"/>
      <c r="GUH2474" s="115"/>
      <c r="GUI2474" s="115"/>
      <c r="GUJ2474" s="115"/>
      <c r="GUK2474" s="115"/>
      <c r="GUL2474" s="115"/>
      <c r="GUM2474" s="115"/>
      <c r="GUN2474" s="115"/>
      <c r="GUO2474" s="115"/>
      <c r="GUP2474" s="115"/>
      <c r="GUQ2474" s="115"/>
      <c r="GUR2474" s="115"/>
      <c r="GUS2474" s="115"/>
      <c r="GUT2474" s="115"/>
      <c r="GUU2474" s="115"/>
      <c r="GUV2474" s="115"/>
      <c r="GUW2474" s="115"/>
      <c r="GUX2474" s="115"/>
      <c r="GUY2474" s="115"/>
      <c r="GUZ2474" s="115"/>
      <c r="GVA2474" s="115"/>
      <c r="GVB2474" s="115"/>
      <c r="GVC2474" s="115"/>
      <c r="GVD2474" s="115"/>
      <c r="GVE2474" s="115"/>
      <c r="GVF2474" s="115"/>
      <c r="GVG2474" s="115"/>
      <c r="GVH2474" s="115"/>
      <c r="GVI2474" s="115"/>
      <c r="GVJ2474" s="115"/>
      <c r="GVK2474" s="115"/>
      <c r="GVL2474" s="115"/>
      <c r="GVM2474" s="115"/>
      <c r="GVN2474" s="115"/>
      <c r="GVO2474" s="115"/>
      <c r="GVP2474" s="115"/>
      <c r="GVQ2474" s="115"/>
      <c r="GVR2474" s="115"/>
      <c r="GVS2474" s="115"/>
      <c r="GVT2474" s="115"/>
      <c r="GVU2474" s="115"/>
      <c r="GVV2474" s="115"/>
      <c r="GVW2474" s="115"/>
      <c r="GVX2474" s="115"/>
      <c r="GVY2474" s="115"/>
      <c r="GVZ2474" s="115"/>
      <c r="GWA2474" s="115"/>
      <c r="GWB2474" s="115"/>
      <c r="GWC2474" s="115"/>
      <c r="GWD2474" s="115"/>
      <c r="GWE2474" s="115"/>
      <c r="GWF2474" s="115"/>
      <c r="GWG2474" s="115"/>
      <c r="GWH2474" s="115"/>
      <c r="GWI2474" s="115"/>
      <c r="GWJ2474" s="115"/>
      <c r="GWK2474" s="115"/>
      <c r="GWL2474" s="115"/>
      <c r="GWM2474" s="115"/>
      <c r="GWN2474" s="115"/>
      <c r="GWO2474" s="115"/>
      <c r="GWP2474" s="115"/>
      <c r="GWQ2474" s="115"/>
      <c r="GWR2474" s="115"/>
      <c r="GWS2474" s="115"/>
      <c r="GWT2474" s="115"/>
      <c r="GWU2474" s="115"/>
      <c r="GWV2474" s="115"/>
      <c r="GWW2474" s="115"/>
      <c r="GWX2474" s="115"/>
      <c r="GWY2474" s="115"/>
      <c r="GWZ2474" s="115"/>
      <c r="GXA2474" s="115"/>
      <c r="GXB2474" s="115"/>
      <c r="GXC2474" s="115"/>
      <c r="GXD2474" s="115"/>
      <c r="GXE2474" s="115"/>
      <c r="GXF2474" s="115"/>
      <c r="GXG2474" s="115"/>
      <c r="GXH2474" s="115"/>
      <c r="GXI2474" s="115"/>
      <c r="GXJ2474" s="115"/>
      <c r="GXK2474" s="115"/>
      <c r="GXL2474" s="115"/>
      <c r="GXM2474" s="115"/>
      <c r="GXN2474" s="115"/>
      <c r="GXO2474" s="115"/>
      <c r="GXP2474" s="115"/>
      <c r="GXQ2474" s="115"/>
      <c r="GXR2474" s="115"/>
      <c r="GXS2474" s="115"/>
      <c r="GXT2474" s="115"/>
      <c r="GXU2474" s="115"/>
      <c r="GXV2474" s="115"/>
      <c r="GXW2474" s="115"/>
      <c r="GXX2474" s="115"/>
      <c r="GXY2474" s="115"/>
      <c r="GXZ2474" s="115"/>
      <c r="GYA2474" s="115"/>
      <c r="GYB2474" s="115"/>
      <c r="GYC2474" s="115"/>
      <c r="GYD2474" s="115"/>
      <c r="GYE2474" s="115"/>
      <c r="GYF2474" s="115"/>
      <c r="GYG2474" s="115"/>
      <c r="GYH2474" s="115"/>
      <c r="GYI2474" s="115"/>
      <c r="GYJ2474" s="115"/>
      <c r="GYK2474" s="115"/>
      <c r="GYL2474" s="115"/>
      <c r="GYM2474" s="115"/>
      <c r="GYN2474" s="115"/>
      <c r="GYO2474" s="115"/>
      <c r="GYP2474" s="115"/>
      <c r="GYQ2474" s="115"/>
      <c r="GYR2474" s="115"/>
      <c r="GYS2474" s="115"/>
      <c r="GYT2474" s="115"/>
      <c r="GYU2474" s="115"/>
      <c r="GYV2474" s="115"/>
      <c r="GYW2474" s="115"/>
      <c r="GYX2474" s="115"/>
      <c r="GYY2474" s="115"/>
      <c r="GYZ2474" s="115"/>
      <c r="GZA2474" s="115"/>
      <c r="GZB2474" s="115"/>
      <c r="GZC2474" s="115"/>
      <c r="GZD2474" s="115"/>
      <c r="GZE2474" s="115"/>
      <c r="GZF2474" s="115"/>
      <c r="GZG2474" s="115"/>
      <c r="GZH2474" s="115"/>
      <c r="GZI2474" s="115"/>
      <c r="GZJ2474" s="115"/>
      <c r="GZK2474" s="115"/>
      <c r="GZL2474" s="115"/>
      <c r="GZM2474" s="115"/>
      <c r="GZN2474" s="115"/>
      <c r="GZO2474" s="115"/>
      <c r="GZP2474" s="115"/>
      <c r="GZQ2474" s="115"/>
      <c r="GZR2474" s="115"/>
      <c r="GZS2474" s="115"/>
      <c r="GZT2474" s="115"/>
      <c r="GZU2474" s="115"/>
      <c r="GZV2474" s="115"/>
      <c r="GZW2474" s="115"/>
      <c r="GZX2474" s="115"/>
      <c r="GZY2474" s="115"/>
      <c r="GZZ2474" s="115"/>
      <c r="HAA2474" s="115"/>
      <c r="HAB2474" s="115"/>
      <c r="HAC2474" s="115"/>
      <c r="HAD2474" s="115"/>
      <c r="HAE2474" s="115"/>
      <c r="HAF2474" s="115"/>
      <c r="HAG2474" s="115"/>
      <c r="HAH2474" s="115"/>
      <c r="HAI2474" s="115"/>
      <c r="HAJ2474" s="115"/>
      <c r="HAK2474" s="115"/>
      <c r="HAL2474" s="115"/>
      <c r="HAM2474" s="115"/>
      <c r="HAN2474" s="115"/>
      <c r="HAO2474" s="115"/>
      <c r="HAP2474" s="115"/>
      <c r="HAQ2474" s="115"/>
      <c r="HAR2474" s="115"/>
      <c r="HAS2474" s="115"/>
      <c r="HAT2474" s="115"/>
      <c r="HAU2474" s="115"/>
      <c r="HAV2474" s="115"/>
      <c r="HAW2474" s="115"/>
      <c r="HAX2474" s="115"/>
      <c r="HAY2474" s="115"/>
      <c r="HAZ2474" s="115"/>
      <c r="HBA2474" s="115"/>
      <c r="HBB2474" s="115"/>
      <c r="HBC2474" s="115"/>
      <c r="HBD2474" s="115"/>
      <c r="HBE2474" s="115"/>
      <c r="HBF2474" s="115"/>
      <c r="HBG2474" s="115"/>
      <c r="HBH2474" s="115"/>
      <c r="HBI2474" s="115"/>
      <c r="HBJ2474" s="115"/>
      <c r="HBK2474" s="115"/>
      <c r="HBL2474" s="115"/>
      <c r="HBM2474" s="115"/>
      <c r="HBN2474" s="115"/>
      <c r="HBO2474" s="115"/>
      <c r="HBP2474" s="115"/>
      <c r="HBQ2474" s="115"/>
      <c r="HBR2474" s="115"/>
      <c r="HBS2474" s="115"/>
      <c r="HBT2474" s="115"/>
      <c r="HBU2474" s="115"/>
      <c r="HBV2474" s="115"/>
      <c r="HBW2474" s="115"/>
      <c r="HBX2474" s="115"/>
      <c r="HBY2474" s="115"/>
      <c r="HBZ2474" s="115"/>
      <c r="HCA2474" s="115"/>
      <c r="HCB2474" s="115"/>
      <c r="HCC2474" s="115"/>
      <c r="HCD2474" s="115"/>
      <c r="HCE2474" s="115"/>
      <c r="HCF2474" s="115"/>
      <c r="HCG2474" s="115"/>
      <c r="HCH2474" s="115"/>
      <c r="HCI2474" s="115"/>
      <c r="HCJ2474" s="115"/>
      <c r="HCK2474" s="115"/>
      <c r="HCL2474" s="115"/>
      <c r="HCM2474" s="115"/>
      <c r="HCN2474" s="115"/>
      <c r="HCO2474" s="115"/>
      <c r="HCP2474" s="115"/>
      <c r="HCQ2474" s="115"/>
      <c r="HCR2474" s="115"/>
      <c r="HCS2474" s="115"/>
      <c r="HCT2474" s="115"/>
      <c r="HCU2474" s="115"/>
      <c r="HCV2474" s="115"/>
      <c r="HCW2474" s="115"/>
      <c r="HCX2474" s="115"/>
      <c r="HCY2474" s="115"/>
      <c r="HCZ2474" s="115"/>
      <c r="HDA2474" s="115"/>
      <c r="HDB2474" s="115"/>
      <c r="HDC2474" s="115"/>
      <c r="HDD2474" s="115"/>
      <c r="HDE2474" s="115"/>
      <c r="HDF2474" s="115"/>
      <c r="HDG2474" s="115"/>
      <c r="HDH2474" s="115"/>
      <c r="HDI2474" s="115"/>
      <c r="HDJ2474" s="115"/>
      <c r="HDK2474" s="115"/>
      <c r="HDL2474" s="115"/>
      <c r="HDM2474" s="115"/>
      <c r="HDN2474" s="115"/>
      <c r="HDO2474" s="115"/>
      <c r="HDP2474" s="115"/>
      <c r="HDQ2474" s="115"/>
      <c r="HDR2474" s="115"/>
      <c r="HDS2474" s="115"/>
      <c r="HDT2474" s="115"/>
      <c r="HDU2474" s="115"/>
      <c r="HDV2474" s="115"/>
      <c r="HDW2474" s="115"/>
      <c r="HDX2474" s="115"/>
      <c r="HDY2474" s="115"/>
      <c r="HDZ2474" s="115"/>
      <c r="HEA2474" s="115"/>
      <c r="HEB2474" s="115"/>
      <c r="HEC2474" s="115"/>
      <c r="HED2474" s="115"/>
      <c r="HEE2474" s="115"/>
      <c r="HEF2474" s="115"/>
      <c r="HEG2474" s="115"/>
      <c r="HEH2474" s="115"/>
      <c r="HEI2474" s="115"/>
      <c r="HEJ2474" s="115"/>
      <c r="HEK2474" s="115"/>
      <c r="HEL2474" s="115"/>
      <c r="HEM2474" s="115"/>
      <c r="HEN2474" s="115"/>
      <c r="HEO2474" s="115"/>
      <c r="HEP2474" s="115"/>
      <c r="HEQ2474" s="115"/>
      <c r="HER2474" s="115"/>
      <c r="HES2474" s="115"/>
      <c r="HET2474" s="115"/>
      <c r="HEU2474" s="115"/>
      <c r="HEV2474" s="115"/>
      <c r="HEW2474" s="115"/>
      <c r="HEX2474" s="115"/>
      <c r="HEY2474" s="115"/>
      <c r="HEZ2474" s="115"/>
      <c r="HFA2474" s="115"/>
      <c r="HFB2474" s="115"/>
      <c r="HFC2474" s="115"/>
      <c r="HFD2474" s="115"/>
      <c r="HFE2474" s="115"/>
      <c r="HFF2474" s="115"/>
      <c r="HFG2474" s="115"/>
      <c r="HFH2474" s="115"/>
      <c r="HFI2474" s="115"/>
      <c r="HFJ2474" s="115"/>
      <c r="HFK2474" s="115"/>
      <c r="HFL2474" s="115"/>
      <c r="HFM2474" s="115"/>
      <c r="HFN2474" s="115"/>
      <c r="HFO2474" s="115"/>
      <c r="HFP2474" s="115"/>
      <c r="HFQ2474" s="115"/>
      <c r="HFR2474" s="115"/>
      <c r="HFS2474" s="115"/>
      <c r="HFT2474" s="115"/>
      <c r="HFU2474" s="115"/>
      <c r="HFV2474" s="115"/>
      <c r="HFW2474" s="115"/>
      <c r="HFX2474" s="115"/>
      <c r="HFY2474" s="115"/>
      <c r="HFZ2474" s="115"/>
      <c r="HGA2474" s="115"/>
      <c r="HGB2474" s="115"/>
      <c r="HGC2474" s="115"/>
      <c r="HGD2474" s="115"/>
      <c r="HGE2474" s="115"/>
      <c r="HGF2474" s="115"/>
      <c r="HGG2474" s="115"/>
      <c r="HGH2474" s="115"/>
      <c r="HGI2474" s="115"/>
      <c r="HGJ2474" s="115"/>
      <c r="HGK2474" s="115"/>
      <c r="HGL2474" s="115"/>
      <c r="HGM2474" s="115"/>
      <c r="HGN2474" s="115"/>
      <c r="HGO2474" s="115"/>
      <c r="HGP2474" s="115"/>
      <c r="HGQ2474" s="115"/>
      <c r="HGR2474" s="115"/>
      <c r="HGS2474" s="115"/>
      <c r="HGT2474" s="115"/>
      <c r="HGU2474" s="115"/>
      <c r="HGV2474" s="115"/>
      <c r="HGW2474" s="115"/>
      <c r="HGX2474" s="115"/>
      <c r="HGY2474" s="115"/>
      <c r="HGZ2474" s="115"/>
      <c r="HHA2474" s="115"/>
      <c r="HHB2474" s="115"/>
      <c r="HHC2474" s="115"/>
      <c r="HHD2474" s="115"/>
      <c r="HHE2474" s="115"/>
      <c r="HHF2474" s="115"/>
      <c r="HHG2474" s="115"/>
      <c r="HHH2474" s="115"/>
      <c r="HHI2474" s="115"/>
      <c r="HHJ2474" s="115"/>
      <c r="HHK2474" s="115"/>
      <c r="HHL2474" s="115"/>
      <c r="HHM2474" s="115"/>
      <c r="HHN2474" s="115"/>
      <c r="HHO2474" s="115"/>
      <c r="HHP2474" s="115"/>
      <c r="HHQ2474" s="115"/>
      <c r="HHR2474" s="115"/>
      <c r="HHS2474" s="115"/>
      <c r="HHT2474" s="115"/>
      <c r="HHU2474" s="115"/>
      <c r="HHV2474" s="115"/>
      <c r="HHW2474" s="115"/>
      <c r="HHX2474" s="115"/>
      <c r="HHY2474" s="115"/>
      <c r="HHZ2474" s="115"/>
      <c r="HIA2474" s="115"/>
      <c r="HIB2474" s="115"/>
      <c r="HIC2474" s="115"/>
      <c r="HID2474" s="115"/>
      <c r="HIE2474" s="115"/>
      <c r="HIF2474" s="115"/>
      <c r="HIG2474" s="115"/>
      <c r="HIH2474" s="115"/>
      <c r="HII2474" s="115"/>
      <c r="HIJ2474" s="115"/>
      <c r="HIK2474" s="115"/>
      <c r="HIL2474" s="115"/>
      <c r="HIM2474" s="115"/>
      <c r="HIN2474" s="115"/>
      <c r="HIO2474" s="115"/>
      <c r="HIP2474" s="115"/>
      <c r="HIQ2474" s="115"/>
      <c r="HIR2474" s="115"/>
      <c r="HIS2474" s="115"/>
      <c r="HIT2474" s="115"/>
      <c r="HIU2474" s="115"/>
      <c r="HIV2474" s="115"/>
      <c r="HIW2474" s="115"/>
      <c r="HIX2474" s="115"/>
      <c r="HIY2474" s="115"/>
      <c r="HIZ2474" s="115"/>
      <c r="HJA2474" s="115"/>
      <c r="HJB2474" s="115"/>
      <c r="HJC2474" s="115"/>
      <c r="HJD2474" s="115"/>
      <c r="HJE2474" s="115"/>
      <c r="HJF2474" s="115"/>
      <c r="HJG2474" s="115"/>
      <c r="HJH2474" s="115"/>
      <c r="HJI2474" s="115"/>
      <c r="HJJ2474" s="115"/>
      <c r="HJK2474" s="115"/>
      <c r="HJL2474" s="115"/>
      <c r="HJM2474" s="115"/>
      <c r="HJN2474" s="115"/>
      <c r="HJO2474" s="115"/>
      <c r="HJP2474" s="115"/>
      <c r="HJQ2474" s="115"/>
      <c r="HJR2474" s="115"/>
      <c r="HJS2474" s="115"/>
      <c r="HJT2474" s="115"/>
      <c r="HJU2474" s="115"/>
      <c r="HJV2474" s="115"/>
      <c r="HJW2474" s="115"/>
      <c r="HJX2474" s="115"/>
      <c r="HJY2474" s="115"/>
      <c r="HJZ2474" s="115"/>
      <c r="HKA2474" s="115"/>
      <c r="HKB2474" s="115"/>
      <c r="HKC2474" s="115"/>
      <c r="HKD2474" s="115"/>
      <c r="HKE2474" s="115"/>
      <c r="HKF2474" s="115"/>
      <c r="HKG2474" s="115"/>
      <c r="HKH2474" s="115"/>
      <c r="HKI2474" s="115"/>
      <c r="HKJ2474" s="115"/>
      <c r="HKK2474" s="115"/>
      <c r="HKL2474" s="115"/>
      <c r="HKM2474" s="115"/>
      <c r="HKN2474" s="115"/>
      <c r="HKO2474" s="115"/>
      <c r="HKP2474" s="115"/>
      <c r="HKQ2474" s="115"/>
      <c r="HKR2474" s="115"/>
      <c r="HKS2474" s="115"/>
      <c r="HKT2474" s="115"/>
      <c r="HKU2474" s="115"/>
      <c r="HKV2474" s="115"/>
      <c r="HKW2474" s="115"/>
      <c r="HKX2474" s="115"/>
      <c r="HKY2474" s="115"/>
      <c r="HKZ2474" s="115"/>
      <c r="HLA2474" s="115"/>
      <c r="HLB2474" s="115"/>
      <c r="HLC2474" s="115"/>
      <c r="HLD2474" s="115"/>
      <c r="HLE2474" s="115"/>
      <c r="HLF2474" s="115"/>
      <c r="HLG2474" s="115"/>
      <c r="HLH2474" s="115"/>
      <c r="HLI2474" s="115"/>
      <c r="HLJ2474" s="115"/>
      <c r="HLK2474" s="115"/>
      <c r="HLL2474" s="115"/>
      <c r="HLM2474" s="115"/>
      <c r="HLN2474" s="115"/>
      <c r="HLO2474" s="115"/>
      <c r="HLP2474" s="115"/>
      <c r="HLQ2474" s="115"/>
      <c r="HLR2474" s="115"/>
      <c r="HLS2474" s="115"/>
      <c r="HLT2474" s="115"/>
      <c r="HLU2474" s="115"/>
      <c r="HLV2474" s="115"/>
      <c r="HLW2474" s="115"/>
      <c r="HLX2474" s="115"/>
      <c r="HLY2474" s="115"/>
      <c r="HLZ2474" s="115"/>
      <c r="HMA2474" s="115"/>
      <c r="HMB2474" s="115"/>
      <c r="HMC2474" s="115"/>
      <c r="HMD2474" s="115"/>
      <c r="HME2474" s="115"/>
      <c r="HMF2474" s="115"/>
      <c r="HMG2474" s="115"/>
      <c r="HMH2474" s="115"/>
      <c r="HMI2474" s="115"/>
      <c r="HMJ2474" s="115"/>
      <c r="HMK2474" s="115"/>
      <c r="HML2474" s="115"/>
      <c r="HMM2474" s="115"/>
      <c r="HMN2474" s="115"/>
      <c r="HMO2474" s="115"/>
      <c r="HMP2474" s="115"/>
      <c r="HMQ2474" s="115"/>
      <c r="HMR2474" s="115"/>
      <c r="HMS2474" s="115"/>
      <c r="HMT2474" s="115"/>
      <c r="HMU2474" s="115"/>
      <c r="HMV2474" s="115"/>
      <c r="HMW2474" s="115"/>
      <c r="HMX2474" s="115"/>
      <c r="HMY2474" s="115"/>
      <c r="HMZ2474" s="115"/>
      <c r="HNA2474" s="115"/>
      <c r="HNB2474" s="115"/>
      <c r="HNC2474" s="115"/>
      <c r="HND2474" s="115"/>
      <c r="HNE2474" s="115"/>
      <c r="HNF2474" s="115"/>
      <c r="HNG2474" s="115"/>
      <c r="HNH2474" s="115"/>
      <c r="HNI2474" s="115"/>
      <c r="HNJ2474" s="115"/>
      <c r="HNK2474" s="115"/>
      <c r="HNL2474" s="115"/>
      <c r="HNM2474" s="115"/>
      <c r="HNN2474" s="115"/>
      <c r="HNO2474" s="115"/>
      <c r="HNP2474" s="115"/>
      <c r="HNQ2474" s="115"/>
      <c r="HNR2474" s="115"/>
      <c r="HNS2474" s="115"/>
      <c r="HNT2474" s="115"/>
      <c r="HNU2474" s="115"/>
      <c r="HNV2474" s="115"/>
      <c r="HNW2474" s="115"/>
      <c r="HNX2474" s="115"/>
      <c r="HNY2474" s="115"/>
      <c r="HNZ2474" s="115"/>
      <c r="HOA2474" s="115"/>
      <c r="HOB2474" s="115"/>
      <c r="HOC2474" s="115"/>
      <c r="HOD2474" s="115"/>
      <c r="HOE2474" s="115"/>
      <c r="HOF2474" s="115"/>
      <c r="HOG2474" s="115"/>
      <c r="HOH2474" s="115"/>
      <c r="HOI2474" s="115"/>
      <c r="HOJ2474" s="115"/>
      <c r="HOK2474" s="115"/>
      <c r="HOL2474" s="115"/>
      <c r="HOM2474" s="115"/>
      <c r="HON2474" s="115"/>
      <c r="HOO2474" s="115"/>
      <c r="HOP2474" s="115"/>
      <c r="HOQ2474" s="115"/>
      <c r="HOR2474" s="115"/>
      <c r="HOS2474" s="115"/>
      <c r="HOT2474" s="115"/>
      <c r="HOU2474" s="115"/>
      <c r="HOV2474" s="115"/>
      <c r="HOW2474" s="115"/>
      <c r="HOX2474" s="115"/>
      <c r="HOY2474" s="115"/>
      <c r="HOZ2474" s="115"/>
      <c r="HPA2474" s="115"/>
      <c r="HPB2474" s="115"/>
      <c r="HPC2474" s="115"/>
      <c r="HPD2474" s="115"/>
      <c r="HPE2474" s="115"/>
      <c r="HPF2474" s="115"/>
      <c r="HPG2474" s="115"/>
      <c r="HPH2474" s="115"/>
      <c r="HPI2474" s="115"/>
      <c r="HPJ2474" s="115"/>
      <c r="HPK2474" s="115"/>
      <c r="HPL2474" s="115"/>
      <c r="HPM2474" s="115"/>
      <c r="HPN2474" s="115"/>
      <c r="HPO2474" s="115"/>
      <c r="HPP2474" s="115"/>
      <c r="HPQ2474" s="115"/>
      <c r="HPR2474" s="115"/>
      <c r="HPS2474" s="115"/>
      <c r="HPT2474" s="115"/>
      <c r="HPU2474" s="115"/>
      <c r="HPV2474" s="115"/>
      <c r="HPW2474" s="115"/>
      <c r="HPX2474" s="115"/>
      <c r="HPY2474" s="115"/>
      <c r="HPZ2474" s="115"/>
      <c r="HQA2474" s="115"/>
      <c r="HQB2474" s="115"/>
      <c r="HQC2474" s="115"/>
      <c r="HQD2474" s="115"/>
      <c r="HQE2474" s="115"/>
      <c r="HQF2474" s="115"/>
      <c r="HQG2474" s="115"/>
      <c r="HQH2474" s="115"/>
      <c r="HQI2474" s="115"/>
      <c r="HQJ2474" s="115"/>
      <c r="HQK2474" s="115"/>
      <c r="HQL2474" s="115"/>
      <c r="HQM2474" s="115"/>
      <c r="HQN2474" s="115"/>
      <c r="HQO2474" s="115"/>
      <c r="HQP2474" s="115"/>
      <c r="HQQ2474" s="115"/>
      <c r="HQR2474" s="115"/>
      <c r="HQS2474" s="115"/>
      <c r="HQT2474" s="115"/>
      <c r="HQU2474" s="115"/>
      <c r="HQV2474" s="115"/>
      <c r="HQW2474" s="115"/>
      <c r="HQX2474" s="115"/>
      <c r="HQY2474" s="115"/>
      <c r="HQZ2474" s="115"/>
      <c r="HRA2474" s="115"/>
      <c r="HRB2474" s="115"/>
      <c r="HRC2474" s="115"/>
      <c r="HRD2474" s="115"/>
      <c r="HRE2474" s="115"/>
      <c r="HRF2474" s="115"/>
      <c r="HRG2474" s="115"/>
      <c r="HRH2474" s="115"/>
      <c r="HRI2474" s="115"/>
      <c r="HRJ2474" s="115"/>
      <c r="HRK2474" s="115"/>
      <c r="HRL2474" s="115"/>
      <c r="HRM2474" s="115"/>
      <c r="HRN2474" s="115"/>
      <c r="HRO2474" s="115"/>
      <c r="HRP2474" s="115"/>
      <c r="HRQ2474" s="115"/>
      <c r="HRR2474" s="115"/>
      <c r="HRS2474" s="115"/>
      <c r="HRT2474" s="115"/>
      <c r="HRU2474" s="115"/>
      <c r="HRV2474" s="115"/>
      <c r="HRW2474" s="115"/>
      <c r="HRX2474" s="115"/>
      <c r="HRY2474" s="115"/>
      <c r="HRZ2474" s="115"/>
      <c r="HSA2474" s="115"/>
      <c r="HSB2474" s="115"/>
      <c r="HSC2474" s="115"/>
      <c r="HSD2474" s="115"/>
      <c r="HSE2474" s="115"/>
      <c r="HSF2474" s="115"/>
      <c r="HSG2474" s="115"/>
      <c r="HSH2474" s="115"/>
      <c r="HSI2474" s="115"/>
      <c r="HSJ2474" s="115"/>
      <c r="HSK2474" s="115"/>
      <c r="HSL2474" s="115"/>
      <c r="HSM2474" s="115"/>
      <c r="HSN2474" s="115"/>
      <c r="HSO2474" s="115"/>
      <c r="HSP2474" s="115"/>
      <c r="HSQ2474" s="115"/>
      <c r="HSR2474" s="115"/>
      <c r="HSS2474" s="115"/>
      <c r="HST2474" s="115"/>
      <c r="HSU2474" s="115"/>
      <c r="HSV2474" s="115"/>
      <c r="HSW2474" s="115"/>
      <c r="HSX2474" s="115"/>
      <c r="HSY2474" s="115"/>
      <c r="HSZ2474" s="115"/>
      <c r="HTA2474" s="115"/>
      <c r="HTB2474" s="115"/>
      <c r="HTC2474" s="115"/>
      <c r="HTD2474" s="115"/>
      <c r="HTE2474" s="115"/>
      <c r="HTF2474" s="115"/>
      <c r="HTG2474" s="115"/>
      <c r="HTH2474" s="115"/>
      <c r="HTI2474" s="115"/>
      <c r="HTJ2474" s="115"/>
      <c r="HTK2474" s="115"/>
      <c r="HTL2474" s="115"/>
      <c r="HTM2474" s="115"/>
      <c r="HTN2474" s="115"/>
      <c r="HTO2474" s="115"/>
      <c r="HTP2474" s="115"/>
      <c r="HTQ2474" s="115"/>
      <c r="HTR2474" s="115"/>
      <c r="HTS2474" s="115"/>
      <c r="HTT2474" s="115"/>
      <c r="HTU2474" s="115"/>
      <c r="HTV2474" s="115"/>
      <c r="HTW2474" s="115"/>
      <c r="HTX2474" s="115"/>
      <c r="HTY2474" s="115"/>
      <c r="HTZ2474" s="115"/>
      <c r="HUA2474" s="115"/>
      <c r="HUB2474" s="115"/>
      <c r="HUC2474" s="115"/>
      <c r="HUD2474" s="115"/>
      <c r="HUE2474" s="115"/>
      <c r="HUF2474" s="115"/>
      <c r="HUG2474" s="115"/>
      <c r="HUH2474" s="115"/>
      <c r="HUI2474" s="115"/>
      <c r="HUJ2474" s="115"/>
      <c r="HUK2474" s="115"/>
      <c r="HUL2474" s="115"/>
      <c r="HUM2474" s="115"/>
      <c r="HUN2474" s="115"/>
      <c r="HUO2474" s="115"/>
      <c r="HUP2474" s="115"/>
      <c r="HUQ2474" s="115"/>
      <c r="HUR2474" s="115"/>
      <c r="HUS2474" s="115"/>
      <c r="HUT2474" s="115"/>
      <c r="HUU2474" s="115"/>
      <c r="HUV2474" s="115"/>
      <c r="HUW2474" s="115"/>
      <c r="HUX2474" s="115"/>
      <c r="HUY2474" s="115"/>
      <c r="HUZ2474" s="115"/>
      <c r="HVA2474" s="115"/>
      <c r="HVB2474" s="115"/>
      <c r="HVC2474" s="115"/>
      <c r="HVD2474" s="115"/>
      <c r="HVE2474" s="115"/>
      <c r="HVF2474" s="115"/>
      <c r="HVG2474" s="115"/>
      <c r="HVH2474" s="115"/>
      <c r="HVI2474" s="115"/>
      <c r="HVJ2474" s="115"/>
      <c r="HVK2474" s="115"/>
      <c r="HVL2474" s="115"/>
      <c r="HVM2474" s="115"/>
      <c r="HVN2474" s="115"/>
      <c r="HVO2474" s="115"/>
      <c r="HVP2474" s="115"/>
      <c r="HVQ2474" s="115"/>
      <c r="HVR2474" s="115"/>
      <c r="HVS2474" s="115"/>
      <c r="HVT2474" s="115"/>
      <c r="HVU2474" s="115"/>
      <c r="HVV2474" s="115"/>
      <c r="HVW2474" s="115"/>
      <c r="HVX2474" s="115"/>
      <c r="HVY2474" s="115"/>
      <c r="HVZ2474" s="115"/>
      <c r="HWA2474" s="115"/>
      <c r="HWB2474" s="115"/>
      <c r="HWC2474" s="115"/>
      <c r="HWD2474" s="115"/>
      <c r="HWE2474" s="115"/>
      <c r="HWF2474" s="115"/>
      <c r="HWG2474" s="115"/>
      <c r="HWH2474" s="115"/>
      <c r="HWI2474" s="115"/>
      <c r="HWJ2474" s="115"/>
      <c r="HWK2474" s="115"/>
      <c r="HWL2474" s="115"/>
      <c r="HWM2474" s="115"/>
      <c r="HWN2474" s="115"/>
      <c r="HWO2474" s="115"/>
      <c r="HWP2474" s="115"/>
      <c r="HWQ2474" s="115"/>
      <c r="HWR2474" s="115"/>
      <c r="HWS2474" s="115"/>
      <c r="HWT2474" s="115"/>
      <c r="HWU2474" s="115"/>
      <c r="HWV2474" s="115"/>
      <c r="HWW2474" s="115"/>
      <c r="HWX2474" s="115"/>
      <c r="HWY2474" s="115"/>
      <c r="HWZ2474" s="115"/>
      <c r="HXA2474" s="115"/>
      <c r="HXB2474" s="115"/>
      <c r="HXC2474" s="115"/>
      <c r="HXD2474" s="115"/>
      <c r="HXE2474" s="115"/>
      <c r="HXF2474" s="115"/>
      <c r="HXG2474" s="115"/>
      <c r="HXH2474" s="115"/>
      <c r="HXI2474" s="115"/>
      <c r="HXJ2474" s="115"/>
      <c r="HXK2474" s="115"/>
      <c r="HXL2474" s="115"/>
      <c r="HXM2474" s="115"/>
      <c r="HXN2474" s="115"/>
      <c r="HXO2474" s="115"/>
      <c r="HXP2474" s="115"/>
      <c r="HXQ2474" s="115"/>
      <c r="HXR2474" s="115"/>
      <c r="HXS2474" s="115"/>
      <c r="HXT2474" s="115"/>
      <c r="HXU2474" s="115"/>
      <c r="HXV2474" s="115"/>
      <c r="HXW2474" s="115"/>
      <c r="HXX2474" s="115"/>
      <c r="HXY2474" s="115"/>
      <c r="HXZ2474" s="115"/>
      <c r="HYA2474" s="115"/>
      <c r="HYB2474" s="115"/>
      <c r="HYC2474" s="115"/>
      <c r="HYD2474" s="115"/>
      <c r="HYE2474" s="115"/>
      <c r="HYF2474" s="115"/>
      <c r="HYG2474" s="115"/>
      <c r="HYH2474" s="115"/>
      <c r="HYI2474" s="115"/>
      <c r="HYJ2474" s="115"/>
      <c r="HYK2474" s="115"/>
      <c r="HYL2474" s="115"/>
      <c r="HYM2474" s="115"/>
      <c r="HYN2474" s="115"/>
      <c r="HYO2474" s="115"/>
      <c r="HYP2474" s="115"/>
      <c r="HYQ2474" s="115"/>
      <c r="HYR2474" s="115"/>
      <c r="HYS2474" s="115"/>
      <c r="HYT2474" s="115"/>
      <c r="HYU2474" s="115"/>
      <c r="HYV2474" s="115"/>
      <c r="HYW2474" s="115"/>
      <c r="HYX2474" s="115"/>
      <c r="HYY2474" s="115"/>
      <c r="HYZ2474" s="115"/>
      <c r="HZA2474" s="115"/>
      <c r="HZB2474" s="115"/>
      <c r="HZC2474" s="115"/>
      <c r="HZD2474" s="115"/>
      <c r="HZE2474" s="115"/>
      <c r="HZF2474" s="115"/>
      <c r="HZG2474" s="115"/>
      <c r="HZH2474" s="115"/>
      <c r="HZI2474" s="115"/>
      <c r="HZJ2474" s="115"/>
      <c r="HZK2474" s="115"/>
      <c r="HZL2474" s="115"/>
      <c r="HZM2474" s="115"/>
      <c r="HZN2474" s="115"/>
      <c r="HZO2474" s="115"/>
      <c r="HZP2474" s="115"/>
      <c r="HZQ2474" s="115"/>
      <c r="HZR2474" s="115"/>
      <c r="HZS2474" s="115"/>
      <c r="HZT2474" s="115"/>
      <c r="HZU2474" s="115"/>
      <c r="HZV2474" s="115"/>
      <c r="HZW2474" s="115"/>
      <c r="HZX2474" s="115"/>
      <c r="HZY2474" s="115"/>
      <c r="HZZ2474" s="115"/>
      <c r="IAA2474" s="115"/>
      <c r="IAB2474" s="115"/>
      <c r="IAC2474" s="115"/>
      <c r="IAD2474" s="115"/>
      <c r="IAE2474" s="115"/>
      <c r="IAF2474" s="115"/>
      <c r="IAG2474" s="115"/>
      <c r="IAH2474" s="115"/>
      <c r="IAI2474" s="115"/>
      <c r="IAJ2474" s="115"/>
      <c r="IAK2474" s="115"/>
      <c r="IAL2474" s="115"/>
      <c r="IAM2474" s="115"/>
      <c r="IAN2474" s="115"/>
      <c r="IAO2474" s="115"/>
      <c r="IAP2474" s="115"/>
      <c r="IAQ2474" s="115"/>
      <c r="IAR2474" s="115"/>
      <c r="IAS2474" s="115"/>
      <c r="IAT2474" s="115"/>
      <c r="IAU2474" s="115"/>
      <c r="IAV2474" s="115"/>
      <c r="IAW2474" s="115"/>
      <c r="IAX2474" s="115"/>
      <c r="IAY2474" s="115"/>
      <c r="IAZ2474" s="115"/>
      <c r="IBA2474" s="115"/>
      <c r="IBB2474" s="115"/>
      <c r="IBC2474" s="115"/>
      <c r="IBD2474" s="115"/>
      <c r="IBE2474" s="115"/>
      <c r="IBF2474" s="115"/>
      <c r="IBG2474" s="115"/>
      <c r="IBH2474" s="115"/>
      <c r="IBI2474" s="115"/>
      <c r="IBJ2474" s="115"/>
      <c r="IBK2474" s="115"/>
      <c r="IBL2474" s="115"/>
      <c r="IBM2474" s="115"/>
      <c r="IBN2474" s="115"/>
      <c r="IBO2474" s="115"/>
      <c r="IBP2474" s="115"/>
      <c r="IBQ2474" s="115"/>
      <c r="IBR2474" s="115"/>
      <c r="IBS2474" s="115"/>
      <c r="IBT2474" s="115"/>
      <c r="IBU2474" s="115"/>
      <c r="IBV2474" s="115"/>
      <c r="IBW2474" s="115"/>
      <c r="IBX2474" s="115"/>
      <c r="IBY2474" s="115"/>
      <c r="IBZ2474" s="115"/>
      <c r="ICA2474" s="115"/>
      <c r="ICB2474" s="115"/>
      <c r="ICC2474" s="115"/>
      <c r="ICD2474" s="115"/>
      <c r="ICE2474" s="115"/>
      <c r="ICF2474" s="115"/>
      <c r="ICG2474" s="115"/>
      <c r="ICH2474" s="115"/>
      <c r="ICI2474" s="115"/>
      <c r="ICJ2474" s="115"/>
      <c r="ICK2474" s="115"/>
      <c r="ICL2474" s="115"/>
      <c r="ICM2474" s="115"/>
      <c r="ICN2474" s="115"/>
      <c r="ICO2474" s="115"/>
      <c r="ICP2474" s="115"/>
      <c r="ICQ2474" s="115"/>
      <c r="ICR2474" s="115"/>
      <c r="ICS2474" s="115"/>
      <c r="ICT2474" s="115"/>
      <c r="ICU2474" s="115"/>
      <c r="ICV2474" s="115"/>
      <c r="ICW2474" s="115"/>
      <c r="ICX2474" s="115"/>
      <c r="ICY2474" s="115"/>
      <c r="ICZ2474" s="115"/>
      <c r="IDA2474" s="115"/>
      <c r="IDB2474" s="115"/>
      <c r="IDC2474" s="115"/>
      <c r="IDD2474" s="115"/>
      <c r="IDE2474" s="115"/>
      <c r="IDF2474" s="115"/>
      <c r="IDG2474" s="115"/>
      <c r="IDH2474" s="115"/>
      <c r="IDI2474" s="115"/>
      <c r="IDJ2474" s="115"/>
      <c r="IDK2474" s="115"/>
      <c r="IDL2474" s="115"/>
      <c r="IDM2474" s="115"/>
      <c r="IDN2474" s="115"/>
      <c r="IDO2474" s="115"/>
      <c r="IDP2474" s="115"/>
      <c r="IDQ2474" s="115"/>
      <c r="IDR2474" s="115"/>
      <c r="IDS2474" s="115"/>
      <c r="IDT2474" s="115"/>
      <c r="IDU2474" s="115"/>
      <c r="IDV2474" s="115"/>
      <c r="IDW2474" s="115"/>
      <c r="IDX2474" s="115"/>
      <c r="IDY2474" s="115"/>
      <c r="IDZ2474" s="115"/>
      <c r="IEA2474" s="115"/>
      <c r="IEB2474" s="115"/>
      <c r="IEC2474" s="115"/>
      <c r="IED2474" s="115"/>
      <c r="IEE2474" s="115"/>
      <c r="IEF2474" s="115"/>
      <c r="IEG2474" s="115"/>
      <c r="IEH2474" s="115"/>
      <c r="IEI2474" s="115"/>
      <c r="IEJ2474" s="115"/>
      <c r="IEK2474" s="115"/>
      <c r="IEL2474" s="115"/>
      <c r="IEM2474" s="115"/>
      <c r="IEN2474" s="115"/>
      <c r="IEO2474" s="115"/>
      <c r="IEP2474" s="115"/>
      <c r="IEQ2474" s="115"/>
      <c r="IER2474" s="115"/>
      <c r="IES2474" s="115"/>
      <c r="IET2474" s="115"/>
      <c r="IEU2474" s="115"/>
      <c r="IEV2474" s="115"/>
      <c r="IEW2474" s="115"/>
      <c r="IEX2474" s="115"/>
      <c r="IEY2474" s="115"/>
      <c r="IEZ2474" s="115"/>
      <c r="IFA2474" s="115"/>
      <c r="IFB2474" s="115"/>
      <c r="IFC2474" s="115"/>
      <c r="IFD2474" s="115"/>
      <c r="IFE2474" s="115"/>
      <c r="IFF2474" s="115"/>
      <c r="IFG2474" s="115"/>
      <c r="IFH2474" s="115"/>
      <c r="IFI2474" s="115"/>
      <c r="IFJ2474" s="115"/>
      <c r="IFK2474" s="115"/>
      <c r="IFL2474" s="115"/>
      <c r="IFM2474" s="115"/>
      <c r="IFN2474" s="115"/>
      <c r="IFO2474" s="115"/>
      <c r="IFP2474" s="115"/>
      <c r="IFQ2474" s="115"/>
      <c r="IFR2474" s="115"/>
      <c r="IFS2474" s="115"/>
      <c r="IFT2474" s="115"/>
      <c r="IFU2474" s="115"/>
      <c r="IFV2474" s="115"/>
      <c r="IFW2474" s="115"/>
      <c r="IFX2474" s="115"/>
      <c r="IFY2474" s="115"/>
      <c r="IFZ2474" s="115"/>
      <c r="IGA2474" s="115"/>
      <c r="IGB2474" s="115"/>
      <c r="IGC2474" s="115"/>
      <c r="IGD2474" s="115"/>
      <c r="IGE2474" s="115"/>
      <c r="IGF2474" s="115"/>
      <c r="IGG2474" s="115"/>
      <c r="IGH2474" s="115"/>
      <c r="IGI2474" s="115"/>
      <c r="IGJ2474" s="115"/>
      <c r="IGK2474" s="115"/>
      <c r="IGL2474" s="115"/>
      <c r="IGM2474" s="115"/>
      <c r="IGN2474" s="115"/>
      <c r="IGO2474" s="115"/>
      <c r="IGP2474" s="115"/>
      <c r="IGQ2474" s="115"/>
      <c r="IGR2474" s="115"/>
      <c r="IGS2474" s="115"/>
      <c r="IGT2474" s="115"/>
      <c r="IGU2474" s="115"/>
      <c r="IGV2474" s="115"/>
      <c r="IGW2474" s="115"/>
      <c r="IGX2474" s="115"/>
      <c r="IGY2474" s="115"/>
      <c r="IGZ2474" s="115"/>
      <c r="IHA2474" s="115"/>
      <c r="IHB2474" s="115"/>
      <c r="IHC2474" s="115"/>
      <c r="IHD2474" s="115"/>
      <c r="IHE2474" s="115"/>
      <c r="IHF2474" s="115"/>
      <c r="IHG2474" s="115"/>
      <c r="IHH2474" s="115"/>
      <c r="IHI2474" s="115"/>
      <c r="IHJ2474" s="115"/>
      <c r="IHK2474" s="115"/>
      <c r="IHL2474" s="115"/>
      <c r="IHM2474" s="115"/>
      <c r="IHN2474" s="115"/>
      <c r="IHO2474" s="115"/>
      <c r="IHP2474" s="115"/>
      <c r="IHQ2474" s="115"/>
      <c r="IHR2474" s="115"/>
      <c r="IHS2474" s="115"/>
      <c r="IHT2474" s="115"/>
      <c r="IHU2474" s="115"/>
      <c r="IHV2474" s="115"/>
      <c r="IHW2474" s="115"/>
      <c r="IHX2474" s="115"/>
      <c r="IHY2474" s="115"/>
      <c r="IHZ2474" s="115"/>
      <c r="IIA2474" s="115"/>
      <c r="IIB2474" s="115"/>
      <c r="IIC2474" s="115"/>
      <c r="IID2474" s="115"/>
      <c r="IIE2474" s="115"/>
      <c r="IIF2474" s="115"/>
      <c r="IIG2474" s="115"/>
      <c r="IIH2474" s="115"/>
      <c r="III2474" s="115"/>
      <c r="IIJ2474" s="115"/>
      <c r="IIK2474" s="115"/>
      <c r="IIL2474" s="115"/>
      <c r="IIM2474" s="115"/>
      <c r="IIN2474" s="115"/>
      <c r="IIO2474" s="115"/>
      <c r="IIP2474" s="115"/>
      <c r="IIQ2474" s="115"/>
      <c r="IIR2474" s="115"/>
      <c r="IIS2474" s="115"/>
      <c r="IIT2474" s="115"/>
      <c r="IIU2474" s="115"/>
      <c r="IIV2474" s="115"/>
      <c r="IIW2474" s="115"/>
      <c r="IIX2474" s="115"/>
      <c r="IIY2474" s="115"/>
      <c r="IIZ2474" s="115"/>
      <c r="IJA2474" s="115"/>
      <c r="IJB2474" s="115"/>
      <c r="IJC2474" s="115"/>
      <c r="IJD2474" s="115"/>
      <c r="IJE2474" s="115"/>
      <c r="IJF2474" s="115"/>
      <c r="IJG2474" s="115"/>
      <c r="IJH2474" s="115"/>
      <c r="IJI2474" s="115"/>
      <c r="IJJ2474" s="115"/>
      <c r="IJK2474" s="115"/>
      <c r="IJL2474" s="115"/>
      <c r="IJM2474" s="115"/>
      <c r="IJN2474" s="115"/>
      <c r="IJO2474" s="115"/>
      <c r="IJP2474" s="115"/>
      <c r="IJQ2474" s="115"/>
      <c r="IJR2474" s="115"/>
      <c r="IJS2474" s="115"/>
      <c r="IJT2474" s="115"/>
      <c r="IJU2474" s="115"/>
      <c r="IJV2474" s="115"/>
      <c r="IJW2474" s="115"/>
      <c r="IJX2474" s="115"/>
      <c r="IJY2474" s="115"/>
      <c r="IJZ2474" s="115"/>
      <c r="IKA2474" s="115"/>
      <c r="IKB2474" s="115"/>
      <c r="IKC2474" s="115"/>
      <c r="IKD2474" s="115"/>
      <c r="IKE2474" s="115"/>
      <c r="IKF2474" s="115"/>
      <c r="IKG2474" s="115"/>
      <c r="IKH2474" s="115"/>
      <c r="IKI2474" s="115"/>
      <c r="IKJ2474" s="115"/>
      <c r="IKK2474" s="115"/>
      <c r="IKL2474" s="115"/>
      <c r="IKM2474" s="115"/>
      <c r="IKN2474" s="115"/>
      <c r="IKO2474" s="115"/>
      <c r="IKP2474" s="115"/>
      <c r="IKQ2474" s="115"/>
      <c r="IKR2474" s="115"/>
      <c r="IKS2474" s="115"/>
      <c r="IKT2474" s="115"/>
      <c r="IKU2474" s="115"/>
      <c r="IKV2474" s="115"/>
      <c r="IKW2474" s="115"/>
      <c r="IKX2474" s="115"/>
      <c r="IKY2474" s="115"/>
      <c r="IKZ2474" s="115"/>
      <c r="ILA2474" s="115"/>
      <c r="ILB2474" s="115"/>
      <c r="ILC2474" s="115"/>
      <c r="ILD2474" s="115"/>
      <c r="ILE2474" s="115"/>
      <c r="ILF2474" s="115"/>
      <c r="ILG2474" s="115"/>
      <c r="ILH2474" s="115"/>
      <c r="ILI2474" s="115"/>
      <c r="ILJ2474" s="115"/>
      <c r="ILK2474" s="115"/>
      <c r="ILL2474" s="115"/>
      <c r="ILM2474" s="115"/>
      <c r="ILN2474" s="115"/>
      <c r="ILO2474" s="115"/>
      <c r="ILP2474" s="115"/>
      <c r="ILQ2474" s="115"/>
      <c r="ILR2474" s="115"/>
      <c r="ILS2474" s="115"/>
      <c r="ILT2474" s="115"/>
      <c r="ILU2474" s="115"/>
      <c r="ILV2474" s="115"/>
      <c r="ILW2474" s="115"/>
      <c r="ILX2474" s="115"/>
      <c r="ILY2474" s="115"/>
      <c r="ILZ2474" s="115"/>
      <c r="IMA2474" s="115"/>
      <c r="IMB2474" s="115"/>
      <c r="IMC2474" s="115"/>
      <c r="IMD2474" s="115"/>
      <c r="IME2474" s="115"/>
      <c r="IMF2474" s="115"/>
      <c r="IMG2474" s="115"/>
      <c r="IMH2474" s="115"/>
      <c r="IMI2474" s="115"/>
      <c r="IMJ2474" s="115"/>
      <c r="IMK2474" s="115"/>
      <c r="IML2474" s="115"/>
      <c r="IMM2474" s="115"/>
      <c r="IMN2474" s="115"/>
      <c r="IMO2474" s="115"/>
      <c r="IMP2474" s="115"/>
      <c r="IMQ2474" s="115"/>
      <c r="IMR2474" s="115"/>
      <c r="IMS2474" s="115"/>
      <c r="IMT2474" s="115"/>
      <c r="IMU2474" s="115"/>
      <c r="IMV2474" s="115"/>
      <c r="IMW2474" s="115"/>
      <c r="IMX2474" s="115"/>
      <c r="IMY2474" s="115"/>
      <c r="IMZ2474" s="115"/>
      <c r="INA2474" s="115"/>
      <c r="INB2474" s="115"/>
      <c r="INC2474" s="115"/>
      <c r="IND2474" s="115"/>
      <c r="INE2474" s="115"/>
      <c r="INF2474" s="115"/>
      <c r="ING2474" s="115"/>
      <c r="INH2474" s="115"/>
      <c r="INI2474" s="115"/>
      <c r="INJ2474" s="115"/>
      <c r="INK2474" s="115"/>
      <c r="INL2474" s="115"/>
      <c r="INM2474" s="115"/>
      <c r="INN2474" s="115"/>
      <c r="INO2474" s="115"/>
      <c r="INP2474" s="115"/>
      <c r="INQ2474" s="115"/>
      <c r="INR2474" s="115"/>
      <c r="INS2474" s="115"/>
      <c r="INT2474" s="115"/>
      <c r="INU2474" s="115"/>
      <c r="INV2474" s="115"/>
      <c r="INW2474" s="115"/>
      <c r="INX2474" s="115"/>
      <c r="INY2474" s="115"/>
      <c r="INZ2474" s="115"/>
      <c r="IOA2474" s="115"/>
      <c r="IOB2474" s="115"/>
      <c r="IOC2474" s="115"/>
      <c r="IOD2474" s="115"/>
      <c r="IOE2474" s="115"/>
      <c r="IOF2474" s="115"/>
      <c r="IOG2474" s="115"/>
      <c r="IOH2474" s="115"/>
      <c r="IOI2474" s="115"/>
      <c r="IOJ2474" s="115"/>
      <c r="IOK2474" s="115"/>
      <c r="IOL2474" s="115"/>
      <c r="IOM2474" s="115"/>
      <c r="ION2474" s="115"/>
      <c r="IOO2474" s="115"/>
      <c r="IOP2474" s="115"/>
      <c r="IOQ2474" s="115"/>
      <c r="IOR2474" s="115"/>
      <c r="IOS2474" s="115"/>
      <c r="IOT2474" s="115"/>
      <c r="IOU2474" s="115"/>
      <c r="IOV2474" s="115"/>
      <c r="IOW2474" s="115"/>
      <c r="IOX2474" s="115"/>
      <c r="IOY2474" s="115"/>
      <c r="IOZ2474" s="115"/>
      <c r="IPA2474" s="115"/>
      <c r="IPB2474" s="115"/>
      <c r="IPC2474" s="115"/>
      <c r="IPD2474" s="115"/>
      <c r="IPE2474" s="115"/>
      <c r="IPF2474" s="115"/>
      <c r="IPG2474" s="115"/>
      <c r="IPH2474" s="115"/>
      <c r="IPI2474" s="115"/>
      <c r="IPJ2474" s="115"/>
      <c r="IPK2474" s="115"/>
      <c r="IPL2474" s="115"/>
      <c r="IPM2474" s="115"/>
      <c r="IPN2474" s="115"/>
      <c r="IPO2474" s="115"/>
      <c r="IPP2474" s="115"/>
      <c r="IPQ2474" s="115"/>
      <c r="IPR2474" s="115"/>
      <c r="IPS2474" s="115"/>
      <c r="IPT2474" s="115"/>
      <c r="IPU2474" s="115"/>
      <c r="IPV2474" s="115"/>
      <c r="IPW2474" s="115"/>
      <c r="IPX2474" s="115"/>
      <c r="IPY2474" s="115"/>
      <c r="IPZ2474" s="115"/>
      <c r="IQA2474" s="115"/>
      <c r="IQB2474" s="115"/>
      <c r="IQC2474" s="115"/>
      <c r="IQD2474" s="115"/>
      <c r="IQE2474" s="115"/>
      <c r="IQF2474" s="115"/>
      <c r="IQG2474" s="115"/>
      <c r="IQH2474" s="115"/>
      <c r="IQI2474" s="115"/>
      <c r="IQJ2474" s="115"/>
      <c r="IQK2474" s="115"/>
      <c r="IQL2474" s="115"/>
      <c r="IQM2474" s="115"/>
      <c r="IQN2474" s="115"/>
      <c r="IQO2474" s="115"/>
      <c r="IQP2474" s="115"/>
      <c r="IQQ2474" s="115"/>
      <c r="IQR2474" s="115"/>
      <c r="IQS2474" s="115"/>
      <c r="IQT2474" s="115"/>
      <c r="IQU2474" s="115"/>
      <c r="IQV2474" s="115"/>
      <c r="IQW2474" s="115"/>
      <c r="IQX2474" s="115"/>
      <c r="IQY2474" s="115"/>
      <c r="IQZ2474" s="115"/>
      <c r="IRA2474" s="115"/>
      <c r="IRB2474" s="115"/>
      <c r="IRC2474" s="115"/>
      <c r="IRD2474" s="115"/>
      <c r="IRE2474" s="115"/>
      <c r="IRF2474" s="115"/>
      <c r="IRG2474" s="115"/>
      <c r="IRH2474" s="115"/>
      <c r="IRI2474" s="115"/>
      <c r="IRJ2474" s="115"/>
      <c r="IRK2474" s="115"/>
      <c r="IRL2474" s="115"/>
      <c r="IRM2474" s="115"/>
      <c r="IRN2474" s="115"/>
      <c r="IRO2474" s="115"/>
      <c r="IRP2474" s="115"/>
      <c r="IRQ2474" s="115"/>
      <c r="IRR2474" s="115"/>
      <c r="IRS2474" s="115"/>
      <c r="IRT2474" s="115"/>
      <c r="IRU2474" s="115"/>
      <c r="IRV2474" s="115"/>
      <c r="IRW2474" s="115"/>
      <c r="IRX2474" s="115"/>
      <c r="IRY2474" s="115"/>
      <c r="IRZ2474" s="115"/>
      <c r="ISA2474" s="115"/>
      <c r="ISB2474" s="115"/>
      <c r="ISC2474" s="115"/>
      <c r="ISD2474" s="115"/>
      <c r="ISE2474" s="115"/>
      <c r="ISF2474" s="115"/>
      <c r="ISG2474" s="115"/>
      <c r="ISH2474" s="115"/>
      <c r="ISI2474" s="115"/>
      <c r="ISJ2474" s="115"/>
      <c r="ISK2474" s="115"/>
      <c r="ISL2474" s="115"/>
      <c r="ISM2474" s="115"/>
      <c r="ISN2474" s="115"/>
      <c r="ISO2474" s="115"/>
      <c r="ISP2474" s="115"/>
      <c r="ISQ2474" s="115"/>
      <c r="ISR2474" s="115"/>
      <c r="ISS2474" s="115"/>
      <c r="IST2474" s="115"/>
      <c r="ISU2474" s="115"/>
      <c r="ISV2474" s="115"/>
      <c r="ISW2474" s="115"/>
      <c r="ISX2474" s="115"/>
      <c r="ISY2474" s="115"/>
      <c r="ISZ2474" s="115"/>
      <c r="ITA2474" s="115"/>
      <c r="ITB2474" s="115"/>
      <c r="ITC2474" s="115"/>
      <c r="ITD2474" s="115"/>
      <c r="ITE2474" s="115"/>
      <c r="ITF2474" s="115"/>
      <c r="ITG2474" s="115"/>
      <c r="ITH2474" s="115"/>
      <c r="ITI2474" s="115"/>
      <c r="ITJ2474" s="115"/>
      <c r="ITK2474" s="115"/>
      <c r="ITL2474" s="115"/>
      <c r="ITM2474" s="115"/>
      <c r="ITN2474" s="115"/>
      <c r="ITO2474" s="115"/>
      <c r="ITP2474" s="115"/>
      <c r="ITQ2474" s="115"/>
      <c r="ITR2474" s="115"/>
      <c r="ITS2474" s="115"/>
      <c r="ITT2474" s="115"/>
      <c r="ITU2474" s="115"/>
      <c r="ITV2474" s="115"/>
      <c r="ITW2474" s="115"/>
      <c r="ITX2474" s="115"/>
      <c r="ITY2474" s="115"/>
      <c r="ITZ2474" s="115"/>
      <c r="IUA2474" s="115"/>
      <c r="IUB2474" s="115"/>
      <c r="IUC2474" s="115"/>
      <c r="IUD2474" s="115"/>
      <c r="IUE2474" s="115"/>
      <c r="IUF2474" s="115"/>
      <c r="IUG2474" s="115"/>
      <c r="IUH2474" s="115"/>
      <c r="IUI2474" s="115"/>
      <c r="IUJ2474" s="115"/>
      <c r="IUK2474" s="115"/>
      <c r="IUL2474" s="115"/>
      <c r="IUM2474" s="115"/>
      <c r="IUN2474" s="115"/>
      <c r="IUO2474" s="115"/>
      <c r="IUP2474" s="115"/>
      <c r="IUQ2474" s="115"/>
      <c r="IUR2474" s="115"/>
      <c r="IUS2474" s="115"/>
      <c r="IUT2474" s="115"/>
      <c r="IUU2474" s="115"/>
      <c r="IUV2474" s="115"/>
      <c r="IUW2474" s="115"/>
      <c r="IUX2474" s="115"/>
      <c r="IUY2474" s="115"/>
      <c r="IUZ2474" s="115"/>
      <c r="IVA2474" s="115"/>
      <c r="IVB2474" s="115"/>
      <c r="IVC2474" s="115"/>
      <c r="IVD2474" s="115"/>
      <c r="IVE2474" s="115"/>
      <c r="IVF2474" s="115"/>
      <c r="IVG2474" s="115"/>
      <c r="IVH2474" s="115"/>
      <c r="IVI2474" s="115"/>
      <c r="IVJ2474" s="115"/>
      <c r="IVK2474" s="115"/>
      <c r="IVL2474" s="115"/>
      <c r="IVM2474" s="115"/>
      <c r="IVN2474" s="115"/>
      <c r="IVO2474" s="115"/>
      <c r="IVP2474" s="115"/>
      <c r="IVQ2474" s="115"/>
      <c r="IVR2474" s="115"/>
      <c r="IVS2474" s="115"/>
      <c r="IVT2474" s="115"/>
      <c r="IVU2474" s="115"/>
      <c r="IVV2474" s="115"/>
      <c r="IVW2474" s="115"/>
      <c r="IVX2474" s="115"/>
      <c r="IVY2474" s="115"/>
      <c r="IVZ2474" s="115"/>
      <c r="IWA2474" s="115"/>
      <c r="IWB2474" s="115"/>
      <c r="IWC2474" s="115"/>
      <c r="IWD2474" s="115"/>
      <c r="IWE2474" s="115"/>
      <c r="IWF2474" s="115"/>
      <c r="IWG2474" s="115"/>
      <c r="IWH2474" s="115"/>
      <c r="IWI2474" s="115"/>
      <c r="IWJ2474" s="115"/>
      <c r="IWK2474" s="115"/>
      <c r="IWL2474" s="115"/>
      <c r="IWM2474" s="115"/>
      <c r="IWN2474" s="115"/>
      <c r="IWO2474" s="115"/>
      <c r="IWP2474" s="115"/>
      <c r="IWQ2474" s="115"/>
      <c r="IWR2474" s="115"/>
      <c r="IWS2474" s="115"/>
      <c r="IWT2474" s="115"/>
      <c r="IWU2474" s="115"/>
      <c r="IWV2474" s="115"/>
      <c r="IWW2474" s="115"/>
      <c r="IWX2474" s="115"/>
      <c r="IWY2474" s="115"/>
      <c r="IWZ2474" s="115"/>
      <c r="IXA2474" s="115"/>
      <c r="IXB2474" s="115"/>
      <c r="IXC2474" s="115"/>
      <c r="IXD2474" s="115"/>
      <c r="IXE2474" s="115"/>
      <c r="IXF2474" s="115"/>
      <c r="IXG2474" s="115"/>
      <c r="IXH2474" s="115"/>
      <c r="IXI2474" s="115"/>
      <c r="IXJ2474" s="115"/>
      <c r="IXK2474" s="115"/>
      <c r="IXL2474" s="115"/>
      <c r="IXM2474" s="115"/>
      <c r="IXN2474" s="115"/>
      <c r="IXO2474" s="115"/>
      <c r="IXP2474" s="115"/>
      <c r="IXQ2474" s="115"/>
      <c r="IXR2474" s="115"/>
      <c r="IXS2474" s="115"/>
      <c r="IXT2474" s="115"/>
      <c r="IXU2474" s="115"/>
      <c r="IXV2474" s="115"/>
      <c r="IXW2474" s="115"/>
      <c r="IXX2474" s="115"/>
      <c r="IXY2474" s="115"/>
      <c r="IXZ2474" s="115"/>
      <c r="IYA2474" s="115"/>
      <c r="IYB2474" s="115"/>
      <c r="IYC2474" s="115"/>
      <c r="IYD2474" s="115"/>
      <c r="IYE2474" s="115"/>
      <c r="IYF2474" s="115"/>
      <c r="IYG2474" s="115"/>
      <c r="IYH2474" s="115"/>
      <c r="IYI2474" s="115"/>
      <c r="IYJ2474" s="115"/>
      <c r="IYK2474" s="115"/>
      <c r="IYL2474" s="115"/>
      <c r="IYM2474" s="115"/>
      <c r="IYN2474" s="115"/>
      <c r="IYO2474" s="115"/>
      <c r="IYP2474" s="115"/>
      <c r="IYQ2474" s="115"/>
      <c r="IYR2474" s="115"/>
      <c r="IYS2474" s="115"/>
      <c r="IYT2474" s="115"/>
      <c r="IYU2474" s="115"/>
      <c r="IYV2474" s="115"/>
      <c r="IYW2474" s="115"/>
      <c r="IYX2474" s="115"/>
      <c r="IYY2474" s="115"/>
      <c r="IYZ2474" s="115"/>
      <c r="IZA2474" s="115"/>
      <c r="IZB2474" s="115"/>
      <c r="IZC2474" s="115"/>
      <c r="IZD2474" s="115"/>
      <c r="IZE2474" s="115"/>
      <c r="IZF2474" s="115"/>
      <c r="IZG2474" s="115"/>
      <c r="IZH2474" s="115"/>
      <c r="IZI2474" s="115"/>
      <c r="IZJ2474" s="115"/>
      <c r="IZK2474" s="115"/>
      <c r="IZL2474" s="115"/>
      <c r="IZM2474" s="115"/>
      <c r="IZN2474" s="115"/>
      <c r="IZO2474" s="115"/>
      <c r="IZP2474" s="115"/>
      <c r="IZQ2474" s="115"/>
      <c r="IZR2474" s="115"/>
      <c r="IZS2474" s="115"/>
      <c r="IZT2474" s="115"/>
      <c r="IZU2474" s="115"/>
      <c r="IZV2474" s="115"/>
      <c r="IZW2474" s="115"/>
      <c r="IZX2474" s="115"/>
      <c r="IZY2474" s="115"/>
      <c r="IZZ2474" s="115"/>
      <c r="JAA2474" s="115"/>
      <c r="JAB2474" s="115"/>
      <c r="JAC2474" s="115"/>
      <c r="JAD2474" s="115"/>
      <c r="JAE2474" s="115"/>
      <c r="JAF2474" s="115"/>
      <c r="JAG2474" s="115"/>
      <c r="JAH2474" s="115"/>
      <c r="JAI2474" s="115"/>
      <c r="JAJ2474" s="115"/>
      <c r="JAK2474" s="115"/>
      <c r="JAL2474" s="115"/>
      <c r="JAM2474" s="115"/>
      <c r="JAN2474" s="115"/>
      <c r="JAO2474" s="115"/>
      <c r="JAP2474" s="115"/>
      <c r="JAQ2474" s="115"/>
      <c r="JAR2474" s="115"/>
      <c r="JAS2474" s="115"/>
      <c r="JAT2474" s="115"/>
      <c r="JAU2474" s="115"/>
      <c r="JAV2474" s="115"/>
      <c r="JAW2474" s="115"/>
      <c r="JAX2474" s="115"/>
      <c r="JAY2474" s="115"/>
      <c r="JAZ2474" s="115"/>
      <c r="JBA2474" s="115"/>
      <c r="JBB2474" s="115"/>
      <c r="JBC2474" s="115"/>
      <c r="JBD2474" s="115"/>
      <c r="JBE2474" s="115"/>
      <c r="JBF2474" s="115"/>
      <c r="JBG2474" s="115"/>
      <c r="JBH2474" s="115"/>
      <c r="JBI2474" s="115"/>
      <c r="JBJ2474" s="115"/>
      <c r="JBK2474" s="115"/>
      <c r="JBL2474" s="115"/>
      <c r="JBM2474" s="115"/>
      <c r="JBN2474" s="115"/>
      <c r="JBO2474" s="115"/>
      <c r="JBP2474" s="115"/>
      <c r="JBQ2474" s="115"/>
      <c r="JBR2474" s="115"/>
      <c r="JBS2474" s="115"/>
      <c r="JBT2474" s="115"/>
      <c r="JBU2474" s="115"/>
      <c r="JBV2474" s="115"/>
      <c r="JBW2474" s="115"/>
      <c r="JBX2474" s="115"/>
      <c r="JBY2474" s="115"/>
      <c r="JBZ2474" s="115"/>
      <c r="JCA2474" s="115"/>
      <c r="JCB2474" s="115"/>
      <c r="JCC2474" s="115"/>
      <c r="JCD2474" s="115"/>
      <c r="JCE2474" s="115"/>
      <c r="JCF2474" s="115"/>
      <c r="JCG2474" s="115"/>
      <c r="JCH2474" s="115"/>
      <c r="JCI2474" s="115"/>
      <c r="JCJ2474" s="115"/>
      <c r="JCK2474" s="115"/>
      <c r="JCL2474" s="115"/>
      <c r="JCM2474" s="115"/>
      <c r="JCN2474" s="115"/>
      <c r="JCO2474" s="115"/>
      <c r="JCP2474" s="115"/>
      <c r="JCQ2474" s="115"/>
      <c r="JCR2474" s="115"/>
      <c r="JCS2474" s="115"/>
      <c r="JCT2474" s="115"/>
      <c r="JCU2474" s="115"/>
      <c r="JCV2474" s="115"/>
      <c r="JCW2474" s="115"/>
      <c r="JCX2474" s="115"/>
      <c r="JCY2474" s="115"/>
      <c r="JCZ2474" s="115"/>
      <c r="JDA2474" s="115"/>
      <c r="JDB2474" s="115"/>
      <c r="JDC2474" s="115"/>
      <c r="JDD2474" s="115"/>
      <c r="JDE2474" s="115"/>
      <c r="JDF2474" s="115"/>
      <c r="JDG2474" s="115"/>
      <c r="JDH2474" s="115"/>
      <c r="JDI2474" s="115"/>
      <c r="JDJ2474" s="115"/>
      <c r="JDK2474" s="115"/>
      <c r="JDL2474" s="115"/>
      <c r="JDM2474" s="115"/>
      <c r="JDN2474" s="115"/>
      <c r="JDO2474" s="115"/>
      <c r="JDP2474" s="115"/>
      <c r="JDQ2474" s="115"/>
      <c r="JDR2474" s="115"/>
      <c r="JDS2474" s="115"/>
      <c r="JDT2474" s="115"/>
      <c r="JDU2474" s="115"/>
      <c r="JDV2474" s="115"/>
      <c r="JDW2474" s="115"/>
      <c r="JDX2474" s="115"/>
      <c r="JDY2474" s="115"/>
      <c r="JDZ2474" s="115"/>
      <c r="JEA2474" s="115"/>
      <c r="JEB2474" s="115"/>
      <c r="JEC2474" s="115"/>
      <c r="JED2474" s="115"/>
      <c r="JEE2474" s="115"/>
      <c r="JEF2474" s="115"/>
      <c r="JEG2474" s="115"/>
      <c r="JEH2474" s="115"/>
      <c r="JEI2474" s="115"/>
      <c r="JEJ2474" s="115"/>
      <c r="JEK2474" s="115"/>
      <c r="JEL2474" s="115"/>
      <c r="JEM2474" s="115"/>
      <c r="JEN2474" s="115"/>
      <c r="JEO2474" s="115"/>
      <c r="JEP2474" s="115"/>
      <c r="JEQ2474" s="115"/>
      <c r="JER2474" s="115"/>
      <c r="JES2474" s="115"/>
      <c r="JET2474" s="115"/>
      <c r="JEU2474" s="115"/>
      <c r="JEV2474" s="115"/>
      <c r="JEW2474" s="115"/>
      <c r="JEX2474" s="115"/>
      <c r="JEY2474" s="115"/>
      <c r="JEZ2474" s="115"/>
      <c r="JFA2474" s="115"/>
      <c r="JFB2474" s="115"/>
      <c r="JFC2474" s="115"/>
      <c r="JFD2474" s="115"/>
      <c r="JFE2474" s="115"/>
      <c r="JFF2474" s="115"/>
      <c r="JFG2474" s="115"/>
      <c r="JFH2474" s="115"/>
      <c r="JFI2474" s="115"/>
      <c r="JFJ2474" s="115"/>
      <c r="JFK2474" s="115"/>
      <c r="JFL2474" s="115"/>
      <c r="JFM2474" s="115"/>
      <c r="JFN2474" s="115"/>
      <c r="JFO2474" s="115"/>
      <c r="JFP2474" s="115"/>
      <c r="JFQ2474" s="115"/>
      <c r="JFR2474" s="115"/>
      <c r="JFS2474" s="115"/>
      <c r="JFT2474" s="115"/>
      <c r="JFU2474" s="115"/>
      <c r="JFV2474" s="115"/>
      <c r="JFW2474" s="115"/>
      <c r="JFX2474" s="115"/>
      <c r="JFY2474" s="115"/>
      <c r="JFZ2474" s="115"/>
      <c r="JGA2474" s="115"/>
      <c r="JGB2474" s="115"/>
      <c r="JGC2474" s="115"/>
      <c r="JGD2474" s="115"/>
      <c r="JGE2474" s="115"/>
      <c r="JGF2474" s="115"/>
      <c r="JGG2474" s="115"/>
      <c r="JGH2474" s="115"/>
      <c r="JGI2474" s="115"/>
      <c r="JGJ2474" s="115"/>
      <c r="JGK2474" s="115"/>
      <c r="JGL2474" s="115"/>
      <c r="JGM2474" s="115"/>
      <c r="JGN2474" s="115"/>
      <c r="JGO2474" s="115"/>
      <c r="JGP2474" s="115"/>
      <c r="JGQ2474" s="115"/>
      <c r="JGR2474" s="115"/>
      <c r="JGS2474" s="115"/>
      <c r="JGT2474" s="115"/>
      <c r="JGU2474" s="115"/>
      <c r="JGV2474" s="115"/>
      <c r="JGW2474" s="115"/>
      <c r="JGX2474" s="115"/>
      <c r="JGY2474" s="115"/>
      <c r="JGZ2474" s="115"/>
      <c r="JHA2474" s="115"/>
      <c r="JHB2474" s="115"/>
      <c r="JHC2474" s="115"/>
      <c r="JHD2474" s="115"/>
      <c r="JHE2474" s="115"/>
      <c r="JHF2474" s="115"/>
      <c r="JHG2474" s="115"/>
      <c r="JHH2474" s="115"/>
      <c r="JHI2474" s="115"/>
      <c r="JHJ2474" s="115"/>
      <c r="JHK2474" s="115"/>
      <c r="JHL2474" s="115"/>
      <c r="JHM2474" s="115"/>
      <c r="JHN2474" s="115"/>
      <c r="JHO2474" s="115"/>
      <c r="JHP2474" s="115"/>
      <c r="JHQ2474" s="115"/>
      <c r="JHR2474" s="115"/>
      <c r="JHS2474" s="115"/>
      <c r="JHT2474" s="115"/>
      <c r="JHU2474" s="115"/>
      <c r="JHV2474" s="115"/>
      <c r="JHW2474" s="115"/>
      <c r="JHX2474" s="115"/>
      <c r="JHY2474" s="115"/>
      <c r="JHZ2474" s="115"/>
      <c r="JIA2474" s="115"/>
      <c r="JIB2474" s="115"/>
      <c r="JIC2474" s="115"/>
      <c r="JID2474" s="115"/>
      <c r="JIE2474" s="115"/>
      <c r="JIF2474" s="115"/>
      <c r="JIG2474" s="115"/>
      <c r="JIH2474" s="115"/>
      <c r="JII2474" s="115"/>
      <c r="JIJ2474" s="115"/>
      <c r="JIK2474" s="115"/>
      <c r="JIL2474" s="115"/>
      <c r="JIM2474" s="115"/>
      <c r="JIN2474" s="115"/>
      <c r="JIO2474" s="115"/>
      <c r="JIP2474" s="115"/>
      <c r="JIQ2474" s="115"/>
      <c r="JIR2474" s="115"/>
      <c r="JIS2474" s="115"/>
      <c r="JIT2474" s="115"/>
      <c r="JIU2474" s="115"/>
      <c r="JIV2474" s="115"/>
      <c r="JIW2474" s="115"/>
      <c r="JIX2474" s="115"/>
      <c r="JIY2474" s="115"/>
      <c r="JIZ2474" s="115"/>
      <c r="JJA2474" s="115"/>
      <c r="JJB2474" s="115"/>
      <c r="JJC2474" s="115"/>
      <c r="JJD2474" s="115"/>
      <c r="JJE2474" s="115"/>
      <c r="JJF2474" s="115"/>
      <c r="JJG2474" s="115"/>
      <c r="JJH2474" s="115"/>
      <c r="JJI2474" s="115"/>
      <c r="JJJ2474" s="115"/>
      <c r="JJK2474" s="115"/>
      <c r="JJL2474" s="115"/>
      <c r="JJM2474" s="115"/>
      <c r="JJN2474" s="115"/>
      <c r="JJO2474" s="115"/>
      <c r="JJP2474" s="115"/>
      <c r="JJQ2474" s="115"/>
      <c r="JJR2474" s="115"/>
      <c r="JJS2474" s="115"/>
      <c r="JJT2474" s="115"/>
      <c r="JJU2474" s="115"/>
      <c r="JJV2474" s="115"/>
      <c r="JJW2474" s="115"/>
      <c r="JJX2474" s="115"/>
      <c r="JJY2474" s="115"/>
      <c r="JJZ2474" s="115"/>
      <c r="JKA2474" s="115"/>
      <c r="JKB2474" s="115"/>
      <c r="JKC2474" s="115"/>
      <c r="JKD2474" s="115"/>
      <c r="JKE2474" s="115"/>
      <c r="JKF2474" s="115"/>
      <c r="JKG2474" s="115"/>
      <c r="JKH2474" s="115"/>
      <c r="JKI2474" s="115"/>
      <c r="JKJ2474" s="115"/>
      <c r="JKK2474" s="115"/>
      <c r="JKL2474" s="115"/>
      <c r="JKM2474" s="115"/>
      <c r="JKN2474" s="115"/>
      <c r="JKO2474" s="115"/>
      <c r="JKP2474" s="115"/>
      <c r="JKQ2474" s="115"/>
      <c r="JKR2474" s="115"/>
      <c r="JKS2474" s="115"/>
      <c r="JKT2474" s="115"/>
      <c r="JKU2474" s="115"/>
      <c r="JKV2474" s="115"/>
      <c r="JKW2474" s="115"/>
      <c r="JKX2474" s="115"/>
      <c r="JKY2474" s="115"/>
      <c r="JKZ2474" s="115"/>
      <c r="JLA2474" s="115"/>
      <c r="JLB2474" s="115"/>
      <c r="JLC2474" s="115"/>
      <c r="JLD2474" s="115"/>
      <c r="JLE2474" s="115"/>
      <c r="JLF2474" s="115"/>
      <c r="JLG2474" s="115"/>
      <c r="JLH2474" s="115"/>
      <c r="JLI2474" s="115"/>
      <c r="JLJ2474" s="115"/>
      <c r="JLK2474" s="115"/>
      <c r="JLL2474" s="115"/>
      <c r="JLM2474" s="115"/>
      <c r="JLN2474" s="115"/>
      <c r="JLO2474" s="115"/>
      <c r="JLP2474" s="115"/>
      <c r="JLQ2474" s="115"/>
      <c r="JLR2474" s="115"/>
      <c r="JLS2474" s="115"/>
      <c r="JLT2474" s="115"/>
      <c r="JLU2474" s="115"/>
      <c r="JLV2474" s="115"/>
      <c r="JLW2474" s="115"/>
      <c r="JLX2474" s="115"/>
      <c r="JLY2474" s="115"/>
      <c r="JLZ2474" s="115"/>
      <c r="JMA2474" s="115"/>
      <c r="JMB2474" s="115"/>
      <c r="JMC2474" s="115"/>
      <c r="JMD2474" s="115"/>
      <c r="JME2474" s="115"/>
      <c r="JMF2474" s="115"/>
      <c r="JMG2474" s="115"/>
      <c r="JMH2474" s="115"/>
      <c r="JMI2474" s="115"/>
      <c r="JMJ2474" s="115"/>
      <c r="JMK2474" s="115"/>
      <c r="JML2474" s="115"/>
      <c r="JMM2474" s="115"/>
      <c r="JMN2474" s="115"/>
      <c r="JMO2474" s="115"/>
      <c r="JMP2474" s="115"/>
      <c r="JMQ2474" s="115"/>
      <c r="JMR2474" s="115"/>
      <c r="JMS2474" s="115"/>
      <c r="JMT2474" s="115"/>
      <c r="JMU2474" s="115"/>
      <c r="JMV2474" s="115"/>
      <c r="JMW2474" s="115"/>
      <c r="JMX2474" s="115"/>
      <c r="JMY2474" s="115"/>
      <c r="JMZ2474" s="115"/>
      <c r="JNA2474" s="115"/>
      <c r="JNB2474" s="115"/>
      <c r="JNC2474" s="115"/>
      <c r="JND2474" s="115"/>
      <c r="JNE2474" s="115"/>
      <c r="JNF2474" s="115"/>
      <c r="JNG2474" s="115"/>
      <c r="JNH2474" s="115"/>
      <c r="JNI2474" s="115"/>
      <c r="JNJ2474" s="115"/>
      <c r="JNK2474" s="115"/>
      <c r="JNL2474" s="115"/>
      <c r="JNM2474" s="115"/>
      <c r="JNN2474" s="115"/>
      <c r="JNO2474" s="115"/>
      <c r="JNP2474" s="115"/>
      <c r="JNQ2474" s="115"/>
      <c r="JNR2474" s="115"/>
      <c r="JNS2474" s="115"/>
      <c r="JNT2474" s="115"/>
      <c r="JNU2474" s="115"/>
      <c r="JNV2474" s="115"/>
      <c r="JNW2474" s="115"/>
      <c r="JNX2474" s="115"/>
      <c r="JNY2474" s="115"/>
      <c r="JNZ2474" s="115"/>
      <c r="JOA2474" s="115"/>
      <c r="JOB2474" s="115"/>
      <c r="JOC2474" s="115"/>
      <c r="JOD2474" s="115"/>
      <c r="JOE2474" s="115"/>
      <c r="JOF2474" s="115"/>
      <c r="JOG2474" s="115"/>
      <c r="JOH2474" s="115"/>
      <c r="JOI2474" s="115"/>
      <c r="JOJ2474" s="115"/>
      <c r="JOK2474" s="115"/>
      <c r="JOL2474" s="115"/>
      <c r="JOM2474" s="115"/>
      <c r="JON2474" s="115"/>
      <c r="JOO2474" s="115"/>
      <c r="JOP2474" s="115"/>
      <c r="JOQ2474" s="115"/>
      <c r="JOR2474" s="115"/>
      <c r="JOS2474" s="115"/>
      <c r="JOT2474" s="115"/>
      <c r="JOU2474" s="115"/>
      <c r="JOV2474" s="115"/>
      <c r="JOW2474" s="115"/>
      <c r="JOX2474" s="115"/>
      <c r="JOY2474" s="115"/>
      <c r="JOZ2474" s="115"/>
      <c r="JPA2474" s="115"/>
      <c r="JPB2474" s="115"/>
      <c r="JPC2474" s="115"/>
      <c r="JPD2474" s="115"/>
      <c r="JPE2474" s="115"/>
      <c r="JPF2474" s="115"/>
      <c r="JPG2474" s="115"/>
      <c r="JPH2474" s="115"/>
      <c r="JPI2474" s="115"/>
      <c r="JPJ2474" s="115"/>
      <c r="JPK2474" s="115"/>
      <c r="JPL2474" s="115"/>
      <c r="JPM2474" s="115"/>
      <c r="JPN2474" s="115"/>
      <c r="JPO2474" s="115"/>
      <c r="JPP2474" s="115"/>
      <c r="JPQ2474" s="115"/>
      <c r="JPR2474" s="115"/>
      <c r="JPS2474" s="115"/>
      <c r="JPT2474" s="115"/>
      <c r="JPU2474" s="115"/>
      <c r="JPV2474" s="115"/>
      <c r="JPW2474" s="115"/>
      <c r="JPX2474" s="115"/>
      <c r="JPY2474" s="115"/>
      <c r="JPZ2474" s="115"/>
      <c r="JQA2474" s="115"/>
      <c r="JQB2474" s="115"/>
      <c r="JQC2474" s="115"/>
      <c r="JQD2474" s="115"/>
      <c r="JQE2474" s="115"/>
      <c r="JQF2474" s="115"/>
      <c r="JQG2474" s="115"/>
      <c r="JQH2474" s="115"/>
      <c r="JQI2474" s="115"/>
      <c r="JQJ2474" s="115"/>
      <c r="JQK2474" s="115"/>
      <c r="JQL2474" s="115"/>
      <c r="JQM2474" s="115"/>
      <c r="JQN2474" s="115"/>
      <c r="JQO2474" s="115"/>
      <c r="JQP2474" s="115"/>
      <c r="JQQ2474" s="115"/>
      <c r="JQR2474" s="115"/>
      <c r="JQS2474" s="115"/>
      <c r="JQT2474" s="115"/>
      <c r="JQU2474" s="115"/>
      <c r="JQV2474" s="115"/>
      <c r="JQW2474" s="115"/>
      <c r="JQX2474" s="115"/>
      <c r="JQY2474" s="115"/>
      <c r="JQZ2474" s="115"/>
      <c r="JRA2474" s="115"/>
      <c r="JRB2474" s="115"/>
      <c r="JRC2474" s="115"/>
      <c r="JRD2474" s="115"/>
      <c r="JRE2474" s="115"/>
      <c r="JRF2474" s="115"/>
      <c r="JRG2474" s="115"/>
      <c r="JRH2474" s="115"/>
      <c r="JRI2474" s="115"/>
      <c r="JRJ2474" s="115"/>
      <c r="JRK2474" s="115"/>
      <c r="JRL2474" s="115"/>
      <c r="JRM2474" s="115"/>
      <c r="JRN2474" s="115"/>
      <c r="JRO2474" s="115"/>
      <c r="JRP2474" s="115"/>
      <c r="JRQ2474" s="115"/>
      <c r="JRR2474" s="115"/>
      <c r="JRS2474" s="115"/>
      <c r="JRT2474" s="115"/>
      <c r="JRU2474" s="115"/>
      <c r="JRV2474" s="115"/>
      <c r="JRW2474" s="115"/>
      <c r="JRX2474" s="115"/>
      <c r="JRY2474" s="115"/>
      <c r="JRZ2474" s="115"/>
      <c r="JSA2474" s="115"/>
      <c r="JSB2474" s="115"/>
      <c r="JSC2474" s="115"/>
      <c r="JSD2474" s="115"/>
      <c r="JSE2474" s="115"/>
      <c r="JSF2474" s="115"/>
      <c r="JSG2474" s="115"/>
      <c r="JSH2474" s="115"/>
      <c r="JSI2474" s="115"/>
      <c r="JSJ2474" s="115"/>
      <c r="JSK2474" s="115"/>
      <c r="JSL2474" s="115"/>
      <c r="JSM2474" s="115"/>
      <c r="JSN2474" s="115"/>
      <c r="JSO2474" s="115"/>
      <c r="JSP2474" s="115"/>
      <c r="JSQ2474" s="115"/>
      <c r="JSR2474" s="115"/>
      <c r="JSS2474" s="115"/>
      <c r="JST2474" s="115"/>
      <c r="JSU2474" s="115"/>
      <c r="JSV2474" s="115"/>
      <c r="JSW2474" s="115"/>
      <c r="JSX2474" s="115"/>
      <c r="JSY2474" s="115"/>
      <c r="JSZ2474" s="115"/>
      <c r="JTA2474" s="115"/>
      <c r="JTB2474" s="115"/>
      <c r="JTC2474" s="115"/>
      <c r="JTD2474" s="115"/>
      <c r="JTE2474" s="115"/>
      <c r="JTF2474" s="115"/>
      <c r="JTG2474" s="115"/>
      <c r="JTH2474" s="115"/>
      <c r="JTI2474" s="115"/>
      <c r="JTJ2474" s="115"/>
      <c r="JTK2474" s="115"/>
      <c r="JTL2474" s="115"/>
      <c r="JTM2474" s="115"/>
      <c r="JTN2474" s="115"/>
      <c r="JTO2474" s="115"/>
      <c r="JTP2474" s="115"/>
      <c r="JTQ2474" s="115"/>
      <c r="JTR2474" s="115"/>
      <c r="JTS2474" s="115"/>
      <c r="JTT2474" s="115"/>
      <c r="JTU2474" s="115"/>
      <c r="JTV2474" s="115"/>
      <c r="JTW2474" s="115"/>
      <c r="JTX2474" s="115"/>
      <c r="JTY2474" s="115"/>
      <c r="JTZ2474" s="115"/>
      <c r="JUA2474" s="115"/>
      <c r="JUB2474" s="115"/>
      <c r="JUC2474" s="115"/>
      <c r="JUD2474" s="115"/>
      <c r="JUE2474" s="115"/>
      <c r="JUF2474" s="115"/>
      <c r="JUG2474" s="115"/>
      <c r="JUH2474" s="115"/>
      <c r="JUI2474" s="115"/>
      <c r="JUJ2474" s="115"/>
      <c r="JUK2474" s="115"/>
      <c r="JUL2474" s="115"/>
      <c r="JUM2474" s="115"/>
      <c r="JUN2474" s="115"/>
      <c r="JUO2474" s="115"/>
      <c r="JUP2474" s="115"/>
      <c r="JUQ2474" s="115"/>
      <c r="JUR2474" s="115"/>
      <c r="JUS2474" s="115"/>
      <c r="JUT2474" s="115"/>
      <c r="JUU2474" s="115"/>
      <c r="JUV2474" s="115"/>
      <c r="JUW2474" s="115"/>
      <c r="JUX2474" s="115"/>
      <c r="JUY2474" s="115"/>
      <c r="JUZ2474" s="115"/>
      <c r="JVA2474" s="115"/>
      <c r="JVB2474" s="115"/>
      <c r="JVC2474" s="115"/>
      <c r="JVD2474" s="115"/>
      <c r="JVE2474" s="115"/>
      <c r="JVF2474" s="115"/>
      <c r="JVG2474" s="115"/>
      <c r="JVH2474" s="115"/>
      <c r="JVI2474" s="115"/>
      <c r="JVJ2474" s="115"/>
      <c r="JVK2474" s="115"/>
      <c r="JVL2474" s="115"/>
      <c r="JVM2474" s="115"/>
      <c r="JVN2474" s="115"/>
      <c r="JVO2474" s="115"/>
      <c r="JVP2474" s="115"/>
      <c r="JVQ2474" s="115"/>
      <c r="JVR2474" s="115"/>
      <c r="JVS2474" s="115"/>
      <c r="JVT2474" s="115"/>
      <c r="JVU2474" s="115"/>
      <c r="JVV2474" s="115"/>
      <c r="JVW2474" s="115"/>
      <c r="JVX2474" s="115"/>
      <c r="JVY2474" s="115"/>
      <c r="JVZ2474" s="115"/>
      <c r="JWA2474" s="115"/>
      <c r="JWB2474" s="115"/>
      <c r="JWC2474" s="115"/>
      <c r="JWD2474" s="115"/>
      <c r="JWE2474" s="115"/>
      <c r="JWF2474" s="115"/>
      <c r="JWG2474" s="115"/>
      <c r="JWH2474" s="115"/>
      <c r="JWI2474" s="115"/>
      <c r="JWJ2474" s="115"/>
      <c r="JWK2474" s="115"/>
      <c r="JWL2474" s="115"/>
      <c r="JWM2474" s="115"/>
      <c r="JWN2474" s="115"/>
      <c r="JWO2474" s="115"/>
      <c r="JWP2474" s="115"/>
      <c r="JWQ2474" s="115"/>
      <c r="JWR2474" s="115"/>
      <c r="JWS2474" s="115"/>
      <c r="JWT2474" s="115"/>
      <c r="JWU2474" s="115"/>
      <c r="JWV2474" s="115"/>
      <c r="JWW2474" s="115"/>
      <c r="JWX2474" s="115"/>
      <c r="JWY2474" s="115"/>
      <c r="JWZ2474" s="115"/>
      <c r="JXA2474" s="115"/>
      <c r="JXB2474" s="115"/>
      <c r="JXC2474" s="115"/>
      <c r="JXD2474" s="115"/>
      <c r="JXE2474" s="115"/>
      <c r="JXF2474" s="115"/>
      <c r="JXG2474" s="115"/>
      <c r="JXH2474" s="115"/>
      <c r="JXI2474" s="115"/>
      <c r="JXJ2474" s="115"/>
      <c r="JXK2474" s="115"/>
      <c r="JXL2474" s="115"/>
      <c r="JXM2474" s="115"/>
      <c r="JXN2474" s="115"/>
      <c r="JXO2474" s="115"/>
      <c r="JXP2474" s="115"/>
      <c r="JXQ2474" s="115"/>
      <c r="JXR2474" s="115"/>
      <c r="JXS2474" s="115"/>
      <c r="JXT2474" s="115"/>
      <c r="JXU2474" s="115"/>
      <c r="JXV2474" s="115"/>
      <c r="JXW2474" s="115"/>
      <c r="JXX2474" s="115"/>
      <c r="JXY2474" s="115"/>
      <c r="JXZ2474" s="115"/>
      <c r="JYA2474" s="115"/>
      <c r="JYB2474" s="115"/>
      <c r="JYC2474" s="115"/>
      <c r="JYD2474" s="115"/>
      <c r="JYE2474" s="115"/>
      <c r="JYF2474" s="115"/>
      <c r="JYG2474" s="115"/>
      <c r="JYH2474" s="115"/>
      <c r="JYI2474" s="115"/>
      <c r="JYJ2474" s="115"/>
      <c r="JYK2474" s="115"/>
      <c r="JYL2474" s="115"/>
      <c r="JYM2474" s="115"/>
      <c r="JYN2474" s="115"/>
      <c r="JYO2474" s="115"/>
      <c r="JYP2474" s="115"/>
      <c r="JYQ2474" s="115"/>
      <c r="JYR2474" s="115"/>
      <c r="JYS2474" s="115"/>
      <c r="JYT2474" s="115"/>
      <c r="JYU2474" s="115"/>
      <c r="JYV2474" s="115"/>
      <c r="JYW2474" s="115"/>
      <c r="JYX2474" s="115"/>
      <c r="JYY2474" s="115"/>
      <c r="JYZ2474" s="115"/>
      <c r="JZA2474" s="115"/>
      <c r="JZB2474" s="115"/>
      <c r="JZC2474" s="115"/>
      <c r="JZD2474" s="115"/>
      <c r="JZE2474" s="115"/>
      <c r="JZF2474" s="115"/>
      <c r="JZG2474" s="115"/>
      <c r="JZH2474" s="115"/>
      <c r="JZI2474" s="115"/>
      <c r="JZJ2474" s="115"/>
      <c r="JZK2474" s="115"/>
      <c r="JZL2474" s="115"/>
      <c r="JZM2474" s="115"/>
      <c r="JZN2474" s="115"/>
      <c r="JZO2474" s="115"/>
      <c r="JZP2474" s="115"/>
      <c r="JZQ2474" s="115"/>
      <c r="JZR2474" s="115"/>
      <c r="JZS2474" s="115"/>
      <c r="JZT2474" s="115"/>
      <c r="JZU2474" s="115"/>
      <c r="JZV2474" s="115"/>
      <c r="JZW2474" s="115"/>
      <c r="JZX2474" s="115"/>
      <c r="JZY2474" s="115"/>
      <c r="JZZ2474" s="115"/>
      <c r="KAA2474" s="115"/>
      <c r="KAB2474" s="115"/>
      <c r="KAC2474" s="115"/>
      <c r="KAD2474" s="115"/>
      <c r="KAE2474" s="115"/>
      <c r="KAF2474" s="115"/>
      <c r="KAG2474" s="115"/>
      <c r="KAH2474" s="115"/>
      <c r="KAI2474" s="115"/>
      <c r="KAJ2474" s="115"/>
      <c r="KAK2474" s="115"/>
      <c r="KAL2474" s="115"/>
      <c r="KAM2474" s="115"/>
      <c r="KAN2474" s="115"/>
      <c r="KAO2474" s="115"/>
      <c r="KAP2474" s="115"/>
      <c r="KAQ2474" s="115"/>
      <c r="KAR2474" s="115"/>
      <c r="KAS2474" s="115"/>
      <c r="KAT2474" s="115"/>
      <c r="KAU2474" s="115"/>
      <c r="KAV2474" s="115"/>
      <c r="KAW2474" s="115"/>
      <c r="KAX2474" s="115"/>
      <c r="KAY2474" s="115"/>
      <c r="KAZ2474" s="115"/>
      <c r="KBA2474" s="115"/>
      <c r="KBB2474" s="115"/>
      <c r="KBC2474" s="115"/>
      <c r="KBD2474" s="115"/>
      <c r="KBE2474" s="115"/>
      <c r="KBF2474" s="115"/>
      <c r="KBG2474" s="115"/>
      <c r="KBH2474" s="115"/>
      <c r="KBI2474" s="115"/>
      <c r="KBJ2474" s="115"/>
      <c r="KBK2474" s="115"/>
      <c r="KBL2474" s="115"/>
      <c r="KBM2474" s="115"/>
      <c r="KBN2474" s="115"/>
      <c r="KBO2474" s="115"/>
      <c r="KBP2474" s="115"/>
      <c r="KBQ2474" s="115"/>
      <c r="KBR2474" s="115"/>
      <c r="KBS2474" s="115"/>
      <c r="KBT2474" s="115"/>
      <c r="KBU2474" s="115"/>
      <c r="KBV2474" s="115"/>
      <c r="KBW2474" s="115"/>
      <c r="KBX2474" s="115"/>
      <c r="KBY2474" s="115"/>
      <c r="KBZ2474" s="115"/>
      <c r="KCA2474" s="115"/>
      <c r="KCB2474" s="115"/>
      <c r="KCC2474" s="115"/>
      <c r="KCD2474" s="115"/>
      <c r="KCE2474" s="115"/>
      <c r="KCF2474" s="115"/>
      <c r="KCG2474" s="115"/>
      <c r="KCH2474" s="115"/>
      <c r="KCI2474" s="115"/>
      <c r="KCJ2474" s="115"/>
      <c r="KCK2474" s="115"/>
      <c r="KCL2474" s="115"/>
      <c r="KCM2474" s="115"/>
      <c r="KCN2474" s="115"/>
      <c r="KCO2474" s="115"/>
      <c r="KCP2474" s="115"/>
      <c r="KCQ2474" s="115"/>
      <c r="KCR2474" s="115"/>
      <c r="KCS2474" s="115"/>
      <c r="KCT2474" s="115"/>
      <c r="KCU2474" s="115"/>
      <c r="KCV2474" s="115"/>
      <c r="KCW2474" s="115"/>
      <c r="KCX2474" s="115"/>
      <c r="KCY2474" s="115"/>
      <c r="KCZ2474" s="115"/>
      <c r="KDA2474" s="115"/>
      <c r="KDB2474" s="115"/>
      <c r="KDC2474" s="115"/>
      <c r="KDD2474" s="115"/>
      <c r="KDE2474" s="115"/>
      <c r="KDF2474" s="115"/>
      <c r="KDG2474" s="115"/>
      <c r="KDH2474" s="115"/>
      <c r="KDI2474" s="115"/>
      <c r="KDJ2474" s="115"/>
      <c r="KDK2474" s="115"/>
      <c r="KDL2474" s="115"/>
      <c r="KDM2474" s="115"/>
      <c r="KDN2474" s="115"/>
      <c r="KDO2474" s="115"/>
      <c r="KDP2474" s="115"/>
      <c r="KDQ2474" s="115"/>
      <c r="KDR2474" s="115"/>
      <c r="KDS2474" s="115"/>
      <c r="KDT2474" s="115"/>
      <c r="KDU2474" s="115"/>
      <c r="KDV2474" s="115"/>
      <c r="KDW2474" s="115"/>
      <c r="KDX2474" s="115"/>
      <c r="KDY2474" s="115"/>
      <c r="KDZ2474" s="115"/>
      <c r="KEA2474" s="115"/>
      <c r="KEB2474" s="115"/>
      <c r="KEC2474" s="115"/>
      <c r="KED2474" s="115"/>
      <c r="KEE2474" s="115"/>
      <c r="KEF2474" s="115"/>
      <c r="KEG2474" s="115"/>
      <c r="KEH2474" s="115"/>
      <c r="KEI2474" s="115"/>
      <c r="KEJ2474" s="115"/>
      <c r="KEK2474" s="115"/>
      <c r="KEL2474" s="115"/>
      <c r="KEM2474" s="115"/>
      <c r="KEN2474" s="115"/>
      <c r="KEO2474" s="115"/>
      <c r="KEP2474" s="115"/>
      <c r="KEQ2474" s="115"/>
      <c r="KER2474" s="115"/>
      <c r="KES2474" s="115"/>
      <c r="KET2474" s="115"/>
      <c r="KEU2474" s="115"/>
      <c r="KEV2474" s="115"/>
      <c r="KEW2474" s="115"/>
      <c r="KEX2474" s="115"/>
      <c r="KEY2474" s="115"/>
      <c r="KEZ2474" s="115"/>
      <c r="KFA2474" s="115"/>
      <c r="KFB2474" s="115"/>
      <c r="KFC2474" s="115"/>
      <c r="KFD2474" s="115"/>
      <c r="KFE2474" s="115"/>
      <c r="KFF2474" s="115"/>
      <c r="KFG2474" s="115"/>
      <c r="KFH2474" s="115"/>
      <c r="KFI2474" s="115"/>
      <c r="KFJ2474" s="115"/>
      <c r="KFK2474" s="115"/>
      <c r="KFL2474" s="115"/>
      <c r="KFM2474" s="115"/>
      <c r="KFN2474" s="115"/>
      <c r="KFO2474" s="115"/>
      <c r="KFP2474" s="115"/>
      <c r="KFQ2474" s="115"/>
      <c r="KFR2474" s="115"/>
      <c r="KFS2474" s="115"/>
      <c r="KFT2474" s="115"/>
      <c r="KFU2474" s="115"/>
      <c r="KFV2474" s="115"/>
      <c r="KFW2474" s="115"/>
      <c r="KFX2474" s="115"/>
      <c r="KFY2474" s="115"/>
      <c r="KFZ2474" s="115"/>
      <c r="KGA2474" s="115"/>
      <c r="KGB2474" s="115"/>
      <c r="KGC2474" s="115"/>
      <c r="KGD2474" s="115"/>
      <c r="KGE2474" s="115"/>
      <c r="KGF2474" s="115"/>
      <c r="KGG2474" s="115"/>
      <c r="KGH2474" s="115"/>
      <c r="KGI2474" s="115"/>
      <c r="KGJ2474" s="115"/>
      <c r="KGK2474" s="115"/>
      <c r="KGL2474" s="115"/>
      <c r="KGM2474" s="115"/>
      <c r="KGN2474" s="115"/>
      <c r="KGO2474" s="115"/>
      <c r="KGP2474" s="115"/>
      <c r="KGQ2474" s="115"/>
      <c r="KGR2474" s="115"/>
      <c r="KGS2474" s="115"/>
      <c r="KGT2474" s="115"/>
      <c r="KGU2474" s="115"/>
      <c r="KGV2474" s="115"/>
      <c r="KGW2474" s="115"/>
      <c r="KGX2474" s="115"/>
      <c r="KGY2474" s="115"/>
      <c r="KGZ2474" s="115"/>
      <c r="KHA2474" s="115"/>
      <c r="KHB2474" s="115"/>
      <c r="KHC2474" s="115"/>
      <c r="KHD2474" s="115"/>
      <c r="KHE2474" s="115"/>
      <c r="KHF2474" s="115"/>
      <c r="KHG2474" s="115"/>
      <c r="KHH2474" s="115"/>
      <c r="KHI2474" s="115"/>
      <c r="KHJ2474" s="115"/>
      <c r="KHK2474" s="115"/>
      <c r="KHL2474" s="115"/>
      <c r="KHM2474" s="115"/>
      <c r="KHN2474" s="115"/>
      <c r="KHO2474" s="115"/>
      <c r="KHP2474" s="115"/>
      <c r="KHQ2474" s="115"/>
      <c r="KHR2474" s="115"/>
      <c r="KHS2474" s="115"/>
      <c r="KHT2474" s="115"/>
      <c r="KHU2474" s="115"/>
      <c r="KHV2474" s="115"/>
      <c r="KHW2474" s="115"/>
      <c r="KHX2474" s="115"/>
      <c r="KHY2474" s="115"/>
      <c r="KHZ2474" s="115"/>
      <c r="KIA2474" s="115"/>
      <c r="KIB2474" s="115"/>
      <c r="KIC2474" s="115"/>
      <c r="KID2474" s="115"/>
      <c r="KIE2474" s="115"/>
      <c r="KIF2474" s="115"/>
      <c r="KIG2474" s="115"/>
      <c r="KIH2474" s="115"/>
      <c r="KII2474" s="115"/>
      <c r="KIJ2474" s="115"/>
      <c r="KIK2474" s="115"/>
      <c r="KIL2474" s="115"/>
      <c r="KIM2474" s="115"/>
      <c r="KIN2474" s="115"/>
      <c r="KIO2474" s="115"/>
      <c r="KIP2474" s="115"/>
      <c r="KIQ2474" s="115"/>
      <c r="KIR2474" s="115"/>
      <c r="KIS2474" s="115"/>
      <c r="KIT2474" s="115"/>
      <c r="KIU2474" s="115"/>
      <c r="KIV2474" s="115"/>
      <c r="KIW2474" s="115"/>
      <c r="KIX2474" s="115"/>
      <c r="KIY2474" s="115"/>
      <c r="KIZ2474" s="115"/>
      <c r="KJA2474" s="115"/>
      <c r="KJB2474" s="115"/>
      <c r="KJC2474" s="115"/>
      <c r="KJD2474" s="115"/>
      <c r="KJE2474" s="115"/>
      <c r="KJF2474" s="115"/>
      <c r="KJG2474" s="115"/>
      <c r="KJH2474" s="115"/>
      <c r="KJI2474" s="115"/>
      <c r="KJJ2474" s="115"/>
      <c r="KJK2474" s="115"/>
      <c r="KJL2474" s="115"/>
      <c r="KJM2474" s="115"/>
      <c r="KJN2474" s="115"/>
      <c r="KJO2474" s="115"/>
      <c r="KJP2474" s="115"/>
      <c r="KJQ2474" s="115"/>
      <c r="KJR2474" s="115"/>
      <c r="KJS2474" s="115"/>
      <c r="KJT2474" s="115"/>
      <c r="KJU2474" s="115"/>
      <c r="KJV2474" s="115"/>
      <c r="KJW2474" s="115"/>
      <c r="KJX2474" s="115"/>
      <c r="KJY2474" s="115"/>
      <c r="KJZ2474" s="115"/>
      <c r="KKA2474" s="115"/>
      <c r="KKB2474" s="115"/>
      <c r="KKC2474" s="115"/>
      <c r="KKD2474" s="115"/>
      <c r="KKE2474" s="115"/>
      <c r="KKF2474" s="115"/>
      <c r="KKG2474" s="115"/>
      <c r="KKH2474" s="115"/>
      <c r="KKI2474" s="115"/>
      <c r="KKJ2474" s="115"/>
      <c r="KKK2474" s="115"/>
      <c r="KKL2474" s="115"/>
      <c r="KKM2474" s="115"/>
      <c r="KKN2474" s="115"/>
      <c r="KKO2474" s="115"/>
      <c r="KKP2474" s="115"/>
      <c r="KKQ2474" s="115"/>
      <c r="KKR2474" s="115"/>
      <c r="KKS2474" s="115"/>
      <c r="KKT2474" s="115"/>
      <c r="KKU2474" s="115"/>
      <c r="KKV2474" s="115"/>
      <c r="KKW2474" s="115"/>
      <c r="KKX2474" s="115"/>
      <c r="KKY2474" s="115"/>
      <c r="KKZ2474" s="115"/>
      <c r="KLA2474" s="115"/>
      <c r="KLB2474" s="115"/>
      <c r="KLC2474" s="115"/>
      <c r="KLD2474" s="115"/>
      <c r="KLE2474" s="115"/>
      <c r="KLF2474" s="115"/>
      <c r="KLG2474" s="115"/>
      <c r="KLH2474" s="115"/>
      <c r="KLI2474" s="115"/>
      <c r="KLJ2474" s="115"/>
      <c r="KLK2474" s="115"/>
      <c r="KLL2474" s="115"/>
      <c r="KLM2474" s="115"/>
      <c r="KLN2474" s="115"/>
      <c r="KLO2474" s="115"/>
      <c r="KLP2474" s="115"/>
      <c r="KLQ2474" s="115"/>
      <c r="KLR2474" s="115"/>
      <c r="KLS2474" s="115"/>
      <c r="KLT2474" s="115"/>
      <c r="KLU2474" s="115"/>
      <c r="KLV2474" s="115"/>
      <c r="KLW2474" s="115"/>
      <c r="KLX2474" s="115"/>
      <c r="KLY2474" s="115"/>
      <c r="KLZ2474" s="115"/>
      <c r="KMA2474" s="115"/>
      <c r="KMB2474" s="115"/>
      <c r="KMC2474" s="115"/>
      <c r="KMD2474" s="115"/>
      <c r="KME2474" s="115"/>
      <c r="KMF2474" s="115"/>
      <c r="KMG2474" s="115"/>
      <c r="KMH2474" s="115"/>
      <c r="KMI2474" s="115"/>
      <c r="KMJ2474" s="115"/>
      <c r="KMK2474" s="115"/>
      <c r="KML2474" s="115"/>
      <c r="KMM2474" s="115"/>
      <c r="KMN2474" s="115"/>
      <c r="KMO2474" s="115"/>
      <c r="KMP2474" s="115"/>
      <c r="KMQ2474" s="115"/>
      <c r="KMR2474" s="115"/>
      <c r="KMS2474" s="115"/>
      <c r="KMT2474" s="115"/>
      <c r="KMU2474" s="115"/>
      <c r="KMV2474" s="115"/>
      <c r="KMW2474" s="115"/>
      <c r="KMX2474" s="115"/>
      <c r="KMY2474" s="115"/>
      <c r="KMZ2474" s="115"/>
      <c r="KNA2474" s="115"/>
      <c r="KNB2474" s="115"/>
      <c r="KNC2474" s="115"/>
      <c r="KND2474" s="115"/>
      <c r="KNE2474" s="115"/>
      <c r="KNF2474" s="115"/>
      <c r="KNG2474" s="115"/>
      <c r="KNH2474" s="115"/>
      <c r="KNI2474" s="115"/>
      <c r="KNJ2474" s="115"/>
      <c r="KNK2474" s="115"/>
      <c r="KNL2474" s="115"/>
      <c r="KNM2474" s="115"/>
      <c r="KNN2474" s="115"/>
      <c r="KNO2474" s="115"/>
      <c r="KNP2474" s="115"/>
      <c r="KNQ2474" s="115"/>
      <c r="KNR2474" s="115"/>
      <c r="KNS2474" s="115"/>
      <c r="KNT2474" s="115"/>
      <c r="KNU2474" s="115"/>
      <c r="KNV2474" s="115"/>
      <c r="KNW2474" s="115"/>
      <c r="KNX2474" s="115"/>
      <c r="KNY2474" s="115"/>
      <c r="KNZ2474" s="115"/>
      <c r="KOA2474" s="115"/>
      <c r="KOB2474" s="115"/>
      <c r="KOC2474" s="115"/>
      <c r="KOD2474" s="115"/>
      <c r="KOE2474" s="115"/>
      <c r="KOF2474" s="115"/>
      <c r="KOG2474" s="115"/>
      <c r="KOH2474" s="115"/>
      <c r="KOI2474" s="115"/>
      <c r="KOJ2474" s="115"/>
      <c r="KOK2474" s="115"/>
      <c r="KOL2474" s="115"/>
      <c r="KOM2474" s="115"/>
      <c r="KON2474" s="115"/>
      <c r="KOO2474" s="115"/>
      <c r="KOP2474" s="115"/>
      <c r="KOQ2474" s="115"/>
      <c r="KOR2474" s="115"/>
      <c r="KOS2474" s="115"/>
      <c r="KOT2474" s="115"/>
      <c r="KOU2474" s="115"/>
      <c r="KOV2474" s="115"/>
      <c r="KOW2474" s="115"/>
      <c r="KOX2474" s="115"/>
      <c r="KOY2474" s="115"/>
      <c r="KOZ2474" s="115"/>
      <c r="KPA2474" s="115"/>
      <c r="KPB2474" s="115"/>
      <c r="KPC2474" s="115"/>
      <c r="KPD2474" s="115"/>
      <c r="KPE2474" s="115"/>
      <c r="KPF2474" s="115"/>
      <c r="KPG2474" s="115"/>
      <c r="KPH2474" s="115"/>
      <c r="KPI2474" s="115"/>
      <c r="KPJ2474" s="115"/>
      <c r="KPK2474" s="115"/>
      <c r="KPL2474" s="115"/>
      <c r="KPM2474" s="115"/>
      <c r="KPN2474" s="115"/>
      <c r="KPO2474" s="115"/>
      <c r="KPP2474" s="115"/>
      <c r="KPQ2474" s="115"/>
      <c r="KPR2474" s="115"/>
      <c r="KPS2474" s="115"/>
      <c r="KPT2474" s="115"/>
      <c r="KPU2474" s="115"/>
      <c r="KPV2474" s="115"/>
      <c r="KPW2474" s="115"/>
      <c r="KPX2474" s="115"/>
      <c r="KPY2474" s="115"/>
      <c r="KPZ2474" s="115"/>
      <c r="KQA2474" s="115"/>
      <c r="KQB2474" s="115"/>
      <c r="KQC2474" s="115"/>
      <c r="KQD2474" s="115"/>
      <c r="KQE2474" s="115"/>
      <c r="KQF2474" s="115"/>
      <c r="KQG2474" s="115"/>
      <c r="KQH2474" s="115"/>
      <c r="KQI2474" s="115"/>
      <c r="KQJ2474" s="115"/>
      <c r="KQK2474" s="115"/>
      <c r="KQL2474" s="115"/>
      <c r="KQM2474" s="115"/>
      <c r="KQN2474" s="115"/>
      <c r="KQO2474" s="115"/>
      <c r="KQP2474" s="115"/>
      <c r="KQQ2474" s="115"/>
      <c r="KQR2474" s="115"/>
      <c r="KQS2474" s="115"/>
      <c r="KQT2474" s="115"/>
      <c r="KQU2474" s="115"/>
      <c r="KQV2474" s="115"/>
      <c r="KQW2474" s="115"/>
      <c r="KQX2474" s="115"/>
      <c r="KQY2474" s="115"/>
      <c r="KQZ2474" s="115"/>
      <c r="KRA2474" s="115"/>
      <c r="KRB2474" s="115"/>
      <c r="KRC2474" s="115"/>
      <c r="KRD2474" s="115"/>
      <c r="KRE2474" s="115"/>
      <c r="KRF2474" s="115"/>
      <c r="KRG2474" s="115"/>
      <c r="KRH2474" s="115"/>
      <c r="KRI2474" s="115"/>
      <c r="KRJ2474" s="115"/>
      <c r="KRK2474" s="115"/>
      <c r="KRL2474" s="115"/>
      <c r="KRM2474" s="115"/>
      <c r="KRN2474" s="115"/>
      <c r="KRO2474" s="115"/>
      <c r="KRP2474" s="115"/>
      <c r="KRQ2474" s="115"/>
      <c r="KRR2474" s="115"/>
      <c r="KRS2474" s="115"/>
      <c r="KRT2474" s="115"/>
      <c r="KRU2474" s="115"/>
      <c r="KRV2474" s="115"/>
      <c r="KRW2474" s="115"/>
      <c r="KRX2474" s="115"/>
      <c r="KRY2474" s="115"/>
      <c r="KRZ2474" s="115"/>
      <c r="KSA2474" s="115"/>
      <c r="KSB2474" s="115"/>
      <c r="KSC2474" s="115"/>
      <c r="KSD2474" s="115"/>
      <c r="KSE2474" s="115"/>
      <c r="KSF2474" s="115"/>
      <c r="KSG2474" s="115"/>
      <c r="KSH2474" s="115"/>
      <c r="KSI2474" s="115"/>
      <c r="KSJ2474" s="115"/>
      <c r="KSK2474" s="115"/>
      <c r="KSL2474" s="115"/>
      <c r="KSM2474" s="115"/>
      <c r="KSN2474" s="115"/>
      <c r="KSO2474" s="115"/>
      <c r="KSP2474" s="115"/>
      <c r="KSQ2474" s="115"/>
      <c r="KSR2474" s="115"/>
      <c r="KSS2474" s="115"/>
      <c r="KST2474" s="115"/>
      <c r="KSU2474" s="115"/>
      <c r="KSV2474" s="115"/>
      <c r="KSW2474" s="115"/>
      <c r="KSX2474" s="115"/>
      <c r="KSY2474" s="115"/>
      <c r="KSZ2474" s="115"/>
      <c r="KTA2474" s="115"/>
      <c r="KTB2474" s="115"/>
      <c r="KTC2474" s="115"/>
      <c r="KTD2474" s="115"/>
      <c r="KTE2474" s="115"/>
      <c r="KTF2474" s="115"/>
      <c r="KTG2474" s="115"/>
      <c r="KTH2474" s="115"/>
      <c r="KTI2474" s="115"/>
      <c r="KTJ2474" s="115"/>
      <c r="KTK2474" s="115"/>
      <c r="KTL2474" s="115"/>
      <c r="KTM2474" s="115"/>
      <c r="KTN2474" s="115"/>
      <c r="KTO2474" s="115"/>
      <c r="KTP2474" s="115"/>
      <c r="KTQ2474" s="115"/>
      <c r="KTR2474" s="115"/>
      <c r="KTS2474" s="115"/>
      <c r="KTT2474" s="115"/>
      <c r="KTU2474" s="115"/>
      <c r="KTV2474" s="115"/>
      <c r="KTW2474" s="115"/>
      <c r="KTX2474" s="115"/>
      <c r="KTY2474" s="115"/>
      <c r="KTZ2474" s="115"/>
      <c r="KUA2474" s="115"/>
      <c r="KUB2474" s="115"/>
      <c r="KUC2474" s="115"/>
      <c r="KUD2474" s="115"/>
      <c r="KUE2474" s="115"/>
      <c r="KUF2474" s="115"/>
      <c r="KUG2474" s="115"/>
      <c r="KUH2474" s="115"/>
      <c r="KUI2474" s="115"/>
      <c r="KUJ2474" s="115"/>
      <c r="KUK2474" s="115"/>
      <c r="KUL2474" s="115"/>
      <c r="KUM2474" s="115"/>
      <c r="KUN2474" s="115"/>
      <c r="KUO2474" s="115"/>
      <c r="KUP2474" s="115"/>
      <c r="KUQ2474" s="115"/>
      <c r="KUR2474" s="115"/>
      <c r="KUS2474" s="115"/>
      <c r="KUT2474" s="115"/>
      <c r="KUU2474" s="115"/>
      <c r="KUV2474" s="115"/>
      <c r="KUW2474" s="115"/>
      <c r="KUX2474" s="115"/>
      <c r="KUY2474" s="115"/>
      <c r="KUZ2474" s="115"/>
      <c r="KVA2474" s="115"/>
      <c r="KVB2474" s="115"/>
      <c r="KVC2474" s="115"/>
      <c r="KVD2474" s="115"/>
      <c r="KVE2474" s="115"/>
      <c r="KVF2474" s="115"/>
      <c r="KVG2474" s="115"/>
      <c r="KVH2474" s="115"/>
      <c r="KVI2474" s="115"/>
      <c r="KVJ2474" s="115"/>
      <c r="KVK2474" s="115"/>
      <c r="KVL2474" s="115"/>
      <c r="KVM2474" s="115"/>
      <c r="KVN2474" s="115"/>
      <c r="KVO2474" s="115"/>
      <c r="KVP2474" s="115"/>
      <c r="KVQ2474" s="115"/>
      <c r="KVR2474" s="115"/>
      <c r="KVS2474" s="115"/>
      <c r="KVT2474" s="115"/>
      <c r="KVU2474" s="115"/>
      <c r="KVV2474" s="115"/>
      <c r="KVW2474" s="115"/>
      <c r="KVX2474" s="115"/>
      <c r="KVY2474" s="115"/>
      <c r="KVZ2474" s="115"/>
      <c r="KWA2474" s="115"/>
      <c r="KWB2474" s="115"/>
      <c r="KWC2474" s="115"/>
      <c r="KWD2474" s="115"/>
      <c r="KWE2474" s="115"/>
      <c r="KWF2474" s="115"/>
      <c r="KWG2474" s="115"/>
      <c r="KWH2474" s="115"/>
      <c r="KWI2474" s="115"/>
      <c r="KWJ2474" s="115"/>
      <c r="KWK2474" s="115"/>
      <c r="KWL2474" s="115"/>
      <c r="KWM2474" s="115"/>
      <c r="KWN2474" s="115"/>
      <c r="KWO2474" s="115"/>
      <c r="KWP2474" s="115"/>
      <c r="KWQ2474" s="115"/>
      <c r="KWR2474" s="115"/>
      <c r="KWS2474" s="115"/>
      <c r="KWT2474" s="115"/>
      <c r="KWU2474" s="115"/>
      <c r="KWV2474" s="115"/>
      <c r="KWW2474" s="115"/>
      <c r="KWX2474" s="115"/>
      <c r="KWY2474" s="115"/>
      <c r="KWZ2474" s="115"/>
      <c r="KXA2474" s="115"/>
      <c r="KXB2474" s="115"/>
      <c r="KXC2474" s="115"/>
      <c r="KXD2474" s="115"/>
      <c r="KXE2474" s="115"/>
      <c r="KXF2474" s="115"/>
      <c r="KXG2474" s="115"/>
      <c r="KXH2474" s="115"/>
      <c r="KXI2474" s="115"/>
      <c r="KXJ2474" s="115"/>
      <c r="KXK2474" s="115"/>
      <c r="KXL2474" s="115"/>
      <c r="KXM2474" s="115"/>
      <c r="KXN2474" s="115"/>
      <c r="KXO2474" s="115"/>
      <c r="KXP2474" s="115"/>
      <c r="KXQ2474" s="115"/>
      <c r="KXR2474" s="115"/>
      <c r="KXS2474" s="115"/>
      <c r="KXT2474" s="115"/>
      <c r="KXU2474" s="115"/>
      <c r="KXV2474" s="115"/>
      <c r="KXW2474" s="115"/>
      <c r="KXX2474" s="115"/>
      <c r="KXY2474" s="115"/>
      <c r="KXZ2474" s="115"/>
      <c r="KYA2474" s="115"/>
      <c r="KYB2474" s="115"/>
      <c r="KYC2474" s="115"/>
      <c r="KYD2474" s="115"/>
      <c r="KYE2474" s="115"/>
      <c r="KYF2474" s="115"/>
      <c r="KYG2474" s="115"/>
      <c r="KYH2474" s="115"/>
      <c r="KYI2474" s="115"/>
      <c r="KYJ2474" s="115"/>
      <c r="KYK2474" s="115"/>
      <c r="KYL2474" s="115"/>
      <c r="KYM2474" s="115"/>
      <c r="KYN2474" s="115"/>
      <c r="KYO2474" s="115"/>
      <c r="KYP2474" s="115"/>
      <c r="KYQ2474" s="115"/>
      <c r="KYR2474" s="115"/>
      <c r="KYS2474" s="115"/>
      <c r="KYT2474" s="115"/>
      <c r="KYU2474" s="115"/>
      <c r="KYV2474" s="115"/>
      <c r="KYW2474" s="115"/>
      <c r="KYX2474" s="115"/>
      <c r="KYY2474" s="115"/>
      <c r="KYZ2474" s="115"/>
      <c r="KZA2474" s="115"/>
      <c r="KZB2474" s="115"/>
      <c r="KZC2474" s="115"/>
      <c r="KZD2474" s="115"/>
      <c r="KZE2474" s="115"/>
      <c r="KZF2474" s="115"/>
      <c r="KZG2474" s="115"/>
      <c r="KZH2474" s="115"/>
      <c r="KZI2474" s="115"/>
      <c r="KZJ2474" s="115"/>
      <c r="KZK2474" s="115"/>
      <c r="KZL2474" s="115"/>
      <c r="KZM2474" s="115"/>
      <c r="KZN2474" s="115"/>
      <c r="KZO2474" s="115"/>
      <c r="KZP2474" s="115"/>
      <c r="KZQ2474" s="115"/>
      <c r="KZR2474" s="115"/>
      <c r="KZS2474" s="115"/>
      <c r="KZT2474" s="115"/>
      <c r="KZU2474" s="115"/>
      <c r="KZV2474" s="115"/>
      <c r="KZW2474" s="115"/>
      <c r="KZX2474" s="115"/>
      <c r="KZY2474" s="115"/>
      <c r="KZZ2474" s="115"/>
      <c r="LAA2474" s="115"/>
      <c r="LAB2474" s="115"/>
      <c r="LAC2474" s="115"/>
      <c r="LAD2474" s="115"/>
      <c r="LAE2474" s="115"/>
      <c r="LAF2474" s="115"/>
      <c r="LAG2474" s="115"/>
      <c r="LAH2474" s="115"/>
      <c r="LAI2474" s="115"/>
      <c r="LAJ2474" s="115"/>
      <c r="LAK2474" s="115"/>
      <c r="LAL2474" s="115"/>
      <c r="LAM2474" s="115"/>
      <c r="LAN2474" s="115"/>
      <c r="LAO2474" s="115"/>
      <c r="LAP2474" s="115"/>
      <c r="LAQ2474" s="115"/>
      <c r="LAR2474" s="115"/>
      <c r="LAS2474" s="115"/>
      <c r="LAT2474" s="115"/>
      <c r="LAU2474" s="115"/>
      <c r="LAV2474" s="115"/>
      <c r="LAW2474" s="115"/>
      <c r="LAX2474" s="115"/>
      <c r="LAY2474" s="115"/>
      <c r="LAZ2474" s="115"/>
      <c r="LBA2474" s="115"/>
      <c r="LBB2474" s="115"/>
      <c r="LBC2474" s="115"/>
      <c r="LBD2474" s="115"/>
      <c r="LBE2474" s="115"/>
      <c r="LBF2474" s="115"/>
      <c r="LBG2474" s="115"/>
      <c r="LBH2474" s="115"/>
      <c r="LBI2474" s="115"/>
      <c r="LBJ2474" s="115"/>
      <c r="LBK2474" s="115"/>
      <c r="LBL2474" s="115"/>
      <c r="LBM2474" s="115"/>
      <c r="LBN2474" s="115"/>
      <c r="LBO2474" s="115"/>
      <c r="LBP2474" s="115"/>
      <c r="LBQ2474" s="115"/>
      <c r="LBR2474" s="115"/>
      <c r="LBS2474" s="115"/>
      <c r="LBT2474" s="115"/>
      <c r="LBU2474" s="115"/>
      <c r="LBV2474" s="115"/>
      <c r="LBW2474" s="115"/>
      <c r="LBX2474" s="115"/>
      <c r="LBY2474" s="115"/>
      <c r="LBZ2474" s="115"/>
      <c r="LCA2474" s="115"/>
      <c r="LCB2474" s="115"/>
      <c r="LCC2474" s="115"/>
      <c r="LCD2474" s="115"/>
      <c r="LCE2474" s="115"/>
      <c r="LCF2474" s="115"/>
      <c r="LCG2474" s="115"/>
      <c r="LCH2474" s="115"/>
      <c r="LCI2474" s="115"/>
      <c r="LCJ2474" s="115"/>
      <c r="LCK2474" s="115"/>
      <c r="LCL2474" s="115"/>
      <c r="LCM2474" s="115"/>
      <c r="LCN2474" s="115"/>
      <c r="LCO2474" s="115"/>
      <c r="LCP2474" s="115"/>
      <c r="LCQ2474" s="115"/>
      <c r="LCR2474" s="115"/>
      <c r="LCS2474" s="115"/>
      <c r="LCT2474" s="115"/>
      <c r="LCU2474" s="115"/>
      <c r="LCV2474" s="115"/>
      <c r="LCW2474" s="115"/>
      <c r="LCX2474" s="115"/>
      <c r="LCY2474" s="115"/>
      <c r="LCZ2474" s="115"/>
      <c r="LDA2474" s="115"/>
      <c r="LDB2474" s="115"/>
      <c r="LDC2474" s="115"/>
      <c r="LDD2474" s="115"/>
      <c r="LDE2474" s="115"/>
      <c r="LDF2474" s="115"/>
      <c r="LDG2474" s="115"/>
      <c r="LDH2474" s="115"/>
      <c r="LDI2474" s="115"/>
      <c r="LDJ2474" s="115"/>
      <c r="LDK2474" s="115"/>
      <c r="LDL2474" s="115"/>
      <c r="LDM2474" s="115"/>
      <c r="LDN2474" s="115"/>
      <c r="LDO2474" s="115"/>
      <c r="LDP2474" s="115"/>
      <c r="LDQ2474" s="115"/>
      <c r="LDR2474" s="115"/>
      <c r="LDS2474" s="115"/>
      <c r="LDT2474" s="115"/>
      <c r="LDU2474" s="115"/>
      <c r="LDV2474" s="115"/>
      <c r="LDW2474" s="115"/>
      <c r="LDX2474" s="115"/>
      <c r="LDY2474" s="115"/>
      <c r="LDZ2474" s="115"/>
      <c r="LEA2474" s="115"/>
      <c r="LEB2474" s="115"/>
      <c r="LEC2474" s="115"/>
      <c r="LED2474" s="115"/>
      <c r="LEE2474" s="115"/>
      <c r="LEF2474" s="115"/>
      <c r="LEG2474" s="115"/>
      <c r="LEH2474" s="115"/>
      <c r="LEI2474" s="115"/>
      <c r="LEJ2474" s="115"/>
      <c r="LEK2474" s="115"/>
      <c r="LEL2474" s="115"/>
      <c r="LEM2474" s="115"/>
      <c r="LEN2474" s="115"/>
      <c r="LEO2474" s="115"/>
      <c r="LEP2474" s="115"/>
      <c r="LEQ2474" s="115"/>
      <c r="LER2474" s="115"/>
      <c r="LES2474" s="115"/>
      <c r="LET2474" s="115"/>
      <c r="LEU2474" s="115"/>
      <c r="LEV2474" s="115"/>
      <c r="LEW2474" s="115"/>
      <c r="LEX2474" s="115"/>
      <c r="LEY2474" s="115"/>
      <c r="LEZ2474" s="115"/>
      <c r="LFA2474" s="115"/>
      <c r="LFB2474" s="115"/>
      <c r="LFC2474" s="115"/>
      <c r="LFD2474" s="115"/>
      <c r="LFE2474" s="115"/>
      <c r="LFF2474" s="115"/>
      <c r="LFG2474" s="115"/>
      <c r="LFH2474" s="115"/>
      <c r="LFI2474" s="115"/>
      <c r="LFJ2474" s="115"/>
      <c r="LFK2474" s="115"/>
      <c r="LFL2474" s="115"/>
      <c r="LFM2474" s="115"/>
      <c r="LFN2474" s="115"/>
      <c r="LFO2474" s="115"/>
      <c r="LFP2474" s="115"/>
      <c r="LFQ2474" s="115"/>
      <c r="LFR2474" s="115"/>
      <c r="LFS2474" s="115"/>
      <c r="LFT2474" s="115"/>
      <c r="LFU2474" s="115"/>
      <c r="LFV2474" s="115"/>
      <c r="LFW2474" s="115"/>
      <c r="LFX2474" s="115"/>
      <c r="LFY2474" s="115"/>
      <c r="LFZ2474" s="115"/>
      <c r="LGA2474" s="115"/>
      <c r="LGB2474" s="115"/>
      <c r="LGC2474" s="115"/>
      <c r="LGD2474" s="115"/>
      <c r="LGE2474" s="115"/>
      <c r="LGF2474" s="115"/>
      <c r="LGG2474" s="115"/>
      <c r="LGH2474" s="115"/>
      <c r="LGI2474" s="115"/>
      <c r="LGJ2474" s="115"/>
      <c r="LGK2474" s="115"/>
      <c r="LGL2474" s="115"/>
      <c r="LGM2474" s="115"/>
      <c r="LGN2474" s="115"/>
      <c r="LGO2474" s="115"/>
      <c r="LGP2474" s="115"/>
      <c r="LGQ2474" s="115"/>
      <c r="LGR2474" s="115"/>
      <c r="LGS2474" s="115"/>
      <c r="LGT2474" s="115"/>
      <c r="LGU2474" s="115"/>
      <c r="LGV2474" s="115"/>
      <c r="LGW2474" s="115"/>
      <c r="LGX2474" s="115"/>
      <c r="LGY2474" s="115"/>
      <c r="LGZ2474" s="115"/>
      <c r="LHA2474" s="115"/>
      <c r="LHB2474" s="115"/>
      <c r="LHC2474" s="115"/>
      <c r="LHD2474" s="115"/>
      <c r="LHE2474" s="115"/>
      <c r="LHF2474" s="115"/>
      <c r="LHG2474" s="115"/>
      <c r="LHH2474" s="115"/>
      <c r="LHI2474" s="115"/>
      <c r="LHJ2474" s="115"/>
      <c r="LHK2474" s="115"/>
      <c r="LHL2474" s="115"/>
      <c r="LHM2474" s="115"/>
      <c r="LHN2474" s="115"/>
      <c r="LHO2474" s="115"/>
      <c r="LHP2474" s="115"/>
      <c r="LHQ2474" s="115"/>
      <c r="LHR2474" s="115"/>
      <c r="LHS2474" s="115"/>
      <c r="LHT2474" s="115"/>
      <c r="LHU2474" s="115"/>
      <c r="LHV2474" s="115"/>
      <c r="LHW2474" s="115"/>
      <c r="LHX2474" s="115"/>
      <c r="LHY2474" s="115"/>
      <c r="LHZ2474" s="115"/>
      <c r="LIA2474" s="115"/>
      <c r="LIB2474" s="115"/>
      <c r="LIC2474" s="115"/>
      <c r="LID2474" s="115"/>
      <c r="LIE2474" s="115"/>
      <c r="LIF2474" s="115"/>
      <c r="LIG2474" s="115"/>
      <c r="LIH2474" s="115"/>
      <c r="LII2474" s="115"/>
      <c r="LIJ2474" s="115"/>
      <c r="LIK2474" s="115"/>
      <c r="LIL2474" s="115"/>
      <c r="LIM2474" s="115"/>
      <c r="LIN2474" s="115"/>
      <c r="LIO2474" s="115"/>
      <c r="LIP2474" s="115"/>
      <c r="LIQ2474" s="115"/>
      <c r="LIR2474" s="115"/>
      <c r="LIS2474" s="115"/>
      <c r="LIT2474" s="115"/>
      <c r="LIU2474" s="115"/>
      <c r="LIV2474" s="115"/>
      <c r="LIW2474" s="115"/>
      <c r="LIX2474" s="115"/>
      <c r="LIY2474" s="115"/>
      <c r="LIZ2474" s="115"/>
      <c r="LJA2474" s="115"/>
      <c r="LJB2474" s="115"/>
      <c r="LJC2474" s="115"/>
      <c r="LJD2474" s="115"/>
      <c r="LJE2474" s="115"/>
      <c r="LJF2474" s="115"/>
      <c r="LJG2474" s="115"/>
      <c r="LJH2474" s="115"/>
      <c r="LJI2474" s="115"/>
      <c r="LJJ2474" s="115"/>
      <c r="LJK2474" s="115"/>
      <c r="LJL2474" s="115"/>
      <c r="LJM2474" s="115"/>
      <c r="LJN2474" s="115"/>
      <c r="LJO2474" s="115"/>
      <c r="LJP2474" s="115"/>
      <c r="LJQ2474" s="115"/>
      <c r="LJR2474" s="115"/>
      <c r="LJS2474" s="115"/>
      <c r="LJT2474" s="115"/>
      <c r="LJU2474" s="115"/>
      <c r="LJV2474" s="115"/>
      <c r="LJW2474" s="115"/>
      <c r="LJX2474" s="115"/>
      <c r="LJY2474" s="115"/>
      <c r="LJZ2474" s="115"/>
      <c r="LKA2474" s="115"/>
      <c r="LKB2474" s="115"/>
      <c r="LKC2474" s="115"/>
      <c r="LKD2474" s="115"/>
      <c r="LKE2474" s="115"/>
      <c r="LKF2474" s="115"/>
      <c r="LKG2474" s="115"/>
      <c r="LKH2474" s="115"/>
      <c r="LKI2474" s="115"/>
      <c r="LKJ2474" s="115"/>
      <c r="LKK2474" s="115"/>
      <c r="LKL2474" s="115"/>
      <c r="LKM2474" s="115"/>
      <c r="LKN2474" s="115"/>
      <c r="LKO2474" s="115"/>
      <c r="LKP2474" s="115"/>
      <c r="LKQ2474" s="115"/>
      <c r="LKR2474" s="115"/>
      <c r="LKS2474" s="115"/>
      <c r="LKT2474" s="115"/>
      <c r="LKU2474" s="115"/>
      <c r="LKV2474" s="115"/>
      <c r="LKW2474" s="115"/>
      <c r="LKX2474" s="115"/>
      <c r="LKY2474" s="115"/>
      <c r="LKZ2474" s="115"/>
      <c r="LLA2474" s="115"/>
      <c r="LLB2474" s="115"/>
      <c r="LLC2474" s="115"/>
      <c r="LLD2474" s="115"/>
      <c r="LLE2474" s="115"/>
      <c r="LLF2474" s="115"/>
      <c r="LLG2474" s="115"/>
      <c r="LLH2474" s="115"/>
      <c r="LLI2474" s="115"/>
      <c r="LLJ2474" s="115"/>
      <c r="LLK2474" s="115"/>
      <c r="LLL2474" s="115"/>
      <c r="LLM2474" s="115"/>
      <c r="LLN2474" s="115"/>
      <c r="LLO2474" s="115"/>
      <c r="LLP2474" s="115"/>
      <c r="LLQ2474" s="115"/>
      <c r="LLR2474" s="115"/>
      <c r="LLS2474" s="115"/>
      <c r="LLT2474" s="115"/>
      <c r="LLU2474" s="115"/>
      <c r="LLV2474" s="115"/>
      <c r="LLW2474" s="115"/>
      <c r="LLX2474" s="115"/>
      <c r="LLY2474" s="115"/>
      <c r="LLZ2474" s="115"/>
      <c r="LMA2474" s="115"/>
      <c r="LMB2474" s="115"/>
      <c r="LMC2474" s="115"/>
      <c r="LMD2474" s="115"/>
      <c r="LME2474" s="115"/>
      <c r="LMF2474" s="115"/>
      <c r="LMG2474" s="115"/>
      <c r="LMH2474" s="115"/>
      <c r="LMI2474" s="115"/>
      <c r="LMJ2474" s="115"/>
      <c r="LMK2474" s="115"/>
      <c r="LML2474" s="115"/>
      <c r="LMM2474" s="115"/>
      <c r="LMN2474" s="115"/>
      <c r="LMO2474" s="115"/>
      <c r="LMP2474" s="115"/>
      <c r="LMQ2474" s="115"/>
      <c r="LMR2474" s="115"/>
      <c r="LMS2474" s="115"/>
      <c r="LMT2474" s="115"/>
      <c r="LMU2474" s="115"/>
      <c r="LMV2474" s="115"/>
      <c r="LMW2474" s="115"/>
      <c r="LMX2474" s="115"/>
      <c r="LMY2474" s="115"/>
      <c r="LMZ2474" s="115"/>
      <c r="LNA2474" s="115"/>
      <c r="LNB2474" s="115"/>
      <c r="LNC2474" s="115"/>
      <c r="LND2474" s="115"/>
      <c r="LNE2474" s="115"/>
      <c r="LNF2474" s="115"/>
      <c r="LNG2474" s="115"/>
      <c r="LNH2474" s="115"/>
      <c r="LNI2474" s="115"/>
      <c r="LNJ2474" s="115"/>
      <c r="LNK2474" s="115"/>
      <c r="LNL2474" s="115"/>
      <c r="LNM2474" s="115"/>
      <c r="LNN2474" s="115"/>
      <c r="LNO2474" s="115"/>
      <c r="LNP2474" s="115"/>
      <c r="LNQ2474" s="115"/>
      <c r="LNR2474" s="115"/>
      <c r="LNS2474" s="115"/>
      <c r="LNT2474" s="115"/>
      <c r="LNU2474" s="115"/>
      <c r="LNV2474" s="115"/>
      <c r="LNW2474" s="115"/>
      <c r="LNX2474" s="115"/>
      <c r="LNY2474" s="115"/>
      <c r="LNZ2474" s="115"/>
      <c r="LOA2474" s="115"/>
      <c r="LOB2474" s="115"/>
      <c r="LOC2474" s="115"/>
      <c r="LOD2474" s="115"/>
      <c r="LOE2474" s="115"/>
      <c r="LOF2474" s="115"/>
      <c r="LOG2474" s="115"/>
      <c r="LOH2474" s="115"/>
      <c r="LOI2474" s="115"/>
      <c r="LOJ2474" s="115"/>
      <c r="LOK2474" s="115"/>
      <c r="LOL2474" s="115"/>
      <c r="LOM2474" s="115"/>
      <c r="LON2474" s="115"/>
      <c r="LOO2474" s="115"/>
      <c r="LOP2474" s="115"/>
      <c r="LOQ2474" s="115"/>
      <c r="LOR2474" s="115"/>
      <c r="LOS2474" s="115"/>
      <c r="LOT2474" s="115"/>
      <c r="LOU2474" s="115"/>
      <c r="LOV2474" s="115"/>
      <c r="LOW2474" s="115"/>
      <c r="LOX2474" s="115"/>
      <c r="LOY2474" s="115"/>
      <c r="LOZ2474" s="115"/>
      <c r="LPA2474" s="115"/>
      <c r="LPB2474" s="115"/>
      <c r="LPC2474" s="115"/>
      <c r="LPD2474" s="115"/>
      <c r="LPE2474" s="115"/>
      <c r="LPF2474" s="115"/>
      <c r="LPG2474" s="115"/>
      <c r="LPH2474" s="115"/>
      <c r="LPI2474" s="115"/>
      <c r="LPJ2474" s="115"/>
      <c r="LPK2474" s="115"/>
      <c r="LPL2474" s="115"/>
      <c r="LPM2474" s="115"/>
      <c r="LPN2474" s="115"/>
      <c r="LPO2474" s="115"/>
      <c r="LPP2474" s="115"/>
      <c r="LPQ2474" s="115"/>
      <c r="LPR2474" s="115"/>
      <c r="LPS2474" s="115"/>
      <c r="LPT2474" s="115"/>
      <c r="LPU2474" s="115"/>
      <c r="LPV2474" s="115"/>
      <c r="LPW2474" s="115"/>
      <c r="LPX2474" s="115"/>
      <c r="LPY2474" s="115"/>
      <c r="LPZ2474" s="115"/>
      <c r="LQA2474" s="115"/>
      <c r="LQB2474" s="115"/>
      <c r="LQC2474" s="115"/>
      <c r="LQD2474" s="115"/>
      <c r="LQE2474" s="115"/>
      <c r="LQF2474" s="115"/>
      <c r="LQG2474" s="115"/>
      <c r="LQH2474" s="115"/>
      <c r="LQI2474" s="115"/>
      <c r="LQJ2474" s="115"/>
      <c r="LQK2474" s="115"/>
      <c r="LQL2474" s="115"/>
      <c r="LQM2474" s="115"/>
      <c r="LQN2474" s="115"/>
      <c r="LQO2474" s="115"/>
      <c r="LQP2474" s="115"/>
      <c r="LQQ2474" s="115"/>
      <c r="LQR2474" s="115"/>
      <c r="LQS2474" s="115"/>
      <c r="LQT2474" s="115"/>
      <c r="LQU2474" s="115"/>
      <c r="LQV2474" s="115"/>
      <c r="LQW2474" s="115"/>
      <c r="LQX2474" s="115"/>
      <c r="LQY2474" s="115"/>
      <c r="LQZ2474" s="115"/>
      <c r="LRA2474" s="115"/>
      <c r="LRB2474" s="115"/>
      <c r="LRC2474" s="115"/>
      <c r="LRD2474" s="115"/>
      <c r="LRE2474" s="115"/>
      <c r="LRF2474" s="115"/>
      <c r="LRG2474" s="115"/>
      <c r="LRH2474" s="115"/>
      <c r="LRI2474" s="115"/>
      <c r="LRJ2474" s="115"/>
      <c r="LRK2474" s="115"/>
      <c r="LRL2474" s="115"/>
      <c r="LRM2474" s="115"/>
      <c r="LRN2474" s="115"/>
      <c r="LRO2474" s="115"/>
      <c r="LRP2474" s="115"/>
      <c r="LRQ2474" s="115"/>
      <c r="LRR2474" s="115"/>
      <c r="LRS2474" s="115"/>
      <c r="LRT2474" s="115"/>
      <c r="LRU2474" s="115"/>
      <c r="LRV2474" s="115"/>
      <c r="LRW2474" s="115"/>
      <c r="LRX2474" s="115"/>
      <c r="LRY2474" s="115"/>
      <c r="LRZ2474" s="115"/>
      <c r="LSA2474" s="115"/>
      <c r="LSB2474" s="115"/>
      <c r="LSC2474" s="115"/>
      <c r="LSD2474" s="115"/>
      <c r="LSE2474" s="115"/>
      <c r="LSF2474" s="115"/>
      <c r="LSG2474" s="115"/>
      <c r="LSH2474" s="115"/>
      <c r="LSI2474" s="115"/>
      <c r="LSJ2474" s="115"/>
      <c r="LSK2474" s="115"/>
      <c r="LSL2474" s="115"/>
      <c r="LSM2474" s="115"/>
      <c r="LSN2474" s="115"/>
      <c r="LSO2474" s="115"/>
      <c r="LSP2474" s="115"/>
      <c r="LSQ2474" s="115"/>
      <c r="LSR2474" s="115"/>
      <c r="LSS2474" s="115"/>
      <c r="LST2474" s="115"/>
      <c r="LSU2474" s="115"/>
      <c r="LSV2474" s="115"/>
      <c r="LSW2474" s="115"/>
      <c r="LSX2474" s="115"/>
      <c r="LSY2474" s="115"/>
      <c r="LSZ2474" s="115"/>
      <c r="LTA2474" s="115"/>
      <c r="LTB2474" s="115"/>
      <c r="LTC2474" s="115"/>
      <c r="LTD2474" s="115"/>
      <c r="LTE2474" s="115"/>
      <c r="LTF2474" s="115"/>
      <c r="LTG2474" s="115"/>
      <c r="LTH2474" s="115"/>
      <c r="LTI2474" s="115"/>
      <c r="LTJ2474" s="115"/>
      <c r="LTK2474" s="115"/>
      <c r="LTL2474" s="115"/>
      <c r="LTM2474" s="115"/>
      <c r="LTN2474" s="115"/>
      <c r="LTO2474" s="115"/>
      <c r="LTP2474" s="115"/>
      <c r="LTQ2474" s="115"/>
      <c r="LTR2474" s="115"/>
      <c r="LTS2474" s="115"/>
      <c r="LTT2474" s="115"/>
      <c r="LTU2474" s="115"/>
      <c r="LTV2474" s="115"/>
      <c r="LTW2474" s="115"/>
      <c r="LTX2474" s="115"/>
      <c r="LTY2474" s="115"/>
      <c r="LTZ2474" s="115"/>
      <c r="LUA2474" s="115"/>
      <c r="LUB2474" s="115"/>
      <c r="LUC2474" s="115"/>
      <c r="LUD2474" s="115"/>
      <c r="LUE2474" s="115"/>
      <c r="LUF2474" s="115"/>
      <c r="LUG2474" s="115"/>
      <c r="LUH2474" s="115"/>
      <c r="LUI2474" s="115"/>
      <c r="LUJ2474" s="115"/>
      <c r="LUK2474" s="115"/>
      <c r="LUL2474" s="115"/>
      <c r="LUM2474" s="115"/>
      <c r="LUN2474" s="115"/>
      <c r="LUO2474" s="115"/>
      <c r="LUP2474" s="115"/>
      <c r="LUQ2474" s="115"/>
      <c r="LUR2474" s="115"/>
      <c r="LUS2474" s="115"/>
      <c r="LUT2474" s="115"/>
      <c r="LUU2474" s="115"/>
      <c r="LUV2474" s="115"/>
      <c r="LUW2474" s="115"/>
      <c r="LUX2474" s="115"/>
      <c r="LUY2474" s="115"/>
      <c r="LUZ2474" s="115"/>
      <c r="LVA2474" s="115"/>
      <c r="LVB2474" s="115"/>
      <c r="LVC2474" s="115"/>
      <c r="LVD2474" s="115"/>
      <c r="LVE2474" s="115"/>
      <c r="LVF2474" s="115"/>
      <c r="LVG2474" s="115"/>
      <c r="LVH2474" s="115"/>
      <c r="LVI2474" s="115"/>
      <c r="LVJ2474" s="115"/>
      <c r="LVK2474" s="115"/>
      <c r="LVL2474" s="115"/>
      <c r="LVM2474" s="115"/>
      <c r="LVN2474" s="115"/>
      <c r="LVO2474" s="115"/>
      <c r="LVP2474" s="115"/>
      <c r="LVQ2474" s="115"/>
      <c r="LVR2474" s="115"/>
      <c r="LVS2474" s="115"/>
      <c r="LVT2474" s="115"/>
      <c r="LVU2474" s="115"/>
      <c r="LVV2474" s="115"/>
      <c r="LVW2474" s="115"/>
      <c r="LVX2474" s="115"/>
      <c r="LVY2474" s="115"/>
      <c r="LVZ2474" s="115"/>
      <c r="LWA2474" s="115"/>
      <c r="LWB2474" s="115"/>
      <c r="LWC2474" s="115"/>
      <c r="LWD2474" s="115"/>
      <c r="LWE2474" s="115"/>
      <c r="LWF2474" s="115"/>
      <c r="LWG2474" s="115"/>
      <c r="LWH2474" s="115"/>
      <c r="LWI2474" s="115"/>
      <c r="LWJ2474" s="115"/>
      <c r="LWK2474" s="115"/>
      <c r="LWL2474" s="115"/>
      <c r="LWM2474" s="115"/>
      <c r="LWN2474" s="115"/>
      <c r="LWO2474" s="115"/>
      <c r="LWP2474" s="115"/>
      <c r="LWQ2474" s="115"/>
      <c r="LWR2474" s="115"/>
      <c r="LWS2474" s="115"/>
      <c r="LWT2474" s="115"/>
      <c r="LWU2474" s="115"/>
      <c r="LWV2474" s="115"/>
      <c r="LWW2474" s="115"/>
      <c r="LWX2474" s="115"/>
      <c r="LWY2474" s="115"/>
      <c r="LWZ2474" s="115"/>
      <c r="LXA2474" s="115"/>
      <c r="LXB2474" s="115"/>
      <c r="LXC2474" s="115"/>
      <c r="LXD2474" s="115"/>
      <c r="LXE2474" s="115"/>
      <c r="LXF2474" s="115"/>
      <c r="LXG2474" s="115"/>
      <c r="LXH2474" s="115"/>
      <c r="LXI2474" s="115"/>
      <c r="LXJ2474" s="115"/>
      <c r="LXK2474" s="115"/>
      <c r="LXL2474" s="115"/>
      <c r="LXM2474" s="115"/>
      <c r="LXN2474" s="115"/>
      <c r="LXO2474" s="115"/>
      <c r="LXP2474" s="115"/>
      <c r="LXQ2474" s="115"/>
      <c r="LXR2474" s="115"/>
      <c r="LXS2474" s="115"/>
      <c r="LXT2474" s="115"/>
      <c r="LXU2474" s="115"/>
      <c r="LXV2474" s="115"/>
      <c r="LXW2474" s="115"/>
      <c r="LXX2474" s="115"/>
      <c r="LXY2474" s="115"/>
      <c r="LXZ2474" s="115"/>
      <c r="LYA2474" s="115"/>
      <c r="LYB2474" s="115"/>
      <c r="LYC2474" s="115"/>
      <c r="LYD2474" s="115"/>
      <c r="LYE2474" s="115"/>
      <c r="LYF2474" s="115"/>
      <c r="LYG2474" s="115"/>
      <c r="LYH2474" s="115"/>
      <c r="LYI2474" s="115"/>
      <c r="LYJ2474" s="115"/>
      <c r="LYK2474" s="115"/>
      <c r="LYL2474" s="115"/>
      <c r="LYM2474" s="115"/>
      <c r="LYN2474" s="115"/>
      <c r="LYO2474" s="115"/>
      <c r="LYP2474" s="115"/>
      <c r="LYQ2474" s="115"/>
      <c r="LYR2474" s="115"/>
      <c r="LYS2474" s="115"/>
      <c r="LYT2474" s="115"/>
      <c r="LYU2474" s="115"/>
      <c r="LYV2474" s="115"/>
      <c r="LYW2474" s="115"/>
      <c r="LYX2474" s="115"/>
      <c r="LYY2474" s="115"/>
      <c r="LYZ2474" s="115"/>
      <c r="LZA2474" s="115"/>
      <c r="LZB2474" s="115"/>
      <c r="LZC2474" s="115"/>
      <c r="LZD2474" s="115"/>
      <c r="LZE2474" s="115"/>
      <c r="LZF2474" s="115"/>
      <c r="LZG2474" s="115"/>
      <c r="LZH2474" s="115"/>
      <c r="LZI2474" s="115"/>
      <c r="LZJ2474" s="115"/>
      <c r="LZK2474" s="115"/>
      <c r="LZL2474" s="115"/>
      <c r="LZM2474" s="115"/>
      <c r="LZN2474" s="115"/>
      <c r="LZO2474" s="115"/>
      <c r="LZP2474" s="115"/>
      <c r="LZQ2474" s="115"/>
      <c r="LZR2474" s="115"/>
      <c r="LZS2474" s="115"/>
      <c r="LZT2474" s="115"/>
      <c r="LZU2474" s="115"/>
      <c r="LZV2474" s="115"/>
      <c r="LZW2474" s="115"/>
      <c r="LZX2474" s="115"/>
      <c r="LZY2474" s="115"/>
      <c r="LZZ2474" s="115"/>
      <c r="MAA2474" s="115"/>
      <c r="MAB2474" s="115"/>
      <c r="MAC2474" s="115"/>
      <c r="MAD2474" s="115"/>
      <c r="MAE2474" s="115"/>
      <c r="MAF2474" s="115"/>
      <c r="MAG2474" s="115"/>
      <c r="MAH2474" s="115"/>
      <c r="MAI2474" s="115"/>
      <c r="MAJ2474" s="115"/>
      <c r="MAK2474" s="115"/>
      <c r="MAL2474" s="115"/>
      <c r="MAM2474" s="115"/>
      <c r="MAN2474" s="115"/>
      <c r="MAO2474" s="115"/>
      <c r="MAP2474" s="115"/>
      <c r="MAQ2474" s="115"/>
      <c r="MAR2474" s="115"/>
      <c r="MAS2474" s="115"/>
      <c r="MAT2474" s="115"/>
      <c r="MAU2474" s="115"/>
      <c r="MAV2474" s="115"/>
      <c r="MAW2474" s="115"/>
      <c r="MAX2474" s="115"/>
      <c r="MAY2474" s="115"/>
      <c r="MAZ2474" s="115"/>
      <c r="MBA2474" s="115"/>
      <c r="MBB2474" s="115"/>
      <c r="MBC2474" s="115"/>
      <c r="MBD2474" s="115"/>
      <c r="MBE2474" s="115"/>
      <c r="MBF2474" s="115"/>
      <c r="MBG2474" s="115"/>
      <c r="MBH2474" s="115"/>
      <c r="MBI2474" s="115"/>
      <c r="MBJ2474" s="115"/>
      <c r="MBK2474" s="115"/>
      <c r="MBL2474" s="115"/>
      <c r="MBM2474" s="115"/>
      <c r="MBN2474" s="115"/>
      <c r="MBO2474" s="115"/>
      <c r="MBP2474" s="115"/>
      <c r="MBQ2474" s="115"/>
      <c r="MBR2474" s="115"/>
      <c r="MBS2474" s="115"/>
      <c r="MBT2474" s="115"/>
      <c r="MBU2474" s="115"/>
      <c r="MBV2474" s="115"/>
      <c r="MBW2474" s="115"/>
      <c r="MBX2474" s="115"/>
      <c r="MBY2474" s="115"/>
      <c r="MBZ2474" s="115"/>
      <c r="MCA2474" s="115"/>
      <c r="MCB2474" s="115"/>
      <c r="MCC2474" s="115"/>
      <c r="MCD2474" s="115"/>
      <c r="MCE2474" s="115"/>
      <c r="MCF2474" s="115"/>
      <c r="MCG2474" s="115"/>
      <c r="MCH2474" s="115"/>
      <c r="MCI2474" s="115"/>
      <c r="MCJ2474" s="115"/>
      <c r="MCK2474" s="115"/>
      <c r="MCL2474" s="115"/>
      <c r="MCM2474" s="115"/>
      <c r="MCN2474" s="115"/>
      <c r="MCO2474" s="115"/>
      <c r="MCP2474" s="115"/>
      <c r="MCQ2474" s="115"/>
      <c r="MCR2474" s="115"/>
      <c r="MCS2474" s="115"/>
      <c r="MCT2474" s="115"/>
      <c r="MCU2474" s="115"/>
      <c r="MCV2474" s="115"/>
      <c r="MCW2474" s="115"/>
      <c r="MCX2474" s="115"/>
      <c r="MCY2474" s="115"/>
      <c r="MCZ2474" s="115"/>
      <c r="MDA2474" s="115"/>
      <c r="MDB2474" s="115"/>
      <c r="MDC2474" s="115"/>
      <c r="MDD2474" s="115"/>
      <c r="MDE2474" s="115"/>
      <c r="MDF2474" s="115"/>
      <c r="MDG2474" s="115"/>
      <c r="MDH2474" s="115"/>
      <c r="MDI2474" s="115"/>
      <c r="MDJ2474" s="115"/>
      <c r="MDK2474" s="115"/>
      <c r="MDL2474" s="115"/>
      <c r="MDM2474" s="115"/>
      <c r="MDN2474" s="115"/>
      <c r="MDO2474" s="115"/>
      <c r="MDP2474" s="115"/>
      <c r="MDQ2474" s="115"/>
      <c r="MDR2474" s="115"/>
      <c r="MDS2474" s="115"/>
      <c r="MDT2474" s="115"/>
      <c r="MDU2474" s="115"/>
      <c r="MDV2474" s="115"/>
      <c r="MDW2474" s="115"/>
      <c r="MDX2474" s="115"/>
      <c r="MDY2474" s="115"/>
      <c r="MDZ2474" s="115"/>
      <c r="MEA2474" s="115"/>
      <c r="MEB2474" s="115"/>
      <c r="MEC2474" s="115"/>
      <c r="MED2474" s="115"/>
      <c r="MEE2474" s="115"/>
      <c r="MEF2474" s="115"/>
      <c r="MEG2474" s="115"/>
      <c r="MEH2474" s="115"/>
      <c r="MEI2474" s="115"/>
      <c r="MEJ2474" s="115"/>
      <c r="MEK2474" s="115"/>
      <c r="MEL2474" s="115"/>
      <c r="MEM2474" s="115"/>
      <c r="MEN2474" s="115"/>
      <c r="MEO2474" s="115"/>
      <c r="MEP2474" s="115"/>
      <c r="MEQ2474" s="115"/>
      <c r="MER2474" s="115"/>
      <c r="MES2474" s="115"/>
      <c r="MET2474" s="115"/>
      <c r="MEU2474" s="115"/>
      <c r="MEV2474" s="115"/>
      <c r="MEW2474" s="115"/>
      <c r="MEX2474" s="115"/>
      <c r="MEY2474" s="115"/>
      <c r="MEZ2474" s="115"/>
      <c r="MFA2474" s="115"/>
      <c r="MFB2474" s="115"/>
      <c r="MFC2474" s="115"/>
      <c r="MFD2474" s="115"/>
      <c r="MFE2474" s="115"/>
      <c r="MFF2474" s="115"/>
      <c r="MFG2474" s="115"/>
      <c r="MFH2474" s="115"/>
      <c r="MFI2474" s="115"/>
      <c r="MFJ2474" s="115"/>
      <c r="MFK2474" s="115"/>
      <c r="MFL2474" s="115"/>
      <c r="MFM2474" s="115"/>
      <c r="MFN2474" s="115"/>
      <c r="MFO2474" s="115"/>
      <c r="MFP2474" s="115"/>
      <c r="MFQ2474" s="115"/>
      <c r="MFR2474" s="115"/>
      <c r="MFS2474" s="115"/>
      <c r="MFT2474" s="115"/>
      <c r="MFU2474" s="115"/>
      <c r="MFV2474" s="115"/>
      <c r="MFW2474" s="115"/>
      <c r="MFX2474" s="115"/>
      <c r="MFY2474" s="115"/>
      <c r="MFZ2474" s="115"/>
      <c r="MGA2474" s="115"/>
      <c r="MGB2474" s="115"/>
      <c r="MGC2474" s="115"/>
      <c r="MGD2474" s="115"/>
      <c r="MGE2474" s="115"/>
      <c r="MGF2474" s="115"/>
      <c r="MGG2474" s="115"/>
      <c r="MGH2474" s="115"/>
      <c r="MGI2474" s="115"/>
      <c r="MGJ2474" s="115"/>
      <c r="MGK2474" s="115"/>
      <c r="MGL2474" s="115"/>
      <c r="MGM2474" s="115"/>
      <c r="MGN2474" s="115"/>
      <c r="MGO2474" s="115"/>
      <c r="MGP2474" s="115"/>
      <c r="MGQ2474" s="115"/>
      <c r="MGR2474" s="115"/>
      <c r="MGS2474" s="115"/>
      <c r="MGT2474" s="115"/>
      <c r="MGU2474" s="115"/>
      <c r="MGV2474" s="115"/>
      <c r="MGW2474" s="115"/>
      <c r="MGX2474" s="115"/>
      <c r="MGY2474" s="115"/>
      <c r="MGZ2474" s="115"/>
      <c r="MHA2474" s="115"/>
      <c r="MHB2474" s="115"/>
      <c r="MHC2474" s="115"/>
      <c r="MHD2474" s="115"/>
      <c r="MHE2474" s="115"/>
      <c r="MHF2474" s="115"/>
      <c r="MHG2474" s="115"/>
      <c r="MHH2474" s="115"/>
      <c r="MHI2474" s="115"/>
      <c r="MHJ2474" s="115"/>
      <c r="MHK2474" s="115"/>
      <c r="MHL2474" s="115"/>
      <c r="MHM2474" s="115"/>
      <c r="MHN2474" s="115"/>
      <c r="MHO2474" s="115"/>
      <c r="MHP2474" s="115"/>
      <c r="MHQ2474" s="115"/>
      <c r="MHR2474" s="115"/>
      <c r="MHS2474" s="115"/>
      <c r="MHT2474" s="115"/>
      <c r="MHU2474" s="115"/>
      <c r="MHV2474" s="115"/>
      <c r="MHW2474" s="115"/>
      <c r="MHX2474" s="115"/>
      <c r="MHY2474" s="115"/>
      <c r="MHZ2474" s="115"/>
      <c r="MIA2474" s="115"/>
      <c r="MIB2474" s="115"/>
      <c r="MIC2474" s="115"/>
      <c r="MID2474" s="115"/>
      <c r="MIE2474" s="115"/>
      <c r="MIF2474" s="115"/>
      <c r="MIG2474" s="115"/>
      <c r="MIH2474" s="115"/>
      <c r="MII2474" s="115"/>
      <c r="MIJ2474" s="115"/>
      <c r="MIK2474" s="115"/>
      <c r="MIL2474" s="115"/>
      <c r="MIM2474" s="115"/>
      <c r="MIN2474" s="115"/>
      <c r="MIO2474" s="115"/>
      <c r="MIP2474" s="115"/>
      <c r="MIQ2474" s="115"/>
      <c r="MIR2474" s="115"/>
      <c r="MIS2474" s="115"/>
      <c r="MIT2474" s="115"/>
      <c r="MIU2474" s="115"/>
      <c r="MIV2474" s="115"/>
      <c r="MIW2474" s="115"/>
      <c r="MIX2474" s="115"/>
      <c r="MIY2474" s="115"/>
      <c r="MIZ2474" s="115"/>
      <c r="MJA2474" s="115"/>
      <c r="MJB2474" s="115"/>
      <c r="MJC2474" s="115"/>
      <c r="MJD2474" s="115"/>
      <c r="MJE2474" s="115"/>
      <c r="MJF2474" s="115"/>
      <c r="MJG2474" s="115"/>
      <c r="MJH2474" s="115"/>
      <c r="MJI2474" s="115"/>
      <c r="MJJ2474" s="115"/>
      <c r="MJK2474" s="115"/>
      <c r="MJL2474" s="115"/>
      <c r="MJM2474" s="115"/>
      <c r="MJN2474" s="115"/>
      <c r="MJO2474" s="115"/>
      <c r="MJP2474" s="115"/>
      <c r="MJQ2474" s="115"/>
      <c r="MJR2474" s="115"/>
      <c r="MJS2474" s="115"/>
      <c r="MJT2474" s="115"/>
      <c r="MJU2474" s="115"/>
      <c r="MJV2474" s="115"/>
      <c r="MJW2474" s="115"/>
      <c r="MJX2474" s="115"/>
      <c r="MJY2474" s="115"/>
      <c r="MJZ2474" s="115"/>
      <c r="MKA2474" s="115"/>
      <c r="MKB2474" s="115"/>
      <c r="MKC2474" s="115"/>
      <c r="MKD2474" s="115"/>
      <c r="MKE2474" s="115"/>
      <c r="MKF2474" s="115"/>
      <c r="MKG2474" s="115"/>
      <c r="MKH2474" s="115"/>
      <c r="MKI2474" s="115"/>
      <c r="MKJ2474" s="115"/>
      <c r="MKK2474" s="115"/>
      <c r="MKL2474" s="115"/>
      <c r="MKM2474" s="115"/>
      <c r="MKN2474" s="115"/>
      <c r="MKO2474" s="115"/>
      <c r="MKP2474" s="115"/>
      <c r="MKQ2474" s="115"/>
      <c r="MKR2474" s="115"/>
      <c r="MKS2474" s="115"/>
      <c r="MKT2474" s="115"/>
      <c r="MKU2474" s="115"/>
      <c r="MKV2474" s="115"/>
      <c r="MKW2474" s="115"/>
      <c r="MKX2474" s="115"/>
      <c r="MKY2474" s="115"/>
      <c r="MKZ2474" s="115"/>
      <c r="MLA2474" s="115"/>
      <c r="MLB2474" s="115"/>
      <c r="MLC2474" s="115"/>
      <c r="MLD2474" s="115"/>
      <c r="MLE2474" s="115"/>
      <c r="MLF2474" s="115"/>
      <c r="MLG2474" s="115"/>
      <c r="MLH2474" s="115"/>
      <c r="MLI2474" s="115"/>
      <c r="MLJ2474" s="115"/>
      <c r="MLK2474" s="115"/>
      <c r="MLL2474" s="115"/>
      <c r="MLM2474" s="115"/>
      <c r="MLN2474" s="115"/>
      <c r="MLO2474" s="115"/>
      <c r="MLP2474" s="115"/>
      <c r="MLQ2474" s="115"/>
      <c r="MLR2474" s="115"/>
      <c r="MLS2474" s="115"/>
      <c r="MLT2474" s="115"/>
      <c r="MLU2474" s="115"/>
      <c r="MLV2474" s="115"/>
      <c r="MLW2474" s="115"/>
      <c r="MLX2474" s="115"/>
      <c r="MLY2474" s="115"/>
      <c r="MLZ2474" s="115"/>
      <c r="MMA2474" s="115"/>
      <c r="MMB2474" s="115"/>
      <c r="MMC2474" s="115"/>
      <c r="MMD2474" s="115"/>
      <c r="MME2474" s="115"/>
      <c r="MMF2474" s="115"/>
      <c r="MMG2474" s="115"/>
      <c r="MMH2474" s="115"/>
      <c r="MMI2474" s="115"/>
      <c r="MMJ2474" s="115"/>
      <c r="MMK2474" s="115"/>
      <c r="MML2474" s="115"/>
      <c r="MMM2474" s="115"/>
      <c r="MMN2474" s="115"/>
      <c r="MMO2474" s="115"/>
      <c r="MMP2474" s="115"/>
      <c r="MMQ2474" s="115"/>
      <c r="MMR2474" s="115"/>
      <c r="MMS2474" s="115"/>
      <c r="MMT2474" s="115"/>
      <c r="MMU2474" s="115"/>
      <c r="MMV2474" s="115"/>
      <c r="MMW2474" s="115"/>
      <c r="MMX2474" s="115"/>
      <c r="MMY2474" s="115"/>
      <c r="MMZ2474" s="115"/>
      <c r="MNA2474" s="115"/>
      <c r="MNB2474" s="115"/>
      <c r="MNC2474" s="115"/>
      <c r="MND2474" s="115"/>
      <c r="MNE2474" s="115"/>
      <c r="MNF2474" s="115"/>
      <c r="MNG2474" s="115"/>
      <c r="MNH2474" s="115"/>
      <c r="MNI2474" s="115"/>
      <c r="MNJ2474" s="115"/>
      <c r="MNK2474" s="115"/>
      <c r="MNL2474" s="115"/>
      <c r="MNM2474" s="115"/>
      <c r="MNN2474" s="115"/>
      <c r="MNO2474" s="115"/>
      <c r="MNP2474" s="115"/>
      <c r="MNQ2474" s="115"/>
      <c r="MNR2474" s="115"/>
      <c r="MNS2474" s="115"/>
      <c r="MNT2474" s="115"/>
      <c r="MNU2474" s="115"/>
      <c r="MNV2474" s="115"/>
      <c r="MNW2474" s="115"/>
      <c r="MNX2474" s="115"/>
      <c r="MNY2474" s="115"/>
      <c r="MNZ2474" s="115"/>
      <c r="MOA2474" s="115"/>
      <c r="MOB2474" s="115"/>
      <c r="MOC2474" s="115"/>
      <c r="MOD2474" s="115"/>
      <c r="MOE2474" s="115"/>
      <c r="MOF2474" s="115"/>
      <c r="MOG2474" s="115"/>
      <c r="MOH2474" s="115"/>
      <c r="MOI2474" s="115"/>
      <c r="MOJ2474" s="115"/>
      <c r="MOK2474" s="115"/>
      <c r="MOL2474" s="115"/>
      <c r="MOM2474" s="115"/>
      <c r="MON2474" s="115"/>
      <c r="MOO2474" s="115"/>
      <c r="MOP2474" s="115"/>
      <c r="MOQ2474" s="115"/>
      <c r="MOR2474" s="115"/>
      <c r="MOS2474" s="115"/>
      <c r="MOT2474" s="115"/>
      <c r="MOU2474" s="115"/>
      <c r="MOV2474" s="115"/>
      <c r="MOW2474" s="115"/>
      <c r="MOX2474" s="115"/>
      <c r="MOY2474" s="115"/>
      <c r="MOZ2474" s="115"/>
      <c r="MPA2474" s="115"/>
      <c r="MPB2474" s="115"/>
      <c r="MPC2474" s="115"/>
      <c r="MPD2474" s="115"/>
      <c r="MPE2474" s="115"/>
      <c r="MPF2474" s="115"/>
      <c r="MPG2474" s="115"/>
      <c r="MPH2474" s="115"/>
      <c r="MPI2474" s="115"/>
      <c r="MPJ2474" s="115"/>
      <c r="MPK2474" s="115"/>
      <c r="MPL2474" s="115"/>
      <c r="MPM2474" s="115"/>
      <c r="MPN2474" s="115"/>
      <c r="MPO2474" s="115"/>
      <c r="MPP2474" s="115"/>
      <c r="MPQ2474" s="115"/>
      <c r="MPR2474" s="115"/>
      <c r="MPS2474" s="115"/>
      <c r="MPT2474" s="115"/>
      <c r="MPU2474" s="115"/>
      <c r="MPV2474" s="115"/>
      <c r="MPW2474" s="115"/>
      <c r="MPX2474" s="115"/>
      <c r="MPY2474" s="115"/>
      <c r="MPZ2474" s="115"/>
      <c r="MQA2474" s="115"/>
      <c r="MQB2474" s="115"/>
      <c r="MQC2474" s="115"/>
      <c r="MQD2474" s="115"/>
      <c r="MQE2474" s="115"/>
      <c r="MQF2474" s="115"/>
      <c r="MQG2474" s="115"/>
      <c r="MQH2474" s="115"/>
      <c r="MQI2474" s="115"/>
      <c r="MQJ2474" s="115"/>
      <c r="MQK2474" s="115"/>
      <c r="MQL2474" s="115"/>
      <c r="MQM2474" s="115"/>
      <c r="MQN2474" s="115"/>
      <c r="MQO2474" s="115"/>
      <c r="MQP2474" s="115"/>
      <c r="MQQ2474" s="115"/>
      <c r="MQR2474" s="115"/>
      <c r="MQS2474" s="115"/>
      <c r="MQT2474" s="115"/>
      <c r="MQU2474" s="115"/>
      <c r="MQV2474" s="115"/>
      <c r="MQW2474" s="115"/>
      <c r="MQX2474" s="115"/>
      <c r="MQY2474" s="115"/>
      <c r="MQZ2474" s="115"/>
      <c r="MRA2474" s="115"/>
      <c r="MRB2474" s="115"/>
      <c r="MRC2474" s="115"/>
      <c r="MRD2474" s="115"/>
      <c r="MRE2474" s="115"/>
      <c r="MRF2474" s="115"/>
      <c r="MRG2474" s="115"/>
      <c r="MRH2474" s="115"/>
      <c r="MRI2474" s="115"/>
      <c r="MRJ2474" s="115"/>
      <c r="MRK2474" s="115"/>
      <c r="MRL2474" s="115"/>
      <c r="MRM2474" s="115"/>
      <c r="MRN2474" s="115"/>
      <c r="MRO2474" s="115"/>
      <c r="MRP2474" s="115"/>
      <c r="MRQ2474" s="115"/>
      <c r="MRR2474" s="115"/>
      <c r="MRS2474" s="115"/>
      <c r="MRT2474" s="115"/>
      <c r="MRU2474" s="115"/>
      <c r="MRV2474" s="115"/>
      <c r="MRW2474" s="115"/>
      <c r="MRX2474" s="115"/>
      <c r="MRY2474" s="115"/>
      <c r="MRZ2474" s="115"/>
      <c r="MSA2474" s="115"/>
      <c r="MSB2474" s="115"/>
      <c r="MSC2474" s="115"/>
      <c r="MSD2474" s="115"/>
      <c r="MSE2474" s="115"/>
      <c r="MSF2474" s="115"/>
      <c r="MSG2474" s="115"/>
      <c r="MSH2474" s="115"/>
      <c r="MSI2474" s="115"/>
      <c r="MSJ2474" s="115"/>
      <c r="MSK2474" s="115"/>
      <c r="MSL2474" s="115"/>
      <c r="MSM2474" s="115"/>
      <c r="MSN2474" s="115"/>
      <c r="MSO2474" s="115"/>
      <c r="MSP2474" s="115"/>
      <c r="MSQ2474" s="115"/>
      <c r="MSR2474" s="115"/>
      <c r="MSS2474" s="115"/>
      <c r="MST2474" s="115"/>
      <c r="MSU2474" s="115"/>
      <c r="MSV2474" s="115"/>
      <c r="MSW2474" s="115"/>
      <c r="MSX2474" s="115"/>
      <c r="MSY2474" s="115"/>
      <c r="MSZ2474" s="115"/>
      <c r="MTA2474" s="115"/>
      <c r="MTB2474" s="115"/>
      <c r="MTC2474" s="115"/>
      <c r="MTD2474" s="115"/>
      <c r="MTE2474" s="115"/>
      <c r="MTF2474" s="115"/>
      <c r="MTG2474" s="115"/>
      <c r="MTH2474" s="115"/>
      <c r="MTI2474" s="115"/>
      <c r="MTJ2474" s="115"/>
      <c r="MTK2474" s="115"/>
      <c r="MTL2474" s="115"/>
      <c r="MTM2474" s="115"/>
      <c r="MTN2474" s="115"/>
      <c r="MTO2474" s="115"/>
      <c r="MTP2474" s="115"/>
      <c r="MTQ2474" s="115"/>
      <c r="MTR2474" s="115"/>
      <c r="MTS2474" s="115"/>
      <c r="MTT2474" s="115"/>
      <c r="MTU2474" s="115"/>
      <c r="MTV2474" s="115"/>
      <c r="MTW2474" s="115"/>
      <c r="MTX2474" s="115"/>
      <c r="MTY2474" s="115"/>
      <c r="MTZ2474" s="115"/>
      <c r="MUA2474" s="115"/>
      <c r="MUB2474" s="115"/>
      <c r="MUC2474" s="115"/>
      <c r="MUD2474" s="115"/>
      <c r="MUE2474" s="115"/>
      <c r="MUF2474" s="115"/>
      <c r="MUG2474" s="115"/>
      <c r="MUH2474" s="115"/>
      <c r="MUI2474" s="115"/>
      <c r="MUJ2474" s="115"/>
      <c r="MUK2474" s="115"/>
      <c r="MUL2474" s="115"/>
      <c r="MUM2474" s="115"/>
      <c r="MUN2474" s="115"/>
      <c r="MUO2474" s="115"/>
      <c r="MUP2474" s="115"/>
      <c r="MUQ2474" s="115"/>
      <c r="MUR2474" s="115"/>
      <c r="MUS2474" s="115"/>
      <c r="MUT2474" s="115"/>
      <c r="MUU2474" s="115"/>
      <c r="MUV2474" s="115"/>
      <c r="MUW2474" s="115"/>
      <c r="MUX2474" s="115"/>
      <c r="MUY2474" s="115"/>
      <c r="MUZ2474" s="115"/>
      <c r="MVA2474" s="115"/>
      <c r="MVB2474" s="115"/>
      <c r="MVC2474" s="115"/>
      <c r="MVD2474" s="115"/>
      <c r="MVE2474" s="115"/>
      <c r="MVF2474" s="115"/>
      <c r="MVG2474" s="115"/>
      <c r="MVH2474" s="115"/>
      <c r="MVI2474" s="115"/>
      <c r="MVJ2474" s="115"/>
      <c r="MVK2474" s="115"/>
      <c r="MVL2474" s="115"/>
      <c r="MVM2474" s="115"/>
      <c r="MVN2474" s="115"/>
      <c r="MVO2474" s="115"/>
      <c r="MVP2474" s="115"/>
      <c r="MVQ2474" s="115"/>
      <c r="MVR2474" s="115"/>
      <c r="MVS2474" s="115"/>
      <c r="MVT2474" s="115"/>
      <c r="MVU2474" s="115"/>
      <c r="MVV2474" s="115"/>
      <c r="MVW2474" s="115"/>
      <c r="MVX2474" s="115"/>
      <c r="MVY2474" s="115"/>
      <c r="MVZ2474" s="115"/>
      <c r="MWA2474" s="115"/>
      <c r="MWB2474" s="115"/>
      <c r="MWC2474" s="115"/>
      <c r="MWD2474" s="115"/>
      <c r="MWE2474" s="115"/>
      <c r="MWF2474" s="115"/>
      <c r="MWG2474" s="115"/>
      <c r="MWH2474" s="115"/>
      <c r="MWI2474" s="115"/>
      <c r="MWJ2474" s="115"/>
      <c r="MWK2474" s="115"/>
      <c r="MWL2474" s="115"/>
      <c r="MWM2474" s="115"/>
      <c r="MWN2474" s="115"/>
      <c r="MWO2474" s="115"/>
      <c r="MWP2474" s="115"/>
      <c r="MWQ2474" s="115"/>
      <c r="MWR2474" s="115"/>
      <c r="MWS2474" s="115"/>
      <c r="MWT2474" s="115"/>
      <c r="MWU2474" s="115"/>
      <c r="MWV2474" s="115"/>
      <c r="MWW2474" s="115"/>
      <c r="MWX2474" s="115"/>
      <c r="MWY2474" s="115"/>
      <c r="MWZ2474" s="115"/>
      <c r="MXA2474" s="115"/>
      <c r="MXB2474" s="115"/>
      <c r="MXC2474" s="115"/>
      <c r="MXD2474" s="115"/>
      <c r="MXE2474" s="115"/>
      <c r="MXF2474" s="115"/>
      <c r="MXG2474" s="115"/>
      <c r="MXH2474" s="115"/>
      <c r="MXI2474" s="115"/>
      <c r="MXJ2474" s="115"/>
      <c r="MXK2474" s="115"/>
      <c r="MXL2474" s="115"/>
      <c r="MXM2474" s="115"/>
      <c r="MXN2474" s="115"/>
      <c r="MXO2474" s="115"/>
      <c r="MXP2474" s="115"/>
      <c r="MXQ2474" s="115"/>
      <c r="MXR2474" s="115"/>
      <c r="MXS2474" s="115"/>
      <c r="MXT2474" s="115"/>
      <c r="MXU2474" s="115"/>
      <c r="MXV2474" s="115"/>
      <c r="MXW2474" s="115"/>
      <c r="MXX2474" s="115"/>
      <c r="MXY2474" s="115"/>
      <c r="MXZ2474" s="115"/>
      <c r="MYA2474" s="115"/>
      <c r="MYB2474" s="115"/>
      <c r="MYC2474" s="115"/>
      <c r="MYD2474" s="115"/>
      <c r="MYE2474" s="115"/>
      <c r="MYF2474" s="115"/>
      <c r="MYG2474" s="115"/>
      <c r="MYH2474" s="115"/>
      <c r="MYI2474" s="115"/>
      <c r="MYJ2474" s="115"/>
      <c r="MYK2474" s="115"/>
      <c r="MYL2474" s="115"/>
      <c r="MYM2474" s="115"/>
      <c r="MYN2474" s="115"/>
      <c r="MYO2474" s="115"/>
      <c r="MYP2474" s="115"/>
      <c r="MYQ2474" s="115"/>
      <c r="MYR2474" s="115"/>
      <c r="MYS2474" s="115"/>
      <c r="MYT2474" s="115"/>
      <c r="MYU2474" s="115"/>
      <c r="MYV2474" s="115"/>
      <c r="MYW2474" s="115"/>
      <c r="MYX2474" s="115"/>
      <c r="MYY2474" s="115"/>
      <c r="MYZ2474" s="115"/>
      <c r="MZA2474" s="115"/>
      <c r="MZB2474" s="115"/>
      <c r="MZC2474" s="115"/>
      <c r="MZD2474" s="115"/>
      <c r="MZE2474" s="115"/>
      <c r="MZF2474" s="115"/>
      <c r="MZG2474" s="115"/>
      <c r="MZH2474" s="115"/>
      <c r="MZI2474" s="115"/>
      <c r="MZJ2474" s="115"/>
      <c r="MZK2474" s="115"/>
      <c r="MZL2474" s="115"/>
      <c r="MZM2474" s="115"/>
      <c r="MZN2474" s="115"/>
      <c r="MZO2474" s="115"/>
      <c r="MZP2474" s="115"/>
      <c r="MZQ2474" s="115"/>
      <c r="MZR2474" s="115"/>
      <c r="MZS2474" s="115"/>
      <c r="MZT2474" s="115"/>
      <c r="MZU2474" s="115"/>
      <c r="MZV2474" s="115"/>
      <c r="MZW2474" s="115"/>
      <c r="MZX2474" s="115"/>
      <c r="MZY2474" s="115"/>
      <c r="MZZ2474" s="115"/>
      <c r="NAA2474" s="115"/>
      <c r="NAB2474" s="115"/>
      <c r="NAC2474" s="115"/>
      <c r="NAD2474" s="115"/>
      <c r="NAE2474" s="115"/>
      <c r="NAF2474" s="115"/>
      <c r="NAG2474" s="115"/>
      <c r="NAH2474" s="115"/>
      <c r="NAI2474" s="115"/>
      <c r="NAJ2474" s="115"/>
      <c r="NAK2474" s="115"/>
      <c r="NAL2474" s="115"/>
      <c r="NAM2474" s="115"/>
      <c r="NAN2474" s="115"/>
      <c r="NAO2474" s="115"/>
      <c r="NAP2474" s="115"/>
      <c r="NAQ2474" s="115"/>
      <c r="NAR2474" s="115"/>
      <c r="NAS2474" s="115"/>
      <c r="NAT2474" s="115"/>
      <c r="NAU2474" s="115"/>
      <c r="NAV2474" s="115"/>
      <c r="NAW2474" s="115"/>
      <c r="NAX2474" s="115"/>
      <c r="NAY2474" s="115"/>
      <c r="NAZ2474" s="115"/>
      <c r="NBA2474" s="115"/>
      <c r="NBB2474" s="115"/>
      <c r="NBC2474" s="115"/>
      <c r="NBD2474" s="115"/>
      <c r="NBE2474" s="115"/>
      <c r="NBF2474" s="115"/>
      <c r="NBG2474" s="115"/>
      <c r="NBH2474" s="115"/>
      <c r="NBI2474" s="115"/>
      <c r="NBJ2474" s="115"/>
      <c r="NBK2474" s="115"/>
      <c r="NBL2474" s="115"/>
      <c r="NBM2474" s="115"/>
      <c r="NBN2474" s="115"/>
      <c r="NBO2474" s="115"/>
      <c r="NBP2474" s="115"/>
      <c r="NBQ2474" s="115"/>
      <c r="NBR2474" s="115"/>
      <c r="NBS2474" s="115"/>
      <c r="NBT2474" s="115"/>
      <c r="NBU2474" s="115"/>
      <c r="NBV2474" s="115"/>
      <c r="NBW2474" s="115"/>
      <c r="NBX2474" s="115"/>
      <c r="NBY2474" s="115"/>
      <c r="NBZ2474" s="115"/>
      <c r="NCA2474" s="115"/>
      <c r="NCB2474" s="115"/>
      <c r="NCC2474" s="115"/>
      <c r="NCD2474" s="115"/>
      <c r="NCE2474" s="115"/>
      <c r="NCF2474" s="115"/>
      <c r="NCG2474" s="115"/>
      <c r="NCH2474" s="115"/>
      <c r="NCI2474" s="115"/>
      <c r="NCJ2474" s="115"/>
      <c r="NCK2474" s="115"/>
      <c r="NCL2474" s="115"/>
      <c r="NCM2474" s="115"/>
      <c r="NCN2474" s="115"/>
      <c r="NCO2474" s="115"/>
      <c r="NCP2474" s="115"/>
      <c r="NCQ2474" s="115"/>
      <c r="NCR2474" s="115"/>
      <c r="NCS2474" s="115"/>
      <c r="NCT2474" s="115"/>
      <c r="NCU2474" s="115"/>
      <c r="NCV2474" s="115"/>
      <c r="NCW2474" s="115"/>
      <c r="NCX2474" s="115"/>
      <c r="NCY2474" s="115"/>
      <c r="NCZ2474" s="115"/>
      <c r="NDA2474" s="115"/>
      <c r="NDB2474" s="115"/>
      <c r="NDC2474" s="115"/>
      <c r="NDD2474" s="115"/>
      <c r="NDE2474" s="115"/>
      <c r="NDF2474" s="115"/>
      <c r="NDG2474" s="115"/>
      <c r="NDH2474" s="115"/>
      <c r="NDI2474" s="115"/>
      <c r="NDJ2474" s="115"/>
      <c r="NDK2474" s="115"/>
      <c r="NDL2474" s="115"/>
      <c r="NDM2474" s="115"/>
      <c r="NDN2474" s="115"/>
      <c r="NDO2474" s="115"/>
      <c r="NDP2474" s="115"/>
      <c r="NDQ2474" s="115"/>
      <c r="NDR2474" s="115"/>
      <c r="NDS2474" s="115"/>
      <c r="NDT2474" s="115"/>
      <c r="NDU2474" s="115"/>
      <c r="NDV2474" s="115"/>
      <c r="NDW2474" s="115"/>
      <c r="NDX2474" s="115"/>
      <c r="NDY2474" s="115"/>
      <c r="NDZ2474" s="115"/>
      <c r="NEA2474" s="115"/>
      <c r="NEB2474" s="115"/>
      <c r="NEC2474" s="115"/>
      <c r="NED2474" s="115"/>
      <c r="NEE2474" s="115"/>
      <c r="NEF2474" s="115"/>
      <c r="NEG2474" s="115"/>
      <c r="NEH2474" s="115"/>
      <c r="NEI2474" s="115"/>
      <c r="NEJ2474" s="115"/>
      <c r="NEK2474" s="115"/>
      <c r="NEL2474" s="115"/>
      <c r="NEM2474" s="115"/>
      <c r="NEN2474" s="115"/>
      <c r="NEO2474" s="115"/>
      <c r="NEP2474" s="115"/>
      <c r="NEQ2474" s="115"/>
      <c r="NER2474" s="115"/>
      <c r="NES2474" s="115"/>
      <c r="NET2474" s="115"/>
      <c r="NEU2474" s="115"/>
      <c r="NEV2474" s="115"/>
      <c r="NEW2474" s="115"/>
      <c r="NEX2474" s="115"/>
      <c r="NEY2474" s="115"/>
      <c r="NEZ2474" s="115"/>
      <c r="NFA2474" s="115"/>
      <c r="NFB2474" s="115"/>
      <c r="NFC2474" s="115"/>
      <c r="NFD2474" s="115"/>
      <c r="NFE2474" s="115"/>
      <c r="NFF2474" s="115"/>
      <c r="NFG2474" s="115"/>
      <c r="NFH2474" s="115"/>
      <c r="NFI2474" s="115"/>
      <c r="NFJ2474" s="115"/>
      <c r="NFK2474" s="115"/>
      <c r="NFL2474" s="115"/>
      <c r="NFM2474" s="115"/>
      <c r="NFN2474" s="115"/>
      <c r="NFO2474" s="115"/>
      <c r="NFP2474" s="115"/>
      <c r="NFQ2474" s="115"/>
      <c r="NFR2474" s="115"/>
      <c r="NFS2474" s="115"/>
      <c r="NFT2474" s="115"/>
      <c r="NFU2474" s="115"/>
      <c r="NFV2474" s="115"/>
      <c r="NFW2474" s="115"/>
      <c r="NFX2474" s="115"/>
      <c r="NFY2474" s="115"/>
      <c r="NFZ2474" s="115"/>
      <c r="NGA2474" s="115"/>
      <c r="NGB2474" s="115"/>
      <c r="NGC2474" s="115"/>
      <c r="NGD2474" s="115"/>
      <c r="NGE2474" s="115"/>
      <c r="NGF2474" s="115"/>
      <c r="NGG2474" s="115"/>
      <c r="NGH2474" s="115"/>
      <c r="NGI2474" s="115"/>
      <c r="NGJ2474" s="115"/>
      <c r="NGK2474" s="115"/>
      <c r="NGL2474" s="115"/>
      <c r="NGM2474" s="115"/>
      <c r="NGN2474" s="115"/>
      <c r="NGO2474" s="115"/>
      <c r="NGP2474" s="115"/>
      <c r="NGQ2474" s="115"/>
      <c r="NGR2474" s="115"/>
      <c r="NGS2474" s="115"/>
      <c r="NGT2474" s="115"/>
      <c r="NGU2474" s="115"/>
      <c r="NGV2474" s="115"/>
      <c r="NGW2474" s="115"/>
      <c r="NGX2474" s="115"/>
      <c r="NGY2474" s="115"/>
      <c r="NGZ2474" s="115"/>
      <c r="NHA2474" s="115"/>
      <c r="NHB2474" s="115"/>
      <c r="NHC2474" s="115"/>
      <c r="NHD2474" s="115"/>
      <c r="NHE2474" s="115"/>
      <c r="NHF2474" s="115"/>
      <c r="NHG2474" s="115"/>
      <c r="NHH2474" s="115"/>
      <c r="NHI2474" s="115"/>
      <c r="NHJ2474" s="115"/>
      <c r="NHK2474" s="115"/>
      <c r="NHL2474" s="115"/>
      <c r="NHM2474" s="115"/>
      <c r="NHN2474" s="115"/>
      <c r="NHO2474" s="115"/>
      <c r="NHP2474" s="115"/>
      <c r="NHQ2474" s="115"/>
      <c r="NHR2474" s="115"/>
      <c r="NHS2474" s="115"/>
      <c r="NHT2474" s="115"/>
      <c r="NHU2474" s="115"/>
      <c r="NHV2474" s="115"/>
      <c r="NHW2474" s="115"/>
      <c r="NHX2474" s="115"/>
      <c r="NHY2474" s="115"/>
      <c r="NHZ2474" s="115"/>
      <c r="NIA2474" s="115"/>
      <c r="NIB2474" s="115"/>
      <c r="NIC2474" s="115"/>
      <c r="NID2474" s="115"/>
      <c r="NIE2474" s="115"/>
      <c r="NIF2474" s="115"/>
      <c r="NIG2474" s="115"/>
      <c r="NIH2474" s="115"/>
      <c r="NII2474" s="115"/>
      <c r="NIJ2474" s="115"/>
      <c r="NIK2474" s="115"/>
      <c r="NIL2474" s="115"/>
      <c r="NIM2474" s="115"/>
      <c r="NIN2474" s="115"/>
      <c r="NIO2474" s="115"/>
      <c r="NIP2474" s="115"/>
      <c r="NIQ2474" s="115"/>
      <c r="NIR2474" s="115"/>
      <c r="NIS2474" s="115"/>
      <c r="NIT2474" s="115"/>
      <c r="NIU2474" s="115"/>
      <c r="NIV2474" s="115"/>
      <c r="NIW2474" s="115"/>
      <c r="NIX2474" s="115"/>
      <c r="NIY2474" s="115"/>
      <c r="NIZ2474" s="115"/>
      <c r="NJA2474" s="115"/>
      <c r="NJB2474" s="115"/>
      <c r="NJC2474" s="115"/>
      <c r="NJD2474" s="115"/>
      <c r="NJE2474" s="115"/>
      <c r="NJF2474" s="115"/>
      <c r="NJG2474" s="115"/>
      <c r="NJH2474" s="115"/>
      <c r="NJI2474" s="115"/>
      <c r="NJJ2474" s="115"/>
      <c r="NJK2474" s="115"/>
      <c r="NJL2474" s="115"/>
      <c r="NJM2474" s="115"/>
      <c r="NJN2474" s="115"/>
      <c r="NJO2474" s="115"/>
      <c r="NJP2474" s="115"/>
      <c r="NJQ2474" s="115"/>
      <c r="NJR2474" s="115"/>
      <c r="NJS2474" s="115"/>
      <c r="NJT2474" s="115"/>
      <c r="NJU2474" s="115"/>
      <c r="NJV2474" s="115"/>
      <c r="NJW2474" s="115"/>
      <c r="NJX2474" s="115"/>
      <c r="NJY2474" s="115"/>
      <c r="NJZ2474" s="115"/>
      <c r="NKA2474" s="115"/>
      <c r="NKB2474" s="115"/>
      <c r="NKC2474" s="115"/>
      <c r="NKD2474" s="115"/>
      <c r="NKE2474" s="115"/>
      <c r="NKF2474" s="115"/>
      <c r="NKG2474" s="115"/>
      <c r="NKH2474" s="115"/>
      <c r="NKI2474" s="115"/>
      <c r="NKJ2474" s="115"/>
      <c r="NKK2474" s="115"/>
      <c r="NKL2474" s="115"/>
      <c r="NKM2474" s="115"/>
      <c r="NKN2474" s="115"/>
      <c r="NKO2474" s="115"/>
      <c r="NKP2474" s="115"/>
      <c r="NKQ2474" s="115"/>
      <c r="NKR2474" s="115"/>
      <c r="NKS2474" s="115"/>
      <c r="NKT2474" s="115"/>
      <c r="NKU2474" s="115"/>
      <c r="NKV2474" s="115"/>
      <c r="NKW2474" s="115"/>
      <c r="NKX2474" s="115"/>
      <c r="NKY2474" s="115"/>
      <c r="NKZ2474" s="115"/>
      <c r="NLA2474" s="115"/>
      <c r="NLB2474" s="115"/>
      <c r="NLC2474" s="115"/>
      <c r="NLD2474" s="115"/>
      <c r="NLE2474" s="115"/>
      <c r="NLF2474" s="115"/>
      <c r="NLG2474" s="115"/>
      <c r="NLH2474" s="115"/>
      <c r="NLI2474" s="115"/>
      <c r="NLJ2474" s="115"/>
      <c r="NLK2474" s="115"/>
      <c r="NLL2474" s="115"/>
      <c r="NLM2474" s="115"/>
      <c r="NLN2474" s="115"/>
      <c r="NLO2474" s="115"/>
      <c r="NLP2474" s="115"/>
      <c r="NLQ2474" s="115"/>
      <c r="NLR2474" s="115"/>
      <c r="NLS2474" s="115"/>
      <c r="NLT2474" s="115"/>
      <c r="NLU2474" s="115"/>
      <c r="NLV2474" s="115"/>
      <c r="NLW2474" s="115"/>
      <c r="NLX2474" s="115"/>
      <c r="NLY2474" s="115"/>
      <c r="NLZ2474" s="115"/>
      <c r="NMA2474" s="115"/>
      <c r="NMB2474" s="115"/>
      <c r="NMC2474" s="115"/>
      <c r="NMD2474" s="115"/>
      <c r="NME2474" s="115"/>
      <c r="NMF2474" s="115"/>
      <c r="NMG2474" s="115"/>
      <c r="NMH2474" s="115"/>
      <c r="NMI2474" s="115"/>
      <c r="NMJ2474" s="115"/>
      <c r="NMK2474" s="115"/>
      <c r="NML2474" s="115"/>
      <c r="NMM2474" s="115"/>
      <c r="NMN2474" s="115"/>
      <c r="NMO2474" s="115"/>
      <c r="NMP2474" s="115"/>
      <c r="NMQ2474" s="115"/>
      <c r="NMR2474" s="115"/>
      <c r="NMS2474" s="115"/>
      <c r="NMT2474" s="115"/>
      <c r="NMU2474" s="115"/>
      <c r="NMV2474" s="115"/>
      <c r="NMW2474" s="115"/>
      <c r="NMX2474" s="115"/>
      <c r="NMY2474" s="115"/>
      <c r="NMZ2474" s="115"/>
      <c r="NNA2474" s="115"/>
      <c r="NNB2474" s="115"/>
      <c r="NNC2474" s="115"/>
      <c r="NND2474" s="115"/>
      <c r="NNE2474" s="115"/>
      <c r="NNF2474" s="115"/>
      <c r="NNG2474" s="115"/>
      <c r="NNH2474" s="115"/>
      <c r="NNI2474" s="115"/>
      <c r="NNJ2474" s="115"/>
      <c r="NNK2474" s="115"/>
      <c r="NNL2474" s="115"/>
      <c r="NNM2474" s="115"/>
      <c r="NNN2474" s="115"/>
      <c r="NNO2474" s="115"/>
      <c r="NNP2474" s="115"/>
      <c r="NNQ2474" s="115"/>
      <c r="NNR2474" s="115"/>
      <c r="NNS2474" s="115"/>
      <c r="NNT2474" s="115"/>
      <c r="NNU2474" s="115"/>
      <c r="NNV2474" s="115"/>
      <c r="NNW2474" s="115"/>
      <c r="NNX2474" s="115"/>
      <c r="NNY2474" s="115"/>
      <c r="NNZ2474" s="115"/>
      <c r="NOA2474" s="115"/>
      <c r="NOB2474" s="115"/>
      <c r="NOC2474" s="115"/>
      <c r="NOD2474" s="115"/>
      <c r="NOE2474" s="115"/>
      <c r="NOF2474" s="115"/>
      <c r="NOG2474" s="115"/>
      <c r="NOH2474" s="115"/>
      <c r="NOI2474" s="115"/>
      <c r="NOJ2474" s="115"/>
      <c r="NOK2474" s="115"/>
      <c r="NOL2474" s="115"/>
      <c r="NOM2474" s="115"/>
      <c r="NON2474" s="115"/>
      <c r="NOO2474" s="115"/>
      <c r="NOP2474" s="115"/>
      <c r="NOQ2474" s="115"/>
      <c r="NOR2474" s="115"/>
      <c r="NOS2474" s="115"/>
      <c r="NOT2474" s="115"/>
      <c r="NOU2474" s="115"/>
      <c r="NOV2474" s="115"/>
      <c r="NOW2474" s="115"/>
      <c r="NOX2474" s="115"/>
      <c r="NOY2474" s="115"/>
      <c r="NOZ2474" s="115"/>
      <c r="NPA2474" s="115"/>
      <c r="NPB2474" s="115"/>
      <c r="NPC2474" s="115"/>
      <c r="NPD2474" s="115"/>
      <c r="NPE2474" s="115"/>
      <c r="NPF2474" s="115"/>
      <c r="NPG2474" s="115"/>
      <c r="NPH2474" s="115"/>
      <c r="NPI2474" s="115"/>
      <c r="NPJ2474" s="115"/>
      <c r="NPK2474" s="115"/>
      <c r="NPL2474" s="115"/>
      <c r="NPM2474" s="115"/>
      <c r="NPN2474" s="115"/>
      <c r="NPO2474" s="115"/>
      <c r="NPP2474" s="115"/>
      <c r="NPQ2474" s="115"/>
      <c r="NPR2474" s="115"/>
      <c r="NPS2474" s="115"/>
      <c r="NPT2474" s="115"/>
      <c r="NPU2474" s="115"/>
      <c r="NPV2474" s="115"/>
      <c r="NPW2474" s="115"/>
      <c r="NPX2474" s="115"/>
      <c r="NPY2474" s="115"/>
      <c r="NPZ2474" s="115"/>
      <c r="NQA2474" s="115"/>
      <c r="NQB2474" s="115"/>
      <c r="NQC2474" s="115"/>
      <c r="NQD2474" s="115"/>
      <c r="NQE2474" s="115"/>
      <c r="NQF2474" s="115"/>
      <c r="NQG2474" s="115"/>
      <c r="NQH2474" s="115"/>
      <c r="NQI2474" s="115"/>
      <c r="NQJ2474" s="115"/>
      <c r="NQK2474" s="115"/>
      <c r="NQL2474" s="115"/>
      <c r="NQM2474" s="115"/>
      <c r="NQN2474" s="115"/>
      <c r="NQO2474" s="115"/>
      <c r="NQP2474" s="115"/>
      <c r="NQQ2474" s="115"/>
      <c r="NQR2474" s="115"/>
      <c r="NQS2474" s="115"/>
      <c r="NQT2474" s="115"/>
      <c r="NQU2474" s="115"/>
      <c r="NQV2474" s="115"/>
      <c r="NQW2474" s="115"/>
      <c r="NQX2474" s="115"/>
      <c r="NQY2474" s="115"/>
      <c r="NQZ2474" s="115"/>
      <c r="NRA2474" s="115"/>
      <c r="NRB2474" s="115"/>
      <c r="NRC2474" s="115"/>
      <c r="NRD2474" s="115"/>
      <c r="NRE2474" s="115"/>
      <c r="NRF2474" s="115"/>
      <c r="NRG2474" s="115"/>
      <c r="NRH2474" s="115"/>
      <c r="NRI2474" s="115"/>
      <c r="NRJ2474" s="115"/>
      <c r="NRK2474" s="115"/>
      <c r="NRL2474" s="115"/>
      <c r="NRM2474" s="115"/>
      <c r="NRN2474" s="115"/>
      <c r="NRO2474" s="115"/>
      <c r="NRP2474" s="115"/>
      <c r="NRQ2474" s="115"/>
      <c r="NRR2474" s="115"/>
      <c r="NRS2474" s="115"/>
      <c r="NRT2474" s="115"/>
      <c r="NRU2474" s="115"/>
      <c r="NRV2474" s="115"/>
      <c r="NRW2474" s="115"/>
      <c r="NRX2474" s="115"/>
      <c r="NRY2474" s="115"/>
      <c r="NRZ2474" s="115"/>
      <c r="NSA2474" s="115"/>
      <c r="NSB2474" s="115"/>
      <c r="NSC2474" s="115"/>
      <c r="NSD2474" s="115"/>
      <c r="NSE2474" s="115"/>
      <c r="NSF2474" s="115"/>
      <c r="NSG2474" s="115"/>
      <c r="NSH2474" s="115"/>
      <c r="NSI2474" s="115"/>
      <c r="NSJ2474" s="115"/>
      <c r="NSK2474" s="115"/>
      <c r="NSL2474" s="115"/>
      <c r="NSM2474" s="115"/>
      <c r="NSN2474" s="115"/>
      <c r="NSO2474" s="115"/>
      <c r="NSP2474" s="115"/>
      <c r="NSQ2474" s="115"/>
      <c r="NSR2474" s="115"/>
      <c r="NSS2474" s="115"/>
      <c r="NST2474" s="115"/>
      <c r="NSU2474" s="115"/>
      <c r="NSV2474" s="115"/>
      <c r="NSW2474" s="115"/>
      <c r="NSX2474" s="115"/>
      <c r="NSY2474" s="115"/>
      <c r="NSZ2474" s="115"/>
      <c r="NTA2474" s="115"/>
      <c r="NTB2474" s="115"/>
      <c r="NTC2474" s="115"/>
      <c r="NTD2474" s="115"/>
      <c r="NTE2474" s="115"/>
      <c r="NTF2474" s="115"/>
      <c r="NTG2474" s="115"/>
      <c r="NTH2474" s="115"/>
      <c r="NTI2474" s="115"/>
      <c r="NTJ2474" s="115"/>
      <c r="NTK2474" s="115"/>
      <c r="NTL2474" s="115"/>
      <c r="NTM2474" s="115"/>
      <c r="NTN2474" s="115"/>
      <c r="NTO2474" s="115"/>
      <c r="NTP2474" s="115"/>
      <c r="NTQ2474" s="115"/>
      <c r="NTR2474" s="115"/>
      <c r="NTS2474" s="115"/>
      <c r="NTT2474" s="115"/>
      <c r="NTU2474" s="115"/>
      <c r="NTV2474" s="115"/>
      <c r="NTW2474" s="115"/>
      <c r="NTX2474" s="115"/>
      <c r="NTY2474" s="115"/>
      <c r="NTZ2474" s="115"/>
      <c r="NUA2474" s="115"/>
      <c r="NUB2474" s="115"/>
      <c r="NUC2474" s="115"/>
      <c r="NUD2474" s="115"/>
      <c r="NUE2474" s="115"/>
      <c r="NUF2474" s="115"/>
      <c r="NUG2474" s="115"/>
      <c r="NUH2474" s="115"/>
      <c r="NUI2474" s="115"/>
      <c r="NUJ2474" s="115"/>
      <c r="NUK2474" s="115"/>
      <c r="NUL2474" s="115"/>
      <c r="NUM2474" s="115"/>
      <c r="NUN2474" s="115"/>
      <c r="NUO2474" s="115"/>
      <c r="NUP2474" s="115"/>
      <c r="NUQ2474" s="115"/>
      <c r="NUR2474" s="115"/>
      <c r="NUS2474" s="115"/>
      <c r="NUT2474" s="115"/>
      <c r="NUU2474" s="115"/>
      <c r="NUV2474" s="115"/>
      <c r="NUW2474" s="115"/>
      <c r="NUX2474" s="115"/>
      <c r="NUY2474" s="115"/>
      <c r="NUZ2474" s="115"/>
      <c r="NVA2474" s="115"/>
      <c r="NVB2474" s="115"/>
      <c r="NVC2474" s="115"/>
      <c r="NVD2474" s="115"/>
      <c r="NVE2474" s="115"/>
      <c r="NVF2474" s="115"/>
      <c r="NVG2474" s="115"/>
      <c r="NVH2474" s="115"/>
      <c r="NVI2474" s="115"/>
      <c r="NVJ2474" s="115"/>
      <c r="NVK2474" s="115"/>
      <c r="NVL2474" s="115"/>
      <c r="NVM2474" s="115"/>
      <c r="NVN2474" s="115"/>
      <c r="NVO2474" s="115"/>
      <c r="NVP2474" s="115"/>
      <c r="NVQ2474" s="115"/>
      <c r="NVR2474" s="115"/>
      <c r="NVS2474" s="115"/>
      <c r="NVT2474" s="115"/>
      <c r="NVU2474" s="115"/>
      <c r="NVV2474" s="115"/>
      <c r="NVW2474" s="115"/>
      <c r="NVX2474" s="115"/>
      <c r="NVY2474" s="115"/>
      <c r="NVZ2474" s="115"/>
      <c r="NWA2474" s="115"/>
      <c r="NWB2474" s="115"/>
      <c r="NWC2474" s="115"/>
      <c r="NWD2474" s="115"/>
      <c r="NWE2474" s="115"/>
      <c r="NWF2474" s="115"/>
      <c r="NWG2474" s="115"/>
      <c r="NWH2474" s="115"/>
      <c r="NWI2474" s="115"/>
      <c r="NWJ2474" s="115"/>
      <c r="NWK2474" s="115"/>
      <c r="NWL2474" s="115"/>
      <c r="NWM2474" s="115"/>
      <c r="NWN2474" s="115"/>
      <c r="NWO2474" s="115"/>
      <c r="NWP2474" s="115"/>
      <c r="NWQ2474" s="115"/>
      <c r="NWR2474" s="115"/>
      <c r="NWS2474" s="115"/>
      <c r="NWT2474" s="115"/>
      <c r="NWU2474" s="115"/>
      <c r="NWV2474" s="115"/>
      <c r="NWW2474" s="115"/>
      <c r="NWX2474" s="115"/>
      <c r="NWY2474" s="115"/>
      <c r="NWZ2474" s="115"/>
      <c r="NXA2474" s="115"/>
      <c r="NXB2474" s="115"/>
      <c r="NXC2474" s="115"/>
      <c r="NXD2474" s="115"/>
      <c r="NXE2474" s="115"/>
      <c r="NXF2474" s="115"/>
      <c r="NXG2474" s="115"/>
      <c r="NXH2474" s="115"/>
      <c r="NXI2474" s="115"/>
      <c r="NXJ2474" s="115"/>
      <c r="NXK2474" s="115"/>
      <c r="NXL2474" s="115"/>
      <c r="NXM2474" s="115"/>
      <c r="NXN2474" s="115"/>
      <c r="NXO2474" s="115"/>
      <c r="NXP2474" s="115"/>
      <c r="NXQ2474" s="115"/>
      <c r="NXR2474" s="115"/>
      <c r="NXS2474" s="115"/>
      <c r="NXT2474" s="115"/>
      <c r="NXU2474" s="115"/>
      <c r="NXV2474" s="115"/>
      <c r="NXW2474" s="115"/>
      <c r="NXX2474" s="115"/>
      <c r="NXY2474" s="115"/>
      <c r="NXZ2474" s="115"/>
      <c r="NYA2474" s="115"/>
      <c r="NYB2474" s="115"/>
      <c r="NYC2474" s="115"/>
      <c r="NYD2474" s="115"/>
      <c r="NYE2474" s="115"/>
      <c r="NYF2474" s="115"/>
      <c r="NYG2474" s="115"/>
      <c r="NYH2474" s="115"/>
      <c r="NYI2474" s="115"/>
      <c r="NYJ2474" s="115"/>
      <c r="NYK2474" s="115"/>
      <c r="NYL2474" s="115"/>
      <c r="NYM2474" s="115"/>
      <c r="NYN2474" s="115"/>
      <c r="NYO2474" s="115"/>
      <c r="NYP2474" s="115"/>
      <c r="NYQ2474" s="115"/>
      <c r="NYR2474" s="115"/>
      <c r="NYS2474" s="115"/>
      <c r="NYT2474" s="115"/>
      <c r="NYU2474" s="115"/>
      <c r="NYV2474" s="115"/>
      <c r="NYW2474" s="115"/>
      <c r="NYX2474" s="115"/>
      <c r="NYY2474" s="115"/>
      <c r="NYZ2474" s="115"/>
      <c r="NZA2474" s="115"/>
      <c r="NZB2474" s="115"/>
      <c r="NZC2474" s="115"/>
      <c r="NZD2474" s="115"/>
      <c r="NZE2474" s="115"/>
      <c r="NZF2474" s="115"/>
      <c r="NZG2474" s="115"/>
      <c r="NZH2474" s="115"/>
      <c r="NZI2474" s="115"/>
      <c r="NZJ2474" s="115"/>
      <c r="NZK2474" s="115"/>
      <c r="NZL2474" s="115"/>
      <c r="NZM2474" s="115"/>
      <c r="NZN2474" s="115"/>
      <c r="NZO2474" s="115"/>
      <c r="NZP2474" s="115"/>
      <c r="NZQ2474" s="115"/>
      <c r="NZR2474" s="115"/>
      <c r="NZS2474" s="115"/>
      <c r="NZT2474" s="115"/>
      <c r="NZU2474" s="115"/>
      <c r="NZV2474" s="115"/>
      <c r="NZW2474" s="115"/>
      <c r="NZX2474" s="115"/>
      <c r="NZY2474" s="115"/>
      <c r="NZZ2474" s="115"/>
      <c r="OAA2474" s="115"/>
      <c r="OAB2474" s="115"/>
      <c r="OAC2474" s="115"/>
      <c r="OAD2474" s="115"/>
      <c r="OAE2474" s="115"/>
      <c r="OAF2474" s="115"/>
      <c r="OAG2474" s="115"/>
      <c r="OAH2474" s="115"/>
      <c r="OAI2474" s="115"/>
      <c r="OAJ2474" s="115"/>
      <c r="OAK2474" s="115"/>
      <c r="OAL2474" s="115"/>
      <c r="OAM2474" s="115"/>
      <c r="OAN2474" s="115"/>
      <c r="OAO2474" s="115"/>
      <c r="OAP2474" s="115"/>
      <c r="OAQ2474" s="115"/>
      <c r="OAR2474" s="115"/>
      <c r="OAS2474" s="115"/>
      <c r="OAT2474" s="115"/>
      <c r="OAU2474" s="115"/>
      <c r="OAV2474" s="115"/>
      <c r="OAW2474" s="115"/>
      <c r="OAX2474" s="115"/>
      <c r="OAY2474" s="115"/>
      <c r="OAZ2474" s="115"/>
      <c r="OBA2474" s="115"/>
      <c r="OBB2474" s="115"/>
      <c r="OBC2474" s="115"/>
      <c r="OBD2474" s="115"/>
      <c r="OBE2474" s="115"/>
      <c r="OBF2474" s="115"/>
      <c r="OBG2474" s="115"/>
      <c r="OBH2474" s="115"/>
      <c r="OBI2474" s="115"/>
      <c r="OBJ2474" s="115"/>
      <c r="OBK2474" s="115"/>
      <c r="OBL2474" s="115"/>
      <c r="OBM2474" s="115"/>
      <c r="OBN2474" s="115"/>
      <c r="OBO2474" s="115"/>
      <c r="OBP2474" s="115"/>
      <c r="OBQ2474" s="115"/>
      <c r="OBR2474" s="115"/>
      <c r="OBS2474" s="115"/>
      <c r="OBT2474" s="115"/>
      <c r="OBU2474" s="115"/>
      <c r="OBV2474" s="115"/>
      <c r="OBW2474" s="115"/>
      <c r="OBX2474" s="115"/>
      <c r="OBY2474" s="115"/>
      <c r="OBZ2474" s="115"/>
      <c r="OCA2474" s="115"/>
      <c r="OCB2474" s="115"/>
      <c r="OCC2474" s="115"/>
      <c r="OCD2474" s="115"/>
      <c r="OCE2474" s="115"/>
      <c r="OCF2474" s="115"/>
      <c r="OCG2474" s="115"/>
      <c r="OCH2474" s="115"/>
      <c r="OCI2474" s="115"/>
      <c r="OCJ2474" s="115"/>
      <c r="OCK2474" s="115"/>
      <c r="OCL2474" s="115"/>
      <c r="OCM2474" s="115"/>
      <c r="OCN2474" s="115"/>
      <c r="OCO2474" s="115"/>
      <c r="OCP2474" s="115"/>
      <c r="OCQ2474" s="115"/>
      <c r="OCR2474" s="115"/>
      <c r="OCS2474" s="115"/>
      <c r="OCT2474" s="115"/>
      <c r="OCU2474" s="115"/>
      <c r="OCV2474" s="115"/>
      <c r="OCW2474" s="115"/>
      <c r="OCX2474" s="115"/>
      <c r="OCY2474" s="115"/>
      <c r="OCZ2474" s="115"/>
      <c r="ODA2474" s="115"/>
      <c r="ODB2474" s="115"/>
      <c r="ODC2474" s="115"/>
      <c r="ODD2474" s="115"/>
      <c r="ODE2474" s="115"/>
      <c r="ODF2474" s="115"/>
      <c r="ODG2474" s="115"/>
      <c r="ODH2474" s="115"/>
      <c r="ODI2474" s="115"/>
      <c r="ODJ2474" s="115"/>
      <c r="ODK2474" s="115"/>
      <c r="ODL2474" s="115"/>
      <c r="ODM2474" s="115"/>
      <c r="ODN2474" s="115"/>
      <c r="ODO2474" s="115"/>
      <c r="ODP2474" s="115"/>
      <c r="ODQ2474" s="115"/>
      <c r="ODR2474" s="115"/>
      <c r="ODS2474" s="115"/>
      <c r="ODT2474" s="115"/>
      <c r="ODU2474" s="115"/>
      <c r="ODV2474" s="115"/>
      <c r="ODW2474" s="115"/>
      <c r="ODX2474" s="115"/>
      <c r="ODY2474" s="115"/>
      <c r="ODZ2474" s="115"/>
      <c r="OEA2474" s="115"/>
      <c r="OEB2474" s="115"/>
      <c r="OEC2474" s="115"/>
      <c r="OED2474" s="115"/>
      <c r="OEE2474" s="115"/>
      <c r="OEF2474" s="115"/>
      <c r="OEG2474" s="115"/>
      <c r="OEH2474" s="115"/>
      <c r="OEI2474" s="115"/>
      <c r="OEJ2474" s="115"/>
      <c r="OEK2474" s="115"/>
      <c r="OEL2474" s="115"/>
      <c r="OEM2474" s="115"/>
      <c r="OEN2474" s="115"/>
      <c r="OEO2474" s="115"/>
      <c r="OEP2474" s="115"/>
      <c r="OEQ2474" s="115"/>
      <c r="OER2474" s="115"/>
      <c r="OES2474" s="115"/>
      <c r="OET2474" s="115"/>
      <c r="OEU2474" s="115"/>
      <c r="OEV2474" s="115"/>
      <c r="OEW2474" s="115"/>
      <c r="OEX2474" s="115"/>
      <c r="OEY2474" s="115"/>
      <c r="OEZ2474" s="115"/>
      <c r="OFA2474" s="115"/>
      <c r="OFB2474" s="115"/>
      <c r="OFC2474" s="115"/>
      <c r="OFD2474" s="115"/>
      <c r="OFE2474" s="115"/>
      <c r="OFF2474" s="115"/>
      <c r="OFG2474" s="115"/>
      <c r="OFH2474" s="115"/>
      <c r="OFI2474" s="115"/>
      <c r="OFJ2474" s="115"/>
      <c r="OFK2474" s="115"/>
      <c r="OFL2474" s="115"/>
      <c r="OFM2474" s="115"/>
      <c r="OFN2474" s="115"/>
      <c r="OFO2474" s="115"/>
      <c r="OFP2474" s="115"/>
      <c r="OFQ2474" s="115"/>
      <c r="OFR2474" s="115"/>
      <c r="OFS2474" s="115"/>
      <c r="OFT2474" s="115"/>
      <c r="OFU2474" s="115"/>
      <c r="OFV2474" s="115"/>
      <c r="OFW2474" s="115"/>
      <c r="OFX2474" s="115"/>
      <c r="OFY2474" s="115"/>
      <c r="OFZ2474" s="115"/>
      <c r="OGA2474" s="115"/>
      <c r="OGB2474" s="115"/>
      <c r="OGC2474" s="115"/>
      <c r="OGD2474" s="115"/>
      <c r="OGE2474" s="115"/>
      <c r="OGF2474" s="115"/>
      <c r="OGG2474" s="115"/>
      <c r="OGH2474" s="115"/>
      <c r="OGI2474" s="115"/>
      <c r="OGJ2474" s="115"/>
      <c r="OGK2474" s="115"/>
      <c r="OGL2474" s="115"/>
      <c r="OGM2474" s="115"/>
      <c r="OGN2474" s="115"/>
      <c r="OGO2474" s="115"/>
      <c r="OGP2474" s="115"/>
      <c r="OGQ2474" s="115"/>
      <c r="OGR2474" s="115"/>
      <c r="OGS2474" s="115"/>
      <c r="OGT2474" s="115"/>
      <c r="OGU2474" s="115"/>
      <c r="OGV2474" s="115"/>
      <c r="OGW2474" s="115"/>
      <c r="OGX2474" s="115"/>
      <c r="OGY2474" s="115"/>
      <c r="OGZ2474" s="115"/>
      <c r="OHA2474" s="115"/>
      <c r="OHB2474" s="115"/>
      <c r="OHC2474" s="115"/>
      <c r="OHD2474" s="115"/>
      <c r="OHE2474" s="115"/>
      <c r="OHF2474" s="115"/>
      <c r="OHG2474" s="115"/>
      <c r="OHH2474" s="115"/>
      <c r="OHI2474" s="115"/>
      <c r="OHJ2474" s="115"/>
      <c r="OHK2474" s="115"/>
      <c r="OHL2474" s="115"/>
      <c r="OHM2474" s="115"/>
      <c r="OHN2474" s="115"/>
      <c r="OHO2474" s="115"/>
      <c r="OHP2474" s="115"/>
      <c r="OHQ2474" s="115"/>
      <c r="OHR2474" s="115"/>
      <c r="OHS2474" s="115"/>
      <c r="OHT2474" s="115"/>
      <c r="OHU2474" s="115"/>
      <c r="OHV2474" s="115"/>
      <c r="OHW2474" s="115"/>
      <c r="OHX2474" s="115"/>
      <c r="OHY2474" s="115"/>
      <c r="OHZ2474" s="115"/>
      <c r="OIA2474" s="115"/>
      <c r="OIB2474" s="115"/>
      <c r="OIC2474" s="115"/>
      <c r="OID2474" s="115"/>
      <c r="OIE2474" s="115"/>
      <c r="OIF2474" s="115"/>
      <c r="OIG2474" s="115"/>
      <c r="OIH2474" s="115"/>
      <c r="OII2474" s="115"/>
      <c r="OIJ2474" s="115"/>
      <c r="OIK2474" s="115"/>
      <c r="OIL2474" s="115"/>
      <c r="OIM2474" s="115"/>
      <c r="OIN2474" s="115"/>
      <c r="OIO2474" s="115"/>
      <c r="OIP2474" s="115"/>
      <c r="OIQ2474" s="115"/>
      <c r="OIR2474" s="115"/>
      <c r="OIS2474" s="115"/>
      <c r="OIT2474" s="115"/>
      <c r="OIU2474" s="115"/>
      <c r="OIV2474" s="115"/>
      <c r="OIW2474" s="115"/>
      <c r="OIX2474" s="115"/>
      <c r="OIY2474" s="115"/>
      <c r="OIZ2474" s="115"/>
      <c r="OJA2474" s="115"/>
      <c r="OJB2474" s="115"/>
      <c r="OJC2474" s="115"/>
      <c r="OJD2474" s="115"/>
      <c r="OJE2474" s="115"/>
      <c r="OJF2474" s="115"/>
      <c r="OJG2474" s="115"/>
      <c r="OJH2474" s="115"/>
      <c r="OJI2474" s="115"/>
      <c r="OJJ2474" s="115"/>
      <c r="OJK2474" s="115"/>
      <c r="OJL2474" s="115"/>
      <c r="OJM2474" s="115"/>
      <c r="OJN2474" s="115"/>
      <c r="OJO2474" s="115"/>
      <c r="OJP2474" s="115"/>
      <c r="OJQ2474" s="115"/>
      <c r="OJR2474" s="115"/>
      <c r="OJS2474" s="115"/>
      <c r="OJT2474" s="115"/>
      <c r="OJU2474" s="115"/>
      <c r="OJV2474" s="115"/>
      <c r="OJW2474" s="115"/>
      <c r="OJX2474" s="115"/>
      <c r="OJY2474" s="115"/>
      <c r="OJZ2474" s="115"/>
      <c r="OKA2474" s="115"/>
      <c r="OKB2474" s="115"/>
      <c r="OKC2474" s="115"/>
      <c r="OKD2474" s="115"/>
      <c r="OKE2474" s="115"/>
      <c r="OKF2474" s="115"/>
      <c r="OKG2474" s="115"/>
      <c r="OKH2474" s="115"/>
      <c r="OKI2474" s="115"/>
      <c r="OKJ2474" s="115"/>
      <c r="OKK2474" s="115"/>
      <c r="OKL2474" s="115"/>
      <c r="OKM2474" s="115"/>
      <c r="OKN2474" s="115"/>
      <c r="OKO2474" s="115"/>
      <c r="OKP2474" s="115"/>
      <c r="OKQ2474" s="115"/>
      <c r="OKR2474" s="115"/>
      <c r="OKS2474" s="115"/>
      <c r="OKT2474" s="115"/>
      <c r="OKU2474" s="115"/>
      <c r="OKV2474" s="115"/>
      <c r="OKW2474" s="115"/>
      <c r="OKX2474" s="115"/>
      <c r="OKY2474" s="115"/>
      <c r="OKZ2474" s="115"/>
      <c r="OLA2474" s="115"/>
      <c r="OLB2474" s="115"/>
      <c r="OLC2474" s="115"/>
      <c r="OLD2474" s="115"/>
      <c r="OLE2474" s="115"/>
      <c r="OLF2474" s="115"/>
      <c r="OLG2474" s="115"/>
      <c r="OLH2474" s="115"/>
      <c r="OLI2474" s="115"/>
      <c r="OLJ2474" s="115"/>
      <c r="OLK2474" s="115"/>
      <c r="OLL2474" s="115"/>
      <c r="OLM2474" s="115"/>
      <c r="OLN2474" s="115"/>
      <c r="OLO2474" s="115"/>
      <c r="OLP2474" s="115"/>
      <c r="OLQ2474" s="115"/>
      <c r="OLR2474" s="115"/>
      <c r="OLS2474" s="115"/>
      <c r="OLT2474" s="115"/>
      <c r="OLU2474" s="115"/>
      <c r="OLV2474" s="115"/>
      <c r="OLW2474" s="115"/>
      <c r="OLX2474" s="115"/>
      <c r="OLY2474" s="115"/>
      <c r="OLZ2474" s="115"/>
      <c r="OMA2474" s="115"/>
      <c r="OMB2474" s="115"/>
      <c r="OMC2474" s="115"/>
      <c r="OMD2474" s="115"/>
      <c r="OME2474" s="115"/>
      <c r="OMF2474" s="115"/>
      <c r="OMG2474" s="115"/>
      <c r="OMH2474" s="115"/>
      <c r="OMI2474" s="115"/>
      <c r="OMJ2474" s="115"/>
      <c r="OMK2474" s="115"/>
      <c r="OML2474" s="115"/>
      <c r="OMM2474" s="115"/>
      <c r="OMN2474" s="115"/>
      <c r="OMO2474" s="115"/>
      <c r="OMP2474" s="115"/>
      <c r="OMQ2474" s="115"/>
      <c r="OMR2474" s="115"/>
      <c r="OMS2474" s="115"/>
      <c r="OMT2474" s="115"/>
      <c r="OMU2474" s="115"/>
      <c r="OMV2474" s="115"/>
      <c r="OMW2474" s="115"/>
      <c r="OMX2474" s="115"/>
      <c r="OMY2474" s="115"/>
      <c r="OMZ2474" s="115"/>
      <c r="ONA2474" s="115"/>
      <c r="ONB2474" s="115"/>
      <c r="ONC2474" s="115"/>
      <c r="OND2474" s="115"/>
      <c r="ONE2474" s="115"/>
      <c r="ONF2474" s="115"/>
      <c r="ONG2474" s="115"/>
      <c r="ONH2474" s="115"/>
      <c r="ONI2474" s="115"/>
      <c r="ONJ2474" s="115"/>
      <c r="ONK2474" s="115"/>
      <c r="ONL2474" s="115"/>
      <c r="ONM2474" s="115"/>
      <c r="ONN2474" s="115"/>
      <c r="ONO2474" s="115"/>
      <c r="ONP2474" s="115"/>
      <c r="ONQ2474" s="115"/>
      <c r="ONR2474" s="115"/>
      <c r="ONS2474" s="115"/>
      <c r="ONT2474" s="115"/>
      <c r="ONU2474" s="115"/>
      <c r="ONV2474" s="115"/>
      <c r="ONW2474" s="115"/>
      <c r="ONX2474" s="115"/>
      <c r="ONY2474" s="115"/>
      <c r="ONZ2474" s="115"/>
      <c r="OOA2474" s="115"/>
      <c r="OOB2474" s="115"/>
      <c r="OOC2474" s="115"/>
      <c r="OOD2474" s="115"/>
      <c r="OOE2474" s="115"/>
      <c r="OOF2474" s="115"/>
      <c r="OOG2474" s="115"/>
      <c r="OOH2474" s="115"/>
      <c r="OOI2474" s="115"/>
      <c r="OOJ2474" s="115"/>
      <c r="OOK2474" s="115"/>
      <c r="OOL2474" s="115"/>
      <c r="OOM2474" s="115"/>
      <c r="OON2474" s="115"/>
      <c r="OOO2474" s="115"/>
      <c r="OOP2474" s="115"/>
      <c r="OOQ2474" s="115"/>
      <c r="OOR2474" s="115"/>
      <c r="OOS2474" s="115"/>
      <c r="OOT2474" s="115"/>
      <c r="OOU2474" s="115"/>
      <c r="OOV2474" s="115"/>
      <c r="OOW2474" s="115"/>
      <c r="OOX2474" s="115"/>
      <c r="OOY2474" s="115"/>
      <c r="OOZ2474" s="115"/>
      <c r="OPA2474" s="115"/>
      <c r="OPB2474" s="115"/>
      <c r="OPC2474" s="115"/>
      <c r="OPD2474" s="115"/>
      <c r="OPE2474" s="115"/>
      <c r="OPF2474" s="115"/>
      <c r="OPG2474" s="115"/>
      <c r="OPH2474" s="115"/>
      <c r="OPI2474" s="115"/>
      <c r="OPJ2474" s="115"/>
      <c r="OPK2474" s="115"/>
      <c r="OPL2474" s="115"/>
      <c r="OPM2474" s="115"/>
      <c r="OPN2474" s="115"/>
      <c r="OPO2474" s="115"/>
      <c r="OPP2474" s="115"/>
      <c r="OPQ2474" s="115"/>
      <c r="OPR2474" s="115"/>
      <c r="OPS2474" s="115"/>
      <c r="OPT2474" s="115"/>
      <c r="OPU2474" s="115"/>
      <c r="OPV2474" s="115"/>
      <c r="OPW2474" s="115"/>
      <c r="OPX2474" s="115"/>
      <c r="OPY2474" s="115"/>
      <c r="OPZ2474" s="115"/>
      <c r="OQA2474" s="115"/>
      <c r="OQB2474" s="115"/>
      <c r="OQC2474" s="115"/>
      <c r="OQD2474" s="115"/>
      <c r="OQE2474" s="115"/>
      <c r="OQF2474" s="115"/>
      <c r="OQG2474" s="115"/>
      <c r="OQH2474" s="115"/>
      <c r="OQI2474" s="115"/>
      <c r="OQJ2474" s="115"/>
      <c r="OQK2474" s="115"/>
      <c r="OQL2474" s="115"/>
      <c r="OQM2474" s="115"/>
      <c r="OQN2474" s="115"/>
      <c r="OQO2474" s="115"/>
      <c r="OQP2474" s="115"/>
      <c r="OQQ2474" s="115"/>
      <c r="OQR2474" s="115"/>
      <c r="OQS2474" s="115"/>
      <c r="OQT2474" s="115"/>
      <c r="OQU2474" s="115"/>
      <c r="OQV2474" s="115"/>
      <c r="OQW2474" s="115"/>
      <c r="OQX2474" s="115"/>
      <c r="OQY2474" s="115"/>
      <c r="OQZ2474" s="115"/>
      <c r="ORA2474" s="115"/>
      <c r="ORB2474" s="115"/>
      <c r="ORC2474" s="115"/>
      <c r="ORD2474" s="115"/>
      <c r="ORE2474" s="115"/>
      <c r="ORF2474" s="115"/>
      <c r="ORG2474" s="115"/>
      <c r="ORH2474" s="115"/>
      <c r="ORI2474" s="115"/>
      <c r="ORJ2474" s="115"/>
      <c r="ORK2474" s="115"/>
      <c r="ORL2474" s="115"/>
      <c r="ORM2474" s="115"/>
      <c r="ORN2474" s="115"/>
      <c r="ORO2474" s="115"/>
      <c r="ORP2474" s="115"/>
      <c r="ORQ2474" s="115"/>
      <c r="ORR2474" s="115"/>
      <c r="ORS2474" s="115"/>
      <c r="ORT2474" s="115"/>
      <c r="ORU2474" s="115"/>
      <c r="ORV2474" s="115"/>
      <c r="ORW2474" s="115"/>
      <c r="ORX2474" s="115"/>
      <c r="ORY2474" s="115"/>
      <c r="ORZ2474" s="115"/>
      <c r="OSA2474" s="115"/>
      <c r="OSB2474" s="115"/>
      <c r="OSC2474" s="115"/>
      <c r="OSD2474" s="115"/>
      <c r="OSE2474" s="115"/>
      <c r="OSF2474" s="115"/>
      <c r="OSG2474" s="115"/>
      <c r="OSH2474" s="115"/>
      <c r="OSI2474" s="115"/>
      <c r="OSJ2474" s="115"/>
      <c r="OSK2474" s="115"/>
      <c r="OSL2474" s="115"/>
      <c r="OSM2474" s="115"/>
      <c r="OSN2474" s="115"/>
      <c r="OSO2474" s="115"/>
      <c r="OSP2474" s="115"/>
      <c r="OSQ2474" s="115"/>
      <c r="OSR2474" s="115"/>
      <c r="OSS2474" s="115"/>
      <c r="OST2474" s="115"/>
      <c r="OSU2474" s="115"/>
      <c r="OSV2474" s="115"/>
      <c r="OSW2474" s="115"/>
      <c r="OSX2474" s="115"/>
      <c r="OSY2474" s="115"/>
      <c r="OSZ2474" s="115"/>
      <c r="OTA2474" s="115"/>
      <c r="OTB2474" s="115"/>
      <c r="OTC2474" s="115"/>
      <c r="OTD2474" s="115"/>
      <c r="OTE2474" s="115"/>
      <c r="OTF2474" s="115"/>
      <c r="OTG2474" s="115"/>
      <c r="OTH2474" s="115"/>
      <c r="OTI2474" s="115"/>
      <c r="OTJ2474" s="115"/>
      <c r="OTK2474" s="115"/>
      <c r="OTL2474" s="115"/>
      <c r="OTM2474" s="115"/>
      <c r="OTN2474" s="115"/>
      <c r="OTO2474" s="115"/>
      <c r="OTP2474" s="115"/>
      <c r="OTQ2474" s="115"/>
      <c r="OTR2474" s="115"/>
      <c r="OTS2474" s="115"/>
      <c r="OTT2474" s="115"/>
      <c r="OTU2474" s="115"/>
      <c r="OTV2474" s="115"/>
      <c r="OTW2474" s="115"/>
      <c r="OTX2474" s="115"/>
      <c r="OTY2474" s="115"/>
      <c r="OTZ2474" s="115"/>
      <c r="OUA2474" s="115"/>
      <c r="OUB2474" s="115"/>
      <c r="OUC2474" s="115"/>
      <c r="OUD2474" s="115"/>
      <c r="OUE2474" s="115"/>
      <c r="OUF2474" s="115"/>
      <c r="OUG2474" s="115"/>
      <c r="OUH2474" s="115"/>
      <c r="OUI2474" s="115"/>
      <c r="OUJ2474" s="115"/>
      <c r="OUK2474" s="115"/>
      <c r="OUL2474" s="115"/>
      <c r="OUM2474" s="115"/>
      <c r="OUN2474" s="115"/>
      <c r="OUO2474" s="115"/>
      <c r="OUP2474" s="115"/>
      <c r="OUQ2474" s="115"/>
      <c r="OUR2474" s="115"/>
      <c r="OUS2474" s="115"/>
      <c r="OUT2474" s="115"/>
      <c r="OUU2474" s="115"/>
      <c r="OUV2474" s="115"/>
      <c r="OUW2474" s="115"/>
      <c r="OUX2474" s="115"/>
      <c r="OUY2474" s="115"/>
      <c r="OUZ2474" s="115"/>
      <c r="OVA2474" s="115"/>
      <c r="OVB2474" s="115"/>
      <c r="OVC2474" s="115"/>
      <c r="OVD2474" s="115"/>
      <c r="OVE2474" s="115"/>
      <c r="OVF2474" s="115"/>
      <c r="OVG2474" s="115"/>
      <c r="OVH2474" s="115"/>
      <c r="OVI2474" s="115"/>
      <c r="OVJ2474" s="115"/>
      <c r="OVK2474" s="115"/>
      <c r="OVL2474" s="115"/>
      <c r="OVM2474" s="115"/>
      <c r="OVN2474" s="115"/>
      <c r="OVO2474" s="115"/>
      <c r="OVP2474" s="115"/>
      <c r="OVQ2474" s="115"/>
      <c r="OVR2474" s="115"/>
      <c r="OVS2474" s="115"/>
      <c r="OVT2474" s="115"/>
      <c r="OVU2474" s="115"/>
      <c r="OVV2474" s="115"/>
      <c r="OVW2474" s="115"/>
      <c r="OVX2474" s="115"/>
      <c r="OVY2474" s="115"/>
      <c r="OVZ2474" s="115"/>
      <c r="OWA2474" s="115"/>
      <c r="OWB2474" s="115"/>
      <c r="OWC2474" s="115"/>
      <c r="OWD2474" s="115"/>
      <c r="OWE2474" s="115"/>
      <c r="OWF2474" s="115"/>
      <c r="OWG2474" s="115"/>
      <c r="OWH2474" s="115"/>
      <c r="OWI2474" s="115"/>
      <c r="OWJ2474" s="115"/>
      <c r="OWK2474" s="115"/>
      <c r="OWL2474" s="115"/>
      <c r="OWM2474" s="115"/>
      <c r="OWN2474" s="115"/>
      <c r="OWO2474" s="115"/>
      <c r="OWP2474" s="115"/>
      <c r="OWQ2474" s="115"/>
      <c r="OWR2474" s="115"/>
      <c r="OWS2474" s="115"/>
      <c r="OWT2474" s="115"/>
      <c r="OWU2474" s="115"/>
      <c r="OWV2474" s="115"/>
      <c r="OWW2474" s="115"/>
      <c r="OWX2474" s="115"/>
      <c r="OWY2474" s="115"/>
      <c r="OWZ2474" s="115"/>
      <c r="OXA2474" s="115"/>
      <c r="OXB2474" s="115"/>
      <c r="OXC2474" s="115"/>
      <c r="OXD2474" s="115"/>
      <c r="OXE2474" s="115"/>
      <c r="OXF2474" s="115"/>
      <c r="OXG2474" s="115"/>
      <c r="OXH2474" s="115"/>
      <c r="OXI2474" s="115"/>
      <c r="OXJ2474" s="115"/>
      <c r="OXK2474" s="115"/>
      <c r="OXL2474" s="115"/>
      <c r="OXM2474" s="115"/>
      <c r="OXN2474" s="115"/>
      <c r="OXO2474" s="115"/>
      <c r="OXP2474" s="115"/>
      <c r="OXQ2474" s="115"/>
      <c r="OXR2474" s="115"/>
      <c r="OXS2474" s="115"/>
      <c r="OXT2474" s="115"/>
      <c r="OXU2474" s="115"/>
      <c r="OXV2474" s="115"/>
      <c r="OXW2474" s="115"/>
      <c r="OXX2474" s="115"/>
      <c r="OXY2474" s="115"/>
      <c r="OXZ2474" s="115"/>
      <c r="OYA2474" s="115"/>
      <c r="OYB2474" s="115"/>
      <c r="OYC2474" s="115"/>
      <c r="OYD2474" s="115"/>
      <c r="OYE2474" s="115"/>
      <c r="OYF2474" s="115"/>
      <c r="OYG2474" s="115"/>
      <c r="OYH2474" s="115"/>
      <c r="OYI2474" s="115"/>
      <c r="OYJ2474" s="115"/>
      <c r="OYK2474" s="115"/>
      <c r="OYL2474" s="115"/>
      <c r="OYM2474" s="115"/>
      <c r="OYN2474" s="115"/>
      <c r="OYO2474" s="115"/>
      <c r="OYP2474" s="115"/>
      <c r="OYQ2474" s="115"/>
      <c r="OYR2474" s="115"/>
      <c r="OYS2474" s="115"/>
      <c r="OYT2474" s="115"/>
      <c r="OYU2474" s="115"/>
      <c r="OYV2474" s="115"/>
      <c r="OYW2474" s="115"/>
      <c r="OYX2474" s="115"/>
      <c r="OYY2474" s="115"/>
      <c r="OYZ2474" s="115"/>
      <c r="OZA2474" s="115"/>
      <c r="OZB2474" s="115"/>
      <c r="OZC2474" s="115"/>
      <c r="OZD2474" s="115"/>
      <c r="OZE2474" s="115"/>
      <c r="OZF2474" s="115"/>
      <c r="OZG2474" s="115"/>
      <c r="OZH2474" s="115"/>
      <c r="OZI2474" s="115"/>
      <c r="OZJ2474" s="115"/>
      <c r="OZK2474" s="115"/>
      <c r="OZL2474" s="115"/>
      <c r="OZM2474" s="115"/>
      <c r="OZN2474" s="115"/>
      <c r="OZO2474" s="115"/>
      <c r="OZP2474" s="115"/>
      <c r="OZQ2474" s="115"/>
      <c r="OZR2474" s="115"/>
      <c r="OZS2474" s="115"/>
      <c r="OZT2474" s="115"/>
      <c r="OZU2474" s="115"/>
      <c r="OZV2474" s="115"/>
      <c r="OZW2474" s="115"/>
      <c r="OZX2474" s="115"/>
      <c r="OZY2474" s="115"/>
      <c r="OZZ2474" s="115"/>
      <c r="PAA2474" s="115"/>
      <c r="PAB2474" s="115"/>
      <c r="PAC2474" s="115"/>
      <c r="PAD2474" s="115"/>
      <c r="PAE2474" s="115"/>
      <c r="PAF2474" s="115"/>
      <c r="PAG2474" s="115"/>
      <c r="PAH2474" s="115"/>
      <c r="PAI2474" s="115"/>
      <c r="PAJ2474" s="115"/>
      <c r="PAK2474" s="115"/>
      <c r="PAL2474" s="115"/>
      <c r="PAM2474" s="115"/>
      <c r="PAN2474" s="115"/>
      <c r="PAO2474" s="115"/>
      <c r="PAP2474" s="115"/>
      <c r="PAQ2474" s="115"/>
      <c r="PAR2474" s="115"/>
      <c r="PAS2474" s="115"/>
      <c r="PAT2474" s="115"/>
      <c r="PAU2474" s="115"/>
      <c r="PAV2474" s="115"/>
      <c r="PAW2474" s="115"/>
      <c r="PAX2474" s="115"/>
      <c r="PAY2474" s="115"/>
      <c r="PAZ2474" s="115"/>
      <c r="PBA2474" s="115"/>
      <c r="PBB2474" s="115"/>
      <c r="PBC2474" s="115"/>
      <c r="PBD2474" s="115"/>
      <c r="PBE2474" s="115"/>
      <c r="PBF2474" s="115"/>
      <c r="PBG2474" s="115"/>
      <c r="PBH2474" s="115"/>
      <c r="PBI2474" s="115"/>
      <c r="PBJ2474" s="115"/>
      <c r="PBK2474" s="115"/>
      <c r="PBL2474" s="115"/>
      <c r="PBM2474" s="115"/>
      <c r="PBN2474" s="115"/>
      <c r="PBO2474" s="115"/>
      <c r="PBP2474" s="115"/>
      <c r="PBQ2474" s="115"/>
      <c r="PBR2474" s="115"/>
      <c r="PBS2474" s="115"/>
      <c r="PBT2474" s="115"/>
      <c r="PBU2474" s="115"/>
      <c r="PBV2474" s="115"/>
      <c r="PBW2474" s="115"/>
      <c r="PBX2474" s="115"/>
      <c r="PBY2474" s="115"/>
      <c r="PBZ2474" s="115"/>
      <c r="PCA2474" s="115"/>
      <c r="PCB2474" s="115"/>
      <c r="PCC2474" s="115"/>
      <c r="PCD2474" s="115"/>
      <c r="PCE2474" s="115"/>
      <c r="PCF2474" s="115"/>
      <c r="PCG2474" s="115"/>
      <c r="PCH2474" s="115"/>
      <c r="PCI2474" s="115"/>
      <c r="PCJ2474" s="115"/>
      <c r="PCK2474" s="115"/>
      <c r="PCL2474" s="115"/>
      <c r="PCM2474" s="115"/>
      <c r="PCN2474" s="115"/>
      <c r="PCO2474" s="115"/>
      <c r="PCP2474" s="115"/>
      <c r="PCQ2474" s="115"/>
      <c r="PCR2474" s="115"/>
      <c r="PCS2474" s="115"/>
      <c r="PCT2474" s="115"/>
      <c r="PCU2474" s="115"/>
      <c r="PCV2474" s="115"/>
      <c r="PCW2474" s="115"/>
      <c r="PCX2474" s="115"/>
      <c r="PCY2474" s="115"/>
      <c r="PCZ2474" s="115"/>
      <c r="PDA2474" s="115"/>
      <c r="PDB2474" s="115"/>
      <c r="PDC2474" s="115"/>
      <c r="PDD2474" s="115"/>
      <c r="PDE2474" s="115"/>
      <c r="PDF2474" s="115"/>
      <c r="PDG2474" s="115"/>
      <c r="PDH2474" s="115"/>
      <c r="PDI2474" s="115"/>
      <c r="PDJ2474" s="115"/>
      <c r="PDK2474" s="115"/>
      <c r="PDL2474" s="115"/>
      <c r="PDM2474" s="115"/>
      <c r="PDN2474" s="115"/>
      <c r="PDO2474" s="115"/>
      <c r="PDP2474" s="115"/>
      <c r="PDQ2474" s="115"/>
      <c r="PDR2474" s="115"/>
      <c r="PDS2474" s="115"/>
      <c r="PDT2474" s="115"/>
      <c r="PDU2474" s="115"/>
      <c r="PDV2474" s="115"/>
      <c r="PDW2474" s="115"/>
      <c r="PDX2474" s="115"/>
      <c r="PDY2474" s="115"/>
      <c r="PDZ2474" s="115"/>
      <c r="PEA2474" s="115"/>
      <c r="PEB2474" s="115"/>
      <c r="PEC2474" s="115"/>
      <c r="PED2474" s="115"/>
      <c r="PEE2474" s="115"/>
      <c r="PEF2474" s="115"/>
      <c r="PEG2474" s="115"/>
      <c r="PEH2474" s="115"/>
      <c r="PEI2474" s="115"/>
      <c r="PEJ2474" s="115"/>
      <c r="PEK2474" s="115"/>
      <c r="PEL2474" s="115"/>
      <c r="PEM2474" s="115"/>
      <c r="PEN2474" s="115"/>
      <c r="PEO2474" s="115"/>
      <c r="PEP2474" s="115"/>
      <c r="PEQ2474" s="115"/>
      <c r="PER2474" s="115"/>
      <c r="PES2474" s="115"/>
      <c r="PET2474" s="115"/>
      <c r="PEU2474" s="115"/>
      <c r="PEV2474" s="115"/>
      <c r="PEW2474" s="115"/>
      <c r="PEX2474" s="115"/>
      <c r="PEY2474" s="115"/>
      <c r="PEZ2474" s="115"/>
      <c r="PFA2474" s="115"/>
      <c r="PFB2474" s="115"/>
      <c r="PFC2474" s="115"/>
      <c r="PFD2474" s="115"/>
      <c r="PFE2474" s="115"/>
      <c r="PFF2474" s="115"/>
      <c r="PFG2474" s="115"/>
      <c r="PFH2474" s="115"/>
      <c r="PFI2474" s="115"/>
      <c r="PFJ2474" s="115"/>
      <c r="PFK2474" s="115"/>
      <c r="PFL2474" s="115"/>
      <c r="PFM2474" s="115"/>
      <c r="PFN2474" s="115"/>
      <c r="PFO2474" s="115"/>
      <c r="PFP2474" s="115"/>
      <c r="PFQ2474" s="115"/>
      <c r="PFR2474" s="115"/>
      <c r="PFS2474" s="115"/>
      <c r="PFT2474" s="115"/>
      <c r="PFU2474" s="115"/>
      <c r="PFV2474" s="115"/>
      <c r="PFW2474" s="115"/>
      <c r="PFX2474" s="115"/>
      <c r="PFY2474" s="115"/>
      <c r="PFZ2474" s="115"/>
      <c r="PGA2474" s="115"/>
      <c r="PGB2474" s="115"/>
      <c r="PGC2474" s="115"/>
      <c r="PGD2474" s="115"/>
      <c r="PGE2474" s="115"/>
      <c r="PGF2474" s="115"/>
      <c r="PGG2474" s="115"/>
      <c r="PGH2474" s="115"/>
      <c r="PGI2474" s="115"/>
      <c r="PGJ2474" s="115"/>
      <c r="PGK2474" s="115"/>
      <c r="PGL2474" s="115"/>
      <c r="PGM2474" s="115"/>
      <c r="PGN2474" s="115"/>
      <c r="PGO2474" s="115"/>
      <c r="PGP2474" s="115"/>
      <c r="PGQ2474" s="115"/>
      <c r="PGR2474" s="115"/>
      <c r="PGS2474" s="115"/>
      <c r="PGT2474" s="115"/>
      <c r="PGU2474" s="115"/>
      <c r="PGV2474" s="115"/>
      <c r="PGW2474" s="115"/>
      <c r="PGX2474" s="115"/>
      <c r="PGY2474" s="115"/>
      <c r="PGZ2474" s="115"/>
      <c r="PHA2474" s="115"/>
      <c r="PHB2474" s="115"/>
      <c r="PHC2474" s="115"/>
      <c r="PHD2474" s="115"/>
      <c r="PHE2474" s="115"/>
      <c r="PHF2474" s="115"/>
      <c r="PHG2474" s="115"/>
      <c r="PHH2474" s="115"/>
      <c r="PHI2474" s="115"/>
      <c r="PHJ2474" s="115"/>
      <c r="PHK2474" s="115"/>
      <c r="PHL2474" s="115"/>
      <c r="PHM2474" s="115"/>
      <c r="PHN2474" s="115"/>
      <c r="PHO2474" s="115"/>
      <c r="PHP2474" s="115"/>
      <c r="PHQ2474" s="115"/>
      <c r="PHR2474" s="115"/>
      <c r="PHS2474" s="115"/>
      <c r="PHT2474" s="115"/>
      <c r="PHU2474" s="115"/>
      <c r="PHV2474" s="115"/>
      <c r="PHW2474" s="115"/>
      <c r="PHX2474" s="115"/>
      <c r="PHY2474" s="115"/>
      <c r="PHZ2474" s="115"/>
      <c r="PIA2474" s="115"/>
      <c r="PIB2474" s="115"/>
      <c r="PIC2474" s="115"/>
      <c r="PID2474" s="115"/>
      <c r="PIE2474" s="115"/>
      <c r="PIF2474" s="115"/>
      <c r="PIG2474" s="115"/>
      <c r="PIH2474" s="115"/>
      <c r="PII2474" s="115"/>
      <c r="PIJ2474" s="115"/>
      <c r="PIK2474" s="115"/>
      <c r="PIL2474" s="115"/>
      <c r="PIM2474" s="115"/>
      <c r="PIN2474" s="115"/>
      <c r="PIO2474" s="115"/>
      <c r="PIP2474" s="115"/>
      <c r="PIQ2474" s="115"/>
      <c r="PIR2474" s="115"/>
      <c r="PIS2474" s="115"/>
      <c r="PIT2474" s="115"/>
      <c r="PIU2474" s="115"/>
      <c r="PIV2474" s="115"/>
      <c r="PIW2474" s="115"/>
      <c r="PIX2474" s="115"/>
      <c r="PIY2474" s="115"/>
      <c r="PIZ2474" s="115"/>
      <c r="PJA2474" s="115"/>
      <c r="PJB2474" s="115"/>
      <c r="PJC2474" s="115"/>
      <c r="PJD2474" s="115"/>
      <c r="PJE2474" s="115"/>
      <c r="PJF2474" s="115"/>
      <c r="PJG2474" s="115"/>
      <c r="PJH2474" s="115"/>
      <c r="PJI2474" s="115"/>
      <c r="PJJ2474" s="115"/>
      <c r="PJK2474" s="115"/>
      <c r="PJL2474" s="115"/>
      <c r="PJM2474" s="115"/>
      <c r="PJN2474" s="115"/>
      <c r="PJO2474" s="115"/>
      <c r="PJP2474" s="115"/>
      <c r="PJQ2474" s="115"/>
      <c r="PJR2474" s="115"/>
      <c r="PJS2474" s="115"/>
      <c r="PJT2474" s="115"/>
      <c r="PJU2474" s="115"/>
      <c r="PJV2474" s="115"/>
      <c r="PJW2474" s="115"/>
      <c r="PJX2474" s="115"/>
      <c r="PJY2474" s="115"/>
      <c r="PJZ2474" s="115"/>
      <c r="PKA2474" s="115"/>
      <c r="PKB2474" s="115"/>
      <c r="PKC2474" s="115"/>
      <c r="PKD2474" s="115"/>
      <c r="PKE2474" s="115"/>
      <c r="PKF2474" s="115"/>
      <c r="PKG2474" s="115"/>
      <c r="PKH2474" s="115"/>
      <c r="PKI2474" s="115"/>
      <c r="PKJ2474" s="115"/>
      <c r="PKK2474" s="115"/>
      <c r="PKL2474" s="115"/>
      <c r="PKM2474" s="115"/>
      <c r="PKN2474" s="115"/>
      <c r="PKO2474" s="115"/>
      <c r="PKP2474" s="115"/>
      <c r="PKQ2474" s="115"/>
      <c r="PKR2474" s="115"/>
      <c r="PKS2474" s="115"/>
      <c r="PKT2474" s="115"/>
      <c r="PKU2474" s="115"/>
      <c r="PKV2474" s="115"/>
      <c r="PKW2474" s="115"/>
      <c r="PKX2474" s="115"/>
      <c r="PKY2474" s="115"/>
      <c r="PKZ2474" s="115"/>
      <c r="PLA2474" s="115"/>
      <c r="PLB2474" s="115"/>
      <c r="PLC2474" s="115"/>
      <c r="PLD2474" s="115"/>
      <c r="PLE2474" s="115"/>
      <c r="PLF2474" s="115"/>
      <c r="PLG2474" s="115"/>
      <c r="PLH2474" s="115"/>
      <c r="PLI2474" s="115"/>
      <c r="PLJ2474" s="115"/>
      <c r="PLK2474" s="115"/>
      <c r="PLL2474" s="115"/>
      <c r="PLM2474" s="115"/>
      <c r="PLN2474" s="115"/>
      <c r="PLO2474" s="115"/>
      <c r="PLP2474" s="115"/>
      <c r="PLQ2474" s="115"/>
      <c r="PLR2474" s="115"/>
      <c r="PLS2474" s="115"/>
      <c r="PLT2474" s="115"/>
      <c r="PLU2474" s="115"/>
      <c r="PLV2474" s="115"/>
      <c r="PLW2474" s="115"/>
      <c r="PLX2474" s="115"/>
      <c r="PLY2474" s="115"/>
      <c r="PLZ2474" s="115"/>
      <c r="PMA2474" s="115"/>
      <c r="PMB2474" s="115"/>
      <c r="PMC2474" s="115"/>
      <c r="PMD2474" s="115"/>
      <c r="PME2474" s="115"/>
      <c r="PMF2474" s="115"/>
      <c r="PMG2474" s="115"/>
      <c r="PMH2474" s="115"/>
      <c r="PMI2474" s="115"/>
      <c r="PMJ2474" s="115"/>
      <c r="PMK2474" s="115"/>
      <c r="PML2474" s="115"/>
      <c r="PMM2474" s="115"/>
      <c r="PMN2474" s="115"/>
      <c r="PMO2474" s="115"/>
      <c r="PMP2474" s="115"/>
      <c r="PMQ2474" s="115"/>
      <c r="PMR2474" s="115"/>
      <c r="PMS2474" s="115"/>
      <c r="PMT2474" s="115"/>
      <c r="PMU2474" s="115"/>
      <c r="PMV2474" s="115"/>
      <c r="PMW2474" s="115"/>
      <c r="PMX2474" s="115"/>
      <c r="PMY2474" s="115"/>
      <c r="PMZ2474" s="115"/>
      <c r="PNA2474" s="115"/>
      <c r="PNB2474" s="115"/>
      <c r="PNC2474" s="115"/>
      <c r="PND2474" s="115"/>
      <c r="PNE2474" s="115"/>
      <c r="PNF2474" s="115"/>
      <c r="PNG2474" s="115"/>
      <c r="PNH2474" s="115"/>
      <c r="PNI2474" s="115"/>
      <c r="PNJ2474" s="115"/>
      <c r="PNK2474" s="115"/>
      <c r="PNL2474" s="115"/>
      <c r="PNM2474" s="115"/>
      <c r="PNN2474" s="115"/>
      <c r="PNO2474" s="115"/>
      <c r="PNP2474" s="115"/>
      <c r="PNQ2474" s="115"/>
      <c r="PNR2474" s="115"/>
      <c r="PNS2474" s="115"/>
      <c r="PNT2474" s="115"/>
      <c r="PNU2474" s="115"/>
      <c r="PNV2474" s="115"/>
      <c r="PNW2474" s="115"/>
      <c r="PNX2474" s="115"/>
      <c r="PNY2474" s="115"/>
      <c r="PNZ2474" s="115"/>
      <c r="POA2474" s="115"/>
      <c r="POB2474" s="115"/>
      <c r="POC2474" s="115"/>
      <c r="POD2474" s="115"/>
      <c r="POE2474" s="115"/>
      <c r="POF2474" s="115"/>
      <c r="POG2474" s="115"/>
      <c r="POH2474" s="115"/>
      <c r="POI2474" s="115"/>
      <c r="POJ2474" s="115"/>
      <c r="POK2474" s="115"/>
      <c r="POL2474" s="115"/>
      <c r="POM2474" s="115"/>
      <c r="PON2474" s="115"/>
      <c r="POO2474" s="115"/>
      <c r="POP2474" s="115"/>
      <c r="POQ2474" s="115"/>
      <c r="POR2474" s="115"/>
      <c r="POS2474" s="115"/>
      <c r="POT2474" s="115"/>
      <c r="POU2474" s="115"/>
      <c r="POV2474" s="115"/>
      <c r="POW2474" s="115"/>
      <c r="POX2474" s="115"/>
      <c r="POY2474" s="115"/>
      <c r="POZ2474" s="115"/>
      <c r="PPA2474" s="115"/>
      <c r="PPB2474" s="115"/>
      <c r="PPC2474" s="115"/>
      <c r="PPD2474" s="115"/>
      <c r="PPE2474" s="115"/>
      <c r="PPF2474" s="115"/>
      <c r="PPG2474" s="115"/>
      <c r="PPH2474" s="115"/>
      <c r="PPI2474" s="115"/>
      <c r="PPJ2474" s="115"/>
      <c r="PPK2474" s="115"/>
      <c r="PPL2474" s="115"/>
      <c r="PPM2474" s="115"/>
      <c r="PPN2474" s="115"/>
      <c r="PPO2474" s="115"/>
      <c r="PPP2474" s="115"/>
      <c r="PPQ2474" s="115"/>
      <c r="PPR2474" s="115"/>
      <c r="PPS2474" s="115"/>
      <c r="PPT2474" s="115"/>
      <c r="PPU2474" s="115"/>
      <c r="PPV2474" s="115"/>
      <c r="PPW2474" s="115"/>
      <c r="PPX2474" s="115"/>
      <c r="PPY2474" s="115"/>
      <c r="PPZ2474" s="115"/>
      <c r="PQA2474" s="115"/>
      <c r="PQB2474" s="115"/>
      <c r="PQC2474" s="115"/>
      <c r="PQD2474" s="115"/>
      <c r="PQE2474" s="115"/>
      <c r="PQF2474" s="115"/>
      <c r="PQG2474" s="115"/>
      <c r="PQH2474" s="115"/>
      <c r="PQI2474" s="115"/>
      <c r="PQJ2474" s="115"/>
      <c r="PQK2474" s="115"/>
      <c r="PQL2474" s="115"/>
      <c r="PQM2474" s="115"/>
      <c r="PQN2474" s="115"/>
      <c r="PQO2474" s="115"/>
      <c r="PQP2474" s="115"/>
      <c r="PQQ2474" s="115"/>
      <c r="PQR2474" s="115"/>
      <c r="PQS2474" s="115"/>
      <c r="PQT2474" s="115"/>
      <c r="PQU2474" s="115"/>
      <c r="PQV2474" s="115"/>
      <c r="PQW2474" s="115"/>
      <c r="PQX2474" s="115"/>
      <c r="PQY2474" s="115"/>
      <c r="PQZ2474" s="115"/>
      <c r="PRA2474" s="115"/>
      <c r="PRB2474" s="115"/>
      <c r="PRC2474" s="115"/>
      <c r="PRD2474" s="115"/>
      <c r="PRE2474" s="115"/>
      <c r="PRF2474" s="115"/>
      <c r="PRG2474" s="115"/>
      <c r="PRH2474" s="115"/>
      <c r="PRI2474" s="115"/>
      <c r="PRJ2474" s="115"/>
      <c r="PRK2474" s="115"/>
      <c r="PRL2474" s="115"/>
      <c r="PRM2474" s="115"/>
      <c r="PRN2474" s="115"/>
      <c r="PRO2474" s="115"/>
      <c r="PRP2474" s="115"/>
      <c r="PRQ2474" s="115"/>
      <c r="PRR2474" s="115"/>
      <c r="PRS2474" s="115"/>
      <c r="PRT2474" s="115"/>
      <c r="PRU2474" s="115"/>
      <c r="PRV2474" s="115"/>
      <c r="PRW2474" s="115"/>
      <c r="PRX2474" s="115"/>
      <c r="PRY2474" s="115"/>
      <c r="PRZ2474" s="115"/>
      <c r="PSA2474" s="115"/>
      <c r="PSB2474" s="115"/>
      <c r="PSC2474" s="115"/>
      <c r="PSD2474" s="115"/>
      <c r="PSE2474" s="115"/>
      <c r="PSF2474" s="115"/>
      <c r="PSG2474" s="115"/>
      <c r="PSH2474" s="115"/>
      <c r="PSI2474" s="115"/>
      <c r="PSJ2474" s="115"/>
      <c r="PSK2474" s="115"/>
      <c r="PSL2474" s="115"/>
      <c r="PSM2474" s="115"/>
      <c r="PSN2474" s="115"/>
      <c r="PSO2474" s="115"/>
      <c r="PSP2474" s="115"/>
      <c r="PSQ2474" s="115"/>
      <c r="PSR2474" s="115"/>
      <c r="PSS2474" s="115"/>
      <c r="PST2474" s="115"/>
      <c r="PSU2474" s="115"/>
      <c r="PSV2474" s="115"/>
      <c r="PSW2474" s="115"/>
      <c r="PSX2474" s="115"/>
      <c r="PSY2474" s="115"/>
      <c r="PSZ2474" s="115"/>
      <c r="PTA2474" s="115"/>
      <c r="PTB2474" s="115"/>
      <c r="PTC2474" s="115"/>
      <c r="PTD2474" s="115"/>
      <c r="PTE2474" s="115"/>
      <c r="PTF2474" s="115"/>
      <c r="PTG2474" s="115"/>
      <c r="PTH2474" s="115"/>
      <c r="PTI2474" s="115"/>
      <c r="PTJ2474" s="115"/>
      <c r="PTK2474" s="115"/>
      <c r="PTL2474" s="115"/>
      <c r="PTM2474" s="115"/>
      <c r="PTN2474" s="115"/>
      <c r="PTO2474" s="115"/>
      <c r="PTP2474" s="115"/>
      <c r="PTQ2474" s="115"/>
      <c r="PTR2474" s="115"/>
      <c r="PTS2474" s="115"/>
      <c r="PTT2474" s="115"/>
      <c r="PTU2474" s="115"/>
      <c r="PTV2474" s="115"/>
      <c r="PTW2474" s="115"/>
      <c r="PTX2474" s="115"/>
      <c r="PTY2474" s="115"/>
      <c r="PTZ2474" s="115"/>
      <c r="PUA2474" s="115"/>
      <c r="PUB2474" s="115"/>
      <c r="PUC2474" s="115"/>
      <c r="PUD2474" s="115"/>
      <c r="PUE2474" s="115"/>
      <c r="PUF2474" s="115"/>
      <c r="PUG2474" s="115"/>
      <c r="PUH2474" s="115"/>
      <c r="PUI2474" s="115"/>
      <c r="PUJ2474" s="115"/>
      <c r="PUK2474" s="115"/>
      <c r="PUL2474" s="115"/>
      <c r="PUM2474" s="115"/>
      <c r="PUN2474" s="115"/>
      <c r="PUO2474" s="115"/>
      <c r="PUP2474" s="115"/>
      <c r="PUQ2474" s="115"/>
      <c r="PUR2474" s="115"/>
      <c r="PUS2474" s="115"/>
      <c r="PUT2474" s="115"/>
      <c r="PUU2474" s="115"/>
      <c r="PUV2474" s="115"/>
      <c r="PUW2474" s="115"/>
      <c r="PUX2474" s="115"/>
      <c r="PUY2474" s="115"/>
      <c r="PUZ2474" s="115"/>
      <c r="PVA2474" s="115"/>
      <c r="PVB2474" s="115"/>
      <c r="PVC2474" s="115"/>
      <c r="PVD2474" s="115"/>
      <c r="PVE2474" s="115"/>
      <c r="PVF2474" s="115"/>
      <c r="PVG2474" s="115"/>
      <c r="PVH2474" s="115"/>
      <c r="PVI2474" s="115"/>
      <c r="PVJ2474" s="115"/>
      <c r="PVK2474" s="115"/>
      <c r="PVL2474" s="115"/>
      <c r="PVM2474" s="115"/>
      <c r="PVN2474" s="115"/>
      <c r="PVO2474" s="115"/>
      <c r="PVP2474" s="115"/>
      <c r="PVQ2474" s="115"/>
      <c r="PVR2474" s="115"/>
      <c r="PVS2474" s="115"/>
      <c r="PVT2474" s="115"/>
      <c r="PVU2474" s="115"/>
      <c r="PVV2474" s="115"/>
      <c r="PVW2474" s="115"/>
      <c r="PVX2474" s="115"/>
      <c r="PVY2474" s="115"/>
      <c r="PVZ2474" s="115"/>
      <c r="PWA2474" s="115"/>
      <c r="PWB2474" s="115"/>
      <c r="PWC2474" s="115"/>
      <c r="PWD2474" s="115"/>
      <c r="PWE2474" s="115"/>
      <c r="PWF2474" s="115"/>
      <c r="PWG2474" s="115"/>
      <c r="PWH2474" s="115"/>
      <c r="PWI2474" s="115"/>
      <c r="PWJ2474" s="115"/>
      <c r="PWK2474" s="115"/>
      <c r="PWL2474" s="115"/>
      <c r="PWM2474" s="115"/>
      <c r="PWN2474" s="115"/>
      <c r="PWO2474" s="115"/>
      <c r="PWP2474" s="115"/>
      <c r="PWQ2474" s="115"/>
      <c r="PWR2474" s="115"/>
      <c r="PWS2474" s="115"/>
      <c r="PWT2474" s="115"/>
      <c r="PWU2474" s="115"/>
      <c r="PWV2474" s="115"/>
      <c r="PWW2474" s="115"/>
      <c r="PWX2474" s="115"/>
      <c r="PWY2474" s="115"/>
      <c r="PWZ2474" s="115"/>
      <c r="PXA2474" s="115"/>
      <c r="PXB2474" s="115"/>
      <c r="PXC2474" s="115"/>
      <c r="PXD2474" s="115"/>
      <c r="PXE2474" s="115"/>
      <c r="PXF2474" s="115"/>
      <c r="PXG2474" s="115"/>
      <c r="PXH2474" s="115"/>
      <c r="PXI2474" s="115"/>
      <c r="PXJ2474" s="115"/>
      <c r="PXK2474" s="115"/>
      <c r="PXL2474" s="115"/>
      <c r="PXM2474" s="115"/>
      <c r="PXN2474" s="115"/>
      <c r="PXO2474" s="115"/>
      <c r="PXP2474" s="115"/>
      <c r="PXQ2474" s="115"/>
      <c r="PXR2474" s="115"/>
      <c r="PXS2474" s="115"/>
      <c r="PXT2474" s="115"/>
      <c r="PXU2474" s="115"/>
      <c r="PXV2474" s="115"/>
      <c r="PXW2474" s="115"/>
      <c r="PXX2474" s="115"/>
      <c r="PXY2474" s="115"/>
      <c r="PXZ2474" s="115"/>
      <c r="PYA2474" s="115"/>
      <c r="PYB2474" s="115"/>
      <c r="PYC2474" s="115"/>
      <c r="PYD2474" s="115"/>
      <c r="PYE2474" s="115"/>
      <c r="PYF2474" s="115"/>
      <c r="PYG2474" s="115"/>
      <c r="PYH2474" s="115"/>
      <c r="PYI2474" s="115"/>
      <c r="PYJ2474" s="115"/>
      <c r="PYK2474" s="115"/>
      <c r="PYL2474" s="115"/>
      <c r="PYM2474" s="115"/>
      <c r="PYN2474" s="115"/>
      <c r="PYO2474" s="115"/>
      <c r="PYP2474" s="115"/>
      <c r="PYQ2474" s="115"/>
      <c r="PYR2474" s="115"/>
      <c r="PYS2474" s="115"/>
      <c r="PYT2474" s="115"/>
      <c r="PYU2474" s="115"/>
      <c r="PYV2474" s="115"/>
      <c r="PYW2474" s="115"/>
      <c r="PYX2474" s="115"/>
      <c r="PYY2474" s="115"/>
      <c r="PYZ2474" s="115"/>
      <c r="PZA2474" s="115"/>
      <c r="PZB2474" s="115"/>
      <c r="PZC2474" s="115"/>
      <c r="PZD2474" s="115"/>
      <c r="PZE2474" s="115"/>
      <c r="PZF2474" s="115"/>
      <c r="PZG2474" s="115"/>
      <c r="PZH2474" s="115"/>
      <c r="PZI2474" s="115"/>
      <c r="PZJ2474" s="115"/>
      <c r="PZK2474" s="115"/>
      <c r="PZL2474" s="115"/>
      <c r="PZM2474" s="115"/>
      <c r="PZN2474" s="115"/>
      <c r="PZO2474" s="115"/>
      <c r="PZP2474" s="115"/>
      <c r="PZQ2474" s="115"/>
      <c r="PZR2474" s="115"/>
      <c r="PZS2474" s="115"/>
      <c r="PZT2474" s="115"/>
      <c r="PZU2474" s="115"/>
      <c r="PZV2474" s="115"/>
      <c r="PZW2474" s="115"/>
      <c r="PZX2474" s="115"/>
      <c r="PZY2474" s="115"/>
      <c r="PZZ2474" s="115"/>
      <c r="QAA2474" s="115"/>
      <c r="QAB2474" s="115"/>
      <c r="QAC2474" s="115"/>
      <c r="QAD2474" s="115"/>
      <c r="QAE2474" s="115"/>
      <c r="QAF2474" s="115"/>
      <c r="QAG2474" s="115"/>
      <c r="QAH2474" s="115"/>
      <c r="QAI2474" s="115"/>
      <c r="QAJ2474" s="115"/>
      <c r="QAK2474" s="115"/>
      <c r="QAL2474" s="115"/>
      <c r="QAM2474" s="115"/>
      <c r="QAN2474" s="115"/>
      <c r="QAO2474" s="115"/>
      <c r="QAP2474" s="115"/>
      <c r="QAQ2474" s="115"/>
      <c r="QAR2474" s="115"/>
      <c r="QAS2474" s="115"/>
      <c r="QAT2474" s="115"/>
      <c r="QAU2474" s="115"/>
      <c r="QAV2474" s="115"/>
      <c r="QAW2474" s="115"/>
      <c r="QAX2474" s="115"/>
      <c r="QAY2474" s="115"/>
      <c r="QAZ2474" s="115"/>
      <c r="QBA2474" s="115"/>
      <c r="QBB2474" s="115"/>
      <c r="QBC2474" s="115"/>
      <c r="QBD2474" s="115"/>
      <c r="QBE2474" s="115"/>
      <c r="QBF2474" s="115"/>
      <c r="QBG2474" s="115"/>
      <c r="QBH2474" s="115"/>
      <c r="QBI2474" s="115"/>
      <c r="QBJ2474" s="115"/>
      <c r="QBK2474" s="115"/>
      <c r="QBL2474" s="115"/>
      <c r="QBM2474" s="115"/>
      <c r="QBN2474" s="115"/>
      <c r="QBO2474" s="115"/>
      <c r="QBP2474" s="115"/>
      <c r="QBQ2474" s="115"/>
      <c r="QBR2474" s="115"/>
      <c r="QBS2474" s="115"/>
      <c r="QBT2474" s="115"/>
      <c r="QBU2474" s="115"/>
      <c r="QBV2474" s="115"/>
      <c r="QBW2474" s="115"/>
      <c r="QBX2474" s="115"/>
      <c r="QBY2474" s="115"/>
      <c r="QBZ2474" s="115"/>
      <c r="QCA2474" s="115"/>
      <c r="QCB2474" s="115"/>
      <c r="QCC2474" s="115"/>
      <c r="QCD2474" s="115"/>
      <c r="QCE2474" s="115"/>
      <c r="QCF2474" s="115"/>
      <c r="QCG2474" s="115"/>
      <c r="QCH2474" s="115"/>
      <c r="QCI2474" s="115"/>
      <c r="QCJ2474" s="115"/>
      <c r="QCK2474" s="115"/>
      <c r="QCL2474" s="115"/>
      <c r="QCM2474" s="115"/>
      <c r="QCN2474" s="115"/>
      <c r="QCO2474" s="115"/>
      <c r="QCP2474" s="115"/>
      <c r="QCQ2474" s="115"/>
      <c r="QCR2474" s="115"/>
      <c r="QCS2474" s="115"/>
      <c r="QCT2474" s="115"/>
      <c r="QCU2474" s="115"/>
      <c r="QCV2474" s="115"/>
      <c r="QCW2474" s="115"/>
      <c r="QCX2474" s="115"/>
      <c r="QCY2474" s="115"/>
      <c r="QCZ2474" s="115"/>
      <c r="QDA2474" s="115"/>
      <c r="QDB2474" s="115"/>
      <c r="QDC2474" s="115"/>
      <c r="QDD2474" s="115"/>
      <c r="QDE2474" s="115"/>
      <c r="QDF2474" s="115"/>
      <c r="QDG2474" s="115"/>
      <c r="QDH2474" s="115"/>
      <c r="QDI2474" s="115"/>
      <c r="QDJ2474" s="115"/>
      <c r="QDK2474" s="115"/>
      <c r="QDL2474" s="115"/>
      <c r="QDM2474" s="115"/>
      <c r="QDN2474" s="115"/>
      <c r="QDO2474" s="115"/>
      <c r="QDP2474" s="115"/>
      <c r="QDQ2474" s="115"/>
      <c r="QDR2474" s="115"/>
      <c r="QDS2474" s="115"/>
      <c r="QDT2474" s="115"/>
      <c r="QDU2474" s="115"/>
      <c r="QDV2474" s="115"/>
      <c r="QDW2474" s="115"/>
      <c r="QDX2474" s="115"/>
      <c r="QDY2474" s="115"/>
      <c r="QDZ2474" s="115"/>
      <c r="QEA2474" s="115"/>
      <c r="QEB2474" s="115"/>
      <c r="QEC2474" s="115"/>
      <c r="QED2474" s="115"/>
      <c r="QEE2474" s="115"/>
      <c r="QEF2474" s="115"/>
      <c r="QEG2474" s="115"/>
      <c r="QEH2474" s="115"/>
      <c r="QEI2474" s="115"/>
      <c r="QEJ2474" s="115"/>
      <c r="QEK2474" s="115"/>
      <c r="QEL2474" s="115"/>
      <c r="QEM2474" s="115"/>
      <c r="QEN2474" s="115"/>
      <c r="QEO2474" s="115"/>
      <c r="QEP2474" s="115"/>
      <c r="QEQ2474" s="115"/>
      <c r="QER2474" s="115"/>
      <c r="QES2474" s="115"/>
      <c r="QET2474" s="115"/>
      <c r="QEU2474" s="115"/>
      <c r="QEV2474" s="115"/>
      <c r="QEW2474" s="115"/>
      <c r="QEX2474" s="115"/>
      <c r="QEY2474" s="115"/>
      <c r="QEZ2474" s="115"/>
      <c r="QFA2474" s="115"/>
      <c r="QFB2474" s="115"/>
      <c r="QFC2474" s="115"/>
      <c r="QFD2474" s="115"/>
      <c r="QFE2474" s="115"/>
      <c r="QFF2474" s="115"/>
      <c r="QFG2474" s="115"/>
      <c r="QFH2474" s="115"/>
      <c r="QFI2474" s="115"/>
      <c r="QFJ2474" s="115"/>
      <c r="QFK2474" s="115"/>
      <c r="QFL2474" s="115"/>
      <c r="QFM2474" s="115"/>
      <c r="QFN2474" s="115"/>
      <c r="QFO2474" s="115"/>
      <c r="QFP2474" s="115"/>
      <c r="QFQ2474" s="115"/>
      <c r="QFR2474" s="115"/>
      <c r="QFS2474" s="115"/>
      <c r="QFT2474" s="115"/>
      <c r="QFU2474" s="115"/>
      <c r="QFV2474" s="115"/>
      <c r="QFW2474" s="115"/>
      <c r="QFX2474" s="115"/>
      <c r="QFY2474" s="115"/>
      <c r="QFZ2474" s="115"/>
      <c r="QGA2474" s="115"/>
      <c r="QGB2474" s="115"/>
      <c r="QGC2474" s="115"/>
      <c r="QGD2474" s="115"/>
      <c r="QGE2474" s="115"/>
      <c r="QGF2474" s="115"/>
      <c r="QGG2474" s="115"/>
      <c r="QGH2474" s="115"/>
      <c r="QGI2474" s="115"/>
      <c r="QGJ2474" s="115"/>
      <c r="QGK2474" s="115"/>
      <c r="QGL2474" s="115"/>
      <c r="QGM2474" s="115"/>
      <c r="QGN2474" s="115"/>
      <c r="QGO2474" s="115"/>
      <c r="QGP2474" s="115"/>
      <c r="QGQ2474" s="115"/>
      <c r="QGR2474" s="115"/>
      <c r="QGS2474" s="115"/>
      <c r="QGT2474" s="115"/>
      <c r="QGU2474" s="115"/>
      <c r="QGV2474" s="115"/>
      <c r="QGW2474" s="115"/>
      <c r="QGX2474" s="115"/>
      <c r="QGY2474" s="115"/>
      <c r="QGZ2474" s="115"/>
      <c r="QHA2474" s="115"/>
      <c r="QHB2474" s="115"/>
      <c r="QHC2474" s="115"/>
      <c r="QHD2474" s="115"/>
      <c r="QHE2474" s="115"/>
      <c r="QHF2474" s="115"/>
      <c r="QHG2474" s="115"/>
      <c r="QHH2474" s="115"/>
      <c r="QHI2474" s="115"/>
      <c r="QHJ2474" s="115"/>
      <c r="QHK2474" s="115"/>
      <c r="QHL2474" s="115"/>
      <c r="QHM2474" s="115"/>
      <c r="QHN2474" s="115"/>
      <c r="QHO2474" s="115"/>
      <c r="QHP2474" s="115"/>
      <c r="QHQ2474" s="115"/>
      <c r="QHR2474" s="115"/>
      <c r="QHS2474" s="115"/>
      <c r="QHT2474" s="115"/>
      <c r="QHU2474" s="115"/>
      <c r="QHV2474" s="115"/>
      <c r="QHW2474" s="115"/>
      <c r="QHX2474" s="115"/>
      <c r="QHY2474" s="115"/>
      <c r="QHZ2474" s="115"/>
      <c r="QIA2474" s="115"/>
      <c r="QIB2474" s="115"/>
      <c r="QIC2474" s="115"/>
      <c r="QID2474" s="115"/>
      <c r="QIE2474" s="115"/>
      <c r="QIF2474" s="115"/>
      <c r="QIG2474" s="115"/>
      <c r="QIH2474" s="115"/>
      <c r="QII2474" s="115"/>
      <c r="QIJ2474" s="115"/>
      <c r="QIK2474" s="115"/>
      <c r="QIL2474" s="115"/>
      <c r="QIM2474" s="115"/>
      <c r="QIN2474" s="115"/>
      <c r="QIO2474" s="115"/>
      <c r="QIP2474" s="115"/>
      <c r="QIQ2474" s="115"/>
      <c r="QIR2474" s="115"/>
      <c r="QIS2474" s="115"/>
      <c r="QIT2474" s="115"/>
      <c r="QIU2474" s="115"/>
      <c r="QIV2474" s="115"/>
      <c r="QIW2474" s="115"/>
      <c r="QIX2474" s="115"/>
      <c r="QIY2474" s="115"/>
      <c r="QIZ2474" s="115"/>
      <c r="QJA2474" s="115"/>
      <c r="QJB2474" s="115"/>
      <c r="QJC2474" s="115"/>
      <c r="QJD2474" s="115"/>
      <c r="QJE2474" s="115"/>
      <c r="QJF2474" s="115"/>
      <c r="QJG2474" s="115"/>
      <c r="QJH2474" s="115"/>
      <c r="QJI2474" s="115"/>
      <c r="QJJ2474" s="115"/>
      <c r="QJK2474" s="115"/>
      <c r="QJL2474" s="115"/>
      <c r="QJM2474" s="115"/>
      <c r="QJN2474" s="115"/>
      <c r="QJO2474" s="115"/>
      <c r="QJP2474" s="115"/>
      <c r="QJQ2474" s="115"/>
      <c r="QJR2474" s="115"/>
      <c r="QJS2474" s="115"/>
      <c r="QJT2474" s="115"/>
      <c r="QJU2474" s="115"/>
      <c r="QJV2474" s="115"/>
      <c r="QJW2474" s="115"/>
      <c r="QJX2474" s="115"/>
      <c r="QJY2474" s="115"/>
      <c r="QJZ2474" s="115"/>
      <c r="QKA2474" s="115"/>
      <c r="QKB2474" s="115"/>
      <c r="QKC2474" s="115"/>
      <c r="QKD2474" s="115"/>
      <c r="QKE2474" s="115"/>
      <c r="QKF2474" s="115"/>
      <c r="QKG2474" s="115"/>
      <c r="QKH2474" s="115"/>
      <c r="QKI2474" s="115"/>
      <c r="QKJ2474" s="115"/>
      <c r="QKK2474" s="115"/>
      <c r="QKL2474" s="115"/>
      <c r="QKM2474" s="115"/>
      <c r="QKN2474" s="115"/>
      <c r="QKO2474" s="115"/>
      <c r="QKP2474" s="115"/>
      <c r="QKQ2474" s="115"/>
      <c r="QKR2474" s="115"/>
      <c r="QKS2474" s="115"/>
      <c r="QKT2474" s="115"/>
      <c r="QKU2474" s="115"/>
      <c r="QKV2474" s="115"/>
      <c r="QKW2474" s="115"/>
      <c r="QKX2474" s="115"/>
      <c r="QKY2474" s="115"/>
      <c r="QKZ2474" s="115"/>
      <c r="QLA2474" s="115"/>
      <c r="QLB2474" s="115"/>
      <c r="QLC2474" s="115"/>
      <c r="QLD2474" s="115"/>
      <c r="QLE2474" s="115"/>
      <c r="QLF2474" s="115"/>
      <c r="QLG2474" s="115"/>
      <c r="QLH2474" s="115"/>
      <c r="QLI2474" s="115"/>
      <c r="QLJ2474" s="115"/>
      <c r="QLK2474" s="115"/>
      <c r="QLL2474" s="115"/>
      <c r="QLM2474" s="115"/>
      <c r="QLN2474" s="115"/>
      <c r="QLO2474" s="115"/>
      <c r="QLP2474" s="115"/>
      <c r="QLQ2474" s="115"/>
      <c r="QLR2474" s="115"/>
      <c r="QLS2474" s="115"/>
      <c r="QLT2474" s="115"/>
      <c r="QLU2474" s="115"/>
      <c r="QLV2474" s="115"/>
      <c r="QLW2474" s="115"/>
      <c r="QLX2474" s="115"/>
      <c r="QLY2474" s="115"/>
      <c r="QLZ2474" s="115"/>
      <c r="QMA2474" s="115"/>
      <c r="QMB2474" s="115"/>
      <c r="QMC2474" s="115"/>
      <c r="QMD2474" s="115"/>
      <c r="QME2474" s="115"/>
      <c r="QMF2474" s="115"/>
      <c r="QMG2474" s="115"/>
      <c r="QMH2474" s="115"/>
      <c r="QMI2474" s="115"/>
      <c r="QMJ2474" s="115"/>
      <c r="QMK2474" s="115"/>
      <c r="QML2474" s="115"/>
      <c r="QMM2474" s="115"/>
      <c r="QMN2474" s="115"/>
      <c r="QMO2474" s="115"/>
      <c r="QMP2474" s="115"/>
      <c r="QMQ2474" s="115"/>
      <c r="QMR2474" s="115"/>
      <c r="QMS2474" s="115"/>
      <c r="QMT2474" s="115"/>
      <c r="QMU2474" s="115"/>
      <c r="QMV2474" s="115"/>
      <c r="QMW2474" s="115"/>
      <c r="QMX2474" s="115"/>
      <c r="QMY2474" s="115"/>
      <c r="QMZ2474" s="115"/>
      <c r="QNA2474" s="115"/>
      <c r="QNB2474" s="115"/>
      <c r="QNC2474" s="115"/>
      <c r="QND2474" s="115"/>
      <c r="QNE2474" s="115"/>
      <c r="QNF2474" s="115"/>
      <c r="QNG2474" s="115"/>
      <c r="QNH2474" s="115"/>
      <c r="QNI2474" s="115"/>
      <c r="QNJ2474" s="115"/>
      <c r="QNK2474" s="115"/>
      <c r="QNL2474" s="115"/>
      <c r="QNM2474" s="115"/>
      <c r="QNN2474" s="115"/>
      <c r="QNO2474" s="115"/>
      <c r="QNP2474" s="115"/>
      <c r="QNQ2474" s="115"/>
      <c r="QNR2474" s="115"/>
      <c r="QNS2474" s="115"/>
      <c r="QNT2474" s="115"/>
      <c r="QNU2474" s="115"/>
      <c r="QNV2474" s="115"/>
      <c r="QNW2474" s="115"/>
      <c r="QNX2474" s="115"/>
      <c r="QNY2474" s="115"/>
      <c r="QNZ2474" s="115"/>
      <c r="QOA2474" s="115"/>
      <c r="QOB2474" s="115"/>
      <c r="QOC2474" s="115"/>
      <c r="QOD2474" s="115"/>
      <c r="QOE2474" s="115"/>
      <c r="QOF2474" s="115"/>
      <c r="QOG2474" s="115"/>
      <c r="QOH2474" s="115"/>
      <c r="QOI2474" s="115"/>
      <c r="QOJ2474" s="115"/>
      <c r="QOK2474" s="115"/>
      <c r="QOL2474" s="115"/>
      <c r="QOM2474" s="115"/>
      <c r="QON2474" s="115"/>
      <c r="QOO2474" s="115"/>
      <c r="QOP2474" s="115"/>
      <c r="QOQ2474" s="115"/>
      <c r="QOR2474" s="115"/>
      <c r="QOS2474" s="115"/>
      <c r="QOT2474" s="115"/>
      <c r="QOU2474" s="115"/>
      <c r="QOV2474" s="115"/>
      <c r="QOW2474" s="115"/>
      <c r="QOX2474" s="115"/>
      <c r="QOY2474" s="115"/>
      <c r="QOZ2474" s="115"/>
      <c r="QPA2474" s="115"/>
      <c r="QPB2474" s="115"/>
      <c r="QPC2474" s="115"/>
      <c r="QPD2474" s="115"/>
      <c r="QPE2474" s="115"/>
      <c r="QPF2474" s="115"/>
      <c r="QPG2474" s="115"/>
      <c r="QPH2474" s="115"/>
      <c r="QPI2474" s="115"/>
      <c r="QPJ2474" s="115"/>
      <c r="QPK2474" s="115"/>
      <c r="QPL2474" s="115"/>
      <c r="QPM2474" s="115"/>
      <c r="QPN2474" s="115"/>
      <c r="QPO2474" s="115"/>
      <c r="QPP2474" s="115"/>
      <c r="QPQ2474" s="115"/>
      <c r="QPR2474" s="115"/>
      <c r="QPS2474" s="115"/>
      <c r="QPT2474" s="115"/>
      <c r="QPU2474" s="115"/>
      <c r="QPV2474" s="115"/>
      <c r="QPW2474" s="115"/>
      <c r="QPX2474" s="115"/>
      <c r="QPY2474" s="115"/>
      <c r="QPZ2474" s="115"/>
      <c r="QQA2474" s="115"/>
      <c r="QQB2474" s="115"/>
      <c r="QQC2474" s="115"/>
      <c r="QQD2474" s="115"/>
      <c r="QQE2474" s="115"/>
      <c r="QQF2474" s="115"/>
      <c r="QQG2474" s="115"/>
      <c r="QQH2474" s="115"/>
      <c r="QQI2474" s="115"/>
      <c r="QQJ2474" s="115"/>
      <c r="QQK2474" s="115"/>
      <c r="QQL2474" s="115"/>
      <c r="QQM2474" s="115"/>
      <c r="QQN2474" s="115"/>
      <c r="QQO2474" s="115"/>
      <c r="QQP2474" s="115"/>
      <c r="QQQ2474" s="115"/>
      <c r="QQR2474" s="115"/>
      <c r="QQS2474" s="115"/>
      <c r="QQT2474" s="115"/>
      <c r="QQU2474" s="115"/>
      <c r="QQV2474" s="115"/>
      <c r="QQW2474" s="115"/>
      <c r="QQX2474" s="115"/>
      <c r="QQY2474" s="115"/>
      <c r="QQZ2474" s="115"/>
      <c r="QRA2474" s="115"/>
      <c r="QRB2474" s="115"/>
      <c r="QRC2474" s="115"/>
      <c r="QRD2474" s="115"/>
      <c r="QRE2474" s="115"/>
      <c r="QRF2474" s="115"/>
      <c r="QRG2474" s="115"/>
      <c r="QRH2474" s="115"/>
      <c r="QRI2474" s="115"/>
      <c r="QRJ2474" s="115"/>
      <c r="QRK2474" s="115"/>
      <c r="QRL2474" s="115"/>
      <c r="QRM2474" s="115"/>
      <c r="QRN2474" s="115"/>
      <c r="QRO2474" s="115"/>
      <c r="QRP2474" s="115"/>
      <c r="QRQ2474" s="115"/>
      <c r="QRR2474" s="115"/>
      <c r="QRS2474" s="115"/>
      <c r="QRT2474" s="115"/>
      <c r="QRU2474" s="115"/>
      <c r="QRV2474" s="115"/>
      <c r="QRW2474" s="115"/>
      <c r="QRX2474" s="115"/>
      <c r="QRY2474" s="115"/>
      <c r="QRZ2474" s="115"/>
      <c r="QSA2474" s="115"/>
      <c r="QSB2474" s="115"/>
      <c r="QSC2474" s="115"/>
      <c r="QSD2474" s="115"/>
      <c r="QSE2474" s="115"/>
      <c r="QSF2474" s="115"/>
      <c r="QSG2474" s="115"/>
      <c r="QSH2474" s="115"/>
      <c r="QSI2474" s="115"/>
      <c r="QSJ2474" s="115"/>
      <c r="QSK2474" s="115"/>
      <c r="QSL2474" s="115"/>
      <c r="QSM2474" s="115"/>
      <c r="QSN2474" s="115"/>
      <c r="QSO2474" s="115"/>
      <c r="QSP2474" s="115"/>
      <c r="QSQ2474" s="115"/>
      <c r="QSR2474" s="115"/>
      <c r="QSS2474" s="115"/>
      <c r="QST2474" s="115"/>
      <c r="QSU2474" s="115"/>
      <c r="QSV2474" s="115"/>
      <c r="QSW2474" s="115"/>
      <c r="QSX2474" s="115"/>
      <c r="QSY2474" s="115"/>
      <c r="QSZ2474" s="115"/>
      <c r="QTA2474" s="115"/>
      <c r="QTB2474" s="115"/>
      <c r="QTC2474" s="115"/>
      <c r="QTD2474" s="115"/>
      <c r="QTE2474" s="115"/>
      <c r="QTF2474" s="115"/>
      <c r="QTG2474" s="115"/>
      <c r="QTH2474" s="115"/>
      <c r="QTI2474" s="115"/>
      <c r="QTJ2474" s="115"/>
      <c r="QTK2474" s="115"/>
      <c r="QTL2474" s="115"/>
      <c r="QTM2474" s="115"/>
      <c r="QTN2474" s="115"/>
      <c r="QTO2474" s="115"/>
      <c r="QTP2474" s="115"/>
      <c r="QTQ2474" s="115"/>
      <c r="QTR2474" s="115"/>
      <c r="QTS2474" s="115"/>
      <c r="QTT2474" s="115"/>
      <c r="QTU2474" s="115"/>
      <c r="QTV2474" s="115"/>
      <c r="QTW2474" s="115"/>
      <c r="QTX2474" s="115"/>
      <c r="QTY2474" s="115"/>
      <c r="QTZ2474" s="115"/>
      <c r="QUA2474" s="115"/>
      <c r="QUB2474" s="115"/>
      <c r="QUC2474" s="115"/>
      <c r="QUD2474" s="115"/>
      <c r="QUE2474" s="115"/>
      <c r="QUF2474" s="115"/>
      <c r="QUG2474" s="115"/>
      <c r="QUH2474" s="115"/>
      <c r="QUI2474" s="115"/>
      <c r="QUJ2474" s="115"/>
      <c r="QUK2474" s="115"/>
      <c r="QUL2474" s="115"/>
      <c r="QUM2474" s="115"/>
      <c r="QUN2474" s="115"/>
      <c r="QUO2474" s="115"/>
      <c r="QUP2474" s="115"/>
      <c r="QUQ2474" s="115"/>
      <c r="QUR2474" s="115"/>
      <c r="QUS2474" s="115"/>
      <c r="QUT2474" s="115"/>
      <c r="QUU2474" s="115"/>
      <c r="QUV2474" s="115"/>
      <c r="QUW2474" s="115"/>
      <c r="QUX2474" s="115"/>
      <c r="QUY2474" s="115"/>
      <c r="QUZ2474" s="115"/>
      <c r="QVA2474" s="115"/>
      <c r="QVB2474" s="115"/>
      <c r="QVC2474" s="115"/>
      <c r="QVD2474" s="115"/>
      <c r="QVE2474" s="115"/>
      <c r="QVF2474" s="115"/>
      <c r="QVG2474" s="115"/>
      <c r="QVH2474" s="115"/>
      <c r="QVI2474" s="115"/>
      <c r="QVJ2474" s="115"/>
      <c r="QVK2474" s="115"/>
      <c r="QVL2474" s="115"/>
      <c r="QVM2474" s="115"/>
      <c r="QVN2474" s="115"/>
      <c r="QVO2474" s="115"/>
      <c r="QVP2474" s="115"/>
      <c r="QVQ2474" s="115"/>
      <c r="QVR2474" s="115"/>
      <c r="QVS2474" s="115"/>
      <c r="QVT2474" s="115"/>
      <c r="QVU2474" s="115"/>
      <c r="QVV2474" s="115"/>
      <c r="QVW2474" s="115"/>
      <c r="QVX2474" s="115"/>
      <c r="QVY2474" s="115"/>
      <c r="QVZ2474" s="115"/>
      <c r="QWA2474" s="115"/>
      <c r="QWB2474" s="115"/>
      <c r="QWC2474" s="115"/>
      <c r="QWD2474" s="115"/>
      <c r="QWE2474" s="115"/>
      <c r="QWF2474" s="115"/>
      <c r="QWG2474" s="115"/>
      <c r="QWH2474" s="115"/>
      <c r="QWI2474" s="115"/>
      <c r="QWJ2474" s="115"/>
      <c r="QWK2474" s="115"/>
      <c r="QWL2474" s="115"/>
      <c r="QWM2474" s="115"/>
      <c r="QWN2474" s="115"/>
      <c r="QWO2474" s="115"/>
      <c r="QWP2474" s="115"/>
      <c r="QWQ2474" s="115"/>
      <c r="QWR2474" s="115"/>
      <c r="QWS2474" s="115"/>
      <c r="QWT2474" s="115"/>
      <c r="QWU2474" s="115"/>
      <c r="QWV2474" s="115"/>
      <c r="QWW2474" s="115"/>
      <c r="QWX2474" s="115"/>
      <c r="QWY2474" s="115"/>
      <c r="QWZ2474" s="115"/>
      <c r="QXA2474" s="115"/>
      <c r="QXB2474" s="115"/>
      <c r="QXC2474" s="115"/>
      <c r="QXD2474" s="115"/>
      <c r="QXE2474" s="115"/>
      <c r="QXF2474" s="115"/>
      <c r="QXG2474" s="115"/>
      <c r="QXH2474" s="115"/>
      <c r="QXI2474" s="115"/>
      <c r="QXJ2474" s="115"/>
      <c r="QXK2474" s="115"/>
      <c r="QXL2474" s="115"/>
      <c r="QXM2474" s="115"/>
      <c r="QXN2474" s="115"/>
      <c r="QXO2474" s="115"/>
      <c r="QXP2474" s="115"/>
      <c r="QXQ2474" s="115"/>
      <c r="QXR2474" s="115"/>
      <c r="QXS2474" s="115"/>
      <c r="QXT2474" s="115"/>
      <c r="QXU2474" s="115"/>
      <c r="QXV2474" s="115"/>
      <c r="QXW2474" s="115"/>
      <c r="QXX2474" s="115"/>
      <c r="QXY2474" s="115"/>
      <c r="QXZ2474" s="115"/>
      <c r="QYA2474" s="115"/>
      <c r="QYB2474" s="115"/>
      <c r="QYC2474" s="115"/>
      <c r="QYD2474" s="115"/>
      <c r="QYE2474" s="115"/>
      <c r="QYF2474" s="115"/>
      <c r="QYG2474" s="115"/>
      <c r="QYH2474" s="115"/>
      <c r="QYI2474" s="115"/>
      <c r="QYJ2474" s="115"/>
      <c r="QYK2474" s="115"/>
      <c r="QYL2474" s="115"/>
      <c r="QYM2474" s="115"/>
      <c r="QYN2474" s="115"/>
      <c r="QYO2474" s="115"/>
      <c r="QYP2474" s="115"/>
      <c r="QYQ2474" s="115"/>
      <c r="QYR2474" s="115"/>
      <c r="QYS2474" s="115"/>
      <c r="QYT2474" s="115"/>
      <c r="QYU2474" s="115"/>
      <c r="QYV2474" s="115"/>
      <c r="QYW2474" s="115"/>
      <c r="QYX2474" s="115"/>
      <c r="QYY2474" s="115"/>
      <c r="QYZ2474" s="115"/>
      <c r="QZA2474" s="115"/>
      <c r="QZB2474" s="115"/>
      <c r="QZC2474" s="115"/>
      <c r="QZD2474" s="115"/>
      <c r="QZE2474" s="115"/>
      <c r="QZF2474" s="115"/>
      <c r="QZG2474" s="115"/>
      <c r="QZH2474" s="115"/>
      <c r="QZI2474" s="115"/>
      <c r="QZJ2474" s="115"/>
      <c r="QZK2474" s="115"/>
      <c r="QZL2474" s="115"/>
      <c r="QZM2474" s="115"/>
      <c r="QZN2474" s="115"/>
      <c r="QZO2474" s="115"/>
      <c r="QZP2474" s="115"/>
      <c r="QZQ2474" s="115"/>
      <c r="QZR2474" s="115"/>
      <c r="QZS2474" s="115"/>
      <c r="QZT2474" s="115"/>
      <c r="QZU2474" s="115"/>
      <c r="QZV2474" s="115"/>
      <c r="QZW2474" s="115"/>
      <c r="QZX2474" s="115"/>
      <c r="QZY2474" s="115"/>
      <c r="QZZ2474" s="115"/>
      <c r="RAA2474" s="115"/>
      <c r="RAB2474" s="115"/>
      <c r="RAC2474" s="115"/>
      <c r="RAD2474" s="115"/>
      <c r="RAE2474" s="115"/>
      <c r="RAF2474" s="115"/>
      <c r="RAG2474" s="115"/>
      <c r="RAH2474" s="115"/>
      <c r="RAI2474" s="115"/>
      <c r="RAJ2474" s="115"/>
      <c r="RAK2474" s="115"/>
      <c r="RAL2474" s="115"/>
      <c r="RAM2474" s="115"/>
      <c r="RAN2474" s="115"/>
      <c r="RAO2474" s="115"/>
      <c r="RAP2474" s="115"/>
      <c r="RAQ2474" s="115"/>
      <c r="RAR2474" s="115"/>
      <c r="RAS2474" s="115"/>
      <c r="RAT2474" s="115"/>
      <c r="RAU2474" s="115"/>
      <c r="RAV2474" s="115"/>
      <c r="RAW2474" s="115"/>
      <c r="RAX2474" s="115"/>
      <c r="RAY2474" s="115"/>
      <c r="RAZ2474" s="115"/>
      <c r="RBA2474" s="115"/>
      <c r="RBB2474" s="115"/>
      <c r="RBC2474" s="115"/>
      <c r="RBD2474" s="115"/>
      <c r="RBE2474" s="115"/>
      <c r="RBF2474" s="115"/>
      <c r="RBG2474" s="115"/>
      <c r="RBH2474" s="115"/>
      <c r="RBI2474" s="115"/>
      <c r="RBJ2474" s="115"/>
      <c r="RBK2474" s="115"/>
      <c r="RBL2474" s="115"/>
      <c r="RBM2474" s="115"/>
      <c r="RBN2474" s="115"/>
      <c r="RBO2474" s="115"/>
      <c r="RBP2474" s="115"/>
      <c r="RBQ2474" s="115"/>
      <c r="RBR2474" s="115"/>
      <c r="RBS2474" s="115"/>
      <c r="RBT2474" s="115"/>
      <c r="RBU2474" s="115"/>
      <c r="RBV2474" s="115"/>
      <c r="RBW2474" s="115"/>
      <c r="RBX2474" s="115"/>
      <c r="RBY2474" s="115"/>
      <c r="RBZ2474" s="115"/>
      <c r="RCA2474" s="115"/>
      <c r="RCB2474" s="115"/>
      <c r="RCC2474" s="115"/>
      <c r="RCD2474" s="115"/>
      <c r="RCE2474" s="115"/>
      <c r="RCF2474" s="115"/>
      <c r="RCG2474" s="115"/>
      <c r="RCH2474" s="115"/>
      <c r="RCI2474" s="115"/>
      <c r="RCJ2474" s="115"/>
      <c r="RCK2474" s="115"/>
      <c r="RCL2474" s="115"/>
      <c r="RCM2474" s="115"/>
      <c r="RCN2474" s="115"/>
      <c r="RCO2474" s="115"/>
      <c r="RCP2474" s="115"/>
      <c r="RCQ2474" s="115"/>
      <c r="RCR2474" s="115"/>
      <c r="RCS2474" s="115"/>
      <c r="RCT2474" s="115"/>
      <c r="RCU2474" s="115"/>
      <c r="RCV2474" s="115"/>
      <c r="RCW2474" s="115"/>
      <c r="RCX2474" s="115"/>
      <c r="RCY2474" s="115"/>
      <c r="RCZ2474" s="115"/>
      <c r="RDA2474" s="115"/>
      <c r="RDB2474" s="115"/>
      <c r="RDC2474" s="115"/>
      <c r="RDD2474" s="115"/>
      <c r="RDE2474" s="115"/>
      <c r="RDF2474" s="115"/>
      <c r="RDG2474" s="115"/>
      <c r="RDH2474" s="115"/>
      <c r="RDI2474" s="115"/>
      <c r="RDJ2474" s="115"/>
      <c r="RDK2474" s="115"/>
      <c r="RDL2474" s="115"/>
      <c r="RDM2474" s="115"/>
      <c r="RDN2474" s="115"/>
      <c r="RDO2474" s="115"/>
      <c r="RDP2474" s="115"/>
      <c r="RDQ2474" s="115"/>
      <c r="RDR2474" s="115"/>
      <c r="RDS2474" s="115"/>
      <c r="RDT2474" s="115"/>
      <c r="RDU2474" s="115"/>
      <c r="RDV2474" s="115"/>
      <c r="RDW2474" s="115"/>
      <c r="RDX2474" s="115"/>
      <c r="RDY2474" s="115"/>
      <c r="RDZ2474" s="115"/>
      <c r="REA2474" s="115"/>
      <c r="REB2474" s="115"/>
      <c r="REC2474" s="115"/>
      <c r="RED2474" s="115"/>
      <c r="REE2474" s="115"/>
      <c r="REF2474" s="115"/>
      <c r="REG2474" s="115"/>
      <c r="REH2474" s="115"/>
      <c r="REI2474" s="115"/>
      <c r="REJ2474" s="115"/>
      <c r="REK2474" s="115"/>
      <c r="REL2474" s="115"/>
      <c r="REM2474" s="115"/>
      <c r="REN2474" s="115"/>
      <c r="REO2474" s="115"/>
      <c r="REP2474" s="115"/>
      <c r="REQ2474" s="115"/>
      <c r="RER2474" s="115"/>
      <c r="RES2474" s="115"/>
      <c r="RET2474" s="115"/>
      <c r="REU2474" s="115"/>
      <c r="REV2474" s="115"/>
      <c r="REW2474" s="115"/>
      <c r="REX2474" s="115"/>
      <c r="REY2474" s="115"/>
      <c r="REZ2474" s="115"/>
      <c r="RFA2474" s="115"/>
      <c r="RFB2474" s="115"/>
      <c r="RFC2474" s="115"/>
      <c r="RFD2474" s="115"/>
      <c r="RFE2474" s="115"/>
      <c r="RFF2474" s="115"/>
      <c r="RFG2474" s="115"/>
      <c r="RFH2474" s="115"/>
      <c r="RFI2474" s="115"/>
      <c r="RFJ2474" s="115"/>
      <c r="RFK2474" s="115"/>
      <c r="RFL2474" s="115"/>
      <c r="RFM2474" s="115"/>
      <c r="RFN2474" s="115"/>
      <c r="RFO2474" s="115"/>
      <c r="RFP2474" s="115"/>
      <c r="RFQ2474" s="115"/>
      <c r="RFR2474" s="115"/>
      <c r="RFS2474" s="115"/>
      <c r="RFT2474" s="115"/>
      <c r="RFU2474" s="115"/>
      <c r="RFV2474" s="115"/>
      <c r="RFW2474" s="115"/>
      <c r="RFX2474" s="115"/>
      <c r="RFY2474" s="115"/>
      <c r="RFZ2474" s="115"/>
      <c r="RGA2474" s="115"/>
      <c r="RGB2474" s="115"/>
      <c r="RGC2474" s="115"/>
      <c r="RGD2474" s="115"/>
      <c r="RGE2474" s="115"/>
      <c r="RGF2474" s="115"/>
      <c r="RGG2474" s="115"/>
      <c r="RGH2474" s="115"/>
      <c r="RGI2474" s="115"/>
      <c r="RGJ2474" s="115"/>
      <c r="RGK2474" s="115"/>
      <c r="RGL2474" s="115"/>
      <c r="RGM2474" s="115"/>
      <c r="RGN2474" s="115"/>
      <c r="RGO2474" s="115"/>
      <c r="RGP2474" s="115"/>
      <c r="RGQ2474" s="115"/>
      <c r="RGR2474" s="115"/>
      <c r="RGS2474" s="115"/>
      <c r="RGT2474" s="115"/>
      <c r="RGU2474" s="115"/>
      <c r="RGV2474" s="115"/>
      <c r="RGW2474" s="115"/>
      <c r="RGX2474" s="115"/>
      <c r="RGY2474" s="115"/>
      <c r="RGZ2474" s="115"/>
      <c r="RHA2474" s="115"/>
      <c r="RHB2474" s="115"/>
      <c r="RHC2474" s="115"/>
      <c r="RHD2474" s="115"/>
      <c r="RHE2474" s="115"/>
      <c r="RHF2474" s="115"/>
      <c r="RHG2474" s="115"/>
      <c r="RHH2474" s="115"/>
      <c r="RHI2474" s="115"/>
      <c r="RHJ2474" s="115"/>
      <c r="RHK2474" s="115"/>
      <c r="RHL2474" s="115"/>
      <c r="RHM2474" s="115"/>
      <c r="RHN2474" s="115"/>
      <c r="RHO2474" s="115"/>
      <c r="RHP2474" s="115"/>
      <c r="RHQ2474" s="115"/>
      <c r="RHR2474" s="115"/>
      <c r="RHS2474" s="115"/>
      <c r="RHT2474" s="115"/>
      <c r="RHU2474" s="115"/>
      <c r="RHV2474" s="115"/>
      <c r="RHW2474" s="115"/>
      <c r="RHX2474" s="115"/>
      <c r="RHY2474" s="115"/>
      <c r="RHZ2474" s="115"/>
      <c r="RIA2474" s="115"/>
      <c r="RIB2474" s="115"/>
      <c r="RIC2474" s="115"/>
      <c r="RID2474" s="115"/>
      <c r="RIE2474" s="115"/>
      <c r="RIF2474" s="115"/>
      <c r="RIG2474" s="115"/>
      <c r="RIH2474" s="115"/>
      <c r="RII2474" s="115"/>
      <c r="RIJ2474" s="115"/>
      <c r="RIK2474" s="115"/>
      <c r="RIL2474" s="115"/>
      <c r="RIM2474" s="115"/>
      <c r="RIN2474" s="115"/>
      <c r="RIO2474" s="115"/>
      <c r="RIP2474" s="115"/>
      <c r="RIQ2474" s="115"/>
      <c r="RIR2474" s="115"/>
      <c r="RIS2474" s="115"/>
      <c r="RIT2474" s="115"/>
      <c r="RIU2474" s="115"/>
      <c r="RIV2474" s="115"/>
      <c r="RIW2474" s="115"/>
      <c r="RIX2474" s="115"/>
      <c r="RIY2474" s="115"/>
      <c r="RIZ2474" s="115"/>
      <c r="RJA2474" s="115"/>
      <c r="RJB2474" s="115"/>
      <c r="RJC2474" s="115"/>
      <c r="RJD2474" s="115"/>
      <c r="RJE2474" s="115"/>
      <c r="RJF2474" s="115"/>
      <c r="RJG2474" s="115"/>
      <c r="RJH2474" s="115"/>
      <c r="RJI2474" s="115"/>
      <c r="RJJ2474" s="115"/>
      <c r="RJK2474" s="115"/>
      <c r="RJL2474" s="115"/>
      <c r="RJM2474" s="115"/>
      <c r="RJN2474" s="115"/>
      <c r="RJO2474" s="115"/>
      <c r="RJP2474" s="115"/>
      <c r="RJQ2474" s="115"/>
      <c r="RJR2474" s="115"/>
      <c r="RJS2474" s="115"/>
      <c r="RJT2474" s="115"/>
      <c r="RJU2474" s="115"/>
      <c r="RJV2474" s="115"/>
      <c r="RJW2474" s="115"/>
      <c r="RJX2474" s="115"/>
      <c r="RJY2474" s="115"/>
      <c r="RJZ2474" s="115"/>
      <c r="RKA2474" s="115"/>
      <c r="RKB2474" s="115"/>
      <c r="RKC2474" s="115"/>
      <c r="RKD2474" s="115"/>
      <c r="RKE2474" s="115"/>
      <c r="RKF2474" s="115"/>
      <c r="RKG2474" s="115"/>
      <c r="RKH2474" s="115"/>
      <c r="RKI2474" s="115"/>
      <c r="RKJ2474" s="115"/>
      <c r="RKK2474" s="115"/>
      <c r="RKL2474" s="115"/>
      <c r="RKM2474" s="115"/>
      <c r="RKN2474" s="115"/>
      <c r="RKO2474" s="115"/>
      <c r="RKP2474" s="115"/>
      <c r="RKQ2474" s="115"/>
      <c r="RKR2474" s="115"/>
      <c r="RKS2474" s="115"/>
      <c r="RKT2474" s="115"/>
      <c r="RKU2474" s="115"/>
      <c r="RKV2474" s="115"/>
      <c r="RKW2474" s="115"/>
      <c r="RKX2474" s="115"/>
      <c r="RKY2474" s="115"/>
      <c r="RKZ2474" s="115"/>
      <c r="RLA2474" s="115"/>
      <c r="RLB2474" s="115"/>
      <c r="RLC2474" s="115"/>
      <c r="RLD2474" s="115"/>
      <c r="RLE2474" s="115"/>
      <c r="RLF2474" s="115"/>
      <c r="RLG2474" s="115"/>
      <c r="RLH2474" s="115"/>
      <c r="RLI2474" s="115"/>
      <c r="RLJ2474" s="115"/>
      <c r="RLK2474" s="115"/>
      <c r="RLL2474" s="115"/>
      <c r="RLM2474" s="115"/>
      <c r="RLN2474" s="115"/>
      <c r="RLO2474" s="115"/>
      <c r="RLP2474" s="115"/>
      <c r="RLQ2474" s="115"/>
      <c r="RLR2474" s="115"/>
      <c r="RLS2474" s="115"/>
      <c r="RLT2474" s="115"/>
      <c r="RLU2474" s="115"/>
      <c r="RLV2474" s="115"/>
      <c r="RLW2474" s="115"/>
      <c r="RLX2474" s="115"/>
      <c r="RLY2474" s="115"/>
      <c r="RLZ2474" s="115"/>
      <c r="RMA2474" s="115"/>
      <c r="RMB2474" s="115"/>
      <c r="RMC2474" s="115"/>
      <c r="RMD2474" s="115"/>
      <c r="RME2474" s="115"/>
      <c r="RMF2474" s="115"/>
      <c r="RMG2474" s="115"/>
      <c r="RMH2474" s="115"/>
      <c r="RMI2474" s="115"/>
      <c r="RMJ2474" s="115"/>
      <c r="RMK2474" s="115"/>
      <c r="RML2474" s="115"/>
      <c r="RMM2474" s="115"/>
      <c r="RMN2474" s="115"/>
      <c r="RMO2474" s="115"/>
      <c r="RMP2474" s="115"/>
      <c r="RMQ2474" s="115"/>
      <c r="RMR2474" s="115"/>
      <c r="RMS2474" s="115"/>
      <c r="RMT2474" s="115"/>
      <c r="RMU2474" s="115"/>
      <c r="RMV2474" s="115"/>
      <c r="RMW2474" s="115"/>
      <c r="RMX2474" s="115"/>
      <c r="RMY2474" s="115"/>
      <c r="RMZ2474" s="115"/>
      <c r="RNA2474" s="115"/>
      <c r="RNB2474" s="115"/>
      <c r="RNC2474" s="115"/>
      <c r="RND2474" s="115"/>
      <c r="RNE2474" s="115"/>
      <c r="RNF2474" s="115"/>
      <c r="RNG2474" s="115"/>
      <c r="RNH2474" s="115"/>
      <c r="RNI2474" s="115"/>
      <c r="RNJ2474" s="115"/>
      <c r="RNK2474" s="115"/>
      <c r="RNL2474" s="115"/>
      <c r="RNM2474" s="115"/>
      <c r="RNN2474" s="115"/>
      <c r="RNO2474" s="115"/>
      <c r="RNP2474" s="115"/>
      <c r="RNQ2474" s="115"/>
      <c r="RNR2474" s="115"/>
      <c r="RNS2474" s="115"/>
      <c r="RNT2474" s="115"/>
      <c r="RNU2474" s="115"/>
      <c r="RNV2474" s="115"/>
      <c r="RNW2474" s="115"/>
      <c r="RNX2474" s="115"/>
      <c r="RNY2474" s="115"/>
      <c r="RNZ2474" s="115"/>
      <c r="ROA2474" s="115"/>
      <c r="ROB2474" s="115"/>
      <c r="ROC2474" s="115"/>
      <c r="ROD2474" s="115"/>
      <c r="ROE2474" s="115"/>
      <c r="ROF2474" s="115"/>
      <c r="ROG2474" s="115"/>
      <c r="ROH2474" s="115"/>
      <c r="ROI2474" s="115"/>
      <c r="ROJ2474" s="115"/>
      <c r="ROK2474" s="115"/>
      <c r="ROL2474" s="115"/>
      <c r="ROM2474" s="115"/>
      <c r="RON2474" s="115"/>
      <c r="ROO2474" s="115"/>
      <c r="ROP2474" s="115"/>
      <c r="ROQ2474" s="115"/>
      <c r="ROR2474" s="115"/>
      <c r="ROS2474" s="115"/>
      <c r="ROT2474" s="115"/>
      <c r="ROU2474" s="115"/>
      <c r="ROV2474" s="115"/>
      <c r="ROW2474" s="115"/>
      <c r="ROX2474" s="115"/>
      <c r="ROY2474" s="115"/>
      <c r="ROZ2474" s="115"/>
      <c r="RPA2474" s="115"/>
      <c r="RPB2474" s="115"/>
      <c r="RPC2474" s="115"/>
      <c r="RPD2474" s="115"/>
      <c r="RPE2474" s="115"/>
      <c r="RPF2474" s="115"/>
      <c r="RPG2474" s="115"/>
      <c r="RPH2474" s="115"/>
      <c r="RPI2474" s="115"/>
      <c r="RPJ2474" s="115"/>
      <c r="RPK2474" s="115"/>
      <c r="RPL2474" s="115"/>
      <c r="RPM2474" s="115"/>
      <c r="RPN2474" s="115"/>
      <c r="RPO2474" s="115"/>
      <c r="RPP2474" s="115"/>
      <c r="RPQ2474" s="115"/>
      <c r="RPR2474" s="115"/>
      <c r="RPS2474" s="115"/>
      <c r="RPT2474" s="115"/>
      <c r="RPU2474" s="115"/>
      <c r="RPV2474" s="115"/>
      <c r="RPW2474" s="115"/>
      <c r="RPX2474" s="115"/>
      <c r="RPY2474" s="115"/>
      <c r="RPZ2474" s="115"/>
      <c r="RQA2474" s="115"/>
      <c r="RQB2474" s="115"/>
      <c r="RQC2474" s="115"/>
      <c r="RQD2474" s="115"/>
      <c r="RQE2474" s="115"/>
      <c r="RQF2474" s="115"/>
      <c r="RQG2474" s="115"/>
      <c r="RQH2474" s="115"/>
      <c r="RQI2474" s="115"/>
      <c r="RQJ2474" s="115"/>
      <c r="RQK2474" s="115"/>
      <c r="RQL2474" s="115"/>
      <c r="RQM2474" s="115"/>
      <c r="RQN2474" s="115"/>
      <c r="RQO2474" s="115"/>
      <c r="RQP2474" s="115"/>
      <c r="RQQ2474" s="115"/>
      <c r="RQR2474" s="115"/>
      <c r="RQS2474" s="115"/>
      <c r="RQT2474" s="115"/>
      <c r="RQU2474" s="115"/>
      <c r="RQV2474" s="115"/>
      <c r="RQW2474" s="115"/>
      <c r="RQX2474" s="115"/>
      <c r="RQY2474" s="115"/>
      <c r="RQZ2474" s="115"/>
      <c r="RRA2474" s="115"/>
      <c r="RRB2474" s="115"/>
      <c r="RRC2474" s="115"/>
      <c r="RRD2474" s="115"/>
      <c r="RRE2474" s="115"/>
      <c r="RRF2474" s="115"/>
      <c r="RRG2474" s="115"/>
      <c r="RRH2474" s="115"/>
      <c r="RRI2474" s="115"/>
      <c r="RRJ2474" s="115"/>
      <c r="RRK2474" s="115"/>
      <c r="RRL2474" s="115"/>
      <c r="RRM2474" s="115"/>
      <c r="RRN2474" s="115"/>
      <c r="RRO2474" s="115"/>
      <c r="RRP2474" s="115"/>
      <c r="RRQ2474" s="115"/>
      <c r="RRR2474" s="115"/>
      <c r="RRS2474" s="115"/>
      <c r="RRT2474" s="115"/>
      <c r="RRU2474" s="115"/>
      <c r="RRV2474" s="115"/>
      <c r="RRW2474" s="115"/>
      <c r="RRX2474" s="115"/>
      <c r="RRY2474" s="115"/>
      <c r="RRZ2474" s="115"/>
      <c r="RSA2474" s="115"/>
      <c r="RSB2474" s="115"/>
      <c r="RSC2474" s="115"/>
      <c r="RSD2474" s="115"/>
      <c r="RSE2474" s="115"/>
      <c r="RSF2474" s="115"/>
      <c r="RSG2474" s="115"/>
      <c r="RSH2474" s="115"/>
      <c r="RSI2474" s="115"/>
      <c r="RSJ2474" s="115"/>
      <c r="RSK2474" s="115"/>
      <c r="RSL2474" s="115"/>
      <c r="RSM2474" s="115"/>
      <c r="RSN2474" s="115"/>
      <c r="RSO2474" s="115"/>
      <c r="RSP2474" s="115"/>
      <c r="RSQ2474" s="115"/>
      <c r="RSR2474" s="115"/>
      <c r="RSS2474" s="115"/>
      <c r="RST2474" s="115"/>
      <c r="RSU2474" s="115"/>
      <c r="RSV2474" s="115"/>
      <c r="RSW2474" s="115"/>
      <c r="RSX2474" s="115"/>
      <c r="RSY2474" s="115"/>
      <c r="RSZ2474" s="115"/>
      <c r="RTA2474" s="115"/>
      <c r="RTB2474" s="115"/>
      <c r="RTC2474" s="115"/>
      <c r="RTD2474" s="115"/>
      <c r="RTE2474" s="115"/>
      <c r="RTF2474" s="115"/>
      <c r="RTG2474" s="115"/>
      <c r="RTH2474" s="115"/>
      <c r="RTI2474" s="115"/>
      <c r="RTJ2474" s="115"/>
      <c r="RTK2474" s="115"/>
      <c r="RTL2474" s="115"/>
      <c r="RTM2474" s="115"/>
      <c r="RTN2474" s="115"/>
      <c r="RTO2474" s="115"/>
      <c r="RTP2474" s="115"/>
      <c r="RTQ2474" s="115"/>
      <c r="RTR2474" s="115"/>
      <c r="RTS2474" s="115"/>
      <c r="RTT2474" s="115"/>
      <c r="RTU2474" s="115"/>
      <c r="RTV2474" s="115"/>
      <c r="RTW2474" s="115"/>
      <c r="RTX2474" s="115"/>
      <c r="RTY2474" s="115"/>
      <c r="RTZ2474" s="115"/>
      <c r="RUA2474" s="115"/>
      <c r="RUB2474" s="115"/>
      <c r="RUC2474" s="115"/>
      <c r="RUD2474" s="115"/>
      <c r="RUE2474" s="115"/>
      <c r="RUF2474" s="115"/>
      <c r="RUG2474" s="115"/>
      <c r="RUH2474" s="115"/>
      <c r="RUI2474" s="115"/>
      <c r="RUJ2474" s="115"/>
      <c r="RUK2474" s="115"/>
      <c r="RUL2474" s="115"/>
      <c r="RUM2474" s="115"/>
      <c r="RUN2474" s="115"/>
      <c r="RUO2474" s="115"/>
      <c r="RUP2474" s="115"/>
      <c r="RUQ2474" s="115"/>
      <c r="RUR2474" s="115"/>
      <c r="RUS2474" s="115"/>
      <c r="RUT2474" s="115"/>
      <c r="RUU2474" s="115"/>
      <c r="RUV2474" s="115"/>
      <c r="RUW2474" s="115"/>
      <c r="RUX2474" s="115"/>
      <c r="RUY2474" s="115"/>
      <c r="RUZ2474" s="115"/>
      <c r="RVA2474" s="115"/>
      <c r="RVB2474" s="115"/>
      <c r="RVC2474" s="115"/>
      <c r="RVD2474" s="115"/>
      <c r="RVE2474" s="115"/>
      <c r="RVF2474" s="115"/>
      <c r="RVG2474" s="115"/>
      <c r="RVH2474" s="115"/>
      <c r="RVI2474" s="115"/>
      <c r="RVJ2474" s="115"/>
      <c r="RVK2474" s="115"/>
      <c r="RVL2474" s="115"/>
      <c r="RVM2474" s="115"/>
      <c r="RVN2474" s="115"/>
      <c r="RVO2474" s="115"/>
      <c r="RVP2474" s="115"/>
      <c r="RVQ2474" s="115"/>
      <c r="RVR2474" s="115"/>
      <c r="RVS2474" s="115"/>
      <c r="RVT2474" s="115"/>
      <c r="RVU2474" s="115"/>
      <c r="RVV2474" s="115"/>
      <c r="RVW2474" s="115"/>
      <c r="RVX2474" s="115"/>
      <c r="RVY2474" s="115"/>
      <c r="RVZ2474" s="115"/>
      <c r="RWA2474" s="115"/>
      <c r="RWB2474" s="115"/>
      <c r="RWC2474" s="115"/>
      <c r="RWD2474" s="115"/>
      <c r="RWE2474" s="115"/>
      <c r="RWF2474" s="115"/>
      <c r="RWG2474" s="115"/>
      <c r="RWH2474" s="115"/>
      <c r="RWI2474" s="115"/>
      <c r="RWJ2474" s="115"/>
      <c r="RWK2474" s="115"/>
      <c r="RWL2474" s="115"/>
      <c r="RWM2474" s="115"/>
      <c r="RWN2474" s="115"/>
      <c r="RWO2474" s="115"/>
      <c r="RWP2474" s="115"/>
      <c r="RWQ2474" s="115"/>
      <c r="RWR2474" s="115"/>
      <c r="RWS2474" s="115"/>
      <c r="RWT2474" s="115"/>
      <c r="RWU2474" s="115"/>
      <c r="RWV2474" s="115"/>
      <c r="RWW2474" s="115"/>
      <c r="RWX2474" s="115"/>
      <c r="RWY2474" s="115"/>
      <c r="RWZ2474" s="115"/>
      <c r="RXA2474" s="115"/>
      <c r="RXB2474" s="115"/>
      <c r="RXC2474" s="115"/>
      <c r="RXD2474" s="115"/>
      <c r="RXE2474" s="115"/>
      <c r="RXF2474" s="115"/>
      <c r="RXG2474" s="115"/>
      <c r="RXH2474" s="115"/>
      <c r="RXI2474" s="115"/>
      <c r="RXJ2474" s="115"/>
      <c r="RXK2474" s="115"/>
      <c r="RXL2474" s="115"/>
      <c r="RXM2474" s="115"/>
      <c r="RXN2474" s="115"/>
      <c r="RXO2474" s="115"/>
      <c r="RXP2474" s="115"/>
      <c r="RXQ2474" s="115"/>
      <c r="RXR2474" s="115"/>
      <c r="RXS2474" s="115"/>
      <c r="RXT2474" s="115"/>
      <c r="RXU2474" s="115"/>
      <c r="RXV2474" s="115"/>
      <c r="RXW2474" s="115"/>
      <c r="RXX2474" s="115"/>
      <c r="RXY2474" s="115"/>
      <c r="RXZ2474" s="115"/>
      <c r="RYA2474" s="115"/>
      <c r="RYB2474" s="115"/>
      <c r="RYC2474" s="115"/>
      <c r="RYD2474" s="115"/>
      <c r="RYE2474" s="115"/>
      <c r="RYF2474" s="115"/>
      <c r="RYG2474" s="115"/>
      <c r="RYH2474" s="115"/>
      <c r="RYI2474" s="115"/>
      <c r="RYJ2474" s="115"/>
      <c r="RYK2474" s="115"/>
      <c r="RYL2474" s="115"/>
      <c r="RYM2474" s="115"/>
      <c r="RYN2474" s="115"/>
      <c r="RYO2474" s="115"/>
      <c r="RYP2474" s="115"/>
      <c r="RYQ2474" s="115"/>
      <c r="RYR2474" s="115"/>
      <c r="RYS2474" s="115"/>
      <c r="RYT2474" s="115"/>
      <c r="RYU2474" s="115"/>
      <c r="RYV2474" s="115"/>
      <c r="RYW2474" s="115"/>
      <c r="RYX2474" s="115"/>
      <c r="RYY2474" s="115"/>
      <c r="RYZ2474" s="115"/>
      <c r="RZA2474" s="115"/>
      <c r="RZB2474" s="115"/>
      <c r="RZC2474" s="115"/>
      <c r="RZD2474" s="115"/>
      <c r="RZE2474" s="115"/>
      <c r="RZF2474" s="115"/>
      <c r="RZG2474" s="115"/>
      <c r="RZH2474" s="115"/>
      <c r="RZI2474" s="115"/>
      <c r="RZJ2474" s="115"/>
      <c r="RZK2474" s="115"/>
      <c r="RZL2474" s="115"/>
      <c r="RZM2474" s="115"/>
      <c r="RZN2474" s="115"/>
      <c r="RZO2474" s="115"/>
      <c r="RZP2474" s="115"/>
      <c r="RZQ2474" s="115"/>
      <c r="RZR2474" s="115"/>
      <c r="RZS2474" s="115"/>
      <c r="RZT2474" s="115"/>
      <c r="RZU2474" s="115"/>
      <c r="RZV2474" s="115"/>
      <c r="RZW2474" s="115"/>
      <c r="RZX2474" s="115"/>
      <c r="RZY2474" s="115"/>
      <c r="RZZ2474" s="115"/>
      <c r="SAA2474" s="115"/>
      <c r="SAB2474" s="115"/>
      <c r="SAC2474" s="115"/>
      <c r="SAD2474" s="115"/>
      <c r="SAE2474" s="115"/>
      <c r="SAF2474" s="115"/>
      <c r="SAG2474" s="115"/>
      <c r="SAH2474" s="115"/>
      <c r="SAI2474" s="115"/>
      <c r="SAJ2474" s="115"/>
      <c r="SAK2474" s="115"/>
      <c r="SAL2474" s="115"/>
      <c r="SAM2474" s="115"/>
      <c r="SAN2474" s="115"/>
      <c r="SAO2474" s="115"/>
      <c r="SAP2474" s="115"/>
      <c r="SAQ2474" s="115"/>
      <c r="SAR2474" s="115"/>
      <c r="SAS2474" s="115"/>
      <c r="SAT2474" s="115"/>
      <c r="SAU2474" s="115"/>
      <c r="SAV2474" s="115"/>
      <c r="SAW2474" s="115"/>
      <c r="SAX2474" s="115"/>
      <c r="SAY2474" s="115"/>
      <c r="SAZ2474" s="115"/>
      <c r="SBA2474" s="115"/>
      <c r="SBB2474" s="115"/>
      <c r="SBC2474" s="115"/>
      <c r="SBD2474" s="115"/>
      <c r="SBE2474" s="115"/>
      <c r="SBF2474" s="115"/>
      <c r="SBG2474" s="115"/>
      <c r="SBH2474" s="115"/>
      <c r="SBI2474" s="115"/>
      <c r="SBJ2474" s="115"/>
      <c r="SBK2474" s="115"/>
      <c r="SBL2474" s="115"/>
      <c r="SBM2474" s="115"/>
      <c r="SBN2474" s="115"/>
      <c r="SBO2474" s="115"/>
      <c r="SBP2474" s="115"/>
      <c r="SBQ2474" s="115"/>
      <c r="SBR2474" s="115"/>
      <c r="SBS2474" s="115"/>
      <c r="SBT2474" s="115"/>
      <c r="SBU2474" s="115"/>
      <c r="SBV2474" s="115"/>
      <c r="SBW2474" s="115"/>
      <c r="SBX2474" s="115"/>
      <c r="SBY2474" s="115"/>
      <c r="SBZ2474" s="115"/>
      <c r="SCA2474" s="115"/>
      <c r="SCB2474" s="115"/>
      <c r="SCC2474" s="115"/>
      <c r="SCD2474" s="115"/>
      <c r="SCE2474" s="115"/>
      <c r="SCF2474" s="115"/>
      <c r="SCG2474" s="115"/>
      <c r="SCH2474" s="115"/>
      <c r="SCI2474" s="115"/>
      <c r="SCJ2474" s="115"/>
      <c r="SCK2474" s="115"/>
      <c r="SCL2474" s="115"/>
      <c r="SCM2474" s="115"/>
      <c r="SCN2474" s="115"/>
      <c r="SCO2474" s="115"/>
      <c r="SCP2474" s="115"/>
      <c r="SCQ2474" s="115"/>
      <c r="SCR2474" s="115"/>
      <c r="SCS2474" s="115"/>
      <c r="SCT2474" s="115"/>
      <c r="SCU2474" s="115"/>
      <c r="SCV2474" s="115"/>
      <c r="SCW2474" s="115"/>
      <c r="SCX2474" s="115"/>
      <c r="SCY2474" s="115"/>
      <c r="SCZ2474" s="115"/>
      <c r="SDA2474" s="115"/>
      <c r="SDB2474" s="115"/>
      <c r="SDC2474" s="115"/>
      <c r="SDD2474" s="115"/>
      <c r="SDE2474" s="115"/>
      <c r="SDF2474" s="115"/>
      <c r="SDG2474" s="115"/>
      <c r="SDH2474" s="115"/>
      <c r="SDI2474" s="115"/>
      <c r="SDJ2474" s="115"/>
      <c r="SDK2474" s="115"/>
      <c r="SDL2474" s="115"/>
      <c r="SDM2474" s="115"/>
      <c r="SDN2474" s="115"/>
      <c r="SDO2474" s="115"/>
      <c r="SDP2474" s="115"/>
      <c r="SDQ2474" s="115"/>
      <c r="SDR2474" s="115"/>
      <c r="SDS2474" s="115"/>
      <c r="SDT2474" s="115"/>
      <c r="SDU2474" s="115"/>
      <c r="SDV2474" s="115"/>
      <c r="SDW2474" s="115"/>
      <c r="SDX2474" s="115"/>
      <c r="SDY2474" s="115"/>
      <c r="SDZ2474" s="115"/>
      <c r="SEA2474" s="115"/>
      <c r="SEB2474" s="115"/>
      <c r="SEC2474" s="115"/>
      <c r="SED2474" s="115"/>
      <c r="SEE2474" s="115"/>
      <c r="SEF2474" s="115"/>
      <c r="SEG2474" s="115"/>
      <c r="SEH2474" s="115"/>
      <c r="SEI2474" s="115"/>
      <c r="SEJ2474" s="115"/>
      <c r="SEK2474" s="115"/>
      <c r="SEL2474" s="115"/>
      <c r="SEM2474" s="115"/>
      <c r="SEN2474" s="115"/>
      <c r="SEO2474" s="115"/>
      <c r="SEP2474" s="115"/>
      <c r="SEQ2474" s="115"/>
      <c r="SER2474" s="115"/>
      <c r="SES2474" s="115"/>
      <c r="SET2474" s="115"/>
      <c r="SEU2474" s="115"/>
      <c r="SEV2474" s="115"/>
      <c r="SEW2474" s="115"/>
      <c r="SEX2474" s="115"/>
      <c r="SEY2474" s="115"/>
      <c r="SEZ2474" s="115"/>
      <c r="SFA2474" s="115"/>
      <c r="SFB2474" s="115"/>
      <c r="SFC2474" s="115"/>
      <c r="SFD2474" s="115"/>
      <c r="SFE2474" s="115"/>
      <c r="SFF2474" s="115"/>
      <c r="SFG2474" s="115"/>
      <c r="SFH2474" s="115"/>
      <c r="SFI2474" s="115"/>
      <c r="SFJ2474" s="115"/>
      <c r="SFK2474" s="115"/>
      <c r="SFL2474" s="115"/>
      <c r="SFM2474" s="115"/>
      <c r="SFN2474" s="115"/>
      <c r="SFO2474" s="115"/>
      <c r="SFP2474" s="115"/>
      <c r="SFQ2474" s="115"/>
      <c r="SFR2474" s="115"/>
      <c r="SFS2474" s="115"/>
      <c r="SFT2474" s="115"/>
      <c r="SFU2474" s="115"/>
      <c r="SFV2474" s="115"/>
      <c r="SFW2474" s="115"/>
      <c r="SFX2474" s="115"/>
      <c r="SFY2474" s="115"/>
      <c r="SFZ2474" s="115"/>
      <c r="SGA2474" s="115"/>
      <c r="SGB2474" s="115"/>
      <c r="SGC2474" s="115"/>
      <c r="SGD2474" s="115"/>
      <c r="SGE2474" s="115"/>
      <c r="SGF2474" s="115"/>
      <c r="SGG2474" s="115"/>
      <c r="SGH2474" s="115"/>
      <c r="SGI2474" s="115"/>
      <c r="SGJ2474" s="115"/>
      <c r="SGK2474" s="115"/>
      <c r="SGL2474" s="115"/>
      <c r="SGM2474" s="115"/>
      <c r="SGN2474" s="115"/>
      <c r="SGO2474" s="115"/>
      <c r="SGP2474" s="115"/>
      <c r="SGQ2474" s="115"/>
      <c r="SGR2474" s="115"/>
      <c r="SGS2474" s="115"/>
      <c r="SGT2474" s="115"/>
      <c r="SGU2474" s="115"/>
      <c r="SGV2474" s="115"/>
      <c r="SGW2474" s="115"/>
      <c r="SGX2474" s="115"/>
      <c r="SGY2474" s="115"/>
      <c r="SGZ2474" s="115"/>
      <c r="SHA2474" s="115"/>
      <c r="SHB2474" s="115"/>
      <c r="SHC2474" s="115"/>
      <c r="SHD2474" s="115"/>
      <c r="SHE2474" s="115"/>
      <c r="SHF2474" s="115"/>
      <c r="SHG2474" s="115"/>
      <c r="SHH2474" s="115"/>
      <c r="SHI2474" s="115"/>
      <c r="SHJ2474" s="115"/>
      <c r="SHK2474" s="115"/>
      <c r="SHL2474" s="115"/>
      <c r="SHM2474" s="115"/>
      <c r="SHN2474" s="115"/>
      <c r="SHO2474" s="115"/>
      <c r="SHP2474" s="115"/>
      <c r="SHQ2474" s="115"/>
      <c r="SHR2474" s="115"/>
      <c r="SHS2474" s="115"/>
      <c r="SHT2474" s="115"/>
      <c r="SHU2474" s="115"/>
      <c r="SHV2474" s="115"/>
      <c r="SHW2474" s="115"/>
      <c r="SHX2474" s="115"/>
      <c r="SHY2474" s="115"/>
      <c r="SHZ2474" s="115"/>
      <c r="SIA2474" s="115"/>
      <c r="SIB2474" s="115"/>
      <c r="SIC2474" s="115"/>
      <c r="SID2474" s="115"/>
      <c r="SIE2474" s="115"/>
      <c r="SIF2474" s="115"/>
      <c r="SIG2474" s="115"/>
      <c r="SIH2474" s="115"/>
      <c r="SII2474" s="115"/>
      <c r="SIJ2474" s="115"/>
      <c r="SIK2474" s="115"/>
      <c r="SIL2474" s="115"/>
      <c r="SIM2474" s="115"/>
      <c r="SIN2474" s="115"/>
      <c r="SIO2474" s="115"/>
      <c r="SIP2474" s="115"/>
      <c r="SIQ2474" s="115"/>
      <c r="SIR2474" s="115"/>
      <c r="SIS2474" s="115"/>
      <c r="SIT2474" s="115"/>
      <c r="SIU2474" s="115"/>
      <c r="SIV2474" s="115"/>
      <c r="SIW2474" s="115"/>
      <c r="SIX2474" s="115"/>
      <c r="SIY2474" s="115"/>
      <c r="SIZ2474" s="115"/>
      <c r="SJA2474" s="115"/>
      <c r="SJB2474" s="115"/>
      <c r="SJC2474" s="115"/>
      <c r="SJD2474" s="115"/>
      <c r="SJE2474" s="115"/>
      <c r="SJF2474" s="115"/>
      <c r="SJG2474" s="115"/>
      <c r="SJH2474" s="115"/>
      <c r="SJI2474" s="115"/>
      <c r="SJJ2474" s="115"/>
      <c r="SJK2474" s="115"/>
      <c r="SJL2474" s="115"/>
      <c r="SJM2474" s="115"/>
      <c r="SJN2474" s="115"/>
      <c r="SJO2474" s="115"/>
      <c r="SJP2474" s="115"/>
      <c r="SJQ2474" s="115"/>
      <c r="SJR2474" s="115"/>
      <c r="SJS2474" s="115"/>
      <c r="SJT2474" s="115"/>
      <c r="SJU2474" s="115"/>
      <c r="SJV2474" s="115"/>
      <c r="SJW2474" s="115"/>
      <c r="SJX2474" s="115"/>
      <c r="SJY2474" s="115"/>
      <c r="SJZ2474" s="115"/>
      <c r="SKA2474" s="115"/>
      <c r="SKB2474" s="115"/>
      <c r="SKC2474" s="115"/>
      <c r="SKD2474" s="115"/>
      <c r="SKE2474" s="115"/>
      <c r="SKF2474" s="115"/>
      <c r="SKG2474" s="115"/>
      <c r="SKH2474" s="115"/>
      <c r="SKI2474" s="115"/>
      <c r="SKJ2474" s="115"/>
      <c r="SKK2474" s="115"/>
      <c r="SKL2474" s="115"/>
      <c r="SKM2474" s="115"/>
      <c r="SKN2474" s="115"/>
      <c r="SKO2474" s="115"/>
      <c r="SKP2474" s="115"/>
      <c r="SKQ2474" s="115"/>
      <c r="SKR2474" s="115"/>
      <c r="SKS2474" s="115"/>
      <c r="SKT2474" s="115"/>
      <c r="SKU2474" s="115"/>
      <c r="SKV2474" s="115"/>
      <c r="SKW2474" s="115"/>
      <c r="SKX2474" s="115"/>
      <c r="SKY2474" s="115"/>
      <c r="SKZ2474" s="115"/>
      <c r="SLA2474" s="115"/>
      <c r="SLB2474" s="115"/>
      <c r="SLC2474" s="115"/>
      <c r="SLD2474" s="115"/>
      <c r="SLE2474" s="115"/>
      <c r="SLF2474" s="115"/>
      <c r="SLG2474" s="115"/>
      <c r="SLH2474" s="115"/>
      <c r="SLI2474" s="115"/>
      <c r="SLJ2474" s="115"/>
      <c r="SLK2474" s="115"/>
      <c r="SLL2474" s="115"/>
      <c r="SLM2474" s="115"/>
      <c r="SLN2474" s="115"/>
      <c r="SLO2474" s="115"/>
      <c r="SLP2474" s="115"/>
      <c r="SLQ2474" s="115"/>
      <c r="SLR2474" s="115"/>
      <c r="SLS2474" s="115"/>
      <c r="SLT2474" s="115"/>
      <c r="SLU2474" s="115"/>
      <c r="SLV2474" s="115"/>
      <c r="SLW2474" s="115"/>
      <c r="SLX2474" s="115"/>
      <c r="SLY2474" s="115"/>
      <c r="SLZ2474" s="115"/>
      <c r="SMA2474" s="115"/>
      <c r="SMB2474" s="115"/>
      <c r="SMC2474" s="115"/>
      <c r="SMD2474" s="115"/>
      <c r="SME2474" s="115"/>
      <c r="SMF2474" s="115"/>
      <c r="SMG2474" s="115"/>
      <c r="SMH2474" s="115"/>
      <c r="SMI2474" s="115"/>
      <c r="SMJ2474" s="115"/>
      <c r="SMK2474" s="115"/>
      <c r="SML2474" s="115"/>
      <c r="SMM2474" s="115"/>
      <c r="SMN2474" s="115"/>
      <c r="SMO2474" s="115"/>
      <c r="SMP2474" s="115"/>
      <c r="SMQ2474" s="115"/>
      <c r="SMR2474" s="115"/>
      <c r="SMS2474" s="115"/>
      <c r="SMT2474" s="115"/>
      <c r="SMU2474" s="115"/>
      <c r="SMV2474" s="115"/>
      <c r="SMW2474" s="115"/>
      <c r="SMX2474" s="115"/>
      <c r="SMY2474" s="115"/>
      <c r="SMZ2474" s="115"/>
      <c r="SNA2474" s="115"/>
      <c r="SNB2474" s="115"/>
      <c r="SNC2474" s="115"/>
      <c r="SND2474" s="115"/>
      <c r="SNE2474" s="115"/>
      <c r="SNF2474" s="115"/>
      <c r="SNG2474" s="115"/>
      <c r="SNH2474" s="115"/>
      <c r="SNI2474" s="115"/>
      <c r="SNJ2474" s="115"/>
      <c r="SNK2474" s="115"/>
      <c r="SNL2474" s="115"/>
      <c r="SNM2474" s="115"/>
      <c r="SNN2474" s="115"/>
      <c r="SNO2474" s="115"/>
      <c r="SNP2474" s="115"/>
      <c r="SNQ2474" s="115"/>
      <c r="SNR2474" s="115"/>
      <c r="SNS2474" s="115"/>
      <c r="SNT2474" s="115"/>
      <c r="SNU2474" s="115"/>
      <c r="SNV2474" s="115"/>
      <c r="SNW2474" s="115"/>
      <c r="SNX2474" s="115"/>
      <c r="SNY2474" s="115"/>
      <c r="SNZ2474" s="115"/>
      <c r="SOA2474" s="115"/>
      <c r="SOB2474" s="115"/>
      <c r="SOC2474" s="115"/>
      <c r="SOD2474" s="115"/>
      <c r="SOE2474" s="115"/>
      <c r="SOF2474" s="115"/>
      <c r="SOG2474" s="115"/>
      <c r="SOH2474" s="115"/>
      <c r="SOI2474" s="115"/>
      <c r="SOJ2474" s="115"/>
      <c r="SOK2474" s="115"/>
      <c r="SOL2474" s="115"/>
      <c r="SOM2474" s="115"/>
      <c r="SON2474" s="115"/>
      <c r="SOO2474" s="115"/>
      <c r="SOP2474" s="115"/>
      <c r="SOQ2474" s="115"/>
      <c r="SOR2474" s="115"/>
      <c r="SOS2474" s="115"/>
      <c r="SOT2474" s="115"/>
      <c r="SOU2474" s="115"/>
      <c r="SOV2474" s="115"/>
      <c r="SOW2474" s="115"/>
      <c r="SOX2474" s="115"/>
      <c r="SOY2474" s="115"/>
      <c r="SOZ2474" s="115"/>
      <c r="SPA2474" s="115"/>
      <c r="SPB2474" s="115"/>
      <c r="SPC2474" s="115"/>
      <c r="SPD2474" s="115"/>
      <c r="SPE2474" s="115"/>
      <c r="SPF2474" s="115"/>
      <c r="SPG2474" s="115"/>
      <c r="SPH2474" s="115"/>
      <c r="SPI2474" s="115"/>
      <c r="SPJ2474" s="115"/>
      <c r="SPK2474" s="115"/>
      <c r="SPL2474" s="115"/>
      <c r="SPM2474" s="115"/>
      <c r="SPN2474" s="115"/>
      <c r="SPO2474" s="115"/>
      <c r="SPP2474" s="115"/>
      <c r="SPQ2474" s="115"/>
      <c r="SPR2474" s="115"/>
      <c r="SPS2474" s="115"/>
      <c r="SPT2474" s="115"/>
      <c r="SPU2474" s="115"/>
      <c r="SPV2474" s="115"/>
      <c r="SPW2474" s="115"/>
      <c r="SPX2474" s="115"/>
      <c r="SPY2474" s="115"/>
      <c r="SPZ2474" s="115"/>
      <c r="SQA2474" s="115"/>
      <c r="SQB2474" s="115"/>
      <c r="SQC2474" s="115"/>
      <c r="SQD2474" s="115"/>
      <c r="SQE2474" s="115"/>
      <c r="SQF2474" s="115"/>
      <c r="SQG2474" s="115"/>
      <c r="SQH2474" s="115"/>
      <c r="SQI2474" s="115"/>
      <c r="SQJ2474" s="115"/>
      <c r="SQK2474" s="115"/>
      <c r="SQL2474" s="115"/>
      <c r="SQM2474" s="115"/>
      <c r="SQN2474" s="115"/>
      <c r="SQO2474" s="115"/>
      <c r="SQP2474" s="115"/>
      <c r="SQQ2474" s="115"/>
      <c r="SQR2474" s="115"/>
      <c r="SQS2474" s="115"/>
      <c r="SQT2474" s="115"/>
      <c r="SQU2474" s="115"/>
      <c r="SQV2474" s="115"/>
      <c r="SQW2474" s="115"/>
      <c r="SQX2474" s="115"/>
      <c r="SQY2474" s="115"/>
      <c r="SQZ2474" s="115"/>
      <c r="SRA2474" s="115"/>
      <c r="SRB2474" s="115"/>
      <c r="SRC2474" s="115"/>
      <c r="SRD2474" s="115"/>
      <c r="SRE2474" s="115"/>
      <c r="SRF2474" s="115"/>
      <c r="SRG2474" s="115"/>
      <c r="SRH2474" s="115"/>
      <c r="SRI2474" s="115"/>
      <c r="SRJ2474" s="115"/>
      <c r="SRK2474" s="115"/>
      <c r="SRL2474" s="115"/>
      <c r="SRM2474" s="115"/>
      <c r="SRN2474" s="115"/>
      <c r="SRO2474" s="115"/>
      <c r="SRP2474" s="115"/>
      <c r="SRQ2474" s="115"/>
      <c r="SRR2474" s="115"/>
      <c r="SRS2474" s="115"/>
      <c r="SRT2474" s="115"/>
      <c r="SRU2474" s="115"/>
      <c r="SRV2474" s="115"/>
      <c r="SRW2474" s="115"/>
      <c r="SRX2474" s="115"/>
      <c r="SRY2474" s="115"/>
      <c r="SRZ2474" s="115"/>
      <c r="SSA2474" s="115"/>
      <c r="SSB2474" s="115"/>
      <c r="SSC2474" s="115"/>
      <c r="SSD2474" s="115"/>
      <c r="SSE2474" s="115"/>
      <c r="SSF2474" s="115"/>
      <c r="SSG2474" s="115"/>
      <c r="SSH2474" s="115"/>
      <c r="SSI2474" s="115"/>
      <c r="SSJ2474" s="115"/>
      <c r="SSK2474" s="115"/>
      <c r="SSL2474" s="115"/>
      <c r="SSM2474" s="115"/>
      <c r="SSN2474" s="115"/>
      <c r="SSO2474" s="115"/>
      <c r="SSP2474" s="115"/>
      <c r="SSQ2474" s="115"/>
      <c r="SSR2474" s="115"/>
      <c r="SSS2474" s="115"/>
      <c r="SST2474" s="115"/>
      <c r="SSU2474" s="115"/>
      <c r="SSV2474" s="115"/>
      <c r="SSW2474" s="115"/>
      <c r="SSX2474" s="115"/>
      <c r="SSY2474" s="115"/>
      <c r="SSZ2474" s="115"/>
      <c r="STA2474" s="115"/>
      <c r="STB2474" s="115"/>
      <c r="STC2474" s="115"/>
      <c r="STD2474" s="115"/>
      <c r="STE2474" s="115"/>
      <c r="STF2474" s="115"/>
      <c r="STG2474" s="115"/>
      <c r="STH2474" s="115"/>
      <c r="STI2474" s="115"/>
      <c r="STJ2474" s="115"/>
      <c r="STK2474" s="115"/>
      <c r="STL2474" s="115"/>
      <c r="STM2474" s="115"/>
      <c r="STN2474" s="115"/>
      <c r="STO2474" s="115"/>
      <c r="STP2474" s="115"/>
      <c r="STQ2474" s="115"/>
      <c r="STR2474" s="115"/>
      <c r="STS2474" s="115"/>
      <c r="STT2474" s="115"/>
      <c r="STU2474" s="115"/>
      <c r="STV2474" s="115"/>
      <c r="STW2474" s="115"/>
      <c r="STX2474" s="115"/>
      <c r="STY2474" s="115"/>
      <c r="STZ2474" s="115"/>
      <c r="SUA2474" s="115"/>
      <c r="SUB2474" s="115"/>
      <c r="SUC2474" s="115"/>
      <c r="SUD2474" s="115"/>
      <c r="SUE2474" s="115"/>
      <c r="SUF2474" s="115"/>
      <c r="SUG2474" s="115"/>
      <c r="SUH2474" s="115"/>
      <c r="SUI2474" s="115"/>
      <c r="SUJ2474" s="115"/>
      <c r="SUK2474" s="115"/>
      <c r="SUL2474" s="115"/>
      <c r="SUM2474" s="115"/>
      <c r="SUN2474" s="115"/>
      <c r="SUO2474" s="115"/>
      <c r="SUP2474" s="115"/>
      <c r="SUQ2474" s="115"/>
      <c r="SUR2474" s="115"/>
      <c r="SUS2474" s="115"/>
      <c r="SUT2474" s="115"/>
      <c r="SUU2474" s="115"/>
      <c r="SUV2474" s="115"/>
      <c r="SUW2474" s="115"/>
      <c r="SUX2474" s="115"/>
      <c r="SUY2474" s="115"/>
      <c r="SUZ2474" s="115"/>
      <c r="SVA2474" s="115"/>
      <c r="SVB2474" s="115"/>
      <c r="SVC2474" s="115"/>
      <c r="SVD2474" s="115"/>
      <c r="SVE2474" s="115"/>
      <c r="SVF2474" s="115"/>
      <c r="SVG2474" s="115"/>
      <c r="SVH2474" s="115"/>
      <c r="SVI2474" s="115"/>
      <c r="SVJ2474" s="115"/>
      <c r="SVK2474" s="115"/>
      <c r="SVL2474" s="115"/>
      <c r="SVM2474" s="115"/>
      <c r="SVN2474" s="115"/>
      <c r="SVO2474" s="115"/>
      <c r="SVP2474" s="115"/>
      <c r="SVQ2474" s="115"/>
      <c r="SVR2474" s="115"/>
      <c r="SVS2474" s="115"/>
      <c r="SVT2474" s="115"/>
      <c r="SVU2474" s="115"/>
      <c r="SVV2474" s="115"/>
      <c r="SVW2474" s="115"/>
      <c r="SVX2474" s="115"/>
      <c r="SVY2474" s="115"/>
      <c r="SVZ2474" s="115"/>
      <c r="SWA2474" s="115"/>
      <c r="SWB2474" s="115"/>
      <c r="SWC2474" s="115"/>
      <c r="SWD2474" s="115"/>
      <c r="SWE2474" s="115"/>
      <c r="SWF2474" s="115"/>
      <c r="SWG2474" s="115"/>
      <c r="SWH2474" s="115"/>
      <c r="SWI2474" s="115"/>
      <c r="SWJ2474" s="115"/>
      <c r="SWK2474" s="115"/>
      <c r="SWL2474" s="115"/>
      <c r="SWM2474" s="115"/>
      <c r="SWN2474" s="115"/>
      <c r="SWO2474" s="115"/>
      <c r="SWP2474" s="115"/>
      <c r="SWQ2474" s="115"/>
      <c r="SWR2474" s="115"/>
      <c r="SWS2474" s="115"/>
      <c r="SWT2474" s="115"/>
      <c r="SWU2474" s="115"/>
      <c r="SWV2474" s="115"/>
      <c r="SWW2474" s="115"/>
      <c r="SWX2474" s="115"/>
      <c r="SWY2474" s="115"/>
      <c r="SWZ2474" s="115"/>
      <c r="SXA2474" s="115"/>
      <c r="SXB2474" s="115"/>
      <c r="SXC2474" s="115"/>
      <c r="SXD2474" s="115"/>
      <c r="SXE2474" s="115"/>
      <c r="SXF2474" s="115"/>
      <c r="SXG2474" s="115"/>
      <c r="SXH2474" s="115"/>
      <c r="SXI2474" s="115"/>
      <c r="SXJ2474" s="115"/>
      <c r="SXK2474" s="115"/>
      <c r="SXL2474" s="115"/>
      <c r="SXM2474" s="115"/>
      <c r="SXN2474" s="115"/>
      <c r="SXO2474" s="115"/>
      <c r="SXP2474" s="115"/>
      <c r="SXQ2474" s="115"/>
      <c r="SXR2474" s="115"/>
      <c r="SXS2474" s="115"/>
      <c r="SXT2474" s="115"/>
      <c r="SXU2474" s="115"/>
      <c r="SXV2474" s="115"/>
      <c r="SXW2474" s="115"/>
      <c r="SXX2474" s="115"/>
      <c r="SXY2474" s="115"/>
      <c r="SXZ2474" s="115"/>
      <c r="SYA2474" s="115"/>
      <c r="SYB2474" s="115"/>
      <c r="SYC2474" s="115"/>
      <c r="SYD2474" s="115"/>
      <c r="SYE2474" s="115"/>
      <c r="SYF2474" s="115"/>
      <c r="SYG2474" s="115"/>
      <c r="SYH2474" s="115"/>
      <c r="SYI2474" s="115"/>
      <c r="SYJ2474" s="115"/>
      <c r="SYK2474" s="115"/>
      <c r="SYL2474" s="115"/>
      <c r="SYM2474" s="115"/>
      <c r="SYN2474" s="115"/>
      <c r="SYO2474" s="115"/>
      <c r="SYP2474" s="115"/>
      <c r="SYQ2474" s="115"/>
      <c r="SYR2474" s="115"/>
      <c r="SYS2474" s="115"/>
      <c r="SYT2474" s="115"/>
      <c r="SYU2474" s="115"/>
      <c r="SYV2474" s="115"/>
      <c r="SYW2474" s="115"/>
      <c r="SYX2474" s="115"/>
      <c r="SYY2474" s="115"/>
      <c r="SYZ2474" s="115"/>
      <c r="SZA2474" s="115"/>
      <c r="SZB2474" s="115"/>
      <c r="SZC2474" s="115"/>
      <c r="SZD2474" s="115"/>
      <c r="SZE2474" s="115"/>
      <c r="SZF2474" s="115"/>
      <c r="SZG2474" s="115"/>
      <c r="SZH2474" s="115"/>
      <c r="SZI2474" s="115"/>
      <c r="SZJ2474" s="115"/>
      <c r="SZK2474" s="115"/>
      <c r="SZL2474" s="115"/>
      <c r="SZM2474" s="115"/>
      <c r="SZN2474" s="115"/>
      <c r="SZO2474" s="115"/>
      <c r="SZP2474" s="115"/>
      <c r="SZQ2474" s="115"/>
      <c r="SZR2474" s="115"/>
      <c r="SZS2474" s="115"/>
      <c r="SZT2474" s="115"/>
      <c r="SZU2474" s="115"/>
      <c r="SZV2474" s="115"/>
      <c r="SZW2474" s="115"/>
      <c r="SZX2474" s="115"/>
      <c r="SZY2474" s="115"/>
      <c r="SZZ2474" s="115"/>
      <c r="TAA2474" s="115"/>
      <c r="TAB2474" s="115"/>
      <c r="TAC2474" s="115"/>
      <c r="TAD2474" s="115"/>
      <c r="TAE2474" s="115"/>
      <c r="TAF2474" s="115"/>
      <c r="TAG2474" s="115"/>
      <c r="TAH2474" s="115"/>
      <c r="TAI2474" s="115"/>
      <c r="TAJ2474" s="115"/>
      <c r="TAK2474" s="115"/>
      <c r="TAL2474" s="115"/>
      <c r="TAM2474" s="115"/>
      <c r="TAN2474" s="115"/>
      <c r="TAO2474" s="115"/>
      <c r="TAP2474" s="115"/>
      <c r="TAQ2474" s="115"/>
      <c r="TAR2474" s="115"/>
      <c r="TAS2474" s="115"/>
      <c r="TAT2474" s="115"/>
      <c r="TAU2474" s="115"/>
      <c r="TAV2474" s="115"/>
      <c r="TAW2474" s="115"/>
      <c r="TAX2474" s="115"/>
      <c r="TAY2474" s="115"/>
      <c r="TAZ2474" s="115"/>
      <c r="TBA2474" s="115"/>
      <c r="TBB2474" s="115"/>
      <c r="TBC2474" s="115"/>
      <c r="TBD2474" s="115"/>
      <c r="TBE2474" s="115"/>
      <c r="TBF2474" s="115"/>
      <c r="TBG2474" s="115"/>
      <c r="TBH2474" s="115"/>
      <c r="TBI2474" s="115"/>
      <c r="TBJ2474" s="115"/>
      <c r="TBK2474" s="115"/>
      <c r="TBL2474" s="115"/>
      <c r="TBM2474" s="115"/>
      <c r="TBN2474" s="115"/>
      <c r="TBO2474" s="115"/>
      <c r="TBP2474" s="115"/>
      <c r="TBQ2474" s="115"/>
      <c r="TBR2474" s="115"/>
      <c r="TBS2474" s="115"/>
      <c r="TBT2474" s="115"/>
      <c r="TBU2474" s="115"/>
      <c r="TBV2474" s="115"/>
      <c r="TBW2474" s="115"/>
      <c r="TBX2474" s="115"/>
      <c r="TBY2474" s="115"/>
      <c r="TBZ2474" s="115"/>
      <c r="TCA2474" s="115"/>
      <c r="TCB2474" s="115"/>
      <c r="TCC2474" s="115"/>
      <c r="TCD2474" s="115"/>
      <c r="TCE2474" s="115"/>
      <c r="TCF2474" s="115"/>
      <c r="TCG2474" s="115"/>
      <c r="TCH2474" s="115"/>
      <c r="TCI2474" s="115"/>
      <c r="TCJ2474" s="115"/>
      <c r="TCK2474" s="115"/>
      <c r="TCL2474" s="115"/>
      <c r="TCM2474" s="115"/>
      <c r="TCN2474" s="115"/>
      <c r="TCO2474" s="115"/>
      <c r="TCP2474" s="115"/>
      <c r="TCQ2474" s="115"/>
      <c r="TCR2474" s="115"/>
      <c r="TCS2474" s="115"/>
      <c r="TCT2474" s="115"/>
      <c r="TCU2474" s="115"/>
      <c r="TCV2474" s="115"/>
      <c r="TCW2474" s="115"/>
      <c r="TCX2474" s="115"/>
      <c r="TCY2474" s="115"/>
      <c r="TCZ2474" s="115"/>
      <c r="TDA2474" s="115"/>
      <c r="TDB2474" s="115"/>
      <c r="TDC2474" s="115"/>
      <c r="TDD2474" s="115"/>
      <c r="TDE2474" s="115"/>
      <c r="TDF2474" s="115"/>
      <c r="TDG2474" s="115"/>
      <c r="TDH2474" s="115"/>
      <c r="TDI2474" s="115"/>
      <c r="TDJ2474" s="115"/>
      <c r="TDK2474" s="115"/>
      <c r="TDL2474" s="115"/>
      <c r="TDM2474" s="115"/>
      <c r="TDN2474" s="115"/>
      <c r="TDO2474" s="115"/>
      <c r="TDP2474" s="115"/>
      <c r="TDQ2474" s="115"/>
      <c r="TDR2474" s="115"/>
      <c r="TDS2474" s="115"/>
      <c r="TDT2474" s="115"/>
      <c r="TDU2474" s="115"/>
      <c r="TDV2474" s="115"/>
      <c r="TDW2474" s="115"/>
      <c r="TDX2474" s="115"/>
      <c r="TDY2474" s="115"/>
      <c r="TDZ2474" s="115"/>
      <c r="TEA2474" s="115"/>
      <c r="TEB2474" s="115"/>
      <c r="TEC2474" s="115"/>
      <c r="TED2474" s="115"/>
      <c r="TEE2474" s="115"/>
      <c r="TEF2474" s="115"/>
      <c r="TEG2474" s="115"/>
      <c r="TEH2474" s="115"/>
      <c r="TEI2474" s="115"/>
      <c r="TEJ2474" s="115"/>
      <c r="TEK2474" s="115"/>
      <c r="TEL2474" s="115"/>
      <c r="TEM2474" s="115"/>
      <c r="TEN2474" s="115"/>
      <c r="TEO2474" s="115"/>
      <c r="TEP2474" s="115"/>
      <c r="TEQ2474" s="115"/>
      <c r="TER2474" s="115"/>
      <c r="TES2474" s="115"/>
      <c r="TET2474" s="115"/>
      <c r="TEU2474" s="115"/>
      <c r="TEV2474" s="115"/>
      <c r="TEW2474" s="115"/>
      <c r="TEX2474" s="115"/>
      <c r="TEY2474" s="115"/>
      <c r="TEZ2474" s="115"/>
      <c r="TFA2474" s="115"/>
      <c r="TFB2474" s="115"/>
      <c r="TFC2474" s="115"/>
      <c r="TFD2474" s="115"/>
      <c r="TFE2474" s="115"/>
      <c r="TFF2474" s="115"/>
      <c r="TFG2474" s="115"/>
      <c r="TFH2474" s="115"/>
      <c r="TFI2474" s="115"/>
      <c r="TFJ2474" s="115"/>
      <c r="TFK2474" s="115"/>
      <c r="TFL2474" s="115"/>
      <c r="TFM2474" s="115"/>
      <c r="TFN2474" s="115"/>
      <c r="TFO2474" s="115"/>
      <c r="TFP2474" s="115"/>
      <c r="TFQ2474" s="115"/>
      <c r="TFR2474" s="115"/>
      <c r="TFS2474" s="115"/>
      <c r="TFT2474" s="115"/>
      <c r="TFU2474" s="115"/>
      <c r="TFV2474" s="115"/>
      <c r="TFW2474" s="115"/>
      <c r="TFX2474" s="115"/>
      <c r="TFY2474" s="115"/>
      <c r="TFZ2474" s="115"/>
      <c r="TGA2474" s="115"/>
      <c r="TGB2474" s="115"/>
      <c r="TGC2474" s="115"/>
      <c r="TGD2474" s="115"/>
      <c r="TGE2474" s="115"/>
      <c r="TGF2474" s="115"/>
      <c r="TGG2474" s="115"/>
      <c r="TGH2474" s="115"/>
      <c r="TGI2474" s="115"/>
      <c r="TGJ2474" s="115"/>
      <c r="TGK2474" s="115"/>
      <c r="TGL2474" s="115"/>
      <c r="TGM2474" s="115"/>
      <c r="TGN2474" s="115"/>
      <c r="TGO2474" s="115"/>
      <c r="TGP2474" s="115"/>
      <c r="TGQ2474" s="115"/>
      <c r="TGR2474" s="115"/>
      <c r="TGS2474" s="115"/>
      <c r="TGT2474" s="115"/>
      <c r="TGU2474" s="115"/>
      <c r="TGV2474" s="115"/>
      <c r="TGW2474" s="115"/>
      <c r="TGX2474" s="115"/>
      <c r="TGY2474" s="115"/>
      <c r="TGZ2474" s="115"/>
      <c r="THA2474" s="115"/>
      <c r="THB2474" s="115"/>
      <c r="THC2474" s="115"/>
      <c r="THD2474" s="115"/>
      <c r="THE2474" s="115"/>
      <c r="THF2474" s="115"/>
      <c r="THG2474" s="115"/>
      <c r="THH2474" s="115"/>
      <c r="THI2474" s="115"/>
      <c r="THJ2474" s="115"/>
      <c r="THK2474" s="115"/>
      <c r="THL2474" s="115"/>
      <c r="THM2474" s="115"/>
      <c r="THN2474" s="115"/>
      <c r="THO2474" s="115"/>
      <c r="THP2474" s="115"/>
      <c r="THQ2474" s="115"/>
      <c r="THR2474" s="115"/>
      <c r="THS2474" s="115"/>
      <c r="THT2474" s="115"/>
      <c r="THU2474" s="115"/>
      <c r="THV2474" s="115"/>
      <c r="THW2474" s="115"/>
      <c r="THX2474" s="115"/>
      <c r="THY2474" s="115"/>
      <c r="THZ2474" s="115"/>
      <c r="TIA2474" s="115"/>
      <c r="TIB2474" s="115"/>
      <c r="TIC2474" s="115"/>
      <c r="TID2474" s="115"/>
      <c r="TIE2474" s="115"/>
      <c r="TIF2474" s="115"/>
      <c r="TIG2474" s="115"/>
      <c r="TIH2474" s="115"/>
      <c r="TII2474" s="115"/>
      <c r="TIJ2474" s="115"/>
      <c r="TIK2474" s="115"/>
      <c r="TIL2474" s="115"/>
      <c r="TIM2474" s="115"/>
      <c r="TIN2474" s="115"/>
      <c r="TIO2474" s="115"/>
      <c r="TIP2474" s="115"/>
      <c r="TIQ2474" s="115"/>
      <c r="TIR2474" s="115"/>
      <c r="TIS2474" s="115"/>
      <c r="TIT2474" s="115"/>
      <c r="TIU2474" s="115"/>
      <c r="TIV2474" s="115"/>
      <c r="TIW2474" s="115"/>
      <c r="TIX2474" s="115"/>
      <c r="TIY2474" s="115"/>
      <c r="TIZ2474" s="115"/>
      <c r="TJA2474" s="115"/>
      <c r="TJB2474" s="115"/>
      <c r="TJC2474" s="115"/>
      <c r="TJD2474" s="115"/>
      <c r="TJE2474" s="115"/>
      <c r="TJF2474" s="115"/>
      <c r="TJG2474" s="115"/>
      <c r="TJH2474" s="115"/>
      <c r="TJI2474" s="115"/>
      <c r="TJJ2474" s="115"/>
      <c r="TJK2474" s="115"/>
      <c r="TJL2474" s="115"/>
      <c r="TJM2474" s="115"/>
      <c r="TJN2474" s="115"/>
      <c r="TJO2474" s="115"/>
      <c r="TJP2474" s="115"/>
      <c r="TJQ2474" s="115"/>
      <c r="TJR2474" s="115"/>
      <c r="TJS2474" s="115"/>
      <c r="TJT2474" s="115"/>
      <c r="TJU2474" s="115"/>
      <c r="TJV2474" s="115"/>
      <c r="TJW2474" s="115"/>
      <c r="TJX2474" s="115"/>
      <c r="TJY2474" s="115"/>
      <c r="TJZ2474" s="115"/>
      <c r="TKA2474" s="115"/>
      <c r="TKB2474" s="115"/>
      <c r="TKC2474" s="115"/>
      <c r="TKD2474" s="115"/>
      <c r="TKE2474" s="115"/>
      <c r="TKF2474" s="115"/>
      <c r="TKG2474" s="115"/>
      <c r="TKH2474" s="115"/>
      <c r="TKI2474" s="115"/>
      <c r="TKJ2474" s="115"/>
      <c r="TKK2474" s="115"/>
      <c r="TKL2474" s="115"/>
      <c r="TKM2474" s="115"/>
      <c r="TKN2474" s="115"/>
      <c r="TKO2474" s="115"/>
      <c r="TKP2474" s="115"/>
      <c r="TKQ2474" s="115"/>
      <c r="TKR2474" s="115"/>
      <c r="TKS2474" s="115"/>
      <c r="TKT2474" s="115"/>
      <c r="TKU2474" s="115"/>
      <c r="TKV2474" s="115"/>
      <c r="TKW2474" s="115"/>
      <c r="TKX2474" s="115"/>
      <c r="TKY2474" s="115"/>
      <c r="TKZ2474" s="115"/>
      <c r="TLA2474" s="115"/>
      <c r="TLB2474" s="115"/>
      <c r="TLC2474" s="115"/>
      <c r="TLD2474" s="115"/>
      <c r="TLE2474" s="115"/>
      <c r="TLF2474" s="115"/>
      <c r="TLG2474" s="115"/>
      <c r="TLH2474" s="115"/>
      <c r="TLI2474" s="115"/>
      <c r="TLJ2474" s="115"/>
      <c r="TLK2474" s="115"/>
      <c r="TLL2474" s="115"/>
      <c r="TLM2474" s="115"/>
      <c r="TLN2474" s="115"/>
      <c r="TLO2474" s="115"/>
      <c r="TLP2474" s="115"/>
      <c r="TLQ2474" s="115"/>
      <c r="TLR2474" s="115"/>
      <c r="TLS2474" s="115"/>
      <c r="TLT2474" s="115"/>
      <c r="TLU2474" s="115"/>
      <c r="TLV2474" s="115"/>
      <c r="TLW2474" s="115"/>
      <c r="TLX2474" s="115"/>
      <c r="TLY2474" s="115"/>
      <c r="TLZ2474" s="115"/>
      <c r="TMA2474" s="115"/>
      <c r="TMB2474" s="115"/>
      <c r="TMC2474" s="115"/>
      <c r="TMD2474" s="115"/>
      <c r="TME2474" s="115"/>
      <c r="TMF2474" s="115"/>
      <c r="TMG2474" s="115"/>
      <c r="TMH2474" s="115"/>
      <c r="TMI2474" s="115"/>
      <c r="TMJ2474" s="115"/>
      <c r="TMK2474" s="115"/>
      <c r="TML2474" s="115"/>
      <c r="TMM2474" s="115"/>
      <c r="TMN2474" s="115"/>
      <c r="TMO2474" s="115"/>
      <c r="TMP2474" s="115"/>
      <c r="TMQ2474" s="115"/>
      <c r="TMR2474" s="115"/>
      <c r="TMS2474" s="115"/>
      <c r="TMT2474" s="115"/>
      <c r="TMU2474" s="115"/>
      <c r="TMV2474" s="115"/>
      <c r="TMW2474" s="115"/>
      <c r="TMX2474" s="115"/>
      <c r="TMY2474" s="115"/>
      <c r="TMZ2474" s="115"/>
      <c r="TNA2474" s="115"/>
      <c r="TNB2474" s="115"/>
      <c r="TNC2474" s="115"/>
      <c r="TND2474" s="115"/>
      <c r="TNE2474" s="115"/>
      <c r="TNF2474" s="115"/>
      <c r="TNG2474" s="115"/>
      <c r="TNH2474" s="115"/>
      <c r="TNI2474" s="115"/>
      <c r="TNJ2474" s="115"/>
      <c r="TNK2474" s="115"/>
      <c r="TNL2474" s="115"/>
      <c r="TNM2474" s="115"/>
      <c r="TNN2474" s="115"/>
      <c r="TNO2474" s="115"/>
      <c r="TNP2474" s="115"/>
      <c r="TNQ2474" s="115"/>
      <c r="TNR2474" s="115"/>
      <c r="TNS2474" s="115"/>
      <c r="TNT2474" s="115"/>
      <c r="TNU2474" s="115"/>
      <c r="TNV2474" s="115"/>
      <c r="TNW2474" s="115"/>
      <c r="TNX2474" s="115"/>
      <c r="TNY2474" s="115"/>
      <c r="TNZ2474" s="115"/>
      <c r="TOA2474" s="115"/>
      <c r="TOB2474" s="115"/>
      <c r="TOC2474" s="115"/>
      <c r="TOD2474" s="115"/>
      <c r="TOE2474" s="115"/>
      <c r="TOF2474" s="115"/>
      <c r="TOG2474" s="115"/>
      <c r="TOH2474" s="115"/>
      <c r="TOI2474" s="115"/>
      <c r="TOJ2474" s="115"/>
      <c r="TOK2474" s="115"/>
      <c r="TOL2474" s="115"/>
      <c r="TOM2474" s="115"/>
      <c r="TON2474" s="115"/>
      <c r="TOO2474" s="115"/>
      <c r="TOP2474" s="115"/>
      <c r="TOQ2474" s="115"/>
      <c r="TOR2474" s="115"/>
      <c r="TOS2474" s="115"/>
      <c r="TOT2474" s="115"/>
      <c r="TOU2474" s="115"/>
      <c r="TOV2474" s="115"/>
      <c r="TOW2474" s="115"/>
      <c r="TOX2474" s="115"/>
      <c r="TOY2474" s="115"/>
      <c r="TOZ2474" s="115"/>
      <c r="TPA2474" s="115"/>
      <c r="TPB2474" s="115"/>
      <c r="TPC2474" s="115"/>
      <c r="TPD2474" s="115"/>
      <c r="TPE2474" s="115"/>
      <c r="TPF2474" s="115"/>
      <c r="TPG2474" s="115"/>
      <c r="TPH2474" s="115"/>
      <c r="TPI2474" s="115"/>
      <c r="TPJ2474" s="115"/>
      <c r="TPK2474" s="115"/>
      <c r="TPL2474" s="115"/>
      <c r="TPM2474" s="115"/>
      <c r="TPN2474" s="115"/>
      <c r="TPO2474" s="115"/>
      <c r="TPP2474" s="115"/>
      <c r="TPQ2474" s="115"/>
      <c r="TPR2474" s="115"/>
      <c r="TPS2474" s="115"/>
      <c r="TPT2474" s="115"/>
      <c r="TPU2474" s="115"/>
      <c r="TPV2474" s="115"/>
      <c r="TPW2474" s="115"/>
      <c r="TPX2474" s="115"/>
      <c r="TPY2474" s="115"/>
      <c r="TPZ2474" s="115"/>
      <c r="TQA2474" s="115"/>
      <c r="TQB2474" s="115"/>
      <c r="TQC2474" s="115"/>
      <c r="TQD2474" s="115"/>
      <c r="TQE2474" s="115"/>
      <c r="TQF2474" s="115"/>
      <c r="TQG2474" s="115"/>
      <c r="TQH2474" s="115"/>
      <c r="TQI2474" s="115"/>
      <c r="TQJ2474" s="115"/>
      <c r="TQK2474" s="115"/>
      <c r="TQL2474" s="115"/>
      <c r="TQM2474" s="115"/>
      <c r="TQN2474" s="115"/>
      <c r="TQO2474" s="115"/>
      <c r="TQP2474" s="115"/>
      <c r="TQQ2474" s="115"/>
      <c r="TQR2474" s="115"/>
      <c r="TQS2474" s="115"/>
      <c r="TQT2474" s="115"/>
      <c r="TQU2474" s="115"/>
      <c r="TQV2474" s="115"/>
      <c r="TQW2474" s="115"/>
      <c r="TQX2474" s="115"/>
      <c r="TQY2474" s="115"/>
      <c r="TQZ2474" s="115"/>
      <c r="TRA2474" s="115"/>
      <c r="TRB2474" s="115"/>
      <c r="TRC2474" s="115"/>
      <c r="TRD2474" s="115"/>
      <c r="TRE2474" s="115"/>
      <c r="TRF2474" s="115"/>
      <c r="TRG2474" s="115"/>
      <c r="TRH2474" s="115"/>
      <c r="TRI2474" s="115"/>
      <c r="TRJ2474" s="115"/>
      <c r="TRK2474" s="115"/>
      <c r="TRL2474" s="115"/>
      <c r="TRM2474" s="115"/>
      <c r="TRN2474" s="115"/>
      <c r="TRO2474" s="115"/>
      <c r="TRP2474" s="115"/>
      <c r="TRQ2474" s="115"/>
      <c r="TRR2474" s="115"/>
      <c r="TRS2474" s="115"/>
      <c r="TRT2474" s="115"/>
      <c r="TRU2474" s="115"/>
      <c r="TRV2474" s="115"/>
      <c r="TRW2474" s="115"/>
      <c r="TRX2474" s="115"/>
      <c r="TRY2474" s="115"/>
      <c r="TRZ2474" s="115"/>
      <c r="TSA2474" s="115"/>
      <c r="TSB2474" s="115"/>
      <c r="TSC2474" s="115"/>
      <c r="TSD2474" s="115"/>
      <c r="TSE2474" s="115"/>
      <c r="TSF2474" s="115"/>
      <c r="TSG2474" s="115"/>
      <c r="TSH2474" s="115"/>
      <c r="TSI2474" s="115"/>
      <c r="TSJ2474" s="115"/>
      <c r="TSK2474" s="115"/>
      <c r="TSL2474" s="115"/>
      <c r="TSM2474" s="115"/>
      <c r="TSN2474" s="115"/>
      <c r="TSO2474" s="115"/>
      <c r="TSP2474" s="115"/>
      <c r="TSQ2474" s="115"/>
      <c r="TSR2474" s="115"/>
      <c r="TSS2474" s="115"/>
      <c r="TST2474" s="115"/>
      <c r="TSU2474" s="115"/>
      <c r="TSV2474" s="115"/>
      <c r="TSW2474" s="115"/>
      <c r="TSX2474" s="115"/>
      <c r="TSY2474" s="115"/>
      <c r="TSZ2474" s="115"/>
      <c r="TTA2474" s="115"/>
      <c r="TTB2474" s="115"/>
      <c r="TTC2474" s="115"/>
      <c r="TTD2474" s="115"/>
      <c r="TTE2474" s="115"/>
      <c r="TTF2474" s="115"/>
      <c r="TTG2474" s="115"/>
      <c r="TTH2474" s="115"/>
      <c r="TTI2474" s="115"/>
      <c r="TTJ2474" s="115"/>
      <c r="TTK2474" s="115"/>
      <c r="TTL2474" s="115"/>
      <c r="TTM2474" s="115"/>
      <c r="TTN2474" s="115"/>
      <c r="TTO2474" s="115"/>
      <c r="TTP2474" s="115"/>
      <c r="TTQ2474" s="115"/>
      <c r="TTR2474" s="115"/>
      <c r="TTS2474" s="115"/>
      <c r="TTT2474" s="115"/>
      <c r="TTU2474" s="115"/>
      <c r="TTV2474" s="115"/>
      <c r="TTW2474" s="115"/>
      <c r="TTX2474" s="115"/>
      <c r="TTY2474" s="115"/>
      <c r="TTZ2474" s="115"/>
      <c r="TUA2474" s="115"/>
      <c r="TUB2474" s="115"/>
      <c r="TUC2474" s="115"/>
      <c r="TUD2474" s="115"/>
      <c r="TUE2474" s="115"/>
      <c r="TUF2474" s="115"/>
      <c r="TUG2474" s="115"/>
      <c r="TUH2474" s="115"/>
      <c r="TUI2474" s="115"/>
      <c r="TUJ2474" s="115"/>
      <c r="TUK2474" s="115"/>
      <c r="TUL2474" s="115"/>
      <c r="TUM2474" s="115"/>
      <c r="TUN2474" s="115"/>
      <c r="TUO2474" s="115"/>
      <c r="TUP2474" s="115"/>
      <c r="TUQ2474" s="115"/>
      <c r="TUR2474" s="115"/>
      <c r="TUS2474" s="115"/>
      <c r="TUT2474" s="115"/>
      <c r="TUU2474" s="115"/>
      <c r="TUV2474" s="115"/>
      <c r="TUW2474" s="115"/>
      <c r="TUX2474" s="115"/>
      <c r="TUY2474" s="115"/>
      <c r="TUZ2474" s="115"/>
      <c r="TVA2474" s="115"/>
      <c r="TVB2474" s="115"/>
      <c r="TVC2474" s="115"/>
      <c r="TVD2474" s="115"/>
      <c r="TVE2474" s="115"/>
      <c r="TVF2474" s="115"/>
      <c r="TVG2474" s="115"/>
      <c r="TVH2474" s="115"/>
      <c r="TVI2474" s="115"/>
      <c r="TVJ2474" s="115"/>
      <c r="TVK2474" s="115"/>
      <c r="TVL2474" s="115"/>
      <c r="TVM2474" s="115"/>
      <c r="TVN2474" s="115"/>
      <c r="TVO2474" s="115"/>
      <c r="TVP2474" s="115"/>
      <c r="TVQ2474" s="115"/>
      <c r="TVR2474" s="115"/>
      <c r="TVS2474" s="115"/>
      <c r="TVT2474" s="115"/>
      <c r="TVU2474" s="115"/>
      <c r="TVV2474" s="115"/>
      <c r="TVW2474" s="115"/>
      <c r="TVX2474" s="115"/>
      <c r="TVY2474" s="115"/>
      <c r="TVZ2474" s="115"/>
      <c r="TWA2474" s="115"/>
      <c r="TWB2474" s="115"/>
      <c r="TWC2474" s="115"/>
      <c r="TWD2474" s="115"/>
      <c r="TWE2474" s="115"/>
      <c r="TWF2474" s="115"/>
      <c r="TWG2474" s="115"/>
      <c r="TWH2474" s="115"/>
      <c r="TWI2474" s="115"/>
      <c r="TWJ2474" s="115"/>
      <c r="TWK2474" s="115"/>
      <c r="TWL2474" s="115"/>
      <c r="TWM2474" s="115"/>
      <c r="TWN2474" s="115"/>
      <c r="TWO2474" s="115"/>
      <c r="TWP2474" s="115"/>
      <c r="TWQ2474" s="115"/>
      <c r="TWR2474" s="115"/>
      <c r="TWS2474" s="115"/>
      <c r="TWT2474" s="115"/>
      <c r="TWU2474" s="115"/>
      <c r="TWV2474" s="115"/>
      <c r="TWW2474" s="115"/>
      <c r="TWX2474" s="115"/>
      <c r="TWY2474" s="115"/>
      <c r="TWZ2474" s="115"/>
      <c r="TXA2474" s="115"/>
      <c r="TXB2474" s="115"/>
      <c r="TXC2474" s="115"/>
      <c r="TXD2474" s="115"/>
      <c r="TXE2474" s="115"/>
      <c r="TXF2474" s="115"/>
      <c r="TXG2474" s="115"/>
      <c r="TXH2474" s="115"/>
      <c r="TXI2474" s="115"/>
      <c r="TXJ2474" s="115"/>
      <c r="TXK2474" s="115"/>
      <c r="TXL2474" s="115"/>
      <c r="TXM2474" s="115"/>
      <c r="TXN2474" s="115"/>
      <c r="TXO2474" s="115"/>
      <c r="TXP2474" s="115"/>
      <c r="TXQ2474" s="115"/>
      <c r="TXR2474" s="115"/>
      <c r="TXS2474" s="115"/>
      <c r="TXT2474" s="115"/>
      <c r="TXU2474" s="115"/>
      <c r="TXV2474" s="115"/>
      <c r="TXW2474" s="115"/>
      <c r="TXX2474" s="115"/>
      <c r="TXY2474" s="115"/>
      <c r="TXZ2474" s="115"/>
      <c r="TYA2474" s="115"/>
      <c r="TYB2474" s="115"/>
      <c r="TYC2474" s="115"/>
      <c r="TYD2474" s="115"/>
      <c r="TYE2474" s="115"/>
      <c r="TYF2474" s="115"/>
      <c r="TYG2474" s="115"/>
      <c r="TYH2474" s="115"/>
      <c r="TYI2474" s="115"/>
      <c r="TYJ2474" s="115"/>
      <c r="TYK2474" s="115"/>
      <c r="TYL2474" s="115"/>
      <c r="TYM2474" s="115"/>
      <c r="TYN2474" s="115"/>
      <c r="TYO2474" s="115"/>
      <c r="TYP2474" s="115"/>
      <c r="TYQ2474" s="115"/>
      <c r="TYR2474" s="115"/>
      <c r="TYS2474" s="115"/>
      <c r="TYT2474" s="115"/>
      <c r="TYU2474" s="115"/>
      <c r="TYV2474" s="115"/>
      <c r="TYW2474" s="115"/>
      <c r="TYX2474" s="115"/>
      <c r="TYY2474" s="115"/>
      <c r="TYZ2474" s="115"/>
      <c r="TZA2474" s="115"/>
      <c r="TZB2474" s="115"/>
      <c r="TZC2474" s="115"/>
      <c r="TZD2474" s="115"/>
      <c r="TZE2474" s="115"/>
      <c r="TZF2474" s="115"/>
      <c r="TZG2474" s="115"/>
      <c r="TZH2474" s="115"/>
      <c r="TZI2474" s="115"/>
      <c r="TZJ2474" s="115"/>
      <c r="TZK2474" s="115"/>
      <c r="TZL2474" s="115"/>
      <c r="TZM2474" s="115"/>
      <c r="TZN2474" s="115"/>
      <c r="TZO2474" s="115"/>
      <c r="TZP2474" s="115"/>
      <c r="TZQ2474" s="115"/>
      <c r="TZR2474" s="115"/>
      <c r="TZS2474" s="115"/>
      <c r="TZT2474" s="115"/>
      <c r="TZU2474" s="115"/>
      <c r="TZV2474" s="115"/>
      <c r="TZW2474" s="115"/>
      <c r="TZX2474" s="115"/>
      <c r="TZY2474" s="115"/>
      <c r="TZZ2474" s="115"/>
      <c r="UAA2474" s="115"/>
      <c r="UAB2474" s="115"/>
      <c r="UAC2474" s="115"/>
      <c r="UAD2474" s="115"/>
      <c r="UAE2474" s="115"/>
      <c r="UAF2474" s="115"/>
      <c r="UAG2474" s="115"/>
      <c r="UAH2474" s="115"/>
      <c r="UAI2474" s="115"/>
      <c r="UAJ2474" s="115"/>
      <c r="UAK2474" s="115"/>
      <c r="UAL2474" s="115"/>
      <c r="UAM2474" s="115"/>
      <c r="UAN2474" s="115"/>
      <c r="UAO2474" s="115"/>
      <c r="UAP2474" s="115"/>
      <c r="UAQ2474" s="115"/>
      <c r="UAR2474" s="115"/>
      <c r="UAS2474" s="115"/>
      <c r="UAT2474" s="115"/>
      <c r="UAU2474" s="115"/>
      <c r="UAV2474" s="115"/>
      <c r="UAW2474" s="115"/>
      <c r="UAX2474" s="115"/>
      <c r="UAY2474" s="115"/>
      <c r="UAZ2474" s="115"/>
      <c r="UBA2474" s="115"/>
      <c r="UBB2474" s="115"/>
      <c r="UBC2474" s="115"/>
      <c r="UBD2474" s="115"/>
      <c r="UBE2474" s="115"/>
      <c r="UBF2474" s="115"/>
      <c r="UBG2474" s="115"/>
      <c r="UBH2474" s="115"/>
      <c r="UBI2474" s="115"/>
      <c r="UBJ2474" s="115"/>
      <c r="UBK2474" s="115"/>
      <c r="UBL2474" s="115"/>
      <c r="UBM2474" s="115"/>
      <c r="UBN2474" s="115"/>
      <c r="UBO2474" s="115"/>
      <c r="UBP2474" s="115"/>
      <c r="UBQ2474" s="115"/>
      <c r="UBR2474" s="115"/>
      <c r="UBS2474" s="115"/>
      <c r="UBT2474" s="115"/>
      <c r="UBU2474" s="115"/>
      <c r="UBV2474" s="115"/>
      <c r="UBW2474" s="115"/>
      <c r="UBX2474" s="115"/>
      <c r="UBY2474" s="115"/>
      <c r="UBZ2474" s="115"/>
      <c r="UCA2474" s="115"/>
      <c r="UCB2474" s="115"/>
      <c r="UCC2474" s="115"/>
      <c r="UCD2474" s="115"/>
      <c r="UCE2474" s="115"/>
      <c r="UCF2474" s="115"/>
      <c r="UCG2474" s="115"/>
      <c r="UCH2474" s="115"/>
      <c r="UCI2474" s="115"/>
      <c r="UCJ2474" s="115"/>
      <c r="UCK2474" s="115"/>
      <c r="UCL2474" s="115"/>
      <c r="UCM2474" s="115"/>
      <c r="UCN2474" s="115"/>
      <c r="UCO2474" s="115"/>
      <c r="UCP2474" s="115"/>
      <c r="UCQ2474" s="115"/>
      <c r="UCR2474" s="115"/>
      <c r="UCS2474" s="115"/>
      <c r="UCT2474" s="115"/>
      <c r="UCU2474" s="115"/>
      <c r="UCV2474" s="115"/>
      <c r="UCW2474" s="115"/>
      <c r="UCX2474" s="115"/>
      <c r="UCY2474" s="115"/>
      <c r="UCZ2474" s="115"/>
      <c r="UDA2474" s="115"/>
      <c r="UDB2474" s="115"/>
      <c r="UDC2474" s="115"/>
      <c r="UDD2474" s="115"/>
      <c r="UDE2474" s="115"/>
      <c r="UDF2474" s="115"/>
      <c r="UDG2474" s="115"/>
      <c r="UDH2474" s="115"/>
      <c r="UDI2474" s="115"/>
      <c r="UDJ2474" s="115"/>
      <c r="UDK2474" s="115"/>
      <c r="UDL2474" s="115"/>
      <c r="UDM2474" s="115"/>
      <c r="UDN2474" s="115"/>
      <c r="UDO2474" s="115"/>
      <c r="UDP2474" s="115"/>
      <c r="UDQ2474" s="115"/>
      <c r="UDR2474" s="115"/>
      <c r="UDS2474" s="115"/>
      <c r="UDT2474" s="115"/>
      <c r="UDU2474" s="115"/>
      <c r="UDV2474" s="115"/>
      <c r="UDW2474" s="115"/>
      <c r="UDX2474" s="115"/>
      <c r="UDY2474" s="115"/>
      <c r="UDZ2474" s="115"/>
      <c r="UEA2474" s="115"/>
      <c r="UEB2474" s="115"/>
      <c r="UEC2474" s="115"/>
      <c r="UED2474" s="115"/>
      <c r="UEE2474" s="115"/>
      <c r="UEF2474" s="115"/>
      <c r="UEG2474" s="115"/>
      <c r="UEH2474" s="115"/>
      <c r="UEI2474" s="115"/>
      <c r="UEJ2474" s="115"/>
      <c r="UEK2474" s="115"/>
      <c r="UEL2474" s="115"/>
      <c r="UEM2474" s="115"/>
      <c r="UEN2474" s="115"/>
      <c r="UEO2474" s="115"/>
      <c r="UEP2474" s="115"/>
      <c r="UEQ2474" s="115"/>
      <c r="UER2474" s="115"/>
      <c r="UES2474" s="115"/>
      <c r="UET2474" s="115"/>
      <c r="UEU2474" s="115"/>
      <c r="UEV2474" s="115"/>
      <c r="UEW2474" s="115"/>
      <c r="UEX2474" s="115"/>
      <c r="UEY2474" s="115"/>
      <c r="UEZ2474" s="115"/>
      <c r="UFA2474" s="115"/>
      <c r="UFB2474" s="115"/>
      <c r="UFC2474" s="115"/>
      <c r="UFD2474" s="115"/>
      <c r="UFE2474" s="115"/>
      <c r="UFF2474" s="115"/>
      <c r="UFG2474" s="115"/>
      <c r="UFH2474" s="115"/>
      <c r="UFI2474" s="115"/>
      <c r="UFJ2474" s="115"/>
      <c r="UFK2474" s="115"/>
      <c r="UFL2474" s="115"/>
      <c r="UFM2474" s="115"/>
      <c r="UFN2474" s="115"/>
      <c r="UFO2474" s="115"/>
      <c r="UFP2474" s="115"/>
      <c r="UFQ2474" s="115"/>
      <c r="UFR2474" s="115"/>
      <c r="UFS2474" s="115"/>
      <c r="UFT2474" s="115"/>
      <c r="UFU2474" s="115"/>
      <c r="UFV2474" s="115"/>
      <c r="UFW2474" s="115"/>
      <c r="UFX2474" s="115"/>
      <c r="UFY2474" s="115"/>
      <c r="UFZ2474" s="115"/>
      <c r="UGA2474" s="115"/>
      <c r="UGB2474" s="115"/>
      <c r="UGC2474" s="115"/>
      <c r="UGD2474" s="115"/>
      <c r="UGE2474" s="115"/>
      <c r="UGF2474" s="115"/>
      <c r="UGG2474" s="115"/>
      <c r="UGH2474" s="115"/>
      <c r="UGI2474" s="115"/>
      <c r="UGJ2474" s="115"/>
      <c r="UGK2474" s="115"/>
      <c r="UGL2474" s="115"/>
      <c r="UGM2474" s="115"/>
      <c r="UGN2474" s="115"/>
      <c r="UGO2474" s="115"/>
      <c r="UGP2474" s="115"/>
      <c r="UGQ2474" s="115"/>
      <c r="UGR2474" s="115"/>
      <c r="UGS2474" s="115"/>
      <c r="UGT2474" s="115"/>
      <c r="UGU2474" s="115"/>
      <c r="UGV2474" s="115"/>
      <c r="UGW2474" s="115"/>
      <c r="UGX2474" s="115"/>
      <c r="UGY2474" s="115"/>
      <c r="UGZ2474" s="115"/>
      <c r="UHA2474" s="115"/>
      <c r="UHB2474" s="115"/>
      <c r="UHC2474" s="115"/>
      <c r="UHD2474" s="115"/>
      <c r="UHE2474" s="115"/>
      <c r="UHF2474" s="115"/>
      <c r="UHG2474" s="115"/>
      <c r="UHH2474" s="115"/>
      <c r="UHI2474" s="115"/>
      <c r="UHJ2474" s="115"/>
      <c r="UHK2474" s="115"/>
      <c r="UHL2474" s="115"/>
      <c r="UHM2474" s="115"/>
      <c r="UHN2474" s="115"/>
      <c r="UHO2474" s="115"/>
      <c r="UHP2474" s="115"/>
      <c r="UHQ2474" s="115"/>
      <c r="UHR2474" s="115"/>
      <c r="UHS2474" s="115"/>
      <c r="UHT2474" s="115"/>
      <c r="UHU2474" s="115"/>
      <c r="UHV2474" s="115"/>
      <c r="UHW2474" s="115"/>
      <c r="UHX2474" s="115"/>
      <c r="UHY2474" s="115"/>
      <c r="UHZ2474" s="115"/>
      <c r="UIA2474" s="115"/>
      <c r="UIB2474" s="115"/>
      <c r="UIC2474" s="115"/>
      <c r="UID2474" s="115"/>
      <c r="UIE2474" s="115"/>
      <c r="UIF2474" s="115"/>
      <c r="UIG2474" s="115"/>
      <c r="UIH2474" s="115"/>
      <c r="UII2474" s="115"/>
      <c r="UIJ2474" s="115"/>
      <c r="UIK2474" s="115"/>
      <c r="UIL2474" s="115"/>
      <c r="UIM2474" s="115"/>
      <c r="UIN2474" s="115"/>
      <c r="UIO2474" s="115"/>
      <c r="UIP2474" s="115"/>
      <c r="UIQ2474" s="115"/>
      <c r="UIR2474" s="115"/>
      <c r="UIS2474" s="115"/>
      <c r="UIT2474" s="115"/>
      <c r="UIU2474" s="115"/>
      <c r="UIV2474" s="115"/>
      <c r="UIW2474" s="115"/>
      <c r="UIX2474" s="115"/>
      <c r="UIY2474" s="115"/>
      <c r="UIZ2474" s="115"/>
      <c r="UJA2474" s="115"/>
      <c r="UJB2474" s="115"/>
      <c r="UJC2474" s="115"/>
      <c r="UJD2474" s="115"/>
      <c r="UJE2474" s="115"/>
      <c r="UJF2474" s="115"/>
      <c r="UJG2474" s="115"/>
      <c r="UJH2474" s="115"/>
      <c r="UJI2474" s="115"/>
      <c r="UJJ2474" s="115"/>
      <c r="UJK2474" s="115"/>
      <c r="UJL2474" s="115"/>
      <c r="UJM2474" s="115"/>
      <c r="UJN2474" s="115"/>
      <c r="UJO2474" s="115"/>
      <c r="UJP2474" s="115"/>
      <c r="UJQ2474" s="115"/>
      <c r="UJR2474" s="115"/>
      <c r="UJS2474" s="115"/>
      <c r="UJT2474" s="115"/>
      <c r="UJU2474" s="115"/>
      <c r="UJV2474" s="115"/>
      <c r="UJW2474" s="115"/>
      <c r="UJX2474" s="115"/>
      <c r="UJY2474" s="115"/>
      <c r="UJZ2474" s="115"/>
      <c r="UKA2474" s="115"/>
      <c r="UKB2474" s="115"/>
      <c r="UKC2474" s="115"/>
      <c r="UKD2474" s="115"/>
      <c r="UKE2474" s="115"/>
      <c r="UKF2474" s="115"/>
      <c r="UKG2474" s="115"/>
      <c r="UKH2474" s="115"/>
      <c r="UKI2474" s="115"/>
      <c r="UKJ2474" s="115"/>
      <c r="UKK2474" s="115"/>
      <c r="UKL2474" s="115"/>
      <c r="UKM2474" s="115"/>
      <c r="UKN2474" s="115"/>
      <c r="UKO2474" s="115"/>
      <c r="UKP2474" s="115"/>
      <c r="UKQ2474" s="115"/>
      <c r="UKR2474" s="115"/>
      <c r="UKS2474" s="115"/>
      <c r="UKT2474" s="115"/>
      <c r="UKU2474" s="115"/>
      <c r="UKV2474" s="115"/>
      <c r="UKW2474" s="115"/>
      <c r="UKX2474" s="115"/>
      <c r="UKY2474" s="115"/>
      <c r="UKZ2474" s="115"/>
      <c r="ULA2474" s="115"/>
      <c r="ULB2474" s="115"/>
      <c r="ULC2474" s="115"/>
      <c r="ULD2474" s="115"/>
      <c r="ULE2474" s="115"/>
      <c r="ULF2474" s="115"/>
      <c r="ULG2474" s="115"/>
      <c r="ULH2474" s="115"/>
      <c r="ULI2474" s="115"/>
      <c r="ULJ2474" s="115"/>
      <c r="ULK2474" s="115"/>
      <c r="ULL2474" s="115"/>
      <c r="ULM2474" s="115"/>
      <c r="ULN2474" s="115"/>
      <c r="ULO2474" s="115"/>
      <c r="ULP2474" s="115"/>
      <c r="ULQ2474" s="115"/>
      <c r="ULR2474" s="115"/>
      <c r="ULS2474" s="115"/>
      <c r="ULT2474" s="115"/>
      <c r="ULU2474" s="115"/>
      <c r="ULV2474" s="115"/>
      <c r="ULW2474" s="115"/>
      <c r="ULX2474" s="115"/>
      <c r="ULY2474" s="115"/>
      <c r="ULZ2474" s="115"/>
      <c r="UMA2474" s="115"/>
      <c r="UMB2474" s="115"/>
      <c r="UMC2474" s="115"/>
      <c r="UMD2474" s="115"/>
      <c r="UME2474" s="115"/>
      <c r="UMF2474" s="115"/>
      <c r="UMG2474" s="115"/>
      <c r="UMH2474" s="115"/>
      <c r="UMI2474" s="115"/>
      <c r="UMJ2474" s="115"/>
      <c r="UMK2474" s="115"/>
      <c r="UML2474" s="115"/>
      <c r="UMM2474" s="115"/>
      <c r="UMN2474" s="115"/>
      <c r="UMO2474" s="115"/>
      <c r="UMP2474" s="115"/>
      <c r="UMQ2474" s="115"/>
      <c r="UMR2474" s="115"/>
      <c r="UMS2474" s="115"/>
      <c r="UMT2474" s="115"/>
      <c r="UMU2474" s="115"/>
      <c r="UMV2474" s="115"/>
      <c r="UMW2474" s="115"/>
      <c r="UMX2474" s="115"/>
      <c r="UMY2474" s="115"/>
      <c r="UMZ2474" s="115"/>
      <c r="UNA2474" s="115"/>
      <c r="UNB2474" s="115"/>
      <c r="UNC2474" s="115"/>
      <c r="UND2474" s="115"/>
      <c r="UNE2474" s="115"/>
      <c r="UNF2474" s="115"/>
      <c r="UNG2474" s="115"/>
      <c r="UNH2474" s="115"/>
      <c r="UNI2474" s="115"/>
      <c r="UNJ2474" s="115"/>
      <c r="UNK2474" s="115"/>
      <c r="UNL2474" s="115"/>
      <c r="UNM2474" s="115"/>
      <c r="UNN2474" s="115"/>
      <c r="UNO2474" s="115"/>
      <c r="UNP2474" s="115"/>
      <c r="UNQ2474" s="115"/>
      <c r="UNR2474" s="115"/>
      <c r="UNS2474" s="115"/>
      <c r="UNT2474" s="115"/>
      <c r="UNU2474" s="115"/>
      <c r="UNV2474" s="115"/>
      <c r="UNW2474" s="115"/>
      <c r="UNX2474" s="115"/>
      <c r="UNY2474" s="115"/>
      <c r="UNZ2474" s="115"/>
      <c r="UOA2474" s="115"/>
      <c r="UOB2474" s="115"/>
      <c r="UOC2474" s="115"/>
      <c r="UOD2474" s="115"/>
      <c r="UOE2474" s="115"/>
      <c r="UOF2474" s="115"/>
      <c r="UOG2474" s="115"/>
      <c r="UOH2474" s="115"/>
      <c r="UOI2474" s="115"/>
      <c r="UOJ2474" s="115"/>
      <c r="UOK2474" s="115"/>
      <c r="UOL2474" s="115"/>
      <c r="UOM2474" s="115"/>
      <c r="UON2474" s="115"/>
      <c r="UOO2474" s="115"/>
      <c r="UOP2474" s="115"/>
      <c r="UOQ2474" s="115"/>
      <c r="UOR2474" s="115"/>
      <c r="UOS2474" s="115"/>
      <c r="UOT2474" s="115"/>
      <c r="UOU2474" s="115"/>
      <c r="UOV2474" s="115"/>
      <c r="UOW2474" s="115"/>
      <c r="UOX2474" s="115"/>
      <c r="UOY2474" s="115"/>
      <c r="UOZ2474" s="115"/>
      <c r="UPA2474" s="115"/>
      <c r="UPB2474" s="115"/>
      <c r="UPC2474" s="115"/>
      <c r="UPD2474" s="115"/>
      <c r="UPE2474" s="115"/>
      <c r="UPF2474" s="115"/>
      <c r="UPG2474" s="115"/>
      <c r="UPH2474" s="115"/>
      <c r="UPI2474" s="115"/>
      <c r="UPJ2474" s="115"/>
      <c r="UPK2474" s="115"/>
      <c r="UPL2474" s="115"/>
      <c r="UPM2474" s="115"/>
      <c r="UPN2474" s="115"/>
      <c r="UPO2474" s="115"/>
      <c r="UPP2474" s="115"/>
      <c r="UPQ2474" s="115"/>
      <c r="UPR2474" s="115"/>
      <c r="UPS2474" s="115"/>
      <c r="UPT2474" s="115"/>
      <c r="UPU2474" s="115"/>
      <c r="UPV2474" s="115"/>
      <c r="UPW2474" s="115"/>
      <c r="UPX2474" s="115"/>
      <c r="UPY2474" s="115"/>
      <c r="UPZ2474" s="115"/>
      <c r="UQA2474" s="115"/>
      <c r="UQB2474" s="115"/>
      <c r="UQC2474" s="115"/>
      <c r="UQD2474" s="115"/>
      <c r="UQE2474" s="115"/>
      <c r="UQF2474" s="115"/>
      <c r="UQG2474" s="115"/>
      <c r="UQH2474" s="115"/>
      <c r="UQI2474" s="115"/>
      <c r="UQJ2474" s="115"/>
      <c r="UQK2474" s="115"/>
      <c r="UQL2474" s="115"/>
      <c r="UQM2474" s="115"/>
      <c r="UQN2474" s="115"/>
      <c r="UQO2474" s="115"/>
      <c r="UQP2474" s="115"/>
      <c r="UQQ2474" s="115"/>
      <c r="UQR2474" s="115"/>
      <c r="UQS2474" s="115"/>
      <c r="UQT2474" s="115"/>
      <c r="UQU2474" s="115"/>
      <c r="UQV2474" s="115"/>
      <c r="UQW2474" s="115"/>
      <c r="UQX2474" s="115"/>
      <c r="UQY2474" s="115"/>
      <c r="UQZ2474" s="115"/>
      <c r="URA2474" s="115"/>
      <c r="URB2474" s="115"/>
      <c r="URC2474" s="115"/>
      <c r="URD2474" s="115"/>
      <c r="URE2474" s="115"/>
      <c r="URF2474" s="115"/>
      <c r="URG2474" s="115"/>
      <c r="URH2474" s="115"/>
      <c r="URI2474" s="115"/>
      <c r="URJ2474" s="115"/>
      <c r="URK2474" s="115"/>
      <c r="URL2474" s="115"/>
      <c r="URM2474" s="115"/>
      <c r="URN2474" s="115"/>
      <c r="URO2474" s="115"/>
      <c r="URP2474" s="115"/>
      <c r="URQ2474" s="115"/>
      <c r="URR2474" s="115"/>
      <c r="URS2474" s="115"/>
      <c r="URT2474" s="115"/>
      <c r="URU2474" s="115"/>
      <c r="URV2474" s="115"/>
      <c r="URW2474" s="115"/>
      <c r="URX2474" s="115"/>
      <c r="URY2474" s="115"/>
      <c r="URZ2474" s="115"/>
      <c r="USA2474" s="115"/>
      <c r="USB2474" s="115"/>
      <c r="USC2474" s="115"/>
      <c r="USD2474" s="115"/>
      <c r="USE2474" s="115"/>
      <c r="USF2474" s="115"/>
      <c r="USG2474" s="115"/>
      <c r="USH2474" s="115"/>
      <c r="USI2474" s="115"/>
      <c r="USJ2474" s="115"/>
      <c r="USK2474" s="115"/>
      <c r="USL2474" s="115"/>
      <c r="USM2474" s="115"/>
      <c r="USN2474" s="115"/>
      <c r="USO2474" s="115"/>
      <c r="USP2474" s="115"/>
      <c r="USQ2474" s="115"/>
      <c r="USR2474" s="115"/>
      <c r="USS2474" s="115"/>
      <c r="UST2474" s="115"/>
      <c r="USU2474" s="115"/>
      <c r="USV2474" s="115"/>
      <c r="USW2474" s="115"/>
      <c r="USX2474" s="115"/>
      <c r="USY2474" s="115"/>
      <c r="USZ2474" s="115"/>
      <c r="UTA2474" s="115"/>
      <c r="UTB2474" s="115"/>
      <c r="UTC2474" s="115"/>
      <c r="UTD2474" s="115"/>
      <c r="UTE2474" s="115"/>
      <c r="UTF2474" s="115"/>
      <c r="UTG2474" s="115"/>
      <c r="UTH2474" s="115"/>
      <c r="UTI2474" s="115"/>
      <c r="UTJ2474" s="115"/>
      <c r="UTK2474" s="115"/>
      <c r="UTL2474" s="115"/>
      <c r="UTM2474" s="115"/>
      <c r="UTN2474" s="115"/>
      <c r="UTO2474" s="115"/>
      <c r="UTP2474" s="115"/>
      <c r="UTQ2474" s="115"/>
      <c r="UTR2474" s="115"/>
      <c r="UTS2474" s="115"/>
      <c r="UTT2474" s="115"/>
      <c r="UTU2474" s="115"/>
      <c r="UTV2474" s="115"/>
      <c r="UTW2474" s="115"/>
      <c r="UTX2474" s="115"/>
      <c r="UTY2474" s="115"/>
      <c r="UTZ2474" s="115"/>
      <c r="UUA2474" s="115"/>
      <c r="UUB2474" s="115"/>
      <c r="UUC2474" s="115"/>
      <c r="UUD2474" s="115"/>
      <c r="UUE2474" s="115"/>
      <c r="UUF2474" s="115"/>
      <c r="UUG2474" s="115"/>
      <c r="UUH2474" s="115"/>
      <c r="UUI2474" s="115"/>
      <c r="UUJ2474" s="115"/>
      <c r="UUK2474" s="115"/>
      <c r="UUL2474" s="115"/>
      <c r="UUM2474" s="115"/>
      <c r="UUN2474" s="115"/>
      <c r="UUO2474" s="115"/>
      <c r="UUP2474" s="115"/>
      <c r="UUQ2474" s="115"/>
      <c r="UUR2474" s="115"/>
      <c r="UUS2474" s="115"/>
      <c r="UUT2474" s="115"/>
      <c r="UUU2474" s="115"/>
      <c r="UUV2474" s="115"/>
      <c r="UUW2474" s="115"/>
      <c r="UUX2474" s="115"/>
      <c r="UUY2474" s="115"/>
      <c r="UUZ2474" s="115"/>
      <c r="UVA2474" s="115"/>
      <c r="UVB2474" s="115"/>
      <c r="UVC2474" s="115"/>
      <c r="UVD2474" s="115"/>
      <c r="UVE2474" s="115"/>
      <c r="UVF2474" s="115"/>
      <c r="UVG2474" s="115"/>
      <c r="UVH2474" s="115"/>
      <c r="UVI2474" s="115"/>
      <c r="UVJ2474" s="115"/>
      <c r="UVK2474" s="115"/>
      <c r="UVL2474" s="115"/>
      <c r="UVM2474" s="115"/>
      <c r="UVN2474" s="115"/>
      <c r="UVO2474" s="115"/>
      <c r="UVP2474" s="115"/>
      <c r="UVQ2474" s="115"/>
      <c r="UVR2474" s="115"/>
      <c r="UVS2474" s="115"/>
      <c r="UVT2474" s="115"/>
      <c r="UVU2474" s="115"/>
      <c r="UVV2474" s="115"/>
      <c r="UVW2474" s="115"/>
      <c r="UVX2474" s="115"/>
      <c r="UVY2474" s="115"/>
      <c r="UVZ2474" s="115"/>
      <c r="UWA2474" s="115"/>
      <c r="UWB2474" s="115"/>
      <c r="UWC2474" s="115"/>
      <c r="UWD2474" s="115"/>
      <c r="UWE2474" s="115"/>
      <c r="UWF2474" s="115"/>
      <c r="UWG2474" s="115"/>
      <c r="UWH2474" s="115"/>
      <c r="UWI2474" s="115"/>
      <c r="UWJ2474" s="115"/>
      <c r="UWK2474" s="115"/>
      <c r="UWL2474" s="115"/>
      <c r="UWM2474" s="115"/>
      <c r="UWN2474" s="115"/>
      <c r="UWO2474" s="115"/>
      <c r="UWP2474" s="115"/>
      <c r="UWQ2474" s="115"/>
      <c r="UWR2474" s="115"/>
      <c r="UWS2474" s="115"/>
      <c r="UWT2474" s="115"/>
      <c r="UWU2474" s="115"/>
      <c r="UWV2474" s="115"/>
      <c r="UWW2474" s="115"/>
      <c r="UWX2474" s="115"/>
      <c r="UWY2474" s="115"/>
      <c r="UWZ2474" s="115"/>
      <c r="UXA2474" s="115"/>
      <c r="UXB2474" s="115"/>
      <c r="UXC2474" s="115"/>
      <c r="UXD2474" s="115"/>
      <c r="UXE2474" s="115"/>
      <c r="UXF2474" s="115"/>
      <c r="UXG2474" s="115"/>
      <c r="UXH2474" s="115"/>
      <c r="UXI2474" s="115"/>
      <c r="UXJ2474" s="115"/>
      <c r="UXK2474" s="115"/>
      <c r="UXL2474" s="115"/>
      <c r="UXM2474" s="115"/>
      <c r="UXN2474" s="115"/>
      <c r="UXO2474" s="115"/>
      <c r="UXP2474" s="115"/>
      <c r="UXQ2474" s="115"/>
      <c r="UXR2474" s="115"/>
      <c r="UXS2474" s="115"/>
      <c r="UXT2474" s="115"/>
      <c r="UXU2474" s="115"/>
      <c r="UXV2474" s="115"/>
      <c r="UXW2474" s="115"/>
      <c r="UXX2474" s="115"/>
      <c r="UXY2474" s="115"/>
      <c r="UXZ2474" s="115"/>
      <c r="UYA2474" s="115"/>
      <c r="UYB2474" s="115"/>
      <c r="UYC2474" s="115"/>
      <c r="UYD2474" s="115"/>
      <c r="UYE2474" s="115"/>
      <c r="UYF2474" s="115"/>
      <c r="UYG2474" s="115"/>
      <c r="UYH2474" s="115"/>
      <c r="UYI2474" s="115"/>
      <c r="UYJ2474" s="115"/>
      <c r="UYK2474" s="115"/>
      <c r="UYL2474" s="115"/>
      <c r="UYM2474" s="115"/>
      <c r="UYN2474" s="115"/>
      <c r="UYO2474" s="115"/>
      <c r="UYP2474" s="115"/>
      <c r="UYQ2474" s="115"/>
      <c r="UYR2474" s="115"/>
      <c r="UYS2474" s="115"/>
      <c r="UYT2474" s="115"/>
      <c r="UYU2474" s="115"/>
      <c r="UYV2474" s="115"/>
      <c r="UYW2474" s="115"/>
      <c r="UYX2474" s="115"/>
      <c r="UYY2474" s="115"/>
      <c r="UYZ2474" s="115"/>
      <c r="UZA2474" s="115"/>
      <c r="UZB2474" s="115"/>
      <c r="UZC2474" s="115"/>
      <c r="UZD2474" s="115"/>
      <c r="UZE2474" s="115"/>
      <c r="UZF2474" s="115"/>
      <c r="UZG2474" s="115"/>
      <c r="UZH2474" s="115"/>
      <c r="UZI2474" s="115"/>
      <c r="UZJ2474" s="115"/>
      <c r="UZK2474" s="115"/>
      <c r="UZL2474" s="115"/>
      <c r="UZM2474" s="115"/>
      <c r="UZN2474" s="115"/>
      <c r="UZO2474" s="115"/>
      <c r="UZP2474" s="115"/>
      <c r="UZQ2474" s="115"/>
      <c r="UZR2474" s="115"/>
      <c r="UZS2474" s="115"/>
      <c r="UZT2474" s="115"/>
      <c r="UZU2474" s="115"/>
      <c r="UZV2474" s="115"/>
      <c r="UZW2474" s="115"/>
      <c r="UZX2474" s="115"/>
      <c r="UZY2474" s="115"/>
      <c r="UZZ2474" s="115"/>
      <c r="VAA2474" s="115"/>
      <c r="VAB2474" s="115"/>
      <c r="VAC2474" s="115"/>
      <c r="VAD2474" s="115"/>
      <c r="VAE2474" s="115"/>
      <c r="VAF2474" s="115"/>
      <c r="VAG2474" s="115"/>
      <c r="VAH2474" s="115"/>
      <c r="VAI2474" s="115"/>
      <c r="VAJ2474" s="115"/>
      <c r="VAK2474" s="115"/>
      <c r="VAL2474" s="115"/>
      <c r="VAM2474" s="115"/>
      <c r="VAN2474" s="115"/>
      <c r="VAO2474" s="115"/>
      <c r="VAP2474" s="115"/>
      <c r="VAQ2474" s="115"/>
      <c r="VAR2474" s="115"/>
      <c r="VAS2474" s="115"/>
      <c r="VAT2474" s="115"/>
      <c r="VAU2474" s="115"/>
      <c r="VAV2474" s="115"/>
      <c r="VAW2474" s="115"/>
      <c r="VAX2474" s="115"/>
      <c r="VAY2474" s="115"/>
      <c r="VAZ2474" s="115"/>
      <c r="VBA2474" s="115"/>
      <c r="VBB2474" s="115"/>
      <c r="VBC2474" s="115"/>
      <c r="VBD2474" s="115"/>
      <c r="VBE2474" s="115"/>
      <c r="VBF2474" s="115"/>
      <c r="VBG2474" s="115"/>
      <c r="VBH2474" s="115"/>
      <c r="VBI2474" s="115"/>
      <c r="VBJ2474" s="115"/>
      <c r="VBK2474" s="115"/>
      <c r="VBL2474" s="115"/>
      <c r="VBM2474" s="115"/>
      <c r="VBN2474" s="115"/>
      <c r="VBO2474" s="115"/>
      <c r="VBP2474" s="115"/>
      <c r="VBQ2474" s="115"/>
      <c r="VBR2474" s="115"/>
      <c r="VBS2474" s="115"/>
      <c r="VBT2474" s="115"/>
      <c r="VBU2474" s="115"/>
      <c r="VBV2474" s="115"/>
      <c r="VBW2474" s="115"/>
      <c r="VBX2474" s="115"/>
      <c r="VBY2474" s="115"/>
      <c r="VBZ2474" s="115"/>
      <c r="VCA2474" s="115"/>
      <c r="VCB2474" s="115"/>
      <c r="VCC2474" s="115"/>
      <c r="VCD2474" s="115"/>
      <c r="VCE2474" s="115"/>
      <c r="VCF2474" s="115"/>
      <c r="VCG2474" s="115"/>
      <c r="VCH2474" s="115"/>
      <c r="VCI2474" s="115"/>
      <c r="VCJ2474" s="115"/>
      <c r="VCK2474" s="115"/>
      <c r="VCL2474" s="115"/>
      <c r="VCM2474" s="115"/>
      <c r="VCN2474" s="115"/>
      <c r="VCO2474" s="115"/>
      <c r="VCP2474" s="115"/>
      <c r="VCQ2474" s="115"/>
      <c r="VCR2474" s="115"/>
      <c r="VCS2474" s="115"/>
      <c r="VCT2474" s="115"/>
      <c r="VCU2474" s="115"/>
      <c r="VCV2474" s="115"/>
      <c r="VCW2474" s="115"/>
      <c r="VCX2474" s="115"/>
      <c r="VCY2474" s="115"/>
      <c r="VCZ2474" s="115"/>
      <c r="VDA2474" s="115"/>
      <c r="VDB2474" s="115"/>
      <c r="VDC2474" s="115"/>
      <c r="VDD2474" s="115"/>
      <c r="VDE2474" s="115"/>
      <c r="VDF2474" s="115"/>
      <c r="VDG2474" s="115"/>
      <c r="VDH2474" s="115"/>
      <c r="VDI2474" s="115"/>
      <c r="VDJ2474" s="115"/>
      <c r="VDK2474" s="115"/>
      <c r="VDL2474" s="115"/>
      <c r="VDM2474" s="115"/>
      <c r="VDN2474" s="115"/>
      <c r="VDO2474" s="115"/>
      <c r="VDP2474" s="115"/>
      <c r="VDQ2474" s="115"/>
      <c r="VDR2474" s="115"/>
      <c r="VDS2474" s="115"/>
      <c r="VDT2474" s="115"/>
      <c r="VDU2474" s="115"/>
      <c r="VDV2474" s="115"/>
      <c r="VDW2474" s="115"/>
      <c r="VDX2474" s="115"/>
      <c r="VDY2474" s="115"/>
      <c r="VDZ2474" s="115"/>
      <c r="VEA2474" s="115"/>
      <c r="VEB2474" s="115"/>
      <c r="VEC2474" s="115"/>
      <c r="VED2474" s="115"/>
      <c r="VEE2474" s="115"/>
      <c r="VEF2474" s="115"/>
      <c r="VEG2474" s="115"/>
      <c r="VEH2474" s="115"/>
      <c r="VEI2474" s="115"/>
      <c r="VEJ2474" s="115"/>
      <c r="VEK2474" s="115"/>
      <c r="VEL2474" s="115"/>
      <c r="VEM2474" s="115"/>
      <c r="VEN2474" s="115"/>
      <c r="VEO2474" s="115"/>
      <c r="VEP2474" s="115"/>
      <c r="VEQ2474" s="115"/>
      <c r="VER2474" s="115"/>
      <c r="VES2474" s="115"/>
      <c r="VET2474" s="115"/>
      <c r="VEU2474" s="115"/>
      <c r="VEV2474" s="115"/>
      <c r="VEW2474" s="115"/>
      <c r="VEX2474" s="115"/>
      <c r="VEY2474" s="115"/>
      <c r="VEZ2474" s="115"/>
      <c r="VFA2474" s="115"/>
      <c r="VFB2474" s="115"/>
      <c r="VFC2474" s="115"/>
      <c r="VFD2474" s="115"/>
      <c r="VFE2474" s="115"/>
      <c r="VFF2474" s="115"/>
      <c r="VFG2474" s="115"/>
      <c r="VFH2474" s="115"/>
      <c r="VFI2474" s="115"/>
      <c r="VFJ2474" s="115"/>
      <c r="VFK2474" s="115"/>
      <c r="VFL2474" s="115"/>
      <c r="VFM2474" s="115"/>
      <c r="VFN2474" s="115"/>
      <c r="VFO2474" s="115"/>
      <c r="VFP2474" s="115"/>
      <c r="VFQ2474" s="115"/>
      <c r="VFR2474" s="115"/>
      <c r="VFS2474" s="115"/>
      <c r="VFT2474" s="115"/>
      <c r="VFU2474" s="115"/>
      <c r="VFV2474" s="115"/>
      <c r="VFW2474" s="115"/>
      <c r="VFX2474" s="115"/>
      <c r="VFY2474" s="115"/>
      <c r="VFZ2474" s="115"/>
      <c r="VGA2474" s="115"/>
      <c r="VGB2474" s="115"/>
      <c r="VGC2474" s="115"/>
      <c r="VGD2474" s="115"/>
      <c r="VGE2474" s="115"/>
      <c r="VGF2474" s="115"/>
      <c r="VGG2474" s="115"/>
      <c r="VGH2474" s="115"/>
      <c r="VGI2474" s="115"/>
      <c r="VGJ2474" s="115"/>
      <c r="VGK2474" s="115"/>
      <c r="VGL2474" s="115"/>
      <c r="VGM2474" s="115"/>
      <c r="VGN2474" s="115"/>
      <c r="VGO2474" s="115"/>
      <c r="VGP2474" s="115"/>
      <c r="VGQ2474" s="115"/>
      <c r="VGR2474" s="115"/>
      <c r="VGS2474" s="115"/>
      <c r="VGT2474" s="115"/>
      <c r="VGU2474" s="115"/>
      <c r="VGV2474" s="115"/>
      <c r="VGW2474" s="115"/>
      <c r="VGX2474" s="115"/>
      <c r="VGY2474" s="115"/>
      <c r="VGZ2474" s="115"/>
      <c r="VHA2474" s="115"/>
      <c r="VHB2474" s="115"/>
      <c r="VHC2474" s="115"/>
      <c r="VHD2474" s="115"/>
      <c r="VHE2474" s="115"/>
      <c r="VHF2474" s="115"/>
      <c r="VHG2474" s="115"/>
      <c r="VHH2474" s="115"/>
      <c r="VHI2474" s="115"/>
      <c r="VHJ2474" s="115"/>
      <c r="VHK2474" s="115"/>
      <c r="VHL2474" s="115"/>
      <c r="VHM2474" s="115"/>
      <c r="VHN2474" s="115"/>
      <c r="VHO2474" s="115"/>
      <c r="VHP2474" s="115"/>
      <c r="VHQ2474" s="115"/>
      <c r="VHR2474" s="115"/>
      <c r="VHS2474" s="115"/>
      <c r="VHT2474" s="115"/>
      <c r="VHU2474" s="115"/>
      <c r="VHV2474" s="115"/>
      <c r="VHW2474" s="115"/>
      <c r="VHX2474" s="115"/>
      <c r="VHY2474" s="115"/>
      <c r="VHZ2474" s="115"/>
      <c r="VIA2474" s="115"/>
      <c r="VIB2474" s="115"/>
      <c r="VIC2474" s="115"/>
      <c r="VID2474" s="115"/>
      <c r="VIE2474" s="115"/>
      <c r="VIF2474" s="115"/>
      <c r="VIG2474" s="115"/>
      <c r="VIH2474" s="115"/>
      <c r="VII2474" s="115"/>
      <c r="VIJ2474" s="115"/>
      <c r="VIK2474" s="115"/>
      <c r="VIL2474" s="115"/>
      <c r="VIM2474" s="115"/>
      <c r="VIN2474" s="115"/>
      <c r="VIO2474" s="115"/>
      <c r="VIP2474" s="115"/>
      <c r="VIQ2474" s="115"/>
      <c r="VIR2474" s="115"/>
      <c r="VIS2474" s="115"/>
      <c r="VIT2474" s="115"/>
      <c r="VIU2474" s="115"/>
      <c r="VIV2474" s="115"/>
      <c r="VIW2474" s="115"/>
      <c r="VIX2474" s="115"/>
      <c r="VIY2474" s="115"/>
      <c r="VIZ2474" s="115"/>
      <c r="VJA2474" s="115"/>
      <c r="VJB2474" s="115"/>
      <c r="VJC2474" s="115"/>
      <c r="VJD2474" s="115"/>
      <c r="VJE2474" s="115"/>
      <c r="VJF2474" s="115"/>
      <c r="VJG2474" s="115"/>
      <c r="VJH2474" s="115"/>
      <c r="VJI2474" s="115"/>
      <c r="VJJ2474" s="115"/>
      <c r="VJK2474" s="115"/>
      <c r="VJL2474" s="115"/>
      <c r="VJM2474" s="115"/>
      <c r="VJN2474" s="115"/>
      <c r="VJO2474" s="115"/>
      <c r="VJP2474" s="115"/>
      <c r="VJQ2474" s="115"/>
      <c r="VJR2474" s="115"/>
      <c r="VJS2474" s="115"/>
      <c r="VJT2474" s="115"/>
      <c r="VJU2474" s="115"/>
      <c r="VJV2474" s="115"/>
      <c r="VJW2474" s="115"/>
      <c r="VJX2474" s="115"/>
      <c r="VJY2474" s="115"/>
      <c r="VJZ2474" s="115"/>
      <c r="VKA2474" s="115"/>
      <c r="VKB2474" s="115"/>
      <c r="VKC2474" s="115"/>
      <c r="VKD2474" s="115"/>
      <c r="VKE2474" s="115"/>
      <c r="VKF2474" s="115"/>
      <c r="VKG2474" s="115"/>
      <c r="VKH2474" s="115"/>
      <c r="VKI2474" s="115"/>
      <c r="VKJ2474" s="115"/>
      <c r="VKK2474" s="115"/>
      <c r="VKL2474" s="115"/>
      <c r="VKM2474" s="115"/>
      <c r="VKN2474" s="115"/>
      <c r="VKO2474" s="115"/>
      <c r="VKP2474" s="115"/>
      <c r="VKQ2474" s="115"/>
      <c r="VKR2474" s="115"/>
      <c r="VKS2474" s="115"/>
      <c r="VKT2474" s="115"/>
      <c r="VKU2474" s="115"/>
      <c r="VKV2474" s="115"/>
      <c r="VKW2474" s="115"/>
      <c r="VKX2474" s="115"/>
      <c r="VKY2474" s="115"/>
      <c r="VKZ2474" s="115"/>
      <c r="VLA2474" s="115"/>
      <c r="VLB2474" s="115"/>
      <c r="VLC2474" s="115"/>
      <c r="VLD2474" s="115"/>
      <c r="VLE2474" s="115"/>
      <c r="VLF2474" s="115"/>
      <c r="VLG2474" s="115"/>
      <c r="VLH2474" s="115"/>
      <c r="VLI2474" s="115"/>
      <c r="VLJ2474" s="115"/>
      <c r="VLK2474" s="115"/>
      <c r="VLL2474" s="115"/>
      <c r="VLM2474" s="115"/>
      <c r="VLN2474" s="115"/>
      <c r="VLO2474" s="115"/>
      <c r="VLP2474" s="115"/>
      <c r="VLQ2474" s="115"/>
      <c r="VLR2474" s="115"/>
      <c r="VLS2474" s="115"/>
      <c r="VLT2474" s="115"/>
      <c r="VLU2474" s="115"/>
      <c r="VLV2474" s="115"/>
      <c r="VLW2474" s="115"/>
      <c r="VLX2474" s="115"/>
      <c r="VLY2474" s="115"/>
      <c r="VLZ2474" s="115"/>
      <c r="VMA2474" s="115"/>
      <c r="VMB2474" s="115"/>
      <c r="VMC2474" s="115"/>
      <c r="VMD2474" s="115"/>
      <c r="VME2474" s="115"/>
      <c r="VMF2474" s="115"/>
      <c r="VMG2474" s="115"/>
      <c r="VMH2474" s="115"/>
      <c r="VMI2474" s="115"/>
      <c r="VMJ2474" s="115"/>
      <c r="VMK2474" s="115"/>
      <c r="VML2474" s="115"/>
      <c r="VMM2474" s="115"/>
      <c r="VMN2474" s="115"/>
      <c r="VMO2474" s="115"/>
      <c r="VMP2474" s="115"/>
      <c r="VMQ2474" s="115"/>
      <c r="VMR2474" s="115"/>
      <c r="VMS2474" s="115"/>
      <c r="VMT2474" s="115"/>
      <c r="VMU2474" s="115"/>
      <c r="VMV2474" s="115"/>
      <c r="VMW2474" s="115"/>
      <c r="VMX2474" s="115"/>
      <c r="VMY2474" s="115"/>
      <c r="VMZ2474" s="115"/>
      <c r="VNA2474" s="115"/>
      <c r="VNB2474" s="115"/>
      <c r="VNC2474" s="115"/>
      <c r="VND2474" s="115"/>
      <c r="VNE2474" s="115"/>
      <c r="VNF2474" s="115"/>
      <c r="VNG2474" s="115"/>
      <c r="VNH2474" s="115"/>
      <c r="VNI2474" s="115"/>
      <c r="VNJ2474" s="115"/>
      <c r="VNK2474" s="115"/>
      <c r="VNL2474" s="115"/>
      <c r="VNM2474" s="115"/>
      <c r="VNN2474" s="115"/>
      <c r="VNO2474" s="115"/>
      <c r="VNP2474" s="115"/>
      <c r="VNQ2474" s="115"/>
      <c r="VNR2474" s="115"/>
      <c r="VNS2474" s="115"/>
      <c r="VNT2474" s="115"/>
      <c r="VNU2474" s="115"/>
      <c r="VNV2474" s="115"/>
      <c r="VNW2474" s="115"/>
      <c r="VNX2474" s="115"/>
      <c r="VNY2474" s="115"/>
      <c r="VNZ2474" s="115"/>
      <c r="VOA2474" s="115"/>
      <c r="VOB2474" s="115"/>
      <c r="VOC2474" s="115"/>
      <c r="VOD2474" s="115"/>
      <c r="VOE2474" s="115"/>
      <c r="VOF2474" s="115"/>
      <c r="VOG2474" s="115"/>
      <c r="VOH2474" s="115"/>
      <c r="VOI2474" s="115"/>
      <c r="VOJ2474" s="115"/>
      <c r="VOK2474" s="115"/>
      <c r="VOL2474" s="115"/>
      <c r="VOM2474" s="115"/>
      <c r="VON2474" s="115"/>
      <c r="VOO2474" s="115"/>
      <c r="VOP2474" s="115"/>
      <c r="VOQ2474" s="115"/>
      <c r="VOR2474" s="115"/>
      <c r="VOS2474" s="115"/>
      <c r="VOT2474" s="115"/>
      <c r="VOU2474" s="115"/>
      <c r="VOV2474" s="115"/>
      <c r="VOW2474" s="115"/>
      <c r="VOX2474" s="115"/>
      <c r="VOY2474" s="115"/>
      <c r="VOZ2474" s="115"/>
      <c r="VPA2474" s="115"/>
      <c r="VPB2474" s="115"/>
      <c r="VPC2474" s="115"/>
      <c r="VPD2474" s="115"/>
      <c r="VPE2474" s="115"/>
      <c r="VPF2474" s="115"/>
      <c r="VPG2474" s="115"/>
      <c r="VPH2474" s="115"/>
      <c r="VPI2474" s="115"/>
      <c r="VPJ2474" s="115"/>
      <c r="VPK2474" s="115"/>
      <c r="VPL2474" s="115"/>
      <c r="VPM2474" s="115"/>
      <c r="VPN2474" s="115"/>
      <c r="VPO2474" s="115"/>
      <c r="VPP2474" s="115"/>
      <c r="VPQ2474" s="115"/>
      <c r="VPR2474" s="115"/>
      <c r="VPS2474" s="115"/>
      <c r="VPT2474" s="115"/>
      <c r="VPU2474" s="115"/>
      <c r="VPV2474" s="115"/>
      <c r="VPW2474" s="115"/>
      <c r="VPX2474" s="115"/>
      <c r="VPY2474" s="115"/>
      <c r="VPZ2474" s="115"/>
      <c r="VQA2474" s="115"/>
      <c r="VQB2474" s="115"/>
      <c r="VQC2474" s="115"/>
      <c r="VQD2474" s="115"/>
      <c r="VQE2474" s="115"/>
      <c r="VQF2474" s="115"/>
      <c r="VQG2474" s="115"/>
      <c r="VQH2474" s="115"/>
      <c r="VQI2474" s="115"/>
      <c r="VQJ2474" s="115"/>
      <c r="VQK2474" s="115"/>
      <c r="VQL2474" s="115"/>
      <c r="VQM2474" s="115"/>
      <c r="VQN2474" s="115"/>
      <c r="VQO2474" s="115"/>
      <c r="VQP2474" s="115"/>
      <c r="VQQ2474" s="115"/>
      <c r="VQR2474" s="115"/>
      <c r="VQS2474" s="115"/>
      <c r="VQT2474" s="115"/>
      <c r="VQU2474" s="115"/>
      <c r="VQV2474" s="115"/>
      <c r="VQW2474" s="115"/>
      <c r="VQX2474" s="115"/>
      <c r="VQY2474" s="115"/>
      <c r="VQZ2474" s="115"/>
      <c r="VRA2474" s="115"/>
      <c r="VRB2474" s="115"/>
      <c r="VRC2474" s="115"/>
      <c r="VRD2474" s="115"/>
      <c r="VRE2474" s="115"/>
      <c r="VRF2474" s="115"/>
      <c r="VRG2474" s="115"/>
      <c r="VRH2474" s="115"/>
      <c r="VRI2474" s="115"/>
      <c r="VRJ2474" s="115"/>
      <c r="VRK2474" s="115"/>
      <c r="VRL2474" s="115"/>
      <c r="VRM2474" s="115"/>
      <c r="VRN2474" s="115"/>
      <c r="VRO2474" s="115"/>
      <c r="VRP2474" s="115"/>
      <c r="VRQ2474" s="115"/>
      <c r="VRR2474" s="115"/>
      <c r="VRS2474" s="115"/>
      <c r="VRT2474" s="115"/>
      <c r="VRU2474" s="115"/>
      <c r="VRV2474" s="115"/>
      <c r="VRW2474" s="115"/>
      <c r="VRX2474" s="115"/>
      <c r="VRY2474" s="115"/>
      <c r="VRZ2474" s="115"/>
      <c r="VSA2474" s="115"/>
      <c r="VSB2474" s="115"/>
      <c r="VSC2474" s="115"/>
      <c r="VSD2474" s="115"/>
      <c r="VSE2474" s="115"/>
      <c r="VSF2474" s="115"/>
      <c r="VSG2474" s="115"/>
      <c r="VSH2474" s="115"/>
      <c r="VSI2474" s="115"/>
      <c r="VSJ2474" s="115"/>
      <c r="VSK2474" s="115"/>
      <c r="VSL2474" s="115"/>
      <c r="VSM2474" s="115"/>
      <c r="VSN2474" s="115"/>
      <c r="VSO2474" s="115"/>
      <c r="VSP2474" s="115"/>
      <c r="VSQ2474" s="115"/>
      <c r="VSR2474" s="115"/>
      <c r="VSS2474" s="115"/>
      <c r="VST2474" s="115"/>
      <c r="VSU2474" s="115"/>
      <c r="VSV2474" s="115"/>
      <c r="VSW2474" s="115"/>
      <c r="VSX2474" s="115"/>
      <c r="VSY2474" s="115"/>
      <c r="VSZ2474" s="115"/>
      <c r="VTA2474" s="115"/>
      <c r="VTB2474" s="115"/>
      <c r="VTC2474" s="115"/>
      <c r="VTD2474" s="115"/>
      <c r="VTE2474" s="115"/>
      <c r="VTF2474" s="115"/>
      <c r="VTG2474" s="115"/>
      <c r="VTH2474" s="115"/>
      <c r="VTI2474" s="115"/>
      <c r="VTJ2474" s="115"/>
      <c r="VTK2474" s="115"/>
      <c r="VTL2474" s="115"/>
      <c r="VTM2474" s="115"/>
      <c r="VTN2474" s="115"/>
      <c r="VTO2474" s="115"/>
      <c r="VTP2474" s="115"/>
      <c r="VTQ2474" s="115"/>
      <c r="VTR2474" s="115"/>
      <c r="VTS2474" s="115"/>
      <c r="VTT2474" s="115"/>
      <c r="VTU2474" s="115"/>
      <c r="VTV2474" s="115"/>
      <c r="VTW2474" s="115"/>
      <c r="VTX2474" s="115"/>
      <c r="VTY2474" s="115"/>
      <c r="VTZ2474" s="115"/>
      <c r="VUA2474" s="115"/>
      <c r="VUB2474" s="115"/>
      <c r="VUC2474" s="115"/>
      <c r="VUD2474" s="115"/>
      <c r="VUE2474" s="115"/>
      <c r="VUF2474" s="115"/>
      <c r="VUG2474" s="115"/>
      <c r="VUH2474" s="115"/>
      <c r="VUI2474" s="115"/>
      <c r="VUJ2474" s="115"/>
      <c r="VUK2474" s="115"/>
      <c r="VUL2474" s="115"/>
      <c r="VUM2474" s="115"/>
      <c r="VUN2474" s="115"/>
      <c r="VUO2474" s="115"/>
      <c r="VUP2474" s="115"/>
      <c r="VUQ2474" s="115"/>
      <c r="VUR2474" s="115"/>
      <c r="VUS2474" s="115"/>
      <c r="VUT2474" s="115"/>
      <c r="VUU2474" s="115"/>
      <c r="VUV2474" s="115"/>
      <c r="VUW2474" s="115"/>
      <c r="VUX2474" s="115"/>
      <c r="VUY2474" s="115"/>
      <c r="VUZ2474" s="115"/>
      <c r="VVA2474" s="115"/>
      <c r="VVB2474" s="115"/>
      <c r="VVC2474" s="115"/>
      <c r="VVD2474" s="115"/>
      <c r="VVE2474" s="115"/>
      <c r="VVF2474" s="115"/>
      <c r="VVG2474" s="115"/>
      <c r="VVH2474" s="115"/>
      <c r="VVI2474" s="115"/>
      <c r="VVJ2474" s="115"/>
      <c r="VVK2474" s="115"/>
      <c r="VVL2474" s="115"/>
      <c r="VVM2474" s="115"/>
      <c r="VVN2474" s="115"/>
      <c r="VVO2474" s="115"/>
      <c r="VVP2474" s="115"/>
      <c r="VVQ2474" s="115"/>
      <c r="VVR2474" s="115"/>
      <c r="VVS2474" s="115"/>
      <c r="VVT2474" s="115"/>
      <c r="VVU2474" s="115"/>
      <c r="VVV2474" s="115"/>
      <c r="VVW2474" s="115"/>
      <c r="VVX2474" s="115"/>
      <c r="VVY2474" s="115"/>
      <c r="VVZ2474" s="115"/>
      <c r="VWA2474" s="115"/>
      <c r="VWB2474" s="115"/>
      <c r="VWC2474" s="115"/>
      <c r="VWD2474" s="115"/>
      <c r="VWE2474" s="115"/>
      <c r="VWF2474" s="115"/>
      <c r="VWG2474" s="115"/>
      <c r="VWH2474" s="115"/>
      <c r="VWI2474" s="115"/>
      <c r="VWJ2474" s="115"/>
      <c r="VWK2474" s="115"/>
      <c r="VWL2474" s="115"/>
      <c r="VWM2474" s="115"/>
      <c r="VWN2474" s="115"/>
      <c r="VWO2474" s="115"/>
      <c r="VWP2474" s="115"/>
      <c r="VWQ2474" s="115"/>
      <c r="VWR2474" s="115"/>
      <c r="VWS2474" s="115"/>
      <c r="VWT2474" s="115"/>
      <c r="VWU2474" s="115"/>
      <c r="VWV2474" s="115"/>
      <c r="VWW2474" s="115"/>
      <c r="VWX2474" s="115"/>
      <c r="VWY2474" s="115"/>
      <c r="VWZ2474" s="115"/>
      <c r="VXA2474" s="115"/>
      <c r="VXB2474" s="115"/>
      <c r="VXC2474" s="115"/>
      <c r="VXD2474" s="115"/>
      <c r="VXE2474" s="115"/>
      <c r="VXF2474" s="115"/>
      <c r="VXG2474" s="115"/>
      <c r="VXH2474" s="115"/>
      <c r="VXI2474" s="115"/>
      <c r="VXJ2474" s="115"/>
      <c r="VXK2474" s="115"/>
      <c r="VXL2474" s="115"/>
      <c r="VXM2474" s="115"/>
      <c r="VXN2474" s="115"/>
      <c r="VXO2474" s="115"/>
      <c r="VXP2474" s="115"/>
      <c r="VXQ2474" s="115"/>
      <c r="VXR2474" s="115"/>
      <c r="VXS2474" s="115"/>
      <c r="VXT2474" s="115"/>
      <c r="VXU2474" s="115"/>
      <c r="VXV2474" s="115"/>
      <c r="VXW2474" s="115"/>
      <c r="VXX2474" s="115"/>
      <c r="VXY2474" s="115"/>
      <c r="VXZ2474" s="115"/>
      <c r="VYA2474" s="115"/>
      <c r="VYB2474" s="115"/>
      <c r="VYC2474" s="115"/>
      <c r="VYD2474" s="115"/>
      <c r="VYE2474" s="115"/>
      <c r="VYF2474" s="115"/>
      <c r="VYG2474" s="115"/>
      <c r="VYH2474" s="115"/>
      <c r="VYI2474" s="115"/>
      <c r="VYJ2474" s="115"/>
      <c r="VYK2474" s="115"/>
      <c r="VYL2474" s="115"/>
      <c r="VYM2474" s="115"/>
      <c r="VYN2474" s="115"/>
      <c r="VYO2474" s="115"/>
      <c r="VYP2474" s="115"/>
      <c r="VYQ2474" s="115"/>
      <c r="VYR2474" s="115"/>
      <c r="VYS2474" s="115"/>
      <c r="VYT2474" s="115"/>
      <c r="VYU2474" s="115"/>
      <c r="VYV2474" s="115"/>
      <c r="VYW2474" s="115"/>
      <c r="VYX2474" s="115"/>
      <c r="VYY2474" s="115"/>
      <c r="VYZ2474" s="115"/>
      <c r="VZA2474" s="115"/>
      <c r="VZB2474" s="115"/>
      <c r="VZC2474" s="115"/>
      <c r="VZD2474" s="115"/>
      <c r="VZE2474" s="115"/>
      <c r="VZF2474" s="115"/>
      <c r="VZG2474" s="115"/>
      <c r="VZH2474" s="115"/>
      <c r="VZI2474" s="115"/>
      <c r="VZJ2474" s="115"/>
      <c r="VZK2474" s="115"/>
      <c r="VZL2474" s="115"/>
      <c r="VZM2474" s="115"/>
      <c r="VZN2474" s="115"/>
      <c r="VZO2474" s="115"/>
      <c r="VZP2474" s="115"/>
      <c r="VZQ2474" s="115"/>
      <c r="VZR2474" s="115"/>
      <c r="VZS2474" s="115"/>
      <c r="VZT2474" s="115"/>
      <c r="VZU2474" s="115"/>
      <c r="VZV2474" s="115"/>
      <c r="VZW2474" s="115"/>
      <c r="VZX2474" s="115"/>
      <c r="VZY2474" s="115"/>
      <c r="VZZ2474" s="115"/>
      <c r="WAA2474" s="115"/>
      <c r="WAB2474" s="115"/>
      <c r="WAC2474" s="115"/>
      <c r="WAD2474" s="115"/>
      <c r="WAE2474" s="115"/>
      <c r="WAF2474" s="115"/>
      <c r="WAG2474" s="115"/>
      <c r="WAH2474" s="115"/>
      <c r="WAI2474" s="115"/>
      <c r="WAJ2474" s="115"/>
      <c r="WAK2474" s="115"/>
      <c r="WAL2474" s="115"/>
      <c r="WAM2474" s="115"/>
      <c r="WAN2474" s="115"/>
      <c r="WAO2474" s="115"/>
      <c r="WAP2474" s="115"/>
      <c r="WAQ2474" s="115"/>
      <c r="WAR2474" s="115"/>
      <c r="WAS2474" s="115"/>
      <c r="WAT2474" s="115"/>
      <c r="WAU2474" s="115"/>
      <c r="WAV2474" s="115"/>
      <c r="WAW2474" s="115"/>
      <c r="WAX2474" s="115"/>
      <c r="WAY2474" s="115"/>
      <c r="WAZ2474" s="115"/>
      <c r="WBA2474" s="115"/>
      <c r="WBB2474" s="115"/>
      <c r="WBC2474" s="115"/>
      <c r="WBD2474" s="115"/>
      <c r="WBE2474" s="115"/>
      <c r="WBF2474" s="115"/>
      <c r="WBG2474" s="115"/>
      <c r="WBH2474" s="115"/>
      <c r="WBI2474" s="115"/>
      <c r="WBJ2474" s="115"/>
      <c r="WBK2474" s="115"/>
      <c r="WBL2474" s="115"/>
      <c r="WBM2474" s="115"/>
      <c r="WBN2474" s="115"/>
      <c r="WBO2474" s="115"/>
      <c r="WBP2474" s="115"/>
      <c r="WBQ2474" s="115"/>
      <c r="WBR2474" s="115"/>
      <c r="WBS2474" s="115"/>
      <c r="WBT2474" s="115"/>
      <c r="WBU2474" s="115"/>
      <c r="WBV2474" s="115"/>
      <c r="WBW2474" s="115"/>
      <c r="WBX2474" s="115"/>
      <c r="WBY2474" s="115"/>
      <c r="WBZ2474" s="115"/>
      <c r="WCA2474" s="115"/>
      <c r="WCB2474" s="115"/>
      <c r="WCC2474" s="115"/>
      <c r="WCD2474" s="115"/>
      <c r="WCE2474" s="115"/>
      <c r="WCF2474" s="115"/>
      <c r="WCG2474" s="115"/>
      <c r="WCH2474" s="115"/>
      <c r="WCI2474" s="115"/>
      <c r="WCJ2474" s="115"/>
      <c r="WCK2474" s="115"/>
      <c r="WCL2474" s="115"/>
      <c r="WCM2474" s="115"/>
      <c r="WCN2474" s="115"/>
      <c r="WCO2474" s="115"/>
      <c r="WCP2474" s="115"/>
      <c r="WCQ2474" s="115"/>
      <c r="WCR2474" s="115"/>
      <c r="WCS2474" s="115"/>
      <c r="WCT2474" s="115"/>
      <c r="WCU2474" s="115"/>
      <c r="WCV2474" s="115"/>
      <c r="WCW2474" s="115"/>
      <c r="WCX2474" s="115"/>
      <c r="WCY2474" s="115"/>
      <c r="WCZ2474" s="115"/>
      <c r="WDA2474" s="115"/>
      <c r="WDB2474" s="115"/>
      <c r="WDC2474" s="115"/>
      <c r="WDD2474" s="115"/>
      <c r="WDE2474" s="115"/>
      <c r="WDF2474" s="115"/>
      <c r="WDG2474" s="115"/>
      <c r="WDH2474" s="115"/>
      <c r="WDI2474" s="115"/>
      <c r="WDJ2474" s="115"/>
      <c r="WDK2474" s="115"/>
      <c r="WDL2474" s="115"/>
      <c r="WDM2474" s="115"/>
      <c r="WDN2474" s="115"/>
      <c r="WDO2474" s="115"/>
      <c r="WDP2474" s="115"/>
      <c r="WDQ2474" s="115"/>
      <c r="WDR2474" s="115"/>
      <c r="WDS2474" s="115"/>
      <c r="WDT2474" s="115"/>
      <c r="WDU2474" s="115"/>
      <c r="WDV2474" s="115"/>
      <c r="WDW2474" s="115"/>
      <c r="WDX2474" s="115"/>
      <c r="WDY2474" s="115"/>
      <c r="WDZ2474" s="115"/>
      <c r="WEA2474" s="115"/>
      <c r="WEB2474" s="115"/>
      <c r="WEC2474" s="115"/>
      <c r="WED2474" s="115"/>
      <c r="WEE2474" s="115"/>
      <c r="WEF2474" s="115"/>
      <c r="WEG2474" s="115"/>
      <c r="WEH2474" s="115"/>
      <c r="WEI2474" s="115"/>
      <c r="WEJ2474" s="115"/>
      <c r="WEK2474" s="115"/>
      <c r="WEL2474" s="115"/>
      <c r="WEM2474" s="115"/>
      <c r="WEN2474" s="115"/>
      <c r="WEO2474" s="115"/>
      <c r="WEP2474" s="115"/>
      <c r="WEQ2474" s="115"/>
      <c r="WER2474" s="115"/>
      <c r="WES2474" s="115"/>
      <c r="WET2474" s="115"/>
      <c r="WEU2474" s="115"/>
      <c r="WEV2474" s="115"/>
      <c r="WEW2474" s="115"/>
      <c r="WEX2474" s="115"/>
      <c r="WEY2474" s="115"/>
      <c r="WEZ2474" s="115"/>
      <c r="WFA2474" s="115"/>
      <c r="WFB2474" s="115"/>
      <c r="WFC2474" s="115"/>
      <c r="WFD2474" s="115"/>
      <c r="WFE2474" s="115"/>
      <c r="WFF2474" s="115"/>
      <c r="WFG2474" s="115"/>
      <c r="WFH2474" s="115"/>
      <c r="WFI2474" s="115"/>
      <c r="WFJ2474" s="115"/>
      <c r="WFK2474" s="115"/>
      <c r="WFL2474" s="115"/>
      <c r="WFM2474" s="115"/>
      <c r="WFN2474" s="115"/>
      <c r="WFO2474" s="115"/>
      <c r="WFP2474" s="115"/>
      <c r="WFQ2474" s="115"/>
      <c r="WFR2474" s="115"/>
      <c r="WFS2474" s="115"/>
      <c r="WFT2474" s="115"/>
      <c r="WFU2474" s="115"/>
      <c r="WFV2474" s="115"/>
      <c r="WFW2474" s="115"/>
      <c r="WFX2474" s="115"/>
      <c r="WFY2474" s="115"/>
      <c r="WFZ2474" s="115"/>
      <c r="WGA2474" s="115"/>
      <c r="WGB2474" s="115"/>
      <c r="WGC2474" s="115"/>
      <c r="WGD2474" s="115"/>
      <c r="WGE2474" s="115"/>
      <c r="WGF2474" s="115"/>
      <c r="WGG2474" s="115"/>
      <c r="WGH2474" s="115"/>
      <c r="WGI2474" s="115"/>
      <c r="WGJ2474" s="115"/>
      <c r="WGK2474" s="115"/>
      <c r="WGL2474" s="115"/>
      <c r="WGM2474" s="115"/>
      <c r="WGN2474" s="115"/>
      <c r="WGO2474" s="115"/>
      <c r="WGP2474" s="115"/>
      <c r="WGQ2474" s="115"/>
      <c r="WGR2474" s="115"/>
      <c r="WGS2474" s="115"/>
      <c r="WGT2474" s="115"/>
      <c r="WGU2474" s="115"/>
      <c r="WGV2474" s="115"/>
      <c r="WGW2474" s="115"/>
      <c r="WGX2474" s="115"/>
      <c r="WGY2474" s="115"/>
      <c r="WGZ2474" s="115"/>
      <c r="WHA2474" s="115"/>
      <c r="WHB2474" s="115"/>
      <c r="WHC2474" s="115"/>
      <c r="WHD2474" s="115"/>
      <c r="WHE2474" s="115"/>
      <c r="WHF2474" s="115"/>
      <c r="WHG2474" s="115"/>
      <c r="WHH2474" s="115"/>
      <c r="WHI2474" s="115"/>
      <c r="WHJ2474" s="115"/>
      <c r="WHK2474" s="115"/>
      <c r="WHL2474" s="115"/>
      <c r="WHM2474" s="115"/>
      <c r="WHN2474" s="115"/>
      <c r="WHO2474" s="115"/>
      <c r="WHP2474" s="115"/>
      <c r="WHQ2474" s="115"/>
      <c r="WHR2474" s="115"/>
      <c r="WHS2474" s="115"/>
      <c r="WHT2474" s="115"/>
      <c r="WHU2474" s="115"/>
      <c r="WHV2474" s="115"/>
      <c r="WHW2474" s="115"/>
      <c r="WHX2474" s="115"/>
      <c r="WHY2474" s="115"/>
      <c r="WHZ2474" s="115"/>
      <c r="WIA2474" s="115"/>
      <c r="WIB2474" s="115"/>
      <c r="WIC2474" s="115"/>
      <c r="WID2474" s="115"/>
      <c r="WIE2474" s="115"/>
      <c r="WIF2474" s="115"/>
      <c r="WIG2474" s="115"/>
      <c r="WIH2474" s="115"/>
      <c r="WII2474" s="115"/>
      <c r="WIJ2474" s="115"/>
      <c r="WIK2474" s="115"/>
      <c r="WIL2474" s="115"/>
      <c r="WIM2474" s="115"/>
      <c r="WIN2474" s="115"/>
      <c r="WIO2474" s="115"/>
      <c r="WIP2474" s="115"/>
      <c r="WIQ2474" s="115"/>
      <c r="WIR2474" s="115"/>
      <c r="WIS2474" s="115"/>
      <c r="WIT2474" s="115"/>
      <c r="WIU2474" s="115"/>
      <c r="WIV2474" s="115"/>
      <c r="WIW2474" s="115"/>
      <c r="WIX2474" s="115"/>
      <c r="WIY2474" s="115"/>
      <c r="WIZ2474" s="115"/>
      <c r="WJA2474" s="115"/>
      <c r="WJB2474" s="115"/>
      <c r="WJC2474" s="115"/>
      <c r="WJD2474" s="115"/>
      <c r="WJE2474" s="115"/>
      <c r="WJF2474" s="115"/>
      <c r="WJG2474" s="115"/>
      <c r="WJH2474" s="115"/>
      <c r="WJI2474" s="115"/>
      <c r="WJJ2474" s="115"/>
      <c r="WJK2474" s="115"/>
      <c r="WJL2474" s="115"/>
      <c r="WJM2474" s="115"/>
      <c r="WJN2474" s="115"/>
      <c r="WJO2474" s="115"/>
      <c r="WJP2474" s="115"/>
      <c r="WJQ2474" s="115"/>
      <c r="WJR2474" s="115"/>
      <c r="WJS2474" s="115"/>
      <c r="WJT2474" s="115"/>
      <c r="WJU2474" s="115"/>
      <c r="WJV2474" s="115"/>
      <c r="WJW2474" s="115"/>
      <c r="WJX2474" s="115"/>
      <c r="WJY2474" s="115"/>
      <c r="WJZ2474" s="115"/>
      <c r="WKA2474" s="115"/>
      <c r="WKB2474" s="115"/>
      <c r="WKC2474" s="115"/>
      <c r="WKD2474" s="115"/>
      <c r="WKE2474" s="115"/>
      <c r="WKF2474" s="115"/>
      <c r="WKG2474" s="115"/>
      <c r="WKH2474" s="115"/>
      <c r="WKI2474" s="115"/>
      <c r="WKJ2474" s="115"/>
      <c r="WKK2474" s="115"/>
      <c r="WKL2474" s="115"/>
      <c r="WKM2474" s="115"/>
      <c r="WKN2474" s="115"/>
      <c r="WKO2474" s="115"/>
      <c r="WKP2474" s="115"/>
      <c r="WKQ2474" s="115"/>
      <c r="WKR2474" s="115"/>
      <c r="WKS2474" s="115"/>
      <c r="WKT2474" s="115"/>
      <c r="WKU2474" s="115"/>
      <c r="WKV2474" s="115"/>
      <c r="WKW2474" s="115"/>
      <c r="WKX2474" s="115"/>
      <c r="WKY2474" s="115"/>
      <c r="WKZ2474" s="115"/>
      <c r="WLA2474" s="115"/>
      <c r="WLB2474" s="115"/>
      <c r="WLC2474" s="115"/>
      <c r="WLD2474" s="115"/>
      <c r="WLE2474" s="115"/>
      <c r="WLF2474" s="115"/>
      <c r="WLG2474" s="115"/>
      <c r="WLH2474" s="115"/>
      <c r="WLI2474" s="115"/>
      <c r="WLJ2474" s="115"/>
      <c r="WLK2474" s="115"/>
      <c r="WLL2474" s="115"/>
      <c r="WLM2474" s="115"/>
      <c r="WLN2474" s="115"/>
      <c r="WLO2474" s="115"/>
      <c r="WLP2474" s="115"/>
      <c r="WLQ2474" s="115"/>
      <c r="WLR2474" s="115"/>
      <c r="WLS2474" s="115"/>
      <c r="WLT2474" s="115"/>
      <c r="WLU2474" s="115"/>
      <c r="WLV2474" s="115"/>
      <c r="WLW2474" s="115"/>
      <c r="WLX2474" s="115"/>
      <c r="WLY2474" s="115"/>
      <c r="WLZ2474" s="115"/>
      <c r="WMA2474" s="115"/>
      <c r="WMB2474" s="115"/>
      <c r="WMC2474" s="115"/>
      <c r="WMD2474" s="115"/>
      <c r="WME2474" s="115"/>
      <c r="WMF2474" s="115"/>
      <c r="WMG2474" s="115"/>
      <c r="WMH2474" s="115"/>
      <c r="WMI2474" s="115"/>
      <c r="WMJ2474" s="115"/>
      <c r="WMK2474" s="115"/>
      <c r="WML2474" s="115"/>
      <c r="WMM2474" s="115"/>
      <c r="WMN2474" s="115"/>
      <c r="WMO2474" s="115"/>
      <c r="WMP2474" s="115"/>
      <c r="WMQ2474" s="115"/>
      <c r="WMR2474" s="115"/>
      <c r="WMS2474" s="115"/>
      <c r="WMT2474" s="115"/>
      <c r="WMU2474" s="115"/>
      <c r="WMV2474" s="115"/>
      <c r="WMW2474" s="115"/>
      <c r="WMX2474" s="115"/>
      <c r="WMY2474" s="115"/>
      <c r="WMZ2474" s="115"/>
      <c r="WNA2474" s="115"/>
      <c r="WNB2474" s="115"/>
      <c r="WNC2474" s="115"/>
      <c r="WND2474" s="115"/>
      <c r="WNE2474" s="115"/>
      <c r="WNF2474" s="115"/>
      <c r="WNG2474" s="115"/>
      <c r="WNH2474" s="115"/>
      <c r="WNI2474" s="115"/>
      <c r="WNJ2474" s="115"/>
      <c r="WNK2474" s="115"/>
      <c r="WNL2474" s="115"/>
      <c r="WNM2474" s="115"/>
      <c r="WNN2474" s="115"/>
      <c r="WNO2474" s="115"/>
      <c r="WNP2474" s="115"/>
      <c r="WNQ2474" s="115"/>
      <c r="WNR2474" s="115"/>
      <c r="WNS2474" s="115"/>
      <c r="WNT2474" s="115"/>
      <c r="WNU2474" s="115"/>
      <c r="WNV2474" s="115"/>
      <c r="WNW2474" s="115"/>
      <c r="WNX2474" s="115"/>
      <c r="WNY2474" s="115"/>
      <c r="WNZ2474" s="115"/>
      <c r="WOA2474" s="115"/>
      <c r="WOB2474" s="115"/>
      <c r="WOC2474" s="115"/>
      <c r="WOD2474" s="115"/>
      <c r="WOE2474" s="115"/>
      <c r="WOF2474" s="115"/>
      <c r="WOG2474" s="115"/>
      <c r="WOH2474" s="115"/>
      <c r="WOI2474" s="115"/>
      <c r="WOJ2474" s="115"/>
      <c r="WOK2474" s="115"/>
      <c r="WOL2474" s="115"/>
      <c r="WOM2474" s="115"/>
      <c r="WON2474" s="115"/>
      <c r="WOO2474" s="115"/>
      <c r="WOP2474" s="115"/>
      <c r="WOQ2474" s="115"/>
      <c r="WOR2474" s="115"/>
      <c r="WOS2474" s="115"/>
      <c r="WOT2474" s="115"/>
      <c r="WOU2474" s="115"/>
      <c r="WOV2474" s="115"/>
      <c r="WOW2474" s="115"/>
      <c r="WOX2474" s="115"/>
      <c r="WOY2474" s="115"/>
      <c r="WOZ2474" s="115"/>
      <c r="WPA2474" s="115"/>
      <c r="WPB2474" s="115"/>
      <c r="WPC2474" s="115"/>
      <c r="WPD2474" s="115"/>
      <c r="WPE2474" s="115"/>
      <c r="WPF2474" s="115"/>
      <c r="WPG2474" s="115"/>
      <c r="WPH2474" s="115"/>
      <c r="WPI2474" s="115"/>
      <c r="WPJ2474" s="115"/>
      <c r="WPK2474" s="115"/>
      <c r="WPL2474" s="115"/>
      <c r="WPM2474" s="115"/>
      <c r="WPN2474" s="115"/>
      <c r="WPO2474" s="115"/>
      <c r="WPP2474" s="115"/>
      <c r="WPQ2474" s="115"/>
      <c r="WPR2474" s="115"/>
      <c r="WPS2474" s="115"/>
      <c r="WPT2474" s="115"/>
      <c r="WPU2474" s="115"/>
      <c r="WPV2474" s="115"/>
      <c r="WPW2474" s="115"/>
      <c r="WPX2474" s="115"/>
      <c r="WPY2474" s="115"/>
      <c r="WPZ2474" s="115"/>
      <c r="WQA2474" s="115"/>
      <c r="WQB2474" s="115"/>
      <c r="WQC2474" s="115"/>
      <c r="WQD2474" s="115"/>
      <c r="WQE2474" s="115"/>
      <c r="WQF2474" s="115"/>
      <c r="WQG2474" s="115"/>
      <c r="WQH2474" s="115"/>
      <c r="WQI2474" s="115"/>
      <c r="WQJ2474" s="115"/>
      <c r="WQK2474" s="115"/>
      <c r="WQL2474" s="115"/>
      <c r="WQM2474" s="115"/>
      <c r="WQN2474" s="115"/>
      <c r="WQO2474" s="115"/>
      <c r="WQP2474" s="115"/>
      <c r="WQQ2474" s="115"/>
      <c r="WQR2474" s="115"/>
      <c r="WQS2474" s="115"/>
      <c r="WQT2474" s="115"/>
      <c r="WQU2474" s="115"/>
      <c r="WQV2474" s="115"/>
      <c r="WQW2474" s="115"/>
      <c r="WQX2474" s="115"/>
      <c r="WQY2474" s="115"/>
      <c r="WQZ2474" s="115"/>
      <c r="WRA2474" s="115"/>
      <c r="WRB2474" s="115"/>
      <c r="WRC2474" s="115"/>
      <c r="WRD2474" s="115"/>
      <c r="WRE2474" s="115"/>
      <c r="WRF2474" s="115"/>
      <c r="WRG2474" s="115"/>
      <c r="WRH2474" s="115"/>
      <c r="WRI2474" s="115"/>
      <c r="WRJ2474" s="115"/>
      <c r="WRK2474" s="115"/>
      <c r="WRL2474" s="115"/>
      <c r="WRM2474" s="115"/>
      <c r="WRN2474" s="115"/>
      <c r="WRO2474" s="115"/>
      <c r="WRP2474" s="115"/>
      <c r="WRQ2474" s="115"/>
      <c r="WRR2474" s="115"/>
      <c r="WRS2474" s="115"/>
      <c r="WRT2474" s="115"/>
      <c r="WRU2474" s="115"/>
      <c r="WRV2474" s="115"/>
      <c r="WRW2474" s="115"/>
      <c r="WRX2474" s="115"/>
      <c r="WRY2474" s="115"/>
      <c r="WRZ2474" s="115"/>
      <c r="WSA2474" s="115"/>
      <c r="WSB2474" s="115"/>
      <c r="WSC2474" s="115"/>
      <c r="WSD2474" s="115"/>
      <c r="WSE2474" s="115"/>
      <c r="WSF2474" s="115"/>
      <c r="WSG2474" s="115"/>
      <c r="WSH2474" s="115"/>
      <c r="WSI2474" s="115"/>
      <c r="WSJ2474" s="115"/>
      <c r="WSK2474" s="115"/>
      <c r="WSL2474" s="115"/>
      <c r="WSM2474" s="115"/>
      <c r="WSN2474" s="115"/>
      <c r="WSO2474" s="115"/>
      <c r="WSP2474" s="115"/>
      <c r="WSQ2474" s="115"/>
      <c r="WSR2474" s="115"/>
      <c r="WSS2474" s="115"/>
      <c r="WST2474" s="115"/>
      <c r="WSU2474" s="115"/>
      <c r="WSV2474" s="115"/>
      <c r="WSW2474" s="115"/>
      <c r="WSX2474" s="115"/>
      <c r="WSY2474" s="115"/>
      <c r="WSZ2474" s="115"/>
      <c r="WTA2474" s="115"/>
      <c r="WTB2474" s="115"/>
      <c r="WTC2474" s="115"/>
      <c r="WTD2474" s="115"/>
      <c r="WTE2474" s="115"/>
      <c r="WTF2474" s="115"/>
      <c r="WTG2474" s="115"/>
      <c r="WTH2474" s="115"/>
      <c r="WTI2474" s="115"/>
      <c r="WTJ2474" s="115"/>
      <c r="WTK2474" s="115"/>
      <c r="WTL2474" s="115"/>
      <c r="WTM2474" s="115"/>
      <c r="WTN2474" s="115"/>
      <c r="WTO2474" s="115"/>
      <c r="WTP2474" s="115"/>
      <c r="WTQ2474" s="115"/>
      <c r="WTR2474" s="115"/>
      <c r="WTS2474" s="115"/>
      <c r="WTT2474" s="115"/>
      <c r="WTU2474" s="115"/>
      <c r="WTV2474" s="115"/>
      <c r="WTW2474" s="115"/>
      <c r="WTX2474" s="115"/>
      <c r="WTY2474" s="115"/>
      <c r="WTZ2474" s="115"/>
      <c r="WUA2474" s="115"/>
      <c r="WUB2474" s="115"/>
      <c r="WUC2474" s="115"/>
      <c r="WUD2474" s="115"/>
      <c r="WUE2474" s="115"/>
      <c r="WUF2474" s="115"/>
      <c r="WUG2474" s="115"/>
      <c r="WUH2474" s="115"/>
      <c r="WUI2474" s="115"/>
      <c r="WUJ2474" s="115"/>
      <c r="WUK2474" s="115"/>
      <c r="WUL2474" s="115"/>
      <c r="WUM2474" s="115"/>
      <c r="WUN2474" s="115"/>
      <c r="WUO2474" s="115"/>
      <c r="WUP2474" s="115"/>
      <c r="WUQ2474" s="115"/>
      <c r="WUR2474" s="115"/>
      <c r="WUS2474" s="115"/>
      <c r="WUT2474" s="115"/>
      <c r="WUU2474" s="115"/>
      <c r="WUV2474" s="115"/>
      <c r="WUW2474" s="115"/>
      <c r="WUX2474" s="115"/>
      <c r="WUY2474" s="115"/>
      <c r="WUZ2474" s="115"/>
      <c r="WVA2474" s="115"/>
      <c r="WVB2474" s="115"/>
      <c r="WVC2474" s="115"/>
      <c r="WVD2474" s="115"/>
      <c r="WVE2474" s="115"/>
      <c r="WVF2474" s="115"/>
      <c r="WVG2474" s="115"/>
      <c r="WVH2474" s="115"/>
      <c r="WVI2474" s="115"/>
      <c r="WVJ2474" s="115"/>
      <c r="WVK2474" s="115"/>
      <c r="WVL2474" s="115"/>
      <c r="WVM2474" s="115"/>
      <c r="WVN2474" s="115"/>
      <c r="WVO2474" s="115"/>
      <c r="WVP2474" s="115"/>
      <c r="WVQ2474" s="115"/>
      <c r="WVR2474" s="115"/>
      <c r="WVS2474" s="115"/>
      <c r="WVT2474" s="115"/>
      <c r="WVU2474" s="115"/>
      <c r="WVV2474" s="115"/>
      <c r="WVW2474" s="115"/>
      <c r="WVX2474" s="115"/>
      <c r="WVY2474" s="115"/>
      <c r="WVZ2474" s="115"/>
      <c r="WWA2474" s="115"/>
      <c r="WWB2474" s="115"/>
      <c r="WWC2474" s="115"/>
      <c r="WWD2474" s="115"/>
      <c r="WWE2474" s="115"/>
      <c r="WWF2474" s="115"/>
      <c r="WWG2474" s="115"/>
      <c r="WWH2474" s="115"/>
      <c r="WWI2474" s="115"/>
      <c r="WWJ2474" s="115"/>
      <c r="WWK2474" s="115"/>
      <c r="WWL2474" s="115"/>
      <c r="WWM2474" s="115"/>
      <c r="WWN2474" s="115"/>
      <c r="WWO2474" s="115"/>
      <c r="WWP2474" s="115"/>
      <c r="WWQ2474" s="115"/>
      <c r="WWR2474" s="115"/>
      <c r="WWS2474" s="115"/>
      <c r="WWT2474" s="115"/>
      <c r="WWU2474" s="115"/>
      <c r="WWV2474" s="115"/>
      <c r="WWW2474" s="115"/>
      <c r="WWX2474" s="115"/>
      <c r="WWY2474" s="115"/>
      <c r="WWZ2474" s="115"/>
      <c r="WXA2474" s="115"/>
      <c r="WXB2474" s="115"/>
      <c r="WXC2474" s="115"/>
      <c r="WXD2474" s="115"/>
      <c r="WXE2474" s="115"/>
      <c r="WXF2474" s="115"/>
      <c r="WXG2474" s="115"/>
      <c r="WXH2474" s="115"/>
      <c r="WXI2474" s="115"/>
      <c r="WXJ2474" s="115"/>
      <c r="WXK2474" s="115"/>
      <c r="WXL2474" s="115"/>
      <c r="WXM2474" s="115"/>
      <c r="WXN2474" s="115"/>
      <c r="WXO2474" s="115"/>
      <c r="WXP2474" s="115"/>
      <c r="WXQ2474" s="115"/>
      <c r="WXR2474" s="115"/>
      <c r="WXS2474" s="115"/>
      <c r="WXT2474" s="115"/>
      <c r="WXU2474" s="115"/>
      <c r="WXV2474" s="115"/>
      <c r="WXW2474" s="115"/>
      <c r="WXX2474" s="115"/>
      <c r="WXY2474" s="115"/>
      <c r="WXZ2474" s="115"/>
      <c r="WYA2474" s="115"/>
      <c r="WYB2474" s="115"/>
      <c r="WYC2474" s="115"/>
      <c r="WYD2474" s="115"/>
      <c r="WYE2474" s="115"/>
      <c r="WYF2474" s="115"/>
      <c r="WYG2474" s="115"/>
      <c r="WYH2474" s="115"/>
      <c r="WYI2474" s="115"/>
      <c r="WYJ2474" s="115"/>
      <c r="WYK2474" s="115"/>
      <c r="WYL2474" s="115"/>
      <c r="WYM2474" s="115"/>
      <c r="WYN2474" s="115"/>
      <c r="WYO2474" s="115"/>
      <c r="WYP2474" s="115"/>
      <c r="WYQ2474" s="115"/>
      <c r="WYR2474" s="115"/>
      <c r="WYS2474" s="115"/>
      <c r="WYT2474" s="115"/>
      <c r="WYU2474" s="115"/>
      <c r="WYV2474" s="115"/>
      <c r="WYW2474" s="115"/>
      <c r="WYX2474" s="115"/>
      <c r="WYY2474" s="115"/>
      <c r="WYZ2474" s="115"/>
      <c r="WZA2474" s="115"/>
      <c r="WZB2474" s="115"/>
      <c r="WZC2474" s="115"/>
      <c r="WZD2474" s="115"/>
      <c r="WZE2474" s="115"/>
      <c r="WZF2474" s="115"/>
      <c r="WZG2474" s="115"/>
      <c r="WZH2474" s="115"/>
      <c r="WZI2474" s="115"/>
      <c r="WZJ2474" s="115"/>
      <c r="WZK2474" s="115"/>
      <c r="WZL2474" s="115"/>
      <c r="WZM2474" s="115"/>
      <c r="WZN2474" s="115"/>
      <c r="WZO2474" s="115"/>
      <c r="WZP2474" s="115"/>
      <c r="WZQ2474" s="115"/>
      <c r="WZR2474" s="115"/>
      <c r="WZS2474" s="115"/>
      <c r="WZT2474" s="115"/>
      <c r="WZU2474" s="115"/>
      <c r="WZV2474" s="115"/>
      <c r="WZW2474" s="115"/>
      <c r="WZX2474" s="115"/>
      <c r="WZY2474" s="115"/>
      <c r="WZZ2474" s="115"/>
      <c r="XAA2474" s="115"/>
      <c r="XAB2474" s="115"/>
      <c r="XAC2474" s="115"/>
      <c r="XAD2474" s="115"/>
      <c r="XAE2474" s="115"/>
      <c r="XAF2474" s="115"/>
      <c r="XAG2474" s="115"/>
      <c r="XAH2474" s="115"/>
      <c r="XAI2474" s="115"/>
      <c r="XAJ2474" s="115"/>
      <c r="XAK2474" s="115"/>
      <c r="XAL2474" s="115"/>
      <c r="XAM2474" s="115"/>
      <c r="XAN2474" s="115"/>
      <c r="XAO2474" s="115"/>
      <c r="XAP2474" s="115"/>
      <c r="XAQ2474" s="115"/>
      <c r="XAR2474" s="115"/>
      <c r="XAS2474" s="115"/>
      <c r="XAT2474" s="115"/>
      <c r="XAU2474" s="115"/>
      <c r="XAV2474" s="115"/>
      <c r="XAW2474" s="115"/>
      <c r="XAX2474" s="115"/>
      <c r="XAY2474" s="115"/>
      <c r="XAZ2474" s="115"/>
      <c r="XBA2474" s="115"/>
      <c r="XBB2474" s="115"/>
      <c r="XBC2474" s="115"/>
      <c r="XBD2474" s="115"/>
      <c r="XBE2474" s="115"/>
      <c r="XBF2474" s="115"/>
      <c r="XBG2474" s="115"/>
      <c r="XBH2474" s="115"/>
      <c r="XBI2474" s="115"/>
      <c r="XBJ2474" s="115"/>
      <c r="XBK2474" s="115"/>
      <c r="XBL2474" s="115"/>
      <c r="XBM2474" s="115"/>
      <c r="XBN2474" s="115"/>
      <c r="XBO2474" s="115"/>
      <c r="XBP2474" s="115"/>
      <c r="XBQ2474" s="115"/>
      <c r="XBR2474" s="115"/>
      <c r="XBS2474" s="115"/>
      <c r="XBT2474" s="115"/>
      <c r="XBU2474" s="115"/>
      <c r="XBV2474" s="115"/>
      <c r="XBW2474" s="115"/>
      <c r="XBX2474" s="115"/>
      <c r="XBY2474" s="115"/>
      <c r="XBZ2474" s="115"/>
      <c r="XCA2474" s="115"/>
      <c r="XCB2474" s="115"/>
      <c r="XCC2474" s="115"/>
      <c r="XCD2474" s="115"/>
      <c r="XCE2474" s="115"/>
      <c r="XCF2474" s="115"/>
      <c r="XCG2474" s="115"/>
      <c r="XCH2474" s="115"/>
      <c r="XCI2474" s="115"/>
      <c r="XCJ2474" s="115"/>
      <c r="XCK2474" s="115"/>
      <c r="XCL2474" s="115"/>
      <c r="XCM2474" s="115"/>
      <c r="XCN2474" s="115"/>
      <c r="XCO2474" s="115"/>
      <c r="XCP2474" s="115"/>
      <c r="XCQ2474" s="115"/>
      <c r="XCR2474" s="115"/>
      <c r="XCS2474" s="115"/>
      <c r="XCT2474" s="115"/>
      <c r="XCU2474" s="115"/>
      <c r="XCV2474" s="115"/>
      <c r="XCW2474" s="115"/>
      <c r="XCX2474" s="115"/>
      <c r="XCY2474" s="115"/>
      <c r="XCZ2474" s="115"/>
      <c r="XDA2474" s="115"/>
      <c r="XDB2474" s="115"/>
      <c r="XDC2474" s="115"/>
      <c r="XDD2474" s="115"/>
      <c r="XDE2474" s="115"/>
      <c r="XDF2474" s="115"/>
      <c r="XDG2474" s="115"/>
      <c r="XDH2474" s="115"/>
      <c r="XDI2474" s="115"/>
      <c r="XDJ2474" s="115"/>
      <c r="XDK2474" s="115"/>
      <c r="XDL2474" s="115"/>
      <c r="XDM2474" s="115"/>
      <c r="XDN2474" s="115"/>
      <c r="XDO2474" s="115"/>
      <c r="XDP2474" s="115"/>
      <c r="XDQ2474" s="115"/>
      <c r="XDR2474" s="115"/>
      <c r="XDS2474" s="115"/>
      <c r="XDT2474" s="115"/>
      <c r="XDU2474" s="115"/>
      <c r="XDV2474" s="115"/>
      <c r="XDW2474" s="115"/>
      <c r="XDX2474" s="115"/>
      <c r="XDY2474" s="115"/>
      <c r="XDZ2474" s="115"/>
      <c r="XEA2474" s="115"/>
      <c r="XEB2474" s="115"/>
      <c r="XEC2474" s="115"/>
      <c r="XED2474" s="115"/>
      <c r="XEE2474" s="115"/>
      <c r="XEF2474" s="115"/>
      <c r="XEG2474" s="115"/>
      <c r="XEH2474" s="115"/>
      <c r="XEI2474" s="115"/>
      <c r="XEJ2474" s="115"/>
      <c r="XEK2474" s="115"/>
      <c r="XEL2474" s="115"/>
      <c r="XEM2474" s="115"/>
      <c r="XEN2474" s="115"/>
      <c r="XEO2474" s="115"/>
      <c r="XEP2474" s="115"/>
      <c r="XEQ2474" s="115"/>
      <c r="XER2474" s="115"/>
      <c r="XES2474" s="115"/>
      <c r="XET2474" s="115"/>
      <c r="XEU2474" s="115"/>
      <c r="XEV2474" s="115"/>
      <c r="XEW2474" s="115"/>
      <c r="XEX2474" s="115"/>
      <c r="XEY2474" s="115"/>
      <c r="XEZ2474" s="115"/>
      <c r="XFA2474" s="115"/>
      <c r="XFB2474" s="115"/>
    </row>
    <row r="2475" spans="1:16382" x14ac:dyDescent="0.2">
      <c r="A2475" s="88" t="s">
        <v>18214</v>
      </c>
      <c r="B2475" s="88" t="e">
        <f>VLOOKUP(C2475,#REF!,1,0)</f>
        <v>#REF!</v>
      </c>
      <c r="C2475" s="1" t="s">
        <v>8146</v>
      </c>
      <c r="D2475" s="1" t="s">
        <v>8147</v>
      </c>
      <c r="E2475" t="s">
        <v>9310</v>
      </c>
      <c r="F2475" t="s">
        <v>8957</v>
      </c>
      <c r="G2475" t="s">
        <v>8959</v>
      </c>
      <c r="H2475" t="s">
        <v>9154</v>
      </c>
      <c r="I2475" t="s">
        <v>8949</v>
      </c>
      <c r="J2475" s="3" t="s">
        <v>21407</v>
      </c>
      <c r="K2475" s="1" t="s">
        <v>20768</v>
      </c>
      <c r="L2475" t="s">
        <v>21600</v>
      </c>
      <c r="M2475">
        <v>2142</v>
      </c>
      <c r="N2475" t="s">
        <v>8953</v>
      </c>
      <c r="O2475" t="s">
        <v>8954</v>
      </c>
      <c r="P2475" s="1" t="s">
        <v>8955</v>
      </c>
      <c r="Q2475" s="1" t="s">
        <v>8956</v>
      </c>
      <c r="R2475" s="1" t="s">
        <v>8958</v>
      </c>
      <c r="S2475" s="1" t="s">
        <v>20339</v>
      </c>
      <c r="T2475" s="1" t="s">
        <v>17</v>
      </c>
      <c r="U2475" s="1" t="s">
        <v>1343</v>
      </c>
    </row>
    <row r="2476" spans="1:16382" x14ac:dyDescent="0.2">
      <c r="A2476" s="88" t="s">
        <v>18215</v>
      </c>
      <c r="B2476" s="88" t="e">
        <f>VLOOKUP(C2476,#REF!,1,0)</f>
        <v>#REF!</v>
      </c>
      <c r="C2476" s="1" t="s">
        <v>8148</v>
      </c>
      <c r="D2476" s="1" t="s">
        <v>8149</v>
      </c>
      <c r="E2476" t="s">
        <v>10873</v>
      </c>
      <c r="F2476" t="s">
        <v>8957</v>
      </c>
      <c r="G2476" t="s">
        <v>9009</v>
      </c>
      <c r="H2476" t="s">
        <v>9154</v>
      </c>
      <c r="I2476" t="s">
        <v>8949</v>
      </c>
      <c r="J2476" s="3" t="s">
        <v>20862</v>
      </c>
      <c r="K2476" s="1" t="s">
        <v>9413</v>
      </c>
      <c r="L2476" t="s">
        <v>21600</v>
      </c>
      <c r="M2476">
        <v>190</v>
      </c>
      <c r="N2476" t="s">
        <v>9059</v>
      </c>
      <c r="O2476" t="s">
        <v>8989</v>
      </c>
      <c r="P2476" s="1" t="s">
        <v>8955</v>
      </c>
      <c r="Q2476" s="1" t="s">
        <v>8956</v>
      </c>
      <c r="R2476" s="1" t="s">
        <v>8975</v>
      </c>
      <c r="S2476" s="1" t="s">
        <v>20340</v>
      </c>
      <c r="T2476" s="1" t="s">
        <v>7</v>
      </c>
      <c r="U2476" s="1" t="s">
        <v>8150</v>
      </c>
    </row>
    <row r="2477" spans="1:16382" x14ac:dyDescent="0.2">
      <c r="A2477" s="88" t="s">
        <v>18216</v>
      </c>
      <c r="B2477" s="88" t="e">
        <f>VLOOKUP(C2477,#REF!,1,0)</f>
        <v>#REF!</v>
      </c>
      <c r="C2477" s="1" t="s">
        <v>8151</v>
      </c>
      <c r="D2477" s="1" t="s">
        <v>8152</v>
      </c>
      <c r="E2477" t="s">
        <v>10873</v>
      </c>
      <c r="F2477" t="s">
        <v>8957</v>
      </c>
      <c r="G2477" t="s">
        <v>9009</v>
      </c>
      <c r="H2477" t="s">
        <v>9154</v>
      </c>
      <c r="I2477" t="s">
        <v>8949</v>
      </c>
      <c r="J2477" s="3" t="s">
        <v>20862</v>
      </c>
      <c r="K2477" s="1" t="s">
        <v>9413</v>
      </c>
      <c r="L2477" t="s">
        <v>21600</v>
      </c>
      <c r="M2477">
        <v>100</v>
      </c>
      <c r="N2477" t="s">
        <v>8953</v>
      </c>
      <c r="O2477" t="s">
        <v>8954</v>
      </c>
      <c r="P2477" s="1" t="s">
        <v>8955</v>
      </c>
      <c r="Q2477" s="1" t="s">
        <v>8956</v>
      </c>
      <c r="R2477" s="1" t="s">
        <v>8975</v>
      </c>
      <c r="S2477" s="1" t="s">
        <v>8153</v>
      </c>
      <c r="T2477" s="1" t="s">
        <v>11</v>
      </c>
      <c r="U2477" s="1" t="s">
        <v>46</v>
      </c>
    </row>
    <row r="2478" spans="1:16382" x14ac:dyDescent="0.2">
      <c r="A2478" s="88" t="s">
        <v>18217</v>
      </c>
      <c r="B2478" s="88" t="e">
        <f>VLOOKUP(C2478,#REF!,1,0)</f>
        <v>#REF!</v>
      </c>
      <c r="C2478" s="1" t="s">
        <v>8154</v>
      </c>
      <c r="D2478" s="1" t="s">
        <v>8155</v>
      </c>
      <c r="E2478" t="s">
        <v>10873</v>
      </c>
      <c r="F2478" t="s">
        <v>9060</v>
      </c>
      <c r="G2478" t="s">
        <v>9183</v>
      </c>
      <c r="H2478" t="s">
        <v>10322</v>
      </c>
      <c r="I2478" t="s">
        <v>8949</v>
      </c>
      <c r="J2478" s="3" t="s">
        <v>12326</v>
      </c>
      <c r="K2478" s="1" t="s">
        <v>12326</v>
      </c>
      <c r="L2478" t="s">
        <v>9076</v>
      </c>
      <c r="M2478">
        <v>21128</v>
      </c>
      <c r="N2478" t="s">
        <v>8953</v>
      </c>
      <c r="O2478" t="s">
        <v>8954</v>
      </c>
      <c r="P2478" s="1" t="s">
        <v>8955</v>
      </c>
      <c r="Q2478" s="1" t="s">
        <v>8956</v>
      </c>
      <c r="R2478" s="1" t="s">
        <v>8975</v>
      </c>
      <c r="S2478" s="1" t="s">
        <v>8156</v>
      </c>
      <c r="T2478" s="1" t="s">
        <v>11</v>
      </c>
      <c r="U2478" s="1" t="s">
        <v>61</v>
      </c>
    </row>
    <row r="2479" spans="1:16382" x14ac:dyDescent="0.2">
      <c r="A2479" s="88" t="s">
        <v>18218</v>
      </c>
      <c r="B2479" s="88" t="e">
        <f>VLOOKUP(C2479,#REF!,1,0)</f>
        <v>#REF!</v>
      </c>
      <c r="C2479" s="1" t="s">
        <v>8157</v>
      </c>
      <c r="D2479" s="1" t="s">
        <v>8158</v>
      </c>
      <c r="E2479" t="s">
        <v>9310</v>
      </c>
      <c r="F2479" t="s">
        <v>8957</v>
      </c>
      <c r="G2479" t="s">
        <v>8959</v>
      </c>
      <c r="H2479" t="s">
        <v>9100</v>
      </c>
      <c r="I2479" t="s">
        <v>9155</v>
      </c>
      <c r="J2479" s="3" t="s">
        <v>21180</v>
      </c>
      <c r="K2479" s="1" t="s">
        <v>21415</v>
      </c>
      <c r="L2479" t="s">
        <v>21610</v>
      </c>
      <c r="M2479">
        <v>9</v>
      </c>
      <c r="N2479" t="s">
        <v>9059</v>
      </c>
      <c r="O2479" t="s">
        <v>8989</v>
      </c>
      <c r="P2479" s="1" t="s">
        <v>8955</v>
      </c>
      <c r="Q2479" s="1" t="s">
        <v>8956</v>
      </c>
      <c r="R2479" s="1" t="s">
        <v>9103</v>
      </c>
      <c r="S2479" s="1" t="s">
        <v>20341</v>
      </c>
      <c r="T2479" s="1" t="s">
        <v>7</v>
      </c>
      <c r="U2479" s="1" t="s">
        <v>1010</v>
      </c>
    </row>
    <row r="2480" spans="1:16382" x14ac:dyDescent="0.2">
      <c r="A2480" s="88" t="s">
        <v>18219</v>
      </c>
      <c r="B2480" s="88" t="e">
        <f>VLOOKUP(C2480,#REF!,1,0)</f>
        <v>#REF!</v>
      </c>
      <c r="C2480" s="1" t="s">
        <v>8159</v>
      </c>
      <c r="D2480" s="1" t="s">
        <v>8160</v>
      </c>
      <c r="E2480" t="s">
        <v>9310</v>
      </c>
      <c r="F2480" t="s">
        <v>8957</v>
      </c>
      <c r="G2480" t="s">
        <v>8959</v>
      </c>
      <c r="H2480" t="s">
        <v>9154</v>
      </c>
      <c r="I2480" t="s">
        <v>8949</v>
      </c>
      <c r="J2480" s="3" t="s">
        <v>9036</v>
      </c>
      <c r="K2480" s="1" t="s">
        <v>9036</v>
      </c>
      <c r="L2480" t="s">
        <v>8951</v>
      </c>
      <c r="M2480">
        <v>138</v>
      </c>
      <c r="N2480" t="s">
        <v>8953</v>
      </c>
      <c r="O2480" t="s">
        <v>8954</v>
      </c>
      <c r="P2480" s="1" t="s">
        <v>8955</v>
      </c>
      <c r="Q2480" s="1" t="s">
        <v>8956</v>
      </c>
      <c r="R2480" s="1" t="s">
        <v>8958</v>
      </c>
      <c r="S2480" s="1" t="s">
        <v>8161</v>
      </c>
      <c r="T2480" s="1" t="s">
        <v>11</v>
      </c>
      <c r="U2480" s="1" t="s">
        <v>126</v>
      </c>
    </row>
    <row r="2481" spans="1:21" x14ac:dyDescent="0.2">
      <c r="A2481" s="88" t="s">
        <v>18220</v>
      </c>
      <c r="B2481" s="88" t="e">
        <f>VLOOKUP(C2481,#REF!,1,0)</f>
        <v>#REF!</v>
      </c>
      <c r="C2481" s="1" t="s">
        <v>8162</v>
      </c>
      <c r="D2481" s="1" t="s">
        <v>8163</v>
      </c>
      <c r="E2481" t="s">
        <v>9310</v>
      </c>
      <c r="F2481" t="s">
        <v>8957</v>
      </c>
      <c r="G2481" t="s">
        <v>9183</v>
      </c>
      <c r="H2481" t="s">
        <v>8948</v>
      </c>
      <c r="I2481" t="s">
        <v>8949</v>
      </c>
      <c r="J2481" s="3" t="s">
        <v>9036</v>
      </c>
      <c r="K2481" s="1" t="s">
        <v>9036</v>
      </c>
      <c r="L2481" t="s">
        <v>8987</v>
      </c>
      <c r="M2481">
        <v>64</v>
      </c>
      <c r="N2481" t="s">
        <v>9059</v>
      </c>
      <c r="O2481" t="s">
        <v>8989</v>
      </c>
      <c r="P2481" s="1" t="s">
        <v>8955</v>
      </c>
      <c r="Q2481" s="1" t="s">
        <v>8956</v>
      </c>
      <c r="R2481" s="1" t="s">
        <v>8958</v>
      </c>
      <c r="S2481" s="1" t="s">
        <v>8164</v>
      </c>
      <c r="T2481" s="1" t="s">
        <v>11</v>
      </c>
      <c r="U2481" s="1" t="s">
        <v>1598</v>
      </c>
    </row>
    <row r="2482" spans="1:21" x14ac:dyDescent="0.2">
      <c r="A2482" s="88" t="s">
        <v>18221</v>
      </c>
      <c r="B2482" s="88" t="e">
        <f>VLOOKUP(C2482,#REF!,1,0)</f>
        <v>#REF!</v>
      </c>
      <c r="C2482" s="1" t="s">
        <v>8165</v>
      </c>
      <c r="D2482" s="1" t="s">
        <v>8166</v>
      </c>
      <c r="E2482" t="s">
        <v>21162</v>
      </c>
      <c r="F2482" t="s">
        <v>8957</v>
      </c>
      <c r="G2482" t="s">
        <v>8959</v>
      </c>
      <c r="H2482" t="s">
        <v>20714</v>
      </c>
      <c r="I2482" t="s">
        <v>9050</v>
      </c>
      <c r="J2482" s="3" t="s">
        <v>18497</v>
      </c>
      <c r="K2482" s="1" t="s">
        <v>21658</v>
      </c>
      <c r="L2482" t="s">
        <v>8987</v>
      </c>
      <c r="M2482">
        <v>3815</v>
      </c>
      <c r="N2482" t="s">
        <v>8953</v>
      </c>
      <c r="O2482" t="s">
        <v>8989</v>
      </c>
      <c r="P2482" s="1" t="s">
        <v>8955</v>
      </c>
      <c r="Q2482" s="1" t="s">
        <v>8956</v>
      </c>
      <c r="R2482" s="1" t="s">
        <v>8958</v>
      </c>
      <c r="S2482" s="1" t="s">
        <v>20342</v>
      </c>
      <c r="T2482" s="1" t="s">
        <v>7</v>
      </c>
      <c r="U2482" s="1" t="s">
        <v>443</v>
      </c>
    </row>
    <row r="2483" spans="1:21" x14ac:dyDescent="0.2">
      <c r="A2483" s="88" t="s">
        <v>18222</v>
      </c>
      <c r="B2483" s="88" t="e">
        <f>VLOOKUP(C2483,#REF!,1,0)</f>
        <v>#REF!</v>
      </c>
      <c r="C2483" s="1" t="s">
        <v>8167</v>
      </c>
      <c r="D2483" s="1" t="s">
        <v>8168</v>
      </c>
      <c r="E2483" t="s">
        <v>9380</v>
      </c>
      <c r="F2483" t="s">
        <v>8959</v>
      </c>
      <c r="G2483" t="s">
        <v>8959</v>
      </c>
      <c r="H2483" t="s">
        <v>9154</v>
      </c>
      <c r="I2483" t="s">
        <v>8971</v>
      </c>
      <c r="J2483" s="3" t="s">
        <v>9918</v>
      </c>
      <c r="K2483" s="1" t="s">
        <v>9918</v>
      </c>
      <c r="L2483" t="s">
        <v>21600</v>
      </c>
      <c r="M2483">
        <v>513</v>
      </c>
      <c r="N2483" t="s">
        <v>8953</v>
      </c>
      <c r="O2483" t="s">
        <v>8989</v>
      </c>
      <c r="P2483" s="1" t="s">
        <v>8955</v>
      </c>
      <c r="Q2483" s="1" t="s">
        <v>8956</v>
      </c>
      <c r="R2483" s="1" t="s">
        <v>9103</v>
      </c>
      <c r="S2483" s="1" t="s">
        <v>8169</v>
      </c>
      <c r="T2483" s="1" t="s">
        <v>17</v>
      </c>
      <c r="U2483" s="1" t="s">
        <v>5702</v>
      </c>
    </row>
    <row r="2484" spans="1:21" x14ac:dyDescent="0.2">
      <c r="A2484" s="88" t="s">
        <v>18223</v>
      </c>
      <c r="B2484" s="88" t="e">
        <f>VLOOKUP(C2484,#REF!,1,0)</f>
        <v>#REF!</v>
      </c>
      <c r="C2484" s="1" t="s">
        <v>8170</v>
      </c>
      <c r="D2484" s="1" t="s">
        <v>8171</v>
      </c>
      <c r="E2484" t="s">
        <v>9010</v>
      </c>
      <c r="F2484" t="s">
        <v>9060</v>
      </c>
      <c r="G2484" t="s">
        <v>9183</v>
      </c>
      <c r="H2484" t="s">
        <v>9035</v>
      </c>
      <c r="I2484" t="s">
        <v>8998</v>
      </c>
      <c r="J2484" s="3" t="s">
        <v>11623</v>
      </c>
      <c r="K2484" s="1" t="s">
        <v>11623</v>
      </c>
      <c r="L2484" t="s">
        <v>21600</v>
      </c>
      <c r="M2484">
        <v>60</v>
      </c>
      <c r="N2484" t="s">
        <v>8953</v>
      </c>
      <c r="O2484" t="s">
        <v>8954</v>
      </c>
      <c r="P2484" s="1" t="s">
        <v>8955</v>
      </c>
      <c r="Q2484" s="1" t="s">
        <v>8956</v>
      </c>
      <c r="R2484" s="1" t="s">
        <v>8975</v>
      </c>
      <c r="S2484" s="1" t="s">
        <v>8172</v>
      </c>
      <c r="T2484" s="1" t="s">
        <v>11</v>
      </c>
      <c r="U2484" s="1" t="s">
        <v>93</v>
      </c>
    </row>
    <row r="2485" spans="1:21" x14ac:dyDescent="0.2">
      <c r="A2485" s="88" t="s">
        <v>18224</v>
      </c>
      <c r="B2485" s="88" t="e">
        <f>VLOOKUP(C2485,#REF!,1,0)</f>
        <v>#REF!</v>
      </c>
      <c r="C2485" s="1" t="s">
        <v>8173</v>
      </c>
      <c r="D2485" s="1" t="s">
        <v>8174</v>
      </c>
      <c r="E2485" t="s">
        <v>9310</v>
      </c>
      <c r="F2485" t="s">
        <v>8959</v>
      </c>
      <c r="G2485" t="s">
        <v>8959</v>
      </c>
      <c r="H2485" t="s">
        <v>20714</v>
      </c>
      <c r="I2485" t="s">
        <v>21163</v>
      </c>
      <c r="J2485" s="3" t="s">
        <v>20838</v>
      </c>
      <c r="K2485" s="1" t="s">
        <v>20755</v>
      </c>
      <c r="L2485" t="s">
        <v>9133</v>
      </c>
      <c r="M2485">
        <v>475</v>
      </c>
      <c r="N2485" t="s">
        <v>8953</v>
      </c>
      <c r="O2485" t="s">
        <v>8989</v>
      </c>
      <c r="P2485" s="1" t="s">
        <v>8955</v>
      </c>
      <c r="Q2485" s="1" t="s">
        <v>8956</v>
      </c>
      <c r="R2485" s="1" t="s">
        <v>8958</v>
      </c>
      <c r="S2485" s="1" t="s">
        <v>20343</v>
      </c>
      <c r="T2485" s="1" t="s">
        <v>7</v>
      </c>
      <c r="U2485" s="1" t="s">
        <v>4060</v>
      </c>
    </row>
    <row r="2486" spans="1:21" x14ac:dyDescent="0.2">
      <c r="A2486" s="88" t="s">
        <v>18225</v>
      </c>
      <c r="B2486" s="88" t="e">
        <f>VLOOKUP(C2486,#REF!,1,0)</f>
        <v>#REF!</v>
      </c>
      <c r="C2486" s="1" t="s">
        <v>8175</v>
      </c>
      <c r="D2486" s="1" t="s">
        <v>8176</v>
      </c>
      <c r="E2486" t="s">
        <v>18502</v>
      </c>
      <c r="F2486" t="s">
        <v>8957</v>
      </c>
      <c r="G2486" t="s">
        <v>8959</v>
      </c>
      <c r="H2486" t="s">
        <v>20712</v>
      </c>
      <c r="I2486" t="s">
        <v>9155</v>
      </c>
      <c r="J2486" s="3" t="s">
        <v>10492</v>
      </c>
      <c r="K2486" s="1" t="s">
        <v>10492</v>
      </c>
      <c r="L2486" t="s">
        <v>21600</v>
      </c>
      <c r="M2486">
        <v>3483</v>
      </c>
      <c r="N2486" t="s">
        <v>8953</v>
      </c>
      <c r="O2486" t="s">
        <v>8954</v>
      </c>
      <c r="P2486" s="1" t="s">
        <v>8955</v>
      </c>
      <c r="Q2486" s="1" t="s">
        <v>8956</v>
      </c>
      <c r="R2486" s="1" t="s">
        <v>8975</v>
      </c>
      <c r="S2486" s="1" t="s">
        <v>20344</v>
      </c>
      <c r="T2486" s="1" t="s">
        <v>7</v>
      </c>
      <c r="U2486" s="1" t="s">
        <v>808</v>
      </c>
    </row>
    <row r="2487" spans="1:21" x14ac:dyDescent="0.2">
      <c r="A2487" s="88" t="s">
        <v>18226</v>
      </c>
      <c r="B2487" s="88" t="e">
        <f>VLOOKUP(C2487,#REF!,1,0)</f>
        <v>#REF!</v>
      </c>
      <c r="C2487" s="1" t="s">
        <v>8177</v>
      </c>
      <c r="D2487" s="1" t="s">
        <v>8178</v>
      </c>
      <c r="E2487" t="s">
        <v>9310</v>
      </c>
      <c r="F2487" t="s">
        <v>8957</v>
      </c>
      <c r="G2487" t="s">
        <v>8959</v>
      </c>
      <c r="H2487" t="s">
        <v>9092</v>
      </c>
      <c r="I2487" t="s">
        <v>9308</v>
      </c>
      <c r="J2487" s="3" t="s">
        <v>9036</v>
      </c>
      <c r="K2487" s="1" t="s">
        <v>9036</v>
      </c>
      <c r="L2487" t="s">
        <v>8951</v>
      </c>
      <c r="M2487">
        <v>110</v>
      </c>
      <c r="N2487" t="s">
        <v>9059</v>
      </c>
      <c r="O2487" t="s">
        <v>8989</v>
      </c>
      <c r="P2487" s="1" t="s">
        <v>8955</v>
      </c>
      <c r="Q2487" s="1" t="s">
        <v>8956</v>
      </c>
      <c r="R2487" s="1" t="s">
        <v>8958</v>
      </c>
      <c r="S2487" s="1" t="s">
        <v>8179</v>
      </c>
      <c r="T2487" s="1" t="s">
        <v>242</v>
      </c>
      <c r="U2487" s="1" t="s">
        <v>46</v>
      </c>
    </row>
    <row r="2488" spans="1:21" x14ac:dyDescent="0.2">
      <c r="A2488" s="88" t="s">
        <v>18227</v>
      </c>
      <c r="B2488" s="88" t="e">
        <f>VLOOKUP(C2488,#REF!,1,0)</f>
        <v>#REF!</v>
      </c>
      <c r="C2488" s="1" t="s">
        <v>8180</v>
      </c>
      <c r="D2488" s="1" t="s">
        <v>8181</v>
      </c>
      <c r="E2488" t="s">
        <v>9310</v>
      </c>
      <c r="F2488" t="s">
        <v>9060</v>
      </c>
      <c r="G2488" t="s">
        <v>9183</v>
      </c>
      <c r="H2488" t="s">
        <v>9100</v>
      </c>
      <c r="I2488" t="s">
        <v>8998</v>
      </c>
      <c r="J2488" s="3" t="s">
        <v>9781</v>
      </c>
      <c r="K2488" s="1" t="s">
        <v>9781</v>
      </c>
      <c r="L2488" t="s">
        <v>9464</v>
      </c>
      <c r="M2488">
        <v>4000</v>
      </c>
      <c r="N2488" t="s">
        <v>8953</v>
      </c>
      <c r="O2488" t="s">
        <v>8989</v>
      </c>
      <c r="P2488" s="1" t="s">
        <v>8955</v>
      </c>
      <c r="Q2488" s="1" t="s">
        <v>8956</v>
      </c>
      <c r="R2488" s="1" t="s">
        <v>8975</v>
      </c>
      <c r="S2488" s="1" t="s">
        <v>8182</v>
      </c>
      <c r="T2488" s="1" t="s">
        <v>11</v>
      </c>
      <c r="U2488" s="1" t="s">
        <v>61</v>
      </c>
    </row>
    <row r="2489" spans="1:21" x14ac:dyDescent="0.2">
      <c r="A2489" s="88" t="s">
        <v>18228</v>
      </c>
      <c r="B2489" s="88" t="e">
        <f>VLOOKUP(C2489,#REF!,1,0)</f>
        <v>#REF!</v>
      </c>
      <c r="C2489" s="1" t="s">
        <v>8183</v>
      </c>
      <c r="D2489" s="1" t="s">
        <v>8184</v>
      </c>
      <c r="E2489" t="s">
        <v>21162</v>
      </c>
      <c r="F2489" t="s">
        <v>8957</v>
      </c>
      <c r="G2489" t="s">
        <v>9009</v>
      </c>
      <c r="H2489" t="s">
        <v>9154</v>
      </c>
      <c r="I2489" t="s">
        <v>9308</v>
      </c>
      <c r="J2489" s="3" t="s">
        <v>21587</v>
      </c>
      <c r="K2489" s="1" t="s">
        <v>21587</v>
      </c>
      <c r="L2489" t="s">
        <v>21600</v>
      </c>
      <c r="M2489">
        <v>3302</v>
      </c>
      <c r="N2489" t="s">
        <v>8953</v>
      </c>
      <c r="O2489" t="s">
        <v>8989</v>
      </c>
      <c r="P2489" s="1" t="s">
        <v>8955</v>
      </c>
      <c r="Q2489" s="1" t="s">
        <v>8956</v>
      </c>
      <c r="R2489" s="1" t="s">
        <v>8975</v>
      </c>
      <c r="S2489" s="1" t="s">
        <v>20345</v>
      </c>
      <c r="T2489" s="1" t="s">
        <v>17</v>
      </c>
      <c r="U2489" s="1" t="s">
        <v>24</v>
      </c>
    </row>
    <row r="2490" spans="1:21" x14ac:dyDescent="0.2">
      <c r="A2490" s="88" t="s">
        <v>18229</v>
      </c>
      <c r="B2490" s="88" t="e">
        <f>VLOOKUP(C2490,#REF!,1,0)</f>
        <v>#REF!</v>
      </c>
      <c r="C2490" s="1" t="s">
        <v>8185</v>
      </c>
      <c r="D2490" s="1" t="s">
        <v>8186</v>
      </c>
      <c r="E2490" t="s">
        <v>9010</v>
      </c>
      <c r="F2490" t="s">
        <v>8957</v>
      </c>
      <c r="G2490" t="s">
        <v>8959</v>
      </c>
      <c r="H2490" t="s">
        <v>9605</v>
      </c>
      <c r="I2490" t="s">
        <v>9101</v>
      </c>
      <c r="J2490" s="3" t="s">
        <v>20779</v>
      </c>
      <c r="K2490" s="1" t="s">
        <v>9036</v>
      </c>
      <c r="L2490" t="s">
        <v>8987</v>
      </c>
      <c r="M2490">
        <v>384</v>
      </c>
      <c r="N2490" t="s">
        <v>8953</v>
      </c>
      <c r="O2490" t="s">
        <v>8989</v>
      </c>
      <c r="P2490" s="1" t="s">
        <v>8955</v>
      </c>
      <c r="Q2490" s="1" t="s">
        <v>8956</v>
      </c>
      <c r="R2490" s="1" t="s">
        <v>8975</v>
      </c>
      <c r="S2490" s="1" t="s">
        <v>8187</v>
      </c>
      <c r="T2490" s="1" t="s">
        <v>11</v>
      </c>
      <c r="U2490" s="1" t="s">
        <v>15</v>
      </c>
    </row>
    <row r="2491" spans="1:21" x14ac:dyDescent="0.2">
      <c r="A2491" s="88" t="s">
        <v>18230</v>
      </c>
      <c r="B2491" s="88" t="e">
        <f>VLOOKUP(C2491,#REF!,1,0)</f>
        <v>#REF!</v>
      </c>
      <c r="C2491" s="1" t="s">
        <v>8188</v>
      </c>
      <c r="D2491" s="1" t="s">
        <v>8189</v>
      </c>
      <c r="E2491" t="s">
        <v>18502</v>
      </c>
      <c r="F2491" t="s">
        <v>9060</v>
      </c>
      <c r="G2491" t="s">
        <v>8959</v>
      </c>
      <c r="H2491" t="s">
        <v>9100</v>
      </c>
      <c r="I2491" t="s">
        <v>9101</v>
      </c>
      <c r="J2491" s="3" t="s">
        <v>20779</v>
      </c>
      <c r="K2491" s="1" t="s">
        <v>9036</v>
      </c>
      <c r="L2491" t="s">
        <v>8987</v>
      </c>
      <c r="M2491">
        <v>24</v>
      </c>
      <c r="N2491" t="s">
        <v>9059</v>
      </c>
      <c r="O2491" t="s">
        <v>8954</v>
      </c>
      <c r="P2491" s="1" t="s">
        <v>8955</v>
      </c>
      <c r="Q2491" s="1" t="s">
        <v>8956</v>
      </c>
      <c r="R2491" s="1" t="s">
        <v>8975</v>
      </c>
      <c r="S2491" s="1" t="s">
        <v>20705</v>
      </c>
      <c r="T2491" s="1" t="s">
        <v>17</v>
      </c>
      <c r="U2491" s="1" t="s">
        <v>8190</v>
      </c>
    </row>
    <row r="2492" spans="1:21" x14ac:dyDescent="0.2">
      <c r="A2492" s="88" t="s">
        <v>18231</v>
      </c>
      <c r="B2492" s="88" t="e">
        <f>VLOOKUP(C2492,#REF!,1,0)</f>
        <v>#REF!</v>
      </c>
      <c r="C2492" s="1" t="s">
        <v>8191</v>
      </c>
      <c r="D2492" s="1" t="s">
        <v>8192</v>
      </c>
      <c r="E2492" t="s">
        <v>9310</v>
      </c>
      <c r="F2492" t="s">
        <v>8957</v>
      </c>
      <c r="G2492" t="s">
        <v>9009</v>
      </c>
      <c r="H2492" t="s">
        <v>9035</v>
      </c>
      <c r="I2492" t="s">
        <v>9308</v>
      </c>
      <c r="J2492" s="3" t="s">
        <v>9036</v>
      </c>
      <c r="K2492" s="1" t="s">
        <v>9036</v>
      </c>
      <c r="L2492" t="s">
        <v>9464</v>
      </c>
      <c r="M2492">
        <v>504</v>
      </c>
      <c r="N2492" t="s">
        <v>9059</v>
      </c>
      <c r="O2492" t="s">
        <v>8989</v>
      </c>
      <c r="P2492" s="1" t="s">
        <v>8955</v>
      </c>
      <c r="Q2492" s="1" t="s">
        <v>8956</v>
      </c>
      <c r="R2492" s="1" t="s">
        <v>8975</v>
      </c>
      <c r="S2492" s="1" t="s">
        <v>8193</v>
      </c>
      <c r="T2492" s="1" t="s">
        <v>4</v>
      </c>
      <c r="U2492" s="1" t="s">
        <v>126</v>
      </c>
    </row>
    <row r="2493" spans="1:21" x14ac:dyDescent="0.2">
      <c r="A2493" s="88" t="s">
        <v>18232</v>
      </c>
      <c r="B2493" s="88" t="e">
        <f>VLOOKUP(C2493,#REF!,1,0)</f>
        <v>#REF!</v>
      </c>
      <c r="C2493" s="1" t="s">
        <v>8194</v>
      </c>
      <c r="D2493" s="1" t="s">
        <v>8195</v>
      </c>
      <c r="E2493" t="s">
        <v>9010</v>
      </c>
      <c r="F2493" t="s">
        <v>8957</v>
      </c>
      <c r="G2493" t="s">
        <v>8959</v>
      </c>
      <c r="H2493" t="s">
        <v>9605</v>
      </c>
      <c r="I2493" t="s">
        <v>8959</v>
      </c>
      <c r="J2493" s="3" t="s">
        <v>9316</v>
      </c>
      <c r="K2493" s="1" t="s">
        <v>9316</v>
      </c>
      <c r="L2493" t="s">
        <v>8951</v>
      </c>
      <c r="M2493">
        <v>373</v>
      </c>
      <c r="N2493" t="s">
        <v>8953</v>
      </c>
      <c r="O2493" t="s">
        <v>8989</v>
      </c>
      <c r="P2493" s="1" t="s">
        <v>8955</v>
      </c>
      <c r="Q2493" s="1" t="s">
        <v>8956</v>
      </c>
      <c r="R2493" s="1" t="s">
        <v>8958</v>
      </c>
      <c r="S2493" s="1" t="s">
        <v>8196</v>
      </c>
      <c r="T2493" s="1" t="s">
        <v>4</v>
      </c>
      <c r="U2493" s="1" t="s">
        <v>392</v>
      </c>
    </row>
    <row r="2494" spans="1:21" x14ac:dyDescent="0.2">
      <c r="A2494" s="88" t="s">
        <v>18234</v>
      </c>
      <c r="B2494" s="88" t="e">
        <f>VLOOKUP(C2494,#REF!,1,0)</f>
        <v>#REF!</v>
      </c>
      <c r="C2494" s="1" t="s">
        <v>8199</v>
      </c>
      <c r="D2494" s="1" t="s">
        <v>8200</v>
      </c>
      <c r="E2494" t="s">
        <v>9310</v>
      </c>
      <c r="F2494" t="s">
        <v>8957</v>
      </c>
      <c r="G2494" t="s">
        <v>9061</v>
      </c>
      <c r="H2494" t="s">
        <v>9252</v>
      </c>
      <c r="I2494" t="s">
        <v>8998</v>
      </c>
      <c r="J2494" s="3" t="s">
        <v>20779</v>
      </c>
      <c r="K2494" s="1" t="s">
        <v>9036</v>
      </c>
      <c r="L2494" t="s">
        <v>8987</v>
      </c>
      <c r="M2494">
        <v>348</v>
      </c>
      <c r="N2494" t="s">
        <v>9059</v>
      </c>
      <c r="O2494" t="s">
        <v>8989</v>
      </c>
      <c r="P2494" s="1" t="s">
        <v>8955</v>
      </c>
      <c r="Q2494" s="1" t="s">
        <v>8956</v>
      </c>
      <c r="R2494" s="1" t="s">
        <v>8975</v>
      </c>
      <c r="S2494" s="1" t="s">
        <v>20346</v>
      </c>
      <c r="T2494" s="1" t="s">
        <v>7</v>
      </c>
      <c r="U2494" s="1" t="s">
        <v>562</v>
      </c>
    </row>
    <row r="2495" spans="1:21" x14ac:dyDescent="0.2">
      <c r="A2495" s="88" t="s">
        <v>18235</v>
      </c>
      <c r="B2495" s="88" t="e">
        <f>VLOOKUP(C2495,#REF!,1,0)</f>
        <v>#REF!</v>
      </c>
      <c r="C2495" s="1" t="s">
        <v>8205</v>
      </c>
      <c r="D2495" s="1" t="s">
        <v>8206</v>
      </c>
      <c r="E2495" t="s">
        <v>9317</v>
      </c>
      <c r="F2495" t="s">
        <v>8959</v>
      </c>
      <c r="G2495" t="s">
        <v>8959</v>
      </c>
      <c r="H2495" t="s">
        <v>9605</v>
      </c>
      <c r="I2495" t="s">
        <v>8949</v>
      </c>
      <c r="J2495" s="3" t="s">
        <v>20779</v>
      </c>
      <c r="K2495" s="1" t="s">
        <v>9036</v>
      </c>
      <c r="L2495" t="s">
        <v>9076</v>
      </c>
      <c r="M2495">
        <v>300</v>
      </c>
      <c r="N2495" t="s">
        <v>8953</v>
      </c>
      <c r="O2495" t="s">
        <v>8954</v>
      </c>
      <c r="P2495" s="1" t="s">
        <v>8955</v>
      </c>
      <c r="Q2495" s="1" t="s">
        <v>8956</v>
      </c>
      <c r="R2495" s="1" t="s">
        <v>8958</v>
      </c>
      <c r="S2495" s="1" t="s">
        <v>8207</v>
      </c>
      <c r="T2495" s="1" t="s">
        <v>7</v>
      </c>
      <c r="U2495" s="1" t="s">
        <v>1110</v>
      </c>
    </row>
    <row r="2496" spans="1:21" x14ac:dyDescent="0.2">
      <c r="A2496" s="88" t="s">
        <v>18236</v>
      </c>
      <c r="B2496" s="88" t="e">
        <f>VLOOKUP(C2496,#REF!,1,0)</f>
        <v>#REF!</v>
      </c>
      <c r="C2496" s="1" t="s">
        <v>8208</v>
      </c>
      <c r="D2496" s="1" t="s">
        <v>8209</v>
      </c>
      <c r="E2496" t="s">
        <v>9310</v>
      </c>
      <c r="F2496" t="s">
        <v>8957</v>
      </c>
      <c r="G2496" t="s">
        <v>8959</v>
      </c>
      <c r="H2496" t="s">
        <v>9605</v>
      </c>
      <c r="I2496" t="s">
        <v>9101</v>
      </c>
      <c r="J2496" s="3" t="s">
        <v>20779</v>
      </c>
      <c r="K2496" s="1" t="s">
        <v>9036</v>
      </c>
      <c r="L2496" t="s">
        <v>8951</v>
      </c>
      <c r="M2496">
        <v>5000</v>
      </c>
      <c r="N2496" t="s">
        <v>8953</v>
      </c>
      <c r="O2496" t="s">
        <v>8989</v>
      </c>
      <c r="P2496" s="1" t="s">
        <v>8955</v>
      </c>
      <c r="Q2496" s="1" t="s">
        <v>8956</v>
      </c>
      <c r="R2496" s="1" t="s">
        <v>8958</v>
      </c>
      <c r="S2496" s="1" t="s">
        <v>20348</v>
      </c>
      <c r="T2496" s="1" t="s">
        <v>7</v>
      </c>
      <c r="U2496" s="1" t="s">
        <v>257</v>
      </c>
    </row>
    <row r="2497" spans="1:21" x14ac:dyDescent="0.2">
      <c r="A2497" s="88" t="s">
        <v>18237</v>
      </c>
      <c r="B2497" s="88" t="e">
        <f>VLOOKUP(C2497,#REF!,1,0)</f>
        <v>#REF!</v>
      </c>
      <c r="C2497" s="1" t="s">
        <v>8218</v>
      </c>
      <c r="D2497" s="1" t="s">
        <v>8219</v>
      </c>
      <c r="E2497" t="s">
        <v>18502</v>
      </c>
      <c r="F2497" t="s">
        <v>8957</v>
      </c>
      <c r="G2497" t="s">
        <v>8959</v>
      </c>
      <c r="H2497" t="s">
        <v>20712</v>
      </c>
      <c r="I2497" t="s">
        <v>9101</v>
      </c>
      <c r="J2497" s="3" t="s">
        <v>20736</v>
      </c>
      <c r="K2497" s="1" t="s">
        <v>20736</v>
      </c>
      <c r="L2497" t="s">
        <v>8987</v>
      </c>
      <c r="M2497">
        <v>100</v>
      </c>
      <c r="N2497" t="s">
        <v>8953</v>
      </c>
      <c r="O2497" t="s">
        <v>8989</v>
      </c>
      <c r="P2497" s="1" t="s">
        <v>8955</v>
      </c>
      <c r="Q2497" s="1" t="s">
        <v>8956</v>
      </c>
      <c r="R2497" s="1" t="s">
        <v>9103</v>
      </c>
      <c r="S2497" s="1" t="s">
        <v>20351</v>
      </c>
      <c r="T2497" s="1" t="s">
        <v>17</v>
      </c>
      <c r="U2497" s="1" t="s">
        <v>24</v>
      </c>
    </row>
    <row r="2498" spans="1:21" x14ac:dyDescent="0.2">
      <c r="A2498" s="88" t="s">
        <v>21182</v>
      </c>
      <c r="B2498" s="88" t="e">
        <f>VLOOKUP(C2498,#REF!,1,0)</f>
        <v>#REF!</v>
      </c>
      <c r="C2498" s="1" t="s">
        <v>8220</v>
      </c>
      <c r="D2498" s="1" t="s">
        <v>8221</v>
      </c>
      <c r="E2498" t="s">
        <v>9310</v>
      </c>
      <c r="F2498" t="s">
        <v>8957</v>
      </c>
      <c r="G2498" t="s">
        <v>8959</v>
      </c>
      <c r="H2498" t="s">
        <v>9605</v>
      </c>
      <c r="I2498" t="s">
        <v>9101</v>
      </c>
      <c r="J2498" s="3" t="s">
        <v>20805</v>
      </c>
      <c r="K2498" s="1" t="s">
        <v>9212</v>
      </c>
      <c r="L2498" t="s">
        <v>21600</v>
      </c>
      <c r="M2498">
        <v>1692</v>
      </c>
      <c r="N2498" t="s">
        <v>8953</v>
      </c>
      <c r="O2498" t="s">
        <v>8954</v>
      </c>
      <c r="P2498" s="1" t="s">
        <v>8955</v>
      </c>
      <c r="Q2498" s="1" t="s">
        <v>8956</v>
      </c>
      <c r="R2498" s="1" t="s">
        <v>9103</v>
      </c>
      <c r="S2498" s="1" t="s">
        <v>20352</v>
      </c>
      <c r="T2498" s="1" t="s">
        <v>7</v>
      </c>
      <c r="U2498" s="1" t="s">
        <v>493</v>
      </c>
    </row>
    <row r="2499" spans="1:21" x14ac:dyDescent="0.2">
      <c r="A2499" s="88" t="s">
        <v>18238</v>
      </c>
      <c r="B2499" s="88" t="e">
        <f>VLOOKUP(C2499,#REF!,1,0)</f>
        <v>#REF!</v>
      </c>
      <c r="C2499" s="1" t="s">
        <v>8222</v>
      </c>
      <c r="D2499" s="1" t="s">
        <v>8223</v>
      </c>
      <c r="E2499" t="s">
        <v>9310</v>
      </c>
      <c r="F2499" t="s">
        <v>9060</v>
      </c>
      <c r="G2499" t="s">
        <v>8959</v>
      </c>
      <c r="H2499" t="s">
        <v>9943</v>
      </c>
      <c r="I2499" t="s">
        <v>8971</v>
      </c>
      <c r="J2499" s="3" t="s">
        <v>21184</v>
      </c>
      <c r="K2499" s="1" t="s">
        <v>21888</v>
      </c>
      <c r="L2499" t="s">
        <v>8951</v>
      </c>
      <c r="M2499" t="s">
        <v>21164</v>
      </c>
      <c r="N2499" t="s">
        <v>8953</v>
      </c>
      <c r="O2499" t="s">
        <v>8989</v>
      </c>
      <c r="P2499" s="1" t="s">
        <v>8955</v>
      </c>
      <c r="Q2499" s="1" t="s">
        <v>8956</v>
      </c>
      <c r="R2499" s="1" t="s">
        <v>8958</v>
      </c>
      <c r="S2499" s="1" t="s">
        <v>20353</v>
      </c>
      <c r="T2499" s="1" t="s">
        <v>7</v>
      </c>
      <c r="U2499" s="1" t="s">
        <v>2785</v>
      </c>
    </row>
    <row r="2500" spans="1:21" x14ac:dyDescent="0.2">
      <c r="A2500" s="88" t="s">
        <v>18239</v>
      </c>
      <c r="B2500" s="88" t="e">
        <f>VLOOKUP(C2500,#REF!,1,0)</f>
        <v>#REF!</v>
      </c>
      <c r="C2500" s="1" t="s">
        <v>8224</v>
      </c>
      <c r="D2500" s="1" t="s">
        <v>8225</v>
      </c>
      <c r="E2500" t="s">
        <v>18502</v>
      </c>
      <c r="F2500" t="s">
        <v>8974</v>
      </c>
      <c r="G2500" t="s">
        <v>9009</v>
      </c>
      <c r="H2500" t="s">
        <v>9154</v>
      </c>
      <c r="I2500" t="s">
        <v>11607</v>
      </c>
      <c r="J2500" s="3" t="s">
        <v>20838</v>
      </c>
      <c r="K2500" s="1" t="s">
        <v>20755</v>
      </c>
      <c r="L2500" t="s">
        <v>8951</v>
      </c>
      <c r="M2500">
        <v>20000</v>
      </c>
      <c r="N2500" t="s">
        <v>9059</v>
      </c>
      <c r="O2500" t="s">
        <v>8954</v>
      </c>
      <c r="P2500" s="1" t="s">
        <v>8955</v>
      </c>
      <c r="Q2500" s="1" t="s">
        <v>8956</v>
      </c>
      <c r="R2500" s="1" t="s">
        <v>8975</v>
      </c>
      <c r="S2500" s="1" t="s">
        <v>20354</v>
      </c>
      <c r="T2500" s="1" t="s">
        <v>7</v>
      </c>
      <c r="U2500" s="1" t="s">
        <v>8226</v>
      </c>
    </row>
    <row r="2501" spans="1:21" x14ac:dyDescent="0.2">
      <c r="A2501" s="88" t="s">
        <v>18240</v>
      </c>
      <c r="B2501" s="88" t="e">
        <f>VLOOKUP(C2501,#REF!,1,0)</f>
        <v>#REF!</v>
      </c>
      <c r="C2501" s="1" t="s">
        <v>8227</v>
      </c>
      <c r="D2501" s="1" t="s">
        <v>8228</v>
      </c>
      <c r="E2501" t="s">
        <v>9380</v>
      </c>
      <c r="F2501" t="s">
        <v>8974</v>
      </c>
      <c r="G2501" t="s">
        <v>9183</v>
      </c>
      <c r="H2501" t="s">
        <v>9173</v>
      </c>
      <c r="I2501" t="s">
        <v>9174</v>
      </c>
      <c r="J2501" s="3" t="s">
        <v>10258</v>
      </c>
      <c r="K2501" s="1" t="s">
        <v>21766</v>
      </c>
      <c r="L2501" t="s">
        <v>8987</v>
      </c>
      <c r="M2501">
        <v>2917</v>
      </c>
      <c r="N2501" t="s">
        <v>8953</v>
      </c>
      <c r="O2501" t="s">
        <v>8989</v>
      </c>
      <c r="P2501" s="1" t="s">
        <v>8955</v>
      </c>
      <c r="Q2501" s="1" t="s">
        <v>8956</v>
      </c>
      <c r="R2501" s="1" t="s">
        <v>9103</v>
      </c>
      <c r="S2501" s="1" t="s">
        <v>8229</v>
      </c>
      <c r="T2501" s="1" t="s">
        <v>11</v>
      </c>
      <c r="U2501" s="1" t="s">
        <v>8230</v>
      </c>
    </row>
    <row r="2502" spans="1:21" x14ac:dyDescent="0.2">
      <c r="A2502" s="88" t="s">
        <v>18241</v>
      </c>
      <c r="B2502" s="88" t="e">
        <f>VLOOKUP(C2502,#REF!,1,0)</f>
        <v>#REF!</v>
      </c>
      <c r="C2502" s="1" t="s">
        <v>8231</v>
      </c>
      <c r="D2502" s="1" t="s">
        <v>8232</v>
      </c>
      <c r="E2502" t="s">
        <v>10873</v>
      </c>
      <c r="F2502" t="s">
        <v>8959</v>
      </c>
      <c r="G2502" t="s">
        <v>8959</v>
      </c>
      <c r="H2502" t="s">
        <v>9252</v>
      </c>
      <c r="I2502" t="s">
        <v>8971</v>
      </c>
      <c r="J2502" s="3" t="s">
        <v>21588</v>
      </c>
      <c r="K2502" s="1" t="s">
        <v>21588</v>
      </c>
      <c r="L2502" t="s">
        <v>8951</v>
      </c>
      <c r="M2502">
        <v>469</v>
      </c>
      <c r="N2502" t="s">
        <v>8953</v>
      </c>
      <c r="O2502" t="s">
        <v>8954</v>
      </c>
      <c r="P2502" s="1" t="s">
        <v>8955</v>
      </c>
      <c r="Q2502" s="1" t="s">
        <v>8956</v>
      </c>
      <c r="R2502" s="1" t="s">
        <v>8975</v>
      </c>
      <c r="S2502" s="1" t="s">
        <v>8233</v>
      </c>
      <c r="T2502" s="1" t="s">
        <v>11</v>
      </c>
      <c r="U2502" s="1" t="s">
        <v>27</v>
      </c>
    </row>
    <row r="2503" spans="1:21" x14ac:dyDescent="0.2">
      <c r="A2503" s="88" t="s">
        <v>18242</v>
      </c>
      <c r="B2503" s="88" t="e">
        <f>VLOOKUP(C2503,#REF!,1,0)</f>
        <v>#REF!</v>
      </c>
      <c r="C2503" s="1" t="s">
        <v>8234</v>
      </c>
      <c r="D2503" s="1" t="s">
        <v>8235</v>
      </c>
      <c r="E2503" t="s">
        <v>10873</v>
      </c>
      <c r="F2503" t="s">
        <v>8957</v>
      </c>
      <c r="G2503" t="s">
        <v>8959</v>
      </c>
      <c r="H2503" t="s">
        <v>8948</v>
      </c>
      <c r="I2503" t="s">
        <v>8971</v>
      </c>
      <c r="J2503" s="3" t="s">
        <v>9036</v>
      </c>
      <c r="K2503" s="1" t="s">
        <v>9036</v>
      </c>
      <c r="L2503" t="s">
        <v>9133</v>
      </c>
      <c r="M2503">
        <v>19838</v>
      </c>
      <c r="N2503" t="s">
        <v>8953</v>
      </c>
      <c r="O2503" t="s">
        <v>8989</v>
      </c>
      <c r="P2503" s="1" t="s">
        <v>8955</v>
      </c>
      <c r="Q2503" s="1" t="s">
        <v>8956</v>
      </c>
      <c r="R2503" s="1" t="s">
        <v>8958</v>
      </c>
      <c r="S2503" s="1" t="s">
        <v>8236</v>
      </c>
      <c r="T2503" s="1" t="s">
        <v>4</v>
      </c>
      <c r="U2503" s="1" t="s">
        <v>1524</v>
      </c>
    </row>
    <row r="2504" spans="1:21" x14ac:dyDescent="0.2">
      <c r="A2504" s="88" t="s">
        <v>18243</v>
      </c>
      <c r="B2504" s="88" t="e">
        <f>VLOOKUP(C2504,#REF!,1,0)</f>
        <v>#REF!</v>
      </c>
      <c r="C2504" s="1" t="s">
        <v>8239</v>
      </c>
      <c r="D2504" s="1" t="s">
        <v>8240</v>
      </c>
      <c r="E2504" t="s">
        <v>9333</v>
      </c>
      <c r="F2504" t="s">
        <v>8959</v>
      </c>
      <c r="G2504" t="s">
        <v>9061</v>
      </c>
      <c r="H2504" t="s">
        <v>8984</v>
      </c>
      <c r="I2504" t="s">
        <v>8998</v>
      </c>
      <c r="J2504" s="3" t="s">
        <v>9036</v>
      </c>
      <c r="K2504" s="1" t="s">
        <v>9036</v>
      </c>
      <c r="L2504" t="s">
        <v>9133</v>
      </c>
      <c r="M2504">
        <v>55536</v>
      </c>
      <c r="N2504" t="s">
        <v>8953</v>
      </c>
      <c r="O2504" t="s">
        <v>8954</v>
      </c>
      <c r="P2504" s="1" t="s">
        <v>8955</v>
      </c>
      <c r="Q2504" s="1" t="s">
        <v>8956</v>
      </c>
      <c r="R2504" s="1" t="s">
        <v>8958</v>
      </c>
      <c r="S2504" s="1" t="s">
        <v>8241</v>
      </c>
      <c r="T2504" s="1" t="s">
        <v>11</v>
      </c>
      <c r="U2504" s="1" t="s">
        <v>180</v>
      </c>
    </row>
    <row r="2505" spans="1:21" x14ac:dyDescent="0.2">
      <c r="A2505" s="88" t="s">
        <v>18244</v>
      </c>
      <c r="B2505" s="88" t="e">
        <f>VLOOKUP(C2505,#REF!,1,0)</f>
        <v>#REF!</v>
      </c>
      <c r="C2505" s="1" t="s">
        <v>8242</v>
      </c>
      <c r="D2505" s="1" t="s">
        <v>8243</v>
      </c>
      <c r="E2505" t="s">
        <v>9333</v>
      </c>
      <c r="F2505" t="s">
        <v>8959</v>
      </c>
      <c r="G2505" t="s">
        <v>9061</v>
      </c>
      <c r="H2505" t="s">
        <v>8984</v>
      </c>
      <c r="I2505" t="s">
        <v>8998</v>
      </c>
      <c r="J2505" s="3" t="s">
        <v>9036</v>
      </c>
      <c r="K2505" s="1" t="s">
        <v>9036</v>
      </c>
      <c r="L2505" t="s">
        <v>9292</v>
      </c>
      <c r="M2505">
        <v>992</v>
      </c>
      <c r="N2505" t="s">
        <v>8953</v>
      </c>
      <c r="O2505" t="s">
        <v>8989</v>
      </c>
      <c r="P2505" s="1" t="s">
        <v>8955</v>
      </c>
      <c r="Q2505" s="1" t="s">
        <v>8956</v>
      </c>
      <c r="R2505" s="1" t="s">
        <v>8958</v>
      </c>
      <c r="S2505" s="1" t="s">
        <v>8244</v>
      </c>
      <c r="T2505" s="1" t="s">
        <v>11</v>
      </c>
      <c r="U2505" s="1" t="s">
        <v>147</v>
      </c>
    </row>
    <row r="2506" spans="1:21" x14ac:dyDescent="0.2">
      <c r="A2506" s="88" t="s">
        <v>18245</v>
      </c>
      <c r="B2506" s="88" t="e">
        <f>VLOOKUP(C2506,#REF!,1,0)</f>
        <v>#REF!</v>
      </c>
      <c r="C2506" s="1" t="s">
        <v>8245</v>
      </c>
      <c r="D2506" s="1" t="s">
        <v>8246</v>
      </c>
      <c r="E2506" t="s">
        <v>9010</v>
      </c>
      <c r="F2506" t="s">
        <v>8959</v>
      </c>
      <c r="G2506" t="s">
        <v>9061</v>
      </c>
      <c r="H2506" t="s">
        <v>8984</v>
      </c>
      <c r="I2506" t="s">
        <v>8949</v>
      </c>
      <c r="J2506" s="3" t="s">
        <v>9036</v>
      </c>
      <c r="K2506" s="1" t="s">
        <v>9036</v>
      </c>
      <c r="L2506" t="s">
        <v>9133</v>
      </c>
      <c r="M2506">
        <v>144180</v>
      </c>
      <c r="N2506" t="s">
        <v>9059</v>
      </c>
      <c r="O2506" t="s">
        <v>8954</v>
      </c>
      <c r="P2506" s="1" t="s">
        <v>8955</v>
      </c>
      <c r="Q2506" s="1" t="s">
        <v>8956</v>
      </c>
      <c r="R2506" s="1" t="s">
        <v>8958</v>
      </c>
      <c r="S2506" s="1" t="s">
        <v>8244</v>
      </c>
      <c r="T2506" s="1" t="s">
        <v>11</v>
      </c>
      <c r="U2506" s="1" t="s">
        <v>180</v>
      </c>
    </row>
    <row r="2507" spans="1:21" x14ac:dyDescent="0.2">
      <c r="A2507" s="88" t="s">
        <v>18246</v>
      </c>
      <c r="B2507" s="88" t="e">
        <f>VLOOKUP(C2507,#REF!,1,0)</f>
        <v>#REF!</v>
      </c>
      <c r="C2507" s="1" t="s">
        <v>8250</v>
      </c>
      <c r="D2507" s="1" t="s">
        <v>8251</v>
      </c>
      <c r="E2507" t="s">
        <v>9333</v>
      </c>
      <c r="F2507" t="s">
        <v>8957</v>
      </c>
      <c r="G2507" t="s">
        <v>9061</v>
      </c>
      <c r="H2507" t="s">
        <v>9092</v>
      </c>
      <c r="I2507" t="s">
        <v>8998</v>
      </c>
      <c r="J2507" s="3" t="s">
        <v>20779</v>
      </c>
      <c r="K2507" s="1" t="s">
        <v>9036</v>
      </c>
      <c r="L2507" t="s">
        <v>8987</v>
      </c>
      <c r="M2507">
        <v>2045</v>
      </c>
      <c r="N2507" t="s">
        <v>8953</v>
      </c>
      <c r="O2507" t="s">
        <v>8954</v>
      </c>
      <c r="P2507" s="1" t="s">
        <v>8955</v>
      </c>
      <c r="Q2507" s="1" t="s">
        <v>8956</v>
      </c>
      <c r="R2507" s="1" t="s">
        <v>8958</v>
      </c>
      <c r="S2507" s="1" t="s">
        <v>20355</v>
      </c>
      <c r="T2507" s="1" t="s">
        <v>7</v>
      </c>
      <c r="U2507" s="1" t="s">
        <v>147</v>
      </c>
    </row>
    <row r="2508" spans="1:21" x14ac:dyDescent="0.2">
      <c r="A2508" s="88" t="s">
        <v>18247</v>
      </c>
      <c r="B2508" s="88" t="e">
        <f>VLOOKUP(C2508,#REF!,1,0)</f>
        <v>#REF!</v>
      </c>
      <c r="C2508" s="1" t="s">
        <v>8252</v>
      </c>
      <c r="D2508" s="1" t="s">
        <v>8253</v>
      </c>
      <c r="E2508" t="s">
        <v>9310</v>
      </c>
      <c r="F2508" t="s">
        <v>9060</v>
      </c>
      <c r="G2508" t="s">
        <v>8959</v>
      </c>
      <c r="H2508" t="s">
        <v>9100</v>
      </c>
      <c r="I2508" t="s">
        <v>8949</v>
      </c>
      <c r="J2508" s="3" t="s">
        <v>20813</v>
      </c>
      <c r="K2508" s="1" t="s">
        <v>20770</v>
      </c>
      <c r="L2508" t="s">
        <v>9076</v>
      </c>
      <c r="M2508">
        <v>25</v>
      </c>
      <c r="N2508" t="s">
        <v>9059</v>
      </c>
      <c r="O2508" t="s">
        <v>8989</v>
      </c>
      <c r="P2508" s="1" t="s">
        <v>8955</v>
      </c>
      <c r="Q2508" s="1" t="s">
        <v>8956</v>
      </c>
      <c r="R2508" s="1" t="s">
        <v>9103</v>
      </c>
      <c r="S2508" s="1" t="s">
        <v>20356</v>
      </c>
      <c r="T2508" s="1" t="s">
        <v>17</v>
      </c>
      <c r="U2508" s="1" t="s">
        <v>126</v>
      </c>
    </row>
    <row r="2509" spans="1:21" x14ac:dyDescent="0.2">
      <c r="A2509" s="88" t="s">
        <v>18248</v>
      </c>
      <c r="B2509" s="88" t="e">
        <f>VLOOKUP(C2509,#REF!,1,0)</f>
        <v>#REF!</v>
      </c>
      <c r="C2509" s="1" t="s">
        <v>21187</v>
      </c>
      <c r="D2509" s="1" t="s">
        <v>8254</v>
      </c>
      <c r="E2509" t="s">
        <v>9310</v>
      </c>
      <c r="F2509" t="s">
        <v>8957</v>
      </c>
      <c r="G2509" t="s">
        <v>9061</v>
      </c>
      <c r="H2509" t="s">
        <v>9100</v>
      </c>
      <c r="I2509" t="s">
        <v>8998</v>
      </c>
      <c r="J2509" s="3" t="s">
        <v>21080</v>
      </c>
      <c r="K2509" s="1" t="s">
        <v>9679</v>
      </c>
      <c r="L2509" t="s">
        <v>8951</v>
      </c>
      <c r="M2509">
        <v>76621</v>
      </c>
      <c r="N2509" t="s">
        <v>8953</v>
      </c>
      <c r="O2509" t="s">
        <v>8954</v>
      </c>
      <c r="P2509" s="1" t="s">
        <v>8955</v>
      </c>
      <c r="Q2509" s="1" t="s">
        <v>8956</v>
      </c>
      <c r="R2509" s="1" t="s">
        <v>8975</v>
      </c>
      <c r="S2509" s="1" t="s">
        <v>20357</v>
      </c>
      <c r="T2509" s="1" t="s">
        <v>17</v>
      </c>
      <c r="U2509" s="1" t="s">
        <v>147</v>
      </c>
    </row>
    <row r="2510" spans="1:21" x14ac:dyDescent="0.2">
      <c r="A2510" s="88" t="s">
        <v>18249</v>
      </c>
      <c r="B2510" s="88" t="e">
        <f>VLOOKUP(C2510,#REF!,1,0)</f>
        <v>#REF!</v>
      </c>
      <c r="C2510" s="1" t="s">
        <v>8255</v>
      </c>
      <c r="D2510" s="1" t="s">
        <v>8256</v>
      </c>
      <c r="E2510" t="s">
        <v>9310</v>
      </c>
      <c r="F2510" t="s">
        <v>8957</v>
      </c>
      <c r="G2510" t="s">
        <v>9061</v>
      </c>
      <c r="H2510" t="s">
        <v>21165</v>
      </c>
      <c r="I2510" t="s">
        <v>21166</v>
      </c>
      <c r="J2510" s="3" t="s">
        <v>10525</v>
      </c>
      <c r="K2510" s="1" t="s">
        <v>10525</v>
      </c>
      <c r="L2510" t="s">
        <v>8987</v>
      </c>
      <c r="M2510">
        <v>2538</v>
      </c>
      <c r="N2510" t="s">
        <v>8953</v>
      </c>
      <c r="O2510" t="s">
        <v>8989</v>
      </c>
      <c r="P2510" s="1" t="s">
        <v>8955</v>
      </c>
      <c r="Q2510" s="1" t="s">
        <v>8956</v>
      </c>
      <c r="R2510" s="1" t="s">
        <v>8958</v>
      </c>
      <c r="S2510" s="1" t="s">
        <v>20358</v>
      </c>
      <c r="T2510" s="1" t="s">
        <v>7</v>
      </c>
      <c r="U2510" s="1" t="s">
        <v>147</v>
      </c>
    </row>
    <row r="2511" spans="1:21" x14ac:dyDescent="0.2">
      <c r="A2511" s="88" t="s">
        <v>18250</v>
      </c>
      <c r="B2511" s="88" t="e">
        <f>VLOOKUP(C2511,#REF!,1,0)</f>
        <v>#REF!</v>
      </c>
      <c r="C2511" s="1" t="s">
        <v>8257</v>
      </c>
      <c r="D2511" s="1" t="s">
        <v>8258</v>
      </c>
      <c r="E2511" t="s">
        <v>9310</v>
      </c>
      <c r="F2511" t="s">
        <v>8957</v>
      </c>
      <c r="G2511" t="s">
        <v>9009</v>
      </c>
      <c r="H2511" t="s">
        <v>9035</v>
      </c>
      <c r="I2511" t="s">
        <v>8998</v>
      </c>
      <c r="J2511" s="3" t="s">
        <v>21243</v>
      </c>
      <c r="K2511" s="1" t="s">
        <v>21243</v>
      </c>
      <c r="L2511" t="s">
        <v>8951</v>
      </c>
      <c r="M2511">
        <v>1228</v>
      </c>
      <c r="N2511" t="s">
        <v>8953</v>
      </c>
      <c r="O2511" t="s">
        <v>8954</v>
      </c>
      <c r="P2511" s="1" t="s">
        <v>8955</v>
      </c>
      <c r="Q2511" s="1" t="s">
        <v>8956</v>
      </c>
      <c r="R2511" s="1" t="s">
        <v>8975</v>
      </c>
      <c r="S2511" s="1" t="s">
        <v>8259</v>
      </c>
      <c r="T2511" s="1" t="s">
        <v>17</v>
      </c>
      <c r="U2511" s="1" t="s">
        <v>1598</v>
      </c>
    </row>
    <row r="2512" spans="1:21" x14ac:dyDescent="0.2">
      <c r="A2512" s="88" t="s">
        <v>18251</v>
      </c>
      <c r="B2512" s="88" t="e">
        <f>VLOOKUP(C2512,#REF!,1,0)</f>
        <v>#REF!</v>
      </c>
      <c r="C2512" s="1" t="s">
        <v>8260</v>
      </c>
      <c r="D2512" s="1" t="s">
        <v>8261</v>
      </c>
      <c r="E2512" t="s">
        <v>10873</v>
      </c>
      <c r="F2512" t="s">
        <v>8957</v>
      </c>
      <c r="G2512" t="s">
        <v>8959</v>
      </c>
      <c r="H2512" t="s">
        <v>9100</v>
      </c>
      <c r="I2512" t="s">
        <v>8949</v>
      </c>
      <c r="J2512" s="3" t="s">
        <v>20779</v>
      </c>
      <c r="K2512" s="1" t="s">
        <v>9036</v>
      </c>
      <c r="L2512" t="s">
        <v>8987</v>
      </c>
      <c r="M2512" s="84">
        <v>3152</v>
      </c>
      <c r="N2512" t="s">
        <v>9059</v>
      </c>
      <c r="O2512" t="s">
        <v>8989</v>
      </c>
      <c r="P2512" s="1" t="s">
        <v>8955</v>
      </c>
      <c r="Q2512" s="1" t="s">
        <v>8956</v>
      </c>
      <c r="R2512" s="1" t="s">
        <v>8958</v>
      </c>
      <c r="S2512" s="1" t="s">
        <v>20359</v>
      </c>
      <c r="T2512" s="1" t="s">
        <v>7</v>
      </c>
      <c r="U2512" s="1" t="s">
        <v>46</v>
      </c>
    </row>
    <row r="2513" spans="1:21" x14ac:dyDescent="0.2">
      <c r="A2513" s="88" t="s">
        <v>18252</v>
      </c>
      <c r="B2513" s="88"/>
      <c r="C2513" s="1" t="s">
        <v>8262</v>
      </c>
      <c r="D2513" s="1" t="s">
        <v>8263</v>
      </c>
      <c r="E2513" t="e">
        <v>#N/A</v>
      </c>
      <c r="F2513" t="e">
        <v>#N/A</v>
      </c>
      <c r="G2513" t="e">
        <v>#N/A</v>
      </c>
      <c r="H2513" t="e">
        <v>#N/A</v>
      </c>
      <c r="I2513" t="e">
        <v>#N/A</v>
      </c>
      <c r="J2513" s="3" t="e">
        <v>#N/A</v>
      </c>
      <c r="K2513" s="1" t="e">
        <v>#N/A</v>
      </c>
      <c r="L2513" t="e">
        <v>#N/A</v>
      </c>
      <c r="M2513" t="e">
        <v>#N/A</v>
      </c>
      <c r="N2513" t="e">
        <v>#N/A</v>
      </c>
      <c r="O2513" t="e">
        <v>#N/A</v>
      </c>
      <c r="P2513" s="1" t="s">
        <v>8955</v>
      </c>
      <c r="Q2513" s="1" t="s">
        <v>8956</v>
      </c>
      <c r="R2513" s="1" t="s">
        <v>8975</v>
      </c>
      <c r="S2513" s="1" t="s">
        <v>20360</v>
      </c>
      <c r="T2513" s="1" t="s">
        <v>252</v>
      </c>
      <c r="U2513" s="1" t="s">
        <v>8264</v>
      </c>
    </row>
    <row r="2514" spans="1:21" x14ac:dyDescent="0.2">
      <c r="A2514" s="88" t="s">
        <v>18253</v>
      </c>
      <c r="B2514" s="88" t="e">
        <f>VLOOKUP(C2514,#REF!,1,0)</f>
        <v>#REF!</v>
      </c>
      <c r="C2514" s="1" t="s">
        <v>8265</v>
      </c>
      <c r="D2514" s="1" t="s">
        <v>8266</v>
      </c>
      <c r="E2514" t="s">
        <v>18502</v>
      </c>
      <c r="F2514" t="s">
        <v>8959</v>
      </c>
      <c r="G2514" t="s">
        <v>8959</v>
      </c>
      <c r="H2514" t="s">
        <v>9100</v>
      </c>
      <c r="I2514" t="s">
        <v>9101</v>
      </c>
      <c r="J2514" s="3" t="s">
        <v>10492</v>
      </c>
      <c r="K2514" s="1" t="s">
        <v>10492</v>
      </c>
      <c r="L2514" t="s">
        <v>21600</v>
      </c>
      <c r="M2514">
        <v>644</v>
      </c>
      <c r="N2514" t="s">
        <v>8953</v>
      </c>
      <c r="O2514" t="s">
        <v>8989</v>
      </c>
      <c r="P2514" s="1" t="s">
        <v>8955</v>
      </c>
      <c r="Q2514" s="1" t="s">
        <v>8956</v>
      </c>
      <c r="R2514" s="1" t="s">
        <v>8958</v>
      </c>
      <c r="S2514" s="1" t="s">
        <v>20361</v>
      </c>
      <c r="T2514" s="1" t="s">
        <v>17</v>
      </c>
      <c r="U2514" s="1" t="s">
        <v>126</v>
      </c>
    </row>
    <row r="2515" spans="1:21" x14ac:dyDescent="0.2">
      <c r="A2515" s="88" t="s">
        <v>18255</v>
      </c>
      <c r="B2515" s="88" t="e">
        <f>VLOOKUP(C2515,#REF!,1,0)</f>
        <v>#REF!</v>
      </c>
      <c r="C2515" s="1" t="s">
        <v>8269</v>
      </c>
      <c r="D2515" s="1" t="s">
        <v>8270</v>
      </c>
      <c r="E2515" t="s">
        <v>18502</v>
      </c>
      <c r="F2515" t="s">
        <v>8957</v>
      </c>
      <c r="G2515" t="s">
        <v>9061</v>
      </c>
      <c r="H2515" t="s">
        <v>9035</v>
      </c>
      <c r="I2515" t="s">
        <v>9308</v>
      </c>
      <c r="J2515" s="3" t="s">
        <v>20838</v>
      </c>
      <c r="K2515" s="1" t="s">
        <v>20755</v>
      </c>
      <c r="L2515" t="s">
        <v>8987</v>
      </c>
      <c r="M2515">
        <v>88</v>
      </c>
      <c r="N2515" t="s">
        <v>8953</v>
      </c>
      <c r="O2515" t="s">
        <v>8954</v>
      </c>
      <c r="P2515" s="1" t="s">
        <v>8955</v>
      </c>
      <c r="Q2515" s="1" t="s">
        <v>8956</v>
      </c>
      <c r="R2515" s="1" t="s">
        <v>9103</v>
      </c>
      <c r="T2515" s="1" t="s">
        <v>7</v>
      </c>
      <c r="U2515" s="1" t="s">
        <v>1161</v>
      </c>
    </row>
    <row r="2516" spans="1:21" x14ac:dyDescent="0.2">
      <c r="A2516" s="88" t="s">
        <v>18256</v>
      </c>
      <c r="B2516" s="88" t="e">
        <f>VLOOKUP(C2516,#REF!,1,0)</f>
        <v>#REF!</v>
      </c>
      <c r="C2516" s="1" t="s">
        <v>8271</v>
      </c>
      <c r="D2516" s="1" t="s">
        <v>8272</v>
      </c>
      <c r="E2516" t="s">
        <v>9010</v>
      </c>
      <c r="F2516" t="s">
        <v>8959</v>
      </c>
      <c r="G2516" t="s">
        <v>9061</v>
      </c>
      <c r="H2516" t="s">
        <v>9092</v>
      </c>
      <c r="I2516" t="s">
        <v>9308</v>
      </c>
      <c r="J2516" s="3" t="s">
        <v>18497</v>
      </c>
      <c r="K2516" s="1" t="s">
        <v>21658</v>
      </c>
      <c r="L2516" t="s">
        <v>8987</v>
      </c>
      <c r="M2516">
        <v>250</v>
      </c>
      <c r="N2516" t="s">
        <v>8953</v>
      </c>
      <c r="O2516" t="s">
        <v>8989</v>
      </c>
      <c r="P2516" s="1" t="s">
        <v>8955</v>
      </c>
      <c r="Q2516" s="1" t="s">
        <v>8956</v>
      </c>
      <c r="R2516" s="1" t="s">
        <v>8975</v>
      </c>
      <c r="S2516" s="1" t="s">
        <v>8273</v>
      </c>
      <c r="T2516" s="1" t="s">
        <v>17</v>
      </c>
      <c r="U2516" s="1" t="s">
        <v>8274</v>
      </c>
    </row>
    <row r="2517" spans="1:21" x14ac:dyDescent="0.2">
      <c r="A2517" s="88" t="s">
        <v>18257</v>
      </c>
      <c r="B2517" s="88" t="e">
        <f>VLOOKUP(C2517,#REF!,1,0)</f>
        <v>#REF!</v>
      </c>
      <c r="C2517" s="1" t="s">
        <v>8275</v>
      </c>
      <c r="D2517" s="1" t="s">
        <v>8276</v>
      </c>
      <c r="E2517" t="s">
        <v>9010</v>
      </c>
      <c r="F2517" t="s">
        <v>8959</v>
      </c>
      <c r="G2517" t="s">
        <v>9061</v>
      </c>
      <c r="H2517" t="s">
        <v>9252</v>
      </c>
      <c r="I2517" t="s">
        <v>9253</v>
      </c>
      <c r="J2517" s="3" t="s">
        <v>18497</v>
      </c>
      <c r="K2517" s="1" t="s">
        <v>21658</v>
      </c>
      <c r="L2517" t="s">
        <v>8987</v>
      </c>
      <c r="M2517">
        <v>3034</v>
      </c>
      <c r="N2517" t="s">
        <v>8953</v>
      </c>
      <c r="O2517" t="s">
        <v>8989</v>
      </c>
      <c r="P2517" s="1" t="s">
        <v>8955</v>
      </c>
      <c r="Q2517" s="1" t="s">
        <v>8956</v>
      </c>
      <c r="R2517" s="1" t="s">
        <v>8975</v>
      </c>
      <c r="S2517" s="1" t="s">
        <v>8277</v>
      </c>
      <c r="T2517" s="1" t="s">
        <v>17</v>
      </c>
      <c r="U2517" s="1" t="s">
        <v>87</v>
      </c>
    </row>
    <row r="2518" spans="1:21" x14ac:dyDescent="0.2">
      <c r="A2518" s="88" t="s">
        <v>18258</v>
      </c>
      <c r="B2518" s="88" t="e">
        <f>VLOOKUP(C2518,#REF!,1,0)</f>
        <v>#REF!</v>
      </c>
      <c r="C2518" s="1" t="s">
        <v>8278</v>
      </c>
      <c r="D2518" s="1" t="s">
        <v>8279</v>
      </c>
      <c r="E2518" t="s">
        <v>18502</v>
      </c>
      <c r="F2518" t="s">
        <v>8959</v>
      </c>
      <c r="G2518" t="s">
        <v>9061</v>
      </c>
      <c r="H2518" t="s">
        <v>21165</v>
      </c>
      <c r="I2518" t="s">
        <v>9308</v>
      </c>
      <c r="J2518" s="3" t="s">
        <v>18497</v>
      </c>
      <c r="K2518" s="1" t="s">
        <v>21658</v>
      </c>
      <c r="L2518" t="s">
        <v>21611</v>
      </c>
      <c r="M2518">
        <v>690</v>
      </c>
      <c r="N2518" t="s">
        <v>8953</v>
      </c>
      <c r="O2518" t="s">
        <v>8954</v>
      </c>
      <c r="P2518" s="1" t="s">
        <v>8955</v>
      </c>
      <c r="Q2518" s="1" t="s">
        <v>8956</v>
      </c>
      <c r="R2518" s="1" t="s">
        <v>8975</v>
      </c>
      <c r="S2518" s="1" t="s">
        <v>20362</v>
      </c>
      <c r="T2518" s="1" t="s">
        <v>7</v>
      </c>
      <c r="U2518" s="1" t="s">
        <v>8280</v>
      </c>
    </row>
    <row r="2519" spans="1:21" x14ac:dyDescent="0.2">
      <c r="A2519" s="88" t="s">
        <v>18259</v>
      </c>
      <c r="B2519" s="88" t="e">
        <f>VLOOKUP(C2519,#REF!,1,0)</f>
        <v>#REF!</v>
      </c>
      <c r="C2519" s="1" t="s">
        <v>8281</v>
      </c>
      <c r="D2519" s="1" t="s">
        <v>8282</v>
      </c>
      <c r="E2519" t="s">
        <v>9380</v>
      </c>
      <c r="F2519" t="s">
        <v>8959</v>
      </c>
      <c r="G2519" t="s">
        <v>8959</v>
      </c>
      <c r="H2519" t="s">
        <v>9154</v>
      </c>
      <c r="I2519" t="s">
        <v>8998</v>
      </c>
      <c r="J2519" s="3" t="s">
        <v>21449</v>
      </c>
      <c r="K2519" s="1" t="s">
        <v>10629</v>
      </c>
      <c r="L2519" t="s">
        <v>8987</v>
      </c>
      <c r="M2519">
        <v>1089</v>
      </c>
      <c r="N2519" t="s">
        <v>8953</v>
      </c>
      <c r="O2519" t="s">
        <v>8954</v>
      </c>
      <c r="P2519" s="1" t="s">
        <v>8955</v>
      </c>
      <c r="Q2519" s="1" t="s">
        <v>8956</v>
      </c>
      <c r="R2519" s="1" t="s">
        <v>9103</v>
      </c>
      <c r="S2519" s="1" t="s">
        <v>20363</v>
      </c>
      <c r="T2519" s="1" t="s">
        <v>11</v>
      </c>
      <c r="U2519" s="1" t="s">
        <v>87</v>
      </c>
    </row>
    <row r="2520" spans="1:21" x14ac:dyDescent="0.2">
      <c r="A2520" s="88" t="s">
        <v>18260</v>
      </c>
      <c r="B2520" s="88" t="e">
        <f>VLOOKUP(C2520,#REF!,1,0)</f>
        <v>#REF!</v>
      </c>
      <c r="C2520" s="1" t="s">
        <v>8286</v>
      </c>
      <c r="D2520" s="1" t="s">
        <v>8287</v>
      </c>
      <c r="E2520" t="s">
        <v>10873</v>
      </c>
      <c r="F2520" t="s">
        <v>8957</v>
      </c>
      <c r="G2520" t="s">
        <v>8959</v>
      </c>
      <c r="H2520" t="s">
        <v>20714</v>
      </c>
      <c r="I2520" t="s">
        <v>20725</v>
      </c>
      <c r="J2520" s="3" t="s">
        <v>10492</v>
      </c>
      <c r="K2520" s="1" t="s">
        <v>10492</v>
      </c>
      <c r="L2520" t="s">
        <v>8987</v>
      </c>
      <c r="M2520" s="84">
        <v>2795</v>
      </c>
      <c r="N2520" t="s">
        <v>9059</v>
      </c>
      <c r="O2520" t="s">
        <v>8954</v>
      </c>
      <c r="P2520" s="1" t="s">
        <v>8955</v>
      </c>
      <c r="Q2520" s="1" t="s">
        <v>8956</v>
      </c>
      <c r="R2520" s="1" t="s">
        <v>8975</v>
      </c>
      <c r="S2520" s="1" t="s">
        <v>20365</v>
      </c>
      <c r="T2520" s="1" t="s">
        <v>7</v>
      </c>
      <c r="U2520" s="1" t="s">
        <v>402</v>
      </c>
    </row>
    <row r="2521" spans="1:21" x14ac:dyDescent="0.2">
      <c r="A2521" s="88" t="s">
        <v>18261</v>
      </c>
      <c r="B2521" s="88" t="e">
        <f>VLOOKUP(C2521,#REF!,1,0)</f>
        <v>#REF!</v>
      </c>
      <c r="C2521" s="1" t="s">
        <v>8288</v>
      </c>
      <c r="D2521" s="1" t="s">
        <v>8289</v>
      </c>
      <c r="E2521" t="s">
        <v>9310</v>
      </c>
      <c r="F2521" t="s">
        <v>8957</v>
      </c>
      <c r="G2521" t="s">
        <v>9061</v>
      </c>
      <c r="H2521" t="s">
        <v>9035</v>
      </c>
      <c r="I2521" t="s">
        <v>8998</v>
      </c>
      <c r="J2521" s="3" t="s">
        <v>20779</v>
      </c>
      <c r="K2521" s="1" t="s">
        <v>9036</v>
      </c>
      <c r="L2521" t="s">
        <v>9292</v>
      </c>
      <c r="M2521">
        <v>204</v>
      </c>
      <c r="N2521" t="s">
        <v>8953</v>
      </c>
      <c r="O2521" t="s">
        <v>8954</v>
      </c>
      <c r="P2521" s="1" t="s">
        <v>8955</v>
      </c>
      <c r="Q2521" s="1" t="s">
        <v>8956</v>
      </c>
      <c r="R2521" s="1" t="s">
        <v>8958</v>
      </c>
      <c r="S2521" s="1" t="s">
        <v>20366</v>
      </c>
      <c r="T2521" s="1" t="s">
        <v>17</v>
      </c>
      <c r="U2521" s="1" t="s">
        <v>234</v>
      </c>
    </row>
    <row r="2522" spans="1:21" x14ac:dyDescent="0.2">
      <c r="A2522" s="88" t="s">
        <v>18262</v>
      </c>
      <c r="B2522" s="88" t="e">
        <f>VLOOKUP(C2522,#REF!,1,0)</f>
        <v>#REF!</v>
      </c>
      <c r="C2522" s="1" t="s">
        <v>8290</v>
      </c>
      <c r="D2522" s="1" t="s">
        <v>8291</v>
      </c>
      <c r="E2522" t="s">
        <v>9310</v>
      </c>
      <c r="F2522" t="s">
        <v>8957</v>
      </c>
      <c r="G2522" t="s">
        <v>8959</v>
      </c>
      <c r="H2522" t="s">
        <v>8984</v>
      </c>
      <c r="I2522" t="s">
        <v>21168</v>
      </c>
      <c r="J2522" s="3" t="s">
        <v>18497</v>
      </c>
      <c r="K2522" s="1" t="s">
        <v>18497</v>
      </c>
      <c r="L2522" t="s">
        <v>9076</v>
      </c>
      <c r="M2522">
        <v>20</v>
      </c>
      <c r="N2522" t="s">
        <v>9059</v>
      </c>
      <c r="O2522" t="s">
        <v>8954</v>
      </c>
      <c r="P2522" s="1" t="s">
        <v>8955</v>
      </c>
      <c r="Q2522" s="1" t="s">
        <v>8956</v>
      </c>
      <c r="R2522" s="1" t="s">
        <v>8975</v>
      </c>
      <c r="S2522" s="1" t="s">
        <v>20367</v>
      </c>
      <c r="T2522" s="1" t="s">
        <v>17</v>
      </c>
      <c r="U2522" s="1" t="s">
        <v>61</v>
      </c>
    </row>
    <row r="2523" spans="1:21" x14ac:dyDescent="0.2">
      <c r="A2523" s="88" t="s">
        <v>18263</v>
      </c>
      <c r="B2523" s="88" t="e">
        <f>VLOOKUP(C2523,#REF!,1,0)</f>
        <v>#REF!</v>
      </c>
      <c r="C2523" s="1" t="s">
        <v>8295</v>
      </c>
      <c r="D2523" s="1" t="s">
        <v>8296</v>
      </c>
      <c r="E2523" t="s">
        <v>9310</v>
      </c>
      <c r="F2523" t="s">
        <v>8957</v>
      </c>
      <c r="G2523" t="s">
        <v>8959</v>
      </c>
      <c r="H2523" t="s">
        <v>9943</v>
      </c>
      <c r="I2523" t="s">
        <v>8971</v>
      </c>
      <c r="J2523" s="3" t="s">
        <v>21392</v>
      </c>
      <c r="K2523" s="1" t="s">
        <v>21552</v>
      </c>
      <c r="L2523" t="s">
        <v>21190</v>
      </c>
      <c r="M2523">
        <v>3576</v>
      </c>
      <c r="N2523" t="s">
        <v>8953</v>
      </c>
      <c r="O2523" t="s">
        <v>8989</v>
      </c>
      <c r="P2523" s="1" t="s">
        <v>8955</v>
      </c>
      <c r="Q2523" s="1" t="s">
        <v>8956</v>
      </c>
      <c r="R2523" s="1" t="s">
        <v>8975</v>
      </c>
      <c r="S2523" s="1" t="s">
        <v>20369</v>
      </c>
      <c r="T2523" s="1" t="s">
        <v>7</v>
      </c>
      <c r="U2523" s="1" t="s">
        <v>5</v>
      </c>
    </row>
    <row r="2524" spans="1:21" x14ac:dyDescent="0.2">
      <c r="A2524" s="88" t="s">
        <v>18264</v>
      </c>
      <c r="B2524" s="88" t="e">
        <f>VLOOKUP(C2524,#REF!,1,0)</f>
        <v>#REF!</v>
      </c>
      <c r="C2524" s="1" t="s">
        <v>8297</v>
      </c>
      <c r="D2524" s="1" t="s">
        <v>8298</v>
      </c>
      <c r="E2524" t="s">
        <v>21162</v>
      </c>
      <c r="F2524" t="s">
        <v>8959</v>
      </c>
      <c r="G2524" t="s">
        <v>8959</v>
      </c>
      <c r="H2524" t="s">
        <v>9035</v>
      </c>
      <c r="I2524" t="s">
        <v>9308</v>
      </c>
      <c r="J2524" s="3" t="s">
        <v>18497</v>
      </c>
      <c r="K2524" s="1" t="s">
        <v>18497</v>
      </c>
      <c r="L2524" t="s">
        <v>8951</v>
      </c>
      <c r="M2524">
        <v>5485</v>
      </c>
      <c r="N2524" t="s">
        <v>9059</v>
      </c>
      <c r="O2524" t="s">
        <v>8954</v>
      </c>
      <c r="P2524" s="1" t="s">
        <v>8955</v>
      </c>
      <c r="Q2524" s="1" t="s">
        <v>8956</v>
      </c>
      <c r="R2524" s="1" t="s">
        <v>8958</v>
      </c>
      <c r="S2524" s="1" t="s">
        <v>20370</v>
      </c>
      <c r="T2524" s="1" t="s">
        <v>7</v>
      </c>
      <c r="U2524" s="1" t="s">
        <v>1918</v>
      </c>
    </row>
    <row r="2525" spans="1:21" x14ac:dyDescent="0.2">
      <c r="A2525" s="88" t="s">
        <v>18265</v>
      </c>
      <c r="B2525" s="88" t="e">
        <f>VLOOKUP(C2525,#REF!,1,0)</f>
        <v>#REF!</v>
      </c>
      <c r="C2525" s="1" t="s">
        <v>8299</v>
      </c>
      <c r="D2525" s="1" t="s">
        <v>8300</v>
      </c>
      <c r="E2525" t="s">
        <v>9380</v>
      </c>
      <c r="F2525" t="s">
        <v>8957</v>
      </c>
      <c r="G2525" t="s">
        <v>8959</v>
      </c>
      <c r="H2525" t="s">
        <v>9075</v>
      </c>
      <c r="I2525" t="s">
        <v>8949</v>
      </c>
      <c r="J2525" s="3" t="s">
        <v>18497</v>
      </c>
      <c r="K2525" s="1" t="s">
        <v>21658</v>
      </c>
      <c r="L2525" t="s">
        <v>8951</v>
      </c>
      <c r="M2525">
        <v>5832</v>
      </c>
      <c r="N2525" t="s">
        <v>8953</v>
      </c>
      <c r="O2525" t="s">
        <v>8989</v>
      </c>
      <c r="P2525" s="1" t="s">
        <v>8955</v>
      </c>
      <c r="Q2525" s="1" t="s">
        <v>8956</v>
      </c>
      <c r="R2525" s="1" t="s">
        <v>9103</v>
      </c>
      <c r="S2525" s="1" t="s">
        <v>20371</v>
      </c>
      <c r="T2525" s="1" t="s">
        <v>17</v>
      </c>
      <c r="U2525" s="1" t="s">
        <v>24</v>
      </c>
    </row>
    <row r="2526" spans="1:21" x14ac:dyDescent="0.2">
      <c r="A2526" s="88" t="s">
        <v>18266</v>
      </c>
      <c r="B2526" s="88" t="e">
        <f>VLOOKUP(C2526,#REF!,1,0)</f>
        <v>#REF!</v>
      </c>
      <c r="C2526" s="1" t="s">
        <v>8301</v>
      </c>
      <c r="D2526" s="1" t="s">
        <v>8302</v>
      </c>
      <c r="E2526" t="s">
        <v>21162</v>
      </c>
      <c r="F2526" t="s">
        <v>8959</v>
      </c>
      <c r="G2526" t="s">
        <v>8959</v>
      </c>
      <c r="H2526" t="s">
        <v>8948</v>
      </c>
      <c r="I2526" t="s">
        <v>21169</v>
      </c>
      <c r="J2526" s="3" t="s">
        <v>20785</v>
      </c>
      <c r="K2526" s="1" t="s">
        <v>18491</v>
      </c>
      <c r="L2526" t="s">
        <v>8951</v>
      </c>
      <c r="M2526">
        <v>339</v>
      </c>
      <c r="N2526" t="s">
        <v>8953</v>
      </c>
      <c r="O2526" t="s">
        <v>8954</v>
      </c>
      <c r="P2526" s="1" t="s">
        <v>8955</v>
      </c>
      <c r="Q2526" s="1" t="s">
        <v>8956</v>
      </c>
      <c r="R2526" s="1" t="s">
        <v>8958</v>
      </c>
      <c r="S2526" s="1" t="s">
        <v>20372</v>
      </c>
      <c r="T2526" s="1" t="s">
        <v>7</v>
      </c>
      <c r="U2526" s="1" t="s">
        <v>74</v>
      </c>
    </row>
    <row r="2527" spans="1:21" x14ac:dyDescent="0.2">
      <c r="A2527" s="88" t="s">
        <v>18267</v>
      </c>
      <c r="B2527" s="88" t="e">
        <f>VLOOKUP(C2527,#REF!,1,0)</f>
        <v>#REF!</v>
      </c>
      <c r="C2527" s="1" t="s">
        <v>8303</v>
      </c>
      <c r="D2527" s="1" t="s">
        <v>8304</v>
      </c>
      <c r="E2527" t="s">
        <v>9213</v>
      </c>
      <c r="F2527" t="s">
        <v>8959</v>
      </c>
      <c r="G2527" t="s">
        <v>9183</v>
      </c>
      <c r="H2527" t="s">
        <v>9049</v>
      </c>
      <c r="I2527" t="s">
        <v>9325</v>
      </c>
      <c r="J2527" s="3" t="s">
        <v>11203</v>
      </c>
      <c r="K2527" s="1" t="s">
        <v>11203</v>
      </c>
      <c r="L2527" t="s">
        <v>9133</v>
      </c>
      <c r="M2527">
        <v>3000</v>
      </c>
      <c r="N2527" t="s">
        <v>8953</v>
      </c>
      <c r="O2527" t="s">
        <v>8989</v>
      </c>
      <c r="P2527" s="1" t="s">
        <v>8955</v>
      </c>
      <c r="Q2527" s="1" t="s">
        <v>8956</v>
      </c>
      <c r="R2527" s="1" t="s">
        <v>8958</v>
      </c>
      <c r="S2527" s="1" t="s">
        <v>8305</v>
      </c>
      <c r="T2527" s="1" t="s">
        <v>17</v>
      </c>
      <c r="U2527" s="1" t="s">
        <v>5</v>
      </c>
    </row>
    <row r="2528" spans="1:21" x14ac:dyDescent="0.2">
      <c r="A2528" s="88" t="s">
        <v>18268</v>
      </c>
      <c r="B2528" s="88" t="e">
        <f>VLOOKUP(C2528,#REF!,1,0)</f>
        <v>#REF!</v>
      </c>
      <c r="C2528" s="1" t="s">
        <v>8306</v>
      </c>
      <c r="D2528" s="1" t="s">
        <v>8307</v>
      </c>
      <c r="E2528" t="s">
        <v>9380</v>
      </c>
      <c r="F2528" t="s">
        <v>8957</v>
      </c>
      <c r="G2528" t="s">
        <v>8959</v>
      </c>
      <c r="H2528" t="s">
        <v>8948</v>
      </c>
      <c r="I2528" t="s">
        <v>8949</v>
      </c>
      <c r="J2528" s="3" t="s">
        <v>12500</v>
      </c>
      <c r="K2528" s="1" t="s">
        <v>12500</v>
      </c>
      <c r="L2528" t="s">
        <v>9133</v>
      </c>
      <c r="M2528">
        <v>99</v>
      </c>
      <c r="N2528" t="s">
        <v>9059</v>
      </c>
      <c r="O2528" t="s">
        <v>8954</v>
      </c>
      <c r="P2528" s="1" t="s">
        <v>8955</v>
      </c>
      <c r="Q2528" s="1" t="s">
        <v>8956</v>
      </c>
      <c r="R2528" s="1" t="s">
        <v>8975</v>
      </c>
      <c r="S2528" s="1" t="s">
        <v>8308</v>
      </c>
      <c r="T2528" s="1" t="s">
        <v>11</v>
      </c>
      <c r="U2528" s="1" t="s">
        <v>57</v>
      </c>
    </row>
    <row r="2529" spans="1:21" x14ac:dyDescent="0.2">
      <c r="A2529" s="88" t="s">
        <v>18269</v>
      </c>
      <c r="B2529" s="88" t="e">
        <f>VLOOKUP(C2529,#REF!,1,0)</f>
        <v>#REF!</v>
      </c>
      <c r="C2529" s="1" t="s">
        <v>8309</v>
      </c>
      <c r="D2529" s="1" t="s">
        <v>8310</v>
      </c>
      <c r="E2529" t="s">
        <v>21162</v>
      </c>
      <c r="F2529" t="s">
        <v>9060</v>
      </c>
      <c r="G2529" t="s">
        <v>9061</v>
      </c>
      <c r="H2529" t="s">
        <v>8948</v>
      </c>
      <c r="I2529" t="s">
        <v>8971</v>
      </c>
      <c r="J2529" s="3" t="s">
        <v>20779</v>
      </c>
      <c r="K2529" s="1" t="s">
        <v>9036</v>
      </c>
      <c r="L2529" t="s">
        <v>8987</v>
      </c>
      <c r="M2529">
        <v>469</v>
      </c>
      <c r="N2529" t="s">
        <v>9059</v>
      </c>
      <c r="O2529" t="s">
        <v>8989</v>
      </c>
      <c r="P2529" s="1" t="s">
        <v>8955</v>
      </c>
      <c r="Q2529" s="1" t="s">
        <v>8956</v>
      </c>
      <c r="R2529" s="1" t="s">
        <v>8975</v>
      </c>
      <c r="S2529" s="1" t="s">
        <v>20373</v>
      </c>
      <c r="T2529" s="1" t="s">
        <v>7</v>
      </c>
      <c r="U2529" s="1" t="s">
        <v>110</v>
      </c>
    </row>
    <row r="2530" spans="1:21" x14ac:dyDescent="0.2">
      <c r="A2530" s="88" t="s">
        <v>18270</v>
      </c>
      <c r="B2530" s="88" t="e">
        <f>VLOOKUP(C2530,#REF!,1,0)</f>
        <v>#REF!</v>
      </c>
      <c r="C2530" s="1" t="s">
        <v>8311</v>
      </c>
      <c r="D2530" s="1" t="s">
        <v>8312</v>
      </c>
      <c r="E2530" t="s">
        <v>21162</v>
      </c>
      <c r="F2530" t="s">
        <v>8957</v>
      </c>
      <c r="G2530" t="s">
        <v>8959</v>
      </c>
      <c r="H2530" t="s">
        <v>9100</v>
      </c>
      <c r="I2530" t="s">
        <v>9101</v>
      </c>
      <c r="J2530" s="3" t="s">
        <v>18497</v>
      </c>
      <c r="K2530" s="1" t="s">
        <v>21658</v>
      </c>
      <c r="L2530" t="s">
        <v>8951</v>
      </c>
      <c r="M2530">
        <v>1192</v>
      </c>
      <c r="N2530" t="s">
        <v>8953</v>
      </c>
      <c r="O2530" t="s">
        <v>8989</v>
      </c>
      <c r="P2530" s="1" t="s">
        <v>8955</v>
      </c>
      <c r="Q2530" s="1" t="s">
        <v>8956</v>
      </c>
      <c r="R2530" s="1" t="s">
        <v>9103</v>
      </c>
      <c r="S2530" s="1" t="s">
        <v>20374</v>
      </c>
      <c r="T2530" s="1" t="s">
        <v>17</v>
      </c>
      <c r="U2530" s="1" t="s">
        <v>184</v>
      </c>
    </row>
    <row r="2531" spans="1:21" x14ac:dyDescent="0.2">
      <c r="A2531" s="88" t="s">
        <v>18271</v>
      </c>
      <c r="B2531" s="88" t="e">
        <f>VLOOKUP(C2531,#REF!,1,0)</f>
        <v>#REF!</v>
      </c>
      <c r="C2531" s="1" t="s">
        <v>8313</v>
      </c>
      <c r="D2531" s="1" t="s">
        <v>8314</v>
      </c>
      <c r="E2531" t="s">
        <v>21162</v>
      </c>
      <c r="F2531" t="s">
        <v>8957</v>
      </c>
      <c r="G2531" t="s">
        <v>8959</v>
      </c>
      <c r="H2531" t="s">
        <v>8948</v>
      </c>
      <c r="I2531" t="s">
        <v>8971</v>
      </c>
      <c r="J2531" s="3" t="s">
        <v>20779</v>
      </c>
      <c r="K2531" s="1" t="s">
        <v>9036</v>
      </c>
      <c r="L2531" t="s">
        <v>9464</v>
      </c>
      <c r="M2531">
        <v>10</v>
      </c>
      <c r="N2531" t="s">
        <v>9059</v>
      </c>
      <c r="O2531" t="s">
        <v>8989</v>
      </c>
      <c r="P2531" s="1" t="s">
        <v>8955</v>
      </c>
      <c r="Q2531" s="1" t="s">
        <v>8956</v>
      </c>
      <c r="R2531" s="1" t="s">
        <v>9103</v>
      </c>
      <c r="S2531" s="1" t="s">
        <v>20375</v>
      </c>
      <c r="T2531" s="1" t="s">
        <v>17</v>
      </c>
      <c r="U2531" s="1" t="s">
        <v>61</v>
      </c>
    </row>
    <row r="2532" spans="1:21" x14ac:dyDescent="0.2">
      <c r="A2532" s="88" t="s">
        <v>18272</v>
      </c>
      <c r="B2532" s="88" t="e">
        <f>VLOOKUP(C2532,#REF!,1,0)</f>
        <v>#REF!</v>
      </c>
      <c r="C2532" s="1" t="s">
        <v>8315</v>
      </c>
      <c r="D2532" s="1" t="s">
        <v>8316</v>
      </c>
      <c r="E2532" t="s">
        <v>18502</v>
      </c>
      <c r="F2532" t="s">
        <v>8974</v>
      </c>
      <c r="G2532" t="s">
        <v>8959</v>
      </c>
      <c r="H2532" t="s">
        <v>20712</v>
      </c>
      <c r="I2532" t="s">
        <v>8998</v>
      </c>
      <c r="J2532" s="3" t="s">
        <v>20785</v>
      </c>
      <c r="K2532" s="1" t="s">
        <v>9386</v>
      </c>
      <c r="L2532" t="s">
        <v>9464</v>
      </c>
      <c r="M2532">
        <v>27</v>
      </c>
      <c r="N2532" t="s">
        <v>9059</v>
      </c>
      <c r="O2532" t="s">
        <v>8954</v>
      </c>
      <c r="P2532" s="1" t="s">
        <v>8955</v>
      </c>
      <c r="Q2532" s="1" t="s">
        <v>8956</v>
      </c>
      <c r="R2532" s="1" t="s">
        <v>8975</v>
      </c>
      <c r="S2532" s="1" t="s">
        <v>20376</v>
      </c>
      <c r="T2532" s="1" t="s">
        <v>7</v>
      </c>
      <c r="U2532" s="1" t="s">
        <v>61</v>
      </c>
    </row>
    <row r="2533" spans="1:21" x14ac:dyDescent="0.2">
      <c r="A2533" s="88" t="s">
        <v>18273</v>
      </c>
      <c r="B2533" s="88" t="e">
        <f>VLOOKUP(C2533,#REF!,1,0)</f>
        <v>#REF!</v>
      </c>
      <c r="C2533" s="1" t="s">
        <v>8317</v>
      </c>
      <c r="D2533" s="1" t="s">
        <v>8318</v>
      </c>
      <c r="E2533" t="s">
        <v>9010</v>
      </c>
      <c r="F2533" t="s">
        <v>9060</v>
      </c>
      <c r="G2533" t="s">
        <v>8959</v>
      </c>
      <c r="H2533" t="s">
        <v>9100</v>
      </c>
      <c r="I2533" t="s">
        <v>8998</v>
      </c>
      <c r="J2533" s="3" t="s">
        <v>13146</v>
      </c>
      <c r="K2533" s="1" t="s">
        <v>13146</v>
      </c>
      <c r="L2533" t="s">
        <v>9076</v>
      </c>
      <c r="M2533">
        <v>2378</v>
      </c>
      <c r="N2533" t="s">
        <v>8953</v>
      </c>
      <c r="O2533" t="s">
        <v>8989</v>
      </c>
      <c r="P2533" s="1" t="s">
        <v>8955</v>
      </c>
      <c r="Q2533" s="1" t="s">
        <v>8956</v>
      </c>
      <c r="R2533" s="1" t="s">
        <v>8975</v>
      </c>
      <c r="S2533" s="1" t="s">
        <v>8319</v>
      </c>
      <c r="T2533" s="1" t="s">
        <v>11</v>
      </c>
      <c r="U2533" s="1" t="s">
        <v>1929</v>
      </c>
    </row>
    <row r="2534" spans="1:21" x14ac:dyDescent="0.2">
      <c r="A2534" s="88">
        <v>1</v>
      </c>
      <c r="B2534" s="88" t="e">
        <f>VLOOKUP(C2534,#REF!,1,0)</f>
        <v>#REF!</v>
      </c>
      <c r="C2534" s="1" t="s">
        <v>8320</v>
      </c>
      <c r="D2534" s="1" t="s">
        <v>8321</v>
      </c>
      <c r="E2534" t="s">
        <v>18502</v>
      </c>
      <c r="F2534" t="s">
        <v>8957</v>
      </c>
      <c r="G2534" t="s">
        <v>8959</v>
      </c>
      <c r="H2534" t="s">
        <v>9100</v>
      </c>
      <c r="I2534" t="s">
        <v>8998</v>
      </c>
      <c r="J2534" s="3" t="s">
        <v>18489</v>
      </c>
      <c r="K2534" s="1" t="s">
        <v>18489</v>
      </c>
      <c r="L2534" t="s">
        <v>8987</v>
      </c>
      <c r="M2534">
        <v>2000</v>
      </c>
      <c r="N2534" t="s">
        <v>8953</v>
      </c>
      <c r="O2534" t="s">
        <v>8989</v>
      </c>
      <c r="P2534" s="1" t="s">
        <v>8955</v>
      </c>
      <c r="Q2534" s="1" t="s">
        <v>8956</v>
      </c>
      <c r="R2534" s="1" t="s">
        <v>8958</v>
      </c>
      <c r="S2534" s="1" t="s">
        <v>20377</v>
      </c>
      <c r="T2534" s="1" t="s">
        <v>7</v>
      </c>
      <c r="U2534" s="1"/>
    </row>
    <row r="2535" spans="1:21" x14ac:dyDescent="0.2">
      <c r="A2535" s="88" t="s">
        <v>18274</v>
      </c>
      <c r="B2535" s="88" t="e">
        <f>VLOOKUP(C2535,#REF!,1,0)</f>
        <v>#REF!</v>
      </c>
      <c r="C2535" s="1" t="s">
        <v>8322</v>
      </c>
      <c r="D2535" s="1" t="s">
        <v>8323</v>
      </c>
      <c r="E2535" t="s">
        <v>9310</v>
      </c>
      <c r="F2535" t="s">
        <v>8959</v>
      </c>
      <c r="G2535" t="s">
        <v>8959</v>
      </c>
      <c r="H2535" t="s">
        <v>8948</v>
      </c>
      <c r="I2535" t="s">
        <v>8949</v>
      </c>
      <c r="J2535" s="3" t="s">
        <v>9036</v>
      </c>
      <c r="K2535" s="1" t="s">
        <v>9036</v>
      </c>
      <c r="L2535" t="s">
        <v>9464</v>
      </c>
      <c r="M2535">
        <v>40</v>
      </c>
      <c r="N2535" t="s">
        <v>8953</v>
      </c>
      <c r="O2535" t="s">
        <v>8954</v>
      </c>
      <c r="P2535" s="1" t="s">
        <v>8955</v>
      </c>
      <c r="Q2535" s="1" t="s">
        <v>8956</v>
      </c>
      <c r="R2535" s="1" t="s">
        <v>8958</v>
      </c>
      <c r="S2535" s="1" t="s">
        <v>8324</v>
      </c>
      <c r="T2535" s="1" t="s">
        <v>17</v>
      </c>
      <c r="U2535" s="1" t="s">
        <v>21</v>
      </c>
    </row>
    <row r="2536" spans="1:21" x14ac:dyDescent="0.2">
      <c r="A2536" s="88" t="s">
        <v>18275</v>
      </c>
      <c r="B2536" s="88" t="e">
        <f>VLOOKUP(C2536,#REF!,1,0)</f>
        <v>#REF!</v>
      </c>
      <c r="C2536" s="1" t="s">
        <v>8329</v>
      </c>
      <c r="D2536" s="1" t="s">
        <v>8330</v>
      </c>
      <c r="E2536" t="s">
        <v>9380</v>
      </c>
      <c r="F2536" t="s">
        <v>8957</v>
      </c>
      <c r="G2536" t="s">
        <v>8959</v>
      </c>
      <c r="H2536" t="s">
        <v>9252</v>
      </c>
      <c r="I2536" t="s">
        <v>9253</v>
      </c>
      <c r="J2536" s="3" t="s">
        <v>9036</v>
      </c>
      <c r="K2536" s="1" t="s">
        <v>9036</v>
      </c>
      <c r="L2536" t="s">
        <v>8951</v>
      </c>
      <c r="M2536">
        <v>5040</v>
      </c>
      <c r="N2536" t="s">
        <v>8953</v>
      </c>
      <c r="O2536" t="s">
        <v>8989</v>
      </c>
      <c r="P2536" s="1" t="s">
        <v>8955</v>
      </c>
      <c r="Q2536" s="1" t="s">
        <v>8956</v>
      </c>
      <c r="R2536" s="1" t="s">
        <v>9103</v>
      </c>
      <c r="S2536" s="1" t="s">
        <v>8331</v>
      </c>
      <c r="T2536" s="1" t="s">
        <v>11</v>
      </c>
      <c r="U2536" s="1" t="s">
        <v>74</v>
      </c>
    </row>
    <row r="2537" spans="1:21" x14ac:dyDescent="0.2">
      <c r="A2537" s="88" t="s">
        <v>18276</v>
      </c>
      <c r="B2537" s="88" t="e">
        <f>VLOOKUP(C2537,#REF!,1,0)</f>
        <v>#REF!</v>
      </c>
      <c r="C2537" s="1" t="s">
        <v>8338</v>
      </c>
      <c r="D2537" s="1" t="s">
        <v>8339</v>
      </c>
      <c r="E2537" t="s">
        <v>10850</v>
      </c>
      <c r="F2537" t="s">
        <v>8957</v>
      </c>
      <c r="G2537" t="s">
        <v>8959</v>
      </c>
      <c r="H2537" t="s">
        <v>20714</v>
      </c>
      <c r="I2537" t="s">
        <v>20725</v>
      </c>
      <c r="J2537" s="3" t="s">
        <v>10492</v>
      </c>
      <c r="K2537" s="1" t="s">
        <v>10492</v>
      </c>
      <c r="L2537" t="s">
        <v>21600</v>
      </c>
      <c r="M2537">
        <v>130</v>
      </c>
      <c r="N2537" t="s">
        <v>9059</v>
      </c>
      <c r="O2537" t="s">
        <v>8989</v>
      </c>
      <c r="P2537" s="1" t="s">
        <v>8955</v>
      </c>
      <c r="Q2537" s="1" t="s">
        <v>8956</v>
      </c>
      <c r="R2537" s="1" t="s">
        <v>8958</v>
      </c>
      <c r="S2537" s="1" t="s">
        <v>20381</v>
      </c>
      <c r="T2537" s="1" t="s">
        <v>7</v>
      </c>
      <c r="U2537" s="1" t="s">
        <v>46</v>
      </c>
    </row>
    <row r="2538" spans="1:21" x14ac:dyDescent="0.2">
      <c r="A2538" s="88" t="s">
        <v>18277</v>
      </c>
      <c r="B2538" s="88" t="e">
        <f>VLOOKUP(C2538,#REF!,1,0)</f>
        <v>#REF!</v>
      </c>
      <c r="C2538" s="1" t="s">
        <v>8343</v>
      </c>
      <c r="D2538" s="1" t="s">
        <v>8344</v>
      </c>
      <c r="E2538" t="s">
        <v>9310</v>
      </c>
      <c r="F2538" t="s">
        <v>8957</v>
      </c>
      <c r="G2538" t="s">
        <v>8959</v>
      </c>
      <c r="H2538" t="s">
        <v>20714</v>
      </c>
      <c r="I2538" t="s">
        <v>21170</v>
      </c>
      <c r="J2538" s="3" t="s">
        <v>21244</v>
      </c>
      <c r="K2538" s="1" t="s">
        <v>21244</v>
      </c>
      <c r="L2538" t="s">
        <v>21600</v>
      </c>
      <c r="M2538">
        <v>4352</v>
      </c>
      <c r="N2538" t="s">
        <v>8953</v>
      </c>
      <c r="O2538" t="s">
        <v>8989</v>
      </c>
      <c r="P2538" s="1" t="s">
        <v>8955</v>
      </c>
      <c r="Q2538" s="1" t="s">
        <v>8956</v>
      </c>
      <c r="R2538" s="1" t="s">
        <v>8975</v>
      </c>
      <c r="S2538" s="1" t="s">
        <v>20383</v>
      </c>
      <c r="T2538" s="1" t="s">
        <v>17</v>
      </c>
      <c r="U2538" s="1" t="s">
        <v>93</v>
      </c>
    </row>
    <row r="2539" spans="1:21" x14ac:dyDescent="0.2">
      <c r="A2539" s="88" t="s">
        <v>18278</v>
      </c>
      <c r="B2539" s="88" t="e">
        <f>VLOOKUP(C2539,#REF!,1,0)</f>
        <v>#REF!</v>
      </c>
      <c r="C2539" s="1" t="s">
        <v>8345</v>
      </c>
      <c r="D2539" s="1" t="s">
        <v>8346</v>
      </c>
      <c r="E2539" t="s">
        <v>9310</v>
      </c>
      <c r="F2539" t="s">
        <v>8957</v>
      </c>
      <c r="G2539" t="s">
        <v>9061</v>
      </c>
      <c r="H2539" t="s">
        <v>9605</v>
      </c>
      <c r="I2539" t="s">
        <v>8971</v>
      </c>
      <c r="J2539" s="3" t="s">
        <v>11343</v>
      </c>
      <c r="K2539" s="1" t="s">
        <v>11343</v>
      </c>
      <c r="L2539" t="s">
        <v>9157</v>
      </c>
      <c r="M2539">
        <v>200</v>
      </c>
      <c r="N2539" t="s">
        <v>8953</v>
      </c>
      <c r="O2539" t="s">
        <v>8954</v>
      </c>
      <c r="P2539" s="1" t="s">
        <v>8955</v>
      </c>
      <c r="Q2539" s="1" t="s">
        <v>8956</v>
      </c>
      <c r="R2539" s="1" t="s">
        <v>8958</v>
      </c>
      <c r="S2539" s="1" t="s">
        <v>8347</v>
      </c>
      <c r="T2539" s="1" t="s">
        <v>11</v>
      </c>
      <c r="U2539" s="1" t="s">
        <v>110</v>
      </c>
    </row>
    <row r="2540" spans="1:21" x14ac:dyDescent="0.2">
      <c r="A2540" s="88" t="s">
        <v>18280</v>
      </c>
      <c r="B2540" s="88" t="e">
        <f>VLOOKUP(C2540,#REF!,1,0)</f>
        <v>#REF!</v>
      </c>
      <c r="C2540" s="1" t="s">
        <v>8350</v>
      </c>
      <c r="D2540" s="1" t="s">
        <v>8351</v>
      </c>
      <c r="E2540" t="s">
        <v>9310</v>
      </c>
      <c r="F2540" t="s">
        <v>8957</v>
      </c>
      <c r="G2540" t="s">
        <v>9009</v>
      </c>
      <c r="H2540" t="s">
        <v>9075</v>
      </c>
      <c r="I2540" t="s">
        <v>9101</v>
      </c>
      <c r="J2540" s="3" t="s">
        <v>9036</v>
      </c>
      <c r="K2540" s="1" t="s">
        <v>9036</v>
      </c>
      <c r="L2540" t="s">
        <v>8951</v>
      </c>
      <c r="M2540">
        <v>1000</v>
      </c>
      <c r="N2540" t="s">
        <v>8953</v>
      </c>
      <c r="O2540" t="s">
        <v>8989</v>
      </c>
      <c r="P2540" s="1" t="s">
        <v>8955</v>
      </c>
      <c r="Q2540" s="1" t="s">
        <v>8956</v>
      </c>
      <c r="R2540" s="1" t="s">
        <v>8975</v>
      </c>
      <c r="S2540" s="1" t="s">
        <v>8352</v>
      </c>
      <c r="T2540" s="1" t="s">
        <v>11</v>
      </c>
      <c r="U2540" s="1" t="s">
        <v>257</v>
      </c>
    </row>
    <row r="2541" spans="1:21" x14ac:dyDescent="0.2">
      <c r="A2541" s="88" t="s">
        <v>18281</v>
      </c>
      <c r="B2541" s="88" t="e">
        <f>VLOOKUP(C2541,#REF!,1,0)</f>
        <v>#REF!</v>
      </c>
      <c r="C2541" s="1" t="s">
        <v>8353</v>
      </c>
      <c r="D2541" s="1" t="s">
        <v>8354</v>
      </c>
      <c r="E2541" t="s">
        <v>21162</v>
      </c>
      <c r="F2541" t="s">
        <v>8957</v>
      </c>
      <c r="G2541" t="s">
        <v>8959</v>
      </c>
      <c r="H2541" t="s">
        <v>8948</v>
      </c>
      <c r="I2541" t="s">
        <v>21166</v>
      </c>
      <c r="J2541" s="3" t="s">
        <v>20723</v>
      </c>
      <c r="K2541" s="1" t="s">
        <v>21659</v>
      </c>
      <c r="L2541" t="s">
        <v>8987</v>
      </c>
      <c r="M2541">
        <v>5890</v>
      </c>
      <c r="N2541" t="s">
        <v>9059</v>
      </c>
      <c r="O2541" t="s">
        <v>8989</v>
      </c>
      <c r="P2541" s="1" t="s">
        <v>8955</v>
      </c>
      <c r="Q2541" s="1" t="s">
        <v>8956</v>
      </c>
      <c r="R2541" s="1" t="s">
        <v>8958</v>
      </c>
      <c r="S2541" s="1" t="s">
        <v>20385</v>
      </c>
      <c r="T2541" s="1" t="s">
        <v>7</v>
      </c>
      <c r="U2541" s="1" t="s">
        <v>1125</v>
      </c>
    </row>
    <row r="2542" spans="1:21" x14ac:dyDescent="0.2">
      <c r="A2542" s="88" t="s">
        <v>18282</v>
      </c>
      <c r="B2542" s="88" t="e">
        <f>VLOOKUP(C2542,#REF!,1,0)</f>
        <v>#REF!</v>
      </c>
      <c r="C2542" s="1" t="s">
        <v>8357</v>
      </c>
      <c r="D2542" s="1" t="s">
        <v>8358</v>
      </c>
      <c r="E2542" t="s">
        <v>9310</v>
      </c>
      <c r="F2542" t="s">
        <v>8959</v>
      </c>
      <c r="G2542" t="s">
        <v>9061</v>
      </c>
      <c r="H2542" t="s">
        <v>9035</v>
      </c>
      <c r="I2542" t="s">
        <v>8998</v>
      </c>
      <c r="J2542" s="3" t="s">
        <v>10492</v>
      </c>
      <c r="K2542" s="1" t="s">
        <v>10492</v>
      </c>
      <c r="L2542" t="s">
        <v>21600</v>
      </c>
      <c r="M2542">
        <v>421</v>
      </c>
      <c r="N2542" t="s">
        <v>9059</v>
      </c>
      <c r="O2542" t="s">
        <v>8954</v>
      </c>
      <c r="P2542" s="1" t="s">
        <v>8955</v>
      </c>
      <c r="Q2542" s="1" t="s">
        <v>8956</v>
      </c>
      <c r="R2542" s="1" t="s">
        <v>8975</v>
      </c>
      <c r="S2542" s="1" t="s">
        <v>20387</v>
      </c>
      <c r="T2542" s="1" t="s">
        <v>7</v>
      </c>
      <c r="U2542" s="1" t="s">
        <v>3111</v>
      </c>
    </row>
    <row r="2543" spans="1:21" x14ac:dyDescent="0.2">
      <c r="A2543" s="88" t="s">
        <v>18283</v>
      </c>
      <c r="B2543" s="88" t="e">
        <f>VLOOKUP(C2543,#REF!,1,0)</f>
        <v>#REF!</v>
      </c>
      <c r="C2543" s="1" t="s">
        <v>8359</v>
      </c>
      <c r="D2543" s="1" t="s">
        <v>8360</v>
      </c>
      <c r="E2543" t="s">
        <v>18502</v>
      </c>
      <c r="F2543" t="s">
        <v>8957</v>
      </c>
      <c r="G2543" t="s">
        <v>9061</v>
      </c>
      <c r="H2543" t="s">
        <v>8948</v>
      </c>
      <c r="I2543" t="s">
        <v>8998</v>
      </c>
      <c r="J2543" s="3" t="s">
        <v>20779</v>
      </c>
      <c r="K2543" s="1" t="s">
        <v>9036</v>
      </c>
      <c r="L2543" t="s">
        <v>21600</v>
      </c>
      <c r="M2543">
        <v>273</v>
      </c>
      <c r="N2543" t="s">
        <v>8953</v>
      </c>
      <c r="O2543" t="s">
        <v>8954</v>
      </c>
      <c r="P2543" s="1" t="s">
        <v>8955</v>
      </c>
      <c r="Q2543" s="1" t="s">
        <v>8956</v>
      </c>
      <c r="R2543" s="1" t="s">
        <v>8975</v>
      </c>
      <c r="S2543" s="1" t="s">
        <v>20388</v>
      </c>
      <c r="T2543" s="1" t="s">
        <v>7</v>
      </c>
      <c r="U2543" s="1" t="s">
        <v>378</v>
      </c>
    </row>
    <row r="2544" spans="1:21" x14ac:dyDescent="0.2">
      <c r="A2544" s="88" t="s">
        <v>18284</v>
      </c>
      <c r="B2544" s="88"/>
      <c r="C2544" s="1" t="s">
        <v>8361</v>
      </c>
      <c r="D2544" s="1" t="s">
        <v>8362</v>
      </c>
      <c r="E2544" t="e">
        <v>#N/A</v>
      </c>
      <c r="F2544" t="e">
        <v>#N/A</v>
      </c>
      <c r="G2544" t="e">
        <v>#N/A</v>
      </c>
      <c r="H2544" t="e">
        <v>#N/A</v>
      </c>
      <c r="I2544" t="e">
        <v>#N/A</v>
      </c>
      <c r="J2544" s="3" t="e">
        <v>#N/A</v>
      </c>
      <c r="K2544" s="1" t="e">
        <v>#N/A</v>
      </c>
      <c r="L2544" t="e">
        <v>#N/A</v>
      </c>
      <c r="M2544" t="e">
        <v>#N/A</v>
      </c>
      <c r="N2544" t="e">
        <v>#N/A</v>
      </c>
      <c r="O2544" t="e">
        <v>#N/A</v>
      </c>
      <c r="P2544" s="1" t="s">
        <v>8955</v>
      </c>
      <c r="Q2544" s="1" t="s">
        <v>8956</v>
      </c>
      <c r="R2544" s="1" t="s">
        <v>8958</v>
      </c>
      <c r="S2544" s="1" t="s">
        <v>20389</v>
      </c>
      <c r="T2544" s="1" t="s">
        <v>252</v>
      </c>
      <c r="U2544" s="1" t="s">
        <v>200</v>
      </c>
    </row>
    <row r="2545" spans="1:21" x14ac:dyDescent="0.2">
      <c r="A2545" s="88" t="s">
        <v>18285</v>
      </c>
      <c r="B2545" s="88" t="e">
        <f>VLOOKUP(C2545,#REF!,1,0)</f>
        <v>#REF!</v>
      </c>
      <c r="C2545" s="1" t="s">
        <v>8363</v>
      </c>
      <c r="D2545" s="1" t="s">
        <v>8364</v>
      </c>
      <c r="E2545" t="s">
        <v>9310</v>
      </c>
      <c r="F2545" t="s">
        <v>8959</v>
      </c>
      <c r="G2545" t="s">
        <v>9183</v>
      </c>
      <c r="H2545" t="s">
        <v>8948</v>
      </c>
      <c r="I2545" t="s">
        <v>9121</v>
      </c>
      <c r="J2545" s="3" t="s">
        <v>9036</v>
      </c>
      <c r="K2545" s="1" t="s">
        <v>9036</v>
      </c>
      <c r="L2545" t="s">
        <v>9076</v>
      </c>
      <c r="M2545">
        <v>160</v>
      </c>
      <c r="N2545" t="s">
        <v>8953</v>
      </c>
      <c r="O2545" t="s">
        <v>8954</v>
      </c>
      <c r="P2545" s="1" t="s">
        <v>8955</v>
      </c>
      <c r="Q2545" s="1" t="s">
        <v>8956</v>
      </c>
      <c r="R2545" s="1" t="s">
        <v>9103</v>
      </c>
      <c r="S2545" s="1" t="s">
        <v>8365</v>
      </c>
      <c r="T2545" s="1" t="s">
        <v>11</v>
      </c>
      <c r="U2545" s="1" t="s">
        <v>1110</v>
      </c>
    </row>
    <row r="2546" spans="1:21" x14ac:dyDescent="0.2">
      <c r="A2546" s="88" t="s">
        <v>18286</v>
      </c>
      <c r="B2546" s="88" t="e">
        <f>VLOOKUP(C2546,#REF!,1,0)</f>
        <v>#REF!</v>
      </c>
      <c r="C2546" s="1" t="s">
        <v>8366</v>
      </c>
      <c r="D2546" s="1" t="s">
        <v>8367</v>
      </c>
      <c r="E2546" t="s">
        <v>10850</v>
      </c>
      <c r="F2546" t="s">
        <v>9060</v>
      </c>
      <c r="G2546" t="s">
        <v>9061</v>
      </c>
      <c r="H2546" t="s">
        <v>8984</v>
      </c>
      <c r="I2546" t="s">
        <v>9422</v>
      </c>
      <c r="J2546" s="3" t="s">
        <v>11143</v>
      </c>
      <c r="K2546" s="1" t="s">
        <v>21808</v>
      </c>
      <c r="L2546" t="s">
        <v>9292</v>
      </c>
      <c r="M2546">
        <v>100</v>
      </c>
      <c r="N2546" t="s">
        <v>8953</v>
      </c>
      <c r="O2546" t="s">
        <v>8989</v>
      </c>
      <c r="P2546" s="1" t="s">
        <v>8955</v>
      </c>
      <c r="Q2546" s="1" t="s">
        <v>8956</v>
      </c>
      <c r="R2546" s="1" t="s">
        <v>8975</v>
      </c>
      <c r="S2546" s="1" t="s">
        <v>8368</v>
      </c>
      <c r="T2546" s="1" t="s">
        <v>11</v>
      </c>
      <c r="U2546" s="1" t="s">
        <v>24</v>
      </c>
    </row>
    <row r="2547" spans="1:21" x14ac:dyDescent="0.2">
      <c r="A2547" s="88" t="s">
        <v>18287</v>
      </c>
      <c r="B2547" s="88" t="e">
        <f>VLOOKUP(C2547,#REF!,1,0)</f>
        <v>#REF!</v>
      </c>
      <c r="C2547" s="1" t="s">
        <v>8369</v>
      </c>
      <c r="D2547" s="1" t="s">
        <v>8370</v>
      </c>
      <c r="E2547" t="s">
        <v>18502</v>
      </c>
      <c r="F2547" t="s">
        <v>8959</v>
      </c>
      <c r="G2547" t="s">
        <v>9061</v>
      </c>
      <c r="H2547" t="s">
        <v>9100</v>
      </c>
      <c r="I2547" t="s">
        <v>8949</v>
      </c>
      <c r="J2547" s="3" t="s">
        <v>10492</v>
      </c>
      <c r="K2547" s="1" t="s">
        <v>10492</v>
      </c>
      <c r="L2547" t="s">
        <v>21600</v>
      </c>
      <c r="M2547">
        <v>182</v>
      </c>
      <c r="N2547" t="s">
        <v>9059</v>
      </c>
      <c r="O2547" t="s">
        <v>8954</v>
      </c>
      <c r="P2547" s="1" t="s">
        <v>8955</v>
      </c>
      <c r="Q2547" s="1" t="s">
        <v>8956</v>
      </c>
      <c r="R2547" s="1" t="s">
        <v>8975</v>
      </c>
      <c r="S2547" s="1" t="s">
        <v>20390</v>
      </c>
      <c r="T2547" s="1" t="s">
        <v>7</v>
      </c>
      <c r="U2547" s="1" t="s">
        <v>1918</v>
      </c>
    </row>
    <row r="2548" spans="1:21" x14ac:dyDescent="0.2">
      <c r="A2548" s="88" t="s">
        <v>18289</v>
      </c>
      <c r="B2548" s="88" t="e">
        <f>VLOOKUP(C2548,#REF!,1,0)</f>
        <v>#REF!</v>
      </c>
      <c r="C2548" s="1" t="s">
        <v>8374</v>
      </c>
      <c r="D2548" s="1" t="s">
        <v>8375</v>
      </c>
      <c r="E2548" t="s">
        <v>9310</v>
      </c>
      <c r="F2548" t="s">
        <v>8957</v>
      </c>
      <c r="G2548" t="s">
        <v>9061</v>
      </c>
      <c r="H2548" t="s">
        <v>9173</v>
      </c>
      <c r="I2548" t="s">
        <v>9174</v>
      </c>
      <c r="J2548" s="3" t="s">
        <v>21191</v>
      </c>
      <c r="K2548" s="1" t="s">
        <v>21191</v>
      </c>
      <c r="L2548" t="s">
        <v>9292</v>
      </c>
      <c r="M2548">
        <v>1279</v>
      </c>
      <c r="N2548" t="s">
        <v>8953</v>
      </c>
      <c r="O2548" t="s">
        <v>8989</v>
      </c>
      <c r="P2548" s="1" t="s">
        <v>8955</v>
      </c>
      <c r="Q2548" s="1" t="s">
        <v>8956</v>
      </c>
      <c r="R2548" s="1" t="s">
        <v>8975</v>
      </c>
      <c r="S2548" s="1" t="s">
        <v>20391</v>
      </c>
      <c r="T2548" s="1" t="s">
        <v>17</v>
      </c>
      <c r="U2548" s="1" t="s">
        <v>1076</v>
      </c>
    </row>
    <row r="2549" spans="1:21" x14ac:dyDescent="0.2">
      <c r="A2549" s="88" t="s">
        <v>18290</v>
      </c>
      <c r="B2549" s="88" t="e">
        <f>VLOOKUP(C2549,#REF!,1,0)</f>
        <v>#REF!</v>
      </c>
      <c r="C2549" s="1" t="s">
        <v>8376</v>
      </c>
      <c r="D2549" s="1" t="s">
        <v>8377</v>
      </c>
      <c r="E2549" t="s">
        <v>9310</v>
      </c>
      <c r="F2549" t="s">
        <v>8957</v>
      </c>
      <c r="G2549" t="s">
        <v>8959</v>
      </c>
      <c r="H2549" t="s">
        <v>9035</v>
      </c>
      <c r="I2549" t="s">
        <v>8998</v>
      </c>
      <c r="J2549" s="3" t="s">
        <v>21303</v>
      </c>
      <c r="K2549" s="1" t="s">
        <v>21279</v>
      </c>
      <c r="L2549" t="s">
        <v>8987</v>
      </c>
      <c r="M2549">
        <v>729</v>
      </c>
      <c r="N2549" t="s">
        <v>8953</v>
      </c>
      <c r="O2549" t="s">
        <v>8989</v>
      </c>
      <c r="P2549" s="1" t="s">
        <v>8955</v>
      </c>
      <c r="Q2549" s="1" t="s">
        <v>8956</v>
      </c>
      <c r="R2549" s="1" t="s">
        <v>8975</v>
      </c>
      <c r="S2549" s="1" t="s">
        <v>20392</v>
      </c>
      <c r="T2549" s="1" t="s">
        <v>7</v>
      </c>
      <c r="U2549" s="1" t="s">
        <v>1598</v>
      </c>
    </row>
    <row r="2550" spans="1:21" x14ac:dyDescent="0.2">
      <c r="A2550" s="88" t="s">
        <v>18291</v>
      </c>
      <c r="B2550" s="88" t="e">
        <f>VLOOKUP(C2550,#REF!,1,0)</f>
        <v>#REF!</v>
      </c>
      <c r="C2550" s="1" t="s">
        <v>8378</v>
      </c>
      <c r="D2550" s="1" t="s">
        <v>8379</v>
      </c>
      <c r="E2550" t="s">
        <v>9310</v>
      </c>
      <c r="F2550" t="s">
        <v>8957</v>
      </c>
      <c r="G2550" t="s">
        <v>8959</v>
      </c>
      <c r="H2550" t="s">
        <v>9075</v>
      </c>
      <c r="I2550" t="s">
        <v>21171</v>
      </c>
      <c r="J2550" s="3" t="s">
        <v>21408</v>
      </c>
      <c r="K2550" s="1" t="s">
        <v>21907</v>
      </c>
      <c r="L2550" t="s">
        <v>21608</v>
      </c>
      <c r="M2550">
        <v>22330</v>
      </c>
      <c r="N2550" t="s">
        <v>9059</v>
      </c>
      <c r="O2550" t="s">
        <v>8989</v>
      </c>
      <c r="P2550" s="1" t="s">
        <v>8955</v>
      </c>
      <c r="Q2550" s="1" t="s">
        <v>8956</v>
      </c>
      <c r="R2550" s="1" t="s">
        <v>8975</v>
      </c>
      <c r="S2550" s="1" t="s">
        <v>20393</v>
      </c>
      <c r="T2550" s="1" t="s">
        <v>7</v>
      </c>
      <c r="U2550" s="1" t="s">
        <v>24</v>
      </c>
    </row>
    <row r="2551" spans="1:21" x14ac:dyDescent="0.2">
      <c r="A2551" s="88">
        <v>1</v>
      </c>
      <c r="B2551" s="88" t="e">
        <f>VLOOKUP(C2551,#REF!,1,0)</f>
        <v>#REF!</v>
      </c>
      <c r="C2551" s="1" t="s">
        <v>8380</v>
      </c>
      <c r="D2551" s="1" t="s">
        <v>8381</v>
      </c>
      <c r="E2551" t="s">
        <v>18502</v>
      </c>
      <c r="F2551" t="s">
        <v>8959</v>
      </c>
      <c r="G2551" t="s">
        <v>8959</v>
      </c>
      <c r="H2551" t="s">
        <v>9035</v>
      </c>
      <c r="I2551" t="s">
        <v>21172</v>
      </c>
      <c r="J2551" s="3" t="s">
        <v>20870</v>
      </c>
      <c r="K2551" s="1" t="s">
        <v>21851</v>
      </c>
      <c r="L2551" t="s">
        <v>8987</v>
      </c>
      <c r="M2551">
        <v>1568921</v>
      </c>
      <c r="N2551" t="s">
        <v>8953</v>
      </c>
      <c r="O2551" t="s">
        <v>8954</v>
      </c>
      <c r="P2551" s="1" t="s">
        <v>8955</v>
      </c>
      <c r="Q2551" s="1" t="s">
        <v>8956</v>
      </c>
      <c r="R2551" s="1" t="s">
        <v>9103</v>
      </c>
      <c r="S2551" s="1" t="s">
        <v>20394</v>
      </c>
      <c r="T2551" s="1" t="s">
        <v>17</v>
      </c>
      <c r="U2551" s="1"/>
    </row>
    <row r="2552" spans="1:21" x14ac:dyDescent="0.2">
      <c r="A2552" s="88" t="s">
        <v>18292</v>
      </c>
      <c r="B2552" s="88" t="e">
        <f>VLOOKUP(C2552,#REF!,1,0)</f>
        <v>#REF!</v>
      </c>
      <c r="C2552" s="1" t="s">
        <v>8382</v>
      </c>
      <c r="D2552" s="1" t="s">
        <v>8383</v>
      </c>
      <c r="E2552" t="s">
        <v>9310</v>
      </c>
      <c r="F2552" t="s">
        <v>8957</v>
      </c>
      <c r="G2552" t="s">
        <v>8959</v>
      </c>
      <c r="H2552" t="s">
        <v>8948</v>
      </c>
      <c r="I2552" t="s">
        <v>8998</v>
      </c>
      <c r="J2552" s="3" t="s">
        <v>10492</v>
      </c>
      <c r="K2552" s="1" t="s">
        <v>21645</v>
      </c>
      <c r="L2552" t="s">
        <v>9076</v>
      </c>
      <c r="M2552">
        <v>55</v>
      </c>
      <c r="N2552" t="s">
        <v>9059</v>
      </c>
      <c r="O2552" t="s">
        <v>8989</v>
      </c>
      <c r="P2552" s="1" t="s">
        <v>8955</v>
      </c>
      <c r="Q2552" s="1" t="s">
        <v>8956</v>
      </c>
      <c r="R2552" s="1" t="s">
        <v>8975</v>
      </c>
      <c r="S2552" s="1" t="s">
        <v>20395</v>
      </c>
      <c r="T2552" s="1" t="s">
        <v>7</v>
      </c>
      <c r="U2552" s="1" t="s">
        <v>378</v>
      </c>
    </row>
    <row r="2553" spans="1:21" x14ac:dyDescent="0.2">
      <c r="A2553" s="88" t="s">
        <v>18294</v>
      </c>
      <c r="B2553" s="88" t="e">
        <f>VLOOKUP(C2553,#REF!,1,0)</f>
        <v>#REF!</v>
      </c>
      <c r="C2553" s="1" t="s">
        <v>8385</v>
      </c>
      <c r="D2553" s="1" t="s">
        <v>8386</v>
      </c>
      <c r="E2553" t="s">
        <v>18502</v>
      </c>
      <c r="F2553" t="s">
        <v>8959</v>
      </c>
      <c r="G2553" t="s">
        <v>9061</v>
      </c>
      <c r="H2553" t="s">
        <v>9173</v>
      </c>
      <c r="I2553" t="s">
        <v>9174</v>
      </c>
      <c r="J2553" s="3" t="s">
        <v>20779</v>
      </c>
      <c r="K2553" s="1" t="s">
        <v>9036</v>
      </c>
      <c r="L2553" t="s">
        <v>21600</v>
      </c>
      <c r="M2553">
        <v>2750</v>
      </c>
      <c r="N2553" t="s">
        <v>8953</v>
      </c>
      <c r="O2553" t="s">
        <v>8989</v>
      </c>
      <c r="P2553" s="1" t="s">
        <v>8955</v>
      </c>
      <c r="Q2553" s="1" t="s">
        <v>8956</v>
      </c>
      <c r="R2553" s="1" t="s">
        <v>9103</v>
      </c>
      <c r="S2553" s="1" t="s">
        <v>20397</v>
      </c>
      <c r="T2553" s="1" t="s">
        <v>17</v>
      </c>
      <c r="U2553" s="1" t="s">
        <v>27</v>
      </c>
    </row>
    <row r="2554" spans="1:21" x14ac:dyDescent="0.2">
      <c r="A2554" s="88" t="s">
        <v>18295</v>
      </c>
      <c r="B2554" s="88" t="e">
        <f>VLOOKUP(C2554,#REF!,1,0)</f>
        <v>#REF!</v>
      </c>
      <c r="C2554" s="1" t="s">
        <v>8387</v>
      </c>
      <c r="D2554" s="1" t="s">
        <v>8388</v>
      </c>
      <c r="E2554" t="s">
        <v>9310</v>
      </c>
      <c r="F2554" t="s">
        <v>8959</v>
      </c>
      <c r="G2554" t="s">
        <v>8959</v>
      </c>
      <c r="H2554" t="s">
        <v>9075</v>
      </c>
      <c r="I2554" t="s">
        <v>8949</v>
      </c>
      <c r="J2554" s="3" t="s">
        <v>9658</v>
      </c>
      <c r="K2554" s="1" t="s">
        <v>9658</v>
      </c>
      <c r="L2554" t="s">
        <v>8987</v>
      </c>
      <c r="M2554">
        <v>353</v>
      </c>
      <c r="N2554" t="s">
        <v>9059</v>
      </c>
      <c r="O2554" t="s">
        <v>8954</v>
      </c>
      <c r="P2554" s="1" t="s">
        <v>8955</v>
      </c>
      <c r="Q2554" s="1" t="s">
        <v>8956</v>
      </c>
      <c r="R2554" s="1" t="s">
        <v>8958</v>
      </c>
      <c r="S2554" s="1" t="s">
        <v>8389</v>
      </c>
      <c r="T2554" s="1" t="s">
        <v>17</v>
      </c>
      <c r="U2554" s="1" t="s">
        <v>93</v>
      </c>
    </row>
    <row r="2555" spans="1:21" x14ac:dyDescent="0.2">
      <c r="A2555" s="88" t="s">
        <v>18296</v>
      </c>
      <c r="B2555" s="88" t="e">
        <f>VLOOKUP(C2555,#REF!,1,0)</f>
        <v>#REF!</v>
      </c>
      <c r="C2555" s="1" t="s">
        <v>8390</v>
      </c>
      <c r="D2555" s="1" t="s">
        <v>8391</v>
      </c>
      <c r="E2555" t="s">
        <v>10446</v>
      </c>
      <c r="F2555" t="s">
        <v>9060</v>
      </c>
      <c r="G2555" t="s">
        <v>8959</v>
      </c>
      <c r="H2555" t="s">
        <v>9605</v>
      </c>
      <c r="I2555" t="s">
        <v>9101</v>
      </c>
      <c r="J2555" s="3" t="s">
        <v>9036</v>
      </c>
      <c r="K2555" s="1" t="s">
        <v>9036</v>
      </c>
      <c r="L2555" t="s">
        <v>8987</v>
      </c>
      <c r="M2555">
        <v>600</v>
      </c>
      <c r="N2555" t="s">
        <v>8953</v>
      </c>
      <c r="O2555" t="s">
        <v>8989</v>
      </c>
      <c r="P2555" s="1" t="s">
        <v>8955</v>
      </c>
      <c r="Q2555" s="1" t="s">
        <v>8956</v>
      </c>
      <c r="R2555" s="1" t="s">
        <v>8958</v>
      </c>
      <c r="S2555" s="1" t="s">
        <v>8392</v>
      </c>
      <c r="T2555" s="1" t="s">
        <v>4</v>
      </c>
      <c r="U2555" s="1" t="s">
        <v>46</v>
      </c>
    </row>
    <row r="2556" spans="1:21" x14ac:dyDescent="0.2">
      <c r="A2556" s="88" t="s">
        <v>18298</v>
      </c>
      <c r="B2556" s="88" t="e">
        <f>VLOOKUP(C2556,#REF!,1,0)</f>
        <v>#REF!</v>
      </c>
      <c r="C2556" s="1" t="s">
        <v>8396</v>
      </c>
      <c r="D2556" s="1" t="s">
        <v>8397</v>
      </c>
      <c r="E2556" t="s">
        <v>9310</v>
      </c>
      <c r="F2556" t="s">
        <v>8957</v>
      </c>
      <c r="G2556" t="s">
        <v>8959</v>
      </c>
      <c r="H2556" t="s">
        <v>9605</v>
      </c>
      <c r="I2556" t="s">
        <v>8971</v>
      </c>
      <c r="J2556" s="3" t="s">
        <v>14848</v>
      </c>
      <c r="K2556" s="1" t="s">
        <v>14848</v>
      </c>
      <c r="L2556" t="s">
        <v>9292</v>
      </c>
      <c r="M2556">
        <v>3430</v>
      </c>
      <c r="N2556" t="s">
        <v>8953</v>
      </c>
      <c r="O2556" t="s">
        <v>8989</v>
      </c>
      <c r="P2556" s="1" t="s">
        <v>8955</v>
      </c>
      <c r="Q2556" s="1" t="s">
        <v>8956</v>
      </c>
      <c r="R2556" s="1" t="s">
        <v>8975</v>
      </c>
      <c r="S2556" s="1" t="s">
        <v>8398</v>
      </c>
      <c r="T2556" s="1" t="s">
        <v>17</v>
      </c>
      <c r="U2556" s="1" t="s">
        <v>8399</v>
      </c>
    </row>
    <row r="2557" spans="1:21" x14ac:dyDescent="0.2">
      <c r="A2557" s="88" t="s">
        <v>18299</v>
      </c>
      <c r="B2557" s="88" t="e">
        <f>VLOOKUP(C2557,#REF!,1,0)</f>
        <v>#REF!</v>
      </c>
      <c r="C2557" s="1" t="s">
        <v>8400</v>
      </c>
      <c r="D2557" s="1" t="s">
        <v>8401</v>
      </c>
      <c r="E2557" t="s">
        <v>21162</v>
      </c>
      <c r="F2557" t="s">
        <v>8957</v>
      </c>
      <c r="G2557" t="s">
        <v>8959</v>
      </c>
      <c r="H2557" t="s">
        <v>8948</v>
      </c>
      <c r="I2557" t="s">
        <v>8998</v>
      </c>
      <c r="J2557" s="3" t="s">
        <v>21217</v>
      </c>
      <c r="K2557" s="1" t="s">
        <v>21206</v>
      </c>
      <c r="L2557" t="s">
        <v>8951</v>
      </c>
      <c r="M2557">
        <v>255</v>
      </c>
      <c r="N2557" t="s">
        <v>9059</v>
      </c>
      <c r="O2557" t="s">
        <v>8954</v>
      </c>
      <c r="P2557" s="1" t="s">
        <v>8955</v>
      </c>
      <c r="Q2557" s="1" t="s">
        <v>8956</v>
      </c>
      <c r="R2557" s="1" t="s">
        <v>8958</v>
      </c>
      <c r="S2557" s="1" t="s">
        <v>20399</v>
      </c>
      <c r="T2557" s="1" t="s">
        <v>7</v>
      </c>
      <c r="U2557" s="1" t="s">
        <v>378</v>
      </c>
    </row>
    <row r="2558" spans="1:21" x14ac:dyDescent="0.2">
      <c r="A2558" s="88" t="s">
        <v>18300</v>
      </c>
      <c r="B2558" s="88" t="e">
        <f>VLOOKUP(C2558,#REF!,1,0)</f>
        <v>#REF!</v>
      </c>
      <c r="C2558" s="1" t="s">
        <v>15490</v>
      </c>
      <c r="D2558" s="1" t="s">
        <v>8402</v>
      </c>
      <c r="E2558" t="s">
        <v>9213</v>
      </c>
      <c r="F2558" t="s">
        <v>8957</v>
      </c>
      <c r="G2558" t="s">
        <v>9009</v>
      </c>
      <c r="H2558" t="s">
        <v>9035</v>
      </c>
      <c r="I2558" t="s">
        <v>8998</v>
      </c>
      <c r="J2558" s="3" t="s">
        <v>9036</v>
      </c>
      <c r="K2558" s="1" t="s">
        <v>9036</v>
      </c>
      <c r="L2558" t="s">
        <v>21600</v>
      </c>
      <c r="M2558">
        <v>161</v>
      </c>
      <c r="N2558" t="s">
        <v>9059</v>
      </c>
      <c r="O2558" t="s">
        <v>8954</v>
      </c>
      <c r="P2558" s="1" t="s">
        <v>8955</v>
      </c>
      <c r="Q2558" s="1" t="s">
        <v>8956</v>
      </c>
      <c r="R2558" s="1" t="s">
        <v>8975</v>
      </c>
      <c r="S2558" s="1" t="s">
        <v>8403</v>
      </c>
      <c r="T2558" s="1" t="s">
        <v>17</v>
      </c>
      <c r="U2558" s="1" t="s">
        <v>126</v>
      </c>
    </row>
    <row r="2559" spans="1:21" x14ac:dyDescent="0.2">
      <c r="A2559" s="88" t="s">
        <v>18301</v>
      </c>
      <c r="B2559" s="88" t="e">
        <f>VLOOKUP(C2559,#REF!,1,0)</f>
        <v>#REF!</v>
      </c>
      <c r="C2559" s="1" t="s">
        <v>8404</v>
      </c>
      <c r="D2559" s="1" t="s">
        <v>8405</v>
      </c>
      <c r="E2559" t="s">
        <v>18502</v>
      </c>
      <c r="F2559" t="s">
        <v>8959</v>
      </c>
      <c r="G2559" t="s">
        <v>9061</v>
      </c>
      <c r="H2559" t="s">
        <v>21173</v>
      </c>
      <c r="I2559" t="s">
        <v>21166</v>
      </c>
      <c r="J2559" s="3" t="s">
        <v>10525</v>
      </c>
      <c r="K2559" s="1" t="s">
        <v>21650</v>
      </c>
      <c r="L2559" t="s">
        <v>8987</v>
      </c>
      <c r="M2559">
        <v>10607</v>
      </c>
      <c r="N2559" t="s">
        <v>8953</v>
      </c>
      <c r="O2559" t="s">
        <v>8989</v>
      </c>
      <c r="P2559" s="1" t="s">
        <v>8955</v>
      </c>
      <c r="Q2559" s="1" t="s">
        <v>8956</v>
      </c>
      <c r="R2559" s="1" t="s">
        <v>8958</v>
      </c>
      <c r="S2559" s="1" t="s">
        <v>20400</v>
      </c>
      <c r="T2559" s="1" t="s">
        <v>17</v>
      </c>
      <c r="U2559" s="1" t="s">
        <v>87</v>
      </c>
    </row>
    <row r="2560" spans="1:21" x14ac:dyDescent="0.2">
      <c r="A2560" s="88" t="s">
        <v>18302</v>
      </c>
      <c r="B2560" s="88" t="e">
        <f>VLOOKUP(C2560,#REF!,1,0)</f>
        <v>#REF!</v>
      </c>
      <c r="C2560" s="1" t="s">
        <v>8409</v>
      </c>
      <c r="D2560" s="1" t="s">
        <v>8410</v>
      </c>
      <c r="E2560" t="s">
        <v>18502</v>
      </c>
      <c r="F2560" t="s">
        <v>8959</v>
      </c>
      <c r="G2560" t="s">
        <v>9009</v>
      </c>
      <c r="H2560" t="s">
        <v>8984</v>
      </c>
      <c r="I2560" t="s">
        <v>9131</v>
      </c>
      <c r="J2560" s="3" t="s">
        <v>21196</v>
      </c>
      <c r="K2560" s="1" t="s">
        <v>21648</v>
      </c>
      <c r="L2560" t="s">
        <v>8987</v>
      </c>
      <c r="M2560">
        <v>5912</v>
      </c>
      <c r="N2560" t="s">
        <v>8953</v>
      </c>
      <c r="O2560" t="s">
        <v>8954</v>
      </c>
      <c r="P2560" s="1" t="s">
        <v>8955</v>
      </c>
      <c r="Q2560" s="1" t="s">
        <v>8956</v>
      </c>
      <c r="R2560" s="1" t="s">
        <v>8975</v>
      </c>
      <c r="S2560" s="1" t="s">
        <v>20402</v>
      </c>
      <c r="T2560" s="1" t="s">
        <v>7</v>
      </c>
      <c r="U2560" s="1" t="s">
        <v>6293</v>
      </c>
    </row>
    <row r="2561" spans="1:21" x14ac:dyDescent="0.2">
      <c r="A2561" s="88" t="s">
        <v>18303</v>
      </c>
      <c r="B2561" s="88" t="e">
        <f>VLOOKUP(C2561,#REF!,1,0)</f>
        <v>#REF!</v>
      </c>
      <c r="C2561" s="1" t="s">
        <v>8414</v>
      </c>
      <c r="D2561" s="1" t="s">
        <v>8415</v>
      </c>
      <c r="E2561" t="s">
        <v>10049</v>
      </c>
      <c r="F2561" t="s">
        <v>9060</v>
      </c>
      <c r="G2561" t="s">
        <v>8959</v>
      </c>
      <c r="H2561" t="s">
        <v>9075</v>
      </c>
      <c r="I2561" t="s">
        <v>9155</v>
      </c>
      <c r="J2561" s="3" t="s">
        <v>10492</v>
      </c>
      <c r="K2561" s="1" t="s">
        <v>21645</v>
      </c>
      <c r="L2561" t="s">
        <v>21600</v>
      </c>
      <c r="M2561">
        <v>50</v>
      </c>
      <c r="N2561" t="s">
        <v>9059</v>
      </c>
      <c r="O2561" t="s">
        <v>8989</v>
      </c>
      <c r="P2561" s="1" t="s">
        <v>8955</v>
      </c>
      <c r="Q2561" s="1" t="s">
        <v>8956</v>
      </c>
      <c r="R2561" s="1" t="s">
        <v>8975</v>
      </c>
      <c r="S2561" s="1" t="s">
        <v>20404</v>
      </c>
      <c r="T2561" s="1" t="s">
        <v>17</v>
      </c>
      <c r="U2561" s="1" t="s">
        <v>378</v>
      </c>
    </row>
    <row r="2562" spans="1:21" x14ac:dyDescent="0.2">
      <c r="A2562" s="88" t="s">
        <v>18304</v>
      </c>
      <c r="B2562" s="88" t="e">
        <f>VLOOKUP(C2562,#REF!,1,0)</f>
        <v>#REF!</v>
      </c>
      <c r="C2562" s="1" t="s">
        <v>8416</v>
      </c>
      <c r="D2562" s="1" t="s">
        <v>8417</v>
      </c>
      <c r="E2562" t="s">
        <v>9650</v>
      </c>
      <c r="F2562" t="s">
        <v>9060</v>
      </c>
      <c r="G2562" t="s">
        <v>9183</v>
      </c>
      <c r="H2562" t="s">
        <v>9049</v>
      </c>
      <c r="I2562" t="s">
        <v>9050</v>
      </c>
      <c r="J2562" s="3" t="s">
        <v>9036</v>
      </c>
      <c r="K2562" s="1" t="s">
        <v>9036</v>
      </c>
      <c r="L2562" t="s">
        <v>8951</v>
      </c>
      <c r="M2562">
        <v>216</v>
      </c>
      <c r="N2562" t="s">
        <v>8953</v>
      </c>
      <c r="O2562" t="s">
        <v>8954</v>
      </c>
      <c r="P2562" s="1" t="s">
        <v>8955</v>
      </c>
      <c r="Q2562" s="1" t="s">
        <v>8956</v>
      </c>
      <c r="R2562" s="1" t="s">
        <v>8958</v>
      </c>
      <c r="S2562" s="1" t="s">
        <v>8418</v>
      </c>
      <c r="T2562" s="1" t="s">
        <v>11</v>
      </c>
      <c r="U2562" s="1" t="s">
        <v>74</v>
      </c>
    </row>
    <row r="2563" spans="1:21" x14ac:dyDescent="0.2">
      <c r="A2563" s="88" t="s">
        <v>18305</v>
      </c>
      <c r="B2563" s="88" t="e">
        <f>VLOOKUP(C2563,#REF!,1,0)</f>
        <v>#REF!</v>
      </c>
      <c r="C2563" s="1" t="s">
        <v>8419</v>
      </c>
      <c r="D2563" s="1" t="s">
        <v>8420</v>
      </c>
      <c r="E2563" t="s">
        <v>12547</v>
      </c>
      <c r="F2563" t="s">
        <v>8957</v>
      </c>
      <c r="G2563" t="s">
        <v>8959</v>
      </c>
      <c r="H2563" t="s">
        <v>20714</v>
      </c>
      <c r="I2563" t="s">
        <v>9050</v>
      </c>
      <c r="J2563" s="3" t="s">
        <v>10525</v>
      </c>
      <c r="K2563" s="1" t="s">
        <v>10525</v>
      </c>
      <c r="L2563" t="s">
        <v>8951</v>
      </c>
      <c r="M2563">
        <f>130+89+15919+1200+874+103+4105</f>
        <v>22420</v>
      </c>
      <c r="N2563" t="s">
        <v>8953</v>
      </c>
      <c r="O2563" t="s">
        <v>8954</v>
      </c>
      <c r="P2563" s="1" t="s">
        <v>8955</v>
      </c>
      <c r="Q2563" s="1" t="s">
        <v>8956</v>
      </c>
      <c r="R2563" s="1" t="s">
        <v>9103</v>
      </c>
      <c r="S2563" s="1" t="s">
        <v>20706</v>
      </c>
      <c r="T2563" s="1" t="s">
        <v>7</v>
      </c>
      <c r="U2563" s="1" t="s">
        <v>74</v>
      </c>
    </row>
    <row r="2564" spans="1:21" x14ac:dyDescent="0.2">
      <c r="A2564" s="88" t="s">
        <v>18306</v>
      </c>
      <c r="B2564" s="88" t="e">
        <f>VLOOKUP(C2564,#REF!,1,0)</f>
        <v>#REF!</v>
      </c>
      <c r="C2564" s="1" t="s">
        <v>8428</v>
      </c>
      <c r="D2564" s="1" t="s">
        <v>8429</v>
      </c>
      <c r="E2564" t="s">
        <v>9650</v>
      </c>
      <c r="F2564" t="s">
        <v>8957</v>
      </c>
      <c r="G2564" t="s">
        <v>8959</v>
      </c>
      <c r="H2564" t="s">
        <v>9173</v>
      </c>
      <c r="I2564" t="s">
        <v>9422</v>
      </c>
      <c r="J2564" s="3" t="s">
        <v>9036</v>
      </c>
      <c r="K2564" s="1" t="s">
        <v>9036</v>
      </c>
      <c r="L2564" t="s">
        <v>8987</v>
      </c>
      <c r="M2564">
        <v>22</v>
      </c>
      <c r="N2564" t="s">
        <v>8953</v>
      </c>
      <c r="O2564" t="s">
        <v>8954</v>
      </c>
      <c r="P2564" s="1" t="s">
        <v>8955</v>
      </c>
      <c r="Q2564" s="1" t="s">
        <v>8956</v>
      </c>
      <c r="R2564" s="1" t="s">
        <v>8958</v>
      </c>
      <c r="S2564" s="1" t="s">
        <v>8430</v>
      </c>
      <c r="T2564" s="1" t="s">
        <v>11</v>
      </c>
      <c r="U2564" s="1" t="s">
        <v>184</v>
      </c>
    </row>
    <row r="2565" spans="1:21" x14ac:dyDescent="0.2">
      <c r="A2565" s="88" t="s">
        <v>18307</v>
      </c>
      <c r="B2565" s="88" t="e">
        <f>VLOOKUP(C2565,#REF!,1,0)</f>
        <v>#REF!</v>
      </c>
      <c r="C2565" s="1" t="s">
        <v>8435</v>
      </c>
      <c r="D2565" s="1" t="s">
        <v>8436</v>
      </c>
      <c r="E2565" t="s">
        <v>9380</v>
      </c>
      <c r="F2565" t="s">
        <v>9060</v>
      </c>
      <c r="G2565" t="s">
        <v>9009</v>
      </c>
      <c r="H2565" t="s">
        <v>9100</v>
      </c>
      <c r="I2565" t="s">
        <v>9725</v>
      </c>
      <c r="J2565" s="3" t="s">
        <v>10492</v>
      </c>
      <c r="K2565" s="1" t="s">
        <v>10492</v>
      </c>
      <c r="L2565" t="s">
        <v>21600</v>
      </c>
      <c r="M2565">
        <v>200</v>
      </c>
      <c r="N2565" t="s">
        <v>8953</v>
      </c>
      <c r="O2565" t="s">
        <v>8954</v>
      </c>
      <c r="P2565" s="1" t="s">
        <v>8955</v>
      </c>
      <c r="Q2565" s="1" t="s">
        <v>8956</v>
      </c>
      <c r="R2565" s="1" t="s">
        <v>8958</v>
      </c>
      <c r="S2565" s="1" t="s">
        <v>8437</v>
      </c>
      <c r="T2565" s="1" t="s">
        <v>11</v>
      </c>
      <c r="U2565" s="1" t="s">
        <v>24</v>
      </c>
    </row>
    <row r="2566" spans="1:21" x14ac:dyDescent="0.2">
      <c r="A2566" s="88" t="s">
        <v>18308</v>
      </c>
      <c r="B2566" s="88" t="e">
        <f>VLOOKUP(C2566,#REF!,1,0)</f>
        <v>#REF!</v>
      </c>
      <c r="C2566" s="1" t="s">
        <v>21625</v>
      </c>
      <c r="D2566" s="1" t="s">
        <v>8438</v>
      </c>
      <c r="E2566" t="s">
        <v>9317</v>
      </c>
      <c r="F2566" t="s">
        <v>8957</v>
      </c>
      <c r="G2566" t="s">
        <v>9061</v>
      </c>
      <c r="H2566" t="s">
        <v>9100</v>
      </c>
      <c r="I2566" t="s">
        <v>8949</v>
      </c>
      <c r="J2566" s="3" t="s">
        <v>9102</v>
      </c>
      <c r="K2566" s="1" t="s">
        <v>9102</v>
      </c>
      <c r="L2566" t="s">
        <v>9292</v>
      </c>
      <c r="M2566">
        <v>7</v>
      </c>
      <c r="N2566" t="s">
        <v>9059</v>
      </c>
      <c r="O2566" t="s">
        <v>8989</v>
      </c>
      <c r="P2566" s="1" t="s">
        <v>8955</v>
      </c>
      <c r="Q2566" s="1" t="s">
        <v>8956</v>
      </c>
      <c r="R2566" s="1" t="s">
        <v>8975</v>
      </c>
      <c r="S2566" s="1" t="s">
        <v>20406</v>
      </c>
      <c r="T2566" s="1" t="s">
        <v>17</v>
      </c>
      <c r="U2566" s="1" t="s">
        <v>161</v>
      </c>
    </row>
    <row r="2567" spans="1:21" x14ac:dyDescent="0.2">
      <c r="A2567" s="88" t="s">
        <v>18309</v>
      </c>
      <c r="B2567" s="88" t="e">
        <f>VLOOKUP(C2567,#REF!,1,0)</f>
        <v>#REF!</v>
      </c>
      <c r="C2567" s="1" t="s">
        <v>8439</v>
      </c>
      <c r="D2567" s="1" t="s">
        <v>8440</v>
      </c>
      <c r="E2567" t="s">
        <v>9317</v>
      </c>
      <c r="F2567" t="s">
        <v>8957</v>
      </c>
      <c r="G2567" t="s">
        <v>9009</v>
      </c>
      <c r="H2567" t="s">
        <v>9252</v>
      </c>
      <c r="I2567" t="s">
        <v>21174</v>
      </c>
      <c r="J2567" s="3" t="s">
        <v>21197</v>
      </c>
      <c r="K2567" s="1" t="s">
        <v>21197</v>
      </c>
      <c r="L2567" t="s">
        <v>21612</v>
      </c>
      <c r="M2567">
        <v>600</v>
      </c>
      <c r="N2567" t="s">
        <v>8953</v>
      </c>
      <c r="O2567" t="s">
        <v>8989</v>
      </c>
      <c r="P2567" s="1" t="s">
        <v>8955</v>
      </c>
      <c r="Q2567" s="1" t="s">
        <v>8956</v>
      </c>
      <c r="R2567" s="1" t="s">
        <v>8975</v>
      </c>
      <c r="S2567" s="1" t="s">
        <v>20407</v>
      </c>
      <c r="T2567" s="1" t="s">
        <v>17</v>
      </c>
      <c r="U2567" s="1" t="s">
        <v>24</v>
      </c>
    </row>
    <row r="2568" spans="1:21" x14ac:dyDescent="0.2">
      <c r="A2568" s="88" t="s">
        <v>18310</v>
      </c>
      <c r="B2568" s="88" t="e">
        <f>VLOOKUP(C2568,#REF!,1,0)</f>
        <v>#REF!</v>
      </c>
      <c r="C2568" s="1" t="s">
        <v>8441</v>
      </c>
      <c r="D2568" s="1" t="s">
        <v>8442</v>
      </c>
      <c r="E2568" t="s">
        <v>21162</v>
      </c>
      <c r="F2568" t="s">
        <v>8957</v>
      </c>
      <c r="G2568" t="s">
        <v>8959</v>
      </c>
      <c r="H2568" t="s">
        <v>9092</v>
      </c>
      <c r="I2568" t="s">
        <v>8971</v>
      </c>
      <c r="J2568" s="3" t="s">
        <v>21198</v>
      </c>
      <c r="K2568" s="1" t="s">
        <v>20776</v>
      </c>
      <c r="L2568" t="s">
        <v>21600</v>
      </c>
      <c r="M2568">
        <v>5734</v>
      </c>
      <c r="N2568" t="s">
        <v>8953</v>
      </c>
      <c r="O2568" t="s">
        <v>8989</v>
      </c>
      <c r="P2568" s="1" t="s">
        <v>8955</v>
      </c>
      <c r="Q2568" s="1" t="s">
        <v>8956</v>
      </c>
      <c r="R2568" s="1" t="s">
        <v>8958</v>
      </c>
      <c r="S2568" s="1" t="s">
        <v>20408</v>
      </c>
      <c r="T2568" s="1" t="s">
        <v>7</v>
      </c>
      <c r="U2568" s="1" t="s">
        <v>64</v>
      </c>
    </row>
    <row r="2569" spans="1:21" x14ac:dyDescent="0.2">
      <c r="A2569" s="88" t="s">
        <v>18312</v>
      </c>
      <c r="B2569" s="88" t="e">
        <f>VLOOKUP(C2569,#REF!,1,0)</f>
        <v>#REF!</v>
      </c>
      <c r="C2569" s="1" t="s">
        <v>8445</v>
      </c>
      <c r="D2569" s="1" t="s">
        <v>8446</v>
      </c>
      <c r="E2569" t="s">
        <v>9010</v>
      </c>
      <c r="F2569" t="s">
        <v>8957</v>
      </c>
      <c r="G2569" t="s">
        <v>8959</v>
      </c>
      <c r="H2569" t="s">
        <v>9035</v>
      </c>
      <c r="I2569" t="s">
        <v>9308</v>
      </c>
      <c r="J2569" s="3" t="s">
        <v>9316</v>
      </c>
      <c r="K2569" s="1" t="s">
        <v>9316</v>
      </c>
      <c r="L2569" t="s">
        <v>21600</v>
      </c>
      <c r="M2569">
        <v>118</v>
      </c>
      <c r="N2569" t="s">
        <v>8953</v>
      </c>
      <c r="O2569" t="s">
        <v>8989</v>
      </c>
      <c r="P2569" s="1" t="s">
        <v>8955</v>
      </c>
      <c r="Q2569" s="1" t="s">
        <v>8956</v>
      </c>
      <c r="R2569" s="1" t="s">
        <v>8958</v>
      </c>
      <c r="S2569" s="1" t="s">
        <v>8447</v>
      </c>
      <c r="T2569" s="1" t="s">
        <v>17</v>
      </c>
      <c r="U2569" s="1" t="s">
        <v>93</v>
      </c>
    </row>
    <row r="2570" spans="1:21" x14ac:dyDescent="0.2">
      <c r="A2570" s="88" t="s">
        <v>18313</v>
      </c>
      <c r="B2570" s="88" t="e">
        <f>VLOOKUP(C2570,#REF!,1,0)</f>
        <v>#REF!</v>
      </c>
      <c r="C2570" s="1" t="s">
        <v>8448</v>
      </c>
      <c r="D2570" s="1" t="s">
        <v>8449</v>
      </c>
      <c r="E2570" t="s">
        <v>18502</v>
      </c>
      <c r="F2570" t="s">
        <v>8957</v>
      </c>
      <c r="G2570" t="s">
        <v>9061</v>
      </c>
      <c r="H2570" t="s">
        <v>9075</v>
      </c>
      <c r="I2570" t="s">
        <v>8949</v>
      </c>
      <c r="J2570" s="3" t="s">
        <v>10492</v>
      </c>
      <c r="K2570" s="1" t="s">
        <v>10492</v>
      </c>
      <c r="L2570" t="s">
        <v>21600</v>
      </c>
      <c r="M2570">
        <v>550</v>
      </c>
      <c r="N2570" t="s">
        <v>8953</v>
      </c>
      <c r="O2570" t="s">
        <v>8954</v>
      </c>
      <c r="P2570" s="1" t="s">
        <v>8955</v>
      </c>
      <c r="Q2570" s="1" t="s">
        <v>8956</v>
      </c>
      <c r="R2570" s="1" t="s">
        <v>8975</v>
      </c>
      <c r="S2570" s="1" t="s">
        <v>20409</v>
      </c>
      <c r="T2570" s="1" t="s">
        <v>7</v>
      </c>
      <c r="U2570" s="1" t="s">
        <v>500</v>
      </c>
    </row>
    <row r="2571" spans="1:21" x14ac:dyDescent="0.2">
      <c r="A2571" s="88" t="s">
        <v>18314</v>
      </c>
      <c r="B2571" s="88" t="e">
        <f>VLOOKUP(C2571,#REF!,1,0)</f>
        <v>#REF!</v>
      </c>
      <c r="C2571" s="1" t="s">
        <v>8450</v>
      </c>
      <c r="D2571" s="1" t="s">
        <v>8451</v>
      </c>
      <c r="E2571" t="s">
        <v>9010</v>
      </c>
      <c r="F2571" t="s">
        <v>8957</v>
      </c>
      <c r="G2571" t="s">
        <v>9061</v>
      </c>
      <c r="H2571" t="s">
        <v>8948</v>
      </c>
      <c r="I2571" t="s">
        <v>8998</v>
      </c>
      <c r="J2571" s="3" t="s">
        <v>9036</v>
      </c>
      <c r="K2571" s="1" t="s">
        <v>9036</v>
      </c>
      <c r="L2571" t="s">
        <v>9292</v>
      </c>
      <c r="M2571">
        <v>1004</v>
      </c>
      <c r="N2571" t="s">
        <v>8953</v>
      </c>
      <c r="O2571" t="s">
        <v>8989</v>
      </c>
      <c r="P2571" s="1" t="s">
        <v>8955</v>
      </c>
      <c r="Q2571" s="1" t="s">
        <v>8956</v>
      </c>
      <c r="R2571" s="1" t="s">
        <v>8975</v>
      </c>
      <c r="S2571" s="1" t="s">
        <v>8452</v>
      </c>
      <c r="T2571" s="1" t="s">
        <v>11</v>
      </c>
      <c r="U2571" s="1" t="s">
        <v>180</v>
      </c>
    </row>
    <row r="2572" spans="1:21" x14ac:dyDescent="0.2">
      <c r="A2572" s="88" t="s">
        <v>18315</v>
      </c>
      <c r="B2572" s="88" t="e">
        <f>VLOOKUP(C2572,#REF!,1,0)</f>
        <v>#REF!</v>
      </c>
      <c r="C2572" s="1" t="s">
        <v>8453</v>
      </c>
      <c r="D2572" s="1" t="s">
        <v>8454</v>
      </c>
      <c r="E2572" t="s">
        <v>9010</v>
      </c>
      <c r="F2572" t="s">
        <v>8957</v>
      </c>
      <c r="G2572" t="s">
        <v>9061</v>
      </c>
      <c r="H2572" t="s">
        <v>9035</v>
      </c>
      <c r="I2572" t="s">
        <v>9308</v>
      </c>
      <c r="J2572" s="3" t="s">
        <v>21199</v>
      </c>
      <c r="K2572" s="1" t="s">
        <v>21678</v>
      </c>
      <c r="L2572" t="s">
        <v>8951</v>
      </c>
      <c r="M2572">
        <v>158323</v>
      </c>
      <c r="N2572" t="s">
        <v>8953</v>
      </c>
      <c r="O2572" t="s">
        <v>8989</v>
      </c>
      <c r="P2572" s="1" t="s">
        <v>8955</v>
      </c>
      <c r="Q2572" s="1" t="s">
        <v>8956</v>
      </c>
      <c r="R2572" s="1" t="s">
        <v>8958</v>
      </c>
      <c r="S2572" s="1" t="s">
        <v>8455</v>
      </c>
      <c r="T2572" s="1" t="s">
        <v>11</v>
      </c>
      <c r="U2572" s="1" t="s">
        <v>771</v>
      </c>
    </row>
    <row r="2573" spans="1:21" x14ac:dyDescent="0.2">
      <c r="A2573" s="88" t="s">
        <v>18316</v>
      </c>
      <c r="B2573" s="88" t="e">
        <f>VLOOKUP(C2573,#REF!,1,0)</f>
        <v>#REF!</v>
      </c>
      <c r="C2573" s="1" t="s">
        <v>8456</v>
      </c>
      <c r="D2573" s="1" t="s">
        <v>8457</v>
      </c>
      <c r="E2573" t="s">
        <v>9317</v>
      </c>
      <c r="F2573" t="s">
        <v>8957</v>
      </c>
      <c r="G2573" t="s">
        <v>8959</v>
      </c>
      <c r="H2573" t="s">
        <v>9100</v>
      </c>
      <c r="I2573" t="s">
        <v>8949</v>
      </c>
      <c r="J2573" s="3" t="s">
        <v>21200</v>
      </c>
      <c r="K2573" s="1" t="s">
        <v>21889</v>
      </c>
      <c r="L2573" t="s">
        <v>21600</v>
      </c>
      <c r="M2573">
        <v>461</v>
      </c>
      <c r="N2573" t="s">
        <v>9059</v>
      </c>
      <c r="O2573" t="s">
        <v>8954</v>
      </c>
      <c r="P2573" s="1" t="s">
        <v>8955</v>
      </c>
      <c r="Q2573" s="1" t="s">
        <v>8956</v>
      </c>
      <c r="R2573" s="1" t="s">
        <v>8958</v>
      </c>
      <c r="S2573" s="1" t="s">
        <v>20410</v>
      </c>
      <c r="T2573" s="1" t="s">
        <v>7</v>
      </c>
      <c r="U2573" s="1" t="s">
        <v>64</v>
      </c>
    </row>
    <row r="2574" spans="1:21" x14ac:dyDescent="0.2">
      <c r="A2574" s="88" t="s">
        <v>18318</v>
      </c>
      <c r="B2574" s="88" t="e">
        <f>VLOOKUP(C2574,#REF!,1,0)</f>
        <v>#REF!</v>
      </c>
      <c r="C2574" s="1" t="s">
        <v>8461</v>
      </c>
      <c r="D2574" s="1" t="s">
        <v>8462</v>
      </c>
      <c r="E2574" t="s">
        <v>18502</v>
      </c>
      <c r="F2574" t="s">
        <v>9060</v>
      </c>
      <c r="G2574" t="s">
        <v>8959</v>
      </c>
      <c r="H2574" t="s">
        <v>21176</v>
      </c>
      <c r="I2574" t="s">
        <v>21177</v>
      </c>
      <c r="J2574" s="3" t="s">
        <v>18497</v>
      </c>
      <c r="K2574" s="1" t="s">
        <v>18497</v>
      </c>
      <c r="L2574" t="s">
        <v>9076</v>
      </c>
      <c r="M2574">
        <v>30</v>
      </c>
      <c r="N2574" t="s">
        <v>9059</v>
      </c>
      <c r="O2574" t="s">
        <v>8989</v>
      </c>
      <c r="P2574" s="1" t="s">
        <v>8955</v>
      </c>
      <c r="Q2574" s="1" t="s">
        <v>8956</v>
      </c>
      <c r="R2574" s="1" t="s">
        <v>8975</v>
      </c>
      <c r="S2574" s="1" t="s">
        <v>20411</v>
      </c>
      <c r="T2574" s="1" t="s">
        <v>17</v>
      </c>
      <c r="U2574" s="1" t="s">
        <v>161</v>
      </c>
    </row>
    <row r="2575" spans="1:21" x14ac:dyDescent="0.2">
      <c r="A2575" s="88" t="s">
        <v>18319</v>
      </c>
      <c r="B2575" s="88" t="e">
        <f>VLOOKUP(C2575,#REF!,1,0)</f>
        <v>#REF!</v>
      </c>
      <c r="C2575" s="1" t="s">
        <v>8463</v>
      </c>
      <c r="D2575" s="1" t="s">
        <v>8464</v>
      </c>
      <c r="E2575" t="s">
        <v>9465</v>
      </c>
      <c r="F2575" t="s">
        <v>8957</v>
      </c>
      <c r="G2575" t="s">
        <v>9183</v>
      </c>
      <c r="H2575" t="s">
        <v>9092</v>
      </c>
      <c r="I2575" t="s">
        <v>8949</v>
      </c>
      <c r="J2575" s="3" t="s">
        <v>9436</v>
      </c>
      <c r="K2575" s="1" t="s">
        <v>9436</v>
      </c>
      <c r="L2575" t="s">
        <v>21600</v>
      </c>
      <c r="M2575">
        <v>20</v>
      </c>
      <c r="N2575" t="s">
        <v>9059</v>
      </c>
      <c r="O2575" t="s">
        <v>8989</v>
      </c>
      <c r="P2575" s="1" t="s">
        <v>8955</v>
      </c>
      <c r="Q2575" s="1" t="s">
        <v>8956</v>
      </c>
      <c r="R2575" s="1" t="s">
        <v>9103</v>
      </c>
      <c r="S2575" s="1" t="s">
        <v>8465</v>
      </c>
      <c r="T2575" s="1" t="s">
        <v>11</v>
      </c>
      <c r="U2575" s="1" t="s">
        <v>204</v>
      </c>
    </row>
    <row r="2576" spans="1:21" x14ac:dyDescent="0.2">
      <c r="A2576" s="113" t="s">
        <v>18320</v>
      </c>
      <c r="B2576" s="88" t="e">
        <f>VLOOKUP(C2576,#REF!,1,0)</f>
        <v>#REF!</v>
      </c>
      <c r="C2576" s="114" t="s">
        <v>8466</v>
      </c>
      <c r="D2576" s="114" t="s">
        <v>8467</v>
      </c>
      <c r="E2576" t="s">
        <v>9310</v>
      </c>
      <c r="F2576" t="s">
        <v>8957</v>
      </c>
      <c r="G2576" t="s">
        <v>8959</v>
      </c>
      <c r="H2576" t="s">
        <v>9092</v>
      </c>
      <c r="I2576" t="s">
        <v>9155</v>
      </c>
      <c r="J2576" s="3" t="s">
        <v>9436</v>
      </c>
      <c r="K2576" s="1" t="s">
        <v>21657</v>
      </c>
      <c r="L2576" t="s">
        <v>21600</v>
      </c>
      <c r="M2576">
        <v>25</v>
      </c>
      <c r="N2576" t="s">
        <v>8953</v>
      </c>
      <c r="O2576" t="s">
        <v>8954</v>
      </c>
      <c r="P2576" s="1" t="s">
        <v>8955</v>
      </c>
      <c r="Q2576" s="1" t="s">
        <v>8956</v>
      </c>
      <c r="R2576" s="114" t="s">
        <v>9103</v>
      </c>
      <c r="S2576" s="114" t="s">
        <v>8465</v>
      </c>
      <c r="T2576" s="114" t="s">
        <v>17</v>
      </c>
      <c r="U2576" s="114" t="s">
        <v>126</v>
      </c>
    </row>
    <row r="2577" spans="1:16382" x14ac:dyDescent="0.2">
      <c r="A2577" s="88" t="s">
        <v>18321</v>
      </c>
      <c r="B2577" s="88" t="e">
        <f>VLOOKUP(C2577,#REF!,1,0)</f>
        <v>#REF!</v>
      </c>
      <c r="C2577" s="1" t="s">
        <v>8468</v>
      </c>
      <c r="D2577" s="1" t="s">
        <v>8469</v>
      </c>
      <c r="E2577" t="s">
        <v>9310</v>
      </c>
      <c r="F2577" t="s">
        <v>9060</v>
      </c>
      <c r="G2577" t="s">
        <v>8959</v>
      </c>
      <c r="H2577" t="s">
        <v>8948</v>
      </c>
      <c r="I2577" t="s">
        <v>8949</v>
      </c>
      <c r="J2577" s="3" t="s">
        <v>21218</v>
      </c>
      <c r="K2577" s="1" t="s">
        <v>21216</v>
      </c>
      <c r="L2577" t="s">
        <v>9133</v>
      </c>
      <c r="M2577">
        <v>357</v>
      </c>
      <c r="N2577" t="s">
        <v>9059</v>
      </c>
      <c r="O2577" t="s">
        <v>8954</v>
      </c>
      <c r="P2577" s="1" t="s">
        <v>8955</v>
      </c>
      <c r="Q2577" s="1" t="s">
        <v>8956</v>
      </c>
      <c r="R2577" s="1" t="s">
        <v>8975</v>
      </c>
      <c r="S2577" s="1" t="s">
        <v>8470</v>
      </c>
      <c r="T2577" s="1" t="s">
        <v>11</v>
      </c>
      <c r="U2577" s="1" t="s">
        <v>1421</v>
      </c>
    </row>
    <row r="2578" spans="1:16382" x14ac:dyDescent="0.2">
      <c r="A2578" s="88" t="s">
        <v>18322</v>
      </c>
      <c r="B2578" s="88" t="e">
        <f>VLOOKUP(C2578,#REF!,1,0)</f>
        <v>#REF!</v>
      </c>
      <c r="C2578" s="1" t="s">
        <v>8471</v>
      </c>
      <c r="D2578" s="1" t="s">
        <v>8472</v>
      </c>
      <c r="E2578" t="s">
        <v>18502</v>
      </c>
      <c r="F2578" t="s">
        <v>9060</v>
      </c>
      <c r="G2578" t="s">
        <v>9061</v>
      </c>
      <c r="H2578" t="s">
        <v>20712</v>
      </c>
      <c r="I2578" t="s">
        <v>9155</v>
      </c>
      <c r="J2578" s="3" t="s">
        <v>10492</v>
      </c>
      <c r="K2578" s="1" t="s">
        <v>21645</v>
      </c>
      <c r="L2578" t="s">
        <v>9464</v>
      </c>
      <c r="M2578">
        <v>36</v>
      </c>
      <c r="N2578" t="s">
        <v>9059</v>
      </c>
      <c r="O2578" t="s">
        <v>8989</v>
      </c>
      <c r="P2578" s="1" t="s">
        <v>8955</v>
      </c>
      <c r="Q2578" s="1" t="s">
        <v>8956</v>
      </c>
      <c r="R2578" s="1" t="s">
        <v>8975</v>
      </c>
      <c r="S2578" s="1" t="s">
        <v>20412</v>
      </c>
      <c r="T2578" s="1" t="s">
        <v>7</v>
      </c>
      <c r="U2578" s="1" t="s">
        <v>378</v>
      </c>
    </row>
    <row r="2579" spans="1:16382" x14ac:dyDescent="0.2">
      <c r="A2579" s="88" t="s">
        <v>18323</v>
      </c>
      <c r="B2579" s="88" t="e">
        <f>VLOOKUP(C2579,#REF!,1,0)</f>
        <v>#REF!</v>
      </c>
      <c r="C2579" s="1" t="s">
        <v>8473</v>
      </c>
      <c r="D2579" s="1" t="s">
        <v>8474</v>
      </c>
      <c r="E2579" t="s">
        <v>9010</v>
      </c>
      <c r="F2579" t="s">
        <v>8959</v>
      </c>
      <c r="G2579" t="s">
        <v>8959</v>
      </c>
      <c r="H2579" t="s">
        <v>9100</v>
      </c>
      <c r="I2579" t="s">
        <v>9101</v>
      </c>
      <c r="J2579" s="3" t="s">
        <v>18489</v>
      </c>
      <c r="K2579" s="1" t="s">
        <v>18489</v>
      </c>
      <c r="L2579" t="s">
        <v>21600</v>
      </c>
      <c r="M2579">
        <v>200</v>
      </c>
      <c r="N2579" t="s">
        <v>8953</v>
      </c>
      <c r="O2579" t="s">
        <v>8989</v>
      </c>
      <c r="P2579" s="1" t="s">
        <v>8955</v>
      </c>
      <c r="Q2579" s="1" t="s">
        <v>8956</v>
      </c>
      <c r="R2579" s="1" t="s">
        <v>9103</v>
      </c>
      <c r="S2579" s="1" t="s">
        <v>8475</v>
      </c>
      <c r="T2579" s="1" t="s">
        <v>4</v>
      </c>
      <c r="U2579" s="1" t="s">
        <v>493</v>
      </c>
    </row>
    <row r="2580" spans="1:16382" x14ac:dyDescent="0.2">
      <c r="A2580" s="88" t="s">
        <v>18324</v>
      </c>
      <c r="B2580" s="88" t="e">
        <f>VLOOKUP(C2580,#REF!,1,0)</f>
        <v>#REF!</v>
      </c>
      <c r="C2580" s="1" t="s">
        <v>8476</v>
      </c>
      <c r="D2580" s="1" t="s">
        <v>8477</v>
      </c>
      <c r="E2580" t="s">
        <v>9010</v>
      </c>
      <c r="F2580" t="s">
        <v>9060</v>
      </c>
      <c r="G2580" t="s">
        <v>9009</v>
      </c>
      <c r="H2580" t="s">
        <v>9075</v>
      </c>
      <c r="I2580" t="s">
        <v>8998</v>
      </c>
      <c r="J2580" s="3" t="s">
        <v>20890</v>
      </c>
      <c r="K2580" s="1" t="s">
        <v>21201</v>
      </c>
      <c r="L2580" t="s">
        <v>21600</v>
      </c>
      <c r="M2580">
        <v>38112</v>
      </c>
      <c r="N2580" t="s">
        <v>8953</v>
      </c>
      <c r="O2580" t="s">
        <v>8989</v>
      </c>
      <c r="P2580" s="1" t="s">
        <v>8955</v>
      </c>
      <c r="Q2580" s="1" t="s">
        <v>8956</v>
      </c>
      <c r="R2580" s="1" t="s">
        <v>8958</v>
      </c>
      <c r="S2580" s="1" t="s">
        <v>8478</v>
      </c>
      <c r="T2580" s="1" t="s">
        <v>11</v>
      </c>
      <c r="U2580" s="1" t="s">
        <v>7608</v>
      </c>
    </row>
    <row r="2581" spans="1:16382" x14ac:dyDescent="0.2">
      <c r="A2581" s="88" t="s">
        <v>18325</v>
      </c>
      <c r="B2581" s="88" t="e">
        <f>VLOOKUP(C2581,#REF!,1,0)</f>
        <v>#REF!</v>
      </c>
      <c r="C2581" s="1" t="s">
        <v>8479</v>
      </c>
      <c r="D2581" s="1" t="s">
        <v>8480</v>
      </c>
      <c r="E2581" t="s">
        <v>9310</v>
      </c>
      <c r="F2581" t="s">
        <v>8957</v>
      </c>
      <c r="G2581" t="s">
        <v>8959</v>
      </c>
      <c r="H2581" t="s">
        <v>20712</v>
      </c>
      <c r="I2581" t="s">
        <v>9155</v>
      </c>
      <c r="J2581" s="3" t="s">
        <v>21262</v>
      </c>
      <c r="K2581" s="1" t="s">
        <v>21890</v>
      </c>
      <c r="L2581" s="8" t="s">
        <v>21613</v>
      </c>
      <c r="M2581">
        <v>14033</v>
      </c>
      <c r="N2581" t="s">
        <v>8953</v>
      </c>
      <c r="O2581" t="s">
        <v>8954</v>
      </c>
      <c r="P2581" s="1" t="s">
        <v>8955</v>
      </c>
      <c r="Q2581" s="1" t="s">
        <v>8956</v>
      </c>
      <c r="R2581" s="1" t="s">
        <v>9103</v>
      </c>
      <c r="S2581" s="1" t="s">
        <v>20413</v>
      </c>
      <c r="T2581" s="1" t="s">
        <v>7</v>
      </c>
      <c r="U2581" s="1" t="s">
        <v>184</v>
      </c>
    </row>
    <row r="2582" spans="1:16382" x14ac:dyDescent="0.2">
      <c r="A2582" s="88" t="s">
        <v>18326</v>
      </c>
      <c r="B2582" s="88" t="e">
        <f>VLOOKUP(C2582,#REF!,1,0)</f>
        <v>#REF!</v>
      </c>
      <c r="C2582" s="1" t="s">
        <v>8481</v>
      </c>
      <c r="D2582" s="1" t="s">
        <v>8482</v>
      </c>
      <c r="E2582" t="s">
        <v>18502</v>
      </c>
      <c r="F2582" t="s">
        <v>8957</v>
      </c>
      <c r="G2582" t="s">
        <v>8959</v>
      </c>
      <c r="H2582" t="s">
        <v>9035</v>
      </c>
      <c r="I2582" t="s">
        <v>8949</v>
      </c>
      <c r="J2582" s="3" t="s">
        <v>20779</v>
      </c>
      <c r="K2582" s="1" t="s">
        <v>9036</v>
      </c>
      <c r="L2582" t="s">
        <v>21600</v>
      </c>
      <c r="M2582">
        <v>45</v>
      </c>
      <c r="N2582" t="s">
        <v>9059</v>
      </c>
      <c r="O2582" t="s">
        <v>8989</v>
      </c>
      <c r="P2582" s="1" t="s">
        <v>8955</v>
      </c>
      <c r="Q2582" s="1" t="s">
        <v>8956</v>
      </c>
      <c r="R2582" s="1" t="s">
        <v>8958</v>
      </c>
      <c r="S2582" s="1" t="s">
        <v>20414</v>
      </c>
      <c r="T2582" s="1" t="s">
        <v>17</v>
      </c>
      <c r="U2582" s="1" t="s">
        <v>619</v>
      </c>
    </row>
    <row r="2583" spans="1:16382" x14ac:dyDescent="0.2">
      <c r="A2583" s="88" t="s">
        <v>18327</v>
      </c>
      <c r="B2583" s="88" t="e">
        <f>VLOOKUP(C2583,#REF!,1,0)</f>
        <v>#REF!</v>
      </c>
      <c r="C2583" s="1" t="s">
        <v>8483</v>
      </c>
      <c r="D2583" s="1" t="s">
        <v>8484</v>
      </c>
      <c r="E2583" t="s">
        <v>9010</v>
      </c>
      <c r="F2583" t="s">
        <v>8974</v>
      </c>
      <c r="G2583" t="s">
        <v>9009</v>
      </c>
      <c r="H2583" t="s">
        <v>9035</v>
      </c>
      <c r="I2583" t="s">
        <v>8949</v>
      </c>
      <c r="J2583" s="3" t="s">
        <v>20838</v>
      </c>
      <c r="K2583" s="1" t="s">
        <v>20755</v>
      </c>
      <c r="L2583" t="s">
        <v>9464</v>
      </c>
      <c r="M2583">
        <v>18</v>
      </c>
      <c r="N2583" t="s">
        <v>9059</v>
      </c>
      <c r="O2583" t="s">
        <v>8954</v>
      </c>
      <c r="P2583" s="1" t="s">
        <v>8955</v>
      </c>
      <c r="Q2583" s="1" t="s">
        <v>8956</v>
      </c>
      <c r="R2583" s="1" t="s">
        <v>8975</v>
      </c>
      <c r="S2583" s="1" t="s">
        <v>8485</v>
      </c>
      <c r="T2583" s="1" t="s">
        <v>11</v>
      </c>
      <c r="U2583" s="1" t="s">
        <v>619</v>
      </c>
    </row>
    <row r="2584" spans="1:16382" x14ac:dyDescent="0.2">
      <c r="A2584" s="98" t="s">
        <v>18328</v>
      </c>
      <c r="B2584" s="88" t="e">
        <f>VLOOKUP(C2584,#REF!,1,0)</f>
        <v>#REF!</v>
      </c>
      <c r="C2584" s="99" t="s">
        <v>8486</v>
      </c>
      <c r="D2584" s="99" t="s">
        <v>8487</v>
      </c>
      <c r="E2584" t="s">
        <v>18502</v>
      </c>
      <c r="F2584" t="s">
        <v>8957</v>
      </c>
      <c r="G2584" t="s">
        <v>8959</v>
      </c>
      <c r="H2584" t="s">
        <v>20712</v>
      </c>
      <c r="I2584" t="s">
        <v>8949</v>
      </c>
      <c r="J2584" s="3" t="s">
        <v>21589</v>
      </c>
      <c r="K2584" s="1" t="s">
        <v>21809</v>
      </c>
      <c r="L2584" t="s">
        <v>9464</v>
      </c>
      <c r="M2584">
        <v>192</v>
      </c>
      <c r="N2584" t="s">
        <v>9059</v>
      </c>
      <c r="O2584" t="s">
        <v>8954</v>
      </c>
      <c r="P2584" s="1" t="s">
        <v>8955</v>
      </c>
      <c r="Q2584" s="1" t="s">
        <v>8956</v>
      </c>
      <c r="R2584" s="99" t="s">
        <v>8958</v>
      </c>
      <c r="S2584" s="99" t="s">
        <v>20415</v>
      </c>
      <c r="T2584" s="99" t="s">
        <v>17</v>
      </c>
      <c r="U2584" s="99" t="s">
        <v>110</v>
      </c>
      <c r="V2584" s="100"/>
      <c r="W2584" s="100"/>
      <c r="X2584" s="100"/>
      <c r="Y2584" s="100"/>
      <c r="Z2584" s="100"/>
      <c r="AA2584" s="100"/>
      <c r="AB2584" s="100"/>
      <c r="AC2584" s="100"/>
      <c r="AD2584" s="100"/>
      <c r="AE2584" s="100"/>
      <c r="AF2584" s="100"/>
      <c r="AG2584" s="100"/>
      <c r="AH2584" s="100"/>
      <c r="AI2584" s="100"/>
      <c r="AJ2584" s="100"/>
      <c r="AK2584" s="100"/>
      <c r="AL2584" s="100"/>
      <c r="AM2584" s="100"/>
      <c r="AN2584" s="100"/>
      <c r="AO2584" s="100"/>
      <c r="AP2584" s="100"/>
      <c r="AQ2584" s="100"/>
      <c r="AR2584" s="100"/>
      <c r="AS2584" s="100"/>
      <c r="AT2584" s="100"/>
      <c r="AU2584" s="100"/>
      <c r="AV2584" s="100"/>
      <c r="AW2584" s="100"/>
      <c r="AX2584" s="100"/>
      <c r="AY2584" s="100"/>
      <c r="AZ2584" s="100"/>
      <c r="BA2584" s="100"/>
      <c r="BB2584" s="100"/>
      <c r="BC2584" s="100"/>
      <c r="BD2584" s="100"/>
      <c r="BE2584" s="100"/>
      <c r="BF2584" s="100"/>
      <c r="BG2584" s="100"/>
      <c r="BH2584" s="100"/>
      <c r="BI2584" s="100"/>
      <c r="BJ2584" s="100"/>
      <c r="BK2584" s="100"/>
      <c r="BL2584" s="100"/>
      <c r="BM2584" s="100"/>
      <c r="BN2584" s="100"/>
      <c r="BO2584" s="100"/>
      <c r="BP2584" s="100"/>
      <c r="BQ2584" s="100"/>
      <c r="BR2584" s="100"/>
      <c r="BS2584" s="100"/>
      <c r="BT2584" s="100"/>
      <c r="BU2584" s="100"/>
      <c r="BV2584" s="100"/>
      <c r="BW2584" s="100"/>
      <c r="BX2584" s="100"/>
      <c r="BY2584" s="100"/>
      <c r="BZ2584" s="100"/>
      <c r="CA2584" s="100"/>
      <c r="CB2584" s="100"/>
      <c r="CC2584" s="100"/>
      <c r="CD2584" s="100"/>
      <c r="CE2584" s="100"/>
      <c r="CF2584" s="100"/>
      <c r="CG2584" s="100"/>
      <c r="CH2584" s="100"/>
      <c r="CI2584" s="100"/>
      <c r="CJ2584" s="100"/>
      <c r="CK2584" s="100"/>
      <c r="CL2584" s="100"/>
      <c r="CM2584" s="100"/>
      <c r="CN2584" s="100"/>
      <c r="CO2584" s="100"/>
      <c r="CP2584" s="100"/>
      <c r="CQ2584" s="100"/>
      <c r="CR2584" s="100"/>
      <c r="CS2584" s="100"/>
      <c r="CT2584" s="100"/>
      <c r="CU2584" s="100"/>
      <c r="CV2584" s="100"/>
      <c r="CW2584" s="100"/>
      <c r="CX2584" s="100"/>
      <c r="CY2584" s="100"/>
      <c r="CZ2584" s="100"/>
      <c r="DA2584" s="100"/>
      <c r="DB2584" s="100"/>
      <c r="DC2584" s="100"/>
      <c r="DD2584" s="100"/>
      <c r="DE2584" s="100"/>
      <c r="DF2584" s="100"/>
      <c r="DG2584" s="100"/>
      <c r="DH2584" s="100"/>
      <c r="DI2584" s="100"/>
      <c r="DJ2584" s="100"/>
      <c r="DK2584" s="100"/>
      <c r="DL2584" s="100"/>
      <c r="DM2584" s="100"/>
      <c r="DN2584" s="100"/>
      <c r="DO2584" s="100"/>
      <c r="DP2584" s="100"/>
      <c r="DQ2584" s="100"/>
      <c r="DR2584" s="100"/>
      <c r="DS2584" s="100"/>
      <c r="DT2584" s="100"/>
      <c r="DU2584" s="100"/>
      <c r="DV2584" s="100"/>
      <c r="DW2584" s="100"/>
      <c r="DX2584" s="100"/>
      <c r="DY2584" s="100"/>
      <c r="DZ2584" s="100"/>
      <c r="EA2584" s="100"/>
      <c r="EB2584" s="100"/>
      <c r="EC2584" s="100"/>
      <c r="ED2584" s="100"/>
      <c r="EE2584" s="100"/>
      <c r="EF2584" s="100"/>
      <c r="EG2584" s="100"/>
      <c r="EH2584" s="100"/>
      <c r="EI2584" s="100"/>
      <c r="EJ2584" s="100"/>
      <c r="EK2584" s="100"/>
      <c r="EL2584" s="100"/>
      <c r="EM2584" s="100"/>
      <c r="EN2584" s="100"/>
      <c r="EO2584" s="100"/>
      <c r="EP2584" s="100"/>
      <c r="EQ2584" s="100"/>
      <c r="ER2584" s="100"/>
      <c r="ES2584" s="100"/>
      <c r="ET2584" s="100"/>
      <c r="EU2584" s="100"/>
      <c r="EV2584" s="100"/>
      <c r="EW2584" s="100"/>
      <c r="EX2584" s="100"/>
      <c r="EY2584" s="100"/>
      <c r="EZ2584" s="100"/>
      <c r="FA2584" s="100"/>
      <c r="FB2584" s="100"/>
      <c r="FC2584" s="100"/>
      <c r="FD2584" s="100"/>
      <c r="FE2584" s="100"/>
      <c r="FF2584" s="100"/>
      <c r="FG2584" s="100"/>
      <c r="FH2584" s="100"/>
      <c r="FI2584" s="100"/>
      <c r="FJ2584" s="100"/>
      <c r="FK2584" s="100"/>
      <c r="FL2584" s="100"/>
      <c r="FM2584" s="100"/>
      <c r="FN2584" s="100"/>
      <c r="FO2584" s="100"/>
      <c r="FP2584" s="100"/>
      <c r="FQ2584" s="100"/>
      <c r="FR2584" s="100"/>
      <c r="FS2584" s="100"/>
      <c r="FT2584" s="100"/>
      <c r="FU2584" s="100"/>
      <c r="FV2584" s="100"/>
      <c r="FW2584" s="100"/>
      <c r="FX2584" s="100"/>
      <c r="FY2584" s="100"/>
      <c r="FZ2584" s="100"/>
      <c r="GA2584" s="100"/>
      <c r="GB2584" s="100"/>
      <c r="GC2584" s="100"/>
      <c r="GD2584" s="100"/>
      <c r="GE2584" s="100"/>
      <c r="GF2584" s="100"/>
      <c r="GG2584" s="100"/>
      <c r="GH2584" s="100"/>
      <c r="GI2584" s="100"/>
      <c r="GJ2584" s="100"/>
      <c r="GK2584" s="100"/>
      <c r="GL2584" s="100"/>
      <c r="GM2584" s="100"/>
      <c r="GN2584" s="100"/>
      <c r="GO2584" s="100"/>
      <c r="GP2584" s="100"/>
      <c r="GQ2584" s="100"/>
      <c r="GR2584" s="100"/>
      <c r="GS2584" s="100"/>
      <c r="GT2584" s="100"/>
      <c r="GU2584" s="100"/>
      <c r="GV2584" s="100"/>
      <c r="GW2584" s="100"/>
      <c r="GX2584" s="100"/>
      <c r="GY2584" s="100"/>
      <c r="GZ2584" s="100"/>
      <c r="HA2584" s="100"/>
      <c r="HB2584" s="100"/>
      <c r="HC2584" s="100"/>
      <c r="HD2584" s="100"/>
      <c r="HE2584" s="100"/>
      <c r="HF2584" s="100"/>
      <c r="HG2584" s="100"/>
      <c r="HH2584" s="100"/>
      <c r="HI2584" s="100"/>
      <c r="HJ2584" s="100"/>
      <c r="HK2584" s="100"/>
      <c r="HL2584" s="100"/>
      <c r="HM2584" s="100"/>
      <c r="HN2584" s="100"/>
      <c r="HO2584" s="100"/>
      <c r="HP2584" s="100"/>
      <c r="HQ2584" s="100"/>
      <c r="HR2584" s="100"/>
      <c r="HS2584" s="100"/>
      <c r="HT2584" s="100"/>
      <c r="HU2584" s="100"/>
      <c r="HV2584" s="100"/>
      <c r="HW2584" s="100"/>
      <c r="HX2584" s="100"/>
      <c r="HY2584" s="100"/>
      <c r="HZ2584" s="100"/>
      <c r="IA2584" s="100"/>
      <c r="IB2584" s="100"/>
      <c r="IC2584" s="100"/>
      <c r="ID2584" s="100"/>
      <c r="IE2584" s="100"/>
      <c r="IF2584" s="100"/>
      <c r="IG2584" s="100"/>
      <c r="IH2584" s="100"/>
      <c r="II2584" s="100"/>
      <c r="IJ2584" s="100"/>
      <c r="IK2584" s="100"/>
      <c r="IL2584" s="100"/>
      <c r="IM2584" s="100"/>
      <c r="IN2584" s="100"/>
      <c r="IO2584" s="100"/>
      <c r="IP2584" s="100"/>
      <c r="IQ2584" s="100"/>
      <c r="IR2584" s="100"/>
      <c r="IS2584" s="100"/>
      <c r="IT2584" s="100"/>
      <c r="IU2584" s="100"/>
      <c r="IV2584" s="100"/>
      <c r="IW2584" s="100"/>
      <c r="IX2584" s="100"/>
      <c r="IY2584" s="100"/>
      <c r="IZ2584" s="100"/>
      <c r="JA2584" s="100"/>
      <c r="JB2584" s="100"/>
      <c r="JC2584" s="100"/>
      <c r="JD2584" s="100"/>
      <c r="JE2584" s="100"/>
      <c r="JF2584" s="100"/>
      <c r="JG2584" s="100"/>
      <c r="JH2584" s="100"/>
      <c r="JI2584" s="100"/>
      <c r="JJ2584" s="100"/>
      <c r="JK2584" s="100"/>
      <c r="JL2584" s="100"/>
      <c r="JM2584" s="100"/>
      <c r="JN2584" s="100"/>
      <c r="JO2584" s="100"/>
      <c r="JP2584" s="100"/>
      <c r="JQ2584" s="100"/>
      <c r="JR2584" s="100"/>
      <c r="JS2584" s="100"/>
      <c r="JT2584" s="100"/>
      <c r="JU2584" s="100"/>
      <c r="JV2584" s="100"/>
      <c r="JW2584" s="100"/>
      <c r="JX2584" s="100"/>
      <c r="JY2584" s="100"/>
      <c r="JZ2584" s="100"/>
      <c r="KA2584" s="100"/>
      <c r="KB2584" s="100"/>
      <c r="KC2584" s="100"/>
      <c r="KD2584" s="100"/>
      <c r="KE2584" s="100"/>
      <c r="KF2584" s="100"/>
      <c r="KG2584" s="100"/>
      <c r="KH2584" s="100"/>
      <c r="KI2584" s="100"/>
      <c r="KJ2584" s="100"/>
      <c r="KK2584" s="100"/>
      <c r="KL2584" s="100"/>
      <c r="KM2584" s="100"/>
      <c r="KN2584" s="100"/>
      <c r="KO2584" s="100"/>
      <c r="KP2584" s="100"/>
      <c r="KQ2584" s="100"/>
      <c r="KR2584" s="100"/>
      <c r="KS2584" s="100"/>
      <c r="KT2584" s="100"/>
      <c r="KU2584" s="100"/>
      <c r="KV2584" s="100"/>
      <c r="KW2584" s="100"/>
      <c r="KX2584" s="100"/>
      <c r="KY2584" s="100"/>
      <c r="KZ2584" s="100"/>
      <c r="LA2584" s="100"/>
      <c r="LB2584" s="100"/>
      <c r="LC2584" s="100"/>
      <c r="LD2584" s="100"/>
      <c r="LE2584" s="100"/>
      <c r="LF2584" s="100"/>
      <c r="LG2584" s="100"/>
      <c r="LH2584" s="100"/>
      <c r="LI2584" s="100"/>
      <c r="LJ2584" s="100"/>
      <c r="LK2584" s="100"/>
      <c r="LL2584" s="100"/>
      <c r="LM2584" s="100"/>
      <c r="LN2584" s="100"/>
      <c r="LO2584" s="100"/>
      <c r="LP2584" s="100"/>
      <c r="LQ2584" s="100"/>
      <c r="LR2584" s="100"/>
      <c r="LS2584" s="100"/>
      <c r="LT2584" s="100"/>
      <c r="LU2584" s="100"/>
      <c r="LV2584" s="100"/>
      <c r="LW2584" s="100"/>
      <c r="LX2584" s="100"/>
      <c r="LY2584" s="100"/>
      <c r="LZ2584" s="100"/>
      <c r="MA2584" s="100"/>
      <c r="MB2584" s="100"/>
      <c r="MC2584" s="100"/>
      <c r="MD2584" s="100"/>
      <c r="ME2584" s="100"/>
      <c r="MF2584" s="100"/>
      <c r="MG2584" s="100"/>
      <c r="MH2584" s="100"/>
      <c r="MI2584" s="100"/>
      <c r="MJ2584" s="100"/>
      <c r="MK2584" s="100"/>
      <c r="ML2584" s="100"/>
      <c r="MM2584" s="100"/>
      <c r="MN2584" s="100"/>
      <c r="MO2584" s="100"/>
      <c r="MP2584" s="100"/>
      <c r="MQ2584" s="100"/>
      <c r="MR2584" s="100"/>
      <c r="MS2584" s="100"/>
      <c r="MT2584" s="100"/>
      <c r="MU2584" s="100"/>
      <c r="MV2584" s="100"/>
      <c r="MW2584" s="100"/>
      <c r="MX2584" s="100"/>
      <c r="MY2584" s="100"/>
      <c r="MZ2584" s="100"/>
      <c r="NA2584" s="100"/>
      <c r="NB2584" s="100"/>
      <c r="NC2584" s="100"/>
      <c r="ND2584" s="100"/>
      <c r="NE2584" s="100"/>
      <c r="NF2584" s="100"/>
      <c r="NG2584" s="100"/>
      <c r="NH2584" s="100"/>
      <c r="NI2584" s="100"/>
      <c r="NJ2584" s="100"/>
      <c r="NK2584" s="100"/>
      <c r="NL2584" s="100"/>
      <c r="NM2584" s="100"/>
      <c r="NN2584" s="100"/>
      <c r="NO2584" s="100"/>
      <c r="NP2584" s="100"/>
      <c r="NQ2584" s="100"/>
      <c r="NR2584" s="100"/>
      <c r="NS2584" s="100"/>
      <c r="NT2584" s="100"/>
      <c r="NU2584" s="100"/>
      <c r="NV2584" s="100"/>
      <c r="NW2584" s="100"/>
      <c r="NX2584" s="100"/>
      <c r="NY2584" s="100"/>
      <c r="NZ2584" s="100"/>
      <c r="OA2584" s="100"/>
      <c r="OB2584" s="100"/>
      <c r="OC2584" s="100"/>
      <c r="OD2584" s="100"/>
      <c r="OE2584" s="100"/>
      <c r="OF2584" s="100"/>
      <c r="OG2584" s="100"/>
      <c r="OH2584" s="100"/>
      <c r="OI2584" s="100"/>
      <c r="OJ2584" s="100"/>
      <c r="OK2584" s="100"/>
      <c r="OL2584" s="100"/>
      <c r="OM2584" s="100"/>
      <c r="ON2584" s="100"/>
      <c r="OO2584" s="100"/>
      <c r="OP2584" s="100"/>
      <c r="OQ2584" s="100"/>
      <c r="OR2584" s="100"/>
      <c r="OS2584" s="100"/>
      <c r="OT2584" s="100"/>
      <c r="OU2584" s="100"/>
      <c r="OV2584" s="100"/>
      <c r="OW2584" s="100"/>
      <c r="OX2584" s="100"/>
      <c r="OY2584" s="100"/>
      <c r="OZ2584" s="100"/>
      <c r="PA2584" s="100"/>
      <c r="PB2584" s="100"/>
      <c r="PC2584" s="100"/>
      <c r="PD2584" s="100"/>
      <c r="PE2584" s="100"/>
      <c r="PF2584" s="100"/>
      <c r="PG2584" s="100"/>
      <c r="PH2584" s="100"/>
      <c r="PI2584" s="100"/>
      <c r="PJ2584" s="100"/>
      <c r="PK2584" s="100"/>
      <c r="PL2584" s="100"/>
      <c r="PM2584" s="100"/>
      <c r="PN2584" s="100"/>
      <c r="PO2584" s="100"/>
      <c r="PP2584" s="100"/>
      <c r="PQ2584" s="100"/>
      <c r="PR2584" s="100"/>
      <c r="PS2584" s="100"/>
      <c r="PT2584" s="100"/>
      <c r="PU2584" s="100"/>
      <c r="PV2584" s="100"/>
      <c r="PW2584" s="100"/>
      <c r="PX2584" s="100"/>
      <c r="PY2584" s="100"/>
      <c r="PZ2584" s="100"/>
      <c r="QA2584" s="100"/>
      <c r="QB2584" s="100"/>
      <c r="QC2584" s="100"/>
      <c r="QD2584" s="100"/>
      <c r="QE2584" s="100"/>
      <c r="QF2584" s="100"/>
      <c r="QG2584" s="100"/>
      <c r="QH2584" s="100"/>
      <c r="QI2584" s="100"/>
      <c r="QJ2584" s="100"/>
      <c r="QK2584" s="100"/>
      <c r="QL2584" s="100"/>
      <c r="QM2584" s="100"/>
      <c r="QN2584" s="100"/>
      <c r="QO2584" s="100"/>
      <c r="QP2584" s="100"/>
      <c r="QQ2584" s="100"/>
      <c r="QR2584" s="100"/>
      <c r="QS2584" s="100"/>
      <c r="QT2584" s="100"/>
      <c r="QU2584" s="100"/>
      <c r="QV2584" s="100"/>
      <c r="QW2584" s="100"/>
      <c r="QX2584" s="100"/>
      <c r="QY2584" s="100"/>
      <c r="QZ2584" s="100"/>
      <c r="RA2584" s="100"/>
      <c r="RB2584" s="100"/>
      <c r="RC2584" s="100"/>
      <c r="RD2584" s="100"/>
      <c r="RE2584" s="100"/>
      <c r="RF2584" s="100"/>
      <c r="RG2584" s="100"/>
      <c r="RH2584" s="100"/>
      <c r="RI2584" s="100"/>
      <c r="RJ2584" s="100"/>
      <c r="RK2584" s="100"/>
      <c r="RL2584" s="100"/>
      <c r="RM2584" s="100"/>
      <c r="RN2584" s="100"/>
      <c r="RO2584" s="100"/>
      <c r="RP2584" s="100"/>
      <c r="RQ2584" s="100"/>
      <c r="RR2584" s="100"/>
      <c r="RS2584" s="100"/>
      <c r="RT2584" s="100"/>
      <c r="RU2584" s="100"/>
      <c r="RV2584" s="100"/>
      <c r="RW2584" s="100"/>
      <c r="RX2584" s="100"/>
      <c r="RY2584" s="100"/>
      <c r="RZ2584" s="100"/>
      <c r="SA2584" s="100"/>
      <c r="SB2584" s="100"/>
      <c r="SC2584" s="100"/>
      <c r="SD2584" s="100"/>
      <c r="SE2584" s="100"/>
      <c r="SF2584" s="100"/>
      <c r="SG2584" s="100"/>
      <c r="SH2584" s="100"/>
      <c r="SI2584" s="100"/>
      <c r="SJ2584" s="100"/>
      <c r="SK2584" s="100"/>
      <c r="SL2584" s="100"/>
      <c r="SM2584" s="100"/>
      <c r="SN2584" s="100"/>
      <c r="SO2584" s="100"/>
      <c r="SP2584" s="100"/>
      <c r="SQ2584" s="100"/>
      <c r="SR2584" s="100"/>
      <c r="SS2584" s="100"/>
      <c r="ST2584" s="100"/>
      <c r="SU2584" s="100"/>
      <c r="SV2584" s="100"/>
      <c r="SW2584" s="100"/>
      <c r="SX2584" s="100"/>
      <c r="SY2584" s="100"/>
      <c r="SZ2584" s="100"/>
      <c r="TA2584" s="100"/>
      <c r="TB2584" s="100"/>
      <c r="TC2584" s="100"/>
      <c r="TD2584" s="100"/>
      <c r="TE2584" s="100"/>
      <c r="TF2584" s="100"/>
      <c r="TG2584" s="100"/>
      <c r="TH2584" s="100"/>
      <c r="TI2584" s="100"/>
      <c r="TJ2584" s="100"/>
      <c r="TK2584" s="100"/>
      <c r="TL2584" s="100"/>
      <c r="TM2584" s="100"/>
      <c r="TN2584" s="100"/>
      <c r="TO2584" s="100"/>
      <c r="TP2584" s="100"/>
      <c r="TQ2584" s="100"/>
      <c r="TR2584" s="100"/>
      <c r="TS2584" s="100"/>
      <c r="TT2584" s="100"/>
      <c r="TU2584" s="100"/>
      <c r="TV2584" s="100"/>
      <c r="TW2584" s="100"/>
      <c r="TX2584" s="100"/>
      <c r="TY2584" s="100"/>
      <c r="TZ2584" s="100"/>
      <c r="UA2584" s="100"/>
      <c r="UB2584" s="100"/>
      <c r="UC2584" s="100"/>
      <c r="UD2584" s="100"/>
      <c r="UE2584" s="100"/>
      <c r="UF2584" s="100"/>
      <c r="UG2584" s="100"/>
      <c r="UH2584" s="100"/>
      <c r="UI2584" s="100"/>
      <c r="UJ2584" s="100"/>
      <c r="UK2584" s="100"/>
      <c r="UL2584" s="100"/>
      <c r="UM2584" s="100"/>
      <c r="UN2584" s="100"/>
      <c r="UO2584" s="100"/>
      <c r="UP2584" s="100"/>
      <c r="UQ2584" s="100"/>
      <c r="UR2584" s="100"/>
      <c r="US2584" s="100"/>
      <c r="UT2584" s="100"/>
      <c r="UU2584" s="100"/>
      <c r="UV2584" s="100"/>
      <c r="UW2584" s="100"/>
      <c r="UX2584" s="100"/>
      <c r="UY2584" s="100"/>
      <c r="UZ2584" s="100"/>
      <c r="VA2584" s="100"/>
      <c r="VB2584" s="100"/>
      <c r="VC2584" s="100"/>
      <c r="VD2584" s="100"/>
      <c r="VE2584" s="100"/>
      <c r="VF2584" s="100"/>
      <c r="VG2584" s="100"/>
      <c r="VH2584" s="100"/>
      <c r="VI2584" s="100"/>
      <c r="VJ2584" s="100"/>
      <c r="VK2584" s="100"/>
      <c r="VL2584" s="100"/>
      <c r="VM2584" s="100"/>
      <c r="VN2584" s="100"/>
      <c r="VO2584" s="100"/>
      <c r="VP2584" s="100"/>
      <c r="VQ2584" s="100"/>
      <c r="VR2584" s="100"/>
      <c r="VS2584" s="100"/>
      <c r="VT2584" s="100"/>
      <c r="VU2584" s="100"/>
      <c r="VV2584" s="100"/>
      <c r="VW2584" s="100"/>
      <c r="VX2584" s="100"/>
      <c r="VY2584" s="100"/>
      <c r="VZ2584" s="100"/>
      <c r="WA2584" s="100"/>
      <c r="WB2584" s="100"/>
      <c r="WC2584" s="100"/>
      <c r="WD2584" s="100"/>
      <c r="WE2584" s="100"/>
      <c r="WF2584" s="100"/>
      <c r="WG2584" s="100"/>
      <c r="WH2584" s="100"/>
      <c r="WI2584" s="100"/>
      <c r="WJ2584" s="100"/>
      <c r="WK2584" s="100"/>
      <c r="WL2584" s="100"/>
      <c r="WM2584" s="100"/>
      <c r="WN2584" s="100"/>
      <c r="WO2584" s="100"/>
      <c r="WP2584" s="100"/>
      <c r="WQ2584" s="100"/>
      <c r="WR2584" s="100"/>
      <c r="WS2584" s="100"/>
      <c r="WT2584" s="100"/>
      <c r="WU2584" s="100"/>
      <c r="WV2584" s="100"/>
      <c r="WW2584" s="100"/>
      <c r="WX2584" s="100"/>
      <c r="WY2584" s="100"/>
      <c r="WZ2584" s="100"/>
      <c r="XA2584" s="100"/>
      <c r="XB2584" s="100"/>
      <c r="XC2584" s="100"/>
      <c r="XD2584" s="100"/>
      <c r="XE2584" s="100"/>
      <c r="XF2584" s="100"/>
      <c r="XG2584" s="100"/>
      <c r="XH2584" s="100"/>
      <c r="XI2584" s="100"/>
      <c r="XJ2584" s="100"/>
      <c r="XK2584" s="100"/>
      <c r="XL2584" s="100"/>
      <c r="XM2584" s="100"/>
      <c r="XN2584" s="100"/>
      <c r="XO2584" s="100"/>
      <c r="XP2584" s="100"/>
      <c r="XQ2584" s="100"/>
      <c r="XR2584" s="100"/>
      <c r="XS2584" s="100"/>
      <c r="XT2584" s="100"/>
      <c r="XU2584" s="100"/>
      <c r="XV2584" s="100"/>
      <c r="XW2584" s="100"/>
      <c r="XX2584" s="100"/>
      <c r="XY2584" s="100"/>
      <c r="XZ2584" s="100"/>
      <c r="YA2584" s="100"/>
      <c r="YB2584" s="100"/>
      <c r="YC2584" s="100"/>
      <c r="YD2584" s="100"/>
      <c r="YE2584" s="100"/>
      <c r="YF2584" s="100"/>
      <c r="YG2584" s="100"/>
      <c r="YH2584" s="100"/>
      <c r="YI2584" s="100"/>
      <c r="YJ2584" s="100"/>
      <c r="YK2584" s="100"/>
      <c r="YL2584" s="100"/>
      <c r="YM2584" s="100"/>
      <c r="YN2584" s="100"/>
      <c r="YO2584" s="100"/>
      <c r="YP2584" s="100"/>
      <c r="YQ2584" s="100"/>
      <c r="YR2584" s="100"/>
      <c r="YS2584" s="100"/>
      <c r="YT2584" s="100"/>
      <c r="YU2584" s="100"/>
      <c r="YV2584" s="100"/>
      <c r="YW2584" s="100"/>
      <c r="YX2584" s="100"/>
      <c r="YY2584" s="100"/>
      <c r="YZ2584" s="100"/>
      <c r="ZA2584" s="100"/>
      <c r="ZB2584" s="100"/>
      <c r="ZC2584" s="100"/>
      <c r="ZD2584" s="100"/>
      <c r="ZE2584" s="100"/>
      <c r="ZF2584" s="100"/>
      <c r="ZG2584" s="100"/>
      <c r="ZH2584" s="100"/>
      <c r="ZI2584" s="100"/>
      <c r="ZJ2584" s="100"/>
      <c r="ZK2584" s="100"/>
      <c r="ZL2584" s="100"/>
      <c r="ZM2584" s="100"/>
      <c r="ZN2584" s="100"/>
      <c r="ZO2584" s="100"/>
      <c r="ZP2584" s="100"/>
      <c r="ZQ2584" s="100"/>
      <c r="ZR2584" s="100"/>
      <c r="ZS2584" s="100"/>
      <c r="ZT2584" s="100"/>
      <c r="ZU2584" s="100"/>
      <c r="ZV2584" s="100"/>
      <c r="ZW2584" s="100"/>
      <c r="ZX2584" s="100"/>
      <c r="ZY2584" s="100"/>
      <c r="ZZ2584" s="100"/>
      <c r="AAA2584" s="100"/>
      <c r="AAB2584" s="100"/>
      <c r="AAC2584" s="100"/>
      <c r="AAD2584" s="100"/>
      <c r="AAE2584" s="100"/>
      <c r="AAF2584" s="100"/>
      <c r="AAG2584" s="100"/>
      <c r="AAH2584" s="100"/>
      <c r="AAI2584" s="100"/>
      <c r="AAJ2584" s="100"/>
      <c r="AAK2584" s="100"/>
      <c r="AAL2584" s="100"/>
      <c r="AAM2584" s="100"/>
      <c r="AAN2584" s="100"/>
      <c r="AAO2584" s="100"/>
      <c r="AAP2584" s="100"/>
      <c r="AAQ2584" s="100"/>
      <c r="AAR2584" s="100"/>
      <c r="AAS2584" s="100"/>
      <c r="AAT2584" s="100"/>
      <c r="AAU2584" s="100"/>
      <c r="AAV2584" s="100"/>
      <c r="AAW2584" s="100"/>
      <c r="AAX2584" s="100"/>
      <c r="AAY2584" s="100"/>
      <c r="AAZ2584" s="100"/>
      <c r="ABA2584" s="100"/>
      <c r="ABB2584" s="100"/>
      <c r="ABC2584" s="100"/>
      <c r="ABD2584" s="100"/>
      <c r="ABE2584" s="100"/>
      <c r="ABF2584" s="100"/>
      <c r="ABG2584" s="100"/>
      <c r="ABH2584" s="100"/>
      <c r="ABI2584" s="100"/>
      <c r="ABJ2584" s="100"/>
      <c r="ABK2584" s="100"/>
      <c r="ABL2584" s="100"/>
      <c r="ABM2584" s="100"/>
      <c r="ABN2584" s="100"/>
      <c r="ABO2584" s="100"/>
      <c r="ABP2584" s="100"/>
      <c r="ABQ2584" s="100"/>
      <c r="ABR2584" s="100"/>
      <c r="ABS2584" s="100"/>
      <c r="ABT2584" s="100"/>
      <c r="ABU2584" s="100"/>
      <c r="ABV2584" s="100"/>
      <c r="ABW2584" s="100"/>
      <c r="ABX2584" s="100"/>
      <c r="ABY2584" s="100"/>
      <c r="ABZ2584" s="100"/>
      <c r="ACA2584" s="100"/>
      <c r="ACB2584" s="100"/>
      <c r="ACC2584" s="100"/>
      <c r="ACD2584" s="100"/>
      <c r="ACE2584" s="100"/>
      <c r="ACF2584" s="100"/>
      <c r="ACG2584" s="100"/>
      <c r="ACH2584" s="100"/>
      <c r="ACI2584" s="100"/>
      <c r="ACJ2584" s="100"/>
      <c r="ACK2584" s="100"/>
      <c r="ACL2584" s="100"/>
      <c r="ACM2584" s="100"/>
      <c r="ACN2584" s="100"/>
      <c r="ACO2584" s="100"/>
      <c r="ACP2584" s="100"/>
      <c r="ACQ2584" s="100"/>
      <c r="ACR2584" s="100"/>
      <c r="ACS2584" s="100"/>
      <c r="ACT2584" s="100"/>
      <c r="ACU2584" s="100"/>
      <c r="ACV2584" s="100"/>
      <c r="ACW2584" s="100"/>
      <c r="ACX2584" s="100"/>
      <c r="ACY2584" s="100"/>
      <c r="ACZ2584" s="100"/>
      <c r="ADA2584" s="100"/>
      <c r="ADB2584" s="100"/>
      <c r="ADC2584" s="100"/>
      <c r="ADD2584" s="100"/>
      <c r="ADE2584" s="100"/>
      <c r="ADF2584" s="100"/>
      <c r="ADG2584" s="100"/>
      <c r="ADH2584" s="100"/>
      <c r="ADI2584" s="100"/>
      <c r="ADJ2584" s="100"/>
      <c r="ADK2584" s="100"/>
      <c r="ADL2584" s="100"/>
      <c r="ADM2584" s="100"/>
      <c r="ADN2584" s="100"/>
      <c r="ADO2584" s="100"/>
      <c r="ADP2584" s="100"/>
      <c r="ADQ2584" s="100"/>
      <c r="ADR2584" s="100"/>
      <c r="ADS2584" s="100"/>
      <c r="ADT2584" s="100"/>
      <c r="ADU2584" s="100"/>
      <c r="ADV2584" s="100"/>
      <c r="ADW2584" s="100"/>
      <c r="ADX2584" s="100"/>
      <c r="ADY2584" s="100"/>
      <c r="ADZ2584" s="100"/>
      <c r="AEA2584" s="100"/>
      <c r="AEB2584" s="100"/>
      <c r="AEC2584" s="100"/>
      <c r="AED2584" s="100"/>
      <c r="AEE2584" s="100"/>
      <c r="AEF2584" s="100"/>
      <c r="AEG2584" s="100"/>
      <c r="AEH2584" s="100"/>
      <c r="AEI2584" s="100"/>
      <c r="AEJ2584" s="100"/>
      <c r="AEK2584" s="100"/>
      <c r="AEL2584" s="100"/>
      <c r="AEM2584" s="100"/>
      <c r="AEN2584" s="100"/>
      <c r="AEO2584" s="100"/>
      <c r="AEP2584" s="100"/>
      <c r="AEQ2584" s="100"/>
      <c r="AER2584" s="100"/>
      <c r="AES2584" s="100"/>
      <c r="AET2584" s="100"/>
      <c r="AEU2584" s="100"/>
      <c r="AEV2584" s="100"/>
      <c r="AEW2584" s="100"/>
      <c r="AEX2584" s="100"/>
      <c r="AEY2584" s="100"/>
      <c r="AEZ2584" s="100"/>
      <c r="AFA2584" s="100"/>
      <c r="AFB2584" s="100"/>
      <c r="AFC2584" s="100"/>
      <c r="AFD2584" s="100"/>
      <c r="AFE2584" s="100"/>
      <c r="AFF2584" s="100"/>
      <c r="AFG2584" s="100"/>
      <c r="AFH2584" s="100"/>
      <c r="AFI2584" s="100"/>
      <c r="AFJ2584" s="100"/>
      <c r="AFK2584" s="100"/>
      <c r="AFL2584" s="100"/>
      <c r="AFM2584" s="100"/>
      <c r="AFN2584" s="100"/>
      <c r="AFO2584" s="100"/>
      <c r="AFP2584" s="100"/>
      <c r="AFQ2584" s="100"/>
      <c r="AFR2584" s="100"/>
      <c r="AFS2584" s="100"/>
      <c r="AFT2584" s="100"/>
      <c r="AFU2584" s="100"/>
      <c r="AFV2584" s="100"/>
      <c r="AFW2584" s="100"/>
      <c r="AFX2584" s="100"/>
      <c r="AFY2584" s="100"/>
      <c r="AFZ2584" s="100"/>
      <c r="AGA2584" s="100"/>
      <c r="AGB2584" s="100"/>
      <c r="AGC2584" s="100"/>
      <c r="AGD2584" s="100"/>
      <c r="AGE2584" s="100"/>
      <c r="AGF2584" s="100"/>
      <c r="AGG2584" s="100"/>
      <c r="AGH2584" s="100"/>
      <c r="AGI2584" s="100"/>
      <c r="AGJ2584" s="100"/>
      <c r="AGK2584" s="100"/>
      <c r="AGL2584" s="100"/>
      <c r="AGM2584" s="100"/>
      <c r="AGN2584" s="100"/>
      <c r="AGO2584" s="100"/>
      <c r="AGP2584" s="100"/>
      <c r="AGQ2584" s="100"/>
      <c r="AGR2584" s="100"/>
      <c r="AGS2584" s="100"/>
      <c r="AGT2584" s="100"/>
      <c r="AGU2584" s="100"/>
      <c r="AGV2584" s="100"/>
      <c r="AGW2584" s="100"/>
      <c r="AGX2584" s="100"/>
      <c r="AGY2584" s="100"/>
      <c r="AGZ2584" s="100"/>
      <c r="AHA2584" s="100"/>
      <c r="AHB2584" s="100"/>
      <c r="AHC2584" s="100"/>
      <c r="AHD2584" s="100"/>
      <c r="AHE2584" s="100"/>
      <c r="AHF2584" s="100"/>
      <c r="AHG2584" s="100"/>
      <c r="AHH2584" s="100"/>
      <c r="AHI2584" s="100"/>
      <c r="AHJ2584" s="100"/>
      <c r="AHK2584" s="100"/>
      <c r="AHL2584" s="100"/>
      <c r="AHM2584" s="100"/>
      <c r="AHN2584" s="100"/>
      <c r="AHO2584" s="100"/>
      <c r="AHP2584" s="100"/>
      <c r="AHQ2584" s="100"/>
      <c r="AHR2584" s="100"/>
      <c r="AHS2584" s="100"/>
      <c r="AHT2584" s="100"/>
      <c r="AHU2584" s="100"/>
      <c r="AHV2584" s="100"/>
      <c r="AHW2584" s="100"/>
      <c r="AHX2584" s="100"/>
      <c r="AHY2584" s="100"/>
      <c r="AHZ2584" s="100"/>
      <c r="AIA2584" s="100"/>
      <c r="AIB2584" s="100"/>
      <c r="AIC2584" s="100"/>
      <c r="AID2584" s="100"/>
      <c r="AIE2584" s="100"/>
      <c r="AIF2584" s="100"/>
      <c r="AIG2584" s="100"/>
      <c r="AIH2584" s="100"/>
      <c r="AII2584" s="100"/>
      <c r="AIJ2584" s="100"/>
      <c r="AIK2584" s="100"/>
      <c r="AIL2584" s="100"/>
      <c r="AIM2584" s="100"/>
      <c r="AIN2584" s="100"/>
      <c r="AIO2584" s="100"/>
      <c r="AIP2584" s="100"/>
      <c r="AIQ2584" s="100"/>
      <c r="AIR2584" s="100"/>
      <c r="AIS2584" s="100"/>
      <c r="AIT2584" s="100"/>
      <c r="AIU2584" s="100"/>
      <c r="AIV2584" s="100"/>
      <c r="AIW2584" s="100"/>
      <c r="AIX2584" s="100"/>
      <c r="AIY2584" s="100"/>
      <c r="AIZ2584" s="100"/>
      <c r="AJA2584" s="100"/>
      <c r="AJB2584" s="100"/>
      <c r="AJC2584" s="100"/>
      <c r="AJD2584" s="100"/>
      <c r="AJE2584" s="100"/>
      <c r="AJF2584" s="100"/>
      <c r="AJG2584" s="100"/>
      <c r="AJH2584" s="100"/>
      <c r="AJI2584" s="100"/>
      <c r="AJJ2584" s="100"/>
      <c r="AJK2584" s="100"/>
      <c r="AJL2584" s="100"/>
      <c r="AJM2584" s="100"/>
      <c r="AJN2584" s="100"/>
      <c r="AJO2584" s="100"/>
      <c r="AJP2584" s="100"/>
      <c r="AJQ2584" s="100"/>
      <c r="AJR2584" s="100"/>
      <c r="AJS2584" s="100"/>
      <c r="AJT2584" s="100"/>
      <c r="AJU2584" s="100"/>
      <c r="AJV2584" s="100"/>
      <c r="AJW2584" s="100"/>
      <c r="AJX2584" s="100"/>
      <c r="AJY2584" s="100"/>
      <c r="AJZ2584" s="100"/>
      <c r="AKA2584" s="100"/>
      <c r="AKB2584" s="100"/>
      <c r="AKC2584" s="100"/>
      <c r="AKD2584" s="100"/>
      <c r="AKE2584" s="100"/>
      <c r="AKF2584" s="100"/>
      <c r="AKG2584" s="100"/>
      <c r="AKH2584" s="100"/>
      <c r="AKI2584" s="100"/>
      <c r="AKJ2584" s="100"/>
      <c r="AKK2584" s="100"/>
      <c r="AKL2584" s="100"/>
      <c r="AKM2584" s="100"/>
      <c r="AKN2584" s="100"/>
      <c r="AKO2584" s="100"/>
      <c r="AKP2584" s="100"/>
      <c r="AKQ2584" s="100"/>
      <c r="AKR2584" s="100"/>
      <c r="AKS2584" s="100"/>
      <c r="AKT2584" s="100"/>
      <c r="AKU2584" s="100"/>
      <c r="AKV2584" s="100"/>
      <c r="AKW2584" s="100"/>
      <c r="AKX2584" s="100"/>
      <c r="AKY2584" s="100"/>
      <c r="AKZ2584" s="100"/>
      <c r="ALA2584" s="100"/>
      <c r="ALB2584" s="100"/>
      <c r="ALC2584" s="100"/>
      <c r="ALD2584" s="100"/>
      <c r="ALE2584" s="100"/>
      <c r="ALF2584" s="100"/>
      <c r="ALG2584" s="100"/>
      <c r="ALH2584" s="100"/>
      <c r="ALI2584" s="100"/>
      <c r="ALJ2584" s="100"/>
      <c r="ALK2584" s="100"/>
      <c r="ALL2584" s="100"/>
      <c r="ALM2584" s="100"/>
      <c r="ALN2584" s="100"/>
      <c r="ALO2584" s="100"/>
      <c r="ALP2584" s="100"/>
      <c r="ALQ2584" s="100"/>
      <c r="ALR2584" s="100"/>
      <c r="ALS2584" s="100"/>
      <c r="ALT2584" s="100"/>
      <c r="ALU2584" s="100"/>
      <c r="ALV2584" s="100"/>
      <c r="ALW2584" s="100"/>
      <c r="ALX2584" s="100"/>
      <c r="ALY2584" s="100"/>
      <c r="ALZ2584" s="100"/>
      <c r="AMA2584" s="100"/>
      <c r="AMB2584" s="100"/>
      <c r="AMC2584" s="100"/>
      <c r="AMD2584" s="100"/>
      <c r="AME2584" s="100"/>
      <c r="AMF2584" s="100"/>
      <c r="AMG2584" s="100"/>
      <c r="AMH2584" s="100"/>
      <c r="AMI2584" s="100"/>
      <c r="AMJ2584" s="100"/>
      <c r="AMK2584" s="100"/>
      <c r="AML2584" s="100"/>
      <c r="AMM2584" s="100"/>
      <c r="AMN2584" s="100"/>
      <c r="AMO2584" s="100"/>
      <c r="AMP2584" s="100"/>
      <c r="AMQ2584" s="100"/>
      <c r="AMR2584" s="100"/>
      <c r="AMS2584" s="100"/>
      <c r="AMT2584" s="100"/>
      <c r="AMU2584" s="100"/>
      <c r="AMV2584" s="100"/>
      <c r="AMW2584" s="100"/>
      <c r="AMX2584" s="100"/>
      <c r="AMY2584" s="100"/>
      <c r="AMZ2584" s="100"/>
      <c r="ANA2584" s="100"/>
      <c r="ANB2584" s="100"/>
      <c r="ANC2584" s="100"/>
      <c r="AND2584" s="100"/>
      <c r="ANE2584" s="100"/>
      <c r="ANF2584" s="100"/>
      <c r="ANG2584" s="100"/>
      <c r="ANH2584" s="100"/>
      <c r="ANI2584" s="100"/>
      <c r="ANJ2584" s="100"/>
      <c r="ANK2584" s="100"/>
      <c r="ANL2584" s="100"/>
      <c r="ANM2584" s="100"/>
      <c r="ANN2584" s="100"/>
      <c r="ANO2584" s="100"/>
      <c r="ANP2584" s="100"/>
      <c r="ANQ2584" s="100"/>
      <c r="ANR2584" s="100"/>
      <c r="ANS2584" s="100"/>
      <c r="ANT2584" s="100"/>
      <c r="ANU2584" s="100"/>
      <c r="ANV2584" s="100"/>
      <c r="ANW2584" s="100"/>
      <c r="ANX2584" s="100"/>
      <c r="ANY2584" s="100"/>
      <c r="ANZ2584" s="100"/>
      <c r="AOA2584" s="100"/>
      <c r="AOB2584" s="100"/>
      <c r="AOC2584" s="100"/>
      <c r="AOD2584" s="100"/>
      <c r="AOE2584" s="100"/>
      <c r="AOF2584" s="100"/>
      <c r="AOG2584" s="100"/>
      <c r="AOH2584" s="100"/>
      <c r="AOI2584" s="100"/>
      <c r="AOJ2584" s="100"/>
      <c r="AOK2584" s="100"/>
      <c r="AOL2584" s="100"/>
      <c r="AOM2584" s="100"/>
      <c r="AON2584" s="100"/>
      <c r="AOO2584" s="100"/>
      <c r="AOP2584" s="100"/>
      <c r="AOQ2584" s="100"/>
      <c r="AOR2584" s="100"/>
      <c r="AOS2584" s="100"/>
      <c r="AOT2584" s="100"/>
      <c r="AOU2584" s="100"/>
      <c r="AOV2584" s="100"/>
      <c r="AOW2584" s="100"/>
      <c r="AOX2584" s="100"/>
      <c r="AOY2584" s="100"/>
      <c r="AOZ2584" s="100"/>
      <c r="APA2584" s="100"/>
      <c r="APB2584" s="100"/>
      <c r="APC2584" s="100"/>
      <c r="APD2584" s="100"/>
      <c r="APE2584" s="100"/>
      <c r="APF2584" s="100"/>
      <c r="APG2584" s="100"/>
      <c r="APH2584" s="100"/>
      <c r="API2584" s="100"/>
      <c r="APJ2584" s="100"/>
      <c r="APK2584" s="100"/>
      <c r="APL2584" s="100"/>
      <c r="APM2584" s="100"/>
      <c r="APN2584" s="100"/>
      <c r="APO2584" s="100"/>
      <c r="APP2584" s="100"/>
      <c r="APQ2584" s="100"/>
      <c r="APR2584" s="100"/>
      <c r="APS2584" s="100"/>
      <c r="APT2584" s="100"/>
      <c r="APU2584" s="100"/>
      <c r="APV2584" s="100"/>
      <c r="APW2584" s="100"/>
      <c r="APX2584" s="100"/>
      <c r="APY2584" s="100"/>
      <c r="APZ2584" s="100"/>
      <c r="AQA2584" s="100"/>
      <c r="AQB2584" s="100"/>
      <c r="AQC2584" s="100"/>
      <c r="AQD2584" s="100"/>
      <c r="AQE2584" s="100"/>
      <c r="AQF2584" s="100"/>
      <c r="AQG2584" s="100"/>
      <c r="AQH2584" s="100"/>
      <c r="AQI2584" s="100"/>
      <c r="AQJ2584" s="100"/>
      <c r="AQK2584" s="100"/>
      <c r="AQL2584" s="100"/>
      <c r="AQM2584" s="100"/>
      <c r="AQN2584" s="100"/>
      <c r="AQO2584" s="100"/>
      <c r="AQP2584" s="100"/>
      <c r="AQQ2584" s="100"/>
      <c r="AQR2584" s="100"/>
      <c r="AQS2584" s="100"/>
      <c r="AQT2584" s="100"/>
      <c r="AQU2584" s="100"/>
      <c r="AQV2584" s="100"/>
      <c r="AQW2584" s="100"/>
      <c r="AQX2584" s="100"/>
      <c r="AQY2584" s="100"/>
      <c r="AQZ2584" s="100"/>
      <c r="ARA2584" s="100"/>
      <c r="ARB2584" s="100"/>
      <c r="ARC2584" s="100"/>
      <c r="ARD2584" s="100"/>
      <c r="ARE2584" s="100"/>
      <c r="ARF2584" s="100"/>
      <c r="ARG2584" s="100"/>
      <c r="ARH2584" s="100"/>
      <c r="ARI2584" s="100"/>
      <c r="ARJ2584" s="100"/>
      <c r="ARK2584" s="100"/>
      <c r="ARL2584" s="100"/>
      <c r="ARM2584" s="100"/>
      <c r="ARN2584" s="100"/>
      <c r="ARO2584" s="100"/>
      <c r="ARP2584" s="100"/>
      <c r="ARQ2584" s="100"/>
      <c r="ARR2584" s="100"/>
      <c r="ARS2584" s="100"/>
      <c r="ART2584" s="100"/>
      <c r="ARU2584" s="100"/>
      <c r="ARV2584" s="100"/>
      <c r="ARW2584" s="100"/>
      <c r="ARX2584" s="100"/>
      <c r="ARY2584" s="100"/>
      <c r="ARZ2584" s="100"/>
      <c r="ASA2584" s="100"/>
      <c r="ASB2584" s="100"/>
      <c r="ASC2584" s="100"/>
      <c r="ASD2584" s="100"/>
      <c r="ASE2584" s="100"/>
      <c r="ASF2584" s="100"/>
      <c r="ASG2584" s="100"/>
      <c r="ASH2584" s="100"/>
      <c r="ASI2584" s="100"/>
      <c r="ASJ2584" s="100"/>
      <c r="ASK2584" s="100"/>
      <c r="ASL2584" s="100"/>
      <c r="ASM2584" s="100"/>
      <c r="ASN2584" s="100"/>
      <c r="ASO2584" s="100"/>
      <c r="ASP2584" s="100"/>
      <c r="ASQ2584" s="100"/>
      <c r="ASR2584" s="100"/>
      <c r="ASS2584" s="100"/>
      <c r="AST2584" s="100"/>
      <c r="ASU2584" s="100"/>
      <c r="ASV2584" s="100"/>
      <c r="ASW2584" s="100"/>
      <c r="ASX2584" s="100"/>
      <c r="ASY2584" s="100"/>
      <c r="ASZ2584" s="100"/>
      <c r="ATA2584" s="100"/>
      <c r="ATB2584" s="100"/>
      <c r="ATC2584" s="100"/>
      <c r="ATD2584" s="100"/>
      <c r="ATE2584" s="100"/>
      <c r="ATF2584" s="100"/>
      <c r="ATG2584" s="100"/>
      <c r="ATH2584" s="100"/>
      <c r="ATI2584" s="100"/>
      <c r="ATJ2584" s="100"/>
      <c r="ATK2584" s="100"/>
      <c r="ATL2584" s="100"/>
      <c r="ATM2584" s="100"/>
      <c r="ATN2584" s="100"/>
      <c r="ATO2584" s="100"/>
      <c r="ATP2584" s="100"/>
      <c r="ATQ2584" s="100"/>
      <c r="ATR2584" s="100"/>
      <c r="ATS2584" s="100"/>
      <c r="ATT2584" s="100"/>
      <c r="ATU2584" s="100"/>
      <c r="ATV2584" s="100"/>
      <c r="ATW2584" s="100"/>
      <c r="ATX2584" s="100"/>
      <c r="ATY2584" s="100"/>
      <c r="ATZ2584" s="100"/>
      <c r="AUA2584" s="100"/>
      <c r="AUB2584" s="100"/>
      <c r="AUC2584" s="100"/>
      <c r="AUD2584" s="100"/>
      <c r="AUE2584" s="100"/>
      <c r="AUF2584" s="100"/>
      <c r="AUG2584" s="100"/>
      <c r="AUH2584" s="100"/>
      <c r="AUI2584" s="100"/>
      <c r="AUJ2584" s="100"/>
      <c r="AUK2584" s="100"/>
      <c r="AUL2584" s="100"/>
      <c r="AUM2584" s="100"/>
      <c r="AUN2584" s="100"/>
      <c r="AUO2584" s="100"/>
      <c r="AUP2584" s="100"/>
      <c r="AUQ2584" s="100"/>
      <c r="AUR2584" s="100"/>
      <c r="AUS2584" s="100"/>
      <c r="AUT2584" s="100"/>
      <c r="AUU2584" s="100"/>
      <c r="AUV2584" s="100"/>
      <c r="AUW2584" s="100"/>
      <c r="AUX2584" s="100"/>
      <c r="AUY2584" s="100"/>
      <c r="AUZ2584" s="100"/>
      <c r="AVA2584" s="100"/>
      <c r="AVB2584" s="100"/>
      <c r="AVC2584" s="100"/>
      <c r="AVD2584" s="100"/>
      <c r="AVE2584" s="100"/>
      <c r="AVF2584" s="100"/>
      <c r="AVG2584" s="100"/>
      <c r="AVH2584" s="100"/>
      <c r="AVI2584" s="100"/>
      <c r="AVJ2584" s="100"/>
      <c r="AVK2584" s="100"/>
      <c r="AVL2584" s="100"/>
      <c r="AVM2584" s="100"/>
      <c r="AVN2584" s="100"/>
      <c r="AVO2584" s="100"/>
      <c r="AVP2584" s="100"/>
      <c r="AVQ2584" s="100"/>
      <c r="AVR2584" s="100"/>
      <c r="AVS2584" s="100"/>
      <c r="AVT2584" s="100"/>
      <c r="AVU2584" s="100"/>
      <c r="AVV2584" s="100"/>
      <c r="AVW2584" s="100"/>
      <c r="AVX2584" s="100"/>
      <c r="AVY2584" s="100"/>
      <c r="AVZ2584" s="100"/>
      <c r="AWA2584" s="100"/>
      <c r="AWB2584" s="100"/>
      <c r="AWC2584" s="100"/>
      <c r="AWD2584" s="100"/>
      <c r="AWE2584" s="100"/>
      <c r="AWF2584" s="100"/>
      <c r="AWG2584" s="100"/>
      <c r="AWH2584" s="100"/>
      <c r="AWI2584" s="100"/>
      <c r="AWJ2584" s="100"/>
      <c r="AWK2584" s="100"/>
      <c r="AWL2584" s="100"/>
      <c r="AWM2584" s="100"/>
      <c r="AWN2584" s="100"/>
      <c r="AWO2584" s="100"/>
      <c r="AWP2584" s="100"/>
      <c r="AWQ2584" s="100"/>
      <c r="AWR2584" s="100"/>
      <c r="AWS2584" s="100"/>
      <c r="AWT2584" s="100"/>
      <c r="AWU2584" s="100"/>
      <c r="AWV2584" s="100"/>
      <c r="AWW2584" s="100"/>
      <c r="AWX2584" s="100"/>
      <c r="AWY2584" s="100"/>
      <c r="AWZ2584" s="100"/>
      <c r="AXA2584" s="100"/>
      <c r="AXB2584" s="100"/>
      <c r="AXC2584" s="100"/>
      <c r="AXD2584" s="100"/>
      <c r="AXE2584" s="100"/>
      <c r="AXF2584" s="100"/>
      <c r="AXG2584" s="100"/>
      <c r="AXH2584" s="100"/>
      <c r="AXI2584" s="100"/>
      <c r="AXJ2584" s="100"/>
      <c r="AXK2584" s="100"/>
      <c r="AXL2584" s="100"/>
      <c r="AXM2584" s="100"/>
      <c r="AXN2584" s="100"/>
      <c r="AXO2584" s="100"/>
      <c r="AXP2584" s="100"/>
      <c r="AXQ2584" s="100"/>
      <c r="AXR2584" s="100"/>
      <c r="AXS2584" s="100"/>
      <c r="AXT2584" s="100"/>
      <c r="AXU2584" s="100"/>
      <c r="AXV2584" s="100"/>
      <c r="AXW2584" s="100"/>
      <c r="AXX2584" s="100"/>
      <c r="AXY2584" s="100"/>
      <c r="AXZ2584" s="100"/>
      <c r="AYA2584" s="100"/>
      <c r="AYB2584" s="100"/>
      <c r="AYC2584" s="100"/>
      <c r="AYD2584" s="100"/>
      <c r="AYE2584" s="100"/>
      <c r="AYF2584" s="100"/>
      <c r="AYG2584" s="100"/>
      <c r="AYH2584" s="100"/>
      <c r="AYI2584" s="100"/>
      <c r="AYJ2584" s="100"/>
      <c r="AYK2584" s="100"/>
      <c r="AYL2584" s="100"/>
      <c r="AYM2584" s="100"/>
      <c r="AYN2584" s="100"/>
      <c r="AYO2584" s="100"/>
      <c r="AYP2584" s="100"/>
      <c r="AYQ2584" s="100"/>
      <c r="AYR2584" s="100"/>
      <c r="AYS2584" s="100"/>
      <c r="AYT2584" s="100"/>
      <c r="AYU2584" s="100"/>
      <c r="AYV2584" s="100"/>
      <c r="AYW2584" s="100"/>
      <c r="AYX2584" s="100"/>
      <c r="AYY2584" s="100"/>
      <c r="AYZ2584" s="100"/>
      <c r="AZA2584" s="100"/>
      <c r="AZB2584" s="100"/>
      <c r="AZC2584" s="100"/>
      <c r="AZD2584" s="100"/>
      <c r="AZE2584" s="100"/>
      <c r="AZF2584" s="100"/>
      <c r="AZG2584" s="100"/>
      <c r="AZH2584" s="100"/>
      <c r="AZI2584" s="100"/>
      <c r="AZJ2584" s="100"/>
      <c r="AZK2584" s="100"/>
      <c r="AZL2584" s="100"/>
      <c r="AZM2584" s="100"/>
      <c r="AZN2584" s="100"/>
      <c r="AZO2584" s="100"/>
      <c r="AZP2584" s="100"/>
      <c r="AZQ2584" s="100"/>
      <c r="AZR2584" s="100"/>
      <c r="AZS2584" s="100"/>
      <c r="AZT2584" s="100"/>
      <c r="AZU2584" s="100"/>
      <c r="AZV2584" s="100"/>
      <c r="AZW2584" s="100"/>
      <c r="AZX2584" s="100"/>
      <c r="AZY2584" s="100"/>
      <c r="AZZ2584" s="100"/>
      <c r="BAA2584" s="100"/>
      <c r="BAB2584" s="100"/>
      <c r="BAC2584" s="100"/>
      <c r="BAD2584" s="100"/>
      <c r="BAE2584" s="100"/>
      <c r="BAF2584" s="100"/>
      <c r="BAG2584" s="100"/>
      <c r="BAH2584" s="100"/>
      <c r="BAI2584" s="100"/>
      <c r="BAJ2584" s="100"/>
      <c r="BAK2584" s="100"/>
      <c r="BAL2584" s="100"/>
      <c r="BAM2584" s="100"/>
      <c r="BAN2584" s="100"/>
      <c r="BAO2584" s="100"/>
      <c r="BAP2584" s="100"/>
      <c r="BAQ2584" s="100"/>
      <c r="BAR2584" s="100"/>
      <c r="BAS2584" s="100"/>
      <c r="BAT2584" s="100"/>
      <c r="BAU2584" s="100"/>
      <c r="BAV2584" s="100"/>
      <c r="BAW2584" s="100"/>
      <c r="BAX2584" s="100"/>
      <c r="BAY2584" s="100"/>
      <c r="BAZ2584" s="100"/>
      <c r="BBA2584" s="100"/>
      <c r="BBB2584" s="100"/>
      <c r="BBC2584" s="100"/>
      <c r="BBD2584" s="100"/>
      <c r="BBE2584" s="100"/>
      <c r="BBF2584" s="100"/>
      <c r="BBG2584" s="100"/>
      <c r="BBH2584" s="100"/>
      <c r="BBI2584" s="100"/>
      <c r="BBJ2584" s="100"/>
      <c r="BBK2584" s="100"/>
      <c r="BBL2584" s="100"/>
      <c r="BBM2584" s="100"/>
      <c r="BBN2584" s="100"/>
      <c r="BBO2584" s="100"/>
      <c r="BBP2584" s="100"/>
      <c r="BBQ2584" s="100"/>
      <c r="BBR2584" s="100"/>
      <c r="BBS2584" s="100"/>
      <c r="BBT2584" s="100"/>
      <c r="BBU2584" s="100"/>
      <c r="BBV2584" s="100"/>
      <c r="BBW2584" s="100"/>
      <c r="BBX2584" s="100"/>
      <c r="BBY2584" s="100"/>
      <c r="BBZ2584" s="100"/>
      <c r="BCA2584" s="100"/>
      <c r="BCB2584" s="100"/>
      <c r="BCC2584" s="100"/>
      <c r="BCD2584" s="100"/>
      <c r="BCE2584" s="100"/>
      <c r="BCF2584" s="100"/>
      <c r="BCG2584" s="100"/>
      <c r="BCH2584" s="100"/>
      <c r="BCI2584" s="100"/>
      <c r="BCJ2584" s="100"/>
      <c r="BCK2584" s="100"/>
      <c r="BCL2584" s="100"/>
      <c r="BCM2584" s="100"/>
      <c r="BCN2584" s="100"/>
      <c r="BCO2584" s="100"/>
      <c r="BCP2584" s="100"/>
      <c r="BCQ2584" s="100"/>
      <c r="BCR2584" s="100"/>
      <c r="BCS2584" s="100"/>
      <c r="BCT2584" s="100"/>
      <c r="BCU2584" s="100"/>
      <c r="BCV2584" s="100"/>
      <c r="BCW2584" s="100"/>
      <c r="BCX2584" s="100"/>
      <c r="BCY2584" s="100"/>
      <c r="BCZ2584" s="100"/>
      <c r="BDA2584" s="100"/>
      <c r="BDB2584" s="100"/>
      <c r="BDC2584" s="100"/>
      <c r="BDD2584" s="100"/>
      <c r="BDE2584" s="100"/>
      <c r="BDF2584" s="100"/>
      <c r="BDG2584" s="100"/>
      <c r="BDH2584" s="100"/>
      <c r="BDI2584" s="100"/>
      <c r="BDJ2584" s="100"/>
      <c r="BDK2584" s="100"/>
      <c r="BDL2584" s="100"/>
      <c r="BDM2584" s="100"/>
      <c r="BDN2584" s="100"/>
      <c r="BDO2584" s="100"/>
      <c r="BDP2584" s="100"/>
      <c r="BDQ2584" s="100"/>
      <c r="BDR2584" s="100"/>
      <c r="BDS2584" s="100"/>
      <c r="BDT2584" s="100"/>
      <c r="BDU2584" s="100"/>
      <c r="BDV2584" s="100"/>
      <c r="BDW2584" s="100"/>
      <c r="BDX2584" s="100"/>
      <c r="BDY2584" s="100"/>
      <c r="BDZ2584" s="100"/>
      <c r="BEA2584" s="100"/>
      <c r="BEB2584" s="100"/>
      <c r="BEC2584" s="100"/>
      <c r="BED2584" s="100"/>
      <c r="BEE2584" s="100"/>
      <c r="BEF2584" s="100"/>
      <c r="BEG2584" s="100"/>
      <c r="BEH2584" s="100"/>
      <c r="BEI2584" s="100"/>
      <c r="BEJ2584" s="100"/>
      <c r="BEK2584" s="100"/>
      <c r="BEL2584" s="100"/>
      <c r="BEM2584" s="100"/>
      <c r="BEN2584" s="100"/>
      <c r="BEO2584" s="100"/>
      <c r="BEP2584" s="100"/>
      <c r="BEQ2584" s="100"/>
      <c r="BER2584" s="100"/>
      <c r="BES2584" s="100"/>
      <c r="BET2584" s="100"/>
      <c r="BEU2584" s="100"/>
      <c r="BEV2584" s="100"/>
      <c r="BEW2584" s="100"/>
      <c r="BEX2584" s="100"/>
      <c r="BEY2584" s="100"/>
      <c r="BEZ2584" s="100"/>
      <c r="BFA2584" s="100"/>
      <c r="BFB2584" s="100"/>
      <c r="BFC2584" s="100"/>
      <c r="BFD2584" s="100"/>
      <c r="BFE2584" s="100"/>
      <c r="BFF2584" s="100"/>
      <c r="BFG2584" s="100"/>
      <c r="BFH2584" s="100"/>
      <c r="BFI2584" s="100"/>
      <c r="BFJ2584" s="100"/>
      <c r="BFK2584" s="100"/>
      <c r="BFL2584" s="100"/>
      <c r="BFM2584" s="100"/>
      <c r="BFN2584" s="100"/>
      <c r="BFO2584" s="100"/>
      <c r="BFP2584" s="100"/>
      <c r="BFQ2584" s="100"/>
      <c r="BFR2584" s="100"/>
      <c r="BFS2584" s="100"/>
      <c r="BFT2584" s="100"/>
      <c r="BFU2584" s="100"/>
      <c r="BFV2584" s="100"/>
      <c r="BFW2584" s="100"/>
      <c r="BFX2584" s="100"/>
      <c r="BFY2584" s="100"/>
      <c r="BFZ2584" s="100"/>
      <c r="BGA2584" s="100"/>
      <c r="BGB2584" s="100"/>
      <c r="BGC2584" s="100"/>
      <c r="BGD2584" s="100"/>
      <c r="BGE2584" s="100"/>
      <c r="BGF2584" s="100"/>
      <c r="BGG2584" s="100"/>
      <c r="BGH2584" s="100"/>
      <c r="BGI2584" s="100"/>
      <c r="BGJ2584" s="100"/>
      <c r="BGK2584" s="100"/>
      <c r="BGL2584" s="100"/>
      <c r="BGM2584" s="100"/>
      <c r="BGN2584" s="100"/>
      <c r="BGO2584" s="100"/>
      <c r="BGP2584" s="100"/>
      <c r="BGQ2584" s="100"/>
      <c r="BGR2584" s="100"/>
      <c r="BGS2584" s="100"/>
      <c r="BGT2584" s="100"/>
      <c r="BGU2584" s="100"/>
      <c r="BGV2584" s="100"/>
      <c r="BGW2584" s="100"/>
      <c r="BGX2584" s="100"/>
      <c r="BGY2584" s="100"/>
      <c r="BGZ2584" s="100"/>
      <c r="BHA2584" s="100"/>
      <c r="BHB2584" s="100"/>
      <c r="BHC2584" s="100"/>
      <c r="BHD2584" s="100"/>
      <c r="BHE2584" s="100"/>
      <c r="BHF2584" s="100"/>
      <c r="BHG2584" s="100"/>
      <c r="BHH2584" s="100"/>
      <c r="BHI2584" s="100"/>
      <c r="BHJ2584" s="100"/>
      <c r="BHK2584" s="100"/>
      <c r="BHL2584" s="100"/>
      <c r="BHM2584" s="100"/>
      <c r="BHN2584" s="100"/>
      <c r="BHO2584" s="100"/>
      <c r="BHP2584" s="100"/>
      <c r="BHQ2584" s="100"/>
      <c r="BHR2584" s="100"/>
      <c r="BHS2584" s="100"/>
      <c r="BHT2584" s="100"/>
      <c r="BHU2584" s="100"/>
      <c r="BHV2584" s="100"/>
      <c r="BHW2584" s="100"/>
      <c r="BHX2584" s="100"/>
      <c r="BHY2584" s="100"/>
      <c r="BHZ2584" s="100"/>
      <c r="BIA2584" s="100"/>
      <c r="BIB2584" s="100"/>
      <c r="BIC2584" s="100"/>
      <c r="BID2584" s="100"/>
      <c r="BIE2584" s="100"/>
      <c r="BIF2584" s="100"/>
      <c r="BIG2584" s="100"/>
      <c r="BIH2584" s="100"/>
      <c r="BII2584" s="100"/>
      <c r="BIJ2584" s="100"/>
      <c r="BIK2584" s="100"/>
      <c r="BIL2584" s="100"/>
      <c r="BIM2584" s="100"/>
      <c r="BIN2584" s="100"/>
      <c r="BIO2584" s="100"/>
      <c r="BIP2584" s="100"/>
      <c r="BIQ2584" s="100"/>
      <c r="BIR2584" s="100"/>
      <c r="BIS2584" s="100"/>
      <c r="BIT2584" s="100"/>
      <c r="BIU2584" s="100"/>
      <c r="BIV2584" s="100"/>
      <c r="BIW2584" s="100"/>
      <c r="BIX2584" s="100"/>
      <c r="BIY2584" s="100"/>
      <c r="BIZ2584" s="100"/>
      <c r="BJA2584" s="100"/>
      <c r="BJB2584" s="100"/>
      <c r="BJC2584" s="100"/>
      <c r="BJD2584" s="100"/>
      <c r="BJE2584" s="100"/>
      <c r="BJF2584" s="100"/>
      <c r="BJG2584" s="100"/>
      <c r="BJH2584" s="100"/>
      <c r="BJI2584" s="100"/>
      <c r="BJJ2584" s="100"/>
      <c r="BJK2584" s="100"/>
      <c r="BJL2584" s="100"/>
      <c r="BJM2584" s="100"/>
      <c r="BJN2584" s="100"/>
      <c r="BJO2584" s="100"/>
      <c r="BJP2584" s="100"/>
      <c r="BJQ2584" s="100"/>
      <c r="BJR2584" s="100"/>
      <c r="BJS2584" s="100"/>
      <c r="BJT2584" s="100"/>
      <c r="BJU2584" s="100"/>
      <c r="BJV2584" s="100"/>
      <c r="BJW2584" s="100"/>
      <c r="BJX2584" s="100"/>
      <c r="BJY2584" s="100"/>
      <c r="BJZ2584" s="100"/>
      <c r="BKA2584" s="100"/>
      <c r="BKB2584" s="100"/>
      <c r="BKC2584" s="100"/>
      <c r="BKD2584" s="100"/>
      <c r="BKE2584" s="100"/>
      <c r="BKF2584" s="100"/>
      <c r="BKG2584" s="100"/>
      <c r="BKH2584" s="100"/>
      <c r="BKI2584" s="100"/>
      <c r="BKJ2584" s="100"/>
      <c r="BKK2584" s="100"/>
      <c r="BKL2584" s="100"/>
      <c r="BKM2584" s="100"/>
      <c r="BKN2584" s="100"/>
      <c r="BKO2584" s="100"/>
      <c r="BKP2584" s="100"/>
      <c r="BKQ2584" s="100"/>
      <c r="BKR2584" s="100"/>
      <c r="BKS2584" s="100"/>
      <c r="BKT2584" s="100"/>
      <c r="BKU2584" s="100"/>
      <c r="BKV2584" s="100"/>
      <c r="BKW2584" s="100"/>
      <c r="BKX2584" s="100"/>
      <c r="BKY2584" s="100"/>
      <c r="BKZ2584" s="100"/>
      <c r="BLA2584" s="100"/>
      <c r="BLB2584" s="100"/>
      <c r="BLC2584" s="100"/>
      <c r="BLD2584" s="100"/>
      <c r="BLE2584" s="100"/>
      <c r="BLF2584" s="100"/>
      <c r="BLG2584" s="100"/>
      <c r="BLH2584" s="100"/>
      <c r="BLI2584" s="100"/>
      <c r="BLJ2584" s="100"/>
      <c r="BLK2584" s="100"/>
      <c r="BLL2584" s="100"/>
      <c r="BLM2584" s="100"/>
      <c r="BLN2584" s="100"/>
      <c r="BLO2584" s="100"/>
      <c r="BLP2584" s="100"/>
      <c r="BLQ2584" s="100"/>
      <c r="BLR2584" s="100"/>
      <c r="BLS2584" s="100"/>
      <c r="BLT2584" s="100"/>
      <c r="BLU2584" s="100"/>
      <c r="BLV2584" s="100"/>
      <c r="BLW2584" s="100"/>
      <c r="BLX2584" s="100"/>
      <c r="BLY2584" s="100"/>
      <c r="BLZ2584" s="100"/>
      <c r="BMA2584" s="100"/>
      <c r="BMB2584" s="100"/>
      <c r="BMC2584" s="100"/>
      <c r="BMD2584" s="100"/>
      <c r="BME2584" s="100"/>
      <c r="BMF2584" s="100"/>
      <c r="BMG2584" s="100"/>
      <c r="BMH2584" s="100"/>
      <c r="BMI2584" s="100"/>
      <c r="BMJ2584" s="100"/>
      <c r="BMK2584" s="100"/>
      <c r="BML2584" s="100"/>
      <c r="BMM2584" s="100"/>
      <c r="BMN2584" s="100"/>
      <c r="BMO2584" s="100"/>
      <c r="BMP2584" s="100"/>
      <c r="BMQ2584" s="100"/>
      <c r="BMR2584" s="100"/>
      <c r="BMS2584" s="100"/>
      <c r="BMT2584" s="100"/>
      <c r="BMU2584" s="100"/>
      <c r="BMV2584" s="100"/>
      <c r="BMW2584" s="100"/>
      <c r="BMX2584" s="100"/>
      <c r="BMY2584" s="100"/>
      <c r="BMZ2584" s="100"/>
      <c r="BNA2584" s="100"/>
      <c r="BNB2584" s="100"/>
      <c r="BNC2584" s="100"/>
      <c r="BND2584" s="100"/>
      <c r="BNE2584" s="100"/>
      <c r="BNF2584" s="100"/>
      <c r="BNG2584" s="100"/>
      <c r="BNH2584" s="100"/>
      <c r="BNI2584" s="100"/>
      <c r="BNJ2584" s="100"/>
      <c r="BNK2584" s="100"/>
      <c r="BNL2584" s="100"/>
      <c r="BNM2584" s="100"/>
      <c r="BNN2584" s="100"/>
      <c r="BNO2584" s="100"/>
      <c r="BNP2584" s="100"/>
      <c r="BNQ2584" s="100"/>
      <c r="BNR2584" s="100"/>
      <c r="BNS2584" s="100"/>
      <c r="BNT2584" s="100"/>
      <c r="BNU2584" s="100"/>
      <c r="BNV2584" s="100"/>
      <c r="BNW2584" s="100"/>
      <c r="BNX2584" s="100"/>
      <c r="BNY2584" s="100"/>
      <c r="BNZ2584" s="100"/>
      <c r="BOA2584" s="100"/>
      <c r="BOB2584" s="100"/>
      <c r="BOC2584" s="100"/>
      <c r="BOD2584" s="100"/>
      <c r="BOE2584" s="100"/>
      <c r="BOF2584" s="100"/>
      <c r="BOG2584" s="100"/>
      <c r="BOH2584" s="100"/>
      <c r="BOI2584" s="100"/>
      <c r="BOJ2584" s="100"/>
      <c r="BOK2584" s="100"/>
      <c r="BOL2584" s="100"/>
      <c r="BOM2584" s="100"/>
      <c r="BON2584" s="100"/>
      <c r="BOO2584" s="100"/>
      <c r="BOP2584" s="100"/>
      <c r="BOQ2584" s="100"/>
      <c r="BOR2584" s="100"/>
      <c r="BOS2584" s="100"/>
      <c r="BOT2584" s="100"/>
      <c r="BOU2584" s="100"/>
      <c r="BOV2584" s="100"/>
      <c r="BOW2584" s="100"/>
      <c r="BOX2584" s="100"/>
      <c r="BOY2584" s="100"/>
      <c r="BOZ2584" s="100"/>
      <c r="BPA2584" s="100"/>
      <c r="BPB2584" s="100"/>
      <c r="BPC2584" s="100"/>
      <c r="BPD2584" s="100"/>
      <c r="BPE2584" s="100"/>
      <c r="BPF2584" s="100"/>
      <c r="BPG2584" s="100"/>
      <c r="BPH2584" s="100"/>
      <c r="BPI2584" s="100"/>
      <c r="BPJ2584" s="100"/>
      <c r="BPK2584" s="100"/>
      <c r="BPL2584" s="100"/>
      <c r="BPM2584" s="100"/>
      <c r="BPN2584" s="100"/>
      <c r="BPO2584" s="100"/>
      <c r="BPP2584" s="100"/>
      <c r="BPQ2584" s="100"/>
      <c r="BPR2584" s="100"/>
      <c r="BPS2584" s="100"/>
      <c r="BPT2584" s="100"/>
      <c r="BPU2584" s="100"/>
      <c r="BPV2584" s="100"/>
      <c r="BPW2584" s="100"/>
      <c r="BPX2584" s="100"/>
      <c r="BPY2584" s="100"/>
      <c r="BPZ2584" s="100"/>
      <c r="BQA2584" s="100"/>
      <c r="BQB2584" s="100"/>
      <c r="BQC2584" s="100"/>
      <c r="BQD2584" s="100"/>
      <c r="BQE2584" s="100"/>
      <c r="BQF2584" s="100"/>
      <c r="BQG2584" s="100"/>
      <c r="BQH2584" s="100"/>
      <c r="BQI2584" s="100"/>
      <c r="BQJ2584" s="100"/>
      <c r="BQK2584" s="100"/>
      <c r="BQL2584" s="100"/>
      <c r="BQM2584" s="100"/>
      <c r="BQN2584" s="100"/>
      <c r="BQO2584" s="100"/>
      <c r="BQP2584" s="100"/>
      <c r="BQQ2584" s="100"/>
      <c r="BQR2584" s="100"/>
      <c r="BQS2584" s="100"/>
      <c r="BQT2584" s="100"/>
      <c r="BQU2584" s="100"/>
      <c r="BQV2584" s="100"/>
      <c r="BQW2584" s="100"/>
      <c r="BQX2584" s="100"/>
      <c r="BQY2584" s="100"/>
      <c r="BQZ2584" s="100"/>
      <c r="BRA2584" s="100"/>
      <c r="BRB2584" s="100"/>
      <c r="BRC2584" s="100"/>
      <c r="BRD2584" s="100"/>
      <c r="BRE2584" s="100"/>
      <c r="BRF2584" s="100"/>
      <c r="BRG2584" s="100"/>
      <c r="BRH2584" s="100"/>
      <c r="BRI2584" s="100"/>
      <c r="BRJ2584" s="100"/>
      <c r="BRK2584" s="100"/>
      <c r="BRL2584" s="100"/>
      <c r="BRM2584" s="100"/>
      <c r="BRN2584" s="100"/>
      <c r="BRO2584" s="100"/>
      <c r="BRP2584" s="100"/>
      <c r="BRQ2584" s="100"/>
      <c r="BRR2584" s="100"/>
      <c r="BRS2584" s="100"/>
      <c r="BRT2584" s="100"/>
      <c r="BRU2584" s="100"/>
      <c r="BRV2584" s="100"/>
      <c r="BRW2584" s="100"/>
      <c r="BRX2584" s="100"/>
      <c r="BRY2584" s="100"/>
      <c r="BRZ2584" s="100"/>
      <c r="BSA2584" s="100"/>
      <c r="BSB2584" s="100"/>
      <c r="BSC2584" s="100"/>
      <c r="BSD2584" s="100"/>
      <c r="BSE2584" s="100"/>
      <c r="BSF2584" s="100"/>
      <c r="BSG2584" s="100"/>
      <c r="BSH2584" s="100"/>
      <c r="BSI2584" s="100"/>
      <c r="BSJ2584" s="100"/>
      <c r="BSK2584" s="100"/>
      <c r="BSL2584" s="100"/>
      <c r="BSM2584" s="100"/>
      <c r="BSN2584" s="100"/>
      <c r="BSO2584" s="100"/>
      <c r="BSP2584" s="100"/>
      <c r="BSQ2584" s="100"/>
      <c r="BSR2584" s="100"/>
      <c r="BSS2584" s="100"/>
      <c r="BST2584" s="100"/>
      <c r="BSU2584" s="100"/>
      <c r="BSV2584" s="100"/>
      <c r="BSW2584" s="100"/>
      <c r="BSX2584" s="100"/>
      <c r="BSY2584" s="100"/>
      <c r="BSZ2584" s="100"/>
      <c r="BTA2584" s="100"/>
      <c r="BTB2584" s="100"/>
      <c r="BTC2584" s="100"/>
      <c r="BTD2584" s="100"/>
      <c r="BTE2584" s="100"/>
      <c r="BTF2584" s="100"/>
      <c r="BTG2584" s="100"/>
      <c r="BTH2584" s="100"/>
      <c r="BTI2584" s="100"/>
      <c r="BTJ2584" s="100"/>
      <c r="BTK2584" s="100"/>
      <c r="BTL2584" s="100"/>
      <c r="BTM2584" s="100"/>
      <c r="BTN2584" s="100"/>
      <c r="BTO2584" s="100"/>
      <c r="BTP2584" s="100"/>
      <c r="BTQ2584" s="100"/>
      <c r="BTR2584" s="100"/>
      <c r="BTS2584" s="100"/>
      <c r="BTT2584" s="100"/>
      <c r="BTU2584" s="100"/>
      <c r="BTV2584" s="100"/>
      <c r="BTW2584" s="100"/>
      <c r="BTX2584" s="100"/>
      <c r="BTY2584" s="100"/>
      <c r="BTZ2584" s="100"/>
      <c r="BUA2584" s="100"/>
      <c r="BUB2584" s="100"/>
      <c r="BUC2584" s="100"/>
      <c r="BUD2584" s="100"/>
      <c r="BUE2584" s="100"/>
      <c r="BUF2584" s="100"/>
      <c r="BUG2584" s="100"/>
      <c r="BUH2584" s="100"/>
      <c r="BUI2584" s="100"/>
      <c r="BUJ2584" s="100"/>
      <c r="BUK2584" s="100"/>
      <c r="BUL2584" s="100"/>
      <c r="BUM2584" s="100"/>
      <c r="BUN2584" s="100"/>
      <c r="BUO2584" s="100"/>
      <c r="BUP2584" s="100"/>
      <c r="BUQ2584" s="100"/>
      <c r="BUR2584" s="100"/>
      <c r="BUS2584" s="100"/>
      <c r="BUT2584" s="100"/>
      <c r="BUU2584" s="100"/>
      <c r="BUV2584" s="100"/>
      <c r="BUW2584" s="100"/>
      <c r="BUX2584" s="100"/>
      <c r="BUY2584" s="100"/>
      <c r="BUZ2584" s="100"/>
      <c r="BVA2584" s="100"/>
      <c r="BVB2584" s="100"/>
      <c r="BVC2584" s="100"/>
      <c r="BVD2584" s="100"/>
      <c r="BVE2584" s="100"/>
      <c r="BVF2584" s="100"/>
      <c r="BVG2584" s="100"/>
      <c r="BVH2584" s="100"/>
      <c r="BVI2584" s="100"/>
      <c r="BVJ2584" s="100"/>
      <c r="BVK2584" s="100"/>
      <c r="BVL2584" s="100"/>
      <c r="BVM2584" s="100"/>
      <c r="BVN2584" s="100"/>
      <c r="BVO2584" s="100"/>
      <c r="BVP2584" s="100"/>
      <c r="BVQ2584" s="100"/>
      <c r="BVR2584" s="100"/>
      <c r="BVS2584" s="100"/>
      <c r="BVT2584" s="100"/>
      <c r="BVU2584" s="100"/>
      <c r="BVV2584" s="100"/>
      <c r="BVW2584" s="100"/>
      <c r="BVX2584" s="100"/>
      <c r="BVY2584" s="100"/>
      <c r="BVZ2584" s="100"/>
      <c r="BWA2584" s="100"/>
      <c r="BWB2584" s="100"/>
      <c r="BWC2584" s="100"/>
      <c r="BWD2584" s="100"/>
      <c r="BWE2584" s="100"/>
      <c r="BWF2584" s="100"/>
      <c r="BWG2584" s="100"/>
      <c r="BWH2584" s="100"/>
      <c r="BWI2584" s="100"/>
      <c r="BWJ2584" s="100"/>
      <c r="BWK2584" s="100"/>
      <c r="BWL2584" s="100"/>
      <c r="BWM2584" s="100"/>
      <c r="BWN2584" s="100"/>
      <c r="BWO2584" s="100"/>
      <c r="BWP2584" s="100"/>
      <c r="BWQ2584" s="100"/>
      <c r="BWR2584" s="100"/>
      <c r="BWS2584" s="100"/>
      <c r="BWT2584" s="100"/>
      <c r="BWU2584" s="100"/>
      <c r="BWV2584" s="100"/>
      <c r="BWW2584" s="100"/>
      <c r="BWX2584" s="100"/>
      <c r="BWY2584" s="100"/>
      <c r="BWZ2584" s="100"/>
      <c r="BXA2584" s="100"/>
      <c r="BXB2584" s="100"/>
      <c r="BXC2584" s="100"/>
      <c r="BXD2584" s="100"/>
      <c r="BXE2584" s="100"/>
      <c r="BXF2584" s="100"/>
      <c r="BXG2584" s="100"/>
      <c r="BXH2584" s="100"/>
      <c r="BXI2584" s="100"/>
      <c r="BXJ2584" s="100"/>
      <c r="BXK2584" s="100"/>
      <c r="BXL2584" s="100"/>
      <c r="BXM2584" s="100"/>
      <c r="BXN2584" s="100"/>
      <c r="BXO2584" s="100"/>
      <c r="BXP2584" s="100"/>
      <c r="BXQ2584" s="100"/>
      <c r="BXR2584" s="100"/>
      <c r="BXS2584" s="100"/>
      <c r="BXT2584" s="100"/>
      <c r="BXU2584" s="100"/>
      <c r="BXV2584" s="100"/>
      <c r="BXW2584" s="100"/>
      <c r="BXX2584" s="100"/>
      <c r="BXY2584" s="100"/>
      <c r="BXZ2584" s="100"/>
      <c r="BYA2584" s="100"/>
      <c r="BYB2584" s="100"/>
      <c r="BYC2584" s="100"/>
      <c r="BYD2584" s="100"/>
      <c r="BYE2584" s="100"/>
      <c r="BYF2584" s="100"/>
      <c r="BYG2584" s="100"/>
      <c r="BYH2584" s="100"/>
      <c r="BYI2584" s="100"/>
      <c r="BYJ2584" s="100"/>
      <c r="BYK2584" s="100"/>
      <c r="BYL2584" s="100"/>
      <c r="BYM2584" s="100"/>
      <c r="BYN2584" s="100"/>
      <c r="BYO2584" s="100"/>
      <c r="BYP2584" s="100"/>
      <c r="BYQ2584" s="100"/>
      <c r="BYR2584" s="100"/>
      <c r="BYS2584" s="100"/>
      <c r="BYT2584" s="100"/>
      <c r="BYU2584" s="100"/>
      <c r="BYV2584" s="100"/>
      <c r="BYW2584" s="100"/>
      <c r="BYX2584" s="100"/>
      <c r="BYY2584" s="100"/>
      <c r="BYZ2584" s="100"/>
      <c r="BZA2584" s="100"/>
      <c r="BZB2584" s="100"/>
      <c r="BZC2584" s="100"/>
      <c r="BZD2584" s="100"/>
      <c r="BZE2584" s="100"/>
      <c r="BZF2584" s="100"/>
      <c r="BZG2584" s="100"/>
      <c r="BZH2584" s="100"/>
      <c r="BZI2584" s="100"/>
      <c r="BZJ2584" s="100"/>
      <c r="BZK2584" s="100"/>
      <c r="BZL2584" s="100"/>
      <c r="BZM2584" s="100"/>
      <c r="BZN2584" s="100"/>
      <c r="BZO2584" s="100"/>
      <c r="BZP2584" s="100"/>
      <c r="BZQ2584" s="100"/>
      <c r="BZR2584" s="100"/>
      <c r="BZS2584" s="100"/>
      <c r="BZT2584" s="100"/>
      <c r="BZU2584" s="100"/>
      <c r="BZV2584" s="100"/>
      <c r="BZW2584" s="100"/>
      <c r="BZX2584" s="100"/>
      <c r="BZY2584" s="100"/>
      <c r="BZZ2584" s="100"/>
      <c r="CAA2584" s="100"/>
      <c r="CAB2584" s="100"/>
      <c r="CAC2584" s="100"/>
      <c r="CAD2584" s="100"/>
      <c r="CAE2584" s="100"/>
      <c r="CAF2584" s="100"/>
      <c r="CAG2584" s="100"/>
      <c r="CAH2584" s="100"/>
      <c r="CAI2584" s="100"/>
      <c r="CAJ2584" s="100"/>
      <c r="CAK2584" s="100"/>
      <c r="CAL2584" s="100"/>
      <c r="CAM2584" s="100"/>
      <c r="CAN2584" s="100"/>
      <c r="CAO2584" s="100"/>
      <c r="CAP2584" s="100"/>
      <c r="CAQ2584" s="100"/>
      <c r="CAR2584" s="100"/>
      <c r="CAS2584" s="100"/>
      <c r="CAT2584" s="100"/>
      <c r="CAU2584" s="100"/>
      <c r="CAV2584" s="100"/>
      <c r="CAW2584" s="100"/>
      <c r="CAX2584" s="100"/>
      <c r="CAY2584" s="100"/>
      <c r="CAZ2584" s="100"/>
      <c r="CBA2584" s="100"/>
      <c r="CBB2584" s="100"/>
      <c r="CBC2584" s="100"/>
      <c r="CBD2584" s="100"/>
      <c r="CBE2584" s="100"/>
      <c r="CBF2584" s="100"/>
      <c r="CBG2584" s="100"/>
      <c r="CBH2584" s="100"/>
      <c r="CBI2584" s="100"/>
      <c r="CBJ2584" s="100"/>
      <c r="CBK2584" s="100"/>
      <c r="CBL2584" s="100"/>
      <c r="CBM2584" s="100"/>
      <c r="CBN2584" s="100"/>
      <c r="CBO2584" s="100"/>
      <c r="CBP2584" s="100"/>
      <c r="CBQ2584" s="100"/>
      <c r="CBR2584" s="100"/>
      <c r="CBS2584" s="100"/>
      <c r="CBT2584" s="100"/>
      <c r="CBU2584" s="100"/>
      <c r="CBV2584" s="100"/>
      <c r="CBW2584" s="100"/>
      <c r="CBX2584" s="100"/>
      <c r="CBY2584" s="100"/>
      <c r="CBZ2584" s="100"/>
      <c r="CCA2584" s="100"/>
      <c r="CCB2584" s="100"/>
      <c r="CCC2584" s="100"/>
      <c r="CCD2584" s="100"/>
      <c r="CCE2584" s="100"/>
      <c r="CCF2584" s="100"/>
      <c r="CCG2584" s="100"/>
      <c r="CCH2584" s="100"/>
      <c r="CCI2584" s="100"/>
      <c r="CCJ2584" s="100"/>
      <c r="CCK2584" s="100"/>
      <c r="CCL2584" s="100"/>
      <c r="CCM2584" s="100"/>
      <c r="CCN2584" s="100"/>
      <c r="CCO2584" s="100"/>
      <c r="CCP2584" s="100"/>
      <c r="CCQ2584" s="100"/>
      <c r="CCR2584" s="100"/>
      <c r="CCS2584" s="100"/>
      <c r="CCT2584" s="100"/>
      <c r="CCU2584" s="100"/>
      <c r="CCV2584" s="100"/>
      <c r="CCW2584" s="100"/>
      <c r="CCX2584" s="100"/>
      <c r="CCY2584" s="100"/>
      <c r="CCZ2584" s="100"/>
      <c r="CDA2584" s="100"/>
      <c r="CDB2584" s="100"/>
      <c r="CDC2584" s="100"/>
      <c r="CDD2584" s="100"/>
      <c r="CDE2584" s="100"/>
      <c r="CDF2584" s="100"/>
      <c r="CDG2584" s="100"/>
      <c r="CDH2584" s="100"/>
      <c r="CDI2584" s="100"/>
      <c r="CDJ2584" s="100"/>
      <c r="CDK2584" s="100"/>
      <c r="CDL2584" s="100"/>
      <c r="CDM2584" s="100"/>
      <c r="CDN2584" s="100"/>
      <c r="CDO2584" s="100"/>
      <c r="CDP2584" s="100"/>
      <c r="CDQ2584" s="100"/>
      <c r="CDR2584" s="100"/>
      <c r="CDS2584" s="100"/>
      <c r="CDT2584" s="100"/>
      <c r="CDU2584" s="100"/>
      <c r="CDV2584" s="100"/>
      <c r="CDW2584" s="100"/>
      <c r="CDX2584" s="100"/>
      <c r="CDY2584" s="100"/>
      <c r="CDZ2584" s="100"/>
      <c r="CEA2584" s="100"/>
      <c r="CEB2584" s="100"/>
      <c r="CEC2584" s="100"/>
      <c r="CED2584" s="100"/>
      <c r="CEE2584" s="100"/>
      <c r="CEF2584" s="100"/>
      <c r="CEG2584" s="100"/>
      <c r="CEH2584" s="100"/>
      <c r="CEI2584" s="100"/>
      <c r="CEJ2584" s="100"/>
      <c r="CEK2584" s="100"/>
      <c r="CEL2584" s="100"/>
      <c r="CEM2584" s="100"/>
      <c r="CEN2584" s="100"/>
      <c r="CEO2584" s="100"/>
      <c r="CEP2584" s="100"/>
      <c r="CEQ2584" s="100"/>
      <c r="CER2584" s="100"/>
      <c r="CES2584" s="100"/>
      <c r="CET2584" s="100"/>
      <c r="CEU2584" s="100"/>
      <c r="CEV2584" s="100"/>
      <c r="CEW2584" s="100"/>
      <c r="CEX2584" s="100"/>
      <c r="CEY2584" s="100"/>
      <c r="CEZ2584" s="100"/>
      <c r="CFA2584" s="100"/>
      <c r="CFB2584" s="100"/>
      <c r="CFC2584" s="100"/>
      <c r="CFD2584" s="100"/>
      <c r="CFE2584" s="100"/>
      <c r="CFF2584" s="100"/>
      <c r="CFG2584" s="100"/>
      <c r="CFH2584" s="100"/>
      <c r="CFI2584" s="100"/>
      <c r="CFJ2584" s="100"/>
      <c r="CFK2584" s="100"/>
      <c r="CFL2584" s="100"/>
      <c r="CFM2584" s="100"/>
      <c r="CFN2584" s="100"/>
      <c r="CFO2584" s="100"/>
      <c r="CFP2584" s="100"/>
      <c r="CFQ2584" s="100"/>
      <c r="CFR2584" s="100"/>
      <c r="CFS2584" s="100"/>
      <c r="CFT2584" s="100"/>
      <c r="CFU2584" s="100"/>
      <c r="CFV2584" s="100"/>
      <c r="CFW2584" s="100"/>
      <c r="CFX2584" s="100"/>
      <c r="CFY2584" s="100"/>
      <c r="CFZ2584" s="100"/>
      <c r="CGA2584" s="100"/>
      <c r="CGB2584" s="100"/>
      <c r="CGC2584" s="100"/>
      <c r="CGD2584" s="100"/>
      <c r="CGE2584" s="100"/>
      <c r="CGF2584" s="100"/>
      <c r="CGG2584" s="100"/>
      <c r="CGH2584" s="100"/>
      <c r="CGI2584" s="100"/>
      <c r="CGJ2584" s="100"/>
      <c r="CGK2584" s="100"/>
      <c r="CGL2584" s="100"/>
      <c r="CGM2584" s="100"/>
      <c r="CGN2584" s="100"/>
      <c r="CGO2584" s="100"/>
      <c r="CGP2584" s="100"/>
      <c r="CGQ2584" s="100"/>
      <c r="CGR2584" s="100"/>
      <c r="CGS2584" s="100"/>
      <c r="CGT2584" s="100"/>
      <c r="CGU2584" s="100"/>
      <c r="CGV2584" s="100"/>
      <c r="CGW2584" s="100"/>
      <c r="CGX2584" s="100"/>
      <c r="CGY2584" s="100"/>
      <c r="CGZ2584" s="100"/>
      <c r="CHA2584" s="100"/>
      <c r="CHB2584" s="100"/>
      <c r="CHC2584" s="100"/>
      <c r="CHD2584" s="100"/>
      <c r="CHE2584" s="100"/>
      <c r="CHF2584" s="100"/>
      <c r="CHG2584" s="100"/>
      <c r="CHH2584" s="100"/>
      <c r="CHI2584" s="100"/>
      <c r="CHJ2584" s="100"/>
      <c r="CHK2584" s="100"/>
      <c r="CHL2584" s="100"/>
      <c r="CHM2584" s="100"/>
      <c r="CHN2584" s="100"/>
      <c r="CHO2584" s="100"/>
      <c r="CHP2584" s="100"/>
      <c r="CHQ2584" s="100"/>
      <c r="CHR2584" s="100"/>
      <c r="CHS2584" s="100"/>
      <c r="CHT2584" s="100"/>
      <c r="CHU2584" s="100"/>
      <c r="CHV2584" s="100"/>
      <c r="CHW2584" s="100"/>
      <c r="CHX2584" s="100"/>
      <c r="CHY2584" s="100"/>
      <c r="CHZ2584" s="100"/>
      <c r="CIA2584" s="100"/>
      <c r="CIB2584" s="100"/>
      <c r="CIC2584" s="100"/>
      <c r="CID2584" s="100"/>
      <c r="CIE2584" s="100"/>
      <c r="CIF2584" s="100"/>
      <c r="CIG2584" s="100"/>
      <c r="CIH2584" s="100"/>
      <c r="CII2584" s="100"/>
      <c r="CIJ2584" s="100"/>
      <c r="CIK2584" s="100"/>
      <c r="CIL2584" s="100"/>
      <c r="CIM2584" s="100"/>
      <c r="CIN2584" s="100"/>
      <c r="CIO2584" s="100"/>
      <c r="CIP2584" s="100"/>
      <c r="CIQ2584" s="100"/>
      <c r="CIR2584" s="100"/>
      <c r="CIS2584" s="100"/>
      <c r="CIT2584" s="100"/>
      <c r="CIU2584" s="100"/>
      <c r="CIV2584" s="100"/>
      <c r="CIW2584" s="100"/>
      <c r="CIX2584" s="100"/>
      <c r="CIY2584" s="100"/>
      <c r="CIZ2584" s="100"/>
      <c r="CJA2584" s="100"/>
      <c r="CJB2584" s="100"/>
      <c r="CJC2584" s="100"/>
      <c r="CJD2584" s="100"/>
      <c r="CJE2584" s="100"/>
      <c r="CJF2584" s="100"/>
      <c r="CJG2584" s="100"/>
      <c r="CJH2584" s="100"/>
      <c r="CJI2584" s="100"/>
      <c r="CJJ2584" s="100"/>
      <c r="CJK2584" s="100"/>
      <c r="CJL2584" s="100"/>
      <c r="CJM2584" s="100"/>
      <c r="CJN2584" s="100"/>
      <c r="CJO2584" s="100"/>
      <c r="CJP2584" s="100"/>
      <c r="CJQ2584" s="100"/>
      <c r="CJR2584" s="100"/>
      <c r="CJS2584" s="100"/>
      <c r="CJT2584" s="100"/>
      <c r="CJU2584" s="100"/>
      <c r="CJV2584" s="100"/>
      <c r="CJW2584" s="100"/>
      <c r="CJX2584" s="100"/>
      <c r="CJY2584" s="100"/>
      <c r="CJZ2584" s="100"/>
      <c r="CKA2584" s="100"/>
      <c r="CKB2584" s="100"/>
      <c r="CKC2584" s="100"/>
      <c r="CKD2584" s="100"/>
      <c r="CKE2584" s="100"/>
      <c r="CKF2584" s="100"/>
      <c r="CKG2584" s="100"/>
      <c r="CKH2584" s="100"/>
      <c r="CKI2584" s="100"/>
      <c r="CKJ2584" s="100"/>
      <c r="CKK2584" s="100"/>
      <c r="CKL2584" s="100"/>
      <c r="CKM2584" s="100"/>
      <c r="CKN2584" s="100"/>
      <c r="CKO2584" s="100"/>
      <c r="CKP2584" s="100"/>
      <c r="CKQ2584" s="100"/>
      <c r="CKR2584" s="100"/>
      <c r="CKS2584" s="100"/>
      <c r="CKT2584" s="100"/>
      <c r="CKU2584" s="100"/>
      <c r="CKV2584" s="100"/>
      <c r="CKW2584" s="100"/>
      <c r="CKX2584" s="100"/>
      <c r="CKY2584" s="100"/>
      <c r="CKZ2584" s="100"/>
      <c r="CLA2584" s="100"/>
      <c r="CLB2584" s="100"/>
      <c r="CLC2584" s="100"/>
      <c r="CLD2584" s="100"/>
      <c r="CLE2584" s="100"/>
      <c r="CLF2584" s="100"/>
      <c r="CLG2584" s="100"/>
      <c r="CLH2584" s="100"/>
      <c r="CLI2584" s="100"/>
      <c r="CLJ2584" s="100"/>
      <c r="CLK2584" s="100"/>
      <c r="CLL2584" s="100"/>
      <c r="CLM2584" s="100"/>
      <c r="CLN2584" s="100"/>
      <c r="CLO2584" s="100"/>
      <c r="CLP2584" s="100"/>
      <c r="CLQ2584" s="100"/>
      <c r="CLR2584" s="100"/>
      <c r="CLS2584" s="100"/>
      <c r="CLT2584" s="100"/>
      <c r="CLU2584" s="100"/>
      <c r="CLV2584" s="100"/>
      <c r="CLW2584" s="100"/>
      <c r="CLX2584" s="100"/>
      <c r="CLY2584" s="100"/>
      <c r="CLZ2584" s="100"/>
      <c r="CMA2584" s="100"/>
      <c r="CMB2584" s="100"/>
      <c r="CMC2584" s="100"/>
      <c r="CMD2584" s="100"/>
      <c r="CME2584" s="100"/>
      <c r="CMF2584" s="100"/>
      <c r="CMG2584" s="100"/>
      <c r="CMH2584" s="100"/>
      <c r="CMI2584" s="100"/>
      <c r="CMJ2584" s="100"/>
      <c r="CMK2584" s="100"/>
      <c r="CML2584" s="100"/>
      <c r="CMM2584" s="100"/>
      <c r="CMN2584" s="100"/>
      <c r="CMO2584" s="100"/>
      <c r="CMP2584" s="100"/>
      <c r="CMQ2584" s="100"/>
      <c r="CMR2584" s="100"/>
      <c r="CMS2584" s="100"/>
      <c r="CMT2584" s="100"/>
      <c r="CMU2584" s="100"/>
      <c r="CMV2584" s="100"/>
      <c r="CMW2584" s="100"/>
      <c r="CMX2584" s="100"/>
      <c r="CMY2584" s="100"/>
      <c r="CMZ2584" s="100"/>
      <c r="CNA2584" s="100"/>
      <c r="CNB2584" s="100"/>
      <c r="CNC2584" s="100"/>
      <c r="CND2584" s="100"/>
      <c r="CNE2584" s="100"/>
      <c r="CNF2584" s="100"/>
      <c r="CNG2584" s="100"/>
      <c r="CNH2584" s="100"/>
      <c r="CNI2584" s="100"/>
      <c r="CNJ2584" s="100"/>
      <c r="CNK2584" s="100"/>
      <c r="CNL2584" s="100"/>
      <c r="CNM2584" s="100"/>
      <c r="CNN2584" s="100"/>
      <c r="CNO2584" s="100"/>
      <c r="CNP2584" s="100"/>
      <c r="CNQ2584" s="100"/>
      <c r="CNR2584" s="100"/>
      <c r="CNS2584" s="100"/>
      <c r="CNT2584" s="100"/>
      <c r="CNU2584" s="100"/>
      <c r="CNV2584" s="100"/>
      <c r="CNW2584" s="100"/>
      <c r="CNX2584" s="100"/>
      <c r="CNY2584" s="100"/>
      <c r="CNZ2584" s="100"/>
      <c r="COA2584" s="100"/>
      <c r="COB2584" s="100"/>
      <c r="COC2584" s="100"/>
      <c r="COD2584" s="100"/>
      <c r="COE2584" s="100"/>
      <c r="COF2584" s="100"/>
      <c r="COG2584" s="100"/>
      <c r="COH2584" s="100"/>
      <c r="COI2584" s="100"/>
      <c r="COJ2584" s="100"/>
      <c r="COK2584" s="100"/>
      <c r="COL2584" s="100"/>
      <c r="COM2584" s="100"/>
      <c r="CON2584" s="100"/>
      <c r="COO2584" s="100"/>
      <c r="COP2584" s="100"/>
      <c r="COQ2584" s="100"/>
      <c r="COR2584" s="100"/>
      <c r="COS2584" s="100"/>
      <c r="COT2584" s="100"/>
      <c r="COU2584" s="100"/>
      <c r="COV2584" s="100"/>
      <c r="COW2584" s="100"/>
      <c r="COX2584" s="100"/>
      <c r="COY2584" s="100"/>
      <c r="COZ2584" s="100"/>
      <c r="CPA2584" s="100"/>
      <c r="CPB2584" s="100"/>
      <c r="CPC2584" s="100"/>
      <c r="CPD2584" s="100"/>
      <c r="CPE2584" s="100"/>
      <c r="CPF2584" s="100"/>
      <c r="CPG2584" s="100"/>
      <c r="CPH2584" s="100"/>
      <c r="CPI2584" s="100"/>
      <c r="CPJ2584" s="100"/>
      <c r="CPK2584" s="100"/>
      <c r="CPL2584" s="100"/>
      <c r="CPM2584" s="100"/>
      <c r="CPN2584" s="100"/>
      <c r="CPO2584" s="100"/>
      <c r="CPP2584" s="100"/>
      <c r="CPQ2584" s="100"/>
      <c r="CPR2584" s="100"/>
      <c r="CPS2584" s="100"/>
      <c r="CPT2584" s="100"/>
      <c r="CPU2584" s="100"/>
      <c r="CPV2584" s="100"/>
      <c r="CPW2584" s="100"/>
      <c r="CPX2584" s="100"/>
      <c r="CPY2584" s="100"/>
      <c r="CPZ2584" s="100"/>
      <c r="CQA2584" s="100"/>
      <c r="CQB2584" s="100"/>
      <c r="CQC2584" s="100"/>
      <c r="CQD2584" s="100"/>
      <c r="CQE2584" s="100"/>
      <c r="CQF2584" s="100"/>
      <c r="CQG2584" s="100"/>
      <c r="CQH2584" s="100"/>
      <c r="CQI2584" s="100"/>
      <c r="CQJ2584" s="100"/>
      <c r="CQK2584" s="100"/>
      <c r="CQL2584" s="100"/>
      <c r="CQM2584" s="100"/>
      <c r="CQN2584" s="100"/>
      <c r="CQO2584" s="100"/>
      <c r="CQP2584" s="100"/>
      <c r="CQQ2584" s="100"/>
      <c r="CQR2584" s="100"/>
      <c r="CQS2584" s="100"/>
      <c r="CQT2584" s="100"/>
      <c r="CQU2584" s="100"/>
      <c r="CQV2584" s="100"/>
      <c r="CQW2584" s="100"/>
      <c r="CQX2584" s="100"/>
      <c r="CQY2584" s="100"/>
      <c r="CQZ2584" s="100"/>
      <c r="CRA2584" s="100"/>
      <c r="CRB2584" s="100"/>
      <c r="CRC2584" s="100"/>
      <c r="CRD2584" s="100"/>
      <c r="CRE2584" s="100"/>
      <c r="CRF2584" s="100"/>
      <c r="CRG2584" s="100"/>
      <c r="CRH2584" s="100"/>
      <c r="CRI2584" s="100"/>
      <c r="CRJ2584" s="100"/>
      <c r="CRK2584" s="100"/>
      <c r="CRL2584" s="100"/>
      <c r="CRM2584" s="100"/>
      <c r="CRN2584" s="100"/>
      <c r="CRO2584" s="100"/>
      <c r="CRP2584" s="100"/>
      <c r="CRQ2584" s="100"/>
      <c r="CRR2584" s="100"/>
      <c r="CRS2584" s="100"/>
      <c r="CRT2584" s="100"/>
      <c r="CRU2584" s="100"/>
      <c r="CRV2584" s="100"/>
      <c r="CRW2584" s="100"/>
      <c r="CRX2584" s="100"/>
      <c r="CRY2584" s="100"/>
      <c r="CRZ2584" s="100"/>
      <c r="CSA2584" s="100"/>
      <c r="CSB2584" s="100"/>
      <c r="CSC2584" s="100"/>
      <c r="CSD2584" s="100"/>
      <c r="CSE2584" s="100"/>
      <c r="CSF2584" s="100"/>
      <c r="CSG2584" s="100"/>
      <c r="CSH2584" s="100"/>
      <c r="CSI2584" s="100"/>
      <c r="CSJ2584" s="100"/>
      <c r="CSK2584" s="100"/>
      <c r="CSL2584" s="100"/>
      <c r="CSM2584" s="100"/>
      <c r="CSN2584" s="100"/>
      <c r="CSO2584" s="100"/>
      <c r="CSP2584" s="100"/>
      <c r="CSQ2584" s="100"/>
      <c r="CSR2584" s="100"/>
      <c r="CSS2584" s="100"/>
      <c r="CST2584" s="100"/>
      <c r="CSU2584" s="100"/>
      <c r="CSV2584" s="100"/>
      <c r="CSW2584" s="100"/>
      <c r="CSX2584" s="100"/>
      <c r="CSY2584" s="100"/>
      <c r="CSZ2584" s="100"/>
      <c r="CTA2584" s="100"/>
      <c r="CTB2584" s="100"/>
      <c r="CTC2584" s="100"/>
      <c r="CTD2584" s="100"/>
      <c r="CTE2584" s="100"/>
      <c r="CTF2584" s="100"/>
      <c r="CTG2584" s="100"/>
      <c r="CTH2584" s="100"/>
      <c r="CTI2584" s="100"/>
      <c r="CTJ2584" s="100"/>
      <c r="CTK2584" s="100"/>
      <c r="CTL2584" s="100"/>
      <c r="CTM2584" s="100"/>
      <c r="CTN2584" s="100"/>
      <c r="CTO2584" s="100"/>
      <c r="CTP2584" s="100"/>
      <c r="CTQ2584" s="100"/>
      <c r="CTR2584" s="100"/>
      <c r="CTS2584" s="100"/>
      <c r="CTT2584" s="100"/>
      <c r="CTU2584" s="100"/>
      <c r="CTV2584" s="100"/>
      <c r="CTW2584" s="100"/>
      <c r="CTX2584" s="100"/>
      <c r="CTY2584" s="100"/>
      <c r="CTZ2584" s="100"/>
      <c r="CUA2584" s="100"/>
      <c r="CUB2584" s="100"/>
      <c r="CUC2584" s="100"/>
      <c r="CUD2584" s="100"/>
      <c r="CUE2584" s="100"/>
      <c r="CUF2584" s="100"/>
      <c r="CUG2584" s="100"/>
      <c r="CUH2584" s="100"/>
      <c r="CUI2584" s="100"/>
      <c r="CUJ2584" s="100"/>
      <c r="CUK2584" s="100"/>
      <c r="CUL2584" s="100"/>
      <c r="CUM2584" s="100"/>
      <c r="CUN2584" s="100"/>
      <c r="CUO2584" s="100"/>
      <c r="CUP2584" s="100"/>
      <c r="CUQ2584" s="100"/>
      <c r="CUR2584" s="100"/>
      <c r="CUS2584" s="100"/>
      <c r="CUT2584" s="100"/>
      <c r="CUU2584" s="100"/>
      <c r="CUV2584" s="100"/>
      <c r="CUW2584" s="100"/>
      <c r="CUX2584" s="100"/>
      <c r="CUY2584" s="100"/>
      <c r="CUZ2584" s="100"/>
      <c r="CVA2584" s="100"/>
      <c r="CVB2584" s="100"/>
      <c r="CVC2584" s="100"/>
      <c r="CVD2584" s="100"/>
      <c r="CVE2584" s="100"/>
      <c r="CVF2584" s="100"/>
      <c r="CVG2584" s="100"/>
      <c r="CVH2584" s="100"/>
      <c r="CVI2584" s="100"/>
      <c r="CVJ2584" s="100"/>
      <c r="CVK2584" s="100"/>
      <c r="CVL2584" s="100"/>
      <c r="CVM2584" s="100"/>
      <c r="CVN2584" s="100"/>
      <c r="CVO2584" s="100"/>
      <c r="CVP2584" s="100"/>
      <c r="CVQ2584" s="100"/>
      <c r="CVR2584" s="100"/>
      <c r="CVS2584" s="100"/>
      <c r="CVT2584" s="100"/>
      <c r="CVU2584" s="100"/>
      <c r="CVV2584" s="100"/>
      <c r="CVW2584" s="100"/>
      <c r="CVX2584" s="100"/>
      <c r="CVY2584" s="100"/>
      <c r="CVZ2584" s="100"/>
      <c r="CWA2584" s="100"/>
      <c r="CWB2584" s="100"/>
      <c r="CWC2584" s="100"/>
      <c r="CWD2584" s="100"/>
      <c r="CWE2584" s="100"/>
      <c r="CWF2584" s="100"/>
      <c r="CWG2584" s="100"/>
      <c r="CWH2584" s="100"/>
      <c r="CWI2584" s="100"/>
      <c r="CWJ2584" s="100"/>
      <c r="CWK2584" s="100"/>
      <c r="CWL2584" s="100"/>
      <c r="CWM2584" s="100"/>
      <c r="CWN2584" s="100"/>
      <c r="CWO2584" s="100"/>
      <c r="CWP2584" s="100"/>
      <c r="CWQ2584" s="100"/>
      <c r="CWR2584" s="100"/>
      <c r="CWS2584" s="100"/>
      <c r="CWT2584" s="100"/>
      <c r="CWU2584" s="100"/>
      <c r="CWV2584" s="100"/>
      <c r="CWW2584" s="100"/>
      <c r="CWX2584" s="100"/>
      <c r="CWY2584" s="100"/>
      <c r="CWZ2584" s="100"/>
      <c r="CXA2584" s="100"/>
      <c r="CXB2584" s="100"/>
      <c r="CXC2584" s="100"/>
      <c r="CXD2584" s="100"/>
      <c r="CXE2584" s="100"/>
      <c r="CXF2584" s="100"/>
      <c r="CXG2584" s="100"/>
      <c r="CXH2584" s="100"/>
      <c r="CXI2584" s="100"/>
      <c r="CXJ2584" s="100"/>
      <c r="CXK2584" s="100"/>
      <c r="CXL2584" s="100"/>
      <c r="CXM2584" s="100"/>
      <c r="CXN2584" s="100"/>
      <c r="CXO2584" s="100"/>
      <c r="CXP2584" s="100"/>
      <c r="CXQ2584" s="100"/>
      <c r="CXR2584" s="100"/>
      <c r="CXS2584" s="100"/>
      <c r="CXT2584" s="100"/>
      <c r="CXU2584" s="100"/>
      <c r="CXV2584" s="100"/>
      <c r="CXW2584" s="100"/>
      <c r="CXX2584" s="100"/>
      <c r="CXY2584" s="100"/>
      <c r="CXZ2584" s="100"/>
      <c r="CYA2584" s="100"/>
      <c r="CYB2584" s="100"/>
      <c r="CYC2584" s="100"/>
      <c r="CYD2584" s="100"/>
      <c r="CYE2584" s="100"/>
      <c r="CYF2584" s="100"/>
      <c r="CYG2584" s="100"/>
      <c r="CYH2584" s="100"/>
      <c r="CYI2584" s="100"/>
      <c r="CYJ2584" s="100"/>
      <c r="CYK2584" s="100"/>
      <c r="CYL2584" s="100"/>
      <c r="CYM2584" s="100"/>
      <c r="CYN2584" s="100"/>
      <c r="CYO2584" s="100"/>
      <c r="CYP2584" s="100"/>
      <c r="CYQ2584" s="100"/>
      <c r="CYR2584" s="100"/>
      <c r="CYS2584" s="100"/>
      <c r="CYT2584" s="100"/>
      <c r="CYU2584" s="100"/>
      <c r="CYV2584" s="100"/>
      <c r="CYW2584" s="100"/>
      <c r="CYX2584" s="100"/>
      <c r="CYY2584" s="100"/>
      <c r="CYZ2584" s="100"/>
      <c r="CZA2584" s="100"/>
      <c r="CZB2584" s="100"/>
      <c r="CZC2584" s="100"/>
      <c r="CZD2584" s="100"/>
      <c r="CZE2584" s="100"/>
      <c r="CZF2584" s="100"/>
      <c r="CZG2584" s="100"/>
      <c r="CZH2584" s="100"/>
      <c r="CZI2584" s="100"/>
      <c r="CZJ2584" s="100"/>
      <c r="CZK2584" s="100"/>
      <c r="CZL2584" s="100"/>
      <c r="CZM2584" s="100"/>
      <c r="CZN2584" s="100"/>
      <c r="CZO2584" s="100"/>
      <c r="CZP2584" s="100"/>
      <c r="CZQ2584" s="100"/>
      <c r="CZR2584" s="100"/>
      <c r="CZS2584" s="100"/>
      <c r="CZT2584" s="100"/>
      <c r="CZU2584" s="100"/>
      <c r="CZV2584" s="100"/>
      <c r="CZW2584" s="100"/>
      <c r="CZX2584" s="100"/>
      <c r="CZY2584" s="100"/>
      <c r="CZZ2584" s="100"/>
      <c r="DAA2584" s="100"/>
      <c r="DAB2584" s="100"/>
      <c r="DAC2584" s="100"/>
      <c r="DAD2584" s="100"/>
      <c r="DAE2584" s="100"/>
      <c r="DAF2584" s="100"/>
      <c r="DAG2584" s="100"/>
      <c r="DAH2584" s="100"/>
      <c r="DAI2584" s="100"/>
      <c r="DAJ2584" s="100"/>
      <c r="DAK2584" s="100"/>
      <c r="DAL2584" s="100"/>
      <c r="DAM2584" s="100"/>
      <c r="DAN2584" s="100"/>
      <c r="DAO2584" s="100"/>
      <c r="DAP2584" s="100"/>
      <c r="DAQ2584" s="100"/>
      <c r="DAR2584" s="100"/>
      <c r="DAS2584" s="100"/>
      <c r="DAT2584" s="100"/>
      <c r="DAU2584" s="100"/>
      <c r="DAV2584" s="100"/>
      <c r="DAW2584" s="100"/>
      <c r="DAX2584" s="100"/>
      <c r="DAY2584" s="100"/>
      <c r="DAZ2584" s="100"/>
      <c r="DBA2584" s="100"/>
      <c r="DBB2584" s="100"/>
      <c r="DBC2584" s="100"/>
      <c r="DBD2584" s="100"/>
      <c r="DBE2584" s="100"/>
      <c r="DBF2584" s="100"/>
      <c r="DBG2584" s="100"/>
      <c r="DBH2584" s="100"/>
      <c r="DBI2584" s="100"/>
      <c r="DBJ2584" s="100"/>
      <c r="DBK2584" s="100"/>
      <c r="DBL2584" s="100"/>
      <c r="DBM2584" s="100"/>
      <c r="DBN2584" s="100"/>
      <c r="DBO2584" s="100"/>
      <c r="DBP2584" s="100"/>
      <c r="DBQ2584" s="100"/>
      <c r="DBR2584" s="100"/>
      <c r="DBS2584" s="100"/>
      <c r="DBT2584" s="100"/>
      <c r="DBU2584" s="100"/>
      <c r="DBV2584" s="100"/>
      <c r="DBW2584" s="100"/>
      <c r="DBX2584" s="100"/>
      <c r="DBY2584" s="100"/>
      <c r="DBZ2584" s="100"/>
      <c r="DCA2584" s="100"/>
      <c r="DCB2584" s="100"/>
      <c r="DCC2584" s="100"/>
      <c r="DCD2584" s="100"/>
      <c r="DCE2584" s="100"/>
      <c r="DCF2584" s="100"/>
      <c r="DCG2584" s="100"/>
      <c r="DCH2584" s="100"/>
      <c r="DCI2584" s="100"/>
      <c r="DCJ2584" s="100"/>
      <c r="DCK2584" s="100"/>
      <c r="DCL2584" s="100"/>
      <c r="DCM2584" s="100"/>
      <c r="DCN2584" s="100"/>
      <c r="DCO2584" s="100"/>
      <c r="DCP2584" s="100"/>
      <c r="DCQ2584" s="100"/>
      <c r="DCR2584" s="100"/>
      <c r="DCS2584" s="100"/>
      <c r="DCT2584" s="100"/>
      <c r="DCU2584" s="100"/>
      <c r="DCV2584" s="100"/>
      <c r="DCW2584" s="100"/>
      <c r="DCX2584" s="100"/>
      <c r="DCY2584" s="100"/>
      <c r="DCZ2584" s="100"/>
      <c r="DDA2584" s="100"/>
      <c r="DDB2584" s="100"/>
      <c r="DDC2584" s="100"/>
      <c r="DDD2584" s="100"/>
      <c r="DDE2584" s="100"/>
      <c r="DDF2584" s="100"/>
      <c r="DDG2584" s="100"/>
      <c r="DDH2584" s="100"/>
      <c r="DDI2584" s="100"/>
      <c r="DDJ2584" s="100"/>
      <c r="DDK2584" s="100"/>
      <c r="DDL2584" s="100"/>
      <c r="DDM2584" s="100"/>
      <c r="DDN2584" s="100"/>
      <c r="DDO2584" s="100"/>
      <c r="DDP2584" s="100"/>
      <c r="DDQ2584" s="100"/>
      <c r="DDR2584" s="100"/>
      <c r="DDS2584" s="100"/>
      <c r="DDT2584" s="100"/>
      <c r="DDU2584" s="100"/>
      <c r="DDV2584" s="100"/>
      <c r="DDW2584" s="100"/>
      <c r="DDX2584" s="100"/>
      <c r="DDY2584" s="100"/>
      <c r="DDZ2584" s="100"/>
      <c r="DEA2584" s="100"/>
      <c r="DEB2584" s="100"/>
      <c r="DEC2584" s="100"/>
      <c r="DED2584" s="100"/>
      <c r="DEE2584" s="100"/>
      <c r="DEF2584" s="100"/>
      <c r="DEG2584" s="100"/>
      <c r="DEH2584" s="100"/>
      <c r="DEI2584" s="100"/>
      <c r="DEJ2584" s="100"/>
      <c r="DEK2584" s="100"/>
      <c r="DEL2584" s="100"/>
      <c r="DEM2584" s="100"/>
      <c r="DEN2584" s="100"/>
      <c r="DEO2584" s="100"/>
      <c r="DEP2584" s="100"/>
      <c r="DEQ2584" s="100"/>
      <c r="DER2584" s="100"/>
      <c r="DES2584" s="100"/>
      <c r="DET2584" s="100"/>
      <c r="DEU2584" s="100"/>
      <c r="DEV2584" s="100"/>
      <c r="DEW2584" s="100"/>
      <c r="DEX2584" s="100"/>
      <c r="DEY2584" s="100"/>
      <c r="DEZ2584" s="100"/>
      <c r="DFA2584" s="100"/>
      <c r="DFB2584" s="100"/>
      <c r="DFC2584" s="100"/>
      <c r="DFD2584" s="100"/>
      <c r="DFE2584" s="100"/>
      <c r="DFF2584" s="100"/>
      <c r="DFG2584" s="100"/>
      <c r="DFH2584" s="100"/>
      <c r="DFI2584" s="100"/>
      <c r="DFJ2584" s="100"/>
      <c r="DFK2584" s="100"/>
      <c r="DFL2584" s="100"/>
      <c r="DFM2584" s="100"/>
      <c r="DFN2584" s="100"/>
      <c r="DFO2584" s="100"/>
      <c r="DFP2584" s="100"/>
      <c r="DFQ2584" s="100"/>
      <c r="DFR2584" s="100"/>
      <c r="DFS2584" s="100"/>
      <c r="DFT2584" s="100"/>
      <c r="DFU2584" s="100"/>
      <c r="DFV2584" s="100"/>
      <c r="DFW2584" s="100"/>
      <c r="DFX2584" s="100"/>
      <c r="DFY2584" s="100"/>
      <c r="DFZ2584" s="100"/>
      <c r="DGA2584" s="100"/>
      <c r="DGB2584" s="100"/>
      <c r="DGC2584" s="100"/>
      <c r="DGD2584" s="100"/>
      <c r="DGE2584" s="100"/>
      <c r="DGF2584" s="100"/>
      <c r="DGG2584" s="100"/>
      <c r="DGH2584" s="100"/>
      <c r="DGI2584" s="100"/>
      <c r="DGJ2584" s="100"/>
      <c r="DGK2584" s="100"/>
      <c r="DGL2584" s="100"/>
      <c r="DGM2584" s="100"/>
      <c r="DGN2584" s="100"/>
      <c r="DGO2584" s="100"/>
      <c r="DGP2584" s="100"/>
      <c r="DGQ2584" s="100"/>
      <c r="DGR2584" s="100"/>
      <c r="DGS2584" s="100"/>
      <c r="DGT2584" s="100"/>
      <c r="DGU2584" s="100"/>
      <c r="DGV2584" s="100"/>
      <c r="DGW2584" s="100"/>
      <c r="DGX2584" s="100"/>
      <c r="DGY2584" s="100"/>
      <c r="DGZ2584" s="100"/>
      <c r="DHA2584" s="100"/>
      <c r="DHB2584" s="100"/>
      <c r="DHC2584" s="100"/>
      <c r="DHD2584" s="100"/>
      <c r="DHE2584" s="100"/>
      <c r="DHF2584" s="100"/>
      <c r="DHG2584" s="100"/>
      <c r="DHH2584" s="100"/>
      <c r="DHI2584" s="100"/>
      <c r="DHJ2584" s="100"/>
      <c r="DHK2584" s="100"/>
      <c r="DHL2584" s="100"/>
      <c r="DHM2584" s="100"/>
      <c r="DHN2584" s="100"/>
      <c r="DHO2584" s="100"/>
      <c r="DHP2584" s="100"/>
      <c r="DHQ2584" s="100"/>
      <c r="DHR2584" s="100"/>
      <c r="DHS2584" s="100"/>
      <c r="DHT2584" s="100"/>
      <c r="DHU2584" s="100"/>
      <c r="DHV2584" s="100"/>
      <c r="DHW2584" s="100"/>
      <c r="DHX2584" s="100"/>
      <c r="DHY2584" s="100"/>
      <c r="DHZ2584" s="100"/>
      <c r="DIA2584" s="100"/>
      <c r="DIB2584" s="100"/>
      <c r="DIC2584" s="100"/>
      <c r="DID2584" s="100"/>
      <c r="DIE2584" s="100"/>
      <c r="DIF2584" s="100"/>
      <c r="DIG2584" s="100"/>
      <c r="DIH2584" s="100"/>
      <c r="DII2584" s="100"/>
      <c r="DIJ2584" s="100"/>
      <c r="DIK2584" s="100"/>
      <c r="DIL2584" s="100"/>
      <c r="DIM2584" s="100"/>
      <c r="DIN2584" s="100"/>
      <c r="DIO2584" s="100"/>
      <c r="DIP2584" s="100"/>
      <c r="DIQ2584" s="100"/>
      <c r="DIR2584" s="100"/>
      <c r="DIS2584" s="100"/>
      <c r="DIT2584" s="100"/>
      <c r="DIU2584" s="100"/>
      <c r="DIV2584" s="100"/>
      <c r="DIW2584" s="100"/>
      <c r="DIX2584" s="100"/>
      <c r="DIY2584" s="100"/>
      <c r="DIZ2584" s="100"/>
      <c r="DJA2584" s="100"/>
      <c r="DJB2584" s="100"/>
      <c r="DJC2584" s="100"/>
      <c r="DJD2584" s="100"/>
      <c r="DJE2584" s="100"/>
      <c r="DJF2584" s="100"/>
      <c r="DJG2584" s="100"/>
      <c r="DJH2584" s="100"/>
      <c r="DJI2584" s="100"/>
      <c r="DJJ2584" s="100"/>
      <c r="DJK2584" s="100"/>
      <c r="DJL2584" s="100"/>
      <c r="DJM2584" s="100"/>
      <c r="DJN2584" s="100"/>
      <c r="DJO2584" s="100"/>
      <c r="DJP2584" s="100"/>
      <c r="DJQ2584" s="100"/>
      <c r="DJR2584" s="100"/>
      <c r="DJS2584" s="100"/>
      <c r="DJT2584" s="100"/>
      <c r="DJU2584" s="100"/>
      <c r="DJV2584" s="100"/>
      <c r="DJW2584" s="100"/>
      <c r="DJX2584" s="100"/>
      <c r="DJY2584" s="100"/>
      <c r="DJZ2584" s="100"/>
      <c r="DKA2584" s="100"/>
      <c r="DKB2584" s="100"/>
      <c r="DKC2584" s="100"/>
      <c r="DKD2584" s="100"/>
      <c r="DKE2584" s="100"/>
      <c r="DKF2584" s="100"/>
      <c r="DKG2584" s="100"/>
      <c r="DKH2584" s="100"/>
      <c r="DKI2584" s="100"/>
      <c r="DKJ2584" s="100"/>
      <c r="DKK2584" s="100"/>
      <c r="DKL2584" s="100"/>
      <c r="DKM2584" s="100"/>
      <c r="DKN2584" s="100"/>
      <c r="DKO2584" s="100"/>
      <c r="DKP2584" s="100"/>
      <c r="DKQ2584" s="100"/>
      <c r="DKR2584" s="100"/>
      <c r="DKS2584" s="100"/>
      <c r="DKT2584" s="100"/>
      <c r="DKU2584" s="100"/>
      <c r="DKV2584" s="100"/>
      <c r="DKW2584" s="100"/>
      <c r="DKX2584" s="100"/>
      <c r="DKY2584" s="100"/>
      <c r="DKZ2584" s="100"/>
      <c r="DLA2584" s="100"/>
      <c r="DLB2584" s="100"/>
      <c r="DLC2584" s="100"/>
      <c r="DLD2584" s="100"/>
      <c r="DLE2584" s="100"/>
      <c r="DLF2584" s="100"/>
      <c r="DLG2584" s="100"/>
      <c r="DLH2584" s="100"/>
      <c r="DLI2584" s="100"/>
      <c r="DLJ2584" s="100"/>
      <c r="DLK2584" s="100"/>
      <c r="DLL2584" s="100"/>
      <c r="DLM2584" s="100"/>
      <c r="DLN2584" s="100"/>
      <c r="DLO2584" s="100"/>
      <c r="DLP2584" s="100"/>
      <c r="DLQ2584" s="100"/>
      <c r="DLR2584" s="100"/>
      <c r="DLS2584" s="100"/>
      <c r="DLT2584" s="100"/>
      <c r="DLU2584" s="100"/>
      <c r="DLV2584" s="100"/>
      <c r="DLW2584" s="100"/>
      <c r="DLX2584" s="100"/>
      <c r="DLY2584" s="100"/>
      <c r="DLZ2584" s="100"/>
      <c r="DMA2584" s="100"/>
      <c r="DMB2584" s="100"/>
      <c r="DMC2584" s="100"/>
      <c r="DMD2584" s="100"/>
      <c r="DME2584" s="100"/>
      <c r="DMF2584" s="100"/>
      <c r="DMG2584" s="100"/>
      <c r="DMH2584" s="100"/>
      <c r="DMI2584" s="100"/>
      <c r="DMJ2584" s="100"/>
      <c r="DMK2584" s="100"/>
      <c r="DML2584" s="100"/>
      <c r="DMM2584" s="100"/>
      <c r="DMN2584" s="100"/>
      <c r="DMO2584" s="100"/>
      <c r="DMP2584" s="100"/>
      <c r="DMQ2584" s="100"/>
      <c r="DMR2584" s="100"/>
      <c r="DMS2584" s="100"/>
      <c r="DMT2584" s="100"/>
      <c r="DMU2584" s="100"/>
      <c r="DMV2584" s="100"/>
      <c r="DMW2584" s="100"/>
      <c r="DMX2584" s="100"/>
      <c r="DMY2584" s="100"/>
      <c r="DMZ2584" s="100"/>
      <c r="DNA2584" s="100"/>
      <c r="DNB2584" s="100"/>
      <c r="DNC2584" s="100"/>
      <c r="DND2584" s="100"/>
      <c r="DNE2584" s="100"/>
      <c r="DNF2584" s="100"/>
      <c r="DNG2584" s="100"/>
      <c r="DNH2584" s="100"/>
      <c r="DNI2584" s="100"/>
      <c r="DNJ2584" s="100"/>
      <c r="DNK2584" s="100"/>
      <c r="DNL2584" s="100"/>
      <c r="DNM2584" s="100"/>
      <c r="DNN2584" s="100"/>
      <c r="DNO2584" s="100"/>
      <c r="DNP2584" s="100"/>
      <c r="DNQ2584" s="100"/>
      <c r="DNR2584" s="100"/>
      <c r="DNS2584" s="100"/>
      <c r="DNT2584" s="100"/>
      <c r="DNU2584" s="100"/>
      <c r="DNV2584" s="100"/>
      <c r="DNW2584" s="100"/>
      <c r="DNX2584" s="100"/>
      <c r="DNY2584" s="100"/>
      <c r="DNZ2584" s="100"/>
      <c r="DOA2584" s="100"/>
      <c r="DOB2584" s="100"/>
      <c r="DOC2584" s="100"/>
      <c r="DOD2584" s="100"/>
      <c r="DOE2584" s="100"/>
      <c r="DOF2584" s="100"/>
      <c r="DOG2584" s="100"/>
      <c r="DOH2584" s="100"/>
      <c r="DOI2584" s="100"/>
      <c r="DOJ2584" s="100"/>
      <c r="DOK2584" s="100"/>
      <c r="DOL2584" s="100"/>
      <c r="DOM2584" s="100"/>
      <c r="DON2584" s="100"/>
      <c r="DOO2584" s="100"/>
      <c r="DOP2584" s="100"/>
      <c r="DOQ2584" s="100"/>
      <c r="DOR2584" s="100"/>
      <c r="DOS2584" s="100"/>
      <c r="DOT2584" s="100"/>
      <c r="DOU2584" s="100"/>
      <c r="DOV2584" s="100"/>
      <c r="DOW2584" s="100"/>
      <c r="DOX2584" s="100"/>
      <c r="DOY2584" s="100"/>
      <c r="DOZ2584" s="100"/>
      <c r="DPA2584" s="100"/>
      <c r="DPB2584" s="100"/>
      <c r="DPC2584" s="100"/>
      <c r="DPD2584" s="100"/>
      <c r="DPE2584" s="100"/>
      <c r="DPF2584" s="100"/>
      <c r="DPG2584" s="100"/>
      <c r="DPH2584" s="100"/>
      <c r="DPI2584" s="100"/>
      <c r="DPJ2584" s="100"/>
      <c r="DPK2584" s="100"/>
      <c r="DPL2584" s="100"/>
      <c r="DPM2584" s="100"/>
      <c r="DPN2584" s="100"/>
      <c r="DPO2584" s="100"/>
      <c r="DPP2584" s="100"/>
      <c r="DPQ2584" s="100"/>
      <c r="DPR2584" s="100"/>
      <c r="DPS2584" s="100"/>
      <c r="DPT2584" s="100"/>
      <c r="DPU2584" s="100"/>
      <c r="DPV2584" s="100"/>
      <c r="DPW2584" s="100"/>
      <c r="DPX2584" s="100"/>
      <c r="DPY2584" s="100"/>
      <c r="DPZ2584" s="100"/>
      <c r="DQA2584" s="100"/>
      <c r="DQB2584" s="100"/>
      <c r="DQC2584" s="100"/>
      <c r="DQD2584" s="100"/>
      <c r="DQE2584" s="100"/>
      <c r="DQF2584" s="100"/>
      <c r="DQG2584" s="100"/>
      <c r="DQH2584" s="100"/>
      <c r="DQI2584" s="100"/>
      <c r="DQJ2584" s="100"/>
      <c r="DQK2584" s="100"/>
      <c r="DQL2584" s="100"/>
      <c r="DQM2584" s="100"/>
      <c r="DQN2584" s="100"/>
      <c r="DQO2584" s="100"/>
      <c r="DQP2584" s="100"/>
      <c r="DQQ2584" s="100"/>
      <c r="DQR2584" s="100"/>
      <c r="DQS2584" s="100"/>
      <c r="DQT2584" s="100"/>
      <c r="DQU2584" s="100"/>
      <c r="DQV2584" s="100"/>
      <c r="DQW2584" s="100"/>
      <c r="DQX2584" s="100"/>
      <c r="DQY2584" s="100"/>
      <c r="DQZ2584" s="100"/>
      <c r="DRA2584" s="100"/>
      <c r="DRB2584" s="100"/>
      <c r="DRC2584" s="100"/>
      <c r="DRD2584" s="100"/>
      <c r="DRE2584" s="100"/>
      <c r="DRF2584" s="100"/>
      <c r="DRG2584" s="100"/>
      <c r="DRH2584" s="100"/>
      <c r="DRI2584" s="100"/>
      <c r="DRJ2584" s="100"/>
      <c r="DRK2584" s="100"/>
      <c r="DRL2584" s="100"/>
      <c r="DRM2584" s="100"/>
      <c r="DRN2584" s="100"/>
      <c r="DRO2584" s="100"/>
      <c r="DRP2584" s="100"/>
      <c r="DRQ2584" s="100"/>
      <c r="DRR2584" s="100"/>
      <c r="DRS2584" s="100"/>
      <c r="DRT2584" s="100"/>
      <c r="DRU2584" s="100"/>
      <c r="DRV2584" s="100"/>
      <c r="DRW2584" s="100"/>
      <c r="DRX2584" s="100"/>
      <c r="DRY2584" s="100"/>
      <c r="DRZ2584" s="100"/>
      <c r="DSA2584" s="100"/>
      <c r="DSB2584" s="100"/>
      <c r="DSC2584" s="100"/>
      <c r="DSD2584" s="100"/>
      <c r="DSE2584" s="100"/>
      <c r="DSF2584" s="100"/>
      <c r="DSG2584" s="100"/>
      <c r="DSH2584" s="100"/>
      <c r="DSI2584" s="100"/>
      <c r="DSJ2584" s="100"/>
      <c r="DSK2584" s="100"/>
      <c r="DSL2584" s="100"/>
      <c r="DSM2584" s="100"/>
      <c r="DSN2584" s="100"/>
      <c r="DSO2584" s="100"/>
      <c r="DSP2584" s="100"/>
      <c r="DSQ2584" s="100"/>
      <c r="DSR2584" s="100"/>
      <c r="DSS2584" s="100"/>
      <c r="DST2584" s="100"/>
      <c r="DSU2584" s="100"/>
      <c r="DSV2584" s="100"/>
      <c r="DSW2584" s="100"/>
      <c r="DSX2584" s="100"/>
      <c r="DSY2584" s="100"/>
      <c r="DSZ2584" s="100"/>
      <c r="DTA2584" s="100"/>
      <c r="DTB2584" s="100"/>
      <c r="DTC2584" s="100"/>
      <c r="DTD2584" s="100"/>
      <c r="DTE2584" s="100"/>
      <c r="DTF2584" s="100"/>
      <c r="DTG2584" s="100"/>
      <c r="DTH2584" s="100"/>
      <c r="DTI2584" s="100"/>
      <c r="DTJ2584" s="100"/>
      <c r="DTK2584" s="100"/>
      <c r="DTL2584" s="100"/>
      <c r="DTM2584" s="100"/>
      <c r="DTN2584" s="100"/>
      <c r="DTO2584" s="100"/>
      <c r="DTP2584" s="100"/>
      <c r="DTQ2584" s="100"/>
      <c r="DTR2584" s="100"/>
      <c r="DTS2584" s="100"/>
      <c r="DTT2584" s="100"/>
      <c r="DTU2584" s="100"/>
      <c r="DTV2584" s="100"/>
      <c r="DTW2584" s="100"/>
      <c r="DTX2584" s="100"/>
      <c r="DTY2584" s="100"/>
      <c r="DTZ2584" s="100"/>
      <c r="DUA2584" s="100"/>
      <c r="DUB2584" s="100"/>
      <c r="DUC2584" s="100"/>
      <c r="DUD2584" s="100"/>
      <c r="DUE2584" s="100"/>
      <c r="DUF2584" s="100"/>
      <c r="DUG2584" s="100"/>
      <c r="DUH2584" s="100"/>
      <c r="DUI2584" s="100"/>
      <c r="DUJ2584" s="100"/>
      <c r="DUK2584" s="100"/>
      <c r="DUL2584" s="100"/>
      <c r="DUM2584" s="100"/>
      <c r="DUN2584" s="100"/>
      <c r="DUO2584" s="100"/>
      <c r="DUP2584" s="100"/>
      <c r="DUQ2584" s="100"/>
      <c r="DUR2584" s="100"/>
      <c r="DUS2584" s="100"/>
      <c r="DUT2584" s="100"/>
      <c r="DUU2584" s="100"/>
      <c r="DUV2584" s="100"/>
      <c r="DUW2584" s="100"/>
      <c r="DUX2584" s="100"/>
      <c r="DUY2584" s="100"/>
      <c r="DUZ2584" s="100"/>
      <c r="DVA2584" s="100"/>
      <c r="DVB2584" s="100"/>
      <c r="DVC2584" s="100"/>
      <c r="DVD2584" s="100"/>
      <c r="DVE2584" s="100"/>
      <c r="DVF2584" s="100"/>
      <c r="DVG2584" s="100"/>
      <c r="DVH2584" s="100"/>
      <c r="DVI2584" s="100"/>
      <c r="DVJ2584" s="100"/>
      <c r="DVK2584" s="100"/>
      <c r="DVL2584" s="100"/>
      <c r="DVM2584" s="100"/>
      <c r="DVN2584" s="100"/>
      <c r="DVO2584" s="100"/>
      <c r="DVP2584" s="100"/>
      <c r="DVQ2584" s="100"/>
      <c r="DVR2584" s="100"/>
      <c r="DVS2584" s="100"/>
      <c r="DVT2584" s="100"/>
      <c r="DVU2584" s="100"/>
      <c r="DVV2584" s="100"/>
      <c r="DVW2584" s="100"/>
      <c r="DVX2584" s="100"/>
      <c r="DVY2584" s="100"/>
      <c r="DVZ2584" s="100"/>
      <c r="DWA2584" s="100"/>
      <c r="DWB2584" s="100"/>
      <c r="DWC2584" s="100"/>
      <c r="DWD2584" s="100"/>
      <c r="DWE2584" s="100"/>
      <c r="DWF2584" s="100"/>
      <c r="DWG2584" s="100"/>
      <c r="DWH2584" s="100"/>
      <c r="DWI2584" s="100"/>
      <c r="DWJ2584" s="100"/>
      <c r="DWK2584" s="100"/>
      <c r="DWL2584" s="100"/>
      <c r="DWM2584" s="100"/>
      <c r="DWN2584" s="100"/>
      <c r="DWO2584" s="100"/>
      <c r="DWP2584" s="100"/>
      <c r="DWQ2584" s="100"/>
      <c r="DWR2584" s="100"/>
      <c r="DWS2584" s="100"/>
      <c r="DWT2584" s="100"/>
      <c r="DWU2584" s="100"/>
      <c r="DWV2584" s="100"/>
      <c r="DWW2584" s="100"/>
      <c r="DWX2584" s="100"/>
      <c r="DWY2584" s="100"/>
      <c r="DWZ2584" s="100"/>
      <c r="DXA2584" s="100"/>
      <c r="DXB2584" s="100"/>
      <c r="DXC2584" s="100"/>
      <c r="DXD2584" s="100"/>
      <c r="DXE2584" s="100"/>
      <c r="DXF2584" s="100"/>
      <c r="DXG2584" s="100"/>
      <c r="DXH2584" s="100"/>
      <c r="DXI2584" s="100"/>
      <c r="DXJ2584" s="100"/>
      <c r="DXK2584" s="100"/>
      <c r="DXL2584" s="100"/>
      <c r="DXM2584" s="100"/>
      <c r="DXN2584" s="100"/>
      <c r="DXO2584" s="100"/>
      <c r="DXP2584" s="100"/>
      <c r="DXQ2584" s="100"/>
      <c r="DXR2584" s="100"/>
      <c r="DXS2584" s="100"/>
      <c r="DXT2584" s="100"/>
      <c r="DXU2584" s="100"/>
      <c r="DXV2584" s="100"/>
      <c r="DXW2584" s="100"/>
      <c r="DXX2584" s="100"/>
      <c r="DXY2584" s="100"/>
      <c r="DXZ2584" s="100"/>
      <c r="DYA2584" s="100"/>
      <c r="DYB2584" s="100"/>
      <c r="DYC2584" s="100"/>
      <c r="DYD2584" s="100"/>
      <c r="DYE2584" s="100"/>
      <c r="DYF2584" s="100"/>
      <c r="DYG2584" s="100"/>
      <c r="DYH2584" s="100"/>
      <c r="DYI2584" s="100"/>
      <c r="DYJ2584" s="100"/>
      <c r="DYK2584" s="100"/>
      <c r="DYL2584" s="100"/>
      <c r="DYM2584" s="100"/>
      <c r="DYN2584" s="100"/>
      <c r="DYO2584" s="100"/>
      <c r="DYP2584" s="100"/>
      <c r="DYQ2584" s="100"/>
      <c r="DYR2584" s="100"/>
      <c r="DYS2584" s="100"/>
      <c r="DYT2584" s="100"/>
      <c r="DYU2584" s="100"/>
      <c r="DYV2584" s="100"/>
      <c r="DYW2584" s="100"/>
      <c r="DYX2584" s="100"/>
      <c r="DYY2584" s="100"/>
      <c r="DYZ2584" s="100"/>
      <c r="DZA2584" s="100"/>
      <c r="DZB2584" s="100"/>
      <c r="DZC2584" s="100"/>
      <c r="DZD2584" s="100"/>
      <c r="DZE2584" s="100"/>
      <c r="DZF2584" s="100"/>
      <c r="DZG2584" s="100"/>
      <c r="DZH2584" s="100"/>
      <c r="DZI2584" s="100"/>
      <c r="DZJ2584" s="100"/>
      <c r="DZK2584" s="100"/>
      <c r="DZL2584" s="100"/>
      <c r="DZM2584" s="100"/>
      <c r="DZN2584" s="100"/>
      <c r="DZO2584" s="100"/>
      <c r="DZP2584" s="100"/>
      <c r="DZQ2584" s="100"/>
      <c r="DZR2584" s="100"/>
      <c r="DZS2584" s="100"/>
      <c r="DZT2584" s="100"/>
      <c r="DZU2584" s="100"/>
      <c r="DZV2584" s="100"/>
      <c r="DZW2584" s="100"/>
      <c r="DZX2584" s="100"/>
      <c r="DZY2584" s="100"/>
      <c r="DZZ2584" s="100"/>
      <c r="EAA2584" s="100"/>
      <c r="EAB2584" s="100"/>
      <c r="EAC2584" s="100"/>
      <c r="EAD2584" s="100"/>
      <c r="EAE2584" s="100"/>
      <c r="EAF2584" s="100"/>
      <c r="EAG2584" s="100"/>
      <c r="EAH2584" s="100"/>
      <c r="EAI2584" s="100"/>
      <c r="EAJ2584" s="100"/>
      <c r="EAK2584" s="100"/>
      <c r="EAL2584" s="100"/>
      <c r="EAM2584" s="100"/>
      <c r="EAN2584" s="100"/>
      <c r="EAO2584" s="100"/>
      <c r="EAP2584" s="100"/>
      <c r="EAQ2584" s="100"/>
      <c r="EAR2584" s="100"/>
      <c r="EAS2584" s="100"/>
      <c r="EAT2584" s="100"/>
      <c r="EAU2584" s="100"/>
      <c r="EAV2584" s="100"/>
      <c r="EAW2584" s="100"/>
      <c r="EAX2584" s="100"/>
      <c r="EAY2584" s="100"/>
      <c r="EAZ2584" s="100"/>
      <c r="EBA2584" s="100"/>
      <c r="EBB2584" s="100"/>
      <c r="EBC2584" s="100"/>
      <c r="EBD2584" s="100"/>
      <c r="EBE2584" s="100"/>
      <c r="EBF2584" s="100"/>
      <c r="EBG2584" s="100"/>
      <c r="EBH2584" s="100"/>
      <c r="EBI2584" s="100"/>
      <c r="EBJ2584" s="100"/>
      <c r="EBK2584" s="100"/>
      <c r="EBL2584" s="100"/>
      <c r="EBM2584" s="100"/>
      <c r="EBN2584" s="100"/>
      <c r="EBO2584" s="100"/>
      <c r="EBP2584" s="100"/>
      <c r="EBQ2584" s="100"/>
      <c r="EBR2584" s="100"/>
      <c r="EBS2584" s="100"/>
      <c r="EBT2584" s="100"/>
      <c r="EBU2584" s="100"/>
      <c r="EBV2584" s="100"/>
      <c r="EBW2584" s="100"/>
      <c r="EBX2584" s="100"/>
      <c r="EBY2584" s="100"/>
      <c r="EBZ2584" s="100"/>
      <c r="ECA2584" s="100"/>
      <c r="ECB2584" s="100"/>
      <c r="ECC2584" s="100"/>
      <c r="ECD2584" s="100"/>
      <c r="ECE2584" s="100"/>
      <c r="ECF2584" s="100"/>
      <c r="ECG2584" s="100"/>
      <c r="ECH2584" s="100"/>
      <c r="ECI2584" s="100"/>
      <c r="ECJ2584" s="100"/>
      <c r="ECK2584" s="100"/>
      <c r="ECL2584" s="100"/>
      <c r="ECM2584" s="100"/>
      <c r="ECN2584" s="100"/>
      <c r="ECO2584" s="100"/>
      <c r="ECP2584" s="100"/>
      <c r="ECQ2584" s="100"/>
      <c r="ECR2584" s="100"/>
      <c r="ECS2584" s="100"/>
      <c r="ECT2584" s="100"/>
      <c r="ECU2584" s="100"/>
      <c r="ECV2584" s="100"/>
      <c r="ECW2584" s="100"/>
      <c r="ECX2584" s="100"/>
      <c r="ECY2584" s="100"/>
      <c r="ECZ2584" s="100"/>
      <c r="EDA2584" s="100"/>
      <c r="EDB2584" s="100"/>
      <c r="EDC2584" s="100"/>
      <c r="EDD2584" s="100"/>
      <c r="EDE2584" s="100"/>
      <c r="EDF2584" s="100"/>
      <c r="EDG2584" s="100"/>
      <c r="EDH2584" s="100"/>
      <c r="EDI2584" s="100"/>
      <c r="EDJ2584" s="100"/>
      <c r="EDK2584" s="100"/>
      <c r="EDL2584" s="100"/>
      <c r="EDM2584" s="100"/>
      <c r="EDN2584" s="100"/>
      <c r="EDO2584" s="100"/>
      <c r="EDP2584" s="100"/>
      <c r="EDQ2584" s="100"/>
      <c r="EDR2584" s="100"/>
      <c r="EDS2584" s="100"/>
      <c r="EDT2584" s="100"/>
      <c r="EDU2584" s="100"/>
      <c r="EDV2584" s="100"/>
      <c r="EDW2584" s="100"/>
      <c r="EDX2584" s="100"/>
      <c r="EDY2584" s="100"/>
      <c r="EDZ2584" s="100"/>
      <c r="EEA2584" s="100"/>
      <c r="EEB2584" s="100"/>
      <c r="EEC2584" s="100"/>
      <c r="EED2584" s="100"/>
      <c r="EEE2584" s="100"/>
      <c r="EEF2584" s="100"/>
      <c r="EEG2584" s="100"/>
      <c r="EEH2584" s="100"/>
      <c r="EEI2584" s="100"/>
      <c r="EEJ2584" s="100"/>
      <c r="EEK2584" s="100"/>
      <c r="EEL2584" s="100"/>
      <c r="EEM2584" s="100"/>
      <c r="EEN2584" s="100"/>
      <c r="EEO2584" s="100"/>
      <c r="EEP2584" s="100"/>
      <c r="EEQ2584" s="100"/>
      <c r="EER2584" s="100"/>
      <c r="EES2584" s="100"/>
      <c r="EET2584" s="100"/>
      <c r="EEU2584" s="100"/>
      <c r="EEV2584" s="100"/>
      <c r="EEW2584" s="100"/>
      <c r="EEX2584" s="100"/>
      <c r="EEY2584" s="100"/>
      <c r="EEZ2584" s="100"/>
      <c r="EFA2584" s="100"/>
      <c r="EFB2584" s="100"/>
      <c r="EFC2584" s="100"/>
      <c r="EFD2584" s="100"/>
      <c r="EFE2584" s="100"/>
      <c r="EFF2584" s="100"/>
      <c r="EFG2584" s="100"/>
      <c r="EFH2584" s="100"/>
      <c r="EFI2584" s="100"/>
      <c r="EFJ2584" s="100"/>
      <c r="EFK2584" s="100"/>
      <c r="EFL2584" s="100"/>
      <c r="EFM2584" s="100"/>
      <c r="EFN2584" s="100"/>
      <c r="EFO2584" s="100"/>
      <c r="EFP2584" s="100"/>
      <c r="EFQ2584" s="100"/>
      <c r="EFR2584" s="100"/>
      <c r="EFS2584" s="100"/>
      <c r="EFT2584" s="100"/>
      <c r="EFU2584" s="100"/>
      <c r="EFV2584" s="100"/>
      <c r="EFW2584" s="100"/>
      <c r="EFX2584" s="100"/>
      <c r="EFY2584" s="100"/>
      <c r="EFZ2584" s="100"/>
      <c r="EGA2584" s="100"/>
      <c r="EGB2584" s="100"/>
      <c r="EGC2584" s="100"/>
      <c r="EGD2584" s="100"/>
      <c r="EGE2584" s="100"/>
      <c r="EGF2584" s="100"/>
      <c r="EGG2584" s="100"/>
      <c r="EGH2584" s="100"/>
      <c r="EGI2584" s="100"/>
      <c r="EGJ2584" s="100"/>
      <c r="EGK2584" s="100"/>
      <c r="EGL2584" s="100"/>
      <c r="EGM2584" s="100"/>
      <c r="EGN2584" s="100"/>
      <c r="EGO2584" s="100"/>
      <c r="EGP2584" s="100"/>
      <c r="EGQ2584" s="100"/>
      <c r="EGR2584" s="100"/>
      <c r="EGS2584" s="100"/>
      <c r="EGT2584" s="100"/>
      <c r="EGU2584" s="100"/>
      <c r="EGV2584" s="100"/>
      <c r="EGW2584" s="100"/>
      <c r="EGX2584" s="100"/>
      <c r="EGY2584" s="100"/>
      <c r="EGZ2584" s="100"/>
      <c r="EHA2584" s="100"/>
      <c r="EHB2584" s="100"/>
      <c r="EHC2584" s="100"/>
      <c r="EHD2584" s="100"/>
      <c r="EHE2584" s="100"/>
      <c r="EHF2584" s="100"/>
      <c r="EHG2584" s="100"/>
      <c r="EHH2584" s="100"/>
      <c r="EHI2584" s="100"/>
      <c r="EHJ2584" s="100"/>
      <c r="EHK2584" s="100"/>
      <c r="EHL2584" s="100"/>
      <c r="EHM2584" s="100"/>
      <c r="EHN2584" s="100"/>
      <c r="EHO2584" s="100"/>
      <c r="EHP2584" s="100"/>
      <c r="EHQ2584" s="100"/>
      <c r="EHR2584" s="100"/>
      <c r="EHS2584" s="100"/>
      <c r="EHT2584" s="100"/>
      <c r="EHU2584" s="100"/>
      <c r="EHV2584" s="100"/>
      <c r="EHW2584" s="100"/>
      <c r="EHX2584" s="100"/>
      <c r="EHY2584" s="100"/>
      <c r="EHZ2584" s="100"/>
      <c r="EIA2584" s="100"/>
      <c r="EIB2584" s="100"/>
      <c r="EIC2584" s="100"/>
      <c r="EID2584" s="100"/>
      <c r="EIE2584" s="100"/>
      <c r="EIF2584" s="100"/>
      <c r="EIG2584" s="100"/>
      <c r="EIH2584" s="100"/>
      <c r="EII2584" s="100"/>
      <c r="EIJ2584" s="100"/>
      <c r="EIK2584" s="100"/>
      <c r="EIL2584" s="100"/>
      <c r="EIM2584" s="100"/>
      <c r="EIN2584" s="100"/>
      <c r="EIO2584" s="100"/>
      <c r="EIP2584" s="100"/>
      <c r="EIQ2584" s="100"/>
      <c r="EIR2584" s="100"/>
      <c r="EIS2584" s="100"/>
      <c r="EIT2584" s="100"/>
      <c r="EIU2584" s="100"/>
      <c r="EIV2584" s="100"/>
      <c r="EIW2584" s="100"/>
      <c r="EIX2584" s="100"/>
      <c r="EIY2584" s="100"/>
      <c r="EIZ2584" s="100"/>
      <c r="EJA2584" s="100"/>
      <c r="EJB2584" s="100"/>
      <c r="EJC2584" s="100"/>
      <c r="EJD2584" s="100"/>
      <c r="EJE2584" s="100"/>
      <c r="EJF2584" s="100"/>
      <c r="EJG2584" s="100"/>
      <c r="EJH2584" s="100"/>
      <c r="EJI2584" s="100"/>
      <c r="EJJ2584" s="100"/>
      <c r="EJK2584" s="100"/>
      <c r="EJL2584" s="100"/>
      <c r="EJM2584" s="100"/>
      <c r="EJN2584" s="100"/>
      <c r="EJO2584" s="100"/>
      <c r="EJP2584" s="100"/>
      <c r="EJQ2584" s="100"/>
      <c r="EJR2584" s="100"/>
      <c r="EJS2584" s="100"/>
      <c r="EJT2584" s="100"/>
      <c r="EJU2584" s="100"/>
      <c r="EJV2584" s="100"/>
      <c r="EJW2584" s="100"/>
      <c r="EJX2584" s="100"/>
      <c r="EJY2584" s="100"/>
      <c r="EJZ2584" s="100"/>
      <c r="EKA2584" s="100"/>
      <c r="EKB2584" s="100"/>
      <c r="EKC2584" s="100"/>
      <c r="EKD2584" s="100"/>
      <c r="EKE2584" s="100"/>
      <c r="EKF2584" s="100"/>
      <c r="EKG2584" s="100"/>
      <c r="EKH2584" s="100"/>
      <c r="EKI2584" s="100"/>
      <c r="EKJ2584" s="100"/>
      <c r="EKK2584" s="100"/>
      <c r="EKL2584" s="100"/>
      <c r="EKM2584" s="100"/>
      <c r="EKN2584" s="100"/>
      <c r="EKO2584" s="100"/>
      <c r="EKP2584" s="100"/>
      <c r="EKQ2584" s="100"/>
      <c r="EKR2584" s="100"/>
      <c r="EKS2584" s="100"/>
      <c r="EKT2584" s="100"/>
      <c r="EKU2584" s="100"/>
      <c r="EKV2584" s="100"/>
      <c r="EKW2584" s="100"/>
      <c r="EKX2584" s="100"/>
      <c r="EKY2584" s="100"/>
      <c r="EKZ2584" s="100"/>
      <c r="ELA2584" s="100"/>
      <c r="ELB2584" s="100"/>
      <c r="ELC2584" s="100"/>
      <c r="ELD2584" s="100"/>
      <c r="ELE2584" s="100"/>
      <c r="ELF2584" s="100"/>
      <c r="ELG2584" s="100"/>
      <c r="ELH2584" s="100"/>
      <c r="ELI2584" s="100"/>
      <c r="ELJ2584" s="100"/>
      <c r="ELK2584" s="100"/>
      <c r="ELL2584" s="100"/>
      <c r="ELM2584" s="100"/>
      <c r="ELN2584" s="100"/>
      <c r="ELO2584" s="100"/>
      <c r="ELP2584" s="100"/>
      <c r="ELQ2584" s="100"/>
      <c r="ELR2584" s="100"/>
      <c r="ELS2584" s="100"/>
      <c r="ELT2584" s="100"/>
      <c r="ELU2584" s="100"/>
      <c r="ELV2584" s="100"/>
      <c r="ELW2584" s="100"/>
      <c r="ELX2584" s="100"/>
      <c r="ELY2584" s="100"/>
      <c r="ELZ2584" s="100"/>
      <c r="EMA2584" s="100"/>
      <c r="EMB2584" s="100"/>
      <c r="EMC2584" s="100"/>
      <c r="EMD2584" s="100"/>
      <c r="EME2584" s="100"/>
      <c r="EMF2584" s="100"/>
      <c r="EMG2584" s="100"/>
      <c r="EMH2584" s="100"/>
      <c r="EMI2584" s="100"/>
      <c r="EMJ2584" s="100"/>
      <c r="EMK2584" s="100"/>
      <c r="EML2584" s="100"/>
      <c r="EMM2584" s="100"/>
      <c r="EMN2584" s="100"/>
      <c r="EMO2584" s="100"/>
      <c r="EMP2584" s="100"/>
      <c r="EMQ2584" s="100"/>
      <c r="EMR2584" s="100"/>
      <c r="EMS2584" s="100"/>
      <c r="EMT2584" s="100"/>
      <c r="EMU2584" s="100"/>
      <c r="EMV2584" s="100"/>
      <c r="EMW2584" s="100"/>
      <c r="EMX2584" s="100"/>
      <c r="EMY2584" s="100"/>
      <c r="EMZ2584" s="100"/>
      <c r="ENA2584" s="100"/>
      <c r="ENB2584" s="100"/>
      <c r="ENC2584" s="100"/>
      <c r="END2584" s="100"/>
      <c r="ENE2584" s="100"/>
      <c r="ENF2584" s="100"/>
      <c r="ENG2584" s="100"/>
      <c r="ENH2584" s="100"/>
      <c r="ENI2584" s="100"/>
      <c r="ENJ2584" s="100"/>
      <c r="ENK2584" s="100"/>
      <c r="ENL2584" s="100"/>
      <c r="ENM2584" s="100"/>
      <c r="ENN2584" s="100"/>
      <c r="ENO2584" s="100"/>
      <c r="ENP2584" s="100"/>
      <c r="ENQ2584" s="100"/>
      <c r="ENR2584" s="100"/>
      <c r="ENS2584" s="100"/>
      <c r="ENT2584" s="100"/>
      <c r="ENU2584" s="100"/>
      <c r="ENV2584" s="100"/>
      <c r="ENW2584" s="100"/>
      <c r="ENX2584" s="100"/>
      <c r="ENY2584" s="100"/>
      <c r="ENZ2584" s="100"/>
      <c r="EOA2584" s="100"/>
      <c r="EOB2584" s="100"/>
      <c r="EOC2584" s="100"/>
      <c r="EOD2584" s="100"/>
      <c r="EOE2584" s="100"/>
      <c r="EOF2584" s="100"/>
      <c r="EOG2584" s="100"/>
      <c r="EOH2584" s="100"/>
      <c r="EOI2584" s="100"/>
      <c r="EOJ2584" s="100"/>
      <c r="EOK2584" s="100"/>
      <c r="EOL2584" s="100"/>
      <c r="EOM2584" s="100"/>
      <c r="EON2584" s="100"/>
      <c r="EOO2584" s="100"/>
      <c r="EOP2584" s="100"/>
      <c r="EOQ2584" s="100"/>
      <c r="EOR2584" s="100"/>
      <c r="EOS2584" s="100"/>
      <c r="EOT2584" s="100"/>
      <c r="EOU2584" s="100"/>
      <c r="EOV2584" s="100"/>
      <c r="EOW2584" s="100"/>
      <c r="EOX2584" s="100"/>
      <c r="EOY2584" s="100"/>
      <c r="EOZ2584" s="100"/>
      <c r="EPA2584" s="100"/>
      <c r="EPB2584" s="100"/>
      <c r="EPC2584" s="100"/>
      <c r="EPD2584" s="100"/>
      <c r="EPE2584" s="100"/>
      <c r="EPF2584" s="100"/>
      <c r="EPG2584" s="100"/>
      <c r="EPH2584" s="100"/>
      <c r="EPI2584" s="100"/>
      <c r="EPJ2584" s="100"/>
      <c r="EPK2584" s="100"/>
      <c r="EPL2584" s="100"/>
      <c r="EPM2584" s="100"/>
      <c r="EPN2584" s="100"/>
      <c r="EPO2584" s="100"/>
      <c r="EPP2584" s="100"/>
      <c r="EPQ2584" s="100"/>
      <c r="EPR2584" s="100"/>
      <c r="EPS2584" s="100"/>
      <c r="EPT2584" s="100"/>
      <c r="EPU2584" s="100"/>
      <c r="EPV2584" s="100"/>
      <c r="EPW2584" s="100"/>
      <c r="EPX2584" s="100"/>
      <c r="EPY2584" s="100"/>
      <c r="EPZ2584" s="100"/>
      <c r="EQA2584" s="100"/>
      <c r="EQB2584" s="100"/>
      <c r="EQC2584" s="100"/>
      <c r="EQD2584" s="100"/>
      <c r="EQE2584" s="100"/>
      <c r="EQF2584" s="100"/>
      <c r="EQG2584" s="100"/>
      <c r="EQH2584" s="100"/>
      <c r="EQI2584" s="100"/>
      <c r="EQJ2584" s="100"/>
      <c r="EQK2584" s="100"/>
      <c r="EQL2584" s="100"/>
      <c r="EQM2584" s="100"/>
      <c r="EQN2584" s="100"/>
      <c r="EQO2584" s="100"/>
      <c r="EQP2584" s="100"/>
      <c r="EQQ2584" s="100"/>
      <c r="EQR2584" s="100"/>
      <c r="EQS2584" s="100"/>
      <c r="EQT2584" s="100"/>
      <c r="EQU2584" s="100"/>
      <c r="EQV2584" s="100"/>
      <c r="EQW2584" s="100"/>
      <c r="EQX2584" s="100"/>
      <c r="EQY2584" s="100"/>
      <c r="EQZ2584" s="100"/>
      <c r="ERA2584" s="100"/>
      <c r="ERB2584" s="100"/>
      <c r="ERC2584" s="100"/>
      <c r="ERD2584" s="100"/>
      <c r="ERE2584" s="100"/>
      <c r="ERF2584" s="100"/>
      <c r="ERG2584" s="100"/>
      <c r="ERH2584" s="100"/>
      <c r="ERI2584" s="100"/>
      <c r="ERJ2584" s="100"/>
      <c r="ERK2584" s="100"/>
      <c r="ERL2584" s="100"/>
      <c r="ERM2584" s="100"/>
      <c r="ERN2584" s="100"/>
      <c r="ERO2584" s="100"/>
      <c r="ERP2584" s="100"/>
      <c r="ERQ2584" s="100"/>
      <c r="ERR2584" s="100"/>
      <c r="ERS2584" s="100"/>
      <c r="ERT2584" s="100"/>
      <c r="ERU2584" s="100"/>
      <c r="ERV2584" s="100"/>
      <c r="ERW2584" s="100"/>
      <c r="ERX2584" s="100"/>
      <c r="ERY2584" s="100"/>
      <c r="ERZ2584" s="100"/>
      <c r="ESA2584" s="100"/>
      <c r="ESB2584" s="100"/>
      <c r="ESC2584" s="100"/>
      <c r="ESD2584" s="100"/>
      <c r="ESE2584" s="100"/>
      <c r="ESF2584" s="100"/>
      <c r="ESG2584" s="100"/>
      <c r="ESH2584" s="100"/>
      <c r="ESI2584" s="100"/>
      <c r="ESJ2584" s="100"/>
      <c r="ESK2584" s="100"/>
      <c r="ESL2584" s="100"/>
      <c r="ESM2584" s="100"/>
      <c r="ESN2584" s="100"/>
      <c r="ESO2584" s="100"/>
      <c r="ESP2584" s="100"/>
      <c r="ESQ2584" s="100"/>
      <c r="ESR2584" s="100"/>
      <c r="ESS2584" s="100"/>
      <c r="EST2584" s="100"/>
      <c r="ESU2584" s="100"/>
      <c r="ESV2584" s="100"/>
      <c r="ESW2584" s="100"/>
      <c r="ESX2584" s="100"/>
      <c r="ESY2584" s="100"/>
      <c r="ESZ2584" s="100"/>
      <c r="ETA2584" s="100"/>
      <c r="ETB2584" s="100"/>
      <c r="ETC2584" s="100"/>
      <c r="ETD2584" s="100"/>
      <c r="ETE2584" s="100"/>
      <c r="ETF2584" s="100"/>
      <c r="ETG2584" s="100"/>
      <c r="ETH2584" s="100"/>
      <c r="ETI2584" s="100"/>
      <c r="ETJ2584" s="100"/>
      <c r="ETK2584" s="100"/>
      <c r="ETL2584" s="100"/>
      <c r="ETM2584" s="100"/>
      <c r="ETN2584" s="100"/>
      <c r="ETO2584" s="100"/>
      <c r="ETP2584" s="100"/>
      <c r="ETQ2584" s="100"/>
      <c r="ETR2584" s="100"/>
      <c r="ETS2584" s="100"/>
      <c r="ETT2584" s="100"/>
      <c r="ETU2584" s="100"/>
      <c r="ETV2584" s="100"/>
      <c r="ETW2584" s="100"/>
      <c r="ETX2584" s="100"/>
      <c r="ETY2584" s="100"/>
      <c r="ETZ2584" s="100"/>
      <c r="EUA2584" s="100"/>
      <c r="EUB2584" s="100"/>
      <c r="EUC2584" s="100"/>
      <c r="EUD2584" s="100"/>
      <c r="EUE2584" s="100"/>
      <c r="EUF2584" s="100"/>
      <c r="EUG2584" s="100"/>
      <c r="EUH2584" s="100"/>
      <c r="EUI2584" s="100"/>
      <c r="EUJ2584" s="100"/>
      <c r="EUK2584" s="100"/>
      <c r="EUL2584" s="100"/>
      <c r="EUM2584" s="100"/>
      <c r="EUN2584" s="100"/>
      <c r="EUO2584" s="100"/>
      <c r="EUP2584" s="100"/>
      <c r="EUQ2584" s="100"/>
      <c r="EUR2584" s="100"/>
      <c r="EUS2584" s="100"/>
      <c r="EUT2584" s="100"/>
      <c r="EUU2584" s="100"/>
      <c r="EUV2584" s="100"/>
      <c r="EUW2584" s="100"/>
      <c r="EUX2584" s="100"/>
      <c r="EUY2584" s="100"/>
      <c r="EUZ2584" s="100"/>
      <c r="EVA2584" s="100"/>
      <c r="EVB2584" s="100"/>
      <c r="EVC2584" s="100"/>
      <c r="EVD2584" s="100"/>
      <c r="EVE2584" s="100"/>
      <c r="EVF2584" s="100"/>
      <c r="EVG2584" s="100"/>
      <c r="EVH2584" s="100"/>
      <c r="EVI2584" s="100"/>
      <c r="EVJ2584" s="100"/>
      <c r="EVK2584" s="100"/>
      <c r="EVL2584" s="100"/>
      <c r="EVM2584" s="100"/>
      <c r="EVN2584" s="100"/>
      <c r="EVO2584" s="100"/>
      <c r="EVP2584" s="100"/>
      <c r="EVQ2584" s="100"/>
      <c r="EVR2584" s="100"/>
      <c r="EVS2584" s="100"/>
      <c r="EVT2584" s="100"/>
      <c r="EVU2584" s="100"/>
      <c r="EVV2584" s="100"/>
      <c r="EVW2584" s="100"/>
      <c r="EVX2584" s="100"/>
      <c r="EVY2584" s="100"/>
      <c r="EVZ2584" s="100"/>
      <c r="EWA2584" s="100"/>
      <c r="EWB2584" s="100"/>
      <c r="EWC2584" s="100"/>
      <c r="EWD2584" s="100"/>
      <c r="EWE2584" s="100"/>
      <c r="EWF2584" s="100"/>
      <c r="EWG2584" s="100"/>
      <c r="EWH2584" s="100"/>
      <c r="EWI2584" s="100"/>
      <c r="EWJ2584" s="100"/>
      <c r="EWK2584" s="100"/>
      <c r="EWL2584" s="100"/>
      <c r="EWM2584" s="100"/>
      <c r="EWN2584" s="100"/>
      <c r="EWO2584" s="100"/>
      <c r="EWP2584" s="100"/>
      <c r="EWQ2584" s="100"/>
      <c r="EWR2584" s="100"/>
      <c r="EWS2584" s="100"/>
      <c r="EWT2584" s="100"/>
      <c r="EWU2584" s="100"/>
      <c r="EWV2584" s="100"/>
      <c r="EWW2584" s="100"/>
      <c r="EWX2584" s="100"/>
      <c r="EWY2584" s="100"/>
      <c r="EWZ2584" s="100"/>
      <c r="EXA2584" s="100"/>
      <c r="EXB2584" s="100"/>
      <c r="EXC2584" s="100"/>
      <c r="EXD2584" s="100"/>
      <c r="EXE2584" s="100"/>
      <c r="EXF2584" s="100"/>
      <c r="EXG2584" s="100"/>
      <c r="EXH2584" s="100"/>
      <c r="EXI2584" s="100"/>
      <c r="EXJ2584" s="100"/>
      <c r="EXK2584" s="100"/>
      <c r="EXL2584" s="100"/>
      <c r="EXM2584" s="100"/>
      <c r="EXN2584" s="100"/>
      <c r="EXO2584" s="100"/>
      <c r="EXP2584" s="100"/>
      <c r="EXQ2584" s="100"/>
      <c r="EXR2584" s="100"/>
      <c r="EXS2584" s="100"/>
      <c r="EXT2584" s="100"/>
      <c r="EXU2584" s="100"/>
      <c r="EXV2584" s="100"/>
      <c r="EXW2584" s="100"/>
      <c r="EXX2584" s="100"/>
      <c r="EXY2584" s="100"/>
      <c r="EXZ2584" s="100"/>
      <c r="EYA2584" s="100"/>
      <c r="EYB2584" s="100"/>
      <c r="EYC2584" s="100"/>
      <c r="EYD2584" s="100"/>
      <c r="EYE2584" s="100"/>
      <c r="EYF2584" s="100"/>
      <c r="EYG2584" s="100"/>
      <c r="EYH2584" s="100"/>
      <c r="EYI2584" s="100"/>
      <c r="EYJ2584" s="100"/>
      <c r="EYK2584" s="100"/>
      <c r="EYL2584" s="100"/>
      <c r="EYM2584" s="100"/>
      <c r="EYN2584" s="100"/>
      <c r="EYO2584" s="100"/>
      <c r="EYP2584" s="100"/>
      <c r="EYQ2584" s="100"/>
      <c r="EYR2584" s="100"/>
      <c r="EYS2584" s="100"/>
      <c r="EYT2584" s="100"/>
      <c r="EYU2584" s="100"/>
      <c r="EYV2584" s="100"/>
      <c r="EYW2584" s="100"/>
      <c r="EYX2584" s="100"/>
      <c r="EYY2584" s="100"/>
      <c r="EYZ2584" s="100"/>
      <c r="EZA2584" s="100"/>
      <c r="EZB2584" s="100"/>
      <c r="EZC2584" s="100"/>
      <c r="EZD2584" s="100"/>
      <c r="EZE2584" s="100"/>
      <c r="EZF2584" s="100"/>
      <c r="EZG2584" s="100"/>
      <c r="EZH2584" s="100"/>
      <c r="EZI2584" s="100"/>
      <c r="EZJ2584" s="100"/>
      <c r="EZK2584" s="100"/>
      <c r="EZL2584" s="100"/>
      <c r="EZM2584" s="100"/>
      <c r="EZN2584" s="100"/>
      <c r="EZO2584" s="100"/>
      <c r="EZP2584" s="100"/>
      <c r="EZQ2584" s="100"/>
      <c r="EZR2584" s="100"/>
      <c r="EZS2584" s="100"/>
      <c r="EZT2584" s="100"/>
      <c r="EZU2584" s="100"/>
      <c r="EZV2584" s="100"/>
      <c r="EZW2584" s="100"/>
      <c r="EZX2584" s="100"/>
      <c r="EZY2584" s="100"/>
      <c r="EZZ2584" s="100"/>
      <c r="FAA2584" s="100"/>
      <c r="FAB2584" s="100"/>
      <c r="FAC2584" s="100"/>
      <c r="FAD2584" s="100"/>
      <c r="FAE2584" s="100"/>
      <c r="FAF2584" s="100"/>
      <c r="FAG2584" s="100"/>
      <c r="FAH2584" s="100"/>
      <c r="FAI2584" s="100"/>
      <c r="FAJ2584" s="100"/>
      <c r="FAK2584" s="100"/>
      <c r="FAL2584" s="100"/>
      <c r="FAM2584" s="100"/>
      <c r="FAN2584" s="100"/>
      <c r="FAO2584" s="100"/>
      <c r="FAP2584" s="100"/>
      <c r="FAQ2584" s="100"/>
      <c r="FAR2584" s="100"/>
      <c r="FAS2584" s="100"/>
      <c r="FAT2584" s="100"/>
      <c r="FAU2584" s="100"/>
      <c r="FAV2584" s="100"/>
      <c r="FAW2584" s="100"/>
      <c r="FAX2584" s="100"/>
      <c r="FAY2584" s="100"/>
      <c r="FAZ2584" s="100"/>
      <c r="FBA2584" s="100"/>
      <c r="FBB2584" s="100"/>
      <c r="FBC2584" s="100"/>
      <c r="FBD2584" s="100"/>
      <c r="FBE2584" s="100"/>
      <c r="FBF2584" s="100"/>
      <c r="FBG2584" s="100"/>
      <c r="FBH2584" s="100"/>
      <c r="FBI2584" s="100"/>
      <c r="FBJ2584" s="100"/>
      <c r="FBK2584" s="100"/>
      <c r="FBL2584" s="100"/>
      <c r="FBM2584" s="100"/>
      <c r="FBN2584" s="100"/>
      <c r="FBO2584" s="100"/>
      <c r="FBP2584" s="100"/>
      <c r="FBQ2584" s="100"/>
      <c r="FBR2584" s="100"/>
      <c r="FBS2584" s="100"/>
      <c r="FBT2584" s="100"/>
      <c r="FBU2584" s="100"/>
      <c r="FBV2584" s="100"/>
      <c r="FBW2584" s="100"/>
      <c r="FBX2584" s="100"/>
      <c r="FBY2584" s="100"/>
      <c r="FBZ2584" s="100"/>
      <c r="FCA2584" s="100"/>
      <c r="FCB2584" s="100"/>
      <c r="FCC2584" s="100"/>
      <c r="FCD2584" s="100"/>
      <c r="FCE2584" s="100"/>
      <c r="FCF2584" s="100"/>
      <c r="FCG2584" s="100"/>
      <c r="FCH2584" s="100"/>
      <c r="FCI2584" s="100"/>
      <c r="FCJ2584" s="100"/>
      <c r="FCK2584" s="100"/>
      <c r="FCL2584" s="100"/>
      <c r="FCM2584" s="100"/>
      <c r="FCN2584" s="100"/>
      <c r="FCO2584" s="100"/>
      <c r="FCP2584" s="100"/>
      <c r="FCQ2584" s="100"/>
      <c r="FCR2584" s="100"/>
      <c r="FCS2584" s="100"/>
      <c r="FCT2584" s="100"/>
      <c r="FCU2584" s="100"/>
      <c r="FCV2584" s="100"/>
      <c r="FCW2584" s="100"/>
      <c r="FCX2584" s="100"/>
      <c r="FCY2584" s="100"/>
      <c r="FCZ2584" s="100"/>
      <c r="FDA2584" s="100"/>
      <c r="FDB2584" s="100"/>
      <c r="FDC2584" s="100"/>
      <c r="FDD2584" s="100"/>
      <c r="FDE2584" s="100"/>
      <c r="FDF2584" s="100"/>
      <c r="FDG2584" s="100"/>
      <c r="FDH2584" s="100"/>
      <c r="FDI2584" s="100"/>
      <c r="FDJ2584" s="100"/>
      <c r="FDK2584" s="100"/>
      <c r="FDL2584" s="100"/>
      <c r="FDM2584" s="100"/>
      <c r="FDN2584" s="100"/>
      <c r="FDO2584" s="100"/>
      <c r="FDP2584" s="100"/>
      <c r="FDQ2584" s="100"/>
      <c r="FDR2584" s="100"/>
      <c r="FDS2584" s="100"/>
      <c r="FDT2584" s="100"/>
      <c r="FDU2584" s="100"/>
      <c r="FDV2584" s="100"/>
      <c r="FDW2584" s="100"/>
      <c r="FDX2584" s="100"/>
      <c r="FDY2584" s="100"/>
      <c r="FDZ2584" s="100"/>
      <c r="FEA2584" s="100"/>
      <c r="FEB2584" s="100"/>
      <c r="FEC2584" s="100"/>
      <c r="FED2584" s="100"/>
      <c r="FEE2584" s="100"/>
      <c r="FEF2584" s="100"/>
      <c r="FEG2584" s="100"/>
      <c r="FEH2584" s="100"/>
      <c r="FEI2584" s="100"/>
      <c r="FEJ2584" s="100"/>
      <c r="FEK2584" s="100"/>
      <c r="FEL2584" s="100"/>
      <c r="FEM2584" s="100"/>
      <c r="FEN2584" s="100"/>
      <c r="FEO2584" s="100"/>
      <c r="FEP2584" s="100"/>
      <c r="FEQ2584" s="100"/>
      <c r="FER2584" s="100"/>
      <c r="FES2584" s="100"/>
      <c r="FET2584" s="100"/>
      <c r="FEU2584" s="100"/>
      <c r="FEV2584" s="100"/>
      <c r="FEW2584" s="100"/>
      <c r="FEX2584" s="100"/>
      <c r="FEY2584" s="100"/>
      <c r="FEZ2584" s="100"/>
      <c r="FFA2584" s="100"/>
      <c r="FFB2584" s="100"/>
      <c r="FFC2584" s="100"/>
      <c r="FFD2584" s="100"/>
      <c r="FFE2584" s="100"/>
      <c r="FFF2584" s="100"/>
      <c r="FFG2584" s="100"/>
      <c r="FFH2584" s="100"/>
      <c r="FFI2584" s="100"/>
      <c r="FFJ2584" s="100"/>
      <c r="FFK2584" s="100"/>
      <c r="FFL2584" s="100"/>
      <c r="FFM2584" s="100"/>
      <c r="FFN2584" s="100"/>
      <c r="FFO2584" s="100"/>
      <c r="FFP2584" s="100"/>
      <c r="FFQ2584" s="100"/>
      <c r="FFR2584" s="100"/>
      <c r="FFS2584" s="100"/>
      <c r="FFT2584" s="100"/>
      <c r="FFU2584" s="100"/>
      <c r="FFV2584" s="100"/>
      <c r="FFW2584" s="100"/>
      <c r="FFX2584" s="100"/>
      <c r="FFY2584" s="100"/>
      <c r="FFZ2584" s="100"/>
      <c r="FGA2584" s="100"/>
      <c r="FGB2584" s="100"/>
      <c r="FGC2584" s="100"/>
      <c r="FGD2584" s="100"/>
      <c r="FGE2584" s="100"/>
      <c r="FGF2584" s="100"/>
      <c r="FGG2584" s="100"/>
      <c r="FGH2584" s="100"/>
      <c r="FGI2584" s="100"/>
      <c r="FGJ2584" s="100"/>
      <c r="FGK2584" s="100"/>
      <c r="FGL2584" s="100"/>
      <c r="FGM2584" s="100"/>
      <c r="FGN2584" s="100"/>
      <c r="FGO2584" s="100"/>
      <c r="FGP2584" s="100"/>
      <c r="FGQ2584" s="100"/>
      <c r="FGR2584" s="100"/>
      <c r="FGS2584" s="100"/>
      <c r="FGT2584" s="100"/>
      <c r="FGU2584" s="100"/>
      <c r="FGV2584" s="100"/>
      <c r="FGW2584" s="100"/>
      <c r="FGX2584" s="100"/>
      <c r="FGY2584" s="100"/>
      <c r="FGZ2584" s="100"/>
      <c r="FHA2584" s="100"/>
      <c r="FHB2584" s="100"/>
      <c r="FHC2584" s="100"/>
      <c r="FHD2584" s="100"/>
      <c r="FHE2584" s="100"/>
      <c r="FHF2584" s="100"/>
      <c r="FHG2584" s="100"/>
      <c r="FHH2584" s="100"/>
      <c r="FHI2584" s="100"/>
      <c r="FHJ2584" s="100"/>
      <c r="FHK2584" s="100"/>
      <c r="FHL2584" s="100"/>
      <c r="FHM2584" s="100"/>
      <c r="FHN2584" s="100"/>
      <c r="FHO2584" s="100"/>
      <c r="FHP2584" s="100"/>
      <c r="FHQ2584" s="100"/>
      <c r="FHR2584" s="100"/>
      <c r="FHS2584" s="100"/>
      <c r="FHT2584" s="100"/>
      <c r="FHU2584" s="100"/>
      <c r="FHV2584" s="100"/>
      <c r="FHW2584" s="100"/>
      <c r="FHX2584" s="100"/>
      <c r="FHY2584" s="100"/>
      <c r="FHZ2584" s="100"/>
      <c r="FIA2584" s="100"/>
      <c r="FIB2584" s="100"/>
      <c r="FIC2584" s="100"/>
      <c r="FID2584" s="100"/>
      <c r="FIE2584" s="100"/>
      <c r="FIF2584" s="100"/>
      <c r="FIG2584" s="100"/>
      <c r="FIH2584" s="100"/>
      <c r="FII2584" s="100"/>
      <c r="FIJ2584" s="100"/>
      <c r="FIK2584" s="100"/>
      <c r="FIL2584" s="100"/>
      <c r="FIM2584" s="100"/>
      <c r="FIN2584" s="100"/>
      <c r="FIO2584" s="100"/>
      <c r="FIP2584" s="100"/>
      <c r="FIQ2584" s="100"/>
      <c r="FIR2584" s="100"/>
      <c r="FIS2584" s="100"/>
      <c r="FIT2584" s="100"/>
      <c r="FIU2584" s="100"/>
      <c r="FIV2584" s="100"/>
      <c r="FIW2584" s="100"/>
      <c r="FIX2584" s="100"/>
      <c r="FIY2584" s="100"/>
      <c r="FIZ2584" s="100"/>
      <c r="FJA2584" s="100"/>
      <c r="FJB2584" s="100"/>
      <c r="FJC2584" s="100"/>
      <c r="FJD2584" s="100"/>
      <c r="FJE2584" s="100"/>
      <c r="FJF2584" s="100"/>
      <c r="FJG2584" s="100"/>
      <c r="FJH2584" s="100"/>
      <c r="FJI2584" s="100"/>
      <c r="FJJ2584" s="100"/>
      <c r="FJK2584" s="100"/>
      <c r="FJL2584" s="100"/>
      <c r="FJM2584" s="100"/>
      <c r="FJN2584" s="100"/>
      <c r="FJO2584" s="100"/>
      <c r="FJP2584" s="100"/>
      <c r="FJQ2584" s="100"/>
      <c r="FJR2584" s="100"/>
      <c r="FJS2584" s="100"/>
      <c r="FJT2584" s="100"/>
      <c r="FJU2584" s="100"/>
      <c r="FJV2584" s="100"/>
      <c r="FJW2584" s="100"/>
      <c r="FJX2584" s="100"/>
      <c r="FJY2584" s="100"/>
      <c r="FJZ2584" s="100"/>
      <c r="FKA2584" s="100"/>
      <c r="FKB2584" s="100"/>
      <c r="FKC2584" s="100"/>
      <c r="FKD2584" s="100"/>
      <c r="FKE2584" s="100"/>
      <c r="FKF2584" s="100"/>
      <c r="FKG2584" s="100"/>
      <c r="FKH2584" s="100"/>
      <c r="FKI2584" s="100"/>
      <c r="FKJ2584" s="100"/>
      <c r="FKK2584" s="100"/>
      <c r="FKL2584" s="100"/>
      <c r="FKM2584" s="100"/>
      <c r="FKN2584" s="100"/>
      <c r="FKO2584" s="100"/>
      <c r="FKP2584" s="100"/>
      <c r="FKQ2584" s="100"/>
      <c r="FKR2584" s="100"/>
      <c r="FKS2584" s="100"/>
      <c r="FKT2584" s="100"/>
      <c r="FKU2584" s="100"/>
      <c r="FKV2584" s="100"/>
      <c r="FKW2584" s="100"/>
      <c r="FKX2584" s="100"/>
      <c r="FKY2584" s="100"/>
      <c r="FKZ2584" s="100"/>
      <c r="FLA2584" s="100"/>
      <c r="FLB2584" s="100"/>
      <c r="FLC2584" s="100"/>
      <c r="FLD2584" s="100"/>
      <c r="FLE2584" s="100"/>
      <c r="FLF2584" s="100"/>
      <c r="FLG2584" s="100"/>
      <c r="FLH2584" s="100"/>
      <c r="FLI2584" s="100"/>
      <c r="FLJ2584" s="100"/>
      <c r="FLK2584" s="100"/>
      <c r="FLL2584" s="100"/>
      <c r="FLM2584" s="100"/>
      <c r="FLN2584" s="100"/>
      <c r="FLO2584" s="100"/>
      <c r="FLP2584" s="100"/>
      <c r="FLQ2584" s="100"/>
      <c r="FLR2584" s="100"/>
      <c r="FLS2584" s="100"/>
      <c r="FLT2584" s="100"/>
      <c r="FLU2584" s="100"/>
      <c r="FLV2584" s="100"/>
      <c r="FLW2584" s="100"/>
      <c r="FLX2584" s="100"/>
      <c r="FLY2584" s="100"/>
      <c r="FLZ2584" s="100"/>
      <c r="FMA2584" s="100"/>
      <c r="FMB2584" s="100"/>
      <c r="FMC2584" s="100"/>
      <c r="FMD2584" s="100"/>
      <c r="FME2584" s="100"/>
      <c r="FMF2584" s="100"/>
      <c r="FMG2584" s="100"/>
      <c r="FMH2584" s="100"/>
      <c r="FMI2584" s="100"/>
      <c r="FMJ2584" s="100"/>
      <c r="FMK2584" s="100"/>
      <c r="FML2584" s="100"/>
      <c r="FMM2584" s="100"/>
      <c r="FMN2584" s="100"/>
      <c r="FMO2584" s="100"/>
      <c r="FMP2584" s="100"/>
      <c r="FMQ2584" s="100"/>
      <c r="FMR2584" s="100"/>
      <c r="FMS2584" s="100"/>
      <c r="FMT2584" s="100"/>
      <c r="FMU2584" s="100"/>
      <c r="FMV2584" s="100"/>
      <c r="FMW2584" s="100"/>
      <c r="FMX2584" s="100"/>
      <c r="FMY2584" s="100"/>
      <c r="FMZ2584" s="100"/>
      <c r="FNA2584" s="100"/>
      <c r="FNB2584" s="100"/>
      <c r="FNC2584" s="100"/>
      <c r="FND2584" s="100"/>
      <c r="FNE2584" s="100"/>
      <c r="FNF2584" s="100"/>
      <c r="FNG2584" s="100"/>
      <c r="FNH2584" s="100"/>
      <c r="FNI2584" s="100"/>
      <c r="FNJ2584" s="100"/>
      <c r="FNK2584" s="100"/>
      <c r="FNL2584" s="100"/>
      <c r="FNM2584" s="100"/>
      <c r="FNN2584" s="100"/>
      <c r="FNO2584" s="100"/>
      <c r="FNP2584" s="100"/>
      <c r="FNQ2584" s="100"/>
      <c r="FNR2584" s="100"/>
      <c r="FNS2584" s="100"/>
      <c r="FNT2584" s="100"/>
      <c r="FNU2584" s="100"/>
      <c r="FNV2584" s="100"/>
      <c r="FNW2584" s="100"/>
      <c r="FNX2584" s="100"/>
      <c r="FNY2584" s="100"/>
      <c r="FNZ2584" s="100"/>
      <c r="FOA2584" s="100"/>
      <c r="FOB2584" s="100"/>
      <c r="FOC2584" s="100"/>
      <c r="FOD2584" s="100"/>
      <c r="FOE2584" s="100"/>
      <c r="FOF2584" s="100"/>
      <c r="FOG2584" s="100"/>
      <c r="FOH2584" s="100"/>
      <c r="FOI2584" s="100"/>
      <c r="FOJ2584" s="100"/>
      <c r="FOK2584" s="100"/>
      <c r="FOL2584" s="100"/>
      <c r="FOM2584" s="100"/>
      <c r="FON2584" s="100"/>
      <c r="FOO2584" s="100"/>
      <c r="FOP2584" s="100"/>
      <c r="FOQ2584" s="100"/>
      <c r="FOR2584" s="100"/>
      <c r="FOS2584" s="100"/>
      <c r="FOT2584" s="100"/>
      <c r="FOU2584" s="100"/>
      <c r="FOV2584" s="100"/>
      <c r="FOW2584" s="100"/>
      <c r="FOX2584" s="100"/>
      <c r="FOY2584" s="100"/>
      <c r="FOZ2584" s="100"/>
      <c r="FPA2584" s="100"/>
      <c r="FPB2584" s="100"/>
      <c r="FPC2584" s="100"/>
      <c r="FPD2584" s="100"/>
      <c r="FPE2584" s="100"/>
      <c r="FPF2584" s="100"/>
      <c r="FPG2584" s="100"/>
      <c r="FPH2584" s="100"/>
      <c r="FPI2584" s="100"/>
      <c r="FPJ2584" s="100"/>
      <c r="FPK2584" s="100"/>
      <c r="FPL2584" s="100"/>
      <c r="FPM2584" s="100"/>
      <c r="FPN2584" s="100"/>
      <c r="FPO2584" s="100"/>
      <c r="FPP2584" s="100"/>
      <c r="FPQ2584" s="100"/>
      <c r="FPR2584" s="100"/>
      <c r="FPS2584" s="100"/>
      <c r="FPT2584" s="100"/>
      <c r="FPU2584" s="100"/>
      <c r="FPV2584" s="100"/>
      <c r="FPW2584" s="100"/>
      <c r="FPX2584" s="100"/>
      <c r="FPY2584" s="100"/>
      <c r="FPZ2584" s="100"/>
      <c r="FQA2584" s="100"/>
      <c r="FQB2584" s="100"/>
      <c r="FQC2584" s="100"/>
      <c r="FQD2584" s="100"/>
      <c r="FQE2584" s="100"/>
      <c r="FQF2584" s="100"/>
      <c r="FQG2584" s="100"/>
      <c r="FQH2584" s="100"/>
      <c r="FQI2584" s="100"/>
      <c r="FQJ2584" s="100"/>
      <c r="FQK2584" s="100"/>
      <c r="FQL2584" s="100"/>
      <c r="FQM2584" s="100"/>
      <c r="FQN2584" s="100"/>
      <c r="FQO2584" s="100"/>
      <c r="FQP2584" s="100"/>
      <c r="FQQ2584" s="100"/>
      <c r="FQR2584" s="100"/>
      <c r="FQS2584" s="100"/>
      <c r="FQT2584" s="100"/>
      <c r="FQU2584" s="100"/>
      <c r="FQV2584" s="100"/>
      <c r="FQW2584" s="100"/>
      <c r="FQX2584" s="100"/>
      <c r="FQY2584" s="100"/>
      <c r="FQZ2584" s="100"/>
      <c r="FRA2584" s="100"/>
      <c r="FRB2584" s="100"/>
      <c r="FRC2584" s="100"/>
      <c r="FRD2584" s="100"/>
      <c r="FRE2584" s="100"/>
      <c r="FRF2584" s="100"/>
      <c r="FRG2584" s="100"/>
      <c r="FRH2584" s="100"/>
      <c r="FRI2584" s="100"/>
      <c r="FRJ2584" s="100"/>
      <c r="FRK2584" s="100"/>
      <c r="FRL2584" s="100"/>
      <c r="FRM2584" s="100"/>
      <c r="FRN2584" s="100"/>
      <c r="FRO2584" s="100"/>
      <c r="FRP2584" s="100"/>
      <c r="FRQ2584" s="100"/>
      <c r="FRR2584" s="100"/>
      <c r="FRS2584" s="100"/>
      <c r="FRT2584" s="100"/>
      <c r="FRU2584" s="100"/>
      <c r="FRV2584" s="100"/>
      <c r="FRW2584" s="100"/>
      <c r="FRX2584" s="100"/>
      <c r="FRY2584" s="100"/>
      <c r="FRZ2584" s="100"/>
      <c r="FSA2584" s="100"/>
      <c r="FSB2584" s="100"/>
      <c r="FSC2584" s="100"/>
      <c r="FSD2584" s="100"/>
      <c r="FSE2584" s="100"/>
      <c r="FSF2584" s="100"/>
      <c r="FSG2584" s="100"/>
      <c r="FSH2584" s="100"/>
      <c r="FSI2584" s="100"/>
      <c r="FSJ2584" s="100"/>
      <c r="FSK2584" s="100"/>
      <c r="FSL2584" s="100"/>
      <c r="FSM2584" s="100"/>
      <c r="FSN2584" s="100"/>
      <c r="FSO2584" s="100"/>
      <c r="FSP2584" s="100"/>
      <c r="FSQ2584" s="100"/>
      <c r="FSR2584" s="100"/>
      <c r="FSS2584" s="100"/>
      <c r="FST2584" s="100"/>
      <c r="FSU2584" s="100"/>
      <c r="FSV2584" s="100"/>
      <c r="FSW2584" s="100"/>
      <c r="FSX2584" s="100"/>
      <c r="FSY2584" s="100"/>
      <c r="FSZ2584" s="100"/>
      <c r="FTA2584" s="100"/>
      <c r="FTB2584" s="100"/>
      <c r="FTC2584" s="100"/>
      <c r="FTD2584" s="100"/>
      <c r="FTE2584" s="100"/>
      <c r="FTF2584" s="100"/>
      <c r="FTG2584" s="100"/>
      <c r="FTH2584" s="100"/>
      <c r="FTI2584" s="100"/>
      <c r="FTJ2584" s="100"/>
      <c r="FTK2584" s="100"/>
      <c r="FTL2584" s="100"/>
      <c r="FTM2584" s="100"/>
      <c r="FTN2584" s="100"/>
      <c r="FTO2584" s="100"/>
      <c r="FTP2584" s="100"/>
      <c r="FTQ2584" s="100"/>
      <c r="FTR2584" s="100"/>
      <c r="FTS2584" s="100"/>
      <c r="FTT2584" s="100"/>
      <c r="FTU2584" s="100"/>
      <c r="FTV2584" s="100"/>
      <c r="FTW2584" s="100"/>
      <c r="FTX2584" s="100"/>
      <c r="FTY2584" s="100"/>
      <c r="FTZ2584" s="100"/>
      <c r="FUA2584" s="100"/>
      <c r="FUB2584" s="100"/>
      <c r="FUC2584" s="100"/>
      <c r="FUD2584" s="100"/>
      <c r="FUE2584" s="100"/>
      <c r="FUF2584" s="100"/>
      <c r="FUG2584" s="100"/>
      <c r="FUH2584" s="100"/>
      <c r="FUI2584" s="100"/>
      <c r="FUJ2584" s="100"/>
      <c r="FUK2584" s="100"/>
      <c r="FUL2584" s="100"/>
      <c r="FUM2584" s="100"/>
      <c r="FUN2584" s="100"/>
      <c r="FUO2584" s="100"/>
      <c r="FUP2584" s="100"/>
      <c r="FUQ2584" s="100"/>
      <c r="FUR2584" s="100"/>
      <c r="FUS2584" s="100"/>
      <c r="FUT2584" s="100"/>
      <c r="FUU2584" s="100"/>
      <c r="FUV2584" s="100"/>
      <c r="FUW2584" s="100"/>
      <c r="FUX2584" s="100"/>
      <c r="FUY2584" s="100"/>
      <c r="FUZ2584" s="100"/>
      <c r="FVA2584" s="100"/>
      <c r="FVB2584" s="100"/>
      <c r="FVC2584" s="100"/>
      <c r="FVD2584" s="100"/>
      <c r="FVE2584" s="100"/>
      <c r="FVF2584" s="100"/>
      <c r="FVG2584" s="100"/>
      <c r="FVH2584" s="100"/>
      <c r="FVI2584" s="100"/>
      <c r="FVJ2584" s="100"/>
      <c r="FVK2584" s="100"/>
      <c r="FVL2584" s="100"/>
      <c r="FVM2584" s="100"/>
      <c r="FVN2584" s="100"/>
      <c r="FVO2584" s="100"/>
      <c r="FVP2584" s="100"/>
      <c r="FVQ2584" s="100"/>
      <c r="FVR2584" s="100"/>
      <c r="FVS2584" s="100"/>
      <c r="FVT2584" s="100"/>
      <c r="FVU2584" s="100"/>
      <c r="FVV2584" s="100"/>
      <c r="FVW2584" s="100"/>
      <c r="FVX2584" s="100"/>
      <c r="FVY2584" s="100"/>
      <c r="FVZ2584" s="100"/>
      <c r="FWA2584" s="100"/>
      <c r="FWB2584" s="100"/>
      <c r="FWC2584" s="100"/>
      <c r="FWD2584" s="100"/>
      <c r="FWE2584" s="100"/>
      <c r="FWF2584" s="100"/>
      <c r="FWG2584" s="100"/>
      <c r="FWH2584" s="100"/>
      <c r="FWI2584" s="100"/>
      <c r="FWJ2584" s="100"/>
      <c r="FWK2584" s="100"/>
      <c r="FWL2584" s="100"/>
      <c r="FWM2584" s="100"/>
      <c r="FWN2584" s="100"/>
      <c r="FWO2584" s="100"/>
      <c r="FWP2584" s="100"/>
      <c r="FWQ2584" s="100"/>
      <c r="FWR2584" s="100"/>
      <c r="FWS2584" s="100"/>
      <c r="FWT2584" s="100"/>
      <c r="FWU2584" s="100"/>
      <c r="FWV2584" s="100"/>
      <c r="FWW2584" s="100"/>
      <c r="FWX2584" s="100"/>
      <c r="FWY2584" s="100"/>
      <c r="FWZ2584" s="100"/>
      <c r="FXA2584" s="100"/>
      <c r="FXB2584" s="100"/>
      <c r="FXC2584" s="100"/>
      <c r="FXD2584" s="100"/>
      <c r="FXE2584" s="100"/>
      <c r="FXF2584" s="100"/>
      <c r="FXG2584" s="100"/>
      <c r="FXH2584" s="100"/>
      <c r="FXI2584" s="100"/>
      <c r="FXJ2584" s="100"/>
      <c r="FXK2584" s="100"/>
      <c r="FXL2584" s="100"/>
      <c r="FXM2584" s="100"/>
      <c r="FXN2584" s="100"/>
      <c r="FXO2584" s="100"/>
      <c r="FXP2584" s="100"/>
      <c r="FXQ2584" s="100"/>
      <c r="FXR2584" s="100"/>
      <c r="FXS2584" s="100"/>
      <c r="FXT2584" s="100"/>
      <c r="FXU2584" s="100"/>
      <c r="FXV2584" s="100"/>
      <c r="FXW2584" s="100"/>
      <c r="FXX2584" s="100"/>
      <c r="FXY2584" s="100"/>
      <c r="FXZ2584" s="100"/>
      <c r="FYA2584" s="100"/>
      <c r="FYB2584" s="100"/>
      <c r="FYC2584" s="100"/>
      <c r="FYD2584" s="100"/>
      <c r="FYE2584" s="100"/>
      <c r="FYF2584" s="100"/>
      <c r="FYG2584" s="100"/>
      <c r="FYH2584" s="100"/>
      <c r="FYI2584" s="100"/>
      <c r="FYJ2584" s="100"/>
      <c r="FYK2584" s="100"/>
      <c r="FYL2584" s="100"/>
      <c r="FYM2584" s="100"/>
      <c r="FYN2584" s="100"/>
      <c r="FYO2584" s="100"/>
      <c r="FYP2584" s="100"/>
      <c r="FYQ2584" s="100"/>
      <c r="FYR2584" s="100"/>
      <c r="FYS2584" s="100"/>
      <c r="FYT2584" s="100"/>
      <c r="FYU2584" s="100"/>
      <c r="FYV2584" s="100"/>
      <c r="FYW2584" s="100"/>
      <c r="FYX2584" s="100"/>
      <c r="FYY2584" s="100"/>
      <c r="FYZ2584" s="100"/>
      <c r="FZA2584" s="100"/>
      <c r="FZB2584" s="100"/>
      <c r="FZC2584" s="100"/>
      <c r="FZD2584" s="100"/>
      <c r="FZE2584" s="100"/>
      <c r="FZF2584" s="100"/>
      <c r="FZG2584" s="100"/>
      <c r="FZH2584" s="100"/>
      <c r="FZI2584" s="100"/>
      <c r="FZJ2584" s="100"/>
      <c r="FZK2584" s="100"/>
      <c r="FZL2584" s="100"/>
      <c r="FZM2584" s="100"/>
      <c r="FZN2584" s="100"/>
      <c r="FZO2584" s="100"/>
      <c r="FZP2584" s="100"/>
      <c r="FZQ2584" s="100"/>
      <c r="FZR2584" s="100"/>
      <c r="FZS2584" s="100"/>
      <c r="FZT2584" s="100"/>
      <c r="FZU2584" s="100"/>
      <c r="FZV2584" s="100"/>
      <c r="FZW2584" s="100"/>
      <c r="FZX2584" s="100"/>
      <c r="FZY2584" s="100"/>
      <c r="FZZ2584" s="100"/>
      <c r="GAA2584" s="100"/>
      <c r="GAB2584" s="100"/>
      <c r="GAC2584" s="100"/>
      <c r="GAD2584" s="100"/>
      <c r="GAE2584" s="100"/>
      <c r="GAF2584" s="100"/>
      <c r="GAG2584" s="100"/>
      <c r="GAH2584" s="100"/>
      <c r="GAI2584" s="100"/>
      <c r="GAJ2584" s="100"/>
      <c r="GAK2584" s="100"/>
      <c r="GAL2584" s="100"/>
      <c r="GAM2584" s="100"/>
      <c r="GAN2584" s="100"/>
      <c r="GAO2584" s="100"/>
      <c r="GAP2584" s="100"/>
      <c r="GAQ2584" s="100"/>
      <c r="GAR2584" s="100"/>
      <c r="GAS2584" s="100"/>
      <c r="GAT2584" s="100"/>
      <c r="GAU2584" s="100"/>
      <c r="GAV2584" s="100"/>
      <c r="GAW2584" s="100"/>
      <c r="GAX2584" s="100"/>
      <c r="GAY2584" s="100"/>
      <c r="GAZ2584" s="100"/>
      <c r="GBA2584" s="100"/>
      <c r="GBB2584" s="100"/>
      <c r="GBC2584" s="100"/>
      <c r="GBD2584" s="100"/>
      <c r="GBE2584" s="100"/>
      <c r="GBF2584" s="100"/>
      <c r="GBG2584" s="100"/>
      <c r="GBH2584" s="100"/>
      <c r="GBI2584" s="100"/>
      <c r="GBJ2584" s="100"/>
      <c r="GBK2584" s="100"/>
      <c r="GBL2584" s="100"/>
      <c r="GBM2584" s="100"/>
      <c r="GBN2584" s="100"/>
      <c r="GBO2584" s="100"/>
      <c r="GBP2584" s="100"/>
      <c r="GBQ2584" s="100"/>
      <c r="GBR2584" s="100"/>
      <c r="GBS2584" s="100"/>
      <c r="GBT2584" s="100"/>
      <c r="GBU2584" s="100"/>
      <c r="GBV2584" s="100"/>
      <c r="GBW2584" s="100"/>
      <c r="GBX2584" s="100"/>
      <c r="GBY2584" s="100"/>
      <c r="GBZ2584" s="100"/>
      <c r="GCA2584" s="100"/>
      <c r="GCB2584" s="100"/>
      <c r="GCC2584" s="100"/>
      <c r="GCD2584" s="100"/>
      <c r="GCE2584" s="100"/>
      <c r="GCF2584" s="100"/>
      <c r="GCG2584" s="100"/>
      <c r="GCH2584" s="100"/>
      <c r="GCI2584" s="100"/>
      <c r="GCJ2584" s="100"/>
      <c r="GCK2584" s="100"/>
      <c r="GCL2584" s="100"/>
      <c r="GCM2584" s="100"/>
      <c r="GCN2584" s="100"/>
      <c r="GCO2584" s="100"/>
      <c r="GCP2584" s="100"/>
      <c r="GCQ2584" s="100"/>
      <c r="GCR2584" s="100"/>
      <c r="GCS2584" s="100"/>
      <c r="GCT2584" s="100"/>
      <c r="GCU2584" s="100"/>
      <c r="GCV2584" s="100"/>
      <c r="GCW2584" s="100"/>
      <c r="GCX2584" s="100"/>
      <c r="GCY2584" s="100"/>
      <c r="GCZ2584" s="100"/>
      <c r="GDA2584" s="100"/>
      <c r="GDB2584" s="100"/>
      <c r="GDC2584" s="100"/>
      <c r="GDD2584" s="100"/>
      <c r="GDE2584" s="100"/>
      <c r="GDF2584" s="100"/>
      <c r="GDG2584" s="100"/>
      <c r="GDH2584" s="100"/>
      <c r="GDI2584" s="100"/>
      <c r="GDJ2584" s="100"/>
      <c r="GDK2584" s="100"/>
      <c r="GDL2584" s="100"/>
      <c r="GDM2584" s="100"/>
      <c r="GDN2584" s="100"/>
      <c r="GDO2584" s="100"/>
      <c r="GDP2584" s="100"/>
      <c r="GDQ2584" s="100"/>
      <c r="GDR2584" s="100"/>
      <c r="GDS2584" s="100"/>
      <c r="GDT2584" s="100"/>
      <c r="GDU2584" s="100"/>
      <c r="GDV2584" s="100"/>
      <c r="GDW2584" s="100"/>
      <c r="GDX2584" s="100"/>
      <c r="GDY2584" s="100"/>
      <c r="GDZ2584" s="100"/>
      <c r="GEA2584" s="100"/>
      <c r="GEB2584" s="100"/>
      <c r="GEC2584" s="100"/>
      <c r="GED2584" s="100"/>
      <c r="GEE2584" s="100"/>
      <c r="GEF2584" s="100"/>
      <c r="GEG2584" s="100"/>
      <c r="GEH2584" s="100"/>
      <c r="GEI2584" s="100"/>
      <c r="GEJ2584" s="100"/>
      <c r="GEK2584" s="100"/>
      <c r="GEL2584" s="100"/>
      <c r="GEM2584" s="100"/>
      <c r="GEN2584" s="100"/>
      <c r="GEO2584" s="100"/>
      <c r="GEP2584" s="100"/>
      <c r="GEQ2584" s="100"/>
      <c r="GER2584" s="100"/>
      <c r="GES2584" s="100"/>
      <c r="GET2584" s="100"/>
      <c r="GEU2584" s="100"/>
      <c r="GEV2584" s="100"/>
      <c r="GEW2584" s="100"/>
      <c r="GEX2584" s="100"/>
      <c r="GEY2584" s="100"/>
      <c r="GEZ2584" s="100"/>
      <c r="GFA2584" s="100"/>
      <c r="GFB2584" s="100"/>
      <c r="GFC2584" s="100"/>
      <c r="GFD2584" s="100"/>
      <c r="GFE2584" s="100"/>
      <c r="GFF2584" s="100"/>
      <c r="GFG2584" s="100"/>
      <c r="GFH2584" s="100"/>
      <c r="GFI2584" s="100"/>
      <c r="GFJ2584" s="100"/>
      <c r="GFK2584" s="100"/>
      <c r="GFL2584" s="100"/>
      <c r="GFM2584" s="100"/>
      <c r="GFN2584" s="100"/>
      <c r="GFO2584" s="100"/>
      <c r="GFP2584" s="100"/>
      <c r="GFQ2584" s="100"/>
      <c r="GFR2584" s="100"/>
      <c r="GFS2584" s="100"/>
      <c r="GFT2584" s="100"/>
      <c r="GFU2584" s="100"/>
      <c r="GFV2584" s="100"/>
      <c r="GFW2584" s="100"/>
      <c r="GFX2584" s="100"/>
      <c r="GFY2584" s="100"/>
      <c r="GFZ2584" s="100"/>
      <c r="GGA2584" s="100"/>
      <c r="GGB2584" s="100"/>
      <c r="GGC2584" s="100"/>
      <c r="GGD2584" s="100"/>
      <c r="GGE2584" s="100"/>
      <c r="GGF2584" s="100"/>
      <c r="GGG2584" s="100"/>
      <c r="GGH2584" s="100"/>
      <c r="GGI2584" s="100"/>
      <c r="GGJ2584" s="100"/>
      <c r="GGK2584" s="100"/>
      <c r="GGL2584" s="100"/>
      <c r="GGM2584" s="100"/>
      <c r="GGN2584" s="100"/>
      <c r="GGO2584" s="100"/>
      <c r="GGP2584" s="100"/>
      <c r="GGQ2584" s="100"/>
      <c r="GGR2584" s="100"/>
      <c r="GGS2584" s="100"/>
      <c r="GGT2584" s="100"/>
      <c r="GGU2584" s="100"/>
      <c r="GGV2584" s="100"/>
      <c r="GGW2584" s="100"/>
      <c r="GGX2584" s="100"/>
      <c r="GGY2584" s="100"/>
      <c r="GGZ2584" s="100"/>
      <c r="GHA2584" s="100"/>
      <c r="GHB2584" s="100"/>
      <c r="GHC2584" s="100"/>
      <c r="GHD2584" s="100"/>
      <c r="GHE2584" s="100"/>
      <c r="GHF2584" s="100"/>
      <c r="GHG2584" s="100"/>
      <c r="GHH2584" s="100"/>
      <c r="GHI2584" s="100"/>
      <c r="GHJ2584" s="100"/>
      <c r="GHK2584" s="100"/>
      <c r="GHL2584" s="100"/>
      <c r="GHM2584" s="100"/>
      <c r="GHN2584" s="100"/>
      <c r="GHO2584" s="100"/>
      <c r="GHP2584" s="100"/>
      <c r="GHQ2584" s="100"/>
      <c r="GHR2584" s="100"/>
      <c r="GHS2584" s="100"/>
      <c r="GHT2584" s="100"/>
      <c r="GHU2584" s="100"/>
      <c r="GHV2584" s="100"/>
      <c r="GHW2584" s="100"/>
      <c r="GHX2584" s="100"/>
      <c r="GHY2584" s="100"/>
      <c r="GHZ2584" s="100"/>
      <c r="GIA2584" s="100"/>
      <c r="GIB2584" s="100"/>
      <c r="GIC2584" s="100"/>
      <c r="GID2584" s="100"/>
      <c r="GIE2584" s="100"/>
      <c r="GIF2584" s="100"/>
      <c r="GIG2584" s="100"/>
      <c r="GIH2584" s="100"/>
      <c r="GII2584" s="100"/>
      <c r="GIJ2584" s="100"/>
      <c r="GIK2584" s="100"/>
      <c r="GIL2584" s="100"/>
      <c r="GIM2584" s="100"/>
      <c r="GIN2584" s="100"/>
      <c r="GIO2584" s="100"/>
      <c r="GIP2584" s="100"/>
      <c r="GIQ2584" s="100"/>
      <c r="GIR2584" s="100"/>
      <c r="GIS2584" s="100"/>
      <c r="GIT2584" s="100"/>
      <c r="GIU2584" s="100"/>
      <c r="GIV2584" s="100"/>
      <c r="GIW2584" s="100"/>
      <c r="GIX2584" s="100"/>
      <c r="GIY2584" s="100"/>
      <c r="GIZ2584" s="100"/>
      <c r="GJA2584" s="100"/>
      <c r="GJB2584" s="100"/>
      <c r="GJC2584" s="100"/>
      <c r="GJD2584" s="100"/>
      <c r="GJE2584" s="100"/>
      <c r="GJF2584" s="100"/>
      <c r="GJG2584" s="100"/>
      <c r="GJH2584" s="100"/>
      <c r="GJI2584" s="100"/>
      <c r="GJJ2584" s="100"/>
      <c r="GJK2584" s="100"/>
      <c r="GJL2584" s="100"/>
      <c r="GJM2584" s="100"/>
      <c r="GJN2584" s="100"/>
      <c r="GJO2584" s="100"/>
      <c r="GJP2584" s="100"/>
      <c r="GJQ2584" s="100"/>
      <c r="GJR2584" s="100"/>
      <c r="GJS2584" s="100"/>
      <c r="GJT2584" s="100"/>
      <c r="GJU2584" s="100"/>
      <c r="GJV2584" s="100"/>
      <c r="GJW2584" s="100"/>
      <c r="GJX2584" s="100"/>
      <c r="GJY2584" s="100"/>
      <c r="GJZ2584" s="100"/>
      <c r="GKA2584" s="100"/>
      <c r="GKB2584" s="100"/>
      <c r="GKC2584" s="100"/>
      <c r="GKD2584" s="100"/>
      <c r="GKE2584" s="100"/>
      <c r="GKF2584" s="100"/>
      <c r="GKG2584" s="100"/>
      <c r="GKH2584" s="100"/>
      <c r="GKI2584" s="100"/>
      <c r="GKJ2584" s="100"/>
      <c r="GKK2584" s="100"/>
      <c r="GKL2584" s="100"/>
      <c r="GKM2584" s="100"/>
      <c r="GKN2584" s="100"/>
      <c r="GKO2584" s="100"/>
      <c r="GKP2584" s="100"/>
      <c r="GKQ2584" s="100"/>
      <c r="GKR2584" s="100"/>
      <c r="GKS2584" s="100"/>
      <c r="GKT2584" s="100"/>
      <c r="GKU2584" s="100"/>
      <c r="GKV2584" s="100"/>
      <c r="GKW2584" s="100"/>
      <c r="GKX2584" s="100"/>
      <c r="GKY2584" s="100"/>
      <c r="GKZ2584" s="100"/>
      <c r="GLA2584" s="100"/>
      <c r="GLB2584" s="100"/>
      <c r="GLC2584" s="100"/>
      <c r="GLD2584" s="100"/>
      <c r="GLE2584" s="100"/>
      <c r="GLF2584" s="100"/>
      <c r="GLG2584" s="100"/>
      <c r="GLH2584" s="100"/>
      <c r="GLI2584" s="100"/>
      <c r="GLJ2584" s="100"/>
      <c r="GLK2584" s="100"/>
      <c r="GLL2584" s="100"/>
      <c r="GLM2584" s="100"/>
      <c r="GLN2584" s="100"/>
      <c r="GLO2584" s="100"/>
      <c r="GLP2584" s="100"/>
      <c r="GLQ2584" s="100"/>
      <c r="GLR2584" s="100"/>
      <c r="GLS2584" s="100"/>
      <c r="GLT2584" s="100"/>
      <c r="GLU2584" s="100"/>
      <c r="GLV2584" s="100"/>
      <c r="GLW2584" s="100"/>
      <c r="GLX2584" s="100"/>
      <c r="GLY2584" s="100"/>
      <c r="GLZ2584" s="100"/>
      <c r="GMA2584" s="100"/>
      <c r="GMB2584" s="100"/>
      <c r="GMC2584" s="100"/>
      <c r="GMD2584" s="100"/>
      <c r="GME2584" s="100"/>
      <c r="GMF2584" s="100"/>
      <c r="GMG2584" s="100"/>
      <c r="GMH2584" s="100"/>
      <c r="GMI2584" s="100"/>
      <c r="GMJ2584" s="100"/>
      <c r="GMK2584" s="100"/>
      <c r="GML2584" s="100"/>
      <c r="GMM2584" s="100"/>
      <c r="GMN2584" s="100"/>
      <c r="GMO2584" s="100"/>
      <c r="GMP2584" s="100"/>
      <c r="GMQ2584" s="100"/>
      <c r="GMR2584" s="100"/>
      <c r="GMS2584" s="100"/>
      <c r="GMT2584" s="100"/>
      <c r="GMU2584" s="100"/>
      <c r="GMV2584" s="100"/>
      <c r="GMW2584" s="100"/>
      <c r="GMX2584" s="100"/>
      <c r="GMY2584" s="100"/>
      <c r="GMZ2584" s="100"/>
      <c r="GNA2584" s="100"/>
      <c r="GNB2584" s="100"/>
      <c r="GNC2584" s="100"/>
      <c r="GND2584" s="100"/>
      <c r="GNE2584" s="100"/>
      <c r="GNF2584" s="100"/>
      <c r="GNG2584" s="100"/>
      <c r="GNH2584" s="100"/>
      <c r="GNI2584" s="100"/>
      <c r="GNJ2584" s="100"/>
      <c r="GNK2584" s="100"/>
      <c r="GNL2584" s="100"/>
      <c r="GNM2584" s="100"/>
      <c r="GNN2584" s="100"/>
      <c r="GNO2584" s="100"/>
      <c r="GNP2584" s="100"/>
      <c r="GNQ2584" s="100"/>
      <c r="GNR2584" s="100"/>
      <c r="GNS2584" s="100"/>
      <c r="GNT2584" s="100"/>
      <c r="GNU2584" s="100"/>
      <c r="GNV2584" s="100"/>
      <c r="GNW2584" s="100"/>
      <c r="GNX2584" s="100"/>
      <c r="GNY2584" s="100"/>
      <c r="GNZ2584" s="100"/>
      <c r="GOA2584" s="100"/>
      <c r="GOB2584" s="100"/>
      <c r="GOC2584" s="100"/>
      <c r="GOD2584" s="100"/>
      <c r="GOE2584" s="100"/>
      <c r="GOF2584" s="100"/>
      <c r="GOG2584" s="100"/>
      <c r="GOH2584" s="100"/>
      <c r="GOI2584" s="100"/>
      <c r="GOJ2584" s="100"/>
      <c r="GOK2584" s="100"/>
      <c r="GOL2584" s="100"/>
      <c r="GOM2584" s="100"/>
      <c r="GON2584" s="100"/>
      <c r="GOO2584" s="100"/>
      <c r="GOP2584" s="100"/>
      <c r="GOQ2584" s="100"/>
      <c r="GOR2584" s="100"/>
      <c r="GOS2584" s="100"/>
      <c r="GOT2584" s="100"/>
      <c r="GOU2584" s="100"/>
      <c r="GOV2584" s="100"/>
      <c r="GOW2584" s="100"/>
      <c r="GOX2584" s="100"/>
      <c r="GOY2584" s="100"/>
      <c r="GOZ2584" s="100"/>
      <c r="GPA2584" s="100"/>
      <c r="GPB2584" s="100"/>
      <c r="GPC2584" s="100"/>
      <c r="GPD2584" s="100"/>
      <c r="GPE2584" s="100"/>
      <c r="GPF2584" s="100"/>
      <c r="GPG2584" s="100"/>
      <c r="GPH2584" s="100"/>
      <c r="GPI2584" s="100"/>
      <c r="GPJ2584" s="100"/>
      <c r="GPK2584" s="100"/>
      <c r="GPL2584" s="100"/>
      <c r="GPM2584" s="100"/>
      <c r="GPN2584" s="100"/>
      <c r="GPO2584" s="100"/>
      <c r="GPP2584" s="100"/>
      <c r="GPQ2584" s="100"/>
      <c r="GPR2584" s="100"/>
      <c r="GPS2584" s="100"/>
      <c r="GPT2584" s="100"/>
      <c r="GPU2584" s="100"/>
      <c r="GPV2584" s="100"/>
      <c r="GPW2584" s="100"/>
      <c r="GPX2584" s="100"/>
      <c r="GPY2584" s="100"/>
      <c r="GPZ2584" s="100"/>
      <c r="GQA2584" s="100"/>
      <c r="GQB2584" s="100"/>
      <c r="GQC2584" s="100"/>
      <c r="GQD2584" s="100"/>
      <c r="GQE2584" s="100"/>
      <c r="GQF2584" s="100"/>
      <c r="GQG2584" s="100"/>
      <c r="GQH2584" s="100"/>
      <c r="GQI2584" s="100"/>
      <c r="GQJ2584" s="100"/>
      <c r="GQK2584" s="100"/>
      <c r="GQL2584" s="100"/>
      <c r="GQM2584" s="100"/>
      <c r="GQN2584" s="100"/>
      <c r="GQO2584" s="100"/>
      <c r="GQP2584" s="100"/>
      <c r="GQQ2584" s="100"/>
      <c r="GQR2584" s="100"/>
      <c r="GQS2584" s="100"/>
      <c r="GQT2584" s="100"/>
      <c r="GQU2584" s="100"/>
      <c r="GQV2584" s="100"/>
      <c r="GQW2584" s="100"/>
      <c r="GQX2584" s="100"/>
      <c r="GQY2584" s="100"/>
      <c r="GQZ2584" s="100"/>
      <c r="GRA2584" s="100"/>
      <c r="GRB2584" s="100"/>
      <c r="GRC2584" s="100"/>
      <c r="GRD2584" s="100"/>
      <c r="GRE2584" s="100"/>
      <c r="GRF2584" s="100"/>
      <c r="GRG2584" s="100"/>
      <c r="GRH2584" s="100"/>
      <c r="GRI2584" s="100"/>
      <c r="GRJ2584" s="100"/>
      <c r="GRK2584" s="100"/>
      <c r="GRL2584" s="100"/>
      <c r="GRM2584" s="100"/>
      <c r="GRN2584" s="100"/>
      <c r="GRO2584" s="100"/>
      <c r="GRP2584" s="100"/>
      <c r="GRQ2584" s="100"/>
      <c r="GRR2584" s="100"/>
      <c r="GRS2584" s="100"/>
      <c r="GRT2584" s="100"/>
      <c r="GRU2584" s="100"/>
      <c r="GRV2584" s="100"/>
      <c r="GRW2584" s="100"/>
      <c r="GRX2584" s="100"/>
      <c r="GRY2584" s="100"/>
      <c r="GRZ2584" s="100"/>
      <c r="GSA2584" s="100"/>
      <c r="GSB2584" s="100"/>
      <c r="GSC2584" s="100"/>
      <c r="GSD2584" s="100"/>
      <c r="GSE2584" s="100"/>
      <c r="GSF2584" s="100"/>
      <c r="GSG2584" s="100"/>
      <c r="GSH2584" s="100"/>
      <c r="GSI2584" s="100"/>
      <c r="GSJ2584" s="100"/>
      <c r="GSK2584" s="100"/>
      <c r="GSL2584" s="100"/>
      <c r="GSM2584" s="100"/>
      <c r="GSN2584" s="100"/>
      <c r="GSO2584" s="100"/>
      <c r="GSP2584" s="100"/>
      <c r="GSQ2584" s="100"/>
      <c r="GSR2584" s="100"/>
      <c r="GSS2584" s="100"/>
      <c r="GST2584" s="100"/>
      <c r="GSU2584" s="100"/>
      <c r="GSV2584" s="100"/>
      <c r="GSW2584" s="100"/>
      <c r="GSX2584" s="100"/>
      <c r="GSY2584" s="100"/>
      <c r="GSZ2584" s="100"/>
      <c r="GTA2584" s="100"/>
      <c r="GTB2584" s="100"/>
      <c r="GTC2584" s="100"/>
      <c r="GTD2584" s="100"/>
      <c r="GTE2584" s="100"/>
      <c r="GTF2584" s="100"/>
      <c r="GTG2584" s="100"/>
      <c r="GTH2584" s="100"/>
      <c r="GTI2584" s="100"/>
      <c r="GTJ2584" s="100"/>
      <c r="GTK2584" s="100"/>
      <c r="GTL2584" s="100"/>
      <c r="GTM2584" s="100"/>
      <c r="GTN2584" s="100"/>
      <c r="GTO2584" s="100"/>
      <c r="GTP2584" s="100"/>
      <c r="GTQ2584" s="100"/>
      <c r="GTR2584" s="100"/>
      <c r="GTS2584" s="100"/>
      <c r="GTT2584" s="100"/>
      <c r="GTU2584" s="100"/>
      <c r="GTV2584" s="100"/>
      <c r="GTW2584" s="100"/>
      <c r="GTX2584" s="100"/>
      <c r="GTY2584" s="100"/>
      <c r="GTZ2584" s="100"/>
      <c r="GUA2584" s="100"/>
      <c r="GUB2584" s="100"/>
      <c r="GUC2584" s="100"/>
      <c r="GUD2584" s="100"/>
      <c r="GUE2584" s="100"/>
      <c r="GUF2584" s="100"/>
      <c r="GUG2584" s="100"/>
      <c r="GUH2584" s="100"/>
      <c r="GUI2584" s="100"/>
      <c r="GUJ2584" s="100"/>
      <c r="GUK2584" s="100"/>
      <c r="GUL2584" s="100"/>
      <c r="GUM2584" s="100"/>
      <c r="GUN2584" s="100"/>
      <c r="GUO2584" s="100"/>
      <c r="GUP2584" s="100"/>
      <c r="GUQ2584" s="100"/>
      <c r="GUR2584" s="100"/>
      <c r="GUS2584" s="100"/>
      <c r="GUT2584" s="100"/>
      <c r="GUU2584" s="100"/>
      <c r="GUV2584" s="100"/>
      <c r="GUW2584" s="100"/>
      <c r="GUX2584" s="100"/>
      <c r="GUY2584" s="100"/>
      <c r="GUZ2584" s="100"/>
      <c r="GVA2584" s="100"/>
      <c r="GVB2584" s="100"/>
      <c r="GVC2584" s="100"/>
      <c r="GVD2584" s="100"/>
      <c r="GVE2584" s="100"/>
      <c r="GVF2584" s="100"/>
      <c r="GVG2584" s="100"/>
      <c r="GVH2584" s="100"/>
      <c r="GVI2584" s="100"/>
      <c r="GVJ2584" s="100"/>
      <c r="GVK2584" s="100"/>
      <c r="GVL2584" s="100"/>
      <c r="GVM2584" s="100"/>
      <c r="GVN2584" s="100"/>
      <c r="GVO2584" s="100"/>
      <c r="GVP2584" s="100"/>
      <c r="GVQ2584" s="100"/>
      <c r="GVR2584" s="100"/>
      <c r="GVS2584" s="100"/>
      <c r="GVT2584" s="100"/>
      <c r="GVU2584" s="100"/>
      <c r="GVV2584" s="100"/>
      <c r="GVW2584" s="100"/>
      <c r="GVX2584" s="100"/>
      <c r="GVY2584" s="100"/>
      <c r="GVZ2584" s="100"/>
      <c r="GWA2584" s="100"/>
      <c r="GWB2584" s="100"/>
      <c r="GWC2584" s="100"/>
      <c r="GWD2584" s="100"/>
      <c r="GWE2584" s="100"/>
      <c r="GWF2584" s="100"/>
      <c r="GWG2584" s="100"/>
      <c r="GWH2584" s="100"/>
      <c r="GWI2584" s="100"/>
      <c r="GWJ2584" s="100"/>
      <c r="GWK2584" s="100"/>
      <c r="GWL2584" s="100"/>
      <c r="GWM2584" s="100"/>
      <c r="GWN2584" s="100"/>
      <c r="GWO2584" s="100"/>
      <c r="GWP2584" s="100"/>
      <c r="GWQ2584" s="100"/>
      <c r="GWR2584" s="100"/>
      <c r="GWS2584" s="100"/>
      <c r="GWT2584" s="100"/>
      <c r="GWU2584" s="100"/>
      <c r="GWV2584" s="100"/>
      <c r="GWW2584" s="100"/>
      <c r="GWX2584" s="100"/>
      <c r="GWY2584" s="100"/>
      <c r="GWZ2584" s="100"/>
      <c r="GXA2584" s="100"/>
      <c r="GXB2584" s="100"/>
      <c r="GXC2584" s="100"/>
      <c r="GXD2584" s="100"/>
      <c r="GXE2584" s="100"/>
      <c r="GXF2584" s="100"/>
      <c r="GXG2584" s="100"/>
      <c r="GXH2584" s="100"/>
      <c r="GXI2584" s="100"/>
      <c r="GXJ2584" s="100"/>
      <c r="GXK2584" s="100"/>
      <c r="GXL2584" s="100"/>
      <c r="GXM2584" s="100"/>
      <c r="GXN2584" s="100"/>
      <c r="GXO2584" s="100"/>
      <c r="GXP2584" s="100"/>
      <c r="GXQ2584" s="100"/>
      <c r="GXR2584" s="100"/>
      <c r="GXS2584" s="100"/>
      <c r="GXT2584" s="100"/>
      <c r="GXU2584" s="100"/>
      <c r="GXV2584" s="100"/>
      <c r="GXW2584" s="100"/>
      <c r="GXX2584" s="100"/>
      <c r="GXY2584" s="100"/>
      <c r="GXZ2584" s="100"/>
      <c r="GYA2584" s="100"/>
      <c r="GYB2584" s="100"/>
      <c r="GYC2584" s="100"/>
      <c r="GYD2584" s="100"/>
      <c r="GYE2584" s="100"/>
      <c r="GYF2584" s="100"/>
      <c r="GYG2584" s="100"/>
      <c r="GYH2584" s="100"/>
      <c r="GYI2584" s="100"/>
      <c r="GYJ2584" s="100"/>
      <c r="GYK2584" s="100"/>
      <c r="GYL2584" s="100"/>
      <c r="GYM2584" s="100"/>
      <c r="GYN2584" s="100"/>
      <c r="GYO2584" s="100"/>
      <c r="GYP2584" s="100"/>
      <c r="GYQ2584" s="100"/>
      <c r="GYR2584" s="100"/>
      <c r="GYS2584" s="100"/>
      <c r="GYT2584" s="100"/>
      <c r="GYU2584" s="100"/>
      <c r="GYV2584" s="100"/>
      <c r="GYW2584" s="100"/>
      <c r="GYX2584" s="100"/>
      <c r="GYY2584" s="100"/>
      <c r="GYZ2584" s="100"/>
      <c r="GZA2584" s="100"/>
      <c r="GZB2584" s="100"/>
      <c r="GZC2584" s="100"/>
      <c r="GZD2584" s="100"/>
      <c r="GZE2584" s="100"/>
      <c r="GZF2584" s="100"/>
      <c r="GZG2584" s="100"/>
      <c r="GZH2584" s="100"/>
      <c r="GZI2584" s="100"/>
      <c r="GZJ2584" s="100"/>
      <c r="GZK2584" s="100"/>
      <c r="GZL2584" s="100"/>
      <c r="GZM2584" s="100"/>
      <c r="GZN2584" s="100"/>
      <c r="GZO2584" s="100"/>
      <c r="GZP2584" s="100"/>
      <c r="GZQ2584" s="100"/>
      <c r="GZR2584" s="100"/>
      <c r="GZS2584" s="100"/>
      <c r="GZT2584" s="100"/>
      <c r="GZU2584" s="100"/>
      <c r="GZV2584" s="100"/>
      <c r="GZW2584" s="100"/>
      <c r="GZX2584" s="100"/>
      <c r="GZY2584" s="100"/>
      <c r="GZZ2584" s="100"/>
      <c r="HAA2584" s="100"/>
      <c r="HAB2584" s="100"/>
      <c r="HAC2584" s="100"/>
      <c r="HAD2584" s="100"/>
      <c r="HAE2584" s="100"/>
      <c r="HAF2584" s="100"/>
      <c r="HAG2584" s="100"/>
      <c r="HAH2584" s="100"/>
      <c r="HAI2584" s="100"/>
      <c r="HAJ2584" s="100"/>
      <c r="HAK2584" s="100"/>
      <c r="HAL2584" s="100"/>
      <c r="HAM2584" s="100"/>
      <c r="HAN2584" s="100"/>
      <c r="HAO2584" s="100"/>
      <c r="HAP2584" s="100"/>
      <c r="HAQ2584" s="100"/>
      <c r="HAR2584" s="100"/>
      <c r="HAS2584" s="100"/>
      <c r="HAT2584" s="100"/>
      <c r="HAU2584" s="100"/>
      <c r="HAV2584" s="100"/>
      <c r="HAW2584" s="100"/>
      <c r="HAX2584" s="100"/>
      <c r="HAY2584" s="100"/>
      <c r="HAZ2584" s="100"/>
      <c r="HBA2584" s="100"/>
      <c r="HBB2584" s="100"/>
      <c r="HBC2584" s="100"/>
      <c r="HBD2584" s="100"/>
      <c r="HBE2584" s="100"/>
      <c r="HBF2584" s="100"/>
      <c r="HBG2584" s="100"/>
      <c r="HBH2584" s="100"/>
      <c r="HBI2584" s="100"/>
      <c r="HBJ2584" s="100"/>
      <c r="HBK2584" s="100"/>
      <c r="HBL2584" s="100"/>
      <c r="HBM2584" s="100"/>
      <c r="HBN2584" s="100"/>
      <c r="HBO2584" s="100"/>
      <c r="HBP2584" s="100"/>
      <c r="HBQ2584" s="100"/>
      <c r="HBR2584" s="100"/>
      <c r="HBS2584" s="100"/>
      <c r="HBT2584" s="100"/>
      <c r="HBU2584" s="100"/>
      <c r="HBV2584" s="100"/>
      <c r="HBW2584" s="100"/>
      <c r="HBX2584" s="100"/>
      <c r="HBY2584" s="100"/>
      <c r="HBZ2584" s="100"/>
      <c r="HCA2584" s="100"/>
      <c r="HCB2584" s="100"/>
      <c r="HCC2584" s="100"/>
      <c r="HCD2584" s="100"/>
      <c r="HCE2584" s="100"/>
      <c r="HCF2584" s="100"/>
      <c r="HCG2584" s="100"/>
      <c r="HCH2584" s="100"/>
      <c r="HCI2584" s="100"/>
      <c r="HCJ2584" s="100"/>
      <c r="HCK2584" s="100"/>
      <c r="HCL2584" s="100"/>
      <c r="HCM2584" s="100"/>
      <c r="HCN2584" s="100"/>
      <c r="HCO2584" s="100"/>
      <c r="HCP2584" s="100"/>
      <c r="HCQ2584" s="100"/>
      <c r="HCR2584" s="100"/>
      <c r="HCS2584" s="100"/>
      <c r="HCT2584" s="100"/>
      <c r="HCU2584" s="100"/>
      <c r="HCV2584" s="100"/>
      <c r="HCW2584" s="100"/>
      <c r="HCX2584" s="100"/>
      <c r="HCY2584" s="100"/>
      <c r="HCZ2584" s="100"/>
      <c r="HDA2584" s="100"/>
      <c r="HDB2584" s="100"/>
      <c r="HDC2584" s="100"/>
      <c r="HDD2584" s="100"/>
      <c r="HDE2584" s="100"/>
      <c r="HDF2584" s="100"/>
      <c r="HDG2584" s="100"/>
      <c r="HDH2584" s="100"/>
      <c r="HDI2584" s="100"/>
      <c r="HDJ2584" s="100"/>
      <c r="HDK2584" s="100"/>
      <c r="HDL2584" s="100"/>
      <c r="HDM2584" s="100"/>
      <c r="HDN2584" s="100"/>
      <c r="HDO2584" s="100"/>
      <c r="HDP2584" s="100"/>
      <c r="HDQ2584" s="100"/>
      <c r="HDR2584" s="100"/>
      <c r="HDS2584" s="100"/>
      <c r="HDT2584" s="100"/>
      <c r="HDU2584" s="100"/>
      <c r="HDV2584" s="100"/>
      <c r="HDW2584" s="100"/>
      <c r="HDX2584" s="100"/>
      <c r="HDY2584" s="100"/>
      <c r="HDZ2584" s="100"/>
      <c r="HEA2584" s="100"/>
      <c r="HEB2584" s="100"/>
      <c r="HEC2584" s="100"/>
      <c r="HED2584" s="100"/>
      <c r="HEE2584" s="100"/>
      <c r="HEF2584" s="100"/>
      <c r="HEG2584" s="100"/>
      <c r="HEH2584" s="100"/>
      <c r="HEI2584" s="100"/>
      <c r="HEJ2584" s="100"/>
      <c r="HEK2584" s="100"/>
      <c r="HEL2584" s="100"/>
      <c r="HEM2584" s="100"/>
      <c r="HEN2584" s="100"/>
      <c r="HEO2584" s="100"/>
      <c r="HEP2584" s="100"/>
      <c r="HEQ2584" s="100"/>
      <c r="HER2584" s="100"/>
      <c r="HES2584" s="100"/>
      <c r="HET2584" s="100"/>
      <c r="HEU2584" s="100"/>
      <c r="HEV2584" s="100"/>
      <c r="HEW2584" s="100"/>
      <c r="HEX2584" s="100"/>
      <c r="HEY2584" s="100"/>
      <c r="HEZ2584" s="100"/>
      <c r="HFA2584" s="100"/>
      <c r="HFB2584" s="100"/>
      <c r="HFC2584" s="100"/>
      <c r="HFD2584" s="100"/>
      <c r="HFE2584" s="100"/>
      <c r="HFF2584" s="100"/>
      <c r="HFG2584" s="100"/>
      <c r="HFH2584" s="100"/>
      <c r="HFI2584" s="100"/>
      <c r="HFJ2584" s="100"/>
      <c r="HFK2584" s="100"/>
      <c r="HFL2584" s="100"/>
      <c r="HFM2584" s="100"/>
      <c r="HFN2584" s="100"/>
      <c r="HFO2584" s="100"/>
      <c r="HFP2584" s="100"/>
      <c r="HFQ2584" s="100"/>
      <c r="HFR2584" s="100"/>
      <c r="HFS2584" s="100"/>
      <c r="HFT2584" s="100"/>
      <c r="HFU2584" s="100"/>
      <c r="HFV2584" s="100"/>
      <c r="HFW2584" s="100"/>
      <c r="HFX2584" s="100"/>
      <c r="HFY2584" s="100"/>
      <c r="HFZ2584" s="100"/>
      <c r="HGA2584" s="100"/>
      <c r="HGB2584" s="100"/>
      <c r="HGC2584" s="100"/>
      <c r="HGD2584" s="100"/>
      <c r="HGE2584" s="100"/>
      <c r="HGF2584" s="100"/>
      <c r="HGG2584" s="100"/>
      <c r="HGH2584" s="100"/>
      <c r="HGI2584" s="100"/>
      <c r="HGJ2584" s="100"/>
      <c r="HGK2584" s="100"/>
      <c r="HGL2584" s="100"/>
      <c r="HGM2584" s="100"/>
      <c r="HGN2584" s="100"/>
      <c r="HGO2584" s="100"/>
      <c r="HGP2584" s="100"/>
      <c r="HGQ2584" s="100"/>
      <c r="HGR2584" s="100"/>
      <c r="HGS2584" s="100"/>
      <c r="HGT2584" s="100"/>
      <c r="HGU2584" s="100"/>
      <c r="HGV2584" s="100"/>
      <c r="HGW2584" s="100"/>
      <c r="HGX2584" s="100"/>
      <c r="HGY2584" s="100"/>
      <c r="HGZ2584" s="100"/>
      <c r="HHA2584" s="100"/>
      <c r="HHB2584" s="100"/>
      <c r="HHC2584" s="100"/>
      <c r="HHD2584" s="100"/>
      <c r="HHE2584" s="100"/>
      <c r="HHF2584" s="100"/>
      <c r="HHG2584" s="100"/>
      <c r="HHH2584" s="100"/>
      <c r="HHI2584" s="100"/>
      <c r="HHJ2584" s="100"/>
      <c r="HHK2584" s="100"/>
      <c r="HHL2584" s="100"/>
      <c r="HHM2584" s="100"/>
      <c r="HHN2584" s="100"/>
      <c r="HHO2584" s="100"/>
      <c r="HHP2584" s="100"/>
      <c r="HHQ2584" s="100"/>
      <c r="HHR2584" s="100"/>
      <c r="HHS2584" s="100"/>
      <c r="HHT2584" s="100"/>
      <c r="HHU2584" s="100"/>
      <c r="HHV2584" s="100"/>
      <c r="HHW2584" s="100"/>
      <c r="HHX2584" s="100"/>
      <c r="HHY2584" s="100"/>
      <c r="HHZ2584" s="100"/>
      <c r="HIA2584" s="100"/>
      <c r="HIB2584" s="100"/>
      <c r="HIC2584" s="100"/>
      <c r="HID2584" s="100"/>
      <c r="HIE2584" s="100"/>
      <c r="HIF2584" s="100"/>
      <c r="HIG2584" s="100"/>
      <c r="HIH2584" s="100"/>
      <c r="HII2584" s="100"/>
      <c r="HIJ2584" s="100"/>
      <c r="HIK2584" s="100"/>
      <c r="HIL2584" s="100"/>
      <c r="HIM2584" s="100"/>
      <c r="HIN2584" s="100"/>
      <c r="HIO2584" s="100"/>
      <c r="HIP2584" s="100"/>
      <c r="HIQ2584" s="100"/>
      <c r="HIR2584" s="100"/>
      <c r="HIS2584" s="100"/>
      <c r="HIT2584" s="100"/>
      <c r="HIU2584" s="100"/>
      <c r="HIV2584" s="100"/>
      <c r="HIW2584" s="100"/>
      <c r="HIX2584" s="100"/>
      <c r="HIY2584" s="100"/>
      <c r="HIZ2584" s="100"/>
      <c r="HJA2584" s="100"/>
      <c r="HJB2584" s="100"/>
      <c r="HJC2584" s="100"/>
      <c r="HJD2584" s="100"/>
      <c r="HJE2584" s="100"/>
      <c r="HJF2584" s="100"/>
      <c r="HJG2584" s="100"/>
      <c r="HJH2584" s="100"/>
      <c r="HJI2584" s="100"/>
      <c r="HJJ2584" s="100"/>
      <c r="HJK2584" s="100"/>
      <c r="HJL2584" s="100"/>
      <c r="HJM2584" s="100"/>
      <c r="HJN2584" s="100"/>
      <c r="HJO2584" s="100"/>
      <c r="HJP2584" s="100"/>
      <c r="HJQ2584" s="100"/>
      <c r="HJR2584" s="100"/>
      <c r="HJS2584" s="100"/>
      <c r="HJT2584" s="100"/>
      <c r="HJU2584" s="100"/>
      <c r="HJV2584" s="100"/>
      <c r="HJW2584" s="100"/>
      <c r="HJX2584" s="100"/>
      <c r="HJY2584" s="100"/>
      <c r="HJZ2584" s="100"/>
      <c r="HKA2584" s="100"/>
      <c r="HKB2584" s="100"/>
      <c r="HKC2584" s="100"/>
      <c r="HKD2584" s="100"/>
      <c r="HKE2584" s="100"/>
      <c r="HKF2584" s="100"/>
      <c r="HKG2584" s="100"/>
      <c r="HKH2584" s="100"/>
      <c r="HKI2584" s="100"/>
      <c r="HKJ2584" s="100"/>
      <c r="HKK2584" s="100"/>
      <c r="HKL2584" s="100"/>
      <c r="HKM2584" s="100"/>
      <c r="HKN2584" s="100"/>
      <c r="HKO2584" s="100"/>
      <c r="HKP2584" s="100"/>
      <c r="HKQ2584" s="100"/>
      <c r="HKR2584" s="100"/>
      <c r="HKS2584" s="100"/>
      <c r="HKT2584" s="100"/>
      <c r="HKU2584" s="100"/>
      <c r="HKV2584" s="100"/>
      <c r="HKW2584" s="100"/>
      <c r="HKX2584" s="100"/>
      <c r="HKY2584" s="100"/>
      <c r="HKZ2584" s="100"/>
      <c r="HLA2584" s="100"/>
      <c r="HLB2584" s="100"/>
      <c r="HLC2584" s="100"/>
      <c r="HLD2584" s="100"/>
      <c r="HLE2584" s="100"/>
      <c r="HLF2584" s="100"/>
      <c r="HLG2584" s="100"/>
      <c r="HLH2584" s="100"/>
      <c r="HLI2584" s="100"/>
      <c r="HLJ2584" s="100"/>
      <c r="HLK2584" s="100"/>
      <c r="HLL2584" s="100"/>
      <c r="HLM2584" s="100"/>
      <c r="HLN2584" s="100"/>
      <c r="HLO2584" s="100"/>
      <c r="HLP2584" s="100"/>
      <c r="HLQ2584" s="100"/>
      <c r="HLR2584" s="100"/>
      <c r="HLS2584" s="100"/>
      <c r="HLT2584" s="100"/>
      <c r="HLU2584" s="100"/>
      <c r="HLV2584" s="100"/>
      <c r="HLW2584" s="100"/>
      <c r="HLX2584" s="100"/>
      <c r="HLY2584" s="100"/>
      <c r="HLZ2584" s="100"/>
      <c r="HMA2584" s="100"/>
      <c r="HMB2584" s="100"/>
      <c r="HMC2584" s="100"/>
      <c r="HMD2584" s="100"/>
      <c r="HME2584" s="100"/>
      <c r="HMF2584" s="100"/>
      <c r="HMG2584" s="100"/>
      <c r="HMH2584" s="100"/>
      <c r="HMI2584" s="100"/>
      <c r="HMJ2584" s="100"/>
      <c r="HMK2584" s="100"/>
      <c r="HML2584" s="100"/>
      <c r="HMM2584" s="100"/>
      <c r="HMN2584" s="100"/>
      <c r="HMO2584" s="100"/>
      <c r="HMP2584" s="100"/>
      <c r="HMQ2584" s="100"/>
      <c r="HMR2584" s="100"/>
      <c r="HMS2584" s="100"/>
      <c r="HMT2584" s="100"/>
      <c r="HMU2584" s="100"/>
      <c r="HMV2584" s="100"/>
      <c r="HMW2584" s="100"/>
      <c r="HMX2584" s="100"/>
      <c r="HMY2584" s="100"/>
      <c r="HMZ2584" s="100"/>
      <c r="HNA2584" s="100"/>
      <c r="HNB2584" s="100"/>
      <c r="HNC2584" s="100"/>
      <c r="HND2584" s="100"/>
      <c r="HNE2584" s="100"/>
      <c r="HNF2584" s="100"/>
      <c r="HNG2584" s="100"/>
      <c r="HNH2584" s="100"/>
      <c r="HNI2584" s="100"/>
      <c r="HNJ2584" s="100"/>
      <c r="HNK2584" s="100"/>
      <c r="HNL2584" s="100"/>
      <c r="HNM2584" s="100"/>
      <c r="HNN2584" s="100"/>
      <c r="HNO2584" s="100"/>
      <c r="HNP2584" s="100"/>
      <c r="HNQ2584" s="100"/>
      <c r="HNR2584" s="100"/>
      <c r="HNS2584" s="100"/>
      <c r="HNT2584" s="100"/>
      <c r="HNU2584" s="100"/>
      <c r="HNV2584" s="100"/>
      <c r="HNW2584" s="100"/>
      <c r="HNX2584" s="100"/>
      <c r="HNY2584" s="100"/>
      <c r="HNZ2584" s="100"/>
      <c r="HOA2584" s="100"/>
      <c r="HOB2584" s="100"/>
      <c r="HOC2584" s="100"/>
      <c r="HOD2584" s="100"/>
      <c r="HOE2584" s="100"/>
      <c r="HOF2584" s="100"/>
      <c r="HOG2584" s="100"/>
      <c r="HOH2584" s="100"/>
      <c r="HOI2584" s="100"/>
      <c r="HOJ2584" s="100"/>
      <c r="HOK2584" s="100"/>
      <c r="HOL2584" s="100"/>
      <c r="HOM2584" s="100"/>
      <c r="HON2584" s="100"/>
      <c r="HOO2584" s="100"/>
      <c r="HOP2584" s="100"/>
      <c r="HOQ2584" s="100"/>
      <c r="HOR2584" s="100"/>
      <c r="HOS2584" s="100"/>
      <c r="HOT2584" s="100"/>
      <c r="HOU2584" s="100"/>
      <c r="HOV2584" s="100"/>
      <c r="HOW2584" s="100"/>
      <c r="HOX2584" s="100"/>
      <c r="HOY2584" s="100"/>
      <c r="HOZ2584" s="100"/>
      <c r="HPA2584" s="100"/>
      <c r="HPB2584" s="100"/>
      <c r="HPC2584" s="100"/>
      <c r="HPD2584" s="100"/>
      <c r="HPE2584" s="100"/>
      <c r="HPF2584" s="100"/>
      <c r="HPG2584" s="100"/>
      <c r="HPH2584" s="100"/>
      <c r="HPI2584" s="100"/>
      <c r="HPJ2584" s="100"/>
      <c r="HPK2584" s="100"/>
      <c r="HPL2584" s="100"/>
      <c r="HPM2584" s="100"/>
      <c r="HPN2584" s="100"/>
      <c r="HPO2584" s="100"/>
      <c r="HPP2584" s="100"/>
      <c r="HPQ2584" s="100"/>
      <c r="HPR2584" s="100"/>
      <c r="HPS2584" s="100"/>
      <c r="HPT2584" s="100"/>
      <c r="HPU2584" s="100"/>
      <c r="HPV2584" s="100"/>
      <c r="HPW2584" s="100"/>
      <c r="HPX2584" s="100"/>
      <c r="HPY2584" s="100"/>
      <c r="HPZ2584" s="100"/>
      <c r="HQA2584" s="100"/>
      <c r="HQB2584" s="100"/>
      <c r="HQC2584" s="100"/>
      <c r="HQD2584" s="100"/>
      <c r="HQE2584" s="100"/>
      <c r="HQF2584" s="100"/>
      <c r="HQG2584" s="100"/>
      <c r="HQH2584" s="100"/>
      <c r="HQI2584" s="100"/>
      <c r="HQJ2584" s="100"/>
      <c r="HQK2584" s="100"/>
      <c r="HQL2584" s="100"/>
      <c r="HQM2584" s="100"/>
      <c r="HQN2584" s="100"/>
      <c r="HQO2584" s="100"/>
      <c r="HQP2584" s="100"/>
      <c r="HQQ2584" s="100"/>
      <c r="HQR2584" s="100"/>
      <c r="HQS2584" s="100"/>
      <c r="HQT2584" s="100"/>
      <c r="HQU2584" s="100"/>
      <c r="HQV2584" s="100"/>
      <c r="HQW2584" s="100"/>
      <c r="HQX2584" s="100"/>
      <c r="HQY2584" s="100"/>
      <c r="HQZ2584" s="100"/>
      <c r="HRA2584" s="100"/>
      <c r="HRB2584" s="100"/>
      <c r="HRC2584" s="100"/>
      <c r="HRD2584" s="100"/>
      <c r="HRE2584" s="100"/>
      <c r="HRF2584" s="100"/>
      <c r="HRG2584" s="100"/>
      <c r="HRH2584" s="100"/>
      <c r="HRI2584" s="100"/>
      <c r="HRJ2584" s="100"/>
      <c r="HRK2584" s="100"/>
      <c r="HRL2584" s="100"/>
      <c r="HRM2584" s="100"/>
      <c r="HRN2584" s="100"/>
      <c r="HRO2584" s="100"/>
      <c r="HRP2584" s="100"/>
      <c r="HRQ2584" s="100"/>
      <c r="HRR2584" s="100"/>
      <c r="HRS2584" s="100"/>
      <c r="HRT2584" s="100"/>
      <c r="HRU2584" s="100"/>
      <c r="HRV2584" s="100"/>
      <c r="HRW2584" s="100"/>
      <c r="HRX2584" s="100"/>
      <c r="HRY2584" s="100"/>
      <c r="HRZ2584" s="100"/>
      <c r="HSA2584" s="100"/>
      <c r="HSB2584" s="100"/>
      <c r="HSC2584" s="100"/>
      <c r="HSD2584" s="100"/>
      <c r="HSE2584" s="100"/>
      <c r="HSF2584" s="100"/>
      <c r="HSG2584" s="100"/>
      <c r="HSH2584" s="100"/>
      <c r="HSI2584" s="100"/>
      <c r="HSJ2584" s="100"/>
      <c r="HSK2584" s="100"/>
      <c r="HSL2584" s="100"/>
      <c r="HSM2584" s="100"/>
      <c r="HSN2584" s="100"/>
      <c r="HSO2584" s="100"/>
      <c r="HSP2584" s="100"/>
      <c r="HSQ2584" s="100"/>
      <c r="HSR2584" s="100"/>
      <c r="HSS2584" s="100"/>
      <c r="HST2584" s="100"/>
      <c r="HSU2584" s="100"/>
      <c r="HSV2584" s="100"/>
      <c r="HSW2584" s="100"/>
      <c r="HSX2584" s="100"/>
      <c r="HSY2584" s="100"/>
      <c r="HSZ2584" s="100"/>
      <c r="HTA2584" s="100"/>
      <c r="HTB2584" s="100"/>
      <c r="HTC2584" s="100"/>
      <c r="HTD2584" s="100"/>
      <c r="HTE2584" s="100"/>
      <c r="HTF2584" s="100"/>
      <c r="HTG2584" s="100"/>
      <c r="HTH2584" s="100"/>
      <c r="HTI2584" s="100"/>
      <c r="HTJ2584" s="100"/>
      <c r="HTK2584" s="100"/>
      <c r="HTL2584" s="100"/>
      <c r="HTM2584" s="100"/>
      <c r="HTN2584" s="100"/>
      <c r="HTO2584" s="100"/>
      <c r="HTP2584" s="100"/>
      <c r="HTQ2584" s="100"/>
      <c r="HTR2584" s="100"/>
      <c r="HTS2584" s="100"/>
      <c r="HTT2584" s="100"/>
      <c r="HTU2584" s="100"/>
      <c r="HTV2584" s="100"/>
      <c r="HTW2584" s="100"/>
      <c r="HTX2584" s="100"/>
      <c r="HTY2584" s="100"/>
      <c r="HTZ2584" s="100"/>
      <c r="HUA2584" s="100"/>
      <c r="HUB2584" s="100"/>
      <c r="HUC2584" s="100"/>
      <c r="HUD2584" s="100"/>
      <c r="HUE2584" s="100"/>
      <c r="HUF2584" s="100"/>
      <c r="HUG2584" s="100"/>
      <c r="HUH2584" s="100"/>
      <c r="HUI2584" s="100"/>
      <c r="HUJ2584" s="100"/>
      <c r="HUK2584" s="100"/>
      <c r="HUL2584" s="100"/>
      <c r="HUM2584" s="100"/>
      <c r="HUN2584" s="100"/>
      <c r="HUO2584" s="100"/>
      <c r="HUP2584" s="100"/>
      <c r="HUQ2584" s="100"/>
      <c r="HUR2584" s="100"/>
      <c r="HUS2584" s="100"/>
      <c r="HUT2584" s="100"/>
      <c r="HUU2584" s="100"/>
      <c r="HUV2584" s="100"/>
      <c r="HUW2584" s="100"/>
      <c r="HUX2584" s="100"/>
      <c r="HUY2584" s="100"/>
      <c r="HUZ2584" s="100"/>
      <c r="HVA2584" s="100"/>
      <c r="HVB2584" s="100"/>
      <c r="HVC2584" s="100"/>
      <c r="HVD2584" s="100"/>
      <c r="HVE2584" s="100"/>
      <c r="HVF2584" s="100"/>
      <c r="HVG2584" s="100"/>
      <c r="HVH2584" s="100"/>
      <c r="HVI2584" s="100"/>
      <c r="HVJ2584" s="100"/>
      <c r="HVK2584" s="100"/>
      <c r="HVL2584" s="100"/>
      <c r="HVM2584" s="100"/>
      <c r="HVN2584" s="100"/>
      <c r="HVO2584" s="100"/>
      <c r="HVP2584" s="100"/>
      <c r="HVQ2584" s="100"/>
      <c r="HVR2584" s="100"/>
      <c r="HVS2584" s="100"/>
      <c r="HVT2584" s="100"/>
      <c r="HVU2584" s="100"/>
      <c r="HVV2584" s="100"/>
      <c r="HVW2584" s="100"/>
      <c r="HVX2584" s="100"/>
      <c r="HVY2584" s="100"/>
      <c r="HVZ2584" s="100"/>
      <c r="HWA2584" s="100"/>
      <c r="HWB2584" s="100"/>
      <c r="HWC2584" s="100"/>
      <c r="HWD2584" s="100"/>
      <c r="HWE2584" s="100"/>
      <c r="HWF2584" s="100"/>
      <c r="HWG2584" s="100"/>
      <c r="HWH2584" s="100"/>
      <c r="HWI2584" s="100"/>
      <c r="HWJ2584" s="100"/>
      <c r="HWK2584" s="100"/>
      <c r="HWL2584" s="100"/>
      <c r="HWM2584" s="100"/>
      <c r="HWN2584" s="100"/>
      <c r="HWO2584" s="100"/>
      <c r="HWP2584" s="100"/>
      <c r="HWQ2584" s="100"/>
      <c r="HWR2584" s="100"/>
      <c r="HWS2584" s="100"/>
      <c r="HWT2584" s="100"/>
      <c r="HWU2584" s="100"/>
      <c r="HWV2584" s="100"/>
      <c r="HWW2584" s="100"/>
      <c r="HWX2584" s="100"/>
      <c r="HWY2584" s="100"/>
      <c r="HWZ2584" s="100"/>
      <c r="HXA2584" s="100"/>
      <c r="HXB2584" s="100"/>
      <c r="HXC2584" s="100"/>
      <c r="HXD2584" s="100"/>
      <c r="HXE2584" s="100"/>
      <c r="HXF2584" s="100"/>
      <c r="HXG2584" s="100"/>
      <c r="HXH2584" s="100"/>
      <c r="HXI2584" s="100"/>
      <c r="HXJ2584" s="100"/>
      <c r="HXK2584" s="100"/>
      <c r="HXL2584" s="100"/>
      <c r="HXM2584" s="100"/>
      <c r="HXN2584" s="100"/>
      <c r="HXO2584" s="100"/>
      <c r="HXP2584" s="100"/>
      <c r="HXQ2584" s="100"/>
      <c r="HXR2584" s="100"/>
      <c r="HXS2584" s="100"/>
      <c r="HXT2584" s="100"/>
      <c r="HXU2584" s="100"/>
      <c r="HXV2584" s="100"/>
      <c r="HXW2584" s="100"/>
      <c r="HXX2584" s="100"/>
      <c r="HXY2584" s="100"/>
      <c r="HXZ2584" s="100"/>
      <c r="HYA2584" s="100"/>
      <c r="HYB2584" s="100"/>
      <c r="HYC2584" s="100"/>
      <c r="HYD2584" s="100"/>
      <c r="HYE2584" s="100"/>
      <c r="HYF2584" s="100"/>
      <c r="HYG2584" s="100"/>
      <c r="HYH2584" s="100"/>
      <c r="HYI2584" s="100"/>
      <c r="HYJ2584" s="100"/>
      <c r="HYK2584" s="100"/>
      <c r="HYL2584" s="100"/>
      <c r="HYM2584" s="100"/>
      <c r="HYN2584" s="100"/>
      <c r="HYO2584" s="100"/>
      <c r="HYP2584" s="100"/>
      <c r="HYQ2584" s="100"/>
      <c r="HYR2584" s="100"/>
      <c r="HYS2584" s="100"/>
      <c r="HYT2584" s="100"/>
      <c r="HYU2584" s="100"/>
      <c r="HYV2584" s="100"/>
      <c r="HYW2584" s="100"/>
      <c r="HYX2584" s="100"/>
      <c r="HYY2584" s="100"/>
      <c r="HYZ2584" s="100"/>
      <c r="HZA2584" s="100"/>
      <c r="HZB2584" s="100"/>
      <c r="HZC2584" s="100"/>
      <c r="HZD2584" s="100"/>
      <c r="HZE2584" s="100"/>
      <c r="HZF2584" s="100"/>
      <c r="HZG2584" s="100"/>
      <c r="HZH2584" s="100"/>
      <c r="HZI2584" s="100"/>
      <c r="HZJ2584" s="100"/>
      <c r="HZK2584" s="100"/>
      <c r="HZL2584" s="100"/>
      <c r="HZM2584" s="100"/>
      <c r="HZN2584" s="100"/>
      <c r="HZO2584" s="100"/>
      <c r="HZP2584" s="100"/>
      <c r="HZQ2584" s="100"/>
      <c r="HZR2584" s="100"/>
      <c r="HZS2584" s="100"/>
      <c r="HZT2584" s="100"/>
      <c r="HZU2584" s="100"/>
      <c r="HZV2584" s="100"/>
      <c r="HZW2584" s="100"/>
      <c r="HZX2584" s="100"/>
      <c r="HZY2584" s="100"/>
      <c r="HZZ2584" s="100"/>
      <c r="IAA2584" s="100"/>
      <c r="IAB2584" s="100"/>
      <c r="IAC2584" s="100"/>
      <c r="IAD2584" s="100"/>
      <c r="IAE2584" s="100"/>
      <c r="IAF2584" s="100"/>
      <c r="IAG2584" s="100"/>
      <c r="IAH2584" s="100"/>
      <c r="IAI2584" s="100"/>
      <c r="IAJ2584" s="100"/>
      <c r="IAK2584" s="100"/>
      <c r="IAL2584" s="100"/>
      <c r="IAM2584" s="100"/>
      <c r="IAN2584" s="100"/>
      <c r="IAO2584" s="100"/>
      <c r="IAP2584" s="100"/>
      <c r="IAQ2584" s="100"/>
      <c r="IAR2584" s="100"/>
      <c r="IAS2584" s="100"/>
      <c r="IAT2584" s="100"/>
      <c r="IAU2584" s="100"/>
      <c r="IAV2584" s="100"/>
      <c r="IAW2584" s="100"/>
      <c r="IAX2584" s="100"/>
      <c r="IAY2584" s="100"/>
      <c r="IAZ2584" s="100"/>
      <c r="IBA2584" s="100"/>
      <c r="IBB2584" s="100"/>
      <c r="IBC2584" s="100"/>
      <c r="IBD2584" s="100"/>
      <c r="IBE2584" s="100"/>
      <c r="IBF2584" s="100"/>
      <c r="IBG2584" s="100"/>
      <c r="IBH2584" s="100"/>
      <c r="IBI2584" s="100"/>
      <c r="IBJ2584" s="100"/>
      <c r="IBK2584" s="100"/>
      <c r="IBL2584" s="100"/>
      <c r="IBM2584" s="100"/>
      <c r="IBN2584" s="100"/>
      <c r="IBO2584" s="100"/>
      <c r="IBP2584" s="100"/>
      <c r="IBQ2584" s="100"/>
      <c r="IBR2584" s="100"/>
      <c r="IBS2584" s="100"/>
      <c r="IBT2584" s="100"/>
      <c r="IBU2584" s="100"/>
      <c r="IBV2584" s="100"/>
      <c r="IBW2584" s="100"/>
      <c r="IBX2584" s="100"/>
      <c r="IBY2584" s="100"/>
      <c r="IBZ2584" s="100"/>
      <c r="ICA2584" s="100"/>
      <c r="ICB2584" s="100"/>
      <c r="ICC2584" s="100"/>
      <c r="ICD2584" s="100"/>
      <c r="ICE2584" s="100"/>
      <c r="ICF2584" s="100"/>
      <c r="ICG2584" s="100"/>
      <c r="ICH2584" s="100"/>
      <c r="ICI2584" s="100"/>
      <c r="ICJ2584" s="100"/>
      <c r="ICK2584" s="100"/>
      <c r="ICL2584" s="100"/>
      <c r="ICM2584" s="100"/>
      <c r="ICN2584" s="100"/>
      <c r="ICO2584" s="100"/>
      <c r="ICP2584" s="100"/>
      <c r="ICQ2584" s="100"/>
      <c r="ICR2584" s="100"/>
      <c r="ICS2584" s="100"/>
      <c r="ICT2584" s="100"/>
      <c r="ICU2584" s="100"/>
      <c r="ICV2584" s="100"/>
      <c r="ICW2584" s="100"/>
      <c r="ICX2584" s="100"/>
      <c r="ICY2584" s="100"/>
      <c r="ICZ2584" s="100"/>
      <c r="IDA2584" s="100"/>
      <c r="IDB2584" s="100"/>
      <c r="IDC2584" s="100"/>
      <c r="IDD2584" s="100"/>
      <c r="IDE2584" s="100"/>
      <c r="IDF2584" s="100"/>
      <c r="IDG2584" s="100"/>
      <c r="IDH2584" s="100"/>
      <c r="IDI2584" s="100"/>
      <c r="IDJ2584" s="100"/>
      <c r="IDK2584" s="100"/>
      <c r="IDL2584" s="100"/>
      <c r="IDM2584" s="100"/>
      <c r="IDN2584" s="100"/>
      <c r="IDO2584" s="100"/>
      <c r="IDP2584" s="100"/>
      <c r="IDQ2584" s="100"/>
      <c r="IDR2584" s="100"/>
      <c r="IDS2584" s="100"/>
      <c r="IDT2584" s="100"/>
      <c r="IDU2584" s="100"/>
      <c r="IDV2584" s="100"/>
      <c r="IDW2584" s="100"/>
      <c r="IDX2584" s="100"/>
      <c r="IDY2584" s="100"/>
      <c r="IDZ2584" s="100"/>
      <c r="IEA2584" s="100"/>
      <c r="IEB2584" s="100"/>
      <c r="IEC2584" s="100"/>
      <c r="IED2584" s="100"/>
      <c r="IEE2584" s="100"/>
      <c r="IEF2584" s="100"/>
      <c r="IEG2584" s="100"/>
      <c r="IEH2584" s="100"/>
      <c r="IEI2584" s="100"/>
      <c r="IEJ2584" s="100"/>
      <c r="IEK2584" s="100"/>
      <c r="IEL2584" s="100"/>
      <c r="IEM2584" s="100"/>
      <c r="IEN2584" s="100"/>
      <c r="IEO2584" s="100"/>
      <c r="IEP2584" s="100"/>
      <c r="IEQ2584" s="100"/>
      <c r="IER2584" s="100"/>
      <c r="IES2584" s="100"/>
      <c r="IET2584" s="100"/>
      <c r="IEU2584" s="100"/>
      <c r="IEV2584" s="100"/>
      <c r="IEW2584" s="100"/>
      <c r="IEX2584" s="100"/>
      <c r="IEY2584" s="100"/>
      <c r="IEZ2584" s="100"/>
      <c r="IFA2584" s="100"/>
      <c r="IFB2584" s="100"/>
      <c r="IFC2584" s="100"/>
      <c r="IFD2584" s="100"/>
      <c r="IFE2584" s="100"/>
      <c r="IFF2584" s="100"/>
      <c r="IFG2584" s="100"/>
      <c r="IFH2584" s="100"/>
      <c r="IFI2584" s="100"/>
      <c r="IFJ2584" s="100"/>
      <c r="IFK2584" s="100"/>
      <c r="IFL2584" s="100"/>
      <c r="IFM2584" s="100"/>
      <c r="IFN2584" s="100"/>
      <c r="IFO2584" s="100"/>
      <c r="IFP2584" s="100"/>
      <c r="IFQ2584" s="100"/>
      <c r="IFR2584" s="100"/>
      <c r="IFS2584" s="100"/>
      <c r="IFT2584" s="100"/>
      <c r="IFU2584" s="100"/>
      <c r="IFV2584" s="100"/>
      <c r="IFW2584" s="100"/>
      <c r="IFX2584" s="100"/>
      <c r="IFY2584" s="100"/>
      <c r="IFZ2584" s="100"/>
      <c r="IGA2584" s="100"/>
      <c r="IGB2584" s="100"/>
      <c r="IGC2584" s="100"/>
      <c r="IGD2584" s="100"/>
      <c r="IGE2584" s="100"/>
      <c r="IGF2584" s="100"/>
      <c r="IGG2584" s="100"/>
      <c r="IGH2584" s="100"/>
      <c r="IGI2584" s="100"/>
      <c r="IGJ2584" s="100"/>
      <c r="IGK2584" s="100"/>
      <c r="IGL2584" s="100"/>
      <c r="IGM2584" s="100"/>
      <c r="IGN2584" s="100"/>
      <c r="IGO2584" s="100"/>
      <c r="IGP2584" s="100"/>
      <c r="IGQ2584" s="100"/>
      <c r="IGR2584" s="100"/>
      <c r="IGS2584" s="100"/>
      <c r="IGT2584" s="100"/>
      <c r="IGU2584" s="100"/>
      <c r="IGV2584" s="100"/>
      <c r="IGW2584" s="100"/>
      <c r="IGX2584" s="100"/>
      <c r="IGY2584" s="100"/>
      <c r="IGZ2584" s="100"/>
      <c r="IHA2584" s="100"/>
      <c r="IHB2584" s="100"/>
      <c r="IHC2584" s="100"/>
      <c r="IHD2584" s="100"/>
      <c r="IHE2584" s="100"/>
      <c r="IHF2584" s="100"/>
      <c r="IHG2584" s="100"/>
      <c r="IHH2584" s="100"/>
      <c r="IHI2584" s="100"/>
      <c r="IHJ2584" s="100"/>
      <c r="IHK2584" s="100"/>
      <c r="IHL2584" s="100"/>
      <c r="IHM2584" s="100"/>
      <c r="IHN2584" s="100"/>
      <c r="IHO2584" s="100"/>
      <c r="IHP2584" s="100"/>
      <c r="IHQ2584" s="100"/>
      <c r="IHR2584" s="100"/>
      <c r="IHS2584" s="100"/>
      <c r="IHT2584" s="100"/>
      <c r="IHU2584" s="100"/>
      <c r="IHV2584" s="100"/>
      <c r="IHW2584" s="100"/>
      <c r="IHX2584" s="100"/>
      <c r="IHY2584" s="100"/>
      <c r="IHZ2584" s="100"/>
      <c r="IIA2584" s="100"/>
      <c r="IIB2584" s="100"/>
      <c r="IIC2584" s="100"/>
      <c r="IID2584" s="100"/>
      <c r="IIE2584" s="100"/>
      <c r="IIF2584" s="100"/>
      <c r="IIG2584" s="100"/>
      <c r="IIH2584" s="100"/>
      <c r="III2584" s="100"/>
      <c r="IIJ2584" s="100"/>
      <c r="IIK2584" s="100"/>
      <c r="IIL2584" s="100"/>
      <c r="IIM2584" s="100"/>
      <c r="IIN2584" s="100"/>
      <c r="IIO2584" s="100"/>
      <c r="IIP2584" s="100"/>
      <c r="IIQ2584" s="100"/>
      <c r="IIR2584" s="100"/>
      <c r="IIS2584" s="100"/>
      <c r="IIT2584" s="100"/>
      <c r="IIU2584" s="100"/>
      <c r="IIV2584" s="100"/>
      <c r="IIW2584" s="100"/>
      <c r="IIX2584" s="100"/>
      <c r="IIY2584" s="100"/>
      <c r="IIZ2584" s="100"/>
      <c r="IJA2584" s="100"/>
      <c r="IJB2584" s="100"/>
      <c r="IJC2584" s="100"/>
      <c r="IJD2584" s="100"/>
      <c r="IJE2584" s="100"/>
      <c r="IJF2584" s="100"/>
      <c r="IJG2584" s="100"/>
      <c r="IJH2584" s="100"/>
      <c r="IJI2584" s="100"/>
      <c r="IJJ2584" s="100"/>
      <c r="IJK2584" s="100"/>
      <c r="IJL2584" s="100"/>
      <c r="IJM2584" s="100"/>
      <c r="IJN2584" s="100"/>
      <c r="IJO2584" s="100"/>
      <c r="IJP2584" s="100"/>
      <c r="IJQ2584" s="100"/>
      <c r="IJR2584" s="100"/>
      <c r="IJS2584" s="100"/>
      <c r="IJT2584" s="100"/>
      <c r="IJU2584" s="100"/>
      <c r="IJV2584" s="100"/>
      <c r="IJW2584" s="100"/>
      <c r="IJX2584" s="100"/>
      <c r="IJY2584" s="100"/>
      <c r="IJZ2584" s="100"/>
      <c r="IKA2584" s="100"/>
      <c r="IKB2584" s="100"/>
      <c r="IKC2584" s="100"/>
      <c r="IKD2584" s="100"/>
      <c r="IKE2584" s="100"/>
      <c r="IKF2584" s="100"/>
      <c r="IKG2584" s="100"/>
      <c r="IKH2584" s="100"/>
      <c r="IKI2584" s="100"/>
      <c r="IKJ2584" s="100"/>
      <c r="IKK2584" s="100"/>
      <c r="IKL2584" s="100"/>
      <c r="IKM2584" s="100"/>
      <c r="IKN2584" s="100"/>
      <c r="IKO2584" s="100"/>
      <c r="IKP2584" s="100"/>
      <c r="IKQ2584" s="100"/>
      <c r="IKR2584" s="100"/>
      <c r="IKS2584" s="100"/>
      <c r="IKT2584" s="100"/>
      <c r="IKU2584" s="100"/>
      <c r="IKV2584" s="100"/>
      <c r="IKW2584" s="100"/>
      <c r="IKX2584" s="100"/>
      <c r="IKY2584" s="100"/>
      <c r="IKZ2584" s="100"/>
      <c r="ILA2584" s="100"/>
      <c r="ILB2584" s="100"/>
      <c r="ILC2584" s="100"/>
      <c r="ILD2584" s="100"/>
      <c r="ILE2584" s="100"/>
      <c r="ILF2584" s="100"/>
      <c r="ILG2584" s="100"/>
      <c r="ILH2584" s="100"/>
      <c r="ILI2584" s="100"/>
      <c r="ILJ2584" s="100"/>
      <c r="ILK2584" s="100"/>
      <c r="ILL2584" s="100"/>
      <c r="ILM2584" s="100"/>
      <c r="ILN2584" s="100"/>
      <c r="ILO2584" s="100"/>
      <c r="ILP2584" s="100"/>
      <c r="ILQ2584" s="100"/>
      <c r="ILR2584" s="100"/>
      <c r="ILS2584" s="100"/>
      <c r="ILT2584" s="100"/>
      <c r="ILU2584" s="100"/>
      <c r="ILV2584" s="100"/>
      <c r="ILW2584" s="100"/>
      <c r="ILX2584" s="100"/>
      <c r="ILY2584" s="100"/>
      <c r="ILZ2584" s="100"/>
      <c r="IMA2584" s="100"/>
      <c r="IMB2584" s="100"/>
      <c r="IMC2584" s="100"/>
      <c r="IMD2584" s="100"/>
      <c r="IME2584" s="100"/>
      <c r="IMF2584" s="100"/>
      <c r="IMG2584" s="100"/>
      <c r="IMH2584" s="100"/>
      <c r="IMI2584" s="100"/>
      <c r="IMJ2584" s="100"/>
      <c r="IMK2584" s="100"/>
      <c r="IML2584" s="100"/>
      <c r="IMM2584" s="100"/>
      <c r="IMN2584" s="100"/>
      <c r="IMO2584" s="100"/>
      <c r="IMP2584" s="100"/>
      <c r="IMQ2584" s="100"/>
      <c r="IMR2584" s="100"/>
      <c r="IMS2584" s="100"/>
      <c r="IMT2584" s="100"/>
      <c r="IMU2584" s="100"/>
      <c r="IMV2584" s="100"/>
      <c r="IMW2584" s="100"/>
      <c r="IMX2584" s="100"/>
      <c r="IMY2584" s="100"/>
      <c r="IMZ2584" s="100"/>
      <c r="INA2584" s="100"/>
      <c r="INB2584" s="100"/>
      <c r="INC2584" s="100"/>
      <c r="IND2584" s="100"/>
      <c r="INE2584" s="100"/>
      <c r="INF2584" s="100"/>
      <c r="ING2584" s="100"/>
      <c r="INH2584" s="100"/>
      <c r="INI2584" s="100"/>
      <c r="INJ2584" s="100"/>
      <c r="INK2584" s="100"/>
      <c r="INL2584" s="100"/>
      <c r="INM2584" s="100"/>
      <c r="INN2584" s="100"/>
      <c r="INO2584" s="100"/>
      <c r="INP2584" s="100"/>
      <c r="INQ2584" s="100"/>
      <c r="INR2584" s="100"/>
      <c r="INS2584" s="100"/>
      <c r="INT2584" s="100"/>
      <c r="INU2584" s="100"/>
      <c r="INV2584" s="100"/>
      <c r="INW2584" s="100"/>
      <c r="INX2584" s="100"/>
      <c r="INY2584" s="100"/>
      <c r="INZ2584" s="100"/>
      <c r="IOA2584" s="100"/>
      <c r="IOB2584" s="100"/>
      <c r="IOC2584" s="100"/>
      <c r="IOD2584" s="100"/>
      <c r="IOE2584" s="100"/>
      <c r="IOF2584" s="100"/>
      <c r="IOG2584" s="100"/>
      <c r="IOH2584" s="100"/>
      <c r="IOI2584" s="100"/>
      <c r="IOJ2584" s="100"/>
      <c r="IOK2584" s="100"/>
      <c r="IOL2584" s="100"/>
      <c r="IOM2584" s="100"/>
      <c r="ION2584" s="100"/>
      <c r="IOO2584" s="100"/>
      <c r="IOP2584" s="100"/>
      <c r="IOQ2584" s="100"/>
      <c r="IOR2584" s="100"/>
      <c r="IOS2584" s="100"/>
      <c r="IOT2584" s="100"/>
      <c r="IOU2584" s="100"/>
      <c r="IOV2584" s="100"/>
      <c r="IOW2584" s="100"/>
      <c r="IOX2584" s="100"/>
      <c r="IOY2584" s="100"/>
      <c r="IOZ2584" s="100"/>
      <c r="IPA2584" s="100"/>
      <c r="IPB2584" s="100"/>
      <c r="IPC2584" s="100"/>
      <c r="IPD2584" s="100"/>
      <c r="IPE2584" s="100"/>
      <c r="IPF2584" s="100"/>
      <c r="IPG2584" s="100"/>
      <c r="IPH2584" s="100"/>
      <c r="IPI2584" s="100"/>
      <c r="IPJ2584" s="100"/>
      <c r="IPK2584" s="100"/>
      <c r="IPL2584" s="100"/>
      <c r="IPM2584" s="100"/>
      <c r="IPN2584" s="100"/>
      <c r="IPO2584" s="100"/>
      <c r="IPP2584" s="100"/>
      <c r="IPQ2584" s="100"/>
      <c r="IPR2584" s="100"/>
      <c r="IPS2584" s="100"/>
      <c r="IPT2584" s="100"/>
      <c r="IPU2584" s="100"/>
      <c r="IPV2584" s="100"/>
      <c r="IPW2584" s="100"/>
      <c r="IPX2584" s="100"/>
      <c r="IPY2584" s="100"/>
      <c r="IPZ2584" s="100"/>
      <c r="IQA2584" s="100"/>
      <c r="IQB2584" s="100"/>
      <c r="IQC2584" s="100"/>
      <c r="IQD2584" s="100"/>
      <c r="IQE2584" s="100"/>
      <c r="IQF2584" s="100"/>
      <c r="IQG2584" s="100"/>
      <c r="IQH2584" s="100"/>
      <c r="IQI2584" s="100"/>
      <c r="IQJ2584" s="100"/>
      <c r="IQK2584" s="100"/>
      <c r="IQL2584" s="100"/>
      <c r="IQM2584" s="100"/>
      <c r="IQN2584" s="100"/>
      <c r="IQO2584" s="100"/>
      <c r="IQP2584" s="100"/>
      <c r="IQQ2584" s="100"/>
      <c r="IQR2584" s="100"/>
      <c r="IQS2584" s="100"/>
      <c r="IQT2584" s="100"/>
      <c r="IQU2584" s="100"/>
      <c r="IQV2584" s="100"/>
      <c r="IQW2584" s="100"/>
      <c r="IQX2584" s="100"/>
      <c r="IQY2584" s="100"/>
      <c r="IQZ2584" s="100"/>
      <c r="IRA2584" s="100"/>
      <c r="IRB2584" s="100"/>
      <c r="IRC2584" s="100"/>
      <c r="IRD2584" s="100"/>
      <c r="IRE2584" s="100"/>
      <c r="IRF2584" s="100"/>
      <c r="IRG2584" s="100"/>
      <c r="IRH2584" s="100"/>
      <c r="IRI2584" s="100"/>
      <c r="IRJ2584" s="100"/>
      <c r="IRK2584" s="100"/>
      <c r="IRL2584" s="100"/>
      <c r="IRM2584" s="100"/>
      <c r="IRN2584" s="100"/>
      <c r="IRO2584" s="100"/>
      <c r="IRP2584" s="100"/>
      <c r="IRQ2584" s="100"/>
      <c r="IRR2584" s="100"/>
      <c r="IRS2584" s="100"/>
      <c r="IRT2584" s="100"/>
      <c r="IRU2584" s="100"/>
      <c r="IRV2584" s="100"/>
      <c r="IRW2584" s="100"/>
      <c r="IRX2584" s="100"/>
      <c r="IRY2584" s="100"/>
      <c r="IRZ2584" s="100"/>
      <c r="ISA2584" s="100"/>
      <c r="ISB2584" s="100"/>
      <c r="ISC2584" s="100"/>
      <c r="ISD2584" s="100"/>
      <c r="ISE2584" s="100"/>
      <c r="ISF2584" s="100"/>
      <c r="ISG2584" s="100"/>
      <c r="ISH2584" s="100"/>
      <c r="ISI2584" s="100"/>
      <c r="ISJ2584" s="100"/>
      <c r="ISK2584" s="100"/>
      <c r="ISL2584" s="100"/>
      <c r="ISM2584" s="100"/>
      <c r="ISN2584" s="100"/>
      <c r="ISO2584" s="100"/>
      <c r="ISP2584" s="100"/>
      <c r="ISQ2584" s="100"/>
      <c r="ISR2584" s="100"/>
      <c r="ISS2584" s="100"/>
      <c r="IST2584" s="100"/>
      <c r="ISU2584" s="100"/>
      <c r="ISV2584" s="100"/>
      <c r="ISW2584" s="100"/>
      <c r="ISX2584" s="100"/>
      <c r="ISY2584" s="100"/>
      <c r="ISZ2584" s="100"/>
      <c r="ITA2584" s="100"/>
      <c r="ITB2584" s="100"/>
      <c r="ITC2584" s="100"/>
      <c r="ITD2584" s="100"/>
      <c r="ITE2584" s="100"/>
      <c r="ITF2584" s="100"/>
      <c r="ITG2584" s="100"/>
      <c r="ITH2584" s="100"/>
      <c r="ITI2584" s="100"/>
      <c r="ITJ2584" s="100"/>
      <c r="ITK2584" s="100"/>
      <c r="ITL2584" s="100"/>
      <c r="ITM2584" s="100"/>
      <c r="ITN2584" s="100"/>
      <c r="ITO2584" s="100"/>
      <c r="ITP2584" s="100"/>
      <c r="ITQ2584" s="100"/>
      <c r="ITR2584" s="100"/>
      <c r="ITS2584" s="100"/>
      <c r="ITT2584" s="100"/>
      <c r="ITU2584" s="100"/>
      <c r="ITV2584" s="100"/>
      <c r="ITW2584" s="100"/>
      <c r="ITX2584" s="100"/>
      <c r="ITY2584" s="100"/>
      <c r="ITZ2584" s="100"/>
      <c r="IUA2584" s="100"/>
      <c r="IUB2584" s="100"/>
      <c r="IUC2584" s="100"/>
      <c r="IUD2584" s="100"/>
      <c r="IUE2584" s="100"/>
      <c r="IUF2584" s="100"/>
      <c r="IUG2584" s="100"/>
      <c r="IUH2584" s="100"/>
      <c r="IUI2584" s="100"/>
      <c r="IUJ2584" s="100"/>
      <c r="IUK2584" s="100"/>
      <c r="IUL2584" s="100"/>
      <c r="IUM2584" s="100"/>
      <c r="IUN2584" s="100"/>
      <c r="IUO2584" s="100"/>
      <c r="IUP2584" s="100"/>
      <c r="IUQ2584" s="100"/>
      <c r="IUR2584" s="100"/>
      <c r="IUS2584" s="100"/>
      <c r="IUT2584" s="100"/>
      <c r="IUU2584" s="100"/>
      <c r="IUV2584" s="100"/>
      <c r="IUW2584" s="100"/>
      <c r="IUX2584" s="100"/>
      <c r="IUY2584" s="100"/>
      <c r="IUZ2584" s="100"/>
      <c r="IVA2584" s="100"/>
      <c r="IVB2584" s="100"/>
      <c r="IVC2584" s="100"/>
      <c r="IVD2584" s="100"/>
      <c r="IVE2584" s="100"/>
      <c r="IVF2584" s="100"/>
      <c r="IVG2584" s="100"/>
      <c r="IVH2584" s="100"/>
      <c r="IVI2584" s="100"/>
      <c r="IVJ2584" s="100"/>
      <c r="IVK2584" s="100"/>
      <c r="IVL2584" s="100"/>
      <c r="IVM2584" s="100"/>
      <c r="IVN2584" s="100"/>
      <c r="IVO2584" s="100"/>
      <c r="IVP2584" s="100"/>
      <c r="IVQ2584" s="100"/>
      <c r="IVR2584" s="100"/>
      <c r="IVS2584" s="100"/>
      <c r="IVT2584" s="100"/>
      <c r="IVU2584" s="100"/>
      <c r="IVV2584" s="100"/>
      <c r="IVW2584" s="100"/>
      <c r="IVX2584" s="100"/>
      <c r="IVY2584" s="100"/>
      <c r="IVZ2584" s="100"/>
      <c r="IWA2584" s="100"/>
      <c r="IWB2584" s="100"/>
      <c r="IWC2584" s="100"/>
      <c r="IWD2584" s="100"/>
      <c r="IWE2584" s="100"/>
      <c r="IWF2584" s="100"/>
      <c r="IWG2584" s="100"/>
      <c r="IWH2584" s="100"/>
      <c r="IWI2584" s="100"/>
      <c r="IWJ2584" s="100"/>
      <c r="IWK2584" s="100"/>
      <c r="IWL2584" s="100"/>
      <c r="IWM2584" s="100"/>
      <c r="IWN2584" s="100"/>
      <c r="IWO2584" s="100"/>
      <c r="IWP2584" s="100"/>
      <c r="IWQ2584" s="100"/>
      <c r="IWR2584" s="100"/>
      <c r="IWS2584" s="100"/>
      <c r="IWT2584" s="100"/>
      <c r="IWU2584" s="100"/>
      <c r="IWV2584" s="100"/>
      <c r="IWW2584" s="100"/>
      <c r="IWX2584" s="100"/>
      <c r="IWY2584" s="100"/>
      <c r="IWZ2584" s="100"/>
      <c r="IXA2584" s="100"/>
      <c r="IXB2584" s="100"/>
      <c r="IXC2584" s="100"/>
      <c r="IXD2584" s="100"/>
      <c r="IXE2584" s="100"/>
      <c r="IXF2584" s="100"/>
      <c r="IXG2584" s="100"/>
      <c r="IXH2584" s="100"/>
      <c r="IXI2584" s="100"/>
      <c r="IXJ2584" s="100"/>
      <c r="IXK2584" s="100"/>
      <c r="IXL2584" s="100"/>
      <c r="IXM2584" s="100"/>
      <c r="IXN2584" s="100"/>
      <c r="IXO2584" s="100"/>
      <c r="IXP2584" s="100"/>
      <c r="IXQ2584" s="100"/>
      <c r="IXR2584" s="100"/>
      <c r="IXS2584" s="100"/>
      <c r="IXT2584" s="100"/>
      <c r="IXU2584" s="100"/>
      <c r="IXV2584" s="100"/>
      <c r="IXW2584" s="100"/>
      <c r="IXX2584" s="100"/>
      <c r="IXY2584" s="100"/>
      <c r="IXZ2584" s="100"/>
      <c r="IYA2584" s="100"/>
      <c r="IYB2584" s="100"/>
      <c r="IYC2584" s="100"/>
      <c r="IYD2584" s="100"/>
      <c r="IYE2584" s="100"/>
      <c r="IYF2584" s="100"/>
      <c r="IYG2584" s="100"/>
      <c r="IYH2584" s="100"/>
      <c r="IYI2584" s="100"/>
      <c r="IYJ2584" s="100"/>
      <c r="IYK2584" s="100"/>
      <c r="IYL2584" s="100"/>
      <c r="IYM2584" s="100"/>
      <c r="IYN2584" s="100"/>
      <c r="IYO2584" s="100"/>
      <c r="IYP2584" s="100"/>
      <c r="IYQ2584" s="100"/>
      <c r="IYR2584" s="100"/>
      <c r="IYS2584" s="100"/>
      <c r="IYT2584" s="100"/>
      <c r="IYU2584" s="100"/>
      <c r="IYV2584" s="100"/>
      <c r="IYW2584" s="100"/>
      <c r="IYX2584" s="100"/>
      <c r="IYY2584" s="100"/>
      <c r="IYZ2584" s="100"/>
      <c r="IZA2584" s="100"/>
      <c r="IZB2584" s="100"/>
      <c r="IZC2584" s="100"/>
      <c r="IZD2584" s="100"/>
      <c r="IZE2584" s="100"/>
      <c r="IZF2584" s="100"/>
      <c r="IZG2584" s="100"/>
      <c r="IZH2584" s="100"/>
      <c r="IZI2584" s="100"/>
      <c r="IZJ2584" s="100"/>
      <c r="IZK2584" s="100"/>
      <c r="IZL2584" s="100"/>
      <c r="IZM2584" s="100"/>
      <c r="IZN2584" s="100"/>
      <c r="IZO2584" s="100"/>
      <c r="IZP2584" s="100"/>
      <c r="IZQ2584" s="100"/>
      <c r="IZR2584" s="100"/>
      <c r="IZS2584" s="100"/>
      <c r="IZT2584" s="100"/>
      <c r="IZU2584" s="100"/>
      <c r="IZV2584" s="100"/>
      <c r="IZW2584" s="100"/>
      <c r="IZX2584" s="100"/>
      <c r="IZY2584" s="100"/>
      <c r="IZZ2584" s="100"/>
      <c r="JAA2584" s="100"/>
      <c r="JAB2584" s="100"/>
      <c r="JAC2584" s="100"/>
      <c r="JAD2584" s="100"/>
      <c r="JAE2584" s="100"/>
      <c r="JAF2584" s="100"/>
      <c r="JAG2584" s="100"/>
      <c r="JAH2584" s="100"/>
      <c r="JAI2584" s="100"/>
      <c r="JAJ2584" s="100"/>
      <c r="JAK2584" s="100"/>
      <c r="JAL2584" s="100"/>
      <c r="JAM2584" s="100"/>
      <c r="JAN2584" s="100"/>
      <c r="JAO2584" s="100"/>
      <c r="JAP2584" s="100"/>
      <c r="JAQ2584" s="100"/>
      <c r="JAR2584" s="100"/>
      <c r="JAS2584" s="100"/>
      <c r="JAT2584" s="100"/>
      <c r="JAU2584" s="100"/>
      <c r="JAV2584" s="100"/>
      <c r="JAW2584" s="100"/>
      <c r="JAX2584" s="100"/>
      <c r="JAY2584" s="100"/>
      <c r="JAZ2584" s="100"/>
      <c r="JBA2584" s="100"/>
      <c r="JBB2584" s="100"/>
      <c r="JBC2584" s="100"/>
      <c r="JBD2584" s="100"/>
      <c r="JBE2584" s="100"/>
      <c r="JBF2584" s="100"/>
      <c r="JBG2584" s="100"/>
      <c r="JBH2584" s="100"/>
      <c r="JBI2584" s="100"/>
      <c r="JBJ2584" s="100"/>
      <c r="JBK2584" s="100"/>
      <c r="JBL2584" s="100"/>
      <c r="JBM2584" s="100"/>
      <c r="JBN2584" s="100"/>
      <c r="JBO2584" s="100"/>
      <c r="JBP2584" s="100"/>
      <c r="JBQ2584" s="100"/>
      <c r="JBR2584" s="100"/>
      <c r="JBS2584" s="100"/>
      <c r="JBT2584" s="100"/>
      <c r="JBU2584" s="100"/>
      <c r="JBV2584" s="100"/>
      <c r="JBW2584" s="100"/>
      <c r="JBX2584" s="100"/>
      <c r="JBY2584" s="100"/>
      <c r="JBZ2584" s="100"/>
      <c r="JCA2584" s="100"/>
      <c r="JCB2584" s="100"/>
      <c r="JCC2584" s="100"/>
      <c r="JCD2584" s="100"/>
      <c r="JCE2584" s="100"/>
      <c r="JCF2584" s="100"/>
      <c r="JCG2584" s="100"/>
      <c r="JCH2584" s="100"/>
      <c r="JCI2584" s="100"/>
      <c r="JCJ2584" s="100"/>
      <c r="JCK2584" s="100"/>
      <c r="JCL2584" s="100"/>
      <c r="JCM2584" s="100"/>
      <c r="JCN2584" s="100"/>
      <c r="JCO2584" s="100"/>
      <c r="JCP2584" s="100"/>
      <c r="JCQ2584" s="100"/>
      <c r="JCR2584" s="100"/>
      <c r="JCS2584" s="100"/>
      <c r="JCT2584" s="100"/>
      <c r="JCU2584" s="100"/>
      <c r="JCV2584" s="100"/>
      <c r="JCW2584" s="100"/>
      <c r="JCX2584" s="100"/>
      <c r="JCY2584" s="100"/>
      <c r="JCZ2584" s="100"/>
      <c r="JDA2584" s="100"/>
      <c r="JDB2584" s="100"/>
      <c r="JDC2584" s="100"/>
      <c r="JDD2584" s="100"/>
      <c r="JDE2584" s="100"/>
      <c r="JDF2584" s="100"/>
      <c r="JDG2584" s="100"/>
      <c r="JDH2584" s="100"/>
      <c r="JDI2584" s="100"/>
      <c r="JDJ2584" s="100"/>
      <c r="JDK2584" s="100"/>
      <c r="JDL2584" s="100"/>
      <c r="JDM2584" s="100"/>
      <c r="JDN2584" s="100"/>
      <c r="JDO2584" s="100"/>
      <c r="JDP2584" s="100"/>
      <c r="JDQ2584" s="100"/>
      <c r="JDR2584" s="100"/>
      <c r="JDS2584" s="100"/>
      <c r="JDT2584" s="100"/>
      <c r="JDU2584" s="100"/>
      <c r="JDV2584" s="100"/>
      <c r="JDW2584" s="100"/>
      <c r="JDX2584" s="100"/>
      <c r="JDY2584" s="100"/>
      <c r="JDZ2584" s="100"/>
      <c r="JEA2584" s="100"/>
      <c r="JEB2584" s="100"/>
      <c r="JEC2584" s="100"/>
      <c r="JED2584" s="100"/>
      <c r="JEE2584" s="100"/>
      <c r="JEF2584" s="100"/>
      <c r="JEG2584" s="100"/>
      <c r="JEH2584" s="100"/>
      <c r="JEI2584" s="100"/>
      <c r="JEJ2584" s="100"/>
      <c r="JEK2584" s="100"/>
      <c r="JEL2584" s="100"/>
      <c r="JEM2584" s="100"/>
      <c r="JEN2584" s="100"/>
      <c r="JEO2584" s="100"/>
      <c r="JEP2584" s="100"/>
      <c r="JEQ2584" s="100"/>
      <c r="JER2584" s="100"/>
      <c r="JES2584" s="100"/>
      <c r="JET2584" s="100"/>
      <c r="JEU2584" s="100"/>
      <c r="JEV2584" s="100"/>
      <c r="JEW2584" s="100"/>
      <c r="JEX2584" s="100"/>
      <c r="JEY2584" s="100"/>
      <c r="JEZ2584" s="100"/>
      <c r="JFA2584" s="100"/>
      <c r="JFB2584" s="100"/>
      <c r="JFC2584" s="100"/>
      <c r="JFD2584" s="100"/>
      <c r="JFE2584" s="100"/>
      <c r="JFF2584" s="100"/>
      <c r="JFG2584" s="100"/>
      <c r="JFH2584" s="100"/>
      <c r="JFI2584" s="100"/>
      <c r="JFJ2584" s="100"/>
      <c r="JFK2584" s="100"/>
      <c r="JFL2584" s="100"/>
      <c r="JFM2584" s="100"/>
      <c r="JFN2584" s="100"/>
      <c r="JFO2584" s="100"/>
      <c r="JFP2584" s="100"/>
      <c r="JFQ2584" s="100"/>
      <c r="JFR2584" s="100"/>
      <c r="JFS2584" s="100"/>
      <c r="JFT2584" s="100"/>
      <c r="JFU2584" s="100"/>
      <c r="JFV2584" s="100"/>
      <c r="JFW2584" s="100"/>
      <c r="JFX2584" s="100"/>
      <c r="JFY2584" s="100"/>
      <c r="JFZ2584" s="100"/>
      <c r="JGA2584" s="100"/>
      <c r="JGB2584" s="100"/>
      <c r="JGC2584" s="100"/>
      <c r="JGD2584" s="100"/>
      <c r="JGE2584" s="100"/>
      <c r="JGF2584" s="100"/>
      <c r="JGG2584" s="100"/>
      <c r="JGH2584" s="100"/>
      <c r="JGI2584" s="100"/>
      <c r="JGJ2584" s="100"/>
      <c r="JGK2584" s="100"/>
      <c r="JGL2584" s="100"/>
      <c r="JGM2584" s="100"/>
      <c r="JGN2584" s="100"/>
      <c r="JGO2584" s="100"/>
      <c r="JGP2584" s="100"/>
      <c r="JGQ2584" s="100"/>
      <c r="JGR2584" s="100"/>
      <c r="JGS2584" s="100"/>
      <c r="JGT2584" s="100"/>
      <c r="JGU2584" s="100"/>
      <c r="JGV2584" s="100"/>
      <c r="JGW2584" s="100"/>
      <c r="JGX2584" s="100"/>
      <c r="JGY2584" s="100"/>
      <c r="JGZ2584" s="100"/>
      <c r="JHA2584" s="100"/>
      <c r="JHB2584" s="100"/>
      <c r="JHC2584" s="100"/>
      <c r="JHD2584" s="100"/>
      <c r="JHE2584" s="100"/>
      <c r="JHF2584" s="100"/>
      <c r="JHG2584" s="100"/>
      <c r="JHH2584" s="100"/>
      <c r="JHI2584" s="100"/>
      <c r="JHJ2584" s="100"/>
      <c r="JHK2584" s="100"/>
      <c r="JHL2584" s="100"/>
      <c r="JHM2584" s="100"/>
      <c r="JHN2584" s="100"/>
      <c r="JHO2584" s="100"/>
      <c r="JHP2584" s="100"/>
      <c r="JHQ2584" s="100"/>
      <c r="JHR2584" s="100"/>
      <c r="JHS2584" s="100"/>
      <c r="JHT2584" s="100"/>
      <c r="JHU2584" s="100"/>
      <c r="JHV2584" s="100"/>
      <c r="JHW2584" s="100"/>
      <c r="JHX2584" s="100"/>
      <c r="JHY2584" s="100"/>
      <c r="JHZ2584" s="100"/>
      <c r="JIA2584" s="100"/>
      <c r="JIB2584" s="100"/>
      <c r="JIC2584" s="100"/>
      <c r="JID2584" s="100"/>
      <c r="JIE2584" s="100"/>
      <c r="JIF2584" s="100"/>
      <c r="JIG2584" s="100"/>
      <c r="JIH2584" s="100"/>
      <c r="JII2584" s="100"/>
      <c r="JIJ2584" s="100"/>
      <c r="JIK2584" s="100"/>
      <c r="JIL2584" s="100"/>
      <c r="JIM2584" s="100"/>
      <c r="JIN2584" s="100"/>
      <c r="JIO2584" s="100"/>
      <c r="JIP2584" s="100"/>
      <c r="JIQ2584" s="100"/>
      <c r="JIR2584" s="100"/>
      <c r="JIS2584" s="100"/>
      <c r="JIT2584" s="100"/>
      <c r="JIU2584" s="100"/>
      <c r="JIV2584" s="100"/>
      <c r="JIW2584" s="100"/>
      <c r="JIX2584" s="100"/>
      <c r="JIY2584" s="100"/>
      <c r="JIZ2584" s="100"/>
      <c r="JJA2584" s="100"/>
      <c r="JJB2584" s="100"/>
      <c r="JJC2584" s="100"/>
      <c r="JJD2584" s="100"/>
      <c r="JJE2584" s="100"/>
      <c r="JJF2584" s="100"/>
      <c r="JJG2584" s="100"/>
      <c r="JJH2584" s="100"/>
      <c r="JJI2584" s="100"/>
      <c r="JJJ2584" s="100"/>
      <c r="JJK2584" s="100"/>
      <c r="JJL2584" s="100"/>
      <c r="JJM2584" s="100"/>
      <c r="JJN2584" s="100"/>
      <c r="JJO2584" s="100"/>
      <c r="JJP2584" s="100"/>
      <c r="JJQ2584" s="100"/>
      <c r="JJR2584" s="100"/>
      <c r="JJS2584" s="100"/>
      <c r="JJT2584" s="100"/>
      <c r="JJU2584" s="100"/>
      <c r="JJV2584" s="100"/>
      <c r="JJW2584" s="100"/>
      <c r="JJX2584" s="100"/>
      <c r="JJY2584" s="100"/>
      <c r="JJZ2584" s="100"/>
      <c r="JKA2584" s="100"/>
      <c r="JKB2584" s="100"/>
      <c r="JKC2584" s="100"/>
      <c r="JKD2584" s="100"/>
      <c r="JKE2584" s="100"/>
      <c r="JKF2584" s="100"/>
      <c r="JKG2584" s="100"/>
      <c r="JKH2584" s="100"/>
      <c r="JKI2584" s="100"/>
      <c r="JKJ2584" s="100"/>
      <c r="JKK2584" s="100"/>
      <c r="JKL2584" s="100"/>
      <c r="JKM2584" s="100"/>
      <c r="JKN2584" s="100"/>
      <c r="JKO2584" s="100"/>
      <c r="JKP2584" s="100"/>
      <c r="JKQ2584" s="100"/>
      <c r="JKR2584" s="100"/>
      <c r="JKS2584" s="100"/>
      <c r="JKT2584" s="100"/>
      <c r="JKU2584" s="100"/>
      <c r="JKV2584" s="100"/>
      <c r="JKW2584" s="100"/>
      <c r="JKX2584" s="100"/>
      <c r="JKY2584" s="100"/>
      <c r="JKZ2584" s="100"/>
      <c r="JLA2584" s="100"/>
      <c r="JLB2584" s="100"/>
      <c r="JLC2584" s="100"/>
      <c r="JLD2584" s="100"/>
      <c r="JLE2584" s="100"/>
      <c r="JLF2584" s="100"/>
      <c r="JLG2584" s="100"/>
      <c r="JLH2584" s="100"/>
      <c r="JLI2584" s="100"/>
      <c r="JLJ2584" s="100"/>
      <c r="JLK2584" s="100"/>
      <c r="JLL2584" s="100"/>
      <c r="JLM2584" s="100"/>
      <c r="JLN2584" s="100"/>
      <c r="JLO2584" s="100"/>
      <c r="JLP2584" s="100"/>
      <c r="JLQ2584" s="100"/>
      <c r="JLR2584" s="100"/>
      <c r="JLS2584" s="100"/>
      <c r="JLT2584" s="100"/>
      <c r="JLU2584" s="100"/>
      <c r="JLV2584" s="100"/>
      <c r="JLW2584" s="100"/>
      <c r="JLX2584" s="100"/>
      <c r="JLY2584" s="100"/>
      <c r="JLZ2584" s="100"/>
      <c r="JMA2584" s="100"/>
      <c r="JMB2584" s="100"/>
      <c r="JMC2584" s="100"/>
      <c r="JMD2584" s="100"/>
      <c r="JME2584" s="100"/>
      <c r="JMF2584" s="100"/>
      <c r="JMG2584" s="100"/>
      <c r="JMH2584" s="100"/>
      <c r="JMI2584" s="100"/>
      <c r="JMJ2584" s="100"/>
      <c r="JMK2584" s="100"/>
      <c r="JML2584" s="100"/>
      <c r="JMM2584" s="100"/>
      <c r="JMN2584" s="100"/>
      <c r="JMO2584" s="100"/>
      <c r="JMP2584" s="100"/>
      <c r="JMQ2584" s="100"/>
      <c r="JMR2584" s="100"/>
      <c r="JMS2584" s="100"/>
      <c r="JMT2584" s="100"/>
      <c r="JMU2584" s="100"/>
      <c r="JMV2584" s="100"/>
      <c r="JMW2584" s="100"/>
      <c r="JMX2584" s="100"/>
      <c r="JMY2584" s="100"/>
      <c r="JMZ2584" s="100"/>
      <c r="JNA2584" s="100"/>
      <c r="JNB2584" s="100"/>
      <c r="JNC2584" s="100"/>
      <c r="JND2584" s="100"/>
      <c r="JNE2584" s="100"/>
      <c r="JNF2584" s="100"/>
      <c r="JNG2584" s="100"/>
      <c r="JNH2584" s="100"/>
      <c r="JNI2584" s="100"/>
      <c r="JNJ2584" s="100"/>
      <c r="JNK2584" s="100"/>
      <c r="JNL2584" s="100"/>
      <c r="JNM2584" s="100"/>
      <c r="JNN2584" s="100"/>
      <c r="JNO2584" s="100"/>
      <c r="JNP2584" s="100"/>
      <c r="JNQ2584" s="100"/>
      <c r="JNR2584" s="100"/>
      <c r="JNS2584" s="100"/>
      <c r="JNT2584" s="100"/>
      <c r="JNU2584" s="100"/>
      <c r="JNV2584" s="100"/>
      <c r="JNW2584" s="100"/>
      <c r="JNX2584" s="100"/>
      <c r="JNY2584" s="100"/>
      <c r="JNZ2584" s="100"/>
      <c r="JOA2584" s="100"/>
      <c r="JOB2584" s="100"/>
      <c r="JOC2584" s="100"/>
      <c r="JOD2584" s="100"/>
      <c r="JOE2584" s="100"/>
      <c r="JOF2584" s="100"/>
      <c r="JOG2584" s="100"/>
      <c r="JOH2584" s="100"/>
      <c r="JOI2584" s="100"/>
      <c r="JOJ2584" s="100"/>
      <c r="JOK2584" s="100"/>
      <c r="JOL2584" s="100"/>
      <c r="JOM2584" s="100"/>
      <c r="JON2584" s="100"/>
      <c r="JOO2584" s="100"/>
      <c r="JOP2584" s="100"/>
      <c r="JOQ2584" s="100"/>
      <c r="JOR2584" s="100"/>
      <c r="JOS2584" s="100"/>
      <c r="JOT2584" s="100"/>
      <c r="JOU2584" s="100"/>
      <c r="JOV2584" s="100"/>
      <c r="JOW2584" s="100"/>
      <c r="JOX2584" s="100"/>
      <c r="JOY2584" s="100"/>
      <c r="JOZ2584" s="100"/>
      <c r="JPA2584" s="100"/>
      <c r="JPB2584" s="100"/>
      <c r="JPC2584" s="100"/>
      <c r="JPD2584" s="100"/>
      <c r="JPE2584" s="100"/>
      <c r="JPF2584" s="100"/>
      <c r="JPG2584" s="100"/>
      <c r="JPH2584" s="100"/>
      <c r="JPI2584" s="100"/>
      <c r="JPJ2584" s="100"/>
      <c r="JPK2584" s="100"/>
      <c r="JPL2584" s="100"/>
      <c r="JPM2584" s="100"/>
      <c r="JPN2584" s="100"/>
      <c r="JPO2584" s="100"/>
      <c r="JPP2584" s="100"/>
      <c r="JPQ2584" s="100"/>
      <c r="JPR2584" s="100"/>
      <c r="JPS2584" s="100"/>
      <c r="JPT2584" s="100"/>
      <c r="JPU2584" s="100"/>
      <c r="JPV2584" s="100"/>
      <c r="JPW2584" s="100"/>
      <c r="JPX2584" s="100"/>
      <c r="JPY2584" s="100"/>
      <c r="JPZ2584" s="100"/>
      <c r="JQA2584" s="100"/>
      <c r="JQB2584" s="100"/>
      <c r="JQC2584" s="100"/>
      <c r="JQD2584" s="100"/>
      <c r="JQE2584" s="100"/>
      <c r="JQF2584" s="100"/>
      <c r="JQG2584" s="100"/>
      <c r="JQH2584" s="100"/>
      <c r="JQI2584" s="100"/>
      <c r="JQJ2584" s="100"/>
      <c r="JQK2584" s="100"/>
      <c r="JQL2584" s="100"/>
      <c r="JQM2584" s="100"/>
      <c r="JQN2584" s="100"/>
      <c r="JQO2584" s="100"/>
      <c r="JQP2584" s="100"/>
      <c r="JQQ2584" s="100"/>
      <c r="JQR2584" s="100"/>
      <c r="JQS2584" s="100"/>
      <c r="JQT2584" s="100"/>
      <c r="JQU2584" s="100"/>
      <c r="JQV2584" s="100"/>
      <c r="JQW2584" s="100"/>
      <c r="JQX2584" s="100"/>
      <c r="JQY2584" s="100"/>
      <c r="JQZ2584" s="100"/>
      <c r="JRA2584" s="100"/>
      <c r="JRB2584" s="100"/>
      <c r="JRC2584" s="100"/>
      <c r="JRD2584" s="100"/>
      <c r="JRE2584" s="100"/>
      <c r="JRF2584" s="100"/>
      <c r="JRG2584" s="100"/>
      <c r="JRH2584" s="100"/>
      <c r="JRI2584" s="100"/>
      <c r="JRJ2584" s="100"/>
      <c r="JRK2584" s="100"/>
      <c r="JRL2584" s="100"/>
      <c r="JRM2584" s="100"/>
      <c r="JRN2584" s="100"/>
      <c r="JRO2584" s="100"/>
      <c r="JRP2584" s="100"/>
      <c r="JRQ2584" s="100"/>
      <c r="JRR2584" s="100"/>
      <c r="JRS2584" s="100"/>
      <c r="JRT2584" s="100"/>
      <c r="JRU2584" s="100"/>
      <c r="JRV2584" s="100"/>
      <c r="JRW2584" s="100"/>
      <c r="JRX2584" s="100"/>
      <c r="JRY2584" s="100"/>
      <c r="JRZ2584" s="100"/>
      <c r="JSA2584" s="100"/>
      <c r="JSB2584" s="100"/>
      <c r="JSC2584" s="100"/>
      <c r="JSD2584" s="100"/>
      <c r="JSE2584" s="100"/>
      <c r="JSF2584" s="100"/>
      <c r="JSG2584" s="100"/>
      <c r="JSH2584" s="100"/>
      <c r="JSI2584" s="100"/>
      <c r="JSJ2584" s="100"/>
      <c r="JSK2584" s="100"/>
      <c r="JSL2584" s="100"/>
      <c r="JSM2584" s="100"/>
      <c r="JSN2584" s="100"/>
      <c r="JSO2584" s="100"/>
      <c r="JSP2584" s="100"/>
      <c r="JSQ2584" s="100"/>
      <c r="JSR2584" s="100"/>
      <c r="JSS2584" s="100"/>
      <c r="JST2584" s="100"/>
      <c r="JSU2584" s="100"/>
      <c r="JSV2584" s="100"/>
      <c r="JSW2584" s="100"/>
      <c r="JSX2584" s="100"/>
      <c r="JSY2584" s="100"/>
      <c r="JSZ2584" s="100"/>
      <c r="JTA2584" s="100"/>
      <c r="JTB2584" s="100"/>
      <c r="JTC2584" s="100"/>
      <c r="JTD2584" s="100"/>
      <c r="JTE2584" s="100"/>
      <c r="JTF2584" s="100"/>
      <c r="JTG2584" s="100"/>
      <c r="JTH2584" s="100"/>
      <c r="JTI2584" s="100"/>
      <c r="JTJ2584" s="100"/>
      <c r="JTK2584" s="100"/>
      <c r="JTL2584" s="100"/>
      <c r="JTM2584" s="100"/>
      <c r="JTN2584" s="100"/>
      <c r="JTO2584" s="100"/>
      <c r="JTP2584" s="100"/>
      <c r="JTQ2584" s="100"/>
      <c r="JTR2584" s="100"/>
      <c r="JTS2584" s="100"/>
      <c r="JTT2584" s="100"/>
      <c r="JTU2584" s="100"/>
      <c r="JTV2584" s="100"/>
      <c r="JTW2584" s="100"/>
      <c r="JTX2584" s="100"/>
      <c r="JTY2584" s="100"/>
      <c r="JTZ2584" s="100"/>
      <c r="JUA2584" s="100"/>
      <c r="JUB2584" s="100"/>
      <c r="JUC2584" s="100"/>
      <c r="JUD2584" s="100"/>
      <c r="JUE2584" s="100"/>
      <c r="JUF2584" s="100"/>
      <c r="JUG2584" s="100"/>
      <c r="JUH2584" s="100"/>
      <c r="JUI2584" s="100"/>
      <c r="JUJ2584" s="100"/>
      <c r="JUK2584" s="100"/>
      <c r="JUL2584" s="100"/>
      <c r="JUM2584" s="100"/>
      <c r="JUN2584" s="100"/>
      <c r="JUO2584" s="100"/>
      <c r="JUP2584" s="100"/>
      <c r="JUQ2584" s="100"/>
      <c r="JUR2584" s="100"/>
      <c r="JUS2584" s="100"/>
      <c r="JUT2584" s="100"/>
      <c r="JUU2584" s="100"/>
      <c r="JUV2584" s="100"/>
      <c r="JUW2584" s="100"/>
      <c r="JUX2584" s="100"/>
      <c r="JUY2584" s="100"/>
      <c r="JUZ2584" s="100"/>
      <c r="JVA2584" s="100"/>
      <c r="JVB2584" s="100"/>
      <c r="JVC2584" s="100"/>
      <c r="JVD2584" s="100"/>
      <c r="JVE2584" s="100"/>
      <c r="JVF2584" s="100"/>
      <c r="JVG2584" s="100"/>
      <c r="JVH2584" s="100"/>
      <c r="JVI2584" s="100"/>
      <c r="JVJ2584" s="100"/>
      <c r="JVK2584" s="100"/>
      <c r="JVL2584" s="100"/>
      <c r="JVM2584" s="100"/>
      <c r="JVN2584" s="100"/>
      <c r="JVO2584" s="100"/>
      <c r="JVP2584" s="100"/>
      <c r="JVQ2584" s="100"/>
      <c r="JVR2584" s="100"/>
      <c r="JVS2584" s="100"/>
      <c r="JVT2584" s="100"/>
      <c r="JVU2584" s="100"/>
      <c r="JVV2584" s="100"/>
      <c r="JVW2584" s="100"/>
      <c r="JVX2584" s="100"/>
      <c r="JVY2584" s="100"/>
      <c r="JVZ2584" s="100"/>
      <c r="JWA2584" s="100"/>
      <c r="JWB2584" s="100"/>
      <c r="JWC2584" s="100"/>
      <c r="JWD2584" s="100"/>
      <c r="JWE2584" s="100"/>
      <c r="JWF2584" s="100"/>
      <c r="JWG2584" s="100"/>
      <c r="JWH2584" s="100"/>
      <c r="JWI2584" s="100"/>
      <c r="JWJ2584" s="100"/>
      <c r="JWK2584" s="100"/>
      <c r="JWL2584" s="100"/>
      <c r="JWM2584" s="100"/>
      <c r="JWN2584" s="100"/>
      <c r="JWO2584" s="100"/>
      <c r="JWP2584" s="100"/>
      <c r="JWQ2584" s="100"/>
      <c r="JWR2584" s="100"/>
      <c r="JWS2584" s="100"/>
      <c r="JWT2584" s="100"/>
      <c r="JWU2584" s="100"/>
      <c r="JWV2584" s="100"/>
      <c r="JWW2584" s="100"/>
      <c r="JWX2584" s="100"/>
      <c r="JWY2584" s="100"/>
      <c r="JWZ2584" s="100"/>
      <c r="JXA2584" s="100"/>
      <c r="JXB2584" s="100"/>
      <c r="JXC2584" s="100"/>
      <c r="JXD2584" s="100"/>
      <c r="JXE2584" s="100"/>
      <c r="JXF2584" s="100"/>
      <c r="JXG2584" s="100"/>
      <c r="JXH2584" s="100"/>
      <c r="JXI2584" s="100"/>
      <c r="JXJ2584" s="100"/>
      <c r="JXK2584" s="100"/>
      <c r="JXL2584" s="100"/>
      <c r="JXM2584" s="100"/>
      <c r="JXN2584" s="100"/>
      <c r="JXO2584" s="100"/>
      <c r="JXP2584" s="100"/>
      <c r="JXQ2584" s="100"/>
      <c r="JXR2584" s="100"/>
      <c r="JXS2584" s="100"/>
      <c r="JXT2584" s="100"/>
      <c r="JXU2584" s="100"/>
      <c r="JXV2584" s="100"/>
      <c r="JXW2584" s="100"/>
      <c r="JXX2584" s="100"/>
      <c r="JXY2584" s="100"/>
      <c r="JXZ2584" s="100"/>
      <c r="JYA2584" s="100"/>
      <c r="JYB2584" s="100"/>
      <c r="JYC2584" s="100"/>
      <c r="JYD2584" s="100"/>
      <c r="JYE2584" s="100"/>
      <c r="JYF2584" s="100"/>
      <c r="JYG2584" s="100"/>
      <c r="JYH2584" s="100"/>
      <c r="JYI2584" s="100"/>
      <c r="JYJ2584" s="100"/>
      <c r="JYK2584" s="100"/>
      <c r="JYL2584" s="100"/>
      <c r="JYM2584" s="100"/>
      <c r="JYN2584" s="100"/>
      <c r="JYO2584" s="100"/>
      <c r="JYP2584" s="100"/>
      <c r="JYQ2584" s="100"/>
      <c r="JYR2584" s="100"/>
      <c r="JYS2584" s="100"/>
      <c r="JYT2584" s="100"/>
      <c r="JYU2584" s="100"/>
      <c r="JYV2584" s="100"/>
      <c r="JYW2584" s="100"/>
      <c r="JYX2584" s="100"/>
      <c r="JYY2584" s="100"/>
      <c r="JYZ2584" s="100"/>
      <c r="JZA2584" s="100"/>
      <c r="JZB2584" s="100"/>
      <c r="JZC2584" s="100"/>
      <c r="JZD2584" s="100"/>
      <c r="JZE2584" s="100"/>
      <c r="JZF2584" s="100"/>
      <c r="JZG2584" s="100"/>
      <c r="JZH2584" s="100"/>
      <c r="JZI2584" s="100"/>
      <c r="JZJ2584" s="100"/>
      <c r="JZK2584" s="100"/>
      <c r="JZL2584" s="100"/>
      <c r="JZM2584" s="100"/>
      <c r="JZN2584" s="100"/>
      <c r="JZO2584" s="100"/>
      <c r="JZP2584" s="100"/>
      <c r="JZQ2584" s="100"/>
      <c r="JZR2584" s="100"/>
      <c r="JZS2584" s="100"/>
      <c r="JZT2584" s="100"/>
      <c r="JZU2584" s="100"/>
      <c r="JZV2584" s="100"/>
      <c r="JZW2584" s="100"/>
      <c r="JZX2584" s="100"/>
      <c r="JZY2584" s="100"/>
      <c r="JZZ2584" s="100"/>
      <c r="KAA2584" s="100"/>
      <c r="KAB2584" s="100"/>
      <c r="KAC2584" s="100"/>
      <c r="KAD2584" s="100"/>
      <c r="KAE2584" s="100"/>
      <c r="KAF2584" s="100"/>
      <c r="KAG2584" s="100"/>
      <c r="KAH2584" s="100"/>
      <c r="KAI2584" s="100"/>
      <c r="KAJ2584" s="100"/>
      <c r="KAK2584" s="100"/>
      <c r="KAL2584" s="100"/>
      <c r="KAM2584" s="100"/>
      <c r="KAN2584" s="100"/>
      <c r="KAO2584" s="100"/>
      <c r="KAP2584" s="100"/>
      <c r="KAQ2584" s="100"/>
      <c r="KAR2584" s="100"/>
      <c r="KAS2584" s="100"/>
      <c r="KAT2584" s="100"/>
      <c r="KAU2584" s="100"/>
      <c r="KAV2584" s="100"/>
      <c r="KAW2584" s="100"/>
      <c r="KAX2584" s="100"/>
      <c r="KAY2584" s="100"/>
      <c r="KAZ2584" s="100"/>
      <c r="KBA2584" s="100"/>
      <c r="KBB2584" s="100"/>
      <c r="KBC2584" s="100"/>
      <c r="KBD2584" s="100"/>
      <c r="KBE2584" s="100"/>
      <c r="KBF2584" s="100"/>
      <c r="KBG2584" s="100"/>
      <c r="KBH2584" s="100"/>
      <c r="KBI2584" s="100"/>
      <c r="KBJ2584" s="100"/>
      <c r="KBK2584" s="100"/>
      <c r="KBL2584" s="100"/>
      <c r="KBM2584" s="100"/>
      <c r="KBN2584" s="100"/>
      <c r="KBO2584" s="100"/>
      <c r="KBP2584" s="100"/>
      <c r="KBQ2584" s="100"/>
      <c r="KBR2584" s="100"/>
      <c r="KBS2584" s="100"/>
      <c r="KBT2584" s="100"/>
      <c r="KBU2584" s="100"/>
      <c r="KBV2584" s="100"/>
      <c r="KBW2584" s="100"/>
      <c r="KBX2584" s="100"/>
      <c r="KBY2584" s="100"/>
      <c r="KBZ2584" s="100"/>
      <c r="KCA2584" s="100"/>
      <c r="KCB2584" s="100"/>
      <c r="KCC2584" s="100"/>
      <c r="KCD2584" s="100"/>
      <c r="KCE2584" s="100"/>
      <c r="KCF2584" s="100"/>
      <c r="KCG2584" s="100"/>
      <c r="KCH2584" s="100"/>
      <c r="KCI2584" s="100"/>
      <c r="KCJ2584" s="100"/>
      <c r="KCK2584" s="100"/>
      <c r="KCL2584" s="100"/>
      <c r="KCM2584" s="100"/>
      <c r="KCN2584" s="100"/>
      <c r="KCO2584" s="100"/>
      <c r="KCP2584" s="100"/>
      <c r="KCQ2584" s="100"/>
      <c r="KCR2584" s="100"/>
      <c r="KCS2584" s="100"/>
      <c r="KCT2584" s="100"/>
      <c r="KCU2584" s="100"/>
      <c r="KCV2584" s="100"/>
      <c r="KCW2584" s="100"/>
      <c r="KCX2584" s="100"/>
      <c r="KCY2584" s="100"/>
      <c r="KCZ2584" s="100"/>
      <c r="KDA2584" s="100"/>
      <c r="KDB2584" s="100"/>
      <c r="KDC2584" s="100"/>
      <c r="KDD2584" s="100"/>
      <c r="KDE2584" s="100"/>
      <c r="KDF2584" s="100"/>
      <c r="KDG2584" s="100"/>
      <c r="KDH2584" s="100"/>
      <c r="KDI2584" s="100"/>
      <c r="KDJ2584" s="100"/>
      <c r="KDK2584" s="100"/>
      <c r="KDL2584" s="100"/>
      <c r="KDM2584" s="100"/>
      <c r="KDN2584" s="100"/>
      <c r="KDO2584" s="100"/>
      <c r="KDP2584" s="100"/>
      <c r="KDQ2584" s="100"/>
      <c r="KDR2584" s="100"/>
      <c r="KDS2584" s="100"/>
      <c r="KDT2584" s="100"/>
      <c r="KDU2584" s="100"/>
      <c r="KDV2584" s="100"/>
      <c r="KDW2584" s="100"/>
      <c r="KDX2584" s="100"/>
      <c r="KDY2584" s="100"/>
      <c r="KDZ2584" s="100"/>
      <c r="KEA2584" s="100"/>
      <c r="KEB2584" s="100"/>
      <c r="KEC2584" s="100"/>
      <c r="KED2584" s="100"/>
      <c r="KEE2584" s="100"/>
      <c r="KEF2584" s="100"/>
      <c r="KEG2584" s="100"/>
      <c r="KEH2584" s="100"/>
      <c r="KEI2584" s="100"/>
      <c r="KEJ2584" s="100"/>
      <c r="KEK2584" s="100"/>
      <c r="KEL2584" s="100"/>
      <c r="KEM2584" s="100"/>
      <c r="KEN2584" s="100"/>
      <c r="KEO2584" s="100"/>
      <c r="KEP2584" s="100"/>
      <c r="KEQ2584" s="100"/>
      <c r="KER2584" s="100"/>
      <c r="KES2584" s="100"/>
      <c r="KET2584" s="100"/>
      <c r="KEU2584" s="100"/>
      <c r="KEV2584" s="100"/>
      <c r="KEW2584" s="100"/>
      <c r="KEX2584" s="100"/>
      <c r="KEY2584" s="100"/>
      <c r="KEZ2584" s="100"/>
      <c r="KFA2584" s="100"/>
      <c r="KFB2584" s="100"/>
      <c r="KFC2584" s="100"/>
      <c r="KFD2584" s="100"/>
      <c r="KFE2584" s="100"/>
      <c r="KFF2584" s="100"/>
      <c r="KFG2584" s="100"/>
      <c r="KFH2584" s="100"/>
      <c r="KFI2584" s="100"/>
      <c r="KFJ2584" s="100"/>
      <c r="KFK2584" s="100"/>
      <c r="KFL2584" s="100"/>
      <c r="KFM2584" s="100"/>
      <c r="KFN2584" s="100"/>
      <c r="KFO2584" s="100"/>
      <c r="KFP2584" s="100"/>
      <c r="KFQ2584" s="100"/>
      <c r="KFR2584" s="100"/>
      <c r="KFS2584" s="100"/>
      <c r="KFT2584" s="100"/>
      <c r="KFU2584" s="100"/>
      <c r="KFV2584" s="100"/>
      <c r="KFW2584" s="100"/>
      <c r="KFX2584" s="100"/>
      <c r="KFY2584" s="100"/>
      <c r="KFZ2584" s="100"/>
      <c r="KGA2584" s="100"/>
      <c r="KGB2584" s="100"/>
      <c r="KGC2584" s="100"/>
      <c r="KGD2584" s="100"/>
      <c r="KGE2584" s="100"/>
      <c r="KGF2584" s="100"/>
      <c r="KGG2584" s="100"/>
      <c r="KGH2584" s="100"/>
      <c r="KGI2584" s="100"/>
      <c r="KGJ2584" s="100"/>
      <c r="KGK2584" s="100"/>
      <c r="KGL2584" s="100"/>
      <c r="KGM2584" s="100"/>
      <c r="KGN2584" s="100"/>
      <c r="KGO2584" s="100"/>
      <c r="KGP2584" s="100"/>
      <c r="KGQ2584" s="100"/>
      <c r="KGR2584" s="100"/>
      <c r="KGS2584" s="100"/>
      <c r="KGT2584" s="100"/>
      <c r="KGU2584" s="100"/>
      <c r="KGV2584" s="100"/>
      <c r="KGW2584" s="100"/>
      <c r="KGX2584" s="100"/>
      <c r="KGY2584" s="100"/>
      <c r="KGZ2584" s="100"/>
      <c r="KHA2584" s="100"/>
      <c r="KHB2584" s="100"/>
      <c r="KHC2584" s="100"/>
      <c r="KHD2584" s="100"/>
      <c r="KHE2584" s="100"/>
      <c r="KHF2584" s="100"/>
      <c r="KHG2584" s="100"/>
      <c r="KHH2584" s="100"/>
      <c r="KHI2584" s="100"/>
      <c r="KHJ2584" s="100"/>
      <c r="KHK2584" s="100"/>
      <c r="KHL2584" s="100"/>
      <c r="KHM2584" s="100"/>
      <c r="KHN2584" s="100"/>
      <c r="KHO2584" s="100"/>
      <c r="KHP2584" s="100"/>
      <c r="KHQ2584" s="100"/>
      <c r="KHR2584" s="100"/>
      <c r="KHS2584" s="100"/>
      <c r="KHT2584" s="100"/>
      <c r="KHU2584" s="100"/>
      <c r="KHV2584" s="100"/>
      <c r="KHW2584" s="100"/>
      <c r="KHX2584" s="100"/>
      <c r="KHY2584" s="100"/>
      <c r="KHZ2584" s="100"/>
      <c r="KIA2584" s="100"/>
      <c r="KIB2584" s="100"/>
      <c r="KIC2584" s="100"/>
      <c r="KID2584" s="100"/>
      <c r="KIE2584" s="100"/>
      <c r="KIF2584" s="100"/>
      <c r="KIG2584" s="100"/>
      <c r="KIH2584" s="100"/>
      <c r="KII2584" s="100"/>
      <c r="KIJ2584" s="100"/>
      <c r="KIK2584" s="100"/>
      <c r="KIL2584" s="100"/>
      <c r="KIM2584" s="100"/>
      <c r="KIN2584" s="100"/>
      <c r="KIO2584" s="100"/>
      <c r="KIP2584" s="100"/>
      <c r="KIQ2584" s="100"/>
      <c r="KIR2584" s="100"/>
      <c r="KIS2584" s="100"/>
      <c r="KIT2584" s="100"/>
      <c r="KIU2584" s="100"/>
      <c r="KIV2584" s="100"/>
      <c r="KIW2584" s="100"/>
      <c r="KIX2584" s="100"/>
      <c r="KIY2584" s="100"/>
      <c r="KIZ2584" s="100"/>
      <c r="KJA2584" s="100"/>
      <c r="KJB2584" s="100"/>
      <c r="KJC2584" s="100"/>
      <c r="KJD2584" s="100"/>
      <c r="KJE2584" s="100"/>
      <c r="KJF2584" s="100"/>
      <c r="KJG2584" s="100"/>
      <c r="KJH2584" s="100"/>
      <c r="KJI2584" s="100"/>
      <c r="KJJ2584" s="100"/>
      <c r="KJK2584" s="100"/>
      <c r="KJL2584" s="100"/>
      <c r="KJM2584" s="100"/>
      <c r="KJN2584" s="100"/>
      <c r="KJO2584" s="100"/>
      <c r="KJP2584" s="100"/>
      <c r="KJQ2584" s="100"/>
      <c r="KJR2584" s="100"/>
      <c r="KJS2584" s="100"/>
      <c r="KJT2584" s="100"/>
      <c r="KJU2584" s="100"/>
      <c r="KJV2584" s="100"/>
      <c r="KJW2584" s="100"/>
      <c r="KJX2584" s="100"/>
      <c r="KJY2584" s="100"/>
      <c r="KJZ2584" s="100"/>
      <c r="KKA2584" s="100"/>
      <c r="KKB2584" s="100"/>
      <c r="KKC2584" s="100"/>
      <c r="KKD2584" s="100"/>
      <c r="KKE2584" s="100"/>
      <c r="KKF2584" s="100"/>
      <c r="KKG2584" s="100"/>
      <c r="KKH2584" s="100"/>
      <c r="KKI2584" s="100"/>
      <c r="KKJ2584" s="100"/>
      <c r="KKK2584" s="100"/>
      <c r="KKL2584" s="100"/>
      <c r="KKM2584" s="100"/>
      <c r="KKN2584" s="100"/>
      <c r="KKO2584" s="100"/>
      <c r="KKP2584" s="100"/>
      <c r="KKQ2584" s="100"/>
      <c r="KKR2584" s="100"/>
      <c r="KKS2584" s="100"/>
      <c r="KKT2584" s="100"/>
      <c r="KKU2584" s="100"/>
      <c r="KKV2584" s="100"/>
      <c r="KKW2584" s="100"/>
      <c r="KKX2584" s="100"/>
      <c r="KKY2584" s="100"/>
      <c r="KKZ2584" s="100"/>
      <c r="KLA2584" s="100"/>
      <c r="KLB2584" s="100"/>
      <c r="KLC2584" s="100"/>
      <c r="KLD2584" s="100"/>
      <c r="KLE2584" s="100"/>
      <c r="KLF2584" s="100"/>
      <c r="KLG2584" s="100"/>
      <c r="KLH2584" s="100"/>
      <c r="KLI2584" s="100"/>
      <c r="KLJ2584" s="100"/>
      <c r="KLK2584" s="100"/>
      <c r="KLL2584" s="100"/>
      <c r="KLM2584" s="100"/>
      <c r="KLN2584" s="100"/>
      <c r="KLO2584" s="100"/>
      <c r="KLP2584" s="100"/>
      <c r="KLQ2584" s="100"/>
      <c r="KLR2584" s="100"/>
      <c r="KLS2584" s="100"/>
      <c r="KLT2584" s="100"/>
      <c r="KLU2584" s="100"/>
      <c r="KLV2584" s="100"/>
      <c r="KLW2584" s="100"/>
      <c r="KLX2584" s="100"/>
      <c r="KLY2584" s="100"/>
      <c r="KLZ2584" s="100"/>
      <c r="KMA2584" s="100"/>
      <c r="KMB2584" s="100"/>
      <c r="KMC2584" s="100"/>
      <c r="KMD2584" s="100"/>
      <c r="KME2584" s="100"/>
      <c r="KMF2584" s="100"/>
      <c r="KMG2584" s="100"/>
      <c r="KMH2584" s="100"/>
      <c r="KMI2584" s="100"/>
      <c r="KMJ2584" s="100"/>
      <c r="KMK2584" s="100"/>
      <c r="KML2584" s="100"/>
      <c r="KMM2584" s="100"/>
      <c r="KMN2584" s="100"/>
      <c r="KMO2584" s="100"/>
      <c r="KMP2584" s="100"/>
      <c r="KMQ2584" s="100"/>
      <c r="KMR2584" s="100"/>
      <c r="KMS2584" s="100"/>
      <c r="KMT2584" s="100"/>
      <c r="KMU2584" s="100"/>
      <c r="KMV2584" s="100"/>
      <c r="KMW2584" s="100"/>
      <c r="KMX2584" s="100"/>
      <c r="KMY2584" s="100"/>
      <c r="KMZ2584" s="100"/>
      <c r="KNA2584" s="100"/>
      <c r="KNB2584" s="100"/>
      <c r="KNC2584" s="100"/>
      <c r="KND2584" s="100"/>
      <c r="KNE2584" s="100"/>
      <c r="KNF2584" s="100"/>
      <c r="KNG2584" s="100"/>
      <c r="KNH2584" s="100"/>
      <c r="KNI2584" s="100"/>
      <c r="KNJ2584" s="100"/>
      <c r="KNK2584" s="100"/>
      <c r="KNL2584" s="100"/>
      <c r="KNM2584" s="100"/>
      <c r="KNN2584" s="100"/>
      <c r="KNO2584" s="100"/>
      <c r="KNP2584" s="100"/>
      <c r="KNQ2584" s="100"/>
      <c r="KNR2584" s="100"/>
      <c r="KNS2584" s="100"/>
      <c r="KNT2584" s="100"/>
      <c r="KNU2584" s="100"/>
      <c r="KNV2584" s="100"/>
      <c r="KNW2584" s="100"/>
      <c r="KNX2584" s="100"/>
      <c r="KNY2584" s="100"/>
      <c r="KNZ2584" s="100"/>
      <c r="KOA2584" s="100"/>
      <c r="KOB2584" s="100"/>
      <c r="KOC2584" s="100"/>
      <c r="KOD2584" s="100"/>
      <c r="KOE2584" s="100"/>
      <c r="KOF2584" s="100"/>
      <c r="KOG2584" s="100"/>
      <c r="KOH2584" s="100"/>
      <c r="KOI2584" s="100"/>
      <c r="KOJ2584" s="100"/>
      <c r="KOK2584" s="100"/>
      <c r="KOL2584" s="100"/>
      <c r="KOM2584" s="100"/>
      <c r="KON2584" s="100"/>
      <c r="KOO2584" s="100"/>
      <c r="KOP2584" s="100"/>
      <c r="KOQ2584" s="100"/>
      <c r="KOR2584" s="100"/>
      <c r="KOS2584" s="100"/>
      <c r="KOT2584" s="100"/>
      <c r="KOU2584" s="100"/>
      <c r="KOV2584" s="100"/>
      <c r="KOW2584" s="100"/>
      <c r="KOX2584" s="100"/>
      <c r="KOY2584" s="100"/>
      <c r="KOZ2584" s="100"/>
      <c r="KPA2584" s="100"/>
      <c r="KPB2584" s="100"/>
      <c r="KPC2584" s="100"/>
      <c r="KPD2584" s="100"/>
      <c r="KPE2584" s="100"/>
      <c r="KPF2584" s="100"/>
      <c r="KPG2584" s="100"/>
      <c r="KPH2584" s="100"/>
      <c r="KPI2584" s="100"/>
      <c r="KPJ2584" s="100"/>
      <c r="KPK2584" s="100"/>
      <c r="KPL2584" s="100"/>
      <c r="KPM2584" s="100"/>
      <c r="KPN2584" s="100"/>
      <c r="KPO2584" s="100"/>
      <c r="KPP2584" s="100"/>
      <c r="KPQ2584" s="100"/>
      <c r="KPR2584" s="100"/>
      <c r="KPS2584" s="100"/>
      <c r="KPT2584" s="100"/>
      <c r="KPU2584" s="100"/>
      <c r="KPV2584" s="100"/>
      <c r="KPW2584" s="100"/>
      <c r="KPX2584" s="100"/>
      <c r="KPY2584" s="100"/>
      <c r="KPZ2584" s="100"/>
      <c r="KQA2584" s="100"/>
      <c r="KQB2584" s="100"/>
      <c r="KQC2584" s="100"/>
      <c r="KQD2584" s="100"/>
      <c r="KQE2584" s="100"/>
      <c r="KQF2584" s="100"/>
      <c r="KQG2584" s="100"/>
      <c r="KQH2584" s="100"/>
      <c r="KQI2584" s="100"/>
      <c r="KQJ2584" s="100"/>
      <c r="KQK2584" s="100"/>
      <c r="KQL2584" s="100"/>
      <c r="KQM2584" s="100"/>
      <c r="KQN2584" s="100"/>
      <c r="KQO2584" s="100"/>
      <c r="KQP2584" s="100"/>
      <c r="KQQ2584" s="100"/>
      <c r="KQR2584" s="100"/>
      <c r="KQS2584" s="100"/>
      <c r="KQT2584" s="100"/>
      <c r="KQU2584" s="100"/>
      <c r="KQV2584" s="100"/>
      <c r="KQW2584" s="100"/>
      <c r="KQX2584" s="100"/>
      <c r="KQY2584" s="100"/>
      <c r="KQZ2584" s="100"/>
      <c r="KRA2584" s="100"/>
      <c r="KRB2584" s="100"/>
      <c r="KRC2584" s="100"/>
      <c r="KRD2584" s="100"/>
      <c r="KRE2584" s="100"/>
      <c r="KRF2584" s="100"/>
      <c r="KRG2584" s="100"/>
      <c r="KRH2584" s="100"/>
      <c r="KRI2584" s="100"/>
      <c r="KRJ2584" s="100"/>
      <c r="KRK2584" s="100"/>
      <c r="KRL2584" s="100"/>
      <c r="KRM2584" s="100"/>
      <c r="KRN2584" s="100"/>
      <c r="KRO2584" s="100"/>
      <c r="KRP2584" s="100"/>
      <c r="KRQ2584" s="100"/>
      <c r="KRR2584" s="100"/>
      <c r="KRS2584" s="100"/>
      <c r="KRT2584" s="100"/>
      <c r="KRU2584" s="100"/>
      <c r="KRV2584" s="100"/>
      <c r="KRW2584" s="100"/>
      <c r="KRX2584" s="100"/>
      <c r="KRY2584" s="100"/>
      <c r="KRZ2584" s="100"/>
      <c r="KSA2584" s="100"/>
      <c r="KSB2584" s="100"/>
      <c r="KSC2584" s="100"/>
      <c r="KSD2584" s="100"/>
      <c r="KSE2584" s="100"/>
      <c r="KSF2584" s="100"/>
      <c r="KSG2584" s="100"/>
      <c r="KSH2584" s="100"/>
      <c r="KSI2584" s="100"/>
      <c r="KSJ2584" s="100"/>
      <c r="KSK2584" s="100"/>
      <c r="KSL2584" s="100"/>
      <c r="KSM2584" s="100"/>
      <c r="KSN2584" s="100"/>
      <c r="KSO2584" s="100"/>
      <c r="KSP2584" s="100"/>
      <c r="KSQ2584" s="100"/>
      <c r="KSR2584" s="100"/>
      <c r="KSS2584" s="100"/>
      <c r="KST2584" s="100"/>
      <c r="KSU2584" s="100"/>
      <c r="KSV2584" s="100"/>
      <c r="KSW2584" s="100"/>
      <c r="KSX2584" s="100"/>
      <c r="KSY2584" s="100"/>
      <c r="KSZ2584" s="100"/>
      <c r="KTA2584" s="100"/>
      <c r="KTB2584" s="100"/>
      <c r="KTC2584" s="100"/>
      <c r="KTD2584" s="100"/>
      <c r="KTE2584" s="100"/>
      <c r="KTF2584" s="100"/>
      <c r="KTG2584" s="100"/>
      <c r="KTH2584" s="100"/>
      <c r="KTI2584" s="100"/>
      <c r="KTJ2584" s="100"/>
      <c r="KTK2584" s="100"/>
      <c r="KTL2584" s="100"/>
      <c r="KTM2584" s="100"/>
      <c r="KTN2584" s="100"/>
      <c r="KTO2584" s="100"/>
      <c r="KTP2584" s="100"/>
      <c r="KTQ2584" s="100"/>
      <c r="KTR2584" s="100"/>
      <c r="KTS2584" s="100"/>
      <c r="KTT2584" s="100"/>
      <c r="KTU2584" s="100"/>
      <c r="KTV2584" s="100"/>
      <c r="KTW2584" s="100"/>
      <c r="KTX2584" s="100"/>
      <c r="KTY2584" s="100"/>
      <c r="KTZ2584" s="100"/>
      <c r="KUA2584" s="100"/>
      <c r="KUB2584" s="100"/>
      <c r="KUC2584" s="100"/>
      <c r="KUD2584" s="100"/>
      <c r="KUE2584" s="100"/>
      <c r="KUF2584" s="100"/>
      <c r="KUG2584" s="100"/>
      <c r="KUH2584" s="100"/>
      <c r="KUI2584" s="100"/>
      <c r="KUJ2584" s="100"/>
      <c r="KUK2584" s="100"/>
      <c r="KUL2584" s="100"/>
      <c r="KUM2584" s="100"/>
      <c r="KUN2584" s="100"/>
      <c r="KUO2584" s="100"/>
      <c r="KUP2584" s="100"/>
      <c r="KUQ2584" s="100"/>
      <c r="KUR2584" s="100"/>
      <c r="KUS2584" s="100"/>
      <c r="KUT2584" s="100"/>
      <c r="KUU2584" s="100"/>
      <c r="KUV2584" s="100"/>
      <c r="KUW2584" s="100"/>
      <c r="KUX2584" s="100"/>
      <c r="KUY2584" s="100"/>
      <c r="KUZ2584" s="100"/>
      <c r="KVA2584" s="100"/>
      <c r="KVB2584" s="100"/>
      <c r="KVC2584" s="100"/>
      <c r="KVD2584" s="100"/>
      <c r="KVE2584" s="100"/>
      <c r="KVF2584" s="100"/>
      <c r="KVG2584" s="100"/>
      <c r="KVH2584" s="100"/>
      <c r="KVI2584" s="100"/>
      <c r="KVJ2584" s="100"/>
      <c r="KVK2584" s="100"/>
      <c r="KVL2584" s="100"/>
      <c r="KVM2584" s="100"/>
      <c r="KVN2584" s="100"/>
      <c r="KVO2584" s="100"/>
      <c r="KVP2584" s="100"/>
      <c r="KVQ2584" s="100"/>
      <c r="KVR2584" s="100"/>
      <c r="KVS2584" s="100"/>
      <c r="KVT2584" s="100"/>
      <c r="KVU2584" s="100"/>
      <c r="KVV2584" s="100"/>
      <c r="KVW2584" s="100"/>
      <c r="KVX2584" s="100"/>
      <c r="KVY2584" s="100"/>
      <c r="KVZ2584" s="100"/>
      <c r="KWA2584" s="100"/>
      <c r="KWB2584" s="100"/>
      <c r="KWC2584" s="100"/>
      <c r="KWD2584" s="100"/>
      <c r="KWE2584" s="100"/>
      <c r="KWF2584" s="100"/>
      <c r="KWG2584" s="100"/>
      <c r="KWH2584" s="100"/>
      <c r="KWI2584" s="100"/>
      <c r="KWJ2584" s="100"/>
      <c r="KWK2584" s="100"/>
      <c r="KWL2584" s="100"/>
      <c r="KWM2584" s="100"/>
      <c r="KWN2584" s="100"/>
      <c r="KWO2584" s="100"/>
      <c r="KWP2584" s="100"/>
      <c r="KWQ2584" s="100"/>
      <c r="KWR2584" s="100"/>
      <c r="KWS2584" s="100"/>
      <c r="KWT2584" s="100"/>
      <c r="KWU2584" s="100"/>
      <c r="KWV2584" s="100"/>
      <c r="KWW2584" s="100"/>
      <c r="KWX2584" s="100"/>
      <c r="KWY2584" s="100"/>
      <c r="KWZ2584" s="100"/>
      <c r="KXA2584" s="100"/>
      <c r="KXB2584" s="100"/>
      <c r="KXC2584" s="100"/>
      <c r="KXD2584" s="100"/>
      <c r="KXE2584" s="100"/>
      <c r="KXF2584" s="100"/>
      <c r="KXG2584" s="100"/>
      <c r="KXH2584" s="100"/>
      <c r="KXI2584" s="100"/>
      <c r="KXJ2584" s="100"/>
      <c r="KXK2584" s="100"/>
      <c r="KXL2584" s="100"/>
      <c r="KXM2584" s="100"/>
      <c r="KXN2584" s="100"/>
      <c r="KXO2584" s="100"/>
      <c r="KXP2584" s="100"/>
      <c r="KXQ2584" s="100"/>
      <c r="KXR2584" s="100"/>
      <c r="KXS2584" s="100"/>
      <c r="KXT2584" s="100"/>
      <c r="KXU2584" s="100"/>
      <c r="KXV2584" s="100"/>
      <c r="KXW2584" s="100"/>
      <c r="KXX2584" s="100"/>
      <c r="KXY2584" s="100"/>
      <c r="KXZ2584" s="100"/>
      <c r="KYA2584" s="100"/>
      <c r="KYB2584" s="100"/>
      <c r="KYC2584" s="100"/>
      <c r="KYD2584" s="100"/>
      <c r="KYE2584" s="100"/>
      <c r="KYF2584" s="100"/>
      <c r="KYG2584" s="100"/>
      <c r="KYH2584" s="100"/>
      <c r="KYI2584" s="100"/>
      <c r="KYJ2584" s="100"/>
      <c r="KYK2584" s="100"/>
      <c r="KYL2584" s="100"/>
      <c r="KYM2584" s="100"/>
      <c r="KYN2584" s="100"/>
      <c r="KYO2584" s="100"/>
      <c r="KYP2584" s="100"/>
      <c r="KYQ2584" s="100"/>
      <c r="KYR2584" s="100"/>
      <c r="KYS2584" s="100"/>
      <c r="KYT2584" s="100"/>
      <c r="KYU2584" s="100"/>
      <c r="KYV2584" s="100"/>
      <c r="KYW2584" s="100"/>
      <c r="KYX2584" s="100"/>
      <c r="KYY2584" s="100"/>
      <c r="KYZ2584" s="100"/>
      <c r="KZA2584" s="100"/>
      <c r="KZB2584" s="100"/>
      <c r="KZC2584" s="100"/>
      <c r="KZD2584" s="100"/>
      <c r="KZE2584" s="100"/>
      <c r="KZF2584" s="100"/>
      <c r="KZG2584" s="100"/>
      <c r="KZH2584" s="100"/>
      <c r="KZI2584" s="100"/>
      <c r="KZJ2584" s="100"/>
      <c r="KZK2584" s="100"/>
      <c r="KZL2584" s="100"/>
      <c r="KZM2584" s="100"/>
      <c r="KZN2584" s="100"/>
      <c r="KZO2584" s="100"/>
      <c r="KZP2584" s="100"/>
      <c r="KZQ2584" s="100"/>
      <c r="KZR2584" s="100"/>
      <c r="KZS2584" s="100"/>
      <c r="KZT2584" s="100"/>
      <c r="KZU2584" s="100"/>
      <c r="KZV2584" s="100"/>
      <c r="KZW2584" s="100"/>
      <c r="KZX2584" s="100"/>
      <c r="KZY2584" s="100"/>
      <c r="KZZ2584" s="100"/>
      <c r="LAA2584" s="100"/>
      <c r="LAB2584" s="100"/>
      <c r="LAC2584" s="100"/>
      <c r="LAD2584" s="100"/>
      <c r="LAE2584" s="100"/>
      <c r="LAF2584" s="100"/>
      <c r="LAG2584" s="100"/>
      <c r="LAH2584" s="100"/>
      <c r="LAI2584" s="100"/>
      <c r="LAJ2584" s="100"/>
      <c r="LAK2584" s="100"/>
      <c r="LAL2584" s="100"/>
      <c r="LAM2584" s="100"/>
      <c r="LAN2584" s="100"/>
      <c r="LAO2584" s="100"/>
      <c r="LAP2584" s="100"/>
      <c r="LAQ2584" s="100"/>
      <c r="LAR2584" s="100"/>
      <c r="LAS2584" s="100"/>
      <c r="LAT2584" s="100"/>
      <c r="LAU2584" s="100"/>
      <c r="LAV2584" s="100"/>
      <c r="LAW2584" s="100"/>
      <c r="LAX2584" s="100"/>
      <c r="LAY2584" s="100"/>
      <c r="LAZ2584" s="100"/>
      <c r="LBA2584" s="100"/>
      <c r="LBB2584" s="100"/>
      <c r="LBC2584" s="100"/>
      <c r="LBD2584" s="100"/>
      <c r="LBE2584" s="100"/>
      <c r="LBF2584" s="100"/>
      <c r="LBG2584" s="100"/>
      <c r="LBH2584" s="100"/>
      <c r="LBI2584" s="100"/>
      <c r="LBJ2584" s="100"/>
      <c r="LBK2584" s="100"/>
      <c r="LBL2584" s="100"/>
      <c r="LBM2584" s="100"/>
      <c r="LBN2584" s="100"/>
      <c r="LBO2584" s="100"/>
      <c r="LBP2584" s="100"/>
      <c r="LBQ2584" s="100"/>
      <c r="LBR2584" s="100"/>
      <c r="LBS2584" s="100"/>
      <c r="LBT2584" s="100"/>
      <c r="LBU2584" s="100"/>
      <c r="LBV2584" s="100"/>
      <c r="LBW2584" s="100"/>
      <c r="LBX2584" s="100"/>
      <c r="LBY2584" s="100"/>
      <c r="LBZ2584" s="100"/>
      <c r="LCA2584" s="100"/>
      <c r="LCB2584" s="100"/>
      <c r="LCC2584" s="100"/>
      <c r="LCD2584" s="100"/>
      <c r="LCE2584" s="100"/>
      <c r="LCF2584" s="100"/>
      <c r="LCG2584" s="100"/>
      <c r="LCH2584" s="100"/>
      <c r="LCI2584" s="100"/>
      <c r="LCJ2584" s="100"/>
      <c r="LCK2584" s="100"/>
      <c r="LCL2584" s="100"/>
      <c r="LCM2584" s="100"/>
      <c r="LCN2584" s="100"/>
      <c r="LCO2584" s="100"/>
      <c r="LCP2584" s="100"/>
      <c r="LCQ2584" s="100"/>
      <c r="LCR2584" s="100"/>
      <c r="LCS2584" s="100"/>
      <c r="LCT2584" s="100"/>
      <c r="LCU2584" s="100"/>
      <c r="LCV2584" s="100"/>
      <c r="LCW2584" s="100"/>
      <c r="LCX2584" s="100"/>
      <c r="LCY2584" s="100"/>
      <c r="LCZ2584" s="100"/>
      <c r="LDA2584" s="100"/>
      <c r="LDB2584" s="100"/>
      <c r="LDC2584" s="100"/>
      <c r="LDD2584" s="100"/>
      <c r="LDE2584" s="100"/>
      <c r="LDF2584" s="100"/>
      <c r="LDG2584" s="100"/>
      <c r="LDH2584" s="100"/>
      <c r="LDI2584" s="100"/>
      <c r="LDJ2584" s="100"/>
      <c r="LDK2584" s="100"/>
      <c r="LDL2584" s="100"/>
      <c r="LDM2584" s="100"/>
      <c r="LDN2584" s="100"/>
      <c r="LDO2584" s="100"/>
      <c r="LDP2584" s="100"/>
      <c r="LDQ2584" s="100"/>
      <c r="LDR2584" s="100"/>
      <c r="LDS2584" s="100"/>
      <c r="LDT2584" s="100"/>
      <c r="LDU2584" s="100"/>
      <c r="LDV2584" s="100"/>
      <c r="LDW2584" s="100"/>
      <c r="LDX2584" s="100"/>
      <c r="LDY2584" s="100"/>
      <c r="LDZ2584" s="100"/>
      <c r="LEA2584" s="100"/>
      <c r="LEB2584" s="100"/>
      <c r="LEC2584" s="100"/>
      <c r="LED2584" s="100"/>
      <c r="LEE2584" s="100"/>
      <c r="LEF2584" s="100"/>
      <c r="LEG2584" s="100"/>
      <c r="LEH2584" s="100"/>
      <c r="LEI2584" s="100"/>
      <c r="LEJ2584" s="100"/>
      <c r="LEK2584" s="100"/>
      <c r="LEL2584" s="100"/>
      <c r="LEM2584" s="100"/>
      <c r="LEN2584" s="100"/>
      <c r="LEO2584" s="100"/>
      <c r="LEP2584" s="100"/>
      <c r="LEQ2584" s="100"/>
      <c r="LER2584" s="100"/>
      <c r="LES2584" s="100"/>
      <c r="LET2584" s="100"/>
      <c r="LEU2584" s="100"/>
      <c r="LEV2584" s="100"/>
      <c r="LEW2584" s="100"/>
      <c r="LEX2584" s="100"/>
      <c r="LEY2584" s="100"/>
      <c r="LEZ2584" s="100"/>
      <c r="LFA2584" s="100"/>
      <c r="LFB2584" s="100"/>
      <c r="LFC2584" s="100"/>
      <c r="LFD2584" s="100"/>
      <c r="LFE2584" s="100"/>
      <c r="LFF2584" s="100"/>
      <c r="LFG2584" s="100"/>
      <c r="LFH2584" s="100"/>
      <c r="LFI2584" s="100"/>
      <c r="LFJ2584" s="100"/>
      <c r="LFK2584" s="100"/>
      <c r="LFL2584" s="100"/>
      <c r="LFM2584" s="100"/>
      <c r="LFN2584" s="100"/>
      <c r="LFO2584" s="100"/>
      <c r="LFP2584" s="100"/>
      <c r="LFQ2584" s="100"/>
      <c r="LFR2584" s="100"/>
      <c r="LFS2584" s="100"/>
      <c r="LFT2584" s="100"/>
      <c r="LFU2584" s="100"/>
      <c r="LFV2584" s="100"/>
      <c r="LFW2584" s="100"/>
      <c r="LFX2584" s="100"/>
      <c r="LFY2584" s="100"/>
      <c r="LFZ2584" s="100"/>
      <c r="LGA2584" s="100"/>
      <c r="LGB2584" s="100"/>
      <c r="LGC2584" s="100"/>
      <c r="LGD2584" s="100"/>
      <c r="LGE2584" s="100"/>
      <c r="LGF2584" s="100"/>
      <c r="LGG2584" s="100"/>
      <c r="LGH2584" s="100"/>
      <c r="LGI2584" s="100"/>
      <c r="LGJ2584" s="100"/>
      <c r="LGK2584" s="100"/>
      <c r="LGL2584" s="100"/>
      <c r="LGM2584" s="100"/>
      <c r="LGN2584" s="100"/>
      <c r="LGO2584" s="100"/>
      <c r="LGP2584" s="100"/>
      <c r="LGQ2584" s="100"/>
      <c r="LGR2584" s="100"/>
      <c r="LGS2584" s="100"/>
      <c r="LGT2584" s="100"/>
      <c r="LGU2584" s="100"/>
      <c r="LGV2584" s="100"/>
      <c r="LGW2584" s="100"/>
      <c r="LGX2584" s="100"/>
      <c r="LGY2584" s="100"/>
      <c r="LGZ2584" s="100"/>
      <c r="LHA2584" s="100"/>
      <c r="LHB2584" s="100"/>
      <c r="LHC2584" s="100"/>
      <c r="LHD2584" s="100"/>
      <c r="LHE2584" s="100"/>
      <c r="LHF2584" s="100"/>
      <c r="LHG2584" s="100"/>
      <c r="LHH2584" s="100"/>
      <c r="LHI2584" s="100"/>
      <c r="LHJ2584" s="100"/>
      <c r="LHK2584" s="100"/>
      <c r="LHL2584" s="100"/>
      <c r="LHM2584" s="100"/>
      <c r="LHN2584" s="100"/>
      <c r="LHO2584" s="100"/>
      <c r="LHP2584" s="100"/>
      <c r="LHQ2584" s="100"/>
      <c r="LHR2584" s="100"/>
      <c r="LHS2584" s="100"/>
      <c r="LHT2584" s="100"/>
      <c r="LHU2584" s="100"/>
      <c r="LHV2584" s="100"/>
      <c r="LHW2584" s="100"/>
      <c r="LHX2584" s="100"/>
      <c r="LHY2584" s="100"/>
      <c r="LHZ2584" s="100"/>
      <c r="LIA2584" s="100"/>
      <c r="LIB2584" s="100"/>
      <c r="LIC2584" s="100"/>
      <c r="LID2584" s="100"/>
      <c r="LIE2584" s="100"/>
      <c r="LIF2584" s="100"/>
      <c r="LIG2584" s="100"/>
      <c r="LIH2584" s="100"/>
      <c r="LII2584" s="100"/>
      <c r="LIJ2584" s="100"/>
      <c r="LIK2584" s="100"/>
      <c r="LIL2584" s="100"/>
      <c r="LIM2584" s="100"/>
      <c r="LIN2584" s="100"/>
      <c r="LIO2584" s="100"/>
      <c r="LIP2584" s="100"/>
      <c r="LIQ2584" s="100"/>
      <c r="LIR2584" s="100"/>
      <c r="LIS2584" s="100"/>
      <c r="LIT2584" s="100"/>
      <c r="LIU2584" s="100"/>
      <c r="LIV2584" s="100"/>
      <c r="LIW2584" s="100"/>
      <c r="LIX2584" s="100"/>
      <c r="LIY2584" s="100"/>
      <c r="LIZ2584" s="100"/>
      <c r="LJA2584" s="100"/>
      <c r="LJB2584" s="100"/>
      <c r="LJC2584" s="100"/>
      <c r="LJD2584" s="100"/>
      <c r="LJE2584" s="100"/>
      <c r="LJF2584" s="100"/>
      <c r="LJG2584" s="100"/>
      <c r="LJH2584" s="100"/>
      <c r="LJI2584" s="100"/>
      <c r="LJJ2584" s="100"/>
      <c r="LJK2584" s="100"/>
      <c r="LJL2584" s="100"/>
      <c r="LJM2584" s="100"/>
      <c r="LJN2584" s="100"/>
      <c r="LJO2584" s="100"/>
      <c r="LJP2584" s="100"/>
      <c r="LJQ2584" s="100"/>
      <c r="LJR2584" s="100"/>
      <c r="LJS2584" s="100"/>
      <c r="LJT2584" s="100"/>
      <c r="LJU2584" s="100"/>
      <c r="LJV2584" s="100"/>
      <c r="LJW2584" s="100"/>
      <c r="LJX2584" s="100"/>
      <c r="LJY2584" s="100"/>
      <c r="LJZ2584" s="100"/>
      <c r="LKA2584" s="100"/>
      <c r="LKB2584" s="100"/>
      <c r="LKC2584" s="100"/>
      <c r="LKD2584" s="100"/>
      <c r="LKE2584" s="100"/>
      <c r="LKF2584" s="100"/>
      <c r="LKG2584" s="100"/>
      <c r="LKH2584" s="100"/>
      <c r="LKI2584" s="100"/>
      <c r="LKJ2584" s="100"/>
      <c r="LKK2584" s="100"/>
      <c r="LKL2584" s="100"/>
      <c r="LKM2584" s="100"/>
      <c r="LKN2584" s="100"/>
      <c r="LKO2584" s="100"/>
      <c r="LKP2584" s="100"/>
      <c r="LKQ2584" s="100"/>
      <c r="LKR2584" s="100"/>
      <c r="LKS2584" s="100"/>
      <c r="LKT2584" s="100"/>
      <c r="LKU2584" s="100"/>
      <c r="LKV2584" s="100"/>
      <c r="LKW2584" s="100"/>
      <c r="LKX2584" s="100"/>
      <c r="LKY2584" s="100"/>
      <c r="LKZ2584" s="100"/>
      <c r="LLA2584" s="100"/>
      <c r="LLB2584" s="100"/>
      <c r="LLC2584" s="100"/>
      <c r="LLD2584" s="100"/>
      <c r="LLE2584" s="100"/>
      <c r="LLF2584" s="100"/>
      <c r="LLG2584" s="100"/>
      <c r="LLH2584" s="100"/>
      <c r="LLI2584" s="100"/>
      <c r="LLJ2584" s="100"/>
      <c r="LLK2584" s="100"/>
      <c r="LLL2584" s="100"/>
      <c r="LLM2584" s="100"/>
      <c r="LLN2584" s="100"/>
      <c r="LLO2584" s="100"/>
      <c r="LLP2584" s="100"/>
      <c r="LLQ2584" s="100"/>
      <c r="LLR2584" s="100"/>
      <c r="LLS2584" s="100"/>
      <c r="LLT2584" s="100"/>
      <c r="LLU2584" s="100"/>
      <c r="LLV2584" s="100"/>
      <c r="LLW2584" s="100"/>
      <c r="LLX2584" s="100"/>
      <c r="LLY2584" s="100"/>
      <c r="LLZ2584" s="100"/>
      <c r="LMA2584" s="100"/>
      <c r="LMB2584" s="100"/>
      <c r="LMC2584" s="100"/>
      <c r="LMD2584" s="100"/>
      <c r="LME2584" s="100"/>
      <c r="LMF2584" s="100"/>
      <c r="LMG2584" s="100"/>
      <c r="LMH2584" s="100"/>
      <c r="LMI2584" s="100"/>
      <c r="LMJ2584" s="100"/>
      <c r="LMK2584" s="100"/>
      <c r="LML2584" s="100"/>
      <c r="LMM2584" s="100"/>
      <c r="LMN2584" s="100"/>
      <c r="LMO2584" s="100"/>
      <c r="LMP2584" s="100"/>
      <c r="LMQ2584" s="100"/>
      <c r="LMR2584" s="100"/>
      <c r="LMS2584" s="100"/>
      <c r="LMT2584" s="100"/>
      <c r="LMU2584" s="100"/>
      <c r="LMV2584" s="100"/>
      <c r="LMW2584" s="100"/>
      <c r="LMX2584" s="100"/>
      <c r="LMY2584" s="100"/>
      <c r="LMZ2584" s="100"/>
      <c r="LNA2584" s="100"/>
      <c r="LNB2584" s="100"/>
      <c r="LNC2584" s="100"/>
      <c r="LND2584" s="100"/>
      <c r="LNE2584" s="100"/>
      <c r="LNF2584" s="100"/>
      <c r="LNG2584" s="100"/>
      <c r="LNH2584" s="100"/>
      <c r="LNI2584" s="100"/>
      <c r="LNJ2584" s="100"/>
      <c r="LNK2584" s="100"/>
      <c r="LNL2584" s="100"/>
      <c r="LNM2584" s="100"/>
      <c r="LNN2584" s="100"/>
      <c r="LNO2584" s="100"/>
      <c r="LNP2584" s="100"/>
      <c r="LNQ2584" s="100"/>
      <c r="LNR2584" s="100"/>
      <c r="LNS2584" s="100"/>
      <c r="LNT2584" s="100"/>
      <c r="LNU2584" s="100"/>
      <c r="LNV2584" s="100"/>
      <c r="LNW2584" s="100"/>
      <c r="LNX2584" s="100"/>
      <c r="LNY2584" s="100"/>
      <c r="LNZ2584" s="100"/>
      <c r="LOA2584" s="100"/>
      <c r="LOB2584" s="100"/>
      <c r="LOC2584" s="100"/>
      <c r="LOD2584" s="100"/>
      <c r="LOE2584" s="100"/>
      <c r="LOF2584" s="100"/>
      <c r="LOG2584" s="100"/>
      <c r="LOH2584" s="100"/>
      <c r="LOI2584" s="100"/>
      <c r="LOJ2584" s="100"/>
      <c r="LOK2584" s="100"/>
      <c r="LOL2584" s="100"/>
      <c r="LOM2584" s="100"/>
      <c r="LON2584" s="100"/>
      <c r="LOO2584" s="100"/>
      <c r="LOP2584" s="100"/>
      <c r="LOQ2584" s="100"/>
      <c r="LOR2584" s="100"/>
      <c r="LOS2584" s="100"/>
      <c r="LOT2584" s="100"/>
      <c r="LOU2584" s="100"/>
      <c r="LOV2584" s="100"/>
      <c r="LOW2584" s="100"/>
      <c r="LOX2584" s="100"/>
      <c r="LOY2584" s="100"/>
      <c r="LOZ2584" s="100"/>
      <c r="LPA2584" s="100"/>
      <c r="LPB2584" s="100"/>
      <c r="LPC2584" s="100"/>
      <c r="LPD2584" s="100"/>
      <c r="LPE2584" s="100"/>
      <c r="LPF2584" s="100"/>
      <c r="LPG2584" s="100"/>
      <c r="LPH2584" s="100"/>
      <c r="LPI2584" s="100"/>
      <c r="LPJ2584" s="100"/>
      <c r="LPK2584" s="100"/>
      <c r="LPL2584" s="100"/>
      <c r="LPM2584" s="100"/>
      <c r="LPN2584" s="100"/>
      <c r="LPO2584" s="100"/>
      <c r="LPP2584" s="100"/>
      <c r="LPQ2584" s="100"/>
      <c r="LPR2584" s="100"/>
      <c r="LPS2584" s="100"/>
      <c r="LPT2584" s="100"/>
      <c r="LPU2584" s="100"/>
      <c r="LPV2584" s="100"/>
      <c r="LPW2584" s="100"/>
      <c r="LPX2584" s="100"/>
      <c r="LPY2584" s="100"/>
      <c r="LPZ2584" s="100"/>
      <c r="LQA2584" s="100"/>
      <c r="LQB2584" s="100"/>
      <c r="LQC2584" s="100"/>
      <c r="LQD2584" s="100"/>
      <c r="LQE2584" s="100"/>
      <c r="LQF2584" s="100"/>
      <c r="LQG2584" s="100"/>
      <c r="LQH2584" s="100"/>
      <c r="LQI2584" s="100"/>
      <c r="LQJ2584" s="100"/>
      <c r="LQK2584" s="100"/>
      <c r="LQL2584" s="100"/>
      <c r="LQM2584" s="100"/>
      <c r="LQN2584" s="100"/>
      <c r="LQO2584" s="100"/>
      <c r="LQP2584" s="100"/>
      <c r="LQQ2584" s="100"/>
      <c r="LQR2584" s="100"/>
      <c r="LQS2584" s="100"/>
      <c r="LQT2584" s="100"/>
      <c r="LQU2584" s="100"/>
      <c r="LQV2584" s="100"/>
      <c r="LQW2584" s="100"/>
      <c r="LQX2584" s="100"/>
      <c r="LQY2584" s="100"/>
      <c r="LQZ2584" s="100"/>
      <c r="LRA2584" s="100"/>
      <c r="LRB2584" s="100"/>
      <c r="LRC2584" s="100"/>
      <c r="LRD2584" s="100"/>
      <c r="LRE2584" s="100"/>
      <c r="LRF2584" s="100"/>
      <c r="LRG2584" s="100"/>
      <c r="LRH2584" s="100"/>
      <c r="LRI2584" s="100"/>
      <c r="LRJ2584" s="100"/>
      <c r="LRK2584" s="100"/>
      <c r="LRL2584" s="100"/>
      <c r="LRM2584" s="100"/>
      <c r="LRN2584" s="100"/>
      <c r="LRO2584" s="100"/>
      <c r="LRP2584" s="100"/>
      <c r="LRQ2584" s="100"/>
      <c r="LRR2584" s="100"/>
      <c r="LRS2584" s="100"/>
      <c r="LRT2584" s="100"/>
      <c r="LRU2584" s="100"/>
      <c r="LRV2584" s="100"/>
      <c r="LRW2584" s="100"/>
      <c r="LRX2584" s="100"/>
      <c r="LRY2584" s="100"/>
      <c r="LRZ2584" s="100"/>
      <c r="LSA2584" s="100"/>
      <c r="LSB2584" s="100"/>
      <c r="LSC2584" s="100"/>
      <c r="LSD2584" s="100"/>
      <c r="LSE2584" s="100"/>
      <c r="LSF2584" s="100"/>
      <c r="LSG2584" s="100"/>
      <c r="LSH2584" s="100"/>
      <c r="LSI2584" s="100"/>
      <c r="LSJ2584" s="100"/>
      <c r="LSK2584" s="100"/>
      <c r="LSL2584" s="100"/>
      <c r="LSM2584" s="100"/>
      <c r="LSN2584" s="100"/>
      <c r="LSO2584" s="100"/>
      <c r="LSP2584" s="100"/>
      <c r="LSQ2584" s="100"/>
      <c r="LSR2584" s="100"/>
      <c r="LSS2584" s="100"/>
      <c r="LST2584" s="100"/>
      <c r="LSU2584" s="100"/>
      <c r="LSV2584" s="100"/>
      <c r="LSW2584" s="100"/>
      <c r="LSX2584" s="100"/>
      <c r="LSY2584" s="100"/>
      <c r="LSZ2584" s="100"/>
      <c r="LTA2584" s="100"/>
      <c r="LTB2584" s="100"/>
      <c r="LTC2584" s="100"/>
      <c r="LTD2584" s="100"/>
      <c r="LTE2584" s="100"/>
      <c r="LTF2584" s="100"/>
      <c r="LTG2584" s="100"/>
      <c r="LTH2584" s="100"/>
      <c r="LTI2584" s="100"/>
      <c r="LTJ2584" s="100"/>
      <c r="LTK2584" s="100"/>
      <c r="LTL2584" s="100"/>
      <c r="LTM2584" s="100"/>
      <c r="LTN2584" s="100"/>
      <c r="LTO2584" s="100"/>
      <c r="LTP2584" s="100"/>
      <c r="LTQ2584" s="100"/>
      <c r="LTR2584" s="100"/>
      <c r="LTS2584" s="100"/>
      <c r="LTT2584" s="100"/>
      <c r="LTU2584" s="100"/>
      <c r="LTV2584" s="100"/>
      <c r="LTW2584" s="100"/>
      <c r="LTX2584" s="100"/>
      <c r="LTY2584" s="100"/>
      <c r="LTZ2584" s="100"/>
      <c r="LUA2584" s="100"/>
      <c r="LUB2584" s="100"/>
      <c r="LUC2584" s="100"/>
      <c r="LUD2584" s="100"/>
      <c r="LUE2584" s="100"/>
      <c r="LUF2584" s="100"/>
      <c r="LUG2584" s="100"/>
      <c r="LUH2584" s="100"/>
      <c r="LUI2584" s="100"/>
      <c r="LUJ2584" s="100"/>
      <c r="LUK2584" s="100"/>
      <c r="LUL2584" s="100"/>
      <c r="LUM2584" s="100"/>
      <c r="LUN2584" s="100"/>
      <c r="LUO2584" s="100"/>
      <c r="LUP2584" s="100"/>
      <c r="LUQ2584" s="100"/>
      <c r="LUR2584" s="100"/>
      <c r="LUS2584" s="100"/>
      <c r="LUT2584" s="100"/>
      <c r="LUU2584" s="100"/>
      <c r="LUV2584" s="100"/>
      <c r="LUW2584" s="100"/>
      <c r="LUX2584" s="100"/>
      <c r="LUY2584" s="100"/>
      <c r="LUZ2584" s="100"/>
      <c r="LVA2584" s="100"/>
      <c r="LVB2584" s="100"/>
      <c r="LVC2584" s="100"/>
      <c r="LVD2584" s="100"/>
      <c r="LVE2584" s="100"/>
      <c r="LVF2584" s="100"/>
      <c r="LVG2584" s="100"/>
      <c r="LVH2584" s="100"/>
      <c r="LVI2584" s="100"/>
      <c r="LVJ2584" s="100"/>
      <c r="LVK2584" s="100"/>
      <c r="LVL2584" s="100"/>
      <c r="LVM2584" s="100"/>
      <c r="LVN2584" s="100"/>
      <c r="LVO2584" s="100"/>
      <c r="LVP2584" s="100"/>
      <c r="LVQ2584" s="100"/>
      <c r="LVR2584" s="100"/>
      <c r="LVS2584" s="100"/>
      <c r="LVT2584" s="100"/>
      <c r="LVU2584" s="100"/>
      <c r="LVV2584" s="100"/>
      <c r="LVW2584" s="100"/>
      <c r="LVX2584" s="100"/>
      <c r="LVY2584" s="100"/>
      <c r="LVZ2584" s="100"/>
      <c r="LWA2584" s="100"/>
      <c r="LWB2584" s="100"/>
      <c r="LWC2584" s="100"/>
      <c r="LWD2584" s="100"/>
      <c r="LWE2584" s="100"/>
      <c r="LWF2584" s="100"/>
      <c r="LWG2584" s="100"/>
      <c r="LWH2584" s="100"/>
      <c r="LWI2584" s="100"/>
      <c r="LWJ2584" s="100"/>
      <c r="LWK2584" s="100"/>
      <c r="LWL2584" s="100"/>
      <c r="LWM2584" s="100"/>
      <c r="LWN2584" s="100"/>
      <c r="LWO2584" s="100"/>
      <c r="LWP2584" s="100"/>
      <c r="LWQ2584" s="100"/>
      <c r="LWR2584" s="100"/>
      <c r="LWS2584" s="100"/>
      <c r="LWT2584" s="100"/>
      <c r="LWU2584" s="100"/>
      <c r="LWV2584" s="100"/>
      <c r="LWW2584" s="100"/>
      <c r="LWX2584" s="100"/>
      <c r="LWY2584" s="100"/>
      <c r="LWZ2584" s="100"/>
      <c r="LXA2584" s="100"/>
      <c r="LXB2584" s="100"/>
      <c r="LXC2584" s="100"/>
      <c r="LXD2584" s="100"/>
      <c r="LXE2584" s="100"/>
      <c r="LXF2584" s="100"/>
      <c r="LXG2584" s="100"/>
      <c r="LXH2584" s="100"/>
      <c r="LXI2584" s="100"/>
      <c r="LXJ2584" s="100"/>
      <c r="LXK2584" s="100"/>
      <c r="LXL2584" s="100"/>
      <c r="LXM2584" s="100"/>
      <c r="LXN2584" s="100"/>
      <c r="LXO2584" s="100"/>
      <c r="LXP2584" s="100"/>
      <c r="LXQ2584" s="100"/>
      <c r="LXR2584" s="100"/>
      <c r="LXS2584" s="100"/>
      <c r="LXT2584" s="100"/>
      <c r="LXU2584" s="100"/>
      <c r="LXV2584" s="100"/>
      <c r="LXW2584" s="100"/>
      <c r="LXX2584" s="100"/>
      <c r="LXY2584" s="100"/>
      <c r="LXZ2584" s="100"/>
      <c r="LYA2584" s="100"/>
      <c r="LYB2584" s="100"/>
      <c r="LYC2584" s="100"/>
      <c r="LYD2584" s="100"/>
      <c r="LYE2584" s="100"/>
      <c r="LYF2584" s="100"/>
      <c r="LYG2584" s="100"/>
      <c r="LYH2584" s="100"/>
      <c r="LYI2584" s="100"/>
      <c r="LYJ2584" s="100"/>
      <c r="LYK2584" s="100"/>
      <c r="LYL2584" s="100"/>
      <c r="LYM2584" s="100"/>
      <c r="LYN2584" s="100"/>
      <c r="LYO2584" s="100"/>
      <c r="LYP2584" s="100"/>
      <c r="LYQ2584" s="100"/>
      <c r="LYR2584" s="100"/>
      <c r="LYS2584" s="100"/>
      <c r="LYT2584" s="100"/>
      <c r="LYU2584" s="100"/>
      <c r="LYV2584" s="100"/>
      <c r="LYW2584" s="100"/>
      <c r="LYX2584" s="100"/>
      <c r="LYY2584" s="100"/>
      <c r="LYZ2584" s="100"/>
      <c r="LZA2584" s="100"/>
      <c r="LZB2584" s="100"/>
      <c r="LZC2584" s="100"/>
      <c r="LZD2584" s="100"/>
      <c r="LZE2584" s="100"/>
      <c r="LZF2584" s="100"/>
      <c r="LZG2584" s="100"/>
      <c r="LZH2584" s="100"/>
      <c r="LZI2584" s="100"/>
      <c r="LZJ2584" s="100"/>
      <c r="LZK2584" s="100"/>
      <c r="LZL2584" s="100"/>
      <c r="LZM2584" s="100"/>
      <c r="LZN2584" s="100"/>
      <c r="LZO2584" s="100"/>
      <c r="LZP2584" s="100"/>
      <c r="LZQ2584" s="100"/>
      <c r="LZR2584" s="100"/>
      <c r="LZS2584" s="100"/>
      <c r="LZT2584" s="100"/>
      <c r="LZU2584" s="100"/>
      <c r="LZV2584" s="100"/>
      <c r="LZW2584" s="100"/>
      <c r="LZX2584" s="100"/>
      <c r="LZY2584" s="100"/>
      <c r="LZZ2584" s="100"/>
      <c r="MAA2584" s="100"/>
      <c r="MAB2584" s="100"/>
      <c r="MAC2584" s="100"/>
      <c r="MAD2584" s="100"/>
      <c r="MAE2584" s="100"/>
      <c r="MAF2584" s="100"/>
      <c r="MAG2584" s="100"/>
      <c r="MAH2584" s="100"/>
      <c r="MAI2584" s="100"/>
      <c r="MAJ2584" s="100"/>
      <c r="MAK2584" s="100"/>
      <c r="MAL2584" s="100"/>
      <c r="MAM2584" s="100"/>
      <c r="MAN2584" s="100"/>
      <c r="MAO2584" s="100"/>
      <c r="MAP2584" s="100"/>
      <c r="MAQ2584" s="100"/>
      <c r="MAR2584" s="100"/>
      <c r="MAS2584" s="100"/>
      <c r="MAT2584" s="100"/>
      <c r="MAU2584" s="100"/>
      <c r="MAV2584" s="100"/>
      <c r="MAW2584" s="100"/>
      <c r="MAX2584" s="100"/>
      <c r="MAY2584" s="100"/>
      <c r="MAZ2584" s="100"/>
      <c r="MBA2584" s="100"/>
      <c r="MBB2584" s="100"/>
      <c r="MBC2584" s="100"/>
      <c r="MBD2584" s="100"/>
      <c r="MBE2584" s="100"/>
      <c r="MBF2584" s="100"/>
      <c r="MBG2584" s="100"/>
      <c r="MBH2584" s="100"/>
      <c r="MBI2584" s="100"/>
      <c r="MBJ2584" s="100"/>
      <c r="MBK2584" s="100"/>
      <c r="MBL2584" s="100"/>
      <c r="MBM2584" s="100"/>
      <c r="MBN2584" s="100"/>
      <c r="MBO2584" s="100"/>
      <c r="MBP2584" s="100"/>
      <c r="MBQ2584" s="100"/>
      <c r="MBR2584" s="100"/>
      <c r="MBS2584" s="100"/>
      <c r="MBT2584" s="100"/>
      <c r="MBU2584" s="100"/>
      <c r="MBV2584" s="100"/>
      <c r="MBW2584" s="100"/>
      <c r="MBX2584" s="100"/>
      <c r="MBY2584" s="100"/>
      <c r="MBZ2584" s="100"/>
      <c r="MCA2584" s="100"/>
      <c r="MCB2584" s="100"/>
      <c r="MCC2584" s="100"/>
      <c r="MCD2584" s="100"/>
      <c r="MCE2584" s="100"/>
      <c r="MCF2584" s="100"/>
      <c r="MCG2584" s="100"/>
      <c r="MCH2584" s="100"/>
      <c r="MCI2584" s="100"/>
      <c r="MCJ2584" s="100"/>
      <c r="MCK2584" s="100"/>
      <c r="MCL2584" s="100"/>
      <c r="MCM2584" s="100"/>
      <c r="MCN2584" s="100"/>
      <c r="MCO2584" s="100"/>
      <c r="MCP2584" s="100"/>
      <c r="MCQ2584" s="100"/>
      <c r="MCR2584" s="100"/>
      <c r="MCS2584" s="100"/>
      <c r="MCT2584" s="100"/>
      <c r="MCU2584" s="100"/>
      <c r="MCV2584" s="100"/>
      <c r="MCW2584" s="100"/>
      <c r="MCX2584" s="100"/>
      <c r="MCY2584" s="100"/>
      <c r="MCZ2584" s="100"/>
      <c r="MDA2584" s="100"/>
      <c r="MDB2584" s="100"/>
      <c r="MDC2584" s="100"/>
      <c r="MDD2584" s="100"/>
      <c r="MDE2584" s="100"/>
      <c r="MDF2584" s="100"/>
      <c r="MDG2584" s="100"/>
      <c r="MDH2584" s="100"/>
      <c r="MDI2584" s="100"/>
      <c r="MDJ2584" s="100"/>
      <c r="MDK2584" s="100"/>
      <c r="MDL2584" s="100"/>
      <c r="MDM2584" s="100"/>
      <c r="MDN2584" s="100"/>
      <c r="MDO2584" s="100"/>
      <c r="MDP2584" s="100"/>
      <c r="MDQ2584" s="100"/>
      <c r="MDR2584" s="100"/>
      <c r="MDS2584" s="100"/>
      <c r="MDT2584" s="100"/>
      <c r="MDU2584" s="100"/>
      <c r="MDV2584" s="100"/>
      <c r="MDW2584" s="100"/>
      <c r="MDX2584" s="100"/>
      <c r="MDY2584" s="100"/>
      <c r="MDZ2584" s="100"/>
      <c r="MEA2584" s="100"/>
      <c r="MEB2584" s="100"/>
      <c r="MEC2584" s="100"/>
      <c r="MED2584" s="100"/>
      <c r="MEE2584" s="100"/>
      <c r="MEF2584" s="100"/>
      <c r="MEG2584" s="100"/>
      <c r="MEH2584" s="100"/>
      <c r="MEI2584" s="100"/>
      <c r="MEJ2584" s="100"/>
      <c r="MEK2584" s="100"/>
      <c r="MEL2584" s="100"/>
      <c r="MEM2584" s="100"/>
      <c r="MEN2584" s="100"/>
      <c r="MEO2584" s="100"/>
      <c r="MEP2584" s="100"/>
      <c r="MEQ2584" s="100"/>
      <c r="MER2584" s="100"/>
      <c r="MES2584" s="100"/>
      <c r="MET2584" s="100"/>
      <c r="MEU2584" s="100"/>
      <c r="MEV2584" s="100"/>
      <c r="MEW2584" s="100"/>
      <c r="MEX2584" s="100"/>
      <c r="MEY2584" s="100"/>
      <c r="MEZ2584" s="100"/>
      <c r="MFA2584" s="100"/>
      <c r="MFB2584" s="100"/>
      <c r="MFC2584" s="100"/>
      <c r="MFD2584" s="100"/>
      <c r="MFE2584" s="100"/>
      <c r="MFF2584" s="100"/>
      <c r="MFG2584" s="100"/>
      <c r="MFH2584" s="100"/>
      <c r="MFI2584" s="100"/>
      <c r="MFJ2584" s="100"/>
      <c r="MFK2584" s="100"/>
      <c r="MFL2584" s="100"/>
      <c r="MFM2584" s="100"/>
      <c r="MFN2584" s="100"/>
      <c r="MFO2584" s="100"/>
      <c r="MFP2584" s="100"/>
      <c r="MFQ2584" s="100"/>
      <c r="MFR2584" s="100"/>
      <c r="MFS2584" s="100"/>
      <c r="MFT2584" s="100"/>
      <c r="MFU2584" s="100"/>
      <c r="MFV2584" s="100"/>
      <c r="MFW2584" s="100"/>
      <c r="MFX2584" s="100"/>
      <c r="MFY2584" s="100"/>
      <c r="MFZ2584" s="100"/>
      <c r="MGA2584" s="100"/>
      <c r="MGB2584" s="100"/>
      <c r="MGC2584" s="100"/>
      <c r="MGD2584" s="100"/>
      <c r="MGE2584" s="100"/>
      <c r="MGF2584" s="100"/>
      <c r="MGG2584" s="100"/>
      <c r="MGH2584" s="100"/>
      <c r="MGI2584" s="100"/>
      <c r="MGJ2584" s="100"/>
      <c r="MGK2584" s="100"/>
      <c r="MGL2584" s="100"/>
      <c r="MGM2584" s="100"/>
      <c r="MGN2584" s="100"/>
      <c r="MGO2584" s="100"/>
      <c r="MGP2584" s="100"/>
      <c r="MGQ2584" s="100"/>
      <c r="MGR2584" s="100"/>
      <c r="MGS2584" s="100"/>
      <c r="MGT2584" s="100"/>
      <c r="MGU2584" s="100"/>
      <c r="MGV2584" s="100"/>
      <c r="MGW2584" s="100"/>
      <c r="MGX2584" s="100"/>
      <c r="MGY2584" s="100"/>
      <c r="MGZ2584" s="100"/>
      <c r="MHA2584" s="100"/>
      <c r="MHB2584" s="100"/>
      <c r="MHC2584" s="100"/>
      <c r="MHD2584" s="100"/>
      <c r="MHE2584" s="100"/>
      <c r="MHF2584" s="100"/>
      <c r="MHG2584" s="100"/>
      <c r="MHH2584" s="100"/>
      <c r="MHI2584" s="100"/>
      <c r="MHJ2584" s="100"/>
      <c r="MHK2584" s="100"/>
      <c r="MHL2584" s="100"/>
      <c r="MHM2584" s="100"/>
      <c r="MHN2584" s="100"/>
      <c r="MHO2584" s="100"/>
      <c r="MHP2584" s="100"/>
      <c r="MHQ2584" s="100"/>
      <c r="MHR2584" s="100"/>
      <c r="MHS2584" s="100"/>
      <c r="MHT2584" s="100"/>
      <c r="MHU2584" s="100"/>
      <c r="MHV2584" s="100"/>
      <c r="MHW2584" s="100"/>
      <c r="MHX2584" s="100"/>
      <c r="MHY2584" s="100"/>
      <c r="MHZ2584" s="100"/>
      <c r="MIA2584" s="100"/>
      <c r="MIB2584" s="100"/>
      <c r="MIC2584" s="100"/>
      <c r="MID2584" s="100"/>
      <c r="MIE2584" s="100"/>
      <c r="MIF2584" s="100"/>
      <c r="MIG2584" s="100"/>
      <c r="MIH2584" s="100"/>
      <c r="MII2584" s="100"/>
      <c r="MIJ2584" s="100"/>
      <c r="MIK2584" s="100"/>
      <c r="MIL2584" s="100"/>
      <c r="MIM2584" s="100"/>
      <c r="MIN2584" s="100"/>
      <c r="MIO2584" s="100"/>
      <c r="MIP2584" s="100"/>
      <c r="MIQ2584" s="100"/>
      <c r="MIR2584" s="100"/>
      <c r="MIS2584" s="100"/>
      <c r="MIT2584" s="100"/>
      <c r="MIU2584" s="100"/>
      <c r="MIV2584" s="100"/>
      <c r="MIW2584" s="100"/>
      <c r="MIX2584" s="100"/>
      <c r="MIY2584" s="100"/>
      <c r="MIZ2584" s="100"/>
      <c r="MJA2584" s="100"/>
      <c r="MJB2584" s="100"/>
      <c r="MJC2584" s="100"/>
      <c r="MJD2584" s="100"/>
      <c r="MJE2584" s="100"/>
      <c r="MJF2584" s="100"/>
      <c r="MJG2584" s="100"/>
      <c r="MJH2584" s="100"/>
      <c r="MJI2584" s="100"/>
      <c r="MJJ2584" s="100"/>
      <c r="MJK2584" s="100"/>
      <c r="MJL2584" s="100"/>
      <c r="MJM2584" s="100"/>
      <c r="MJN2584" s="100"/>
      <c r="MJO2584" s="100"/>
      <c r="MJP2584" s="100"/>
      <c r="MJQ2584" s="100"/>
      <c r="MJR2584" s="100"/>
      <c r="MJS2584" s="100"/>
      <c r="MJT2584" s="100"/>
      <c r="MJU2584" s="100"/>
      <c r="MJV2584" s="100"/>
      <c r="MJW2584" s="100"/>
      <c r="MJX2584" s="100"/>
      <c r="MJY2584" s="100"/>
      <c r="MJZ2584" s="100"/>
      <c r="MKA2584" s="100"/>
      <c r="MKB2584" s="100"/>
      <c r="MKC2584" s="100"/>
      <c r="MKD2584" s="100"/>
      <c r="MKE2584" s="100"/>
      <c r="MKF2584" s="100"/>
      <c r="MKG2584" s="100"/>
      <c r="MKH2584" s="100"/>
      <c r="MKI2584" s="100"/>
      <c r="MKJ2584" s="100"/>
      <c r="MKK2584" s="100"/>
      <c r="MKL2584" s="100"/>
      <c r="MKM2584" s="100"/>
      <c r="MKN2584" s="100"/>
      <c r="MKO2584" s="100"/>
      <c r="MKP2584" s="100"/>
      <c r="MKQ2584" s="100"/>
      <c r="MKR2584" s="100"/>
      <c r="MKS2584" s="100"/>
      <c r="MKT2584" s="100"/>
      <c r="MKU2584" s="100"/>
      <c r="MKV2584" s="100"/>
      <c r="MKW2584" s="100"/>
      <c r="MKX2584" s="100"/>
      <c r="MKY2584" s="100"/>
      <c r="MKZ2584" s="100"/>
      <c r="MLA2584" s="100"/>
      <c r="MLB2584" s="100"/>
      <c r="MLC2584" s="100"/>
      <c r="MLD2584" s="100"/>
      <c r="MLE2584" s="100"/>
      <c r="MLF2584" s="100"/>
      <c r="MLG2584" s="100"/>
      <c r="MLH2584" s="100"/>
      <c r="MLI2584" s="100"/>
      <c r="MLJ2584" s="100"/>
      <c r="MLK2584" s="100"/>
      <c r="MLL2584" s="100"/>
      <c r="MLM2584" s="100"/>
      <c r="MLN2584" s="100"/>
      <c r="MLO2584" s="100"/>
      <c r="MLP2584" s="100"/>
      <c r="MLQ2584" s="100"/>
      <c r="MLR2584" s="100"/>
      <c r="MLS2584" s="100"/>
      <c r="MLT2584" s="100"/>
      <c r="MLU2584" s="100"/>
      <c r="MLV2584" s="100"/>
      <c r="MLW2584" s="100"/>
      <c r="MLX2584" s="100"/>
      <c r="MLY2584" s="100"/>
      <c r="MLZ2584" s="100"/>
      <c r="MMA2584" s="100"/>
      <c r="MMB2584" s="100"/>
      <c r="MMC2584" s="100"/>
      <c r="MMD2584" s="100"/>
      <c r="MME2584" s="100"/>
      <c r="MMF2584" s="100"/>
      <c r="MMG2584" s="100"/>
      <c r="MMH2584" s="100"/>
      <c r="MMI2584" s="100"/>
      <c r="MMJ2584" s="100"/>
      <c r="MMK2584" s="100"/>
      <c r="MML2584" s="100"/>
      <c r="MMM2584" s="100"/>
      <c r="MMN2584" s="100"/>
      <c r="MMO2584" s="100"/>
      <c r="MMP2584" s="100"/>
      <c r="MMQ2584" s="100"/>
      <c r="MMR2584" s="100"/>
      <c r="MMS2584" s="100"/>
      <c r="MMT2584" s="100"/>
      <c r="MMU2584" s="100"/>
      <c r="MMV2584" s="100"/>
      <c r="MMW2584" s="100"/>
      <c r="MMX2584" s="100"/>
      <c r="MMY2584" s="100"/>
      <c r="MMZ2584" s="100"/>
      <c r="MNA2584" s="100"/>
      <c r="MNB2584" s="100"/>
      <c r="MNC2584" s="100"/>
      <c r="MND2584" s="100"/>
      <c r="MNE2584" s="100"/>
      <c r="MNF2584" s="100"/>
      <c r="MNG2584" s="100"/>
      <c r="MNH2584" s="100"/>
      <c r="MNI2584" s="100"/>
      <c r="MNJ2584" s="100"/>
      <c r="MNK2584" s="100"/>
      <c r="MNL2584" s="100"/>
      <c r="MNM2584" s="100"/>
      <c r="MNN2584" s="100"/>
      <c r="MNO2584" s="100"/>
      <c r="MNP2584" s="100"/>
      <c r="MNQ2584" s="100"/>
      <c r="MNR2584" s="100"/>
      <c r="MNS2584" s="100"/>
      <c r="MNT2584" s="100"/>
      <c r="MNU2584" s="100"/>
      <c r="MNV2584" s="100"/>
      <c r="MNW2584" s="100"/>
      <c r="MNX2584" s="100"/>
      <c r="MNY2584" s="100"/>
      <c r="MNZ2584" s="100"/>
      <c r="MOA2584" s="100"/>
      <c r="MOB2584" s="100"/>
      <c r="MOC2584" s="100"/>
      <c r="MOD2584" s="100"/>
      <c r="MOE2584" s="100"/>
      <c r="MOF2584" s="100"/>
      <c r="MOG2584" s="100"/>
      <c r="MOH2584" s="100"/>
      <c r="MOI2584" s="100"/>
      <c r="MOJ2584" s="100"/>
      <c r="MOK2584" s="100"/>
      <c r="MOL2584" s="100"/>
      <c r="MOM2584" s="100"/>
      <c r="MON2584" s="100"/>
      <c r="MOO2584" s="100"/>
      <c r="MOP2584" s="100"/>
      <c r="MOQ2584" s="100"/>
      <c r="MOR2584" s="100"/>
      <c r="MOS2584" s="100"/>
      <c r="MOT2584" s="100"/>
      <c r="MOU2584" s="100"/>
      <c r="MOV2584" s="100"/>
      <c r="MOW2584" s="100"/>
      <c r="MOX2584" s="100"/>
      <c r="MOY2584" s="100"/>
      <c r="MOZ2584" s="100"/>
      <c r="MPA2584" s="100"/>
      <c r="MPB2584" s="100"/>
      <c r="MPC2584" s="100"/>
      <c r="MPD2584" s="100"/>
      <c r="MPE2584" s="100"/>
      <c r="MPF2584" s="100"/>
      <c r="MPG2584" s="100"/>
      <c r="MPH2584" s="100"/>
      <c r="MPI2584" s="100"/>
      <c r="MPJ2584" s="100"/>
      <c r="MPK2584" s="100"/>
      <c r="MPL2584" s="100"/>
      <c r="MPM2584" s="100"/>
      <c r="MPN2584" s="100"/>
      <c r="MPO2584" s="100"/>
      <c r="MPP2584" s="100"/>
      <c r="MPQ2584" s="100"/>
      <c r="MPR2584" s="100"/>
      <c r="MPS2584" s="100"/>
      <c r="MPT2584" s="100"/>
      <c r="MPU2584" s="100"/>
      <c r="MPV2584" s="100"/>
      <c r="MPW2584" s="100"/>
      <c r="MPX2584" s="100"/>
      <c r="MPY2584" s="100"/>
      <c r="MPZ2584" s="100"/>
      <c r="MQA2584" s="100"/>
      <c r="MQB2584" s="100"/>
      <c r="MQC2584" s="100"/>
      <c r="MQD2584" s="100"/>
      <c r="MQE2584" s="100"/>
      <c r="MQF2584" s="100"/>
      <c r="MQG2584" s="100"/>
      <c r="MQH2584" s="100"/>
      <c r="MQI2584" s="100"/>
      <c r="MQJ2584" s="100"/>
      <c r="MQK2584" s="100"/>
      <c r="MQL2584" s="100"/>
      <c r="MQM2584" s="100"/>
      <c r="MQN2584" s="100"/>
      <c r="MQO2584" s="100"/>
      <c r="MQP2584" s="100"/>
      <c r="MQQ2584" s="100"/>
      <c r="MQR2584" s="100"/>
      <c r="MQS2584" s="100"/>
      <c r="MQT2584" s="100"/>
      <c r="MQU2584" s="100"/>
      <c r="MQV2584" s="100"/>
      <c r="MQW2584" s="100"/>
      <c r="MQX2584" s="100"/>
      <c r="MQY2584" s="100"/>
      <c r="MQZ2584" s="100"/>
      <c r="MRA2584" s="100"/>
      <c r="MRB2584" s="100"/>
      <c r="MRC2584" s="100"/>
      <c r="MRD2584" s="100"/>
      <c r="MRE2584" s="100"/>
      <c r="MRF2584" s="100"/>
      <c r="MRG2584" s="100"/>
      <c r="MRH2584" s="100"/>
      <c r="MRI2584" s="100"/>
      <c r="MRJ2584" s="100"/>
      <c r="MRK2584" s="100"/>
      <c r="MRL2584" s="100"/>
      <c r="MRM2584" s="100"/>
      <c r="MRN2584" s="100"/>
      <c r="MRO2584" s="100"/>
      <c r="MRP2584" s="100"/>
      <c r="MRQ2584" s="100"/>
      <c r="MRR2584" s="100"/>
      <c r="MRS2584" s="100"/>
      <c r="MRT2584" s="100"/>
      <c r="MRU2584" s="100"/>
      <c r="MRV2584" s="100"/>
      <c r="MRW2584" s="100"/>
      <c r="MRX2584" s="100"/>
      <c r="MRY2584" s="100"/>
      <c r="MRZ2584" s="100"/>
      <c r="MSA2584" s="100"/>
      <c r="MSB2584" s="100"/>
      <c r="MSC2584" s="100"/>
      <c r="MSD2584" s="100"/>
      <c r="MSE2584" s="100"/>
      <c r="MSF2584" s="100"/>
      <c r="MSG2584" s="100"/>
      <c r="MSH2584" s="100"/>
      <c r="MSI2584" s="100"/>
      <c r="MSJ2584" s="100"/>
      <c r="MSK2584" s="100"/>
      <c r="MSL2584" s="100"/>
      <c r="MSM2584" s="100"/>
      <c r="MSN2584" s="100"/>
      <c r="MSO2584" s="100"/>
      <c r="MSP2584" s="100"/>
      <c r="MSQ2584" s="100"/>
      <c r="MSR2584" s="100"/>
      <c r="MSS2584" s="100"/>
      <c r="MST2584" s="100"/>
      <c r="MSU2584" s="100"/>
      <c r="MSV2584" s="100"/>
      <c r="MSW2584" s="100"/>
      <c r="MSX2584" s="100"/>
      <c r="MSY2584" s="100"/>
      <c r="MSZ2584" s="100"/>
      <c r="MTA2584" s="100"/>
      <c r="MTB2584" s="100"/>
      <c r="MTC2584" s="100"/>
      <c r="MTD2584" s="100"/>
      <c r="MTE2584" s="100"/>
      <c r="MTF2584" s="100"/>
      <c r="MTG2584" s="100"/>
      <c r="MTH2584" s="100"/>
      <c r="MTI2584" s="100"/>
      <c r="MTJ2584" s="100"/>
      <c r="MTK2584" s="100"/>
      <c r="MTL2584" s="100"/>
      <c r="MTM2584" s="100"/>
      <c r="MTN2584" s="100"/>
      <c r="MTO2584" s="100"/>
      <c r="MTP2584" s="100"/>
      <c r="MTQ2584" s="100"/>
      <c r="MTR2584" s="100"/>
      <c r="MTS2584" s="100"/>
      <c r="MTT2584" s="100"/>
      <c r="MTU2584" s="100"/>
      <c r="MTV2584" s="100"/>
      <c r="MTW2584" s="100"/>
      <c r="MTX2584" s="100"/>
      <c r="MTY2584" s="100"/>
      <c r="MTZ2584" s="100"/>
      <c r="MUA2584" s="100"/>
      <c r="MUB2584" s="100"/>
      <c r="MUC2584" s="100"/>
      <c r="MUD2584" s="100"/>
      <c r="MUE2584" s="100"/>
      <c r="MUF2584" s="100"/>
      <c r="MUG2584" s="100"/>
      <c r="MUH2584" s="100"/>
      <c r="MUI2584" s="100"/>
      <c r="MUJ2584" s="100"/>
      <c r="MUK2584" s="100"/>
      <c r="MUL2584" s="100"/>
      <c r="MUM2584" s="100"/>
      <c r="MUN2584" s="100"/>
      <c r="MUO2584" s="100"/>
      <c r="MUP2584" s="100"/>
      <c r="MUQ2584" s="100"/>
      <c r="MUR2584" s="100"/>
      <c r="MUS2584" s="100"/>
      <c r="MUT2584" s="100"/>
      <c r="MUU2584" s="100"/>
      <c r="MUV2584" s="100"/>
      <c r="MUW2584" s="100"/>
      <c r="MUX2584" s="100"/>
      <c r="MUY2584" s="100"/>
      <c r="MUZ2584" s="100"/>
      <c r="MVA2584" s="100"/>
      <c r="MVB2584" s="100"/>
      <c r="MVC2584" s="100"/>
      <c r="MVD2584" s="100"/>
      <c r="MVE2584" s="100"/>
      <c r="MVF2584" s="100"/>
      <c r="MVG2584" s="100"/>
      <c r="MVH2584" s="100"/>
      <c r="MVI2584" s="100"/>
      <c r="MVJ2584" s="100"/>
      <c r="MVK2584" s="100"/>
      <c r="MVL2584" s="100"/>
      <c r="MVM2584" s="100"/>
      <c r="MVN2584" s="100"/>
      <c r="MVO2584" s="100"/>
      <c r="MVP2584" s="100"/>
      <c r="MVQ2584" s="100"/>
      <c r="MVR2584" s="100"/>
      <c r="MVS2584" s="100"/>
      <c r="MVT2584" s="100"/>
      <c r="MVU2584" s="100"/>
      <c r="MVV2584" s="100"/>
      <c r="MVW2584" s="100"/>
      <c r="MVX2584" s="100"/>
      <c r="MVY2584" s="100"/>
      <c r="MVZ2584" s="100"/>
      <c r="MWA2584" s="100"/>
      <c r="MWB2584" s="100"/>
      <c r="MWC2584" s="100"/>
      <c r="MWD2584" s="100"/>
      <c r="MWE2584" s="100"/>
      <c r="MWF2584" s="100"/>
      <c r="MWG2584" s="100"/>
      <c r="MWH2584" s="100"/>
      <c r="MWI2584" s="100"/>
      <c r="MWJ2584" s="100"/>
      <c r="MWK2584" s="100"/>
      <c r="MWL2584" s="100"/>
      <c r="MWM2584" s="100"/>
      <c r="MWN2584" s="100"/>
      <c r="MWO2584" s="100"/>
      <c r="MWP2584" s="100"/>
      <c r="MWQ2584" s="100"/>
      <c r="MWR2584" s="100"/>
      <c r="MWS2584" s="100"/>
      <c r="MWT2584" s="100"/>
      <c r="MWU2584" s="100"/>
      <c r="MWV2584" s="100"/>
      <c r="MWW2584" s="100"/>
      <c r="MWX2584" s="100"/>
      <c r="MWY2584" s="100"/>
      <c r="MWZ2584" s="100"/>
      <c r="MXA2584" s="100"/>
      <c r="MXB2584" s="100"/>
      <c r="MXC2584" s="100"/>
      <c r="MXD2584" s="100"/>
      <c r="MXE2584" s="100"/>
      <c r="MXF2584" s="100"/>
      <c r="MXG2584" s="100"/>
      <c r="MXH2584" s="100"/>
      <c r="MXI2584" s="100"/>
      <c r="MXJ2584" s="100"/>
      <c r="MXK2584" s="100"/>
      <c r="MXL2584" s="100"/>
      <c r="MXM2584" s="100"/>
      <c r="MXN2584" s="100"/>
      <c r="MXO2584" s="100"/>
      <c r="MXP2584" s="100"/>
      <c r="MXQ2584" s="100"/>
      <c r="MXR2584" s="100"/>
      <c r="MXS2584" s="100"/>
      <c r="MXT2584" s="100"/>
      <c r="MXU2584" s="100"/>
      <c r="MXV2584" s="100"/>
      <c r="MXW2584" s="100"/>
      <c r="MXX2584" s="100"/>
      <c r="MXY2584" s="100"/>
      <c r="MXZ2584" s="100"/>
      <c r="MYA2584" s="100"/>
      <c r="MYB2584" s="100"/>
      <c r="MYC2584" s="100"/>
      <c r="MYD2584" s="100"/>
      <c r="MYE2584" s="100"/>
      <c r="MYF2584" s="100"/>
      <c r="MYG2584" s="100"/>
      <c r="MYH2584" s="100"/>
      <c r="MYI2584" s="100"/>
      <c r="MYJ2584" s="100"/>
      <c r="MYK2584" s="100"/>
      <c r="MYL2584" s="100"/>
      <c r="MYM2584" s="100"/>
      <c r="MYN2584" s="100"/>
      <c r="MYO2584" s="100"/>
      <c r="MYP2584" s="100"/>
      <c r="MYQ2584" s="100"/>
      <c r="MYR2584" s="100"/>
      <c r="MYS2584" s="100"/>
      <c r="MYT2584" s="100"/>
      <c r="MYU2584" s="100"/>
      <c r="MYV2584" s="100"/>
      <c r="MYW2584" s="100"/>
      <c r="MYX2584" s="100"/>
      <c r="MYY2584" s="100"/>
      <c r="MYZ2584" s="100"/>
      <c r="MZA2584" s="100"/>
      <c r="MZB2584" s="100"/>
      <c r="MZC2584" s="100"/>
      <c r="MZD2584" s="100"/>
      <c r="MZE2584" s="100"/>
      <c r="MZF2584" s="100"/>
      <c r="MZG2584" s="100"/>
      <c r="MZH2584" s="100"/>
      <c r="MZI2584" s="100"/>
      <c r="MZJ2584" s="100"/>
      <c r="MZK2584" s="100"/>
      <c r="MZL2584" s="100"/>
      <c r="MZM2584" s="100"/>
      <c r="MZN2584" s="100"/>
      <c r="MZO2584" s="100"/>
      <c r="MZP2584" s="100"/>
      <c r="MZQ2584" s="100"/>
      <c r="MZR2584" s="100"/>
      <c r="MZS2584" s="100"/>
      <c r="MZT2584" s="100"/>
      <c r="MZU2584" s="100"/>
      <c r="MZV2584" s="100"/>
      <c r="MZW2584" s="100"/>
      <c r="MZX2584" s="100"/>
      <c r="MZY2584" s="100"/>
      <c r="MZZ2584" s="100"/>
      <c r="NAA2584" s="100"/>
      <c r="NAB2584" s="100"/>
      <c r="NAC2584" s="100"/>
      <c r="NAD2584" s="100"/>
      <c r="NAE2584" s="100"/>
      <c r="NAF2584" s="100"/>
      <c r="NAG2584" s="100"/>
      <c r="NAH2584" s="100"/>
      <c r="NAI2584" s="100"/>
      <c r="NAJ2584" s="100"/>
      <c r="NAK2584" s="100"/>
      <c r="NAL2584" s="100"/>
      <c r="NAM2584" s="100"/>
      <c r="NAN2584" s="100"/>
      <c r="NAO2584" s="100"/>
      <c r="NAP2584" s="100"/>
      <c r="NAQ2584" s="100"/>
      <c r="NAR2584" s="100"/>
      <c r="NAS2584" s="100"/>
      <c r="NAT2584" s="100"/>
      <c r="NAU2584" s="100"/>
      <c r="NAV2584" s="100"/>
      <c r="NAW2584" s="100"/>
      <c r="NAX2584" s="100"/>
      <c r="NAY2584" s="100"/>
      <c r="NAZ2584" s="100"/>
      <c r="NBA2584" s="100"/>
      <c r="NBB2584" s="100"/>
      <c r="NBC2584" s="100"/>
      <c r="NBD2584" s="100"/>
      <c r="NBE2584" s="100"/>
      <c r="NBF2584" s="100"/>
      <c r="NBG2584" s="100"/>
      <c r="NBH2584" s="100"/>
      <c r="NBI2584" s="100"/>
      <c r="NBJ2584" s="100"/>
      <c r="NBK2584" s="100"/>
      <c r="NBL2584" s="100"/>
      <c r="NBM2584" s="100"/>
      <c r="NBN2584" s="100"/>
      <c r="NBO2584" s="100"/>
      <c r="NBP2584" s="100"/>
      <c r="NBQ2584" s="100"/>
      <c r="NBR2584" s="100"/>
      <c r="NBS2584" s="100"/>
      <c r="NBT2584" s="100"/>
      <c r="NBU2584" s="100"/>
      <c r="NBV2584" s="100"/>
      <c r="NBW2584" s="100"/>
      <c r="NBX2584" s="100"/>
      <c r="NBY2584" s="100"/>
      <c r="NBZ2584" s="100"/>
      <c r="NCA2584" s="100"/>
      <c r="NCB2584" s="100"/>
      <c r="NCC2584" s="100"/>
      <c r="NCD2584" s="100"/>
      <c r="NCE2584" s="100"/>
      <c r="NCF2584" s="100"/>
      <c r="NCG2584" s="100"/>
      <c r="NCH2584" s="100"/>
      <c r="NCI2584" s="100"/>
      <c r="NCJ2584" s="100"/>
      <c r="NCK2584" s="100"/>
      <c r="NCL2584" s="100"/>
      <c r="NCM2584" s="100"/>
      <c r="NCN2584" s="100"/>
      <c r="NCO2584" s="100"/>
      <c r="NCP2584" s="100"/>
      <c r="NCQ2584" s="100"/>
      <c r="NCR2584" s="100"/>
      <c r="NCS2584" s="100"/>
      <c r="NCT2584" s="100"/>
      <c r="NCU2584" s="100"/>
      <c r="NCV2584" s="100"/>
      <c r="NCW2584" s="100"/>
      <c r="NCX2584" s="100"/>
      <c r="NCY2584" s="100"/>
      <c r="NCZ2584" s="100"/>
      <c r="NDA2584" s="100"/>
      <c r="NDB2584" s="100"/>
      <c r="NDC2584" s="100"/>
      <c r="NDD2584" s="100"/>
      <c r="NDE2584" s="100"/>
      <c r="NDF2584" s="100"/>
      <c r="NDG2584" s="100"/>
      <c r="NDH2584" s="100"/>
      <c r="NDI2584" s="100"/>
      <c r="NDJ2584" s="100"/>
      <c r="NDK2584" s="100"/>
      <c r="NDL2584" s="100"/>
      <c r="NDM2584" s="100"/>
      <c r="NDN2584" s="100"/>
      <c r="NDO2584" s="100"/>
      <c r="NDP2584" s="100"/>
      <c r="NDQ2584" s="100"/>
      <c r="NDR2584" s="100"/>
      <c r="NDS2584" s="100"/>
      <c r="NDT2584" s="100"/>
      <c r="NDU2584" s="100"/>
      <c r="NDV2584" s="100"/>
      <c r="NDW2584" s="100"/>
      <c r="NDX2584" s="100"/>
      <c r="NDY2584" s="100"/>
      <c r="NDZ2584" s="100"/>
      <c r="NEA2584" s="100"/>
      <c r="NEB2584" s="100"/>
      <c r="NEC2584" s="100"/>
      <c r="NED2584" s="100"/>
      <c r="NEE2584" s="100"/>
      <c r="NEF2584" s="100"/>
      <c r="NEG2584" s="100"/>
      <c r="NEH2584" s="100"/>
      <c r="NEI2584" s="100"/>
      <c r="NEJ2584" s="100"/>
      <c r="NEK2584" s="100"/>
      <c r="NEL2584" s="100"/>
      <c r="NEM2584" s="100"/>
      <c r="NEN2584" s="100"/>
      <c r="NEO2584" s="100"/>
      <c r="NEP2584" s="100"/>
      <c r="NEQ2584" s="100"/>
      <c r="NER2584" s="100"/>
      <c r="NES2584" s="100"/>
      <c r="NET2584" s="100"/>
      <c r="NEU2584" s="100"/>
      <c r="NEV2584" s="100"/>
      <c r="NEW2584" s="100"/>
      <c r="NEX2584" s="100"/>
      <c r="NEY2584" s="100"/>
      <c r="NEZ2584" s="100"/>
      <c r="NFA2584" s="100"/>
      <c r="NFB2584" s="100"/>
      <c r="NFC2584" s="100"/>
      <c r="NFD2584" s="100"/>
      <c r="NFE2584" s="100"/>
      <c r="NFF2584" s="100"/>
      <c r="NFG2584" s="100"/>
      <c r="NFH2584" s="100"/>
      <c r="NFI2584" s="100"/>
      <c r="NFJ2584" s="100"/>
      <c r="NFK2584" s="100"/>
      <c r="NFL2584" s="100"/>
      <c r="NFM2584" s="100"/>
      <c r="NFN2584" s="100"/>
      <c r="NFO2584" s="100"/>
      <c r="NFP2584" s="100"/>
      <c r="NFQ2584" s="100"/>
      <c r="NFR2584" s="100"/>
      <c r="NFS2584" s="100"/>
      <c r="NFT2584" s="100"/>
      <c r="NFU2584" s="100"/>
      <c r="NFV2584" s="100"/>
      <c r="NFW2584" s="100"/>
      <c r="NFX2584" s="100"/>
      <c r="NFY2584" s="100"/>
      <c r="NFZ2584" s="100"/>
      <c r="NGA2584" s="100"/>
      <c r="NGB2584" s="100"/>
      <c r="NGC2584" s="100"/>
      <c r="NGD2584" s="100"/>
      <c r="NGE2584" s="100"/>
      <c r="NGF2584" s="100"/>
      <c r="NGG2584" s="100"/>
      <c r="NGH2584" s="100"/>
      <c r="NGI2584" s="100"/>
      <c r="NGJ2584" s="100"/>
      <c r="NGK2584" s="100"/>
      <c r="NGL2584" s="100"/>
      <c r="NGM2584" s="100"/>
      <c r="NGN2584" s="100"/>
      <c r="NGO2584" s="100"/>
      <c r="NGP2584" s="100"/>
      <c r="NGQ2584" s="100"/>
      <c r="NGR2584" s="100"/>
      <c r="NGS2584" s="100"/>
      <c r="NGT2584" s="100"/>
      <c r="NGU2584" s="100"/>
      <c r="NGV2584" s="100"/>
      <c r="NGW2584" s="100"/>
      <c r="NGX2584" s="100"/>
      <c r="NGY2584" s="100"/>
      <c r="NGZ2584" s="100"/>
      <c r="NHA2584" s="100"/>
      <c r="NHB2584" s="100"/>
      <c r="NHC2584" s="100"/>
      <c r="NHD2584" s="100"/>
      <c r="NHE2584" s="100"/>
      <c r="NHF2584" s="100"/>
      <c r="NHG2584" s="100"/>
      <c r="NHH2584" s="100"/>
      <c r="NHI2584" s="100"/>
      <c r="NHJ2584" s="100"/>
      <c r="NHK2584" s="100"/>
      <c r="NHL2584" s="100"/>
      <c r="NHM2584" s="100"/>
      <c r="NHN2584" s="100"/>
      <c r="NHO2584" s="100"/>
      <c r="NHP2584" s="100"/>
      <c r="NHQ2584" s="100"/>
      <c r="NHR2584" s="100"/>
      <c r="NHS2584" s="100"/>
      <c r="NHT2584" s="100"/>
      <c r="NHU2584" s="100"/>
      <c r="NHV2584" s="100"/>
      <c r="NHW2584" s="100"/>
      <c r="NHX2584" s="100"/>
      <c r="NHY2584" s="100"/>
      <c r="NHZ2584" s="100"/>
      <c r="NIA2584" s="100"/>
      <c r="NIB2584" s="100"/>
      <c r="NIC2584" s="100"/>
      <c r="NID2584" s="100"/>
      <c r="NIE2584" s="100"/>
      <c r="NIF2584" s="100"/>
      <c r="NIG2584" s="100"/>
      <c r="NIH2584" s="100"/>
      <c r="NII2584" s="100"/>
      <c r="NIJ2584" s="100"/>
      <c r="NIK2584" s="100"/>
      <c r="NIL2584" s="100"/>
      <c r="NIM2584" s="100"/>
      <c r="NIN2584" s="100"/>
      <c r="NIO2584" s="100"/>
      <c r="NIP2584" s="100"/>
      <c r="NIQ2584" s="100"/>
      <c r="NIR2584" s="100"/>
      <c r="NIS2584" s="100"/>
      <c r="NIT2584" s="100"/>
      <c r="NIU2584" s="100"/>
      <c r="NIV2584" s="100"/>
      <c r="NIW2584" s="100"/>
      <c r="NIX2584" s="100"/>
      <c r="NIY2584" s="100"/>
      <c r="NIZ2584" s="100"/>
      <c r="NJA2584" s="100"/>
      <c r="NJB2584" s="100"/>
      <c r="NJC2584" s="100"/>
      <c r="NJD2584" s="100"/>
      <c r="NJE2584" s="100"/>
      <c r="NJF2584" s="100"/>
      <c r="NJG2584" s="100"/>
      <c r="NJH2584" s="100"/>
      <c r="NJI2584" s="100"/>
      <c r="NJJ2584" s="100"/>
      <c r="NJK2584" s="100"/>
      <c r="NJL2584" s="100"/>
      <c r="NJM2584" s="100"/>
      <c r="NJN2584" s="100"/>
      <c r="NJO2584" s="100"/>
      <c r="NJP2584" s="100"/>
      <c r="NJQ2584" s="100"/>
      <c r="NJR2584" s="100"/>
      <c r="NJS2584" s="100"/>
      <c r="NJT2584" s="100"/>
      <c r="NJU2584" s="100"/>
      <c r="NJV2584" s="100"/>
      <c r="NJW2584" s="100"/>
      <c r="NJX2584" s="100"/>
      <c r="NJY2584" s="100"/>
      <c r="NJZ2584" s="100"/>
      <c r="NKA2584" s="100"/>
      <c r="NKB2584" s="100"/>
      <c r="NKC2584" s="100"/>
      <c r="NKD2584" s="100"/>
      <c r="NKE2584" s="100"/>
      <c r="NKF2584" s="100"/>
      <c r="NKG2584" s="100"/>
      <c r="NKH2584" s="100"/>
      <c r="NKI2584" s="100"/>
      <c r="NKJ2584" s="100"/>
      <c r="NKK2584" s="100"/>
      <c r="NKL2584" s="100"/>
      <c r="NKM2584" s="100"/>
      <c r="NKN2584" s="100"/>
      <c r="NKO2584" s="100"/>
      <c r="NKP2584" s="100"/>
      <c r="NKQ2584" s="100"/>
      <c r="NKR2584" s="100"/>
      <c r="NKS2584" s="100"/>
      <c r="NKT2584" s="100"/>
      <c r="NKU2584" s="100"/>
      <c r="NKV2584" s="100"/>
      <c r="NKW2584" s="100"/>
      <c r="NKX2584" s="100"/>
      <c r="NKY2584" s="100"/>
      <c r="NKZ2584" s="100"/>
      <c r="NLA2584" s="100"/>
      <c r="NLB2584" s="100"/>
      <c r="NLC2584" s="100"/>
      <c r="NLD2584" s="100"/>
      <c r="NLE2584" s="100"/>
      <c r="NLF2584" s="100"/>
      <c r="NLG2584" s="100"/>
      <c r="NLH2584" s="100"/>
      <c r="NLI2584" s="100"/>
      <c r="NLJ2584" s="100"/>
      <c r="NLK2584" s="100"/>
      <c r="NLL2584" s="100"/>
      <c r="NLM2584" s="100"/>
      <c r="NLN2584" s="100"/>
      <c r="NLO2584" s="100"/>
      <c r="NLP2584" s="100"/>
      <c r="NLQ2584" s="100"/>
      <c r="NLR2584" s="100"/>
      <c r="NLS2584" s="100"/>
      <c r="NLT2584" s="100"/>
      <c r="NLU2584" s="100"/>
      <c r="NLV2584" s="100"/>
      <c r="NLW2584" s="100"/>
      <c r="NLX2584" s="100"/>
      <c r="NLY2584" s="100"/>
      <c r="NLZ2584" s="100"/>
      <c r="NMA2584" s="100"/>
      <c r="NMB2584" s="100"/>
      <c r="NMC2584" s="100"/>
      <c r="NMD2584" s="100"/>
      <c r="NME2584" s="100"/>
      <c r="NMF2584" s="100"/>
      <c r="NMG2584" s="100"/>
      <c r="NMH2584" s="100"/>
      <c r="NMI2584" s="100"/>
      <c r="NMJ2584" s="100"/>
      <c r="NMK2584" s="100"/>
      <c r="NML2584" s="100"/>
      <c r="NMM2584" s="100"/>
      <c r="NMN2584" s="100"/>
      <c r="NMO2584" s="100"/>
      <c r="NMP2584" s="100"/>
      <c r="NMQ2584" s="100"/>
      <c r="NMR2584" s="100"/>
      <c r="NMS2584" s="100"/>
      <c r="NMT2584" s="100"/>
      <c r="NMU2584" s="100"/>
      <c r="NMV2584" s="100"/>
      <c r="NMW2584" s="100"/>
      <c r="NMX2584" s="100"/>
      <c r="NMY2584" s="100"/>
      <c r="NMZ2584" s="100"/>
      <c r="NNA2584" s="100"/>
      <c r="NNB2584" s="100"/>
      <c r="NNC2584" s="100"/>
      <c r="NND2584" s="100"/>
      <c r="NNE2584" s="100"/>
      <c r="NNF2584" s="100"/>
      <c r="NNG2584" s="100"/>
      <c r="NNH2584" s="100"/>
      <c r="NNI2584" s="100"/>
      <c r="NNJ2584" s="100"/>
      <c r="NNK2584" s="100"/>
      <c r="NNL2584" s="100"/>
      <c r="NNM2584" s="100"/>
      <c r="NNN2584" s="100"/>
      <c r="NNO2584" s="100"/>
      <c r="NNP2584" s="100"/>
      <c r="NNQ2584" s="100"/>
      <c r="NNR2584" s="100"/>
      <c r="NNS2584" s="100"/>
      <c r="NNT2584" s="100"/>
      <c r="NNU2584" s="100"/>
      <c r="NNV2584" s="100"/>
      <c r="NNW2584" s="100"/>
      <c r="NNX2584" s="100"/>
      <c r="NNY2584" s="100"/>
      <c r="NNZ2584" s="100"/>
      <c r="NOA2584" s="100"/>
      <c r="NOB2584" s="100"/>
      <c r="NOC2584" s="100"/>
      <c r="NOD2584" s="100"/>
      <c r="NOE2584" s="100"/>
      <c r="NOF2584" s="100"/>
      <c r="NOG2584" s="100"/>
      <c r="NOH2584" s="100"/>
      <c r="NOI2584" s="100"/>
      <c r="NOJ2584" s="100"/>
      <c r="NOK2584" s="100"/>
      <c r="NOL2584" s="100"/>
      <c r="NOM2584" s="100"/>
      <c r="NON2584" s="100"/>
      <c r="NOO2584" s="100"/>
      <c r="NOP2584" s="100"/>
      <c r="NOQ2584" s="100"/>
      <c r="NOR2584" s="100"/>
      <c r="NOS2584" s="100"/>
      <c r="NOT2584" s="100"/>
      <c r="NOU2584" s="100"/>
      <c r="NOV2584" s="100"/>
      <c r="NOW2584" s="100"/>
      <c r="NOX2584" s="100"/>
      <c r="NOY2584" s="100"/>
      <c r="NOZ2584" s="100"/>
      <c r="NPA2584" s="100"/>
      <c r="NPB2584" s="100"/>
      <c r="NPC2584" s="100"/>
      <c r="NPD2584" s="100"/>
      <c r="NPE2584" s="100"/>
      <c r="NPF2584" s="100"/>
      <c r="NPG2584" s="100"/>
      <c r="NPH2584" s="100"/>
      <c r="NPI2584" s="100"/>
      <c r="NPJ2584" s="100"/>
      <c r="NPK2584" s="100"/>
      <c r="NPL2584" s="100"/>
      <c r="NPM2584" s="100"/>
      <c r="NPN2584" s="100"/>
      <c r="NPO2584" s="100"/>
      <c r="NPP2584" s="100"/>
      <c r="NPQ2584" s="100"/>
      <c r="NPR2584" s="100"/>
      <c r="NPS2584" s="100"/>
      <c r="NPT2584" s="100"/>
      <c r="NPU2584" s="100"/>
      <c r="NPV2584" s="100"/>
      <c r="NPW2584" s="100"/>
      <c r="NPX2584" s="100"/>
      <c r="NPY2584" s="100"/>
      <c r="NPZ2584" s="100"/>
      <c r="NQA2584" s="100"/>
      <c r="NQB2584" s="100"/>
      <c r="NQC2584" s="100"/>
      <c r="NQD2584" s="100"/>
      <c r="NQE2584" s="100"/>
      <c r="NQF2584" s="100"/>
      <c r="NQG2584" s="100"/>
      <c r="NQH2584" s="100"/>
      <c r="NQI2584" s="100"/>
      <c r="NQJ2584" s="100"/>
      <c r="NQK2584" s="100"/>
      <c r="NQL2584" s="100"/>
      <c r="NQM2584" s="100"/>
      <c r="NQN2584" s="100"/>
      <c r="NQO2584" s="100"/>
      <c r="NQP2584" s="100"/>
      <c r="NQQ2584" s="100"/>
      <c r="NQR2584" s="100"/>
      <c r="NQS2584" s="100"/>
      <c r="NQT2584" s="100"/>
      <c r="NQU2584" s="100"/>
      <c r="NQV2584" s="100"/>
      <c r="NQW2584" s="100"/>
      <c r="NQX2584" s="100"/>
      <c r="NQY2584" s="100"/>
      <c r="NQZ2584" s="100"/>
      <c r="NRA2584" s="100"/>
      <c r="NRB2584" s="100"/>
      <c r="NRC2584" s="100"/>
      <c r="NRD2584" s="100"/>
      <c r="NRE2584" s="100"/>
      <c r="NRF2584" s="100"/>
      <c r="NRG2584" s="100"/>
      <c r="NRH2584" s="100"/>
      <c r="NRI2584" s="100"/>
      <c r="NRJ2584" s="100"/>
      <c r="NRK2584" s="100"/>
      <c r="NRL2584" s="100"/>
      <c r="NRM2584" s="100"/>
      <c r="NRN2584" s="100"/>
      <c r="NRO2584" s="100"/>
      <c r="NRP2584" s="100"/>
      <c r="NRQ2584" s="100"/>
      <c r="NRR2584" s="100"/>
      <c r="NRS2584" s="100"/>
      <c r="NRT2584" s="100"/>
      <c r="NRU2584" s="100"/>
      <c r="NRV2584" s="100"/>
      <c r="NRW2584" s="100"/>
      <c r="NRX2584" s="100"/>
      <c r="NRY2584" s="100"/>
      <c r="NRZ2584" s="100"/>
      <c r="NSA2584" s="100"/>
      <c r="NSB2584" s="100"/>
      <c r="NSC2584" s="100"/>
      <c r="NSD2584" s="100"/>
      <c r="NSE2584" s="100"/>
      <c r="NSF2584" s="100"/>
      <c r="NSG2584" s="100"/>
      <c r="NSH2584" s="100"/>
      <c r="NSI2584" s="100"/>
      <c r="NSJ2584" s="100"/>
      <c r="NSK2584" s="100"/>
      <c r="NSL2584" s="100"/>
      <c r="NSM2584" s="100"/>
      <c r="NSN2584" s="100"/>
      <c r="NSO2584" s="100"/>
      <c r="NSP2584" s="100"/>
      <c r="NSQ2584" s="100"/>
      <c r="NSR2584" s="100"/>
      <c r="NSS2584" s="100"/>
      <c r="NST2584" s="100"/>
      <c r="NSU2584" s="100"/>
      <c r="NSV2584" s="100"/>
      <c r="NSW2584" s="100"/>
      <c r="NSX2584" s="100"/>
      <c r="NSY2584" s="100"/>
      <c r="NSZ2584" s="100"/>
      <c r="NTA2584" s="100"/>
      <c r="NTB2584" s="100"/>
      <c r="NTC2584" s="100"/>
      <c r="NTD2584" s="100"/>
      <c r="NTE2584" s="100"/>
      <c r="NTF2584" s="100"/>
      <c r="NTG2584" s="100"/>
      <c r="NTH2584" s="100"/>
      <c r="NTI2584" s="100"/>
      <c r="NTJ2584" s="100"/>
      <c r="NTK2584" s="100"/>
      <c r="NTL2584" s="100"/>
      <c r="NTM2584" s="100"/>
      <c r="NTN2584" s="100"/>
      <c r="NTO2584" s="100"/>
      <c r="NTP2584" s="100"/>
      <c r="NTQ2584" s="100"/>
      <c r="NTR2584" s="100"/>
      <c r="NTS2584" s="100"/>
      <c r="NTT2584" s="100"/>
      <c r="NTU2584" s="100"/>
      <c r="NTV2584" s="100"/>
      <c r="NTW2584" s="100"/>
      <c r="NTX2584" s="100"/>
      <c r="NTY2584" s="100"/>
      <c r="NTZ2584" s="100"/>
      <c r="NUA2584" s="100"/>
      <c r="NUB2584" s="100"/>
      <c r="NUC2584" s="100"/>
      <c r="NUD2584" s="100"/>
      <c r="NUE2584" s="100"/>
      <c r="NUF2584" s="100"/>
      <c r="NUG2584" s="100"/>
      <c r="NUH2584" s="100"/>
      <c r="NUI2584" s="100"/>
      <c r="NUJ2584" s="100"/>
      <c r="NUK2584" s="100"/>
      <c r="NUL2584" s="100"/>
      <c r="NUM2584" s="100"/>
      <c r="NUN2584" s="100"/>
      <c r="NUO2584" s="100"/>
      <c r="NUP2584" s="100"/>
      <c r="NUQ2584" s="100"/>
      <c r="NUR2584" s="100"/>
      <c r="NUS2584" s="100"/>
      <c r="NUT2584" s="100"/>
      <c r="NUU2584" s="100"/>
      <c r="NUV2584" s="100"/>
      <c r="NUW2584" s="100"/>
      <c r="NUX2584" s="100"/>
      <c r="NUY2584" s="100"/>
      <c r="NUZ2584" s="100"/>
      <c r="NVA2584" s="100"/>
      <c r="NVB2584" s="100"/>
      <c r="NVC2584" s="100"/>
      <c r="NVD2584" s="100"/>
      <c r="NVE2584" s="100"/>
      <c r="NVF2584" s="100"/>
      <c r="NVG2584" s="100"/>
      <c r="NVH2584" s="100"/>
      <c r="NVI2584" s="100"/>
      <c r="NVJ2584" s="100"/>
      <c r="NVK2584" s="100"/>
      <c r="NVL2584" s="100"/>
      <c r="NVM2584" s="100"/>
      <c r="NVN2584" s="100"/>
      <c r="NVO2584" s="100"/>
      <c r="NVP2584" s="100"/>
      <c r="NVQ2584" s="100"/>
      <c r="NVR2584" s="100"/>
      <c r="NVS2584" s="100"/>
      <c r="NVT2584" s="100"/>
      <c r="NVU2584" s="100"/>
      <c r="NVV2584" s="100"/>
      <c r="NVW2584" s="100"/>
      <c r="NVX2584" s="100"/>
      <c r="NVY2584" s="100"/>
      <c r="NVZ2584" s="100"/>
      <c r="NWA2584" s="100"/>
      <c r="NWB2584" s="100"/>
      <c r="NWC2584" s="100"/>
      <c r="NWD2584" s="100"/>
      <c r="NWE2584" s="100"/>
      <c r="NWF2584" s="100"/>
      <c r="NWG2584" s="100"/>
      <c r="NWH2584" s="100"/>
      <c r="NWI2584" s="100"/>
      <c r="NWJ2584" s="100"/>
      <c r="NWK2584" s="100"/>
      <c r="NWL2584" s="100"/>
      <c r="NWM2584" s="100"/>
      <c r="NWN2584" s="100"/>
      <c r="NWO2584" s="100"/>
      <c r="NWP2584" s="100"/>
      <c r="NWQ2584" s="100"/>
      <c r="NWR2584" s="100"/>
      <c r="NWS2584" s="100"/>
      <c r="NWT2584" s="100"/>
      <c r="NWU2584" s="100"/>
      <c r="NWV2584" s="100"/>
      <c r="NWW2584" s="100"/>
      <c r="NWX2584" s="100"/>
      <c r="NWY2584" s="100"/>
      <c r="NWZ2584" s="100"/>
      <c r="NXA2584" s="100"/>
      <c r="NXB2584" s="100"/>
      <c r="NXC2584" s="100"/>
      <c r="NXD2584" s="100"/>
      <c r="NXE2584" s="100"/>
      <c r="NXF2584" s="100"/>
      <c r="NXG2584" s="100"/>
      <c r="NXH2584" s="100"/>
      <c r="NXI2584" s="100"/>
      <c r="NXJ2584" s="100"/>
      <c r="NXK2584" s="100"/>
      <c r="NXL2584" s="100"/>
      <c r="NXM2584" s="100"/>
      <c r="NXN2584" s="100"/>
      <c r="NXO2584" s="100"/>
      <c r="NXP2584" s="100"/>
      <c r="NXQ2584" s="100"/>
      <c r="NXR2584" s="100"/>
      <c r="NXS2584" s="100"/>
      <c r="NXT2584" s="100"/>
      <c r="NXU2584" s="100"/>
      <c r="NXV2584" s="100"/>
      <c r="NXW2584" s="100"/>
      <c r="NXX2584" s="100"/>
      <c r="NXY2584" s="100"/>
      <c r="NXZ2584" s="100"/>
      <c r="NYA2584" s="100"/>
      <c r="NYB2584" s="100"/>
      <c r="NYC2584" s="100"/>
      <c r="NYD2584" s="100"/>
      <c r="NYE2584" s="100"/>
      <c r="NYF2584" s="100"/>
      <c r="NYG2584" s="100"/>
      <c r="NYH2584" s="100"/>
      <c r="NYI2584" s="100"/>
      <c r="NYJ2584" s="100"/>
      <c r="NYK2584" s="100"/>
      <c r="NYL2584" s="100"/>
      <c r="NYM2584" s="100"/>
      <c r="NYN2584" s="100"/>
      <c r="NYO2584" s="100"/>
      <c r="NYP2584" s="100"/>
      <c r="NYQ2584" s="100"/>
      <c r="NYR2584" s="100"/>
      <c r="NYS2584" s="100"/>
      <c r="NYT2584" s="100"/>
      <c r="NYU2584" s="100"/>
      <c r="NYV2584" s="100"/>
      <c r="NYW2584" s="100"/>
      <c r="NYX2584" s="100"/>
      <c r="NYY2584" s="100"/>
      <c r="NYZ2584" s="100"/>
      <c r="NZA2584" s="100"/>
      <c r="NZB2584" s="100"/>
      <c r="NZC2584" s="100"/>
      <c r="NZD2584" s="100"/>
      <c r="NZE2584" s="100"/>
      <c r="NZF2584" s="100"/>
      <c r="NZG2584" s="100"/>
      <c r="NZH2584" s="100"/>
      <c r="NZI2584" s="100"/>
      <c r="NZJ2584" s="100"/>
      <c r="NZK2584" s="100"/>
      <c r="NZL2584" s="100"/>
      <c r="NZM2584" s="100"/>
      <c r="NZN2584" s="100"/>
      <c r="NZO2584" s="100"/>
      <c r="NZP2584" s="100"/>
      <c r="NZQ2584" s="100"/>
      <c r="NZR2584" s="100"/>
      <c r="NZS2584" s="100"/>
      <c r="NZT2584" s="100"/>
      <c r="NZU2584" s="100"/>
      <c r="NZV2584" s="100"/>
      <c r="NZW2584" s="100"/>
      <c r="NZX2584" s="100"/>
      <c r="NZY2584" s="100"/>
      <c r="NZZ2584" s="100"/>
      <c r="OAA2584" s="100"/>
      <c r="OAB2584" s="100"/>
      <c r="OAC2584" s="100"/>
      <c r="OAD2584" s="100"/>
      <c r="OAE2584" s="100"/>
      <c r="OAF2584" s="100"/>
      <c r="OAG2584" s="100"/>
      <c r="OAH2584" s="100"/>
      <c r="OAI2584" s="100"/>
      <c r="OAJ2584" s="100"/>
      <c r="OAK2584" s="100"/>
      <c r="OAL2584" s="100"/>
      <c r="OAM2584" s="100"/>
      <c r="OAN2584" s="100"/>
      <c r="OAO2584" s="100"/>
      <c r="OAP2584" s="100"/>
      <c r="OAQ2584" s="100"/>
      <c r="OAR2584" s="100"/>
      <c r="OAS2584" s="100"/>
      <c r="OAT2584" s="100"/>
      <c r="OAU2584" s="100"/>
      <c r="OAV2584" s="100"/>
      <c r="OAW2584" s="100"/>
      <c r="OAX2584" s="100"/>
      <c r="OAY2584" s="100"/>
      <c r="OAZ2584" s="100"/>
      <c r="OBA2584" s="100"/>
      <c r="OBB2584" s="100"/>
      <c r="OBC2584" s="100"/>
      <c r="OBD2584" s="100"/>
      <c r="OBE2584" s="100"/>
      <c r="OBF2584" s="100"/>
      <c r="OBG2584" s="100"/>
      <c r="OBH2584" s="100"/>
      <c r="OBI2584" s="100"/>
      <c r="OBJ2584" s="100"/>
      <c r="OBK2584" s="100"/>
      <c r="OBL2584" s="100"/>
      <c r="OBM2584" s="100"/>
      <c r="OBN2584" s="100"/>
      <c r="OBO2584" s="100"/>
      <c r="OBP2584" s="100"/>
      <c r="OBQ2584" s="100"/>
      <c r="OBR2584" s="100"/>
      <c r="OBS2584" s="100"/>
      <c r="OBT2584" s="100"/>
      <c r="OBU2584" s="100"/>
      <c r="OBV2584" s="100"/>
      <c r="OBW2584" s="100"/>
      <c r="OBX2584" s="100"/>
      <c r="OBY2584" s="100"/>
      <c r="OBZ2584" s="100"/>
      <c r="OCA2584" s="100"/>
      <c r="OCB2584" s="100"/>
      <c r="OCC2584" s="100"/>
      <c r="OCD2584" s="100"/>
      <c r="OCE2584" s="100"/>
      <c r="OCF2584" s="100"/>
      <c r="OCG2584" s="100"/>
      <c r="OCH2584" s="100"/>
      <c r="OCI2584" s="100"/>
      <c r="OCJ2584" s="100"/>
      <c r="OCK2584" s="100"/>
      <c r="OCL2584" s="100"/>
      <c r="OCM2584" s="100"/>
      <c r="OCN2584" s="100"/>
      <c r="OCO2584" s="100"/>
      <c r="OCP2584" s="100"/>
      <c r="OCQ2584" s="100"/>
      <c r="OCR2584" s="100"/>
      <c r="OCS2584" s="100"/>
      <c r="OCT2584" s="100"/>
      <c r="OCU2584" s="100"/>
      <c r="OCV2584" s="100"/>
      <c r="OCW2584" s="100"/>
      <c r="OCX2584" s="100"/>
      <c r="OCY2584" s="100"/>
      <c r="OCZ2584" s="100"/>
      <c r="ODA2584" s="100"/>
      <c r="ODB2584" s="100"/>
      <c r="ODC2584" s="100"/>
      <c r="ODD2584" s="100"/>
      <c r="ODE2584" s="100"/>
      <c r="ODF2584" s="100"/>
      <c r="ODG2584" s="100"/>
      <c r="ODH2584" s="100"/>
      <c r="ODI2584" s="100"/>
      <c r="ODJ2584" s="100"/>
      <c r="ODK2584" s="100"/>
      <c r="ODL2584" s="100"/>
      <c r="ODM2584" s="100"/>
      <c r="ODN2584" s="100"/>
      <c r="ODO2584" s="100"/>
      <c r="ODP2584" s="100"/>
      <c r="ODQ2584" s="100"/>
      <c r="ODR2584" s="100"/>
      <c r="ODS2584" s="100"/>
      <c r="ODT2584" s="100"/>
      <c r="ODU2584" s="100"/>
      <c r="ODV2584" s="100"/>
      <c r="ODW2584" s="100"/>
      <c r="ODX2584" s="100"/>
      <c r="ODY2584" s="100"/>
      <c r="ODZ2584" s="100"/>
      <c r="OEA2584" s="100"/>
      <c r="OEB2584" s="100"/>
      <c r="OEC2584" s="100"/>
      <c r="OED2584" s="100"/>
      <c r="OEE2584" s="100"/>
      <c r="OEF2584" s="100"/>
      <c r="OEG2584" s="100"/>
      <c r="OEH2584" s="100"/>
      <c r="OEI2584" s="100"/>
      <c r="OEJ2584" s="100"/>
      <c r="OEK2584" s="100"/>
      <c r="OEL2584" s="100"/>
      <c r="OEM2584" s="100"/>
      <c r="OEN2584" s="100"/>
      <c r="OEO2584" s="100"/>
      <c r="OEP2584" s="100"/>
      <c r="OEQ2584" s="100"/>
      <c r="OER2584" s="100"/>
      <c r="OES2584" s="100"/>
      <c r="OET2584" s="100"/>
      <c r="OEU2584" s="100"/>
      <c r="OEV2584" s="100"/>
      <c r="OEW2584" s="100"/>
      <c r="OEX2584" s="100"/>
      <c r="OEY2584" s="100"/>
      <c r="OEZ2584" s="100"/>
      <c r="OFA2584" s="100"/>
      <c r="OFB2584" s="100"/>
      <c r="OFC2584" s="100"/>
      <c r="OFD2584" s="100"/>
      <c r="OFE2584" s="100"/>
      <c r="OFF2584" s="100"/>
      <c r="OFG2584" s="100"/>
      <c r="OFH2584" s="100"/>
      <c r="OFI2584" s="100"/>
      <c r="OFJ2584" s="100"/>
      <c r="OFK2584" s="100"/>
      <c r="OFL2584" s="100"/>
      <c r="OFM2584" s="100"/>
      <c r="OFN2584" s="100"/>
      <c r="OFO2584" s="100"/>
      <c r="OFP2584" s="100"/>
      <c r="OFQ2584" s="100"/>
      <c r="OFR2584" s="100"/>
      <c r="OFS2584" s="100"/>
      <c r="OFT2584" s="100"/>
      <c r="OFU2584" s="100"/>
      <c r="OFV2584" s="100"/>
      <c r="OFW2584" s="100"/>
      <c r="OFX2584" s="100"/>
      <c r="OFY2584" s="100"/>
      <c r="OFZ2584" s="100"/>
      <c r="OGA2584" s="100"/>
      <c r="OGB2584" s="100"/>
      <c r="OGC2584" s="100"/>
      <c r="OGD2584" s="100"/>
      <c r="OGE2584" s="100"/>
      <c r="OGF2584" s="100"/>
      <c r="OGG2584" s="100"/>
      <c r="OGH2584" s="100"/>
      <c r="OGI2584" s="100"/>
      <c r="OGJ2584" s="100"/>
      <c r="OGK2584" s="100"/>
      <c r="OGL2584" s="100"/>
      <c r="OGM2584" s="100"/>
      <c r="OGN2584" s="100"/>
      <c r="OGO2584" s="100"/>
      <c r="OGP2584" s="100"/>
      <c r="OGQ2584" s="100"/>
      <c r="OGR2584" s="100"/>
      <c r="OGS2584" s="100"/>
      <c r="OGT2584" s="100"/>
      <c r="OGU2584" s="100"/>
      <c r="OGV2584" s="100"/>
      <c r="OGW2584" s="100"/>
      <c r="OGX2584" s="100"/>
      <c r="OGY2584" s="100"/>
      <c r="OGZ2584" s="100"/>
      <c r="OHA2584" s="100"/>
      <c r="OHB2584" s="100"/>
      <c r="OHC2584" s="100"/>
      <c r="OHD2584" s="100"/>
      <c r="OHE2584" s="100"/>
      <c r="OHF2584" s="100"/>
      <c r="OHG2584" s="100"/>
      <c r="OHH2584" s="100"/>
      <c r="OHI2584" s="100"/>
      <c r="OHJ2584" s="100"/>
      <c r="OHK2584" s="100"/>
      <c r="OHL2584" s="100"/>
      <c r="OHM2584" s="100"/>
      <c r="OHN2584" s="100"/>
      <c r="OHO2584" s="100"/>
      <c r="OHP2584" s="100"/>
      <c r="OHQ2584" s="100"/>
      <c r="OHR2584" s="100"/>
      <c r="OHS2584" s="100"/>
      <c r="OHT2584" s="100"/>
      <c r="OHU2584" s="100"/>
      <c r="OHV2584" s="100"/>
      <c r="OHW2584" s="100"/>
      <c r="OHX2584" s="100"/>
      <c r="OHY2584" s="100"/>
      <c r="OHZ2584" s="100"/>
      <c r="OIA2584" s="100"/>
      <c r="OIB2584" s="100"/>
      <c r="OIC2584" s="100"/>
      <c r="OID2584" s="100"/>
      <c r="OIE2584" s="100"/>
      <c r="OIF2584" s="100"/>
      <c r="OIG2584" s="100"/>
      <c r="OIH2584" s="100"/>
      <c r="OII2584" s="100"/>
      <c r="OIJ2584" s="100"/>
      <c r="OIK2584" s="100"/>
      <c r="OIL2584" s="100"/>
      <c r="OIM2584" s="100"/>
      <c r="OIN2584" s="100"/>
      <c r="OIO2584" s="100"/>
      <c r="OIP2584" s="100"/>
      <c r="OIQ2584" s="100"/>
      <c r="OIR2584" s="100"/>
      <c r="OIS2584" s="100"/>
      <c r="OIT2584" s="100"/>
      <c r="OIU2584" s="100"/>
      <c r="OIV2584" s="100"/>
      <c r="OIW2584" s="100"/>
      <c r="OIX2584" s="100"/>
      <c r="OIY2584" s="100"/>
      <c r="OIZ2584" s="100"/>
      <c r="OJA2584" s="100"/>
      <c r="OJB2584" s="100"/>
      <c r="OJC2584" s="100"/>
      <c r="OJD2584" s="100"/>
      <c r="OJE2584" s="100"/>
      <c r="OJF2584" s="100"/>
      <c r="OJG2584" s="100"/>
      <c r="OJH2584" s="100"/>
      <c r="OJI2584" s="100"/>
      <c r="OJJ2584" s="100"/>
      <c r="OJK2584" s="100"/>
      <c r="OJL2584" s="100"/>
      <c r="OJM2584" s="100"/>
      <c r="OJN2584" s="100"/>
      <c r="OJO2584" s="100"/>
      <c r="OJP2584" s="100"/>
      <c r="OJQ2584" s="100"/>
      <c r="OJR2584" s="100"/>
      <c r="OJS2584" s="100"/>
      <c r="OJT2584" s="100"/>
      <c r="OJU2584" s="100"/>
      <c r="OJV2584" s="100"/>
      <c r="OJW2584" s="100"/>
      <c r="OJX2584" s="100"/>
      <c r="OJY2584" s="100"/>
      <c r="OJZ2584" s="100"/>
      <c r="OKA2584" s="100"/>
      <c r="OKB2584" s="100"/>
      <c r="OKC2584" s="100"/>
      <c r="OKD2584" s="100"/>
      <c r="OKE2584" s="100"/>
      <c r="OKF2584" s="100"/>
      <c r="OKG2584" s="100"/>
      <c r="OKH2584" s="100"/>
      <c r="OKI2584" s="100"/>
      <c r="OKJ2584" s="100"/>
      <c r="OKK2584" s="100"/>
      <c r="OKL2584" s="100"/>
      <c r="OKM2584" s="100"/>
      <c r="OKN2584" s="100"/>
      <c r="OKO2584" s="100"/>
      <c r="OKP2584" s="100"/>
      <c r="OKQ2584" s="100"/>
      <c r="OKR2584" s="100"/>
      <c r="OKS2584" s="100"/>
      <c r="OKT2584" s="100"/>
      <c r="OKU2584" s="100"/>
      <c r="OKV2584" s="100"/>
      <c r="OKW2584" s="100"/>
      <c r="OKX2584" s="100"/>
      <c r="OKY2584" s="100"/>
      <c r="OKZ2584" s="100"/>
      <c r="OLA2584" s="100"/>
      <c r="OLB2584" s="100"/>
      <c r="OLC2584" s="100"/>
      <c r="OLD2584" s="100"/>
      <c r="OLE2584" s="100"/>
      <c r="OLF2584" s="100"/>
      <c r="OLG2584" s="100"/>
      <c r="OLH2584" s="100"/>
      <c r="OLI2584" s="100"/>
      <c r="OLJ2584" s="100"/>
      <c r="OLK2584" s="100"/>
      <c r="OLL2584" s="100"/>
      <c r="OLM2584" s="100"/>
      <c r="OLN2584" s="100"/>
      <c r="OLO2584" s="100"/>
      <c r="OLP2584" s="100"/>
      <c r="OLQ2584" s="100"/>
      <c r="OLR2584" s="100"/>
      <c r="OLS2584" s="100"/>
      <c r="OLT2584" s="100"/>
      <c r="OLU2584" s="100"/>
      <c r="OLV2584" s="100"/>
      <c r="OLW2584" s="100"/>
      <c r="OLX2584" s="100"/>
      <c r="OLY2584" s="100"/>
      <c r="OLZ2584" s="100"/>
      <c r="OMA2584" s="100"/>
      <c r="OMB2584" s="100"/>
      <c r="OMC2584" s="100"/>
      <c r="OMD2584" s="100"/>
      <c r="OME2584" s="100"/>
      <c r="OMF2584" s="100"/>
      <c r="OMG2584" s="100"/>
      <c r="OMH2584" s="100"/>
      <c r="OMI2584" s="100"/>
      <c r="OMJ2584" s="100"/>
      <c r="OMK2584" s="100"/>
      <c r="OML2584" s="100"/>
      <c r="OMM2584" s="100"/>
      <c r="OMN2584" s="100"/>
      <c r="OMO2584" s="100"/>
      <c r="OMP2584" s="100"/>
      <c r="OMQ2584" s="100"/>
      <c r="OMR2584" s="100"/>
      <c r="OMS2584" s="100"/>
      <c r="OMT2584" s="100"/>
      <c r="OMU2584" s="100"/>
      <c r="OMV2584" s="100"/>
      <c r="OMW2584" s="100"/>
      <c r="OMX2584" s="100"/>
      <c r="OMY2584" s="100"/>
      <c r="OMZ2584" s="100"/>
      <c r="ONA2584" s="100"/>
      <c r="ONB2584" s="100"/>
      <c r="ONC2584" s="100"/>
      <c r="OND2584" s="100"/>
      <c r="ONE2584" s="100"/>
      <c r="ONF2584" s="100"/>
      <c r="ONG2584" s="100"/>
      <c r="ONH2584" s="100"/>
      <c r="ONI2584" s="100"/>
      <c r="ONJ2584" s="100"/>
      <c r="ONK2584" s="100"/>
      <c r="ONL2584" s="100"/>
      <c r="ONM2584" s="100"/>
      <c r="ONN2584" s="100"/>
      <c r="ONO2584" s="100"/>
      <c r="ONP2584" s="100"/>
      <c r="ONQ2584" s="100"/>
      <c r="ONR2584" s="100"/>
      <c r="ONS2584" s="100"/>
      <c r="ONT2584" s="100"/>
      <c r="ONU2584" s="100"/>
      <c r="ONV2584" s="100"/>
      <c r="ONW2584" s="100"/>
      <c r="ONX2584" s="100"/>
      <c r="ONY2584" s="100"/>
      <c r="ONZ2584" s="100"/>
      <c r="OOA2584" s="100"/>
      <c r="OOB2584" s="100"/>
      <c r="OOC2584" s="100"/>
      <c r="OOD2584" s="100"/>
      <c r="OOE2584" s="100"/>
      <c r="OOF2584" s="100"/>
      <c r="OOG2584" s="100"/>
      <c r="OOH2584" s="100"/>
      <c r="OOI2584" s="100"/>
      <c r="OOJ2584" s="100"/>
      <c r="OOK2584" s="100"/>
      <c r="OOL2584" s="100"/>
      <c r="OOM2584" s="100"/>
      <c r="OON2584" s="100"/>
      <c r="OOO2584" s="100"/>
      <c r="OOP2584" s="100"/>
      <c r="OOQ2584" s="100"/>
      <c r="OOR2584" s="100"/>
      <c r="OOS2584" s="100"/>
      <c r="OOT2584" s="100"/>
      <c r="OOU2584" s="100"/>
      <c r="OOV2584" s="100"/>
      <c r="OOW2584" s="100"/>
      <c r="OOX2584" s="100"/>
      <c r="OOY2584" s="100"/>
      <c r="OOZ2584" s="100"/>
      <c r="OPA2584" s="100"/>
      <c r="OPB2584" s="100"/>
      <c r="OPC2584" s="100"/>
      <c r="OPD2584" s="100"/>
      <c r="OPE2584" s="100"/>
      <c r="OPF2584" s="100"/>
      <c r="OPG2584" s="100"/>
      <c r="OPH2584" s="100"/>
      <c r="OPI2584" s="100"/>
      <c r="OPJ2584" s="100"/>
      <c r="OPK2584" s="100"/>
      <c r="OPL2584" s="100"/>
      <c r="OPM2584" s="100"/>
      <c r="OPN2584" s="100"/>
      <c r="OPO2584" s="100"/>
      <c r="OPP2584" s="100"/>
      <c r="OPQ2584" s="100"/>
      <c r="OPR2584" s="100"/>
      <c r="OPS2584" s="100"/>
      <c r="OPT2584" s="100"/>
      <c r="OPU2584" s="100"/>
      <c r="OPV2584" s="100"/>
      <c r="OPW2584" s="100"/>
      <c r="OPX2584" s="100"/>
      <c r="OPY2584" s="100"/>
      <c r="OPZ2584" s="100"/>
      <c r="OQA2584" s="100"/>
      <c r="OQB2584" s="100"/>
      <c r="OQC2584" s="100"/>
      <c r="OQD2584" s="100"/>
      <c r="OQE2584" s="100"/>
      <c r="OQF2584" s="100"/>
      <c r="OQG2584" s="100"/>
      <c r="OQH2584" s="100"/>
      <c r="OQI2584" s="100"/>
      <c r="OQJ2584" s="100"/>
      <c r="OQK2584" s="100"/>
      <c r="OQL2584" s="100"/>
      <c r="OQM2584" s="100"/>
      <c r="OQN2584" s="100"/>
      <c r="OQO2584" s="100"/>
      <c r="OQP2584" s="100"/>
      <c r="OQQ2584" s="100"/>
      <c r="OQR2584" s="100"/>
      <c r="OQS2584" s="100"/>
      <c r="OQT2584" s="100"/>
      <c r="OQU2584" s="100"/>
      <c r="OQV2584" s="100"/>
      <c r="OQW2584" s="100"/>
      <c r="OQX2584" s="100"/>
      <c r="OQY2584" s="100"/>
      <c r="OQZ2584" s="100"/>
      <c r="ORA2584" s="100"/>
      <c r="ORB2584" s="100"/>
      <c r="ORC2584" s="100"/>
      <c r="ORD2584" s="100"/>
      <c r="ORE2584" s="100"/>
      <c r="ORF2584" s="100"/>
      <c r="ORG2584" s="100"/>
      <c r="ORH2584" s="100"/>
      <c r="ORI2584" s="100"/>
      <c r="ORJ2584" s="100"/>
      <c r="ORK2584" s="100"/>
      <c r="ORL2584" s="100"/>
      <c r="ORM2584" s="100"/>
      <c r="ORN2584" s="100"/>
      <c r="ORO2584" s="100"/>
      <c r="ORP2584" s="100"/>
      <c r="ORQ2584" s="100"/>
      <c r="ORR2584" s="100"/>
      <c r="ORS2584" s="100"/>
      <c r="ORT2584" s="100"/>
      <c r="ORU2584" s="100"/>
      <c r="ORV2584" s="100"/>
      <c r="ORW2584" s="100"/>
      <c r="ORX2584" s="100"/>
      <c r="ORY2584" s="100"/>
      <c r="ORZ2584" s="100"/>
      <c r="OSA2584" s="100"/>
      <c r="OSB2584" s="100"/>
      <c r="OSC2584" s="100"/>
      <c r="OSD2584" s="100"/>
      <c r="OSE2584" s="100"/>
      <c r="OSF2584" s="100"/>
      <c r="OSG2584" s="100"/>
      <c r="OSH2584" s="100"/>
      <c r="OSI2584" s="100"/>
      <c r="OSJ2584" s="100"/>
      <c r="OSK2584" s="100"/>
      <c r="OSL2584" s="100"/>
      <c r="OSM2584" s="100"/>
      <c r="OSN2584" s="100"/>
      <c r="OSO2584" s="100"/>
      <c r="OSP2584" s="100"/>
      <c r="OSQ2584" s="100"/>
      <c r="OSR2584" s="100"/>
      <c r="OSS2584" s="100"/>
      <c r="OST2584" s="100"/>
      <c r="OSU2584" s="100"/>
      <c r="OSV2584" s="100"/>
      <c r="OSW2584" s="100"/>
      <c r="OSX2584" s="100"/>
      <c r="OSY2584" s="100"/>
      <c r="OSZ2584" s="100"/>
      <c r="OTA2584" s="100"/>
      <c r="OTB2584" s="100"/>
      <c r="OTC2584" s="100"/>
      <c r="OTD2584" s="100"/>
      <c r="OTE2584" s="100"/>
      <c r="OTF2584" s="100"/>
      <c r="OTG2584" s="100"/>
      <c r="OTH2584" s="100"/>
      <c r="OTI2584" s="100"/>
      <c r="OTJ2584" s="100"/>
      <c r="OTK2584" s="100"/>
      <c r="OTL2584" s="100"/>
      <c r="OTM2584" s="100"/>
      <c r="OTN2584" s="100"/>
      <c r="OTO2584" s="100"/>
      <c r="OTP2584" s="100"/>
      <c r="OTQ2584" s="100"/>
      <c r="OTR2584" s="100"/>
      <c r="OTS2584" s="100"/>
      <c r="OTT2584" s="100"/>
      <c r="OTU2584" s="100"/>
      <c r="OTV2584" s="100"/>
      <c r="OTW2584" s="100"/>
      <c r="OTX2584" s="100"/>
      <c r="OTY2584" s="100"/>
      <c r="OTZ2584" s="100"/>
      <c r="OUA2584" s="100"/>
      <c r="OUB2584" s="100"/>
      <c r="OUC2584" s="100"/>
      <c r="OUD2584" s="100"/>
      <c r="OUE2584" s="100"/>
      <c r="OUF2584" s="100"/>
      <c r="OUG2584" s="100"/>
      <c r="OUH2584" s="100"/>
      <c r="OUI2584" s="100"/>
      <c r="OUJ2584" s="100"/>
      <c r="OUK2584" s="100"/>
      <c r="OUL2584" s="100"/>
      <c r="OUM2584" s="100"/>
      <c r="OUN2584" s="100"/>
      <c r="OUO2584" s="100"/>
      <c r="OUP2584" s="100"/>
      <c r="OUQ2584" s="100"/>
      <c r="OUR2584" s="100"/>
      <c r="OUS2584" s="100"/>
      <c r="OUT2584" s="100"/>
      <c r="OUU2584" s="100"/>
      <c r="OUV2584" s="100"/>
      <c r="OUW2584" s="100"/>
      <c r="OUX2584" s="100"/>
      <c r="OUY2584" s="100"/>
      <c r="OUZ2584" s="100"/>
      <c r="OVA2584" s="100"/>
      <c r="OVB2584" s="100"/>
      <c r="OVC2584" s="100"/>
      <c r="OVD2584" s="100"/>
      <c r="OVE2584" s="100"/>
      <c r="OVF2584" s="100"/>
      <c r="OVG2584" s="100"/>
      <c r="OVH2584" s="100"/>
      <c r="OVI2584" s="100"/>
      <c r="OVJ2584" s="100"/>
      <c r="OVK2584" s="100"/>
      <c r="OVL2584" s="100"/>
      <c r="OVM2584" s="100"/>
      <c r="OVN2584" s="100"/>
      <c r="OVO2584" s="100"/>
      <c r="OVP2584" s="100"/>
      <c r="OVQ2584" s="100"/>
      <c r="OVR2584" s="100"/>
      <c r="OVS2584" s="100"/>
      <c r="OVT2584" s="100"/>
      <c r="OVU2584" s="100"/>
      <c r="OVV2584" s="100"/>
      <c r="OVW2584" s="100"/>
      <c r="OVX2584" s="100"/>
      <c r="OVY2584" s="100"/>
      <c r="OVZ2584" s="100"/>
      <c r="OWA2584" s="100"/>
      <c r="OWB2584" s="100"/>
      <c r="OWC2584" s="100"/>
      <c r="OWD2584" s="100"/>
      <c r="OWE2584" s="100"/>
      <c r="OWF2584" s="100"/>
      <c r="OWG2584" s="100"/>
      <c r="OWH2584" s="100"/>
      <c r="OWI2584" s="100"/>
      <c r="OWJ2584" s="100"/>
      <c r="OWK2584" s="100"/>
      <c r="OWL2584" s="100"/>
      <c r="OWM2584" s="100"/>
      <c r="OWN2584" s="100"/>
      <c r="OWO2584" s="100"/>
      <c r="OWP2584" s="100"/>
      <c r="OWQ2584" s="100"/>
      <c r="OWR2584" s="100"/>
      <c r="OWS2584" s="100"/>
      <c r="OWT2584" s="100"/>
      <c r="OWU2584" s="100"/>
      <c r="OWV2584" s="100"/>
      <c r="OWW2584" s="100"/>
      <c r="OWX2584" s="100"/>
      <c r="OWY2584" s="100"/>
      <c r="OWZ2584" s="100"/>
      <c r="OXA2584" s="100"/>
      <c r="OXB2584" s="100"/>
      <c r="OXC2584" s="100"/>
      <c r="OXD2584" s="100"/>
      <c r="OXE2584" s="100"/>
      <c r="OXF2584" s="100"/>
      <c r="OXG2584" s="100"/>
      <c r="OXH2584" s="100"/>
      <c r="OXI2584" s="100"/>
      <c r="OXJ2584" s="100"/>
      <c r="OXK2584" s="100"/>
      <c r="OXL2584" s="100"/>
      <c r="OXM2584" s="100"/>
      <c r="OXN2584" s="100"/>
      <c r="OXO2584" s="100"/>
      <c r="OXP2584" s="100"/>
      <c r="OXQ2584" s="100"/>
      <c r="OXR2584" s="100"/>
      <c r="OXS2584" s="100"/>
      <c r="OXT2584" s="100"/>
      <c r="OXU2584" s="100"/>
      <c r="OXV2584" s="100"/>
      <c r="OXW2584" s="100"/>
      <c r="OXX2584" s="100"/>
      <c r="OXY2584" s="100"/>
      <c r="OXZ2584" s="100"/>
      <c r="OYA2584" s="100"/>
      <c r="OYB2584" s="100"/>
      <c r="OYC2584" s="100"/>
      <c r="OYD2584" s="100"/>
      <c r="OYE2584" s="100"/>
      <c r="OYF2584" s="100"/>
      <c r="OYG2584" s="100"/>
      <c r="OYH2584" s="100"/>
      <c r="OYI2584" s="100"/>
      <c r="OYJ2584" s="100"/>
      <c r="OYK2584" s="100"/>
      <c r="OYL2584" s="100"/>
      <c r="OYM2584" s="100"/>
      <c r="OYN2584" s="100"/>
      <c r="OYO2584" s="100"/>
      <c r="OYP2584" s="100"/>
      <c r="OYQ2584" s="100"/>
      <c r="OYR2584" s="100"/>
      <c r="OYS2584" s="100"/>
      <c r="OYT2584" s="100"/>
      <c r="OYU2584" s="100"/>
      <c r="OYV2584" s="100"/>
      <c r="OYW2584" s="100"/>
      <c r="OYX2584" s="100"/>
      <c r="OYY2584" s="100"/>
      <c r="OYZ2584" s="100"/>
      <c r="OZA2584" s="100"/>
      <c r="OZB2584" s="100"/>
      <c r="OZC2584" s="100"/>
      <c r="OZD2584" s="100"/>
      <c r="OZE2584" s="100"/>
      <c r="OZF2584" s="100"/>
      <c r="OZG2584" s="100"/>
      <c r="OZH2584" s="100"/>
      <c r="OZI2584" s="100"/>
      <c r="OZJ2584" s="100"/>
      <c r="OZK2584" s="100"/>
      <c r="OZL2584" s="100"/>
      <c r="OZM2584" s="100"/>
      <c r="OZN2584" s="100"/>
      <c r="OZO2584" s="100"/>
      <c r="OZP2584" s="100"/>
      <c r="OZQ2584" s="100"/>
      <c r="OZR2584" s="100"/>
      <c r="OZS2584" s="100"/>
      <c r="OZT2584" s="100"/>
      <c r="OZU2584" s="100"/>
      <c r="OZV2584" s="100"/>
      <c r="OZW2584" s="100"/>
      <c r="OZX2584" s="100"/>
      <c r="OZY2584" s="100"/>
      <c r="OZZ2584" s="100"/>
      <c r="PAA2584" s="100"/>
      <c r="PAB2584" s="100"/>
      <c r="PAC2584" s="100"/>
      <c r="PAD2584" s="100"/>
      <c r="PAE2584" s="100"/>
      <c r="PAF2584" s="100"/>
      <c r="PAG2584" s="100"/>
      <c r="PAH2584" s="100"/>
      <c r="PAI2584" s="100"/>
      <c r="PAJ2584" s="100"/>
      <c r="PAK2584" s="100"/>
      <c r="PAL2584" s="100"/>
      <c r="PAM2584" s="100"/>
      <c r="PAN2584" s="100"/>
      <c r="PAO2584" s="100"/>
      <c r="PAP2584" s="100"/>
      <c r="PAQ2584" s="100"/>
      <c r="PAR2584" s="100"/>
      <c r="PAS2584" s="100"/>
      <c r="PAT2584" s="100"/>
      <c r="PAU2584" s="100"/>
      <c r="PAV2584" s="100"/>
      <c r="PAW2584" s="100"/>
      <c r="PAX2584" s="100"/>
      <c r="PAY2584" s="100"/>
      <c r="PAZ2584" s="100"/>
      <c r="PBA2584" s="100"/>
      <c r="PBB2584" s="100"/>
      <c r="PBC2584" s="100"/>
      <c r="PBD2584" s="100"/>
      <c r="PBE2584" s="100"/>
      <c r="PBF2584" s="100"/>
      <c r="PBG2584" s="100"/>
      <c r="PBH2584" s="100"/>
      <c r="PBI2584" s="100"/>
      <c r="PBJ2584" s="100"/>
      <c r="PBK2584" s="100"/>
      <c r="PBL2584" s="100"/>
      <c r="PBM2584" s="100"/>
      <c r="PBN2584" s="100"/>
      <c r="PBO2584" s="100"/>
      <c r="PBP2584" s="100"/>
      <c r="PBQ2584" s="100"/>
      <c r="PBR2584" s="100"/>
      <c r="PBS2584" s="100"/>
      <c r="PBT2584" s="100"/>
      <c r="PBU2584" s="100"/>
      <c r="PBV2584" s="100"/>
      <c r="PBW2584" s="100"/>
      <c r="PBX2584" s="100"/>
      <c r="PBY2584" s="100"/>
      <c r="PBZ2584" s="100"/>
      <c r="PCA2584" s="100"/>
      <c r="PCB2584" s="100"/>
      <c r="PCC2584" s="100"/>
      <c r="PCD2584" s="100"/>
      <c r="PCE2584" s="100"/>
      <c r="PCF2584" s="100"/>
      <c r="PCG2584" s="100"/>
      <c r="PCH2584" s="100"/>
      <c r="PCI2584" s="100"/>
      <c r="PCJ2584" s="100"/>
      <c r="PCK2584" s="100"/>
      <c r="PCL2584" s="100"/>
      <c r="PCM2584" s="100"/>
      <c r="PCN2584" s="100"/>
      <c r="PCO2584" s="100"/>
      <c r="PCP2584" s="100"/>
      <c r="PCQ2584" s="100"/>
      <c r="PCR2584" s="100"/>
      <c r="PCS2584" s="100"/>
      <c r="PCT2584" s="100"/>
      <c r="PCU2584" s="100"/>
      <c r="PCV2584" s="100"/>
      <c r="PCW2584" s="100"/>
      <c r="PCX2584" s="100"/>
      <c r="PCY2584" s="100"/>
      <c r="PCZ2584" s="100"/>
      <c r="PDA2584" s="100"/>
      <c r="PDB2584" s="100"/>
      <c r="PDC2584" s="100"/>
      <c r="PDD2584" s="100"/>
      <c r="PDE2584" s="100"/>
      <c r="PDF2584" s="100"/>
      <c r="PDG2584" s="100"/>
      <c r="PDH2584" s="100"/>
      <c r="PDI2584" s="100"/>
      <c r="PDJ2584" s="100"/>
      <c r="PDK2584" s="100"/>
      <c r="PDL2584" s="100"/>
      <c r="PDM2584" s="100"/>
      <c r="PDN2584" s="100"/>
      <c r="PDO2584" s="100"/>
      <c r="PDP2584" s="100"/>
      <c r="PDQ2584" s="100"/>
      <c r="PDR2584" s="100"/>
      <c r="PDS2584" s="100"/>
      <c r="PDT2584" s="100"/>
      <c r="PDU2584" s="100"/>
      <c r="PDV2584" s="100"/>
      <c r="PDW2584" s="100"/>
      <c r="PDX2584" s="100"/>
      <c r="PDY2584" s="100"/>
      <c r="PDZ2584" s="100"/>
      <c r="PEA2584" s="100"/>
      <c r="PEB2584" s="100"/>
      <c r="PEC2584" s="100"/>
      <c r="PED2584" s="100"/>
      <c r="PEE2584" s="100"/>
      <c r="PEF2584" s="100"/>
      <c r="PEG2584" s="100"/>
      <c r="PEH2584" s="100"/>
      <c r="PEI2584" s="100"/>
      <c r="PEJ2584" s="100"/>
      <c r="PEK2584" s="100"/>
      <c r="PEL2584" s="100"/>
      <c r="PEM2584" s="100"/>
      <c r="PEN2584" s="100"/>
      <c r="PEO2584" s="100"/>
      <c r="PEP2584" s="100"/>
      <c r="PEQ2584" s="100"/>
      <c r="PER2584" s="100"/>
      <c r="PES2584" s="100"/>
      <c r="PET2584" s="100"/>
      <c r="PEU2584" s="100"/>
      <c r="PEV2584" s="100"/>
      <c r="PEW2584" s="100"/>
      <c r="PEX2584" s="100"/>
      <c r="PEY2584" s="100"/>
      <c r="PEZ2584" s="100"/>
      <c r="PFA2584" s="100"/>
      <c r="PFB2584" s="100"/>
      <c r="PFC2584" s="100"/>
      <c r="PFD2584" s="100"/>
      <c r="PFE2584" s="100"/>
      <c r="PFF2584" s="100"/>
      <c r="PFG2584" s="100"/>
      <c r="PFH2584" s="100"/>
      <c r="PFI2584" s="100"/>
      <c r="PFJ2584" s="100"/>
      <c r="PFK2584" s="100"/>
      <c r="PFL2584" s="100"/>
      <c r="PFM2584" s="100"/>
      <c r="PFN2584" s="100"/>
      <c r="PFO2584" s="100"/>
      <c r="PFP2584" s="100"/>
      <c r="PFQ2584" s="100"/>
      <c r="PFR2584" s="100"/>
      <c r="PFS2584" s="100"/>
      <c r="PFT2584" s="100"/>
      <c r="PFU2584" s="100"/>
      <c r="PFV2584" s="100"/>
      <c r="PFW2584" s="100"/>
      <c r="PFX2584" s="100"/>
      <c r="PFY2584" s="100"/>
      <c r="PFZ2584" s="100"/>
      <c r="PGA2584" s="100"/>
      <c r="PGB2584" s="100"/>
      <c r="PGC2584" s="100"/>
      <c r="PGD2584" s="100"/>
      <c r="PGE2584" s="100"/>
      <c r="PGF2584" s="100"/>
      <c r="PGG2584" s="100"/>
      <c r="PGH2584" s="100"/>
      <c r="PGI2584" s="100"/>
      <c r="PGJ2584" s="100"/>
      <c r="PGK2584" s="100"/>
      <c r="PGL2584" s="100"/>
      <c r="PGM2584" s="100"/>
      <c r="PGN2584" s="100"/>
      <c r="PGO2584" s="100"/>
      <c r="PGP2584" s="100"/>
      <c r="PGQ2584" s="100"/>
      <c r="PGR2584" s="100"/>
      <c r="PGS2584" s="100"/>
      <c r="PGT2584" s="100"/>
      <c r="PGU2584" s="100"/>
      <c r="PGV2584" s="100"/>
      <c r="PGW2584" s="100"/>
      <c r="PGX2584" s="100"/>
      <c r="PGY2584" s="100"/>
      <c r="PGZ2584" s="100"/>
      <c r="PHA2584" s="100"/>
      <c r="PHB2584" s="100"/>
      <c r="PHC2584" s="100"/>
      <c r="PHD2584" s="100"/>
      <c r="PHE2584" s="100"/>
      <c r="PHF2584" s="100"/>
      <c r="PHG2584" s="100"/>
      <c r="PHH2584" s="100"/>
      <c r="PHI2584" s="100"/>
      <c r="PHJ2584" s="100"/>
      <c r="PHK2584" s="100"/>
      <c r="PHL2584" s="100"/>
      <c r="PHM2584" s="100"/>
      <c r="PHN2584" s="100"/>
      <c r="PHO2584" s="100"/>
      <c r="PHP2584" s="100"/>
      <c r="PHQ2584" s="100"/>
      <c r="PHR2584" s="100"/>
      <c r="PHS2584" s="100"/>
      <c r="PHT2584" s="100"/>
      <c r="PHU2584" s="100"/>
      <c r="PHV2584" s="100"/>
      <c r="PHW2584" s="100"/>
      <c r="PHX2584" s="100"/>
      <c r="PHY2584" s="100"/>
      <c r="PHZ2584" s="100"/>
      <c r="PIA2584" s="100"/>
      <c r="PIB2584" s="100"/>
      <c r="PIC2584" s="100"/>
      <c r="PID2584" s="100"/>
      <c r="PIE2584" s="100"/>
      <c r="PIF2584" s="100"/>
      <c r="PIG2584" s="100"/>
      <c r="PIH2584" s="100"/>
      <c r="PII2584" s="100"/>
      <c r="PIJ2584" s="100"/>
      <c r="PIK2584" s="100"/>
      <c r="PIL2584" s="100"/>
      <c r="PIM2584" s="100"/>
      <c r="PIN2584" s="100"/>
      <c r="PIO2584" s="100"/>
      <c r="PIP2584" s="100"/>
      <c r="PIQ2584" s="100"/>
      <c r="PIR2584" s="100"/>
      <c r="PIS2584" s="100"/>
      <c r="PIT2584" s="100"/>
      <c r="PIU2584" s="100"/>
      <c r="PIV2584" s="100"/>
      <c r="PIW2584" s="100"/>
      <c r="PIX2584" s="100"/>
      <c r="PIY2584" s="100"/>
      <c r="PIZ2584" s="100"/>
      <c r="PJA2584" s="100"/>
      <c r="PJB2584" s="100"/>
      <c r="PJC2584" s="100"/>
      <c r="PJD2584" s="100"/>
      <c r="PJE2584" s="100"/>
      <c r="PJF2584" s="100"/>
      <c r="PJG2584" s="100"/>
      <c r="PJH2584" s="100"/>
      <c r="PJI2584" s="100"/>
      <c r="PJJ2584" s="100"/>
      <c r="PJK2584" s="100"/>
      <c r="PJL2584" s="100"/>
      <c r="PJM2584" s="100"/>
      <c r="PJN2584" s="100"/>
      <c r="PJO2584" s="100"/>
      <c r="PJP2584" s="100"/>
      <c r="PJQ2584" s="100"/>
      <c r="PJR2584" s="100"/>
      <c r="PJS2584" s="100"/>
      <c r="PJT2584" s="100"/>
      <c r="PJU2584" s="100"/>
      <c r="PJV2584" s="100"/>
      <c r="PJW2584" s="100"/>
      <c r="PJX2584" s="100"/>
      <c r="PJY2584" s="100"/>
      <c r="PJZ2584" s="100"/>
      <c r="PKA2584" s="100"/>
      <c r="PKB2584" s="100"/>
      <c r="PKC2584" s="100"/>
      <c r="PKD2584" s="100"/>
      <c r="PKE2584" s="100"/>
      <c r="PKF2584" s="100"/>
      <c r="PKG2584" s="100"/>
      <c r="PKH2584" s="100"/>
      <c r="PKI2584" s="100"/>
      <c r="PKJ2584" s="100"/>
      <c r="PKK2584" s="100"/>
      <c r="PKL2584" s="100"/>
      <c r="PKM2584" s="100"/>
      <c r="PKN2584" s="100"/>
      <c r="PKO2584" s="100"/>
      <c r="PKP2584" s="100"/>
      <c r="PKQ2584" s="100"/>
      <c r="PKR2584" s="100"/>
      <c r="PKS2584" s="100"/>
      <c r="PKT2584" s="100"/>
      <c r="PKU2584" s="100"/>
      <c r="PKV2584" s="100"/>
      <c r="PKW2584" s="100"/>
      <c r="PKX2584" s="100"/>
      <c r="PKY2584" s="100"/>
      <c r="PKZ2584" s="100"/>
      <c r="PLA2584" s="100"/>
      <c r="PLB2584" s="100"/>
      <c r="PLC2584" s="100"/>
      <c r="PLD2584" s="100"/>
      <c r="PLE2584" s="100"/>
      <c r="PLF2584" s="100"/>
      <c r="PLG2584" s="100"/>
      <c r="PLH2584" s="100"/>
      <c r="PLI2584" s="100"/>
      <c r="PLJ2584" s="100"/>
      <c r="PLK2584" s="100"/>
      <c r="PLL2584" s="100"/>
      <c r="PLM2584" s="100"/>
      <c r="PLN2584" s="100"/>
      <c r="PLO2584" s="100"/>
      <c r="PLP2584" s="100"/>
      <c r="PLQ2584" s="100"/>
      <c r="PLR2584" s="100"/>
      <c r="PLS2584" s="100"/>
      <c r="PLT2584" s="100"/>
      <c r="PLU2584" s="100"/>
      <c r="PLV2584" s="100"/>
      <c r="PLW2584" s="100"/>
      <c r="PLX2584" s="100"/>
      <c r="PLY2584" s="100"/>
      <c r="PLZ2584" s="100"/>
      <c r="PMA2584" s="100"/>
      <c r="PMB2584" s="100"/>
      <c r="PMC2584" s="100"/>
      <c r="PMD2584" s="100"/>
      <c r="PME2584" s="100"/>
      <c r="PMF2584" s="100"/>
      <c r="PMG2584" s="100"/>
      <c r="PMH2584" s="100"/>
      <c r="PMI2584" s="100"/>
      <c r="PMJ2584" s="100"/>
      <c r="PMK2584" s="100"/>
      <c r="PML2584" s="100"/>
      <c r="PMM2584" s="100"/>
      <c r="PMN2584" s="100"/>
      <c r="PMO2584" s="100"/>
      <c r="PMP2584" s="100"/>
      <c r="PMQ2584" s="100"/>
      <c r="PMR2584" s="100"/>
      <c r="PMS2584" s="100"/>
      <c r="PMT2584" s="100"/>
      <c r="PMU2584" s="100"/>
      <c r="PMV2584" s="100"/>
      <c r="PMW2584" s="100"/>
      <c r="PMX2584" s="100"/>
      <c r="PMY2584" s="100"/>
      <c r="PMZ2584" s="100"/>
      <c r="PNA2584" s="100"/>
      <c r="PNB2584" s="100"/>
      <c r="PNC2584" s="100"/>
      <c r="PND2584" s="100"/>
      <c r="PNE2584" s="100"/>
      <c r="PNF2584" s="100"/>
      <c r="PNG2584" s="100"/>
      <c r="PNH2584" s="100"/>
      <c r="PNI2584" s="100"/>
      <c r="PNJ2584" s="100"/>
      <c r="PNK2584" s="100"/>
      <c r="PNL2584" s="100"/>
      <c r="PNM2584" s="100"/>
      <c r="PNN2584" s="100"/>
      <c r="PNO2584" s="100"/>
      <c r="PNP2584" s="100"/>
      <c r="PNQ2584" s="100"/>
      <c r="PNR2584" s="100"/>
      <c r="PNS2584" s="100"/>
      <c r="PNT2584" s="100"/>
      <c r="PNU2584" s="100"/>
      <c r="PNV2584" s="100"/>
      <c r="PNW2584" s="100"/>
      <c r="PNX2584" s="100"/>
      <c r="PNY2584" s="100"/>
      <c r="PNZ2584" s="100"/>
      <c r="POA2584" s="100"/>
      <c r="POB2584" s="100"/>
      <c r="POC2584" s="100"/>
      <c r="POD2584" s="100"/>
      <c r="POE2584" s="100"/>
      <c r="POF2584" s="100"/>
      <c r="POG2584" s="100"/>
      <c r="POH2584" s="100"/>
      <c r="POI2584" s="100"/>
      <c r="POJ2584" s="100"/>
      <c r="POK2584" s="100"/>
      <c r="POL2584" s="100"/>
      <c r="POM2584" s="100"/>
      <c r="PON2584" s="100"/>
      <c r="POO2584" s="100"/>
      <c r="POP2584" s="100"/>
      <c r="POQ2584" s="100"/>
      <c r="POR2584" s="100"/>
      <c r="POS2584" s="100"/>
      <c r="POT2584" s="100"/>
      <c r="POU2584" s="100"/>
      <c r="POV2584" s="100"/>
      <c r="POW2584" s="100"/>
      <c r="POX2584" s="100"/>
      <c r="POY2584" s="100"/>
      <c r="POZ2584" s="100"/>
      <c r="PPA2584" s="100"/>
      <c r="PPB2584" s="100"/>
      <c r="PPC2584" s="100"/>
      <c r="PPD2584" s="100"/>
      <c r="PPE2584" s="100"/>
      <c r="PPF2584" s="100"/>
      <c r="PPG2584" s="100"/>
      <c r="PPH2584" s="100"/>
      <c r="PPI2584" s="100"/>
      <c r="PPJ2584" s="100"/>
      <c r="PPK2584" s="100"/>
      <c r="PPL2584" s="100"/>
      <c r="PPM2584" s="100"/>
      <c r="PPN2584" s="100"/>
      <c r="PPO2584" s="100"/>
      <c r="PPP2584" s="100"/>
      <c r="PPQ2584" s="100"/>
      <c r="PPR2584" s="100"/>
      <c r="PPS2584" s="100"/>
      <c r="PPT2584" s="100"/>
      <c r="PPU2584" s="100"/>
      <c r="PPV2584" s="100"/>
      <c r="PPW2584" s="100"/>
      <c r="PPX2584" s="100"/>
      <c r="PPY2584" s="100"/>
      <c r="PPZ2584" s="100"/>
      <c r="PQA2584" s="100"/>
      <c r="PQB2584" s="100"/>
      <c r="PQC2584" s="100"/>
      <c r="PQD2584" s="100"/>
      <c r="PQE2584" s="100"/>
      <c r="PQF2584" s="100"/>
      <c r="PQG2584" s="100"/>
      <c r="PQH2584" s="100"/>
      <c r="PQI2584" s="100"/>
      <c r="PQJ2584" s="100"/>
      <c r="PQK2584" s="100"/>
      <c r="PQL2584" s="100"/>
      <c r="PQM2584" s="100"/>
      <c r="PQN2584" s="100"/>
      <c r="PQO2584" s="100"/>
      <c r="PQP2584" s="100"/>
      <c r="PQQ2584" s="100"/>
      <c r="PQR2584" s="100"/>
      <c r="PQS2584" s="100"/>
      <c r="PQT2584" s="100"/>
      <c r="PQU2584" s="100"/>
      <c r="PQV2584" s="100"/>
      <c r="PQW2584" s="100"/>
      <c r="PQX2584" s="100"/>
      <c r="PQY2584" s="100"/>
      <c r="PQZ2584" s="100"/>
      <c r="PRA2584" s="100"/>
      <c r="PRB2584" s="100"/>
      <c r="PRC2584" s="100"/>
      <c r="PRD2584" s="100"/>
      <c r="PRE2584" s="100"/>
      <c r="PRF2584" s="100"/>
      <c r="PRG2584" s="100"/>
      <c r="PRH2584" s="100"/>
      <c r="PRI2584" s="100"/>
      <c r="PRJ2584" s="100"/>
      <c r="PRK2584" s="100"/>
      <c r="PRL2584" s="100"/>
      <c r="PRM2584" s="100"/>
      <c r="PRN2584" s="100"/>
      <c r="PRO2584" s="100"/>
      <c r="PRP2584" s="100"/>
      <c r="PRQ2584" s="100"/>
      <c r="PRR2584" s="100"/>
      <c r="PRS2584" s="100"/>
      <c r="PRT2584" s="100"/>
      <c r="PRU2584" s="100"/>
      <c r="PRV2584" s="100"/>
      <c r="PRW2584" s="100"/>
      <c r="PRX2584" s="100"/>
      <c r="PRY2584" s="100"/>
      <c r="PRZ2584" s="100"/>
      <c r="PSA2584" s="100"/>
      <c r="PSB2584" s="100"/>
      <c r="PSC2584" s="100"/>
      <c r="PSD2584" s="100"/>
      <c r="PSE2584" s="100"/>
      <c r="PSF2584" s="100"/>
      <c r="PSG2584" s="100"/>
      <c r="PSH2584" s="100"/>
      <c r="PSI2584" s="100"/>
      <c r="PSJ2584" s="100"/>
      <c r="PSK2584" s="100"/>
      <c r="PSL2584" s="100"/>
      <c r="PSM2584" s="100"/>
      <c r="PSN2584" s="100"/>
      <c r="PSO2584" s="100"/>
      <c r="PSP2584" s="100"/>
      <c r="PSQ2584" s="100"/>
      <c r="PSR2584" s="100"/>
      <c r="PSS2584" s="100"/>
      <c r="PST2584" s="100"/>
      <c r="PSU2584" s="100"/>
      <c r="PSV2584" s="100"/>
      <c r="PSW2584" s="100"/>
      <c r="PSX2584" s="100"/>
      <c r="PSY2584" s="100"/>
      <c r="PSZ2584" s="100"/>
      <c r="PTA2584" s="100"/>
      <c r="PTB2584" s="100"/>
      <c r="PTC2584" s="100"/>
      <c r="PTD2584" s="100"/>
      <c r="PTE2584" s="100"/>
      <c r="PTF2584" s="100"/>
      <c r="PTG2584" s="100"/>
      <c r="PTH2584" s="100"/>
      <c r="PTI2584" s="100"/>
      <c r="PTJ2584" s="100"/>
      <c r="PTK2584" s="100"/>
      <c r="PTL2584" s="100"/>
      <c r="PTM2584" s="100"/>
      <c r="PTN2584" s="100"/>
      <c r="PTO2584" s="100"/>
      <c r="PTP2584" s="100"/>
      <c r="PTQ2584" s="100"/>
      <c r="PTR2584" s="100"/>
      <c r="PTS2584" s="100"/>
      <c r="PTT2584" s="100"/>
      <c r="PTU2584" s="100"/>
      <c r="PTV2584" s="100"/>
      <c r="PTW2584" s="100"/>
      <c r="PTX2584" s="100"/>
      <c r="PTY2584" s="100"/>
      <c r="PTZ2584" s="100"/>
      <c r="PUA2584" s="100"/>
      <c r="PUB2584" s="100"/>
      <c r="PUC2584" s="100"/>
      <c r="PUD2584" s="100"/>
      <c r="PUE2584" s="100"/>
      <c r="PUF2584" s="100"/>
      <c r="PUG2584" s="100"/>
      <c r="PUH2584" s="100"/>
      <c r="PUI2584" s="100"/>
      <c r="PUJ2584" s="100"/>
      <c r="PUK2584" s="100"/>
      <c r="PUL2584" s="100"/>
      <c r="PUM2584" s="100"/>
      <c r="PUN2584" s="100"/>
      <c r="PUO2584" s="100"/>
      <c r="PUP2584" s="100"/>
      <c r="PUQ2584" s="100"/>
      <c r="PUR2584" s="100"/>
      <c r="PUS2584" s="100"/>
      <c r="PUT2584" s="100"/>
      <c r="PUU2584" s="100"/>
      <c r="PUV2584" s="100"/>
      <c r="PUW2584" s="100"/>
      <c r="PUX2584" s="100"/>
      <c r="PUY2584" s="100"/>
      <c r="PUZ2584" s="100"/>
      <c r="PVA2584" s="100"/>
      <c r="PVB2584" s="100"/>
      <c r="PVC2584" s="100"/>
      <c r="PVD2584" s="100"/>
      <c r="PVE2584" s="100"/>
      <c r="PVF2584" s="100"/>
      <c r="PVG2584" s="100"/>
      <c r="PVH2584" s="100"/>
      <c r="PVI2584" s="100"/>
      <c r="PVJ2584" s="100"/>
      <c r="PVK2584" s="100"/>
      <c r="PVL2584" s="100"/>
      <c r="PVM2584" s="100"/>
      <c r="PVN2584" s="100"/>
      <c r="PVO2584" s="100"/>
      <c r="PVP2584" s="100"/>
      <c r="PVQ2584" s="100"/>
      <c r="PVR2584" s="100"/>
      <c r="PVS2584" s="100"/>
      <c r="PVT2584" s="100"/>
      <c r="PVU2584" s="100"/>
      <c r="PVV2584" s="100"/>
      <c r="PVW2584" s="100"/>
      <c r="PVX2584" s="100"/>
      <c r="PVY2584" s="100"/>
      <c r="PVZ2584" s="100"/>
      <c r="PWA2584" s="100"/>
      <c r="PWB2584" s="100"/>
      <c r="PWC2584" s="100"/>
      <c r="PWD2584" s="100"/>
      <c r="PWE2584" s="100"/>
      <c r="PWF2584" s="100"/>
      <c r="PWG2584" s="100"/>
      <c r="PWH2584" s="100"/>
      <c r="PWI2584" s="100"/>
      <c r="PWJ2584" s="100"/>
      <c r="PWK2584" s="100"/>
      <c r="PWL2584" s="100"/>
      <c r="PWM2584" s="100"/>
      <c r="PWN2584" s="100"/>
      <c r="PWO2584" s="100"/>
      <c r="PWP2584" s="100"/>
      <c r="PWQ2584" s="100"/>
      <c r="PWR2584" s="100"/>
      <c r="PWS2584" s="100"/>
      <c r="PWT2584" s="100"/>
      <c r="PWU2584" s="100"/>
      <c r="PWV2584" s="100"/>
      <c r="PWW2584" s="100"/>
      <c r="PWX2584" s="100"/>
      <c r="PWY2584" s="100"/>
      <c r="PWZ2584" s="100"/>
      <c r="PXA2584" s="100"/>
      <c r="PXB2584" s="100"/>
      <c r="PXC2584" s="100"/>
      <c r="PXD2584" s="100"/>
      <c r="PXE2584" s="100"/>
      <c r="PXF2584" s="100"/>
      <c r="PXG2584" s="100"/>
      <c r="PXH2584" s="100"/>
      <c r="PXI2584" s="100"/>
      <c r="PXJ2584" s="100"/>
      <c r="PXK2584" s="100"/>
      <c r="PXL2584" s="100"/>
      <c r="PXM2584" s="100"/>
      <c r="PXN2584" s="100"/>
      <c r="PXO2584" s="100"/>
      <c r="PXP2584" s="100"/>
      <c r="PXQ2584" s="100"/>
      <c r="PXR2584" s="100"/>
      <c r="PXS2584" s="100"/>
      <c r="PXT2584" s="100"/>
      <c r="PXU2584" s="100"/>
      <c r="PXV2584" s="100"/>
      <c r="PXW2584" s="100"/>
      <c r="PXX2584" s="100"/>
      <c r="PXY2584" s="100"/>
      <c r="PXZ2584" s="100"/>
      <c r="PYA2584" s="100"/>
      <c r="PYB2584" s="100"/>
      <c r="PYC2584" s="100"/>
      <c r="PYD2584" s="100"/>
      <c r="PYE2584" s="100"/>
      <c r="PYF2584" s="100"/>
      <c r="PYG2584" s="100"/>
      <c r="PYH2584" s="100"/>
      <c r="PYI2584" s="100"/>
      <c r="PYJ2584" s="100"/>
      <c r="PYK2584" s="100"/>
      <c r="PYL2584" s="100"/>
      <c r="PYM2584" s="100"/>
      <c r="PYN2584" s="100"/>
      <c r="PYO2584" s="100"/>
      <c r="PYP2584" s="100"/>
      <c r="PYQ2584" s="100"/>
      <c r="PYR2584" s="100"/>
      <c r="PYS2584" s="100"/>
      <c r="PYT2584" s="100"/>
      <c r="PYU2584" s="100"/>
      <c r="PYV2584" s="100"/>
      <c r="PYW2584" s="100"/>
      <c r="PYX2584" s="100"/>
      <c r="PYY2584" s="100"/>
      <c r="PYZ2584" s="100"/>
      <c r="PZA2584" s="100"/>
      <c r="PZB2584" s="100"/>
      <c r="PZC2584" s="100"/>
      <c r="PZD2584" s="100"/>
      <c r="PZE2584" s="100"/>
      <c r="PZF2584" s="100"/>
      <c r="PZG2584" s="100"/>
      <c r="PZH2584" s="100"/>
      <c r="PZI2584" s="100"/>
      <c r="PZJ2584" s="100"/>
      <c r="PZK2584" s="100"/>
      <c r="PZL2584" s="100"/>
      <c r="PZM2584" s="100"/>
      <c r="PZN2584" s="100"/>
      <c r="PZO2584" s="100"/>
      <c r="PZP2584" s="100"/>
      <c r="PZQ2584" s="100"/>
      <c r="PZR2584" s="100"/>
      <c r="PZS2584" s="100"/>
      <c r="PZT2584" s="100"/>
      <c r="PZU2584" s="100"/>
      <c r="PZV2584" s="100"/>
      <c r="PZW2584" s="100"/>
      <c r="PZX2584" s="100"/>
      <c r="PZY2584" s="100"/>
      <c r="PZZ2584" s="100"/>
      <c r="QAA2584" s="100"/>
      <c r="QAB2584" s="100"/>
      <c r="QAC2584" s="100"/>
      <c r="QAD2584" s="100"/>
      <c r="QAE2584" s="100"/>
      <c r="QAF2584" s="100"/>
      <c r="QAG2584" s="100"/>
      <c r="QAH2584" s="100"/>
      <c r="QAI2584" s="100"/>
      <c r="QAJ2584" s="100"/>
      <c r="QAK2584" s="100"/>
      <c r="QAL2584" s="100"/>
      <c r="QAM2584" s="100"/>
      <c r="QAN2584" s="100"/>
      <c r="QAO2584" s="100"/>
      <c r="QAP2584" s="100"/>
      <c r="QAQ2584" s="100"/>
      <c r="QAR2584" s="100"/>
      <c r="QAS2584" s="100"/>
      <c r="QAT2584" s="100"/>
      <c r="QAU2584" s="100"/>
      <c r="QAV2584" s="100"/>
      <c r="QAW2584" s="100"/>
      <c r="QAX2584" s="100"/>
      <c r="QAY2584" s="100"/>
      <c r="QAZ2584" s="100"/>
      <c r="QBA2584" s="100"/>
      <c r="QBB2584" s="100"/>
      <c r="QBC2584" s="100"/>
      <c r="QBD2584" s="100"/>
      <c r="QBE2584" s="100"/>
      <c r="QBF2584" s="100"/>
      <c r="QBG2584" s="100"/>
      <c r="QBH2584" s="100"/>
      <c r="QBI2584" s="100"/>
      <c r="QBJ2584" s="100"/>
      <c r="QBK2584" s="100"/>
      <c r="QBL2584" s="100"/>
      <c r="QBM2584" s="100"/>
      <c r="QBN2584" s="100"/>
      <c r="QBO2584" s="100"/>
      <c r="QBP2584" s="100"/>
      <c r="QBQ2584" s="100"/>
      <c r="QBR2584" s="100"/>
      <c r="QBS2584" s="100"/>
      <c r="QBT2584" s="100"/>
      <c r="QBU2584" s="100"/>
      <c r="QBV2584" s="100"/>
      <c r="QBW2584" s="100"/>
      <c r="QBX2584" s="100"/>
      <c r="QBY2584" s="100"/>
      <c r="QBZ2584" s="100"/>
      <c r="QCA2584" s="100"/>
      <c r="QCB2584" s="100"/>
      <c r="QCC2584" s="100"/>
      <c r="QCD2584" s="100"/>
      <c r="QCE2584" s="100"/>
      <c r="QCF2584" s="100"/>
      <c r="QCG2584" s="100"/>
      <c r="QCH2584" s="100"/>
      <c r="QCI2584" s="100"/>
      <c r="QCJ2584" s="100"/>
      <c r="QCK2584" s="100"/>
      <c r="QCL2584" s="100"/>
      <c r="QCM2584" s="100"/>
      <c r="QCN2584" s="100"/>
      <c r="QCO2584" s="100"/>
      <c r="QCP2584" s="100"/>
      <c r="QCQ2584" s="100"/>
      <c r="QCR2584" s="100"/>
      <c r="QCS2584" s="100"/>
      <c r="QCT2584" s="100"/>
      <c r="QCU2584" s="100"/>
      <c r="QCV2584" s="100"/>
      <c r="QCW2584" s="100"/>
      <c r="QCX2584" s="100"/>
      <c r="QCY2584" s="100"/>
      <c r="QCZ2584" s="100"/>
      <c r="QDA2584" s="100"/>
      <c r="QDB2584" s="100"/>
      <c r="QDC2584" s="100"/>
      <c r="QDD2584" s="100"/>
      <c r="QDE2584" s="100"/>
      <c r="QDF2584" s="100"/>
      <c r="QDG2584" s="100"/>
      <c r="QDH2584" s="100"/>
      <c r="QDI2584" s="100"/>
      <c r="QDJ2584" s="100"/>
      <c r="QDK2584" s="100"/>
      <c r="QDL2584" s="100"/>
      <c r="QDM2584" s="100"/>
      <c r="QDN2584" s="100"/>
      <c r="QDO2584" s="100"/>
      <c r="QDP2584" s="100"/>
      <c r="QDQ2584" s="100"/>
      <c r="QDR2584" s="100"/>
      <c r="QDS2584" s="100"/>
      <c r="QDT2584" s="100"/>
      <c r="QDU2584" s="100"/>
      <c r="QDV2584" s="100"/>
      <c r="QDW2584" s="100"/>
      <c r="QDX2584" s="100"/>
      <c r="QDY2584" s="100"/>
      <c r="QDZ2584" s="100"/>
      <c r="QEA2584" s="100"/>
      <c r="QEB2584" s="100"/>
      <c r="QEC2584" s="100"/>
      <c r="QED2584" s="100"/>
      <c r="QEE2584" s="100"/>
      <c r="QEF2584" s="100"/>
      <c r="QEG2584" s="100"/>
      <c r="QEH2584" s="100"/>
      <c r="QEI2584" s="100"/>
      <c r="QEJ2584" s="100"/>
      <c r="QEK2584" s="100"/>
      <c r="QEL2584" s="100"/>
      <c r="QEM2584" s="100"/>
      <c r="QEN2584" s="100"/>
      <c r="QEO2584" s="100"/>
      <c r="QEP2584" s="100"/>
      <c r="QEQ2584" s="100"/>
      <c r="QER2584" s="100"/>
      <c r="QES2584" s="100"/>
      <c r="QET2584" s="100"/>
      <c r="QEU2584" s="100"/>
      <c r="QEV2584" s="100"/>
      <c r="QEW2584" s="100"/>
      <c r="QEX2584" s="100"/>
      <c r="QEY2584" s="100"/>
      <c r="QEZ2584" s="100"/>
      <c r="QFA2584" s="100"/>
      <c r="QFB2584" s="100"/>
      <c r="QFC2584" s="100"/>
      <c r="QFD2584" s="100"/>
      <c r="QFE2584" s="100"/>
      <c r="QFF2584" s="100"/>
      <c r="QFG2584" s="100"/>
      <c r="QFH2584" s="100"/>
      <c r="QFI2584" s="100"/>
      <c r="QFJ2584" s="100"/>
      <c r="QFK2584" s="100"/>
      <c r="QFL2584" s="100"/>
      <c r="QFM2584" s="100"/>
      <c r="QFN2584" s="100"/>
      <c r="QFO2584" s="100"/>
      <c r="QFP2584" s="100"/>
      <c r="QFQ2584" s="100"/>
      <c r="QFR2584" s="100"/>
      <c r="QFS2584" s="100"/>
      <c r="QFT2584" s="100"/>
      <c r="QFU2584" s="100"/>
      <c r="QFV2584" s="100"/>
      <c r="QFW2584" s="100"/>
      <c r="QFX2584" s="100"/>
      <c r="QFY2584" s="100"/>
      <c r="QFZ2584" s="100"/>
      <c r="QGA2584" s="100"/>
      <c r="QGB2584" s="100"/>
      <c r="QGC2584" s="100"/>
      <c r="QGD2584" s="100"/>
      <c r="QGE2584" s="100"/>
      <c r="QGF2584" s="100"/>
      <c r="QGG2584" s="100"/>
      <c r="QGH2584" s="100"/>
      <c r="QGI2584" s="100"/>
      <c r="QGJ2584" s="100"/>
      <c r="QGK2584" s="100"/>
      <c r="QGL2584" s="100"/>
      <c r="QGM2584" s="100"/>
      <c r="QGN2584" s="100"/>
      <c r="QGO2584" s="100"/>
      <c r="QGP2584" s="100"/>
      <c r="QGQ2584" s="100"/>
      <c r="QGR2584" s="100"/>
      <c r="QGS2584" s="100"/>
      <c r="QGT2584" s="100"/>
      <c r="QGU2584" s="100"/>
      <c r="QGV2584" s="100"/>
      <c r="QGW2584" s="100"/>
      <c r="QGX2584" s="100"/>
      <c r="QGY2584" s="100"/>
      <c r="QGZ2584" s="100"/>
      <c r="QHA2584" s="100"/>
      <c r="QHB2584" s="100"/>
      <c r="QHC2584" s="100"/>
      <c r="QHD2584" s="100"/>
      <c r="QHE2584" s="100"/>
      <c r="QHF2584" s="100"/>
      <c r="QHG2584" s="100"/>
      <c r="QHH2584" s="100"/>
      <c r="QHI2584" s="100"/>
      <c r="QHJ2584" s="100"/>
      <c r="QHK2584" s="100"/>
      <c r="QHL2584" s="100"/>
      <c r="QHM2584" s="100"/>
      <c r="QHN2584" s="100"/>
      <c r="QHO2584" s="100"/>
      <c r="QHP2584" s="100"/>
      <c r="QHQ2584" s="100"/>
      <c r="QHR2584" s="100"/>
      <c r="QHS2584" s="100"/>
      <c r="QHT2584" s="100"/>
      <c r="QHU2584" s="100"/>
      <c r="QHV2584" s="100"/>
      <c r="QHW2584" s="100"/>
      <c r="QHX2584" s="100"/>
      <c r="QHY2584" s="100"/>
      <c r="QHZ2584" s="100"/>
      <c r="QIA2584" s="100"/>
      <c r="QIB2584" s="100"/>
      <c r="QIC2584" s="100"/>
      <c r="QID2584" s="100"/>
      <c r="QIE2584" s="100"/>
      <c r="QIF2584" s="100"/>
      <c r="QIG2584" s="100"/>
      <c r="QIH2584" s="100"/>
      <c r="QII2584" s="100"/>
      <c r="QIJ2584" s="100"/>
      <c r="QIK2584" s="100"/>
      <c r="QIL2584" s="100"/>
      <c r="QIM2584" s="100"/>
      <c r="QIN2584" s="100"/>
      <c r="QIO2584" s="100"/>
      <c r="QIP2584" s="100"/>
      <c r="QIQ2584" s="100"/>
      <c r="QIR2584" s="100"/>
      <c r="QIS2584" s="100"/>
      <c r="QIT2584" s="100"/>
      <c r="QIU2584" s="100"/>
      <c r="QIV2584" s="100"/>
      <c r="QIW2584" s="100"/>
      <c r="QIX2584" s="100"/>
      <c r="QIY2584" s="100"/>
      <c r="QIZ2584" s="100"/>
      <c r="QJA2584" s="100"/>
      <c r="QJB2584" s="100"/>
      <c r="QJC2584" s="100"/>
      <c r="QJD2584" s="100"/>
      <c r="QJE2584" s="100"/>
      <c r="QJF2584" s="100"/>
      <c r="QJG2584" s="100"/>
      <c r="QJH2584" s="100"/>
      <c r="QJI2584" s="100"/>
      <c r="QJJ2584" s="100"/>
      <c r="QJK2584" s="100"/>
      <c r="QJL2584" s="100"/>
      <c r="QJM2584" s="100"/>
      <c r="QJN2584" s="100"/>
      <c r="QJO2584" s="100"/>
      <c r="QJP2584" s="100"/>
      <c r="QJQ2584" s="100"/>
      <c r="QJR2584" s="100"/>
      <c r="QJS2584" s="100"/>
      <c r="QJT2584" s="100"/>
      <c r="QJU2584" s="100"/>
      <c r="QJV2584" s="100"/>
      <c r="QJW2584" s="100"/>
      <c r="QJX2584" s="100"/>
      <c r="QJY2584" s="100"/>
      <c r="QJZ2584" s="100"/>
      <c r="QKA2584" s="100"/>
      <c r="QKB2584" s="100"/>
      <c r="QKC2584" s="100"/>
      <c r="QKD2584" s="100"/>
      <c r="QKE2584" s="100"/>
      <c r="QKF2584" s="100"/>
      <c r="QKG2584" s="100"/>
      <c r="QKH2584" s="100"/>
      <c r="QKI2584" s="100"/>
      <c r="QKJ2584" s="100"/>
      <c r="QKK2584" s="100"/>
      <c r="QKL2584" s="100"/>
      <c r="QKM2584" s="100"/>
      <c r="QKN2584" s="100"/>
      <c r="QKO2584" s="100"/>
      <c r="QKP2584" s="100"/>
      <c r="QKQ2584" s="100"/>
      <c r="QKR2584" s="100"/>
      <c r="QKS2584" s="100"/>
      <c r="QKT2584" s="100"/>
      <c r="QKU2584" s="100"/>
      <c r="QKV2584" s="100"/>
      <c r="QKW2584" s="100"/>
      <c r="QKX2584" s="100"/>
      <c r="QKY2584" s="100"/>
      <c r="QKZ2584" s="100"/>
      <c r="QLA2584" s="100"/>
      <c r="QLB2584" s="100"/>
      <c r="QLC2584" s="100"/>
      <c r="QLD2584" s="100"/>
      <c r="QLE2584" s="100"/>
      <c r="QLF2584" s="100"/>
      <c r="QLG2584" s="100"/>
      <c r="QLH2584" s="100"/>
      <c r="QLI2584" s="100"/>
      <c r="QLJ2584" s="100"/>
      <c r="QLK2584" s="100"/>
      <c r="QLL2584" s="100"/>
      <c r="QLM2584" s="100"/>
      <c r="QLN2584" s="100"/>
      <c r="QLO2584" s="100"/>
      <c r="QLP2584" s="100"/>
      <c r="QLQ2584" s="100"/>
      <c r="QLR2584" s="100"/>
      <c r="QLS2584" s="100"/>
      <c r="QLT2584" s="100"/>
      <c r="QLU2584" s="100"/>
      <c r="QLV2584" s="100"/>
      <c r="QLW2584" s="100"/>
      <c r="QLX2584" s="100"/>
      <c r="QLY2584" s="100"/>
      <c r="QLZ2584" s="100"/>
      <c r="QMA2584" s="100"/>
      <c r="QMB2584" s="100"/>
      <c r="QMC2584" s="100"/>
      <c r="QMD2584" s="100"/>
      <c r="QME2584" s="100"/>
      <c r="QMF2584" s="100"/>
      <c r="QMG2584" s="100"/>
      <c r="QMH2584" s="100"/>
      <c r="QMI2584" s="100"/>
      <c r="QMJ2584" s="100"/>
      <c r="QMK2584" s="100"/>
      <c r="QML2584" s="100"/>
      <c r="QMM2584" s="100"/>
      <c r="QMN2584" s="100"/>
      <c r="QMO2584" s="100"/>
      <c r="QMP2584" s="100"/>
      <c r="QMQ2584" s="100"/>
      <c r="QMR2584" s="100"/>
      <c r="QMS2584" s="100"/>
      <c r="QMT2584" s="100"/>
      <c r="QMU2584" s="100"/>
      <c r="QMV2584" s="100"/>
      <c r="QMW2584" s="100"/>
      <c r="QMX2584" s="100"/>
      <c r="QMY2584" s="100"/>
      <c r="QMZ2584" s="100"/>
      <c r="QNA2584" s="100"/>
      <c r="QNB2584" s="100"/>
      <c r="QNC2584" s="100"/>
      <c r="QND2584" s="100"/>
      <c r="QNE2584" s="100"/>
      <c r="QNF2584" s="100"/>
      <c r="QNG2584" s="100"/>
      <c r="QNH2584" s="100"/>
      <c r="QNI2584" s="100"/>
      <c r="QNJ2584" s="100"/>
      <c r="QNK2584" s="100"/>
      <c r="QNL2584" s="100"/>
      <c r="QNM2584" s="100"/>
      <c r="QNN2584" s="100"/>
      <c r="QNO2584" s="100"/>
      <c r="QNP2584" s="100"/>
      <c r="QNQ2584" s="100"/>
      <c r="QNR2584" s="100"/>
      <c r="QNS2584" s="100"/>
      <c r="QNT2584" s="100"/>
      <c r="QNU2584" s="100"/>
      <c r="QNV2584" s="100"/>
      <c r="QNW2584" s="100"/>
      <c r="QNX2584" s="100"/>
      <c r="QNY2584" s="100"/>
      <c r="QNZ2584" s="100"/>
      <c r="QOA2584" s="100"/>
      <c r="QOB2584" s="100"/>
      <c r="QOC2584" s="100"/>
      <c r="QOD2584" s="100"/>
      <c r="QOE2584" s="100"/>
      <c r="QOF2584" s="100"/>
      <c r="QOG2584" s="100"/>
      <c r="QOH2584" s="100"/>
      <c r="QOI2584" s="100"/>
      <c r="QOJ2584" s="100"/>
      <c r="QOK2584" s="100"/>
      <c r="QOL2584" s="100"/>
      <c r="QOM2584" s="100"/>
      <c r="QON2584" s="100"/>
      <c r="QOO2584" s="100"/>
      <c r="QOP2584" s="100"/>
      <c r="QOQ2584" s="100"/>
      <c r="QOR2584" s="100"/>
      <c r="QOS2584" s="100"/>
      <c r="QOT2584" s="100"/>
      <c r="QOU2584" s="100"/>
      <c r="QOV2584" s="100"/>
      <c r="QOW2584" s="100"/>
      <c r="QOX2584" s="100"/>
      <c r="QOY2584" s="100"/>
      <c r="QOZ2584" s="100"/>
      <c r="QPA2584" s="100"/>
      <c r="QPB2584" s="100"/>
      <c r="QPC2584" s="100"/>
      <c r="QPD2584" s="100"/>
      <c r="QPE2584" s="100"/>
      <c r="QPF2584" s="100"/>
      <c r="QPG2584" s="100"/>
      <c r="QPH2584" s="100"/>
      <c r="QPI2584" s="100"/>
      <c r="QPJ2584" s="100"/>
      <c r="QPK2584" s="100"/>
      <c r="QPL2584" s="100"/>
      <c r="QPM2584" s="100"/>
      <c r="QPN2584" s="100"/>
      <c r="QPO2584" s="100"/>
      <c r="QPP2584" s="100"/>
      <c r="QPQ2584" s="100"/>
      <c r="QPR2584" s="100"/>
      <c r="QPS2584" s="100"/>
      <c r="QPT2584" s="100"/>
      <c r="QPU2584" s="100"/>
      <c r="QPV2584" s="100"/>
      <c r="QPW2584" s="100"/>
      <c r="QPX2584" s="100"/>
      <c r="QPY2584" s="100"/>
      <c r="QPZ2584" s="100"/>
      <c r="QQA2584" s="100"/>
      <c r="QQB2584" s="100"/>
      <c r="QQC2584" s="100"/>
      <c r="QQD2584" s="100"/>
      <c r="QQE2584" s="100"/>
      <c r="QQF2584" s="100"/>
      <c r="QQG2584" s="100"/>
      <c r="QQH2584" s="100"/>
      <c r="QQI2584" s="100"/>
      <c r="QQJ2584" s="100"/>
      <c r="QQK2584" s="100"/>
      <c r="QQL2584" s="100"/>
      <c r="QQM2584" s="100"/>
      <c r="QQN2584" s="100"/>
      <c r="QQO2584" s="100"/>
      <c r="QQP2584" s="100"/>
      <c r="QQQ2584" s="100"/>
      <c r="QQR2584" s="100"/>
      <c r="QQS2584" s="100"/>
      <c r="QQT2584" s="100"/>
      <c r="QQU2584" s="100"/>
      <c r="QQV2584" s="100"/>
      <c r="QQW2584" s="100"/>
      <c r="QQX2584" s="100"/>
      <c r="QQY2584" s="100"/>
      <c r="QQZ2584" s="100"/>
      <c r="QRA2584" s="100"/>
      <c r="QRB2584" s="100"/>
      <c r="QRC2584" s="100"/>
      <c r="QRD2584" s="100"/>
      <c r="QRE2584" s="100"/>
      <c r="QRF2584" s="100"/>
      <c r="QRG2584" s="100"/>
      <c r="QRH2584" s="100"/>
      <c r="QRI2584" s="100"/>
      <c r="QRJ2584" s="100"/>
      <c r="QRK2584" s="100"/>
      <c r="QRL2584" s="100"/>
      <c r="QRM2584" s="100"/>
      <c r="QRN2584" s="100"/>
      <c r="QRO2584" s="100"/>
      <c r="QRP2584" s="100"/>
      <c r="QRQ2584" s="100"/>
      <c r="QRR2584" s="100"/>
      <c r="QRS2584" s="100"/>
      <c r="QRT2584" s="100"/>
      <c r="QRU2584" s="100"/>
      <c r="QRV2584" s="100"/>
      <c r="QRW2584" s="100"/>
      <c r="QRX2584" s="100"/>
      <c r="QRY2584" s="100"/>
      <c r="QRZ2584" s="100"/>
      <c r="QSA2584" s="100"/>
      <c r="QSB2584" s="100"/>
      <c r="QSC2584" s="100"/>
      <c r="QSD2584" s="100"/>
      <c r="QSE2584" s="100"/>
      <c r="QSF2584" s="100"/>
      <c r="QSG2584" s="100"/>
      <c r="QSH2584" s="100"/>
      <c r="QSI2584" s="100"/>
      <c r="QSJ2584" s="100"/>
      <c r="QSK2584" s="100"/>
      <c r="QSL2584" s="100"/>
      <c r="QSM2584" s="100"/>
      <c r="QSN2584" s="100"/>
      <c r="QSO2584" s="100"/>
      <c r="QSP2584" s="100"/>
      <c r="QSQ2584" s="100"/>
      <c r="QSR2584" s="100"/>
      <c r="QSS2584" s="100"/>
      <c r="QST2584" s="100"/>
      <c r="QSU2584" s="100"/>
      <c r="QSV2584" s="100"/>
      <c r="QSW2584" s="100"/>
      <c r="QSX2584" s="100"/>
      <c r="QSY2584" s="100"/>
      <c r="QSZ2584" s="100"/>
      <c r="QTA2584" s="100"/>
      <c r="QTB2584" s="100"/>
      <c r="QTC2584" s="100"/>
      <c r="QTD2584" s="100"/>
      <c r="QTE2584" s="100"/>
      <c r="QTF2584" s="100"/>
      <c r="QTG2584" s="100"/>
      <c r="QTH2584" s="100"/>
      <c r="QTI2584" s="100"/>
      <c r="QTJ2584" s="100"/>
      <c r="QTK2584" s="100"/>
      <c r="QTL2584" s="100"/>
      <c r="QTM2584" s="100"/>
      <c r="QTN2584" s="100"/>
      <c r="QTO2584" s="100"/>
      <c r="QTP2584" s="100"/>
      <c r="QTQ2584" s="100"/>
      <c r="QTR2584" s="100"/>
      <c r="QTS2584" s="100"/>
      <c r="QTT2584" s="100"/>
      <c r="QTU2584" s="100"/>
      <c r="QTV2584" s="100"/>
      <c r="QTW2584" s="100"/>
      <c r="QTX2584" s="100"/>
      <c r="QTY2584" s="100"/>
      <c r="QTZ2584" s="100"/>
      <c r="QUA2584" s="100"/>
      <c r="QUB2584" s="100"/>
      <c r="QUC2584" s="100"/>
      <c r="QUD2584" s="100"/>
      <c r="QUE2584" s="100"/>
      <c r="QUF2584" s="100"/>
      <c r="QUG2584" s="100"/>
      <c r="QUH2584" s="100"/>
      <c r="QUI2584" s="100"/>
      <c r="QUJ2584" s="100"/>
      <c r="QUK2584" s="100"/>
      <c r="QUL2584" s="100"/>
      <c r="QUM2584" s="100"/>
      <c r="QUN2584" s="100"/>
      <c r="QUO2584" s="100"/>
      <c r="QUP2584" s="100"/>
      <c r="QUQ2584" s="100"/>
      <c r="QUR2584" s="100"/>
      <c r="QUS2584" s="100"/>
      <c r="QUT2584" s="100"/>
      <c r="QUU2584" s="100"/>
      <c r="QUV2584" s="100"/>
      <c r="QUW2584" s="100"/>
      <c r="QUX2584" s="100"/>
      <c r="QUY2584" s="100"/>
      <c r="QUZ2584" s="100"/>
      <c r="QVA2584" s="100"/>
      <c r="QVB2584" s="100"/>
      <c r="QVC2584" s="100"/>
      <c r="QVD2584" s="100"/>
      <c r="QVE2584" s="100"/>
      <c r="QVF2584" s="100"/>
      <c r="QVG2584" s="100"/>
      <c r="QVH2584" s="100"/>
      <c r="QVI2584" s="100"/>
      <c r="QVJ2584" s="100"/>
      <c r="QVK2584" s="100"/>
      <c r="QVL2584" s="100"/>
      <c r="QVM2584" s="100"/>
      <c r="QVN2584" s="100"/>
      <c r="QVO2584" s="100"/>
      <c r="QVP2584" s="100"/>
      <c r="QVQ2584" s="100"/>
      <c r="QVR2584" s="100"/>
      <c r="QVS2584" s="100"/>
      <c r="QVT2584" s="100"/>
      <c r="QVU2584" s="100"/>
      <c r="QVV2584" s="100"/>
      <c r="QVW2584" s="100"/>
      <c r="QVX2584" s="100"/>
      <c r="QVY2584" s="100"/>
      <c r="QVZ2584" s="100"/>
      <c r="QWA2584" s="100"/>
      <c r="QWB2584" s="100"/>
      <c r="QWC2584" s="100"/>
      <c r="QWD2584" s="100"/>
      <c r="QWE2584" s="100"/>
      <c r="QWF2584" s="100"/>
      <c r="QWG2584" s="100"/>
      <c r="QWH2584" s="100"/>
      <c r="QWI2584" s="100"/>
      <c r="QWJ2584" s="100"/>
      <c r="QWK2584" s="100"/>
      <c r="QWL2584" s="100"/>
      <c r="QWM2584" s="100"/>
      <c r="QWN2584" s="100"/>
      <c r="QWO2584" s="100"/>
      <c r="QWP2584" s="100"/>
      <c r="QWQ2584" s="100"/>
      <c r="QWR2584" s="100"/>
      <c r="QWS2584" s="100"/>
      <c r="QWT2584" s="100"/>
      <c r="QWU2584" s="100"/>
      <c r="QWV2584" s="100"/>
      <c r="QWW2584" s="100"/>
      <c r="QWX2584" s="100"/>
      <c r="QWY2584" s="100"/>
      <c r="QWZ2584" s="100"/>
      <c r="QXA2584" s="100"/>
      <c r="QXB2584" s="100"/>
      <c r="QXC2584" s="100"/>
      <c r="QXD2584" s="100"/>
      <c r="QXE2584" s="100"/>
      <c r="QXF2584" s="100"/>
      <c r="QXG2584" s="100"/>
      <c r="QXH2584" s="100"/>
      <c r="QXI2584" s="100"/>
      <c r="QXJ2584" s="100"/>
      <c r="QXK2584" s="100"/>
      <c r="QXL2584" s="100"/>
      <c r="QXM2584" s="100"/>
      <c r="QXN2584" s="100"/>
      <c r="QXO2584" s="100"/>
      <c r="QXP2584" s="100"/>
      <c r="QXQ2584" s="100"/>
      <c r="QXR2584" s="100"/>
      <c r="QXS2584" s="100"/>
      <c r="QXT2584" s="100"/>
      <c r="QXU2584" s="100"/>
      <c r="QXV2584" s="100"/>
      <c r="QXW2584" s="100"/>
      <c r="QXX2584" s="100"/>
      <c r="QXY2584" s="100"/>
      <c r="QXZ2584" s="100"/>
      <c r="QYA2584" s="100"/>
      <c r="QYB2584" s="100"/>
      <c r="QYC2584" s="100"/>
      <c r="QYD2584" s="100"/>
      <c r="QYE2584" s="100"/>
      <c r="QYF2584" s="100"/>
      <c r="QYG2584" s="100"/>
      <c r="QYH2584" s="100"/>
      <c r="QYI2584" s="100"/>
      <c r="QYJ2584" s="100"/>
      <c r="QYK2584" s="100"/>
      <c r="QYL2584" s="100"/>
      <c r="QYM2584" s="100"/>
      <c r="QYN2584" s="100"/>
      <c r="QYO2584" s="100"/>
      <c r="QYP2584" s="100"/>
      <c r="QYQ2584" s="100"/>
      <c r="QYR2584" s="100"/>
      <c r="QYS2584" s="100"/>
      <c r="QYT2584" s="100"/>
      <c r="QYU2584" s="100"/>
      <c r="QYV2584" s="100"/>
      <c r="QYW2584" s="100"/>
      <c r="QYX2584" s="100"/>
      <c r="QYY2584" s="100"/>
      <c r="QYZ2584" s="100"/>
      <c r="QZA2584" s="100"/>
      <c r="QZB2584" s="100"/>
      <c r="QZC2584" s="100"/>
      <c r="QZD2584" s="100"/>
      <c r="QZE2584" s="100"/>
      <c r="QZF2584" s="100"/>
      <c r="QZG2584" s="100"/>
      <c r="QZH2584" s="100"/>
      <c r="QZI2584" s="100"/>
      <c r="QZJ2584" s="100"/>
      <c r="QZK2584" s="100"/>
      <c r="QZL2584" s="100"/>
      <c r="QZM2584" s="100"/>
      <c r="QZN2584" s="100"/>
      <c r="QZO2584" s="100"/>
      <c r="QZP2584" s="100"/>
      <c r="QZQ2584" s="100"/>
      <c r="QZR2584" s="100"/>
      <c r="QZS2584" s="100"/>
      <c r="QZT2584" s="100"/>
      <c r="QZU2584" s="100"/>
      <c r="QZV2584" s="100"/>
      <c r="QZW2584" s="100"/>
      <c r="QZX2584" s="100"/>
      <c r="QZY2584" s="100"/>
      <c r="QZZ2584" s="100"/>
      <c r="RAA2584" s="100"/>
      <c r="RAB2584" s="100"/>
      <c r="RAC2584" s="100"/>
      <c r="RAD2584" s="100"/>
      <c r="RAE2584" s="100"/>
      <c r="RAF2584" s="100"/>
      <c r="RAG2584" s="100"/>
      <c r="RAH2584" s="100"/>
      <c r="RAI2584" s="100"/>
      <c r="RAJ2584" s="100"/>
      <c r="RAK2584" s="100"/>
      <c r="RAL2584" s="100"/>
      <c r="RAM2584" s="100"/>
      <c r="RAN2584" s="100"/>
      <c r="RAO2584" s="100"/>
      <c r="RAP2584" s="100"/>
      <c r="RAQ2584" s="100"/>
      <c r="RAR2584" s="100"/>
      <c r="RAS2584" s="100"/>
      <c r="RAT2584" s="100"/>
      <c r="RAU2584" s="100"/>
      <c r="RAV2584" s="100"/>
      <c r="RAW2584" s="100"/>
      <c r="RAX2584" s="100"/>
      <c r="RAY2584" s="100"/>
      <c r="RAZ2584" s="100"/>
      <c r="RBA2584" s="100"/>
      <c r="RBB2584" s="100"/>
      <c r="RBC2584" s="100"/>
      <c r="RBD2584" s="100"/>
      <c r="RBE2584" s="100"/>
      <c r="RBF2584" s="100"/>
      <c r="RBG2584" s="100"/>
      <c r="RBH2584" s="100"/>
      <c r="RBI2584" s="100"/>
      <c r="RBJ2584" s="100"/>
      <c r="RBK2584" s="100"/>
      <c r="RBL2584" s="100"/>
      <c r="RBM2584" s="100"/>
      <c r="RBN2584" s="100"/>
      <c r="RBO2584" s="100"/>
      <c r="RBP2584" s="100"/>
      <c r="RBQ2584" s="100"/>
      <c r="RBR2584" s="100"/>
      <c r="RBS2584" s="100"/>
      <c r="RBT2584" s="100"/>
      <c r="RBU2584" s="100"/>
      <c r="RBV2584" s="100"/>
      <c r="RBW2584" s="100"/>
      <c r="RBX2584" s="100"/>
      <c r="RBY2584" s="100"/>
      <c r="RBZ2584" s="100"/>
      <c r="RCA2584" s="100"/>
      <c r="RCB2584" s="100"/>
      <c r="RCC2584" s="100"/>
      <c r="RCD2584" s="100"/>
      <c r="RCE2584" s="100"/>
      <c r="RCF2584" s="100"/>
      <c r="RCG2584" s="100"/>
      <c r="RCH2584" s="100"/>
      <c r="RCI2584" s="100"/>
      <c r="RCJ2584" s="100"/>
      <c r="RCK2584" s="100"/>
      <c r="RCL2584" s="100"/>
      <c r="RCM2584" s="100"/>
      <c r="RCN2584" s="100"/>
      <c r="RCO2584" s="100"/>
      <c r="RCP2584" s="100"/>
      <c r="RCQ2584" s="100"/>
      <c r="RCR2584" s="100"/>
      <c r="RCS2584" s="100"/>
      <c r="RCT2584" s="100"/>
      <c r="RCU2584" s="100"/>
      <c r="RCV2584" s="100"/>
      <c r="RCW2584" s="100"/>
      <c r="RCX2584" s="100"/>
      <c r="RCY2584" s="100"/>
      <c r="RCZ2584" s="100"/>
      <c r="RDA2584" s="100"/>
      <c r="RDB2584" s="100"/>
      <c r="RDC2584" s="100"/>
      <c r="RDD2584" s="100"/>
      <c r="RDE2584" s="100"/>
      <c r="RDF2584" s="100"/>
      <c r="RDG2584" s="100"/>
      <c r="RDH2584" s="100"/>
      <c r="RDI2584" s="100"/>
      <c r="RDJ2584" s="100"/>
      <c r="RDK2584" s="100"/>
      <c r="RDL2584" s="100"/>
      <c r="RDM2584" s="100"/>
      <c r="RDN2584" s="100"/>
      <c r="RDO2584" s="100"/>
      <c r="RDP2584" s="100"/>
      <c r="RDQ2584" s="100"/>
      <c r="RDR2584" s="100"/>
      <c r="RDS2584" s="100"/>
      <c r="RDT2584" s="100"/>
      <c r="RDU2584" s="100"/>
      <c r="RDV2584" s="100"/>
      <c r="RDW2584" s="100"/>
      <c r="RDX2584" s="100"/>
      <c r="RDY2584" s="100"/>
      <c r="RDZ2584" s="100"/>
      <c r="REA2584" s="100"/>
      <c r="REB2584" s="100"/>
      <c r="REC2584" s="100"/>
      <c r="RED2584" s="100"/>
      <c r="REE2584" s="100"/>
      <c r="REF2584" s="100"/>
      <c r="REG2584" s="100"/>
      <c r="REH2584" s="100"/>
      <c r="REI2584" s="100"/>
      <c r="REJ2584" s="100"/>
      <c r="REK2584" s="100"/>
      <c r="REL2584" s="100"/>
      <c r="REM2584" s="100"/>
      <c r="REN2584" s="100"/>
      <c r="REO2584" s="100"/>
      <c r="REP2584" s="100"/>
      <c r="REQ2584" s="100"/>
      <c r="RER2584" s="100"/>
      <c r="RES2584" s="100"/>
      <c r="RET2584" s="100"/>
      <c r="REU2584" s="100"/>
      <c r="REV2584" s="100"/>
      <c r="REW2584" s="100"/>
      <c r="REX2584" s="100"/>
      <c r="REY2584" s="100"/>
      <c r="REZ2584" s="100"/>
      <c r="RFA2584" s="100"/>
      <c r="RFB2584" s="100"/>
      <c r="RFC2584" s="100"/>
      <c r="RFD2584" s="100"/>
      <c r="RFE2584" s="100"/>
      <c r="RFF2584" s="100"/>
      <c r="RFG2584" s="100"/>
      <c r="RFH2584" s="100"/>
      <c r="RFI2584" s="100"/>
      <c r="RFJ2584" s="100"/>
      <c r="RFK2584" s="100"/>
      <c r="RFL2584" s="100"/>
      <c r="RFM2584" s="100"/>
      <c r="RFN2584" s="100"/>
      <c r="RFO2584" s="100"/>
      <c r="RFP2584" s="100"/>
      <c r="RFQ2584" s="100"/>
      <c r="RFR2584" s="100"/>
      <c r="RFS2584" s="100"/>
      <c r="RFT2584" s="100"/>
      <c r="RFU2584" s="100"/>
      <c r="RFV2584" s="100"/>
      <c r="RFW2584" s="100"/>
      <c r="RFX2584" s="100"/>
      <c r="RFY2584" s="100"/>
      <c r="RFZ2584" s="100"/>
      <c r="RGA2584" s="100"/>
      <c r="RGB2584" s="100"/>
      <c r="RGC2584" s="100"/>
      <c r="RGD2584" s="100"/>
      <c r="RGE2584" s="100"/>
      <c r="RGF2584" s="100"/>
      <c r="RGG2584" s="100"/>
      <c r="RGH2584" s="100"/>
      <c r="RGI2584" s="100"/>
      <c r="RGJ2584" s="100"/>
      <c r="RGK2584" s="100"/>
      <c r="RGL2584" s="100"/>
      <c r="RGM2584" s="100"/>
      <c r="RGN2584" s="100"/>
      <c r="RGO2584" s="100"/>
      <c r="RGP2584" s="100"/>
      <c r="RGQ2584" s="100"/>
      <c r="RGR2584" s="100"/>
      <c r="RGS2584" s="100"/>
      <c r="RGT2584" s="100"/>
      <c r="RGU2584" s="100"/>
      <c r="RGV2584" s="100"/>
      <c r="RGW2584" s="100"/>
      <c r="RGX2584" s="100"/>
      <c r="RGY2584" s="100"/>
      <c r="RGZ2584" s="100"/>
      <c r="RHA2584" s="100"/>
      <c r="RHB2584" s="100"/>
      <c r="RHC2584" s="100"/>
      <c r="RHD2584" s="100"/>
      <c r="RHE2584" s="100"/>
      <c r="RHF2584" s="100"/>
      <c r="RHG2584" s="100"/>
      <c r="RHH2584" s="100"/>
      <c r="RHI2584" s="100"/>
      <c r="RHJ2584" s="100"/>
      <c r="RHK2584" s="100"/>
      <c r="RHL2584" s="100"/>
      <c r="RHM2584" s="100"/>
      <c r="RHN2584" s="100"/>
      <c r="RHO2584" s="100"/>
      <c r="RHP2584" s="100"/>
      <c r="RHQ2584" s="100"/>
      <c r="RHR2584" s="100"/>
      <c r="RHS2584" s="100"/>
      <c r="RHT2584" s="100"/>
      <c r="RHU2584" s="100"/>
      <c r="RHV2584" s="100"/>
      <c r="RHW2584" s="100"/>
      <c r="RHX2584" s="100"/>
      <c r="RHY2584" s="100"/>
      <c r="RHZ2584" s="100"/>
      <c r="RIA2584" s="100"/>
      <c r="RIB2584" s="100"/>
      <c r="RIC2584" s="100"/>
      <c r="RID2584" s="100"/>
      <c r="RIE2584" s="100"/>
      <c r="RIF2584" s="100"/>
      <c r="RIG2584" s="100"/>
      <c r="RIH2584" s="100"/>
      <c r="RII2584" s="100"/>
      <c r="RIJ2584" s="100"/>
      <c r="RIK2584" s="100"/>
      <c r="RIL2584" s="100"/>
      <c r="RIM2584" s="100"/>
      <c r="RIN2584" s="100"/>
      <c r="RIO2584" s="100"/>
      <c r="RIP2584" s="100"/>
      <c r="RIQ2584" s="100"/>
      <c r="RIR2584" s="100"/>
      <c r="RIS2584" s="100"/>
      <c r="RIT2584" s="100"/>
      <c r="RIU2584" s="100"/>
      <c r="RIV2584" s="100"/>
      <c r="RIW2584" s="100"/>
      <c r="RIX2584" s="100"/>
      <c r="RIY2584" s="100"/>
      <c r="RIZ2584" s="100"/>
      <c r="RJA2584" s="100"/>
      <c r="RJB2584" s="100"/>
      <c r="RJC2584" s="100"/>
      <c r="RJD2584" s="100"/>
      <c r="RJE2584" s="100"/>
      <c r="RJF2584" s="100"/>
      <c r="RJG2584" s="100"/>
      <c r="RJH2584" s="100"/>
      <c r="RJI2584" s="100"/>
      <c r="RJJ2584" s="100"/>
      <c r="RJK2584" s="100"/>
      <c r="RJL2584" s="100"/>
      <c r="RJM2584" s="100"/>
      <c r="RJN2584" s="100"/>
      <c r="RJO2584" s="100"/>
      <c r="RJP2584" s="100"/>
      <c r="RJQ2584" s="100"/>
      <c r="RJR2584" s="100"/>
      <c r="RJS2584" s="100"/>
      <c r="RJT2584" s="100"/>
      <c r="RJU2584" s="100"/>
      <c r="RJV2584" s="100"/>
      <c r="RJW2584" s="100"/>
      <c r="RJX2584" s="100"/>
      <c r="RJY2584" s="100"/>
      <c r="RJZ2584" s="100"/>
      <c r="RKA2584" s="100"/>
      <c r="RKB2584" s="100"/>
      <c r="RKC2584" s="100"/>
      <c r="RKD2584" s="100"/>
      <c r="RKE2584" s="100"/>
      <c r="RKF2584" s="100"/>
      <c r="RKG2584" s="100"/>
      <c r="RKH2584" s="100"/>
      <c r="RKI2584" s="100"/>
      <c r="RKJ2584" s="100"/>
      <c r="RKK2584" s="100"/>
      <c r="RKL2584" s="100"/>
      <c r="RKM2584" s="100"/>
      <c r="RKN2584" s="100"/>
      <c r="RKO2584" s="100"/>
      <c r="RKP2584" s="100"/>
      <c r="RKQ2584" s="100"/>
      <c r="RKR2584" s="100"/>
      <c r="RKS2584" s="100"/>
      <c r="RKT2584" s="100"/>
      <c r="RKU2584" s="100"/>
      <c r="RKV2584" s="100"/>
      <c r="RKW2584" s="100"/>
      <c r="RKX2584" s="100"/>
      <c r="RKY2584" s="100"/>
      <c r="RKZ2584" s="100"/>
      <c r="RLA2584" s="100"/>
      <c r="RLB2584" s="100"/>
      <c r="RLC2584" s="100"/>
      <c r="RLD2584" s="100"/>
      <c r="RLE2584" s="100"/>
      <c r="RLF2584" s="100"/>
      <c r="RLG2584" s="100"/>
      <c r="RLH2584" s="100"/>
      <c r="RLI2584" s="100"/>
      <c r="RLJ2584" s="100"/>
      <c r="RLK2584" s="100"/>
      <c r="RLL2584" s="100"/>
      <c r="RLM2584" s="100"/>
      <c r="RLN2584" s="100"/>
      <c r="RLO2584" s="100"/>
      <c r="RLP2584" s="100"/>
      <c r="RLQ2584" s="100"/>
      <c r="RLR2584" s="100"/>
      <c r="RLS2584" s="100"/>
      <c r="RLT2584" s="100"/>
      <c r="RLU2584" s="100"/>
      <c r="RLV2584" s="100"/>
      <c r="RLW2584" s="100"/>
      <c r="RLX2584" s="100"/>
      <c r="RLY2584" s="100"/>
      <c r="RLZ2584" s="100"/>
      <c r="RMA2584" s="100"/>
      <c r="RMB2584" s="100"/>
      <c r="RMC2584" s="100"/>
      <c r="RMD2584" s="100"/>
      <c r="RME2584" s="100"/>
      <c r="RMF2584" s="100"/>
      <c r="RMG2584" s="100"/>
      <c r="RMH2584" s="100"/>
      <c r="RMI2584" s="100"/>
      <c r="RMJ2584" s="100"/>
      <c r="RMK2584" s="100"/>
      <c r="RML2584" s="100"/>
      <c r="RMM2584" s="100"/>
      <c r="RMN2584" s="100"/>
      <c r="RMO2584" s="100"/>
      <c r="RMP2584" s="100"/>
      <c r="RMQ2584" s="100"/>
      <c r="RMR2584" s="100"/>
      <c r="RMS2584" s="100"/>
      <c r="RMT2584" s="100"/>
      <c r="RMU2584" s="100"/>
      <c r="RMV2584" s="100"/>
      <c r="RMW2584" s="100"/>
      <c r="RMX2584" s="100"/>
      <c r="RMY2584" s="100"/>
      <c r="RMZ2584" s="100"/>
      <c r="RNA2584" s="100"/>
      <c r="RNB2584" s="100"/>
      <c r="RNC2584" s="100"/>
      <c r="RND2584" s="100"/>
      <c r="RNE2584" s="100"/>
      <c r="RNF2584" s="100"/>
      <c r="RNG2584" s="100"/>
      <c r="RNH2584" s="100"/>
      <c r="RNI2584" s="100"/>
      <c r="RNJ2584" s="100"/>
      <c r="RNK2584" s="100"/>
      <c r="RNL2584" s="100"/>
      <c r="RNM2584" s="100"/>
      <c r="RNN2584" s="100"/>
      <c r="RNO2584" s="100"/>
      <c r="RNP2584" s="100"/>
      <c r="RNQ2584" s="100"/>
      <c r="RNR2584" s="100"/>
      <c r="RNS2584" s="100"/>
      <c r="RNT2584" s="100"/>
      <c r="RNU2584" s="100"/>
      <c r="RNV2584" s="100"/>
      <c r="RNW2584" s="100"/>
      <c r="RNX2584" s="100"/>
      <c r="RNY2584" s="100"/>
      <c r="RNZ2584" s="100"/>
      <c r="ROA2584" s="100"/>
      <c r="ROB2584" s="100"/>
      <c r="ROC2584" s="100"/>
      <c r="ROD2584" s="100"/>
      <c r="ROE2584" s="100"/>
      <c r="ROF2584" s="100"/>
      <c r="ROG2584" s="100"/>
      <c r="ROH2584" s="100"/>
      <c r="ROI2584" s="100"/>
      <c r="ROJ2584" s="100"/>
      <c r="ROK2584" s="100"/>
      <c r="ROL2584" s="100"/>
      <c r="ROM2584" s="100"/>
      <c r="RON2584" s="100"/>
      <c r="ROO2584" s="100"/>
      <c r="ROP2584" s="100"/>
      <c r="ROQ2584" s="100"/>
      <c r="ROR2584" s="100"/>
      <c r="ROS2584" s="100"/>
      <c r="ROT2584" s="100"/>
      <c r="ROU2584" s="100"/>
      <c r="ROV2584" s="100"/>
      <c r="ROW2584" s="100"/>
      <c r="ROX2584" s="100"/>
      <c r="ROY2584" s="100"/>
      <c r="ROZ2584" s="100"/>
      <c r="RPA2584" s="100"/>
      <c r="RPB2584" s="100"/>
      <c r="RPC2584" s="100"/>
      <c r="RPD2584" s="100"/>
      <c r="RPE2584" s="100"/>
      <c r="RPF2584" s="100"/>
      <c r="RPG2584" s="100"/>
      <c r="RPH2584" s="100"/>
      <c r="RPI2584" s="100"/>
      <c r="RPJ2584" s="100"/>
      <c r="RPK2584" s="100"/>
      <c r="RPL2584" s="100"/>
      <c r="RPM2584" s="100"/>
      <c r="RPN2584" s="100"/>
      <c r="RPO2584" s="100"/>
      <c r="RPP2584" s="100"/>
      <c r="RPQ2584" s="100"/>
      <c r="RPR2584" s="100"/>
      <c r="RPS2584" s="100"/>
      <c r="RPT2584" s="100"/>
      <c r="RPU2584" s="100"/>
      <c r="RPV2584" s="100"/>
      <c r="RPW2584" s="100"/>
      <c r="RPX2584" s="100"/>
      <c r="RPY2584" s="100"/>
      <c r="RPZ2584" s="100"/>
      <c r="RQA2584" s="100"/>
      <c r="RQB2584" s="100"/>
      <c r="RQC2584" s="100"/>
      <c r="RQD2584" s="100"/>
      <c r="RQE2584" s="100"/>
      <c r="RQF2584" s="100"/>
      <c r="RQG2584" s="100"/>
      <c r="RQH2584" s="100"/>
      <c r="RQI2584" s="100"/>
      <c r="RQJ2584" s="100"/>
      <c r="RQK2584" s="100"/>
      <c r="RQL2584" s="100"/>
      <c r="RQM2584" s="100"/>
      <c r="RQN2584" s="100"/>
      <c r="RQO2584" s="100"/>
      <c r="RQP2584" s="100"/>
      <c r="RQQ2584" s="100"/>
      <c r="RQR2584" s="100"/>
      <c r="RQS2584" s="100"/>
      <c r="RQT2584" s="100"/>
      <c r="RQU2584" s="100"/>
      <c r="RQV2584" s="100"/>
      <c r="RQW2584" s="100"/>
      <c r="RQX2584" s="100"/>
      <c r="RQY2584" s="100"/>
      <c r="RQZ2584" s="100"/>
      <c r="RRA2584" s="100"/>
      <c r="RRB2584" s="100"/>
      <c r="RRC2584" s="100"/>
      <c r="RRD2584" s="100"/>
      <c r="RRE2584" s="100"/>
      <c r="RRF2584" s="100"/>
      <c r="RRG2584" s="100"/>
      <c r="RRH2584" s="100"/>
      <c r="RRI2584" s="100"/>
      <c r="RRJ2584" s="100"/>
      <c r="RRK2584" s="100"/>
      <c r="RRL2584" s="100"/>
      <c r="RRM2584" s="100"/>
      <c r="RRN2584" s="100"/>
      <c r="RRO2584" s="100"/>
      <c r="RRP2584" s="100"/>
      <c r="RRQ2584" s="100"/>
      <c r="RRR2584" s="100"/>
      <c r="RRS2584" s="100"/>
      <c r="RRT2584" s="100"/>
      <c r="RRU2584" s="100"/>
      <c r="RRV2584" s="100"/>
      <c r="RRW2584" s="100"/>
      <c r="RRX2584" s="100"/>
      <c r="RRY2584" s="100"/>
      <c r="RRZ2584" s="100"/>
      <c r="RSA2584" s="100"/>
      <c r="RSB2584" s="100"/>
      <c r="RSC2584" s="100"/>
      <c r="RSD2584" s="100"/>
      <c r="RSE2584" s="100"/>
      <c r="RSF2584" s="100"/>
      <c r="RSG2584" s="100"/>
      <c r="RSH2584" s="100"/>
      <c r="RSI2584" s="100"/>
      <c r="RSJ2584" s="100"/>
      <c r="RSK2584" s="100"/>
      <c r="RSL2584" s="100"/>
      <c r="RSM2584" s="100"/>
      <c r="RSN2584" s="100"/>
      <c r="RSO2584" s="100"/>
      <c r="RSP2584" s="100"/>
      <c r="RSQ2584" s="100"/>
      <c r="RSR2584" s="100"/>
      <c r="RSS2584" s="100"/>
      <c r="RST2584" s="100"/>
      <c r="RSU2584" s="100"/>
      <c r="RSV2584" s="100"/>
      <c r="RSW2584" s="100"/>
      <c r="RSX2584" s="100"/>
      <c r="RSY2584" s="100"/>
      <c r="RSZ2584" s="100"/>
      <c r="RTA2584" s="100"/>
      <c r="RTB2584" s="100"/>
      <c r="RTC2584" s="100"/>
      <c r="RTD2584" s="100"/>
      <c r="RTE2584" s="100"/>
      <c r="RTF2584" s="100"/>
      <c r="RTG2584" s="100"/>
      <c r="RTH2584" s="100"/>
      <c r="RTI2584" s="100"/>
      <c r="RTJ2584" s="100"/>
      <c r="RTK2584" s="100"/>
      <c r="RTL2584" s="100"/>
      <c r="RTM2584" s="100"/>
      <c r="RTN2584" s="100"/>
      <c r="RTO2584" s="100"/>
      <c r="RTP2584" s="100"/>
      <c r="RTQ2584" s="100"/>
      <c r="RTR2584" s="100"/>
      <c r="RTS2584" s="100"/>
      <c r="RTT2584" s="100"/>
      <c r="RTU2584" s="100"/>
      <c r="RTV2584" s="100"/>
      <c r="RTW2584" s="100"/>
      <c r="RTX2584" s="100"/>
      <c r="RTY2584" s="100"/>
      <c r="RTZ2584" s="100"/>
      <c r="RUA2584" s="100"/>
      <c r="RUB2584" s="100"/>
      <c r="RUC2584" s="100"/>
      <c r="RUD2584" s="100"/>
      <c r="RUE2584" s="100"/>
      <c r="RUF2584" s="100"/>
      <c r="RUG2584" s="100"/>
      <c r="RUH2584" s="100"/>
      <c r="RUI2584" s="100"/>
      <c r="RUJ2584" s="100"/>
      <c r="RUK2584" s="100"/>
      <c r="RUL2584" s="100"/>
      <c r="RUM2584" s="100"/>
      <c r="RUN2584" s="100"/>
      <c r="RUO2584" s="100"/>
      <c r="RUP2584" s="100"/>
      <c r="RUQ2584" s="100"/>
      <c r="RUR2584" s="100"/>
      <c r="RUS2584" s="100"/>
      <c r="RUT2584" s="100"/>
      <c r="RUU2584" s="100"/>
      <c r="RUV2584" s="100"/>
      <c r="RUW2584" s="100"/>
      <c r="RUX2584" s="100"/>
      <c r="RUY2584" s="100"/>
      <c r="RUZ2584" s="100"/>
      <c r="RVA2584" s="100"/>
      <c r="RVB2584" s="100"/>
      <c r="RVC2584" s="100"/>
      <c r="RVD2584" s="100"/>
      <c r="RVE2584" s="100"/>
      <c r="RVF2584" s="100"/>
      <c r="RVG2584" s="100"/>
      <c r="RVH2584" s="100"/>
      <c r="RVI2584" s="100"/>
      <c r="RVJ2584" s="100"/>
      <c r="RVK2584" s="100"/>
      <c r="RVL2584" s="100"/>
      <c r="RVM2584" s="100"/>
      <c r="RVN2584" s="100"/>
      <c r="RVO2584" s="100"/>
      <c r="RVP2584" s="100"/>
      <c r="RVQ2584" s="100"/>
      <c r="RVR2584" s="100"/>
      <c r="RVS2584" s="100"/>
      <c r="RVT2584" s="100"/>
      <c r="RVU2584" s="100"/>
      <c r="RVV2584" s="100"/>
      <c r="RVW2584" s="100"/>
      <c r="RVX2584" s="100"/>
      <c r="RVY2584" s="100"/>
      <c r="RVZ2584" s="100"/>
      <c r="RWA2584" s="100"/>
      <c r="RWB2584" s="100"/>
      <c r="RWC2584" s="100"/>
      <c r="RWD2584" s="100"/>
      <c r="RWE2584" s="100"/>
      <c r="RWF2584" s="100"/>
      <c r="RWG2584" s="100"/>
      <c r="RWH2584" s="100"/>
      <c r="RWI2584" s="100"/>
      <c r="RWJ2584" s="100"/>
      <c r="RWK2584" s="100"/>
      <c r="RWL2584" s="100"/>
      <c r="RWM2584" s="100"/>
      <c r="RWN2584" s="100"/>
      <c r="RWO2584" s="100"/>
      <c r="RWP2584" s="100"/>
      <c r="RWQ2584" s="100"/>
      <c r="RWR2584" s="100"/>
      <c r="RWS2584" s="100"/>
      <c r="RWT2584" s="100"/>
      <c r="RWU2584" s="100"/>
      <c r="RWV2584" s="100"/>
      <c r="RWW2584" s="100"/>
      <c r="RWX2584" s="100"/>
      <c r="RWY2584" s="100"/>
      <c r="RWZ2584" s="100"/>
      <c r="RXA2584" s="100"/>
      <c r="RXB2584" s="100"/>
      <c r="RXC2584" s="100"/>
      <c r="RXD2584" s="100"/>
      <c r="RXE2584" s="100"/>
      <c r="RXF2584" s="100"/>
      <c r="RXG2584" s="100"/>
      <c r="RXH2584" s="100"/>
      <c r="RXI2584" s="100"/>
      <c r="RXJ2584" s="100"/>
      <c r="RXK2584" s="100"/>
      <c r="RXL2584" s="100"/>
      <c r="RXM2584" s="100"/>
      <c r="RXN2584" s="100"/>
      <c r="RXO2584" s="100"/>
      <c r="RXP2584" s="100"/>
      <c r="RXQ2584" s="100"/>
      <c r="RXR2584" s="100"/>
      <c r="RXS2584" s="100"/>
      <c r="RXT2584" s="100"/>
      <c r="RXU2584" s="100"/>
      <c r="RXV2584" s="100"/>
      <c r="RXW2584" s="100"/>
      <c r="RXX2584" s="100"/>
      <c r="RXY2584" s="100"/>
      <c r="RXZ2584" s="100"/>
      <c r="RYA2584" s="100"/>
      <c r="RYB2584" s="100"/>
      <c r="RYC2584" s="100"/>
      <c r="RYD2584" s="100"/>
      <c r="RYE2584" s="100"/>
      <c r="RYF2584" s="100"/>
      <c r="RYG2584" s="100"/>
      <c r="RYH2584" s="100"/>
      <c r="RYI2584" s="100"/>
      <c r="RYJ2584" s="100"/>
      <c r="RYK2584" s="100"/>
      <c r="RYL2584" s="100"/>
      <c r="RYM2584" s="100"/>
      <c r="RYN2584" s="100"/>
      <c r="RYO2584" s="100"/>
      <c r="RYP2584" s="100"/>
      <c r="RYQ2584" s="100"/>
      <c r="RYR2584" s="100"/>
      <c r="RYS2584" s="100"/>
      <c r="RYT2584" s="100"/>
      <c r="RYU2584" s="100"/>
      <c r="RYV2584" s="100"/>
      <c r="RYW2584" s="100"/>
      <c r="RYX2584" s="100"/>
      <c r="RYY2584" s="100"/>
      <c r="RYZ2584" s="100"/>
      <c r="RZA2584" s="100"/>
      <c r="RZB2584" s="100"/>
      <c r="RZC2584" s="100"/>
      <c r="RZD2584" s="100"/>
      <c r="RZE2584" s="100"/>
      <c r="RZF2584" s="100"/>
      <c r="RZG2584" s="100"/>
      <c r="RZH2584" s="100"/>
      <c r="RZI2584" s="100"/>
      <c r="RZJ2584" s="100"/>
      <c r="RZK2584" s="100"/>
      <c r="RZL2584" s="100"/>
      <c r="RZM2584" s="100"/>
      <c r="RZN2584" s="100"/>
      <c r="RZO2584" s="100"/>
      <c r="RZP2584" s="100"/>
      <c r="RZQ2584" s="100"/>
      <c r="RZR2584" s="100"/>
      <c r="RZS2584" s="100"/>
      <c r="RZT2584" s="100"/>
      <c r="RZU2584" s="100"/>
      <c r="RZV2584" s="100"/>
      <c r="RZW2584" s="100"/>
      <c r="RZX2584" s="100"/>
      <c r="RZY2584" s="100"/>
      <c r="RZZ2584" s="100"/>
      <c r="SAA2584" s="100"/>
      <c r="SAB2584" s="100"/>
      <c r="SAC2584" s="100"/>
      <c r="SAD2584" s="100"/>
      <c r="SAE2584" s="100"/>
      <c r="SAF2584" s="100"/>
      <c r="SAG2584" s="100"/>
      <c r="SAH2584" s="100"/>
      <c r="SAI2584" s="100"/>
      <c r="SAJ2584" s="100"/>
      <c r="SAK2584" s="100"/>
      <c r="SAL2584" s="100"/>
      <c r="SAM2584" s="100"/>
      <c r="SAN2584" s="100"/>
      <c r="SAO2584" s="100"/>
      <c r="SAP2584" s="100"/>
      <c r="SAQ2584" s="100"/>
      <c r="SAR2584" s="100"/>
      <c r="SAS2584" s="100"/>
      <c r="SAT2584" s="100"/>
      <c r="SAU2584" s="100"/>
      <c r="SAV2584" s="100"/>
      <c r="SAW2584" s="100"/>
      <c r="SAX2584" s="100"/>
      <c r="SAY2584" s="100"/>
      <c r="SAZ2584" s="100"/>
      <c r="SBA2584" s="100"/>
      <c r="SBB2584" s="100"/>
      <c r="SBC2584" s="100"/>
      <c r="SBD2584" s="100"/>
      <c r="SBE2584" s="100"/>
      <c r="SBF2584" s="100"/>
      <c r="SBG2584" s="100"/>
      <c r="SBH2584" s="100"/>
      <c r="SBI2584" s="100"/>
      <c r="SBJ2584" s="100"/>
      <c r="SBK2584" s="100"/>
      <c r="SBL2584" s="100"/>
      <c r="SBM2584" s="100"/>
      <c r="SBN2584" s="100"/>
      <c r="SBO2584" s="100"/>
      <c r="SBP2584" s="100"/>
      <c r="SBQ2584" s="100"/>
      <c r="SBR2584" s="100"/>
      <c r="SBS2584" s="100"/>
      <c r="SBT2584" s="100"/>
      <c r="SBU2584" s="100"/>
      <c r="SBV2584" s="100"/>
      <c r="SBW2584" s="100"/>
      <c r="SBX2584" s="100"/>
      <c r="SBY2584" s="100"/>
      <c r="SBZ2584" s="100"/>
      <c r="SCA2584" s="100"/>
      <c r="SCB2584" s="100"/>
      <c r="SCC2584" s="100"/>
      <c r="SCD2584" s="100"/>
      <c r="SCE2584" s="100"/>
      <c r="SCF2584" s="100"/>
      <c r="SCG2584" s="100"/>
      <c r="SCH2584" s="100"/>
      <c r="SCI2584" s="100"/>
      <c r="SCJ2584" s="100"/>
      <c r="SCK2584" s="100"/>
      <c r="SCL2584" s="100"/>
      <c r="SCM2584" s="100"/>
      <c r="SCN2584" s="100"/>
      <c r="SCO2584" s="100"/>
      <c r="SCP2584" s="100"/>
      <c r="SCQ2584" s="100"/>
      <c r="SCR2584" s="100"/>
      <c r="SCS2584" s="100"/>
      <c r="SCT2584" s="100"/>
      <c r="SCU2584" s="100"/>
      <c r="SCV2584" s="100"/>
      <c r="SCW2584" s="100"/>
      <c r="SCX2584" s="100"/>
      <c r="SCY2584" s="100"/>
      <c r="SCZ2584" s="100"/>
      <c r="SDA2584" s="100"/>
      <c r="SDB2584" s="100"/>
      <c r="SDC2584" s="100"/>
      <c r="SDD2584" s="100"/>
      <c r="SDE2584" s="100"/>
      <c r="SDF2584" s="100"/>
      <c r="SDG2584" s="100"/>
      <c r="SDH2584" s="100"/>
      <c r="SDI2584" s="100"/>
      <c r="SDJ2584" s="100"/>
      <c r="SDK2584" s="100"/>
      <c r="SDL2584" s="100"/>
      <c r="SDM2584" s="100"/>
      <c r="SDN2584" s="100"/>
      <c r="SDO2584" s="100"/>
      <c r="SDP2584" s="100"/>
      <c r="SDQ2584" s="100"/>
      <c r="SDR2584" s="100"/>
      <c r="SDS2584" s="100"/>
      <c r="SDT2584" s="100"/>
      <c r="SDU2584" s="100"/>
      <c r="SDV2584" s="100"/>
      <c r="SDW2584" s="100"/>
      <c r="SDX2584" s="100"/>
      <c r="SDY2584" s="100"/>
      <c r="SDZ2584" s="100"/>
      <c r="SEA2584" s="100"/>
      <c r="SEB2584" s="100"/>
      <c r="SEC2584" s="100"/>
      <c r="SED2584" s="100"/>
      <c r="SEE2584" s="100"/>
      <c r="SEF2584" s="100"/>
      <c r="SEG2584" s="100"/>
      <c r="SEH2584" s="100"/>
      <c r="SEI2584" s="100"/>
      <c r="SEJ2584" s="100"/>
      <c r="SEK2584" s="100"/>
      <c r="SEL2584" s="100"/>
      <c r="SEM2584" s="100"/>
      <c r="SEN2584" s="100"/>
      <c r="SEO2584" s="100"/>
      <c r="SEP2584" s="100"/>
      <c r="SEQ2584" s="100"/>
      <c r="SER2584" s="100"/>
      <c r="SES2584" s="100"/>
      <c r="SET2584" s="100"/>
      <c r="SEU2584" s="100"/>
      <c r="SEV2584" s="100"/>
      <c r="SEW2584" s="100"/>
      <c r="SEX2584" s="100"/>
      <c r="SEY2584" s="100"/>
      <c r="SEZ2584" s="100"/>
      <c r="SFA2584" s="100"/>
      <c r="SFB2584" s="100"/>
      <c r="SFC2584" s="100"/>
      <c r="SFD2584" s="100"/>
      <c r="SFE2584" s="100"/>
      <c r="SFF2584" s="100"/>
      <c r="SFG2584" s="100"/>
      <c r="SFH2584" s="100"/>
      <c r="SFI2584" s="100"/>
      <c r="SFJ2584" s="100"/>
      <c r="SFK2584" s="100"/>
      <c r="SFL2584" s="100"/>
      <c r="SFM2584" s="100"/>
      <c r="SFN2584" s="100"/>
      <c r="SFO2584" s="100"/>
      <c r="SFP2584" s="100"/>
      <c r="SFQ2584" s="100"/>
      <c r="SFR2584" s="100"/>
      <c r="SFS2584" s="100"/>
      <c r="SFT2584" s="100"/>
      <c r="SFU2584" s="100"/>
      <c r="SFV2584" s="100"/>
      <c r="SFW2584" s="100"/>
      <c r="SFX2584" s="100"/>
      <c r="SFY2584" s="100"/>
      <c r="SFZ2584" s="100"/>
      <c r="SGA2584" s="100"/>
      <c r="SGB2584" s="100"/>
      <c r="SGC2584" s="100"/>
      <c r="SGD2584" s="100"/>
      <c r="SGE2584" s="100"/>
      <c r="SGF2584" s="100"/>
      <c r="SGG2584" s="100"/>
      <c r="SGH2584" s="100"/>
      <c r="SGI2584" s="100"/>
      <c r="SGJ2584" s="100"/>
      <c r="SGK2584" s="100"/>
      <c r="SGL2584" s="100"/>
      <c r="SGM2584" s="100"/>
      <c r="SGN2584" s="100"/>
      <c r="SGO2584" s="100"/>
      <c r="SGP2584" s="100"/>
      <c r="SGQ2584" s="100"/>
      <c r="SGR2584" s="100"/>
      <c r="SGS2584" s="100"/>
      <c r="SGT2584" s="100"/>
      <c r="SGU2584" s="100"/>
      <c r="SGV2584" s="100"/>
      <c r="SGW2584" s="100"/>
      <c r="SGX2584" s="100"/>
      <c r="SGY2584" s="100"/>
      <c r="SGZ2584" s="100"/>
      <c r="SHA2584" s="100"/>
      <c r="SHB2584" s="100"/>
      <c r="SHC2584" s="100"/>
      <c r="SHD2584" s="100"/>
      <c r="SHE2584" s="100"/>
      <c r="SHF2584" s="100"/>
      <c r="SHG2584" s="100"/>
      <c r="SHH2584" s="100"/>
      <c r="SHI2584" s="100"/>
      <c r="SHJ2584" s="100"/>
      <c r="SHK2584" s="100"/>
      <c r="SHL2584" s="100"/>
      <c r="SHM2584" s="100"/>
      <c r="SHN2584" s="100"/>
      <c r="SHO2584" s="100"/>
      <c r="SHP2584" s="100"/>
      <c r="SHQ2584" s="100"/>
      <c r="SHR2584" s="100"/>
      <c r="SHS2584" s="100"/>
      <c r="SHT2584" s="100"/>
      <c r="SHU2584" s="100"/>
      <c r="SHV2584" s="100"/>
      <c r="SHW2584" s="100"/>
      <c r="SHX2584" s="100"/>
      <c r="SHY2584" s="100"/>
      <c r="SHZ2584" s="100"/>
      <c r="SIA2584" s="100"/>
      <c r="SIB2584" s="100"/>
      <c r="SIC2584" s="100"/>
      <c r="SID2584" s="100"/>
      <c r="SIE2584" s="100"/>
      <c r="SIF2584" s="100"/>
      <c r="SIG2584" s="100"/>
      <c r="SIH2584" s="100"/>
      <c r="SII2584" s="100"/>
      <c r="SIJ2584" s="100"/>
      <c r="SIK2584" s="100"/>
      <c r="SIL2584" s="100"/>
      <c r="SIM2584" s="100"/>
      <c r="SIN2584" s="100"/>
      <c r="SIO2584" s="100"/>
      <c r="SIP2584" s="100"/>
      <c r="SIQ2584" s="100"/>
      <c r="SIR2584" s="100"/>
      <c r="SIS2584" s="100"/>
      <c r="SIT2584" s="100"/>
      <c r="SIU2584" s="100"/>
      <c r="SIV2584" s="100"/>
      <c r="SIW2584" s="100"/>
      <c r="SIX2584" s="100"/>
      <c r="SIY2584" s="100"/>
      <c r="SIZ2584" s="100"/>
      <c r="SJA2584" s="100"/>
      <c r="SJB2584" s="100"/>
      <c r="SJC2584" s="100"/>
      <c r="SJD2584" s="100"/>
      <c r="SJE2584" s="100"/>
      <c r="SJF2584" s="100"/>
      <c r="SJG2584" s="100"/>
      <c r="SJH2584" s="100"/>
      <c r="SJI2584" s="100"/>
      <c r="SJJ2584" s="100"/>
      <c r="SJK2584" s="100"/>
      <c r="SJL2584" s="100"/>
      <c r="SJM2584" s="100"/>
      <c r="SJN2584" s="100"/>
      <c r="SJO2584" s="100"/>
      <c r="SJP2584" s="100"/>
      <c r="SJQ2584" s="100"/>
      <c r="SJR2584" s="100"/>
      <c r="SJS2584" s="100"/>
      <c r="SJT2584" s="100"/>
      <c r="SJU2584" s="100"/>
      <c r="SJV2584" s="100"/>
      <c r="SJW2584" s="100"/>
      <c r="SJX2584" s="100"/>
      <c r="SJY2584" s="100"/>
      <c r="SJZ2584" s="100"/>
      <c r="SKA2584" s="100"/>
      <c r="SKB2584" s="100"/>
      <c r="SKC2584" s="100"/>
      <c r="SKD2584" s="100"/>
      <c r="SKE2584" s="100"/>
      <c r="SKF2584" s="100"/>
      <c r="SKG2584" s="100"/>
      <c r="SKH2584" s="100"/>
      <c r="SKI2584" s="100"/>
      <c r="SKJ2584" s="100"/>
      <c r="SKK2584" s="100"/>
      <c r="SKL2584" s="100"/>
      <c r="SKM2584" s="100"/>
      <c r="SKN2584" s="100"/>
      <c r="SKO2584" s="100"/>
      <c r="SKP2584" s="100"/>
      <c r="SKQ2584" s="100"/>
      <c r="SKR2584" s="100"/>
      <c r="SKS2584" s="100"/>
      <c r="SKT2584" s="100"/>
      <c r="SKU2584" s="100"/>
      <c r="SKV2584" s="100"/>
      <c r="SKW2584" s="100"/>
      <c r="SKX2584" s="100"/>
      <c r="SKY2584" s="100"/>
      <c r="SKZ2584" s="100"/>
      <c r="SLA2584" s="100"/>
      <c r="SLB2584" s="100"/>
      <c r="SLC2584" s="100"/>
      <c r="SLD2584" s="100"/>
      <c r="SLE2584" s="100"/>
      <c r="SLF2584" s="100"/>
      <c r="SLG2584" s="100"/>
      <c r="SLH2584" s="100"/>
      <c r="SLI2584" s="100"/>
      <c r="SLJ2584" s="100"/>
      <c r="SLK2584" s="100"/>
      <c r="SLL2584" s="100"/>
      <c r="SLM2584" s="100"/>
      <c r="SLN2584" s="100"/>
      <c r="SLO2584" s="100"/>
      <c r="SLP2584" s="100"/>
      <c r="SLQ2584" s="100"/>
      <c r="SLR2584" s="100"/>
      <c r="SLS2584" s="100"/>
      <c r="SLT2584" s="100"/>
      <c r="SLU2584" s="100"/>
      <c r="SLV2584" s="100"/>
      <c r="SLW2584" s="100"/>
      <c r="SLX2584" s="100"/>
      <c r="SLY2584" s="100"/>
      <c r="SLZ2584" s="100"/>
      <c r="SMA2584" s="100"/>
      <c r="SMB2584" s="100"/>
      <c r="SMC2584" s="100"/>
      <c r="SMD2584" s="100"/>
      <c r="SME2584" s="100"/>
      <c r="SMF2584" s="100"/>
      <c r="SMG2584" s="100"/>
      <c r="SMH2584" s="100"/>
      <c r="SMI2584" s="100"/>
      <c r="SMJ2584" s="100"/>
      <c r="SMK2584" s="100"/>
      <c r="SML2584" s="100"/>
      <c r="SMM2584" s="100"/>
      <c r="SMN2584" s="100"/>
      <c r="SMO2584" s="100"/>
      <c r="SMP2584" s="100"/>
      <c r="SMQ2584" s="100"/>
      <c r="SMR2584" s="100"/>
      <c r="SMS2584" s="100"/>
      <c r="SMT2584" s="100"/>
      <c r="SMU2584" s="100"/>
      <c r="SMV2584" s="100"/>
      <c r="SMW2584" s="100"/>
      <c r="SMX2584" s="100"/>
      <c r="SMY2584" s="100"/>
      <c r="SMZ2584" s="100"/>
      <c r="SNA2584" s="100"/>
      <c r="SNB2584" s="100"/>
      <c r="SNC2584" s="100"/>
      <c r="SND2584" s="100"/>
      <c r="SNE2584" s="100"/>
      <c r="SNF2584" s="100"/>
      <c r="SNG2584" s="100"/>
      <c r="SNH2584" s="100"/>
      <c r="SNI2584" s="100"/>
      <c r="SNJ2584" s="100"/>
      <c r="SNK2584" s="100"/>
      <c r="SNL2584" s="100"/>
      <c r="SNM2584" s="100"/>
      <c r="SNN2584" s="100"/>
      <c r="SNO2584" s="100"/>
      <c r="SNP2584" s="100"/>
      <c r="SNQ2584" s="100"/>
      <c r="SNR2584" s="100"/>
      <c r="SNS2584" s="100"/>
      <c r="SNT2584" s="100"/>
      <c r="SNU2584" s="100"/>
      <c r="SNV2584" s="100"/>
      <c r="SNW2584" s="100"/>
      <c r="SNX2584" s="100"/>
      <c r="SNY2584" s="100"/>
      <c r="SNZ2584" s="100"/>
      <c r="SOA2584" s="100"/>
      <c r="SOB2584" s="100"/>
      <c r="SOC2584" s="100"/>
      <c r="SOD2584" s="100"/>
      <c r="SOE2584" s="100"/>
      <c r="SOF2584" s="100"/>
      <c r="SOG2584" s="100"/>
      <c r="SOH2584" s="100"/>
      <c r="SOI2584" s="100"/>
      <c r="SOJ2584" s="100"/>
      <c r="SOK2584" s="100"/>
      <c r="SOL2584" s="100"/>
      <c r="SOM2584" s="100"/>
      <c r="SON2584" s="100"/>
      <c r="SOO2584" s="100"/>
      <c r="SOP2584" s="100"/>
      <c r="SOQ2584" s="100"/>
      <c r="SOR2584" s="100"/>
      <c r="SOS2584" s="100"/>
      <c r="SOT2584" s="100"/>
      <c r="SOU2584" s="100"/>
      <c r="SOV2584" s="100"/>
      <c r="SOW2584" s="100"/>
      <c r="SOX2584" s="100"/>
      <c r="SOY2584" s="100"/>
      <c r="SOZ2584" s="100"/>
      <c r="SPA2584" s="100"/>
      <c r="SPB2584" s="100"/>
      <c r="SPC2584" s="100"/>
      <c r="SPD2584" s="100"/>
      <c r="SPE2584" s="100"/>
      <c r="SPF2584" s="100"/>
      <c r="SPG2584" s="100"/>
      <c r="SPH2584" s="100"/>
      <c r="SPI2584" s="100"/>
      <c r="SPJ2584" s="100"/>
      <c r="SPK2584" s="100"/>
      <c r="SPL2584" s="100"/>
      <c r="SPM2584" s="100"/>
      <c r="SPN2584" s="100"/>
      <c r="SPO2584" s="100"/>
      <c r="SPP2584" s="100"/>
      <c r="SPQ2584" s="100"/>
      <c r="SPR2584" s="100"/>
      <c r="SPS2584" s="100"/>
      <c r="SPT2584" s="100"/>
      <c r="SPU2584" s="100"/>
      <c r="SPV2584" s="100"/>
      <c r="SPW2584" s="100"/>
      <c r="SPX2584" s="100"/>
      <c r="SPY2584" s="100"/>
      <c r="SPZ2584" s="100"/>
      <c r="SQA2584" s="100"/>
      <c r="SQB2584" s="100"/>
      <c r="SQC2584" s="100"/>
      <c r="SQD2584" s="100"/>
      <c r="SQE2584" s="100"/>
      <c r="SQF2584" s="100"/>
      <c r="SQG2584" s="100"/>
      <c r="SQH2584" s="100"/>
      <c r="SQI2584" s="100"/>
      <c r="SQJ2584" s="100"/>
      <c r="SQK2584" s="100"/>
      <c r="SQL2584" s="100"/>
      <c r="SQM2584" s="100"/>
      <c r="SQN2584" s="100"/>
      <c r="SQO2584" s="100"/>
      <c r="SQP2584" s="100"/>
      <c r="SQQ2584" s="100"/>
      <c r="SQR2584" s="100"/>
      <c r="SQS2584" s="100"/>
      <c r="SQT2584" s="100"/>
      <c r="SQU2584" s="100"/>
      <c r="SQV2584" s="100"/>
      <c r="SQW2584" s="100"/>
      <c r="SQX2584" s="100"/>
      <c r="SQY2584" s="100"/>
      <c r="SQZ2584" s="100"/>
      <c r="SRA2584" s="100"/>
      <c r="SRB2584" s="100"/>
      <c r="SRC2584" s="100"/>
      <c r="SRD2584" s="100"/>
      <c r="SRE2584" s="100"/>
      <c r="SRF2584" s="100"/>
      <c r="SRG2584" s="100"/>
      <c r="SRH2584" s="100"/>
      <c r="SRI2584" s="100"/>
      <c r="SRJ2584" s="100"/>
      <c r="SRK2584" s="100"/>
      <c r="SRL2584" s="100"/>
      <c r="SRM2584" s="100"/>
      <c r="SRN2584" s="100"/>
      <c r="SRO2584" s="100"/>
      <c r="SRP2584" s="100"/>
      <c r="SRQ2584" s="100"/>
      <c r="SRR2584" s="100"/>
      <c r="SRS2584" s="100"/>
      <c r="SRT2584" s="100"/>
      <c r="SRU2584" s="100"/>
      <c r="SRV2584" s="100"/>
      <c r="SRW2584" s="100"/>
      <c r="SRX2584" s="100"/>
      <c r="SRY2584" s="100"/>
      <c r="SRZ2584" s="100"/>
      <c r="SSA2584" s="100"/>
      <c r="SSB2584" s="100"/>
      <c r="SSC2584" s="100"/>
      <c r="SSD2584" s="100"/>
      <c r="SSE2584" s="100"/>
      <c r="SSF2584" s="100"/>
      <c r="SSG2584" s="100"/>
      <c r="SSH2584" s="100"/>
      <c r="SSI2584" s="100"/>
      <c r="SSJ2584" s="100"/>
      <c r="SSK2584" s="100"/>
      <c r="SSL2584" s="100"/>
      <c r="SSM2584" s="100"/>
      <c r="SSN2584" s="100"/>
      <c r="SSO2584" s="100"/>
      <c r="SSP2584" s="100"/>
      <c r="SSQ2584" s="100"/>
      <c r="SSR2584" s="100"/>
      <c r="SSS2584" s="100"/>
      <c r="SST2584" s="100"/>
      <c r="SSU2584" s="100"/>
      <c r="SSV2584" s="100"/>
      <c r="SSW2584" s="100"/>
      <c r="SSX2584" s="100"/>
      <c r="SSY2584" s="100"/>
      <c r="SSZ2584" s="100"/>
      <c r="STA2584" s="100"/>
      <c r="STB2584" s="100"/>
      <c r="STC2584" s="100"/>
      <c r="STD2584" s="100"/>
      <c r="STE2584" s="100"/>
      <c r="STF2584" s="100"/>
      <c r="STG2584" s="100"/>
      <c r="STH2584" s="100"/>
      <c r="STI2584" s="100"/>
      <c r="STJ2584" s="100"/>
      <c r="STK2584" s="100"/>
      <c r="STL2584" s="100"/>
      <c r="STM2584" s="100"/>
      <c r="STN2584" s="100"/>
      <c r="STO2584" s="100"/>
      <c r="STP2584" s="100"/>
      <c r="STQ2584" s="100"/>
      <c r="STR2584" s="100"/>
      <c r="STS2584" s="100"/>
      <c r="STT2584" s="100"/>
      <c r="STU2584" s="100"/>
      <c r="STV2584" s="100"/>
      <c r="STW2584" s="100"/>
      <c r="STX2584" s="100"/>
      <c r="STY2584" s="100"/>
      <c r="STZ2584" s="100"/>
      <c r="SUA2584" s="100"/>
      <c r="SUB2584" s="100"/>
      <c r="SUC2584" s="100"/>
      <c r="SUD2584" s="100"/>
      <c r="SUE2584" s="100"/>
      <c r="SUF2584" s="100"/>
      <c r="SUG2584" s="100"/>
      <c r="SUH2584" s="100"/>
      <c r="SUI2584" s="100"/>
      <c r="SUJ2584" s="100"/>
      <c r="SUK2584" s="100"/>
      <c r="SUL2584" s="100"/>
      <c r="SUM2584" s="100"/>
      <c r="SUN2584" s="100"/>
      <c r="SUO2584" s="100"/>
      <c r="SUP2584" s="100"/>
      <c r="SUQ2584" s="100"/>
      <c r="SUR2584" s="100"/>
      <c r="SUS2584" s="100"/>
      <c r="SUT2584" s="100"/>
      <c r="SUU2584" s="100"/>
      <c r="SUV2584" s="100"/>
      <c r="SUW2584" s="100"/>
      <c r="SUX2584" s="100"/>
      <c r="SUY2584" s="100"/>
      <c r="SUZ2584" s="100"/>
      <c r="SVA2584" s="100"/>
      <c r="SVB2584" s="100"/>
      <c r="SVC2584" s="100"/>
      <c r="SVD2584" s="100"/>
      <c r="SVE2584" s="100"/>
      <c r="SVF2584" s="100"/>
      <c r="SVG2584" s="100"/>
      <c r="SVH2584" s="100"/>
      <c r="SVI2584" s="100"/>
      <c r="SVJ2584" s="100"/>
      <c r="SVK2584" s="100"/>
      <c r="SVL2584" s="100"/>
      <c r="SVM2584" s="100"/>
      <c r="SVN2584" s="100"/>
      <c r="SVO2584" s="100"/>
      <c r="SVP2584" s="100"/>
      <c r="SVQ2584" s="100"/>
      <c r="SVR2584" s="100"/>
      <c r="SVS2584" s="100"/>
      <c r="SVT2584" s="100"/>
      <c r="SVU2584" s="100"/>
      <c r="SVV2584" s="100"/>
      <c r="SVW2584" s="100"/>
      <c r="SVX2584" s="100"/>
      <c r="SVY2584" s="100"/>
      <c r="SVZ2584" s="100"/>
      <c r="SWA2584" s="100"/>
      <c r="SWB2584" s="100"/>
      <c r="SWC2584" s="100"/>
      <c r="SWD2584" s="100"/>
      <c r="SWE2584" s="100"/>
      <c r="SWF2584" s="100"/>
      <c r="SWG2584" s="100"/>
      <c r="SWH2584" s="100"/>
      <c r="SWI2584" s="100"/>
      <c r="SWJ2584" s="100"/>
      <c r="SWK2584" s="100"/>
      <c r="SWL2584" s="100"/>
      <c r="SWM2584" s="100"/>
      <c r="SWN2584" s="100"/>
      <c r="SWO2584" s="100"/>
      <c r="SWP2584" s="100"/>
      <c r="SWQ2584" s="100"/>
      <c r="SWR2584" s="100"/>
      <c r="SWS2584" s="100"/>
      <c r="SWT2584" s="100"/>
      <c r="SWU2584" s="100"/>
      <c r="SWV2584" s="100"/>
      <c r="SWW2584" s="100"/>
      <c r="SWX2584" s="100"/>
      <c r="SWY2584" s="100"/>
      <c r="SWZ2584" s="100"/>
      <c r="SXA2584" s="100"/>
      <c r="SXB2584" s="100"/>
      <c r="SXC2584" s="100"/>
      <c r="SXD2584" s="100"/>
      <c r="SXE2584" s="100"/>
      <c r="SXF2584" s="100"/>
      <c r="SXG2584" s="100"/>
      <c r="SXH2584" s="100"/>
      <c r="SXI2584" s="100"/>
      <c r="SXJ2584" s="100"/>
      <c r="SXK2584" s="100"/>
      <c r="SXL2584" s="100"/>
      <c r="SXM2584" s="100"/>
      <c r="SXN2584" s="100"/>
      <c r="SXO2584" s="100"/>
      <c r="SXP2584" s="100"/>
      <c r="SXQ2584" s="100"/>
      <c r="SXR2584" s="100"/>
      <c r="SXS2584" s="100"/>
      <c r="SXT2584" s="100"/>
      <c r="SXU2584" s="100"/>
      <c r="SXV2584" s="100"/>
      <c r="SXW2584" s="100"/>
      <c r="SXX2584" s="100"/>
      <c r="SXY2584" s="100"/>
      <c r="SXZ2584" s="100"/>
      <c r="SYA2584" s="100"/>
      <c r="SYB2584" s="100"/>
      <c r="SYC2584" s="100"/>
      <c r="SYD2584" s="100"/>
      <c r="SYE2584" s="100"/>
      <c r="SYF2584" s="100"/>
      <c r="SYG2584" s="100"/>
      <c r="SYH2584" s="100"/>
      <c r="SYI2584" s="100"/>
      <c r="SYJ2584" s="100"/>
      <c r="SYK2584" s="100"/>
      <c r="SYL2584" s="100"/>
      <c r="SYM2584" s="100"/>
      <c r="SYN2584" s="100"/>
      <c r="SYO2584" s="100"/>
      <c r="SYP2584" s="100"/>
      <c r="SYQ2584" s="100"/>
      <c r="SYR2584" s="100"/>
      <c r="SYS2584" s="100"/>
      <c r="SYT2584" s="100"/>
      <c r="SYU2584" s="100"/>
      <c r="SYV2584" s="100"/>
      <c r="SYW2584" s="100"/>
      <c r="SYX2584" s="100"/>
      <c r="SYY2584" s="100"/>
      <c r="SYZ2584" s="100"/>
      <c r="SZA2584" s="100"/>
      <c r="SZB2584" s="100"/>
      <c r="SZC2584" s="100"/>
      <c r="SZD2584" s="100"/>
      <c r="SZE2584" s="100"/>
      <c r="SZF2584" s="100"/>
      <c r="SZG2584" s="100"/>
      <c r="SZH2584" s="100"/>
      <c r="SZI2584" s="100"/>
      <c r="SZJ2584" s="100"/>
      <c r="SZK2584" s="100"/>
      <c r="SZL2584" s="100"/>
      <c r="SZM2584" s="100"/>
      <c r="SZN2584" s="100"/>
      <c r="SZO2584" s="100"/>
      <c r="SZP2584" s="100"/>
      <c r="SZQ2584" s="100"/>
      <c r="SZR2584" s="100"/>
      <c r="SZS2584" s="100"/>
      <c r="SZT2584" s="100"/>
      <c r="SZU2584" s="100"/>
      <c r="SZV2584" s="100"/>
      <c r="SZW2584" s="100"/>
      <c r="SZX2584" s="100"/>
      <c r="SZY2584" s="100"/>
      <c r="SZZ2584" s="100"/>
      <c r="TAA2584" s="100"/>
      <c r="TAB2584" s="100"/>
      <c r="TAC2584" s="100"/>
      <c r="TAD2584" s="100"/>
      <c r="TAE2584" s="100"/>
      <c r="TAF2584" s="100"/>
      <c r="TAG2584" s="100"/>
      <c r="TAH2584" s="100"/>
      <c r="TAI2584" s="100"/>
      <c r="TAJ2584" s="100"/>
      <c r="TAK2584" s="100"/>
      <c r="TAL2584" s="100"/>
      <c r="TAM2584" s="100"/>
      <c r="TAN2584" s="100"/>
      <c r="TAO2584" s="100"/>
      <c r="TAP2584" s="100"/>
      <c r="TAQ2584" s="100"/>
      <c r="TAR2584" s="100"/>
      <c r="TAS2584" s="100"/>
      <c r="TAT2584" s="100"/>
      <c r="TAU2584" s="100"/>
      <c r="TAV2584" s="100"/>
      <c r="TAW2584" s="100"/>
      <c r="TAX2584" s="100"/>
      <c r="TAY2584" s="100"/>
      <c r="TAZ2584" s="100"/>
      <c r="TBA2584" s="100"/>
      <c r="TBB2584" s="100"/>
      <c r="TBC2584" s="100"/>
      <c r="TBD2584" s="100"/>
      <c r="TBE2584" s="100"/>
      <c r="TBF2584" s="100"/>
      <c r="TBG2584" s="100"/>
      <c r="TBH2584" s="100"/>
      <c r="TBI2584" s="100"/>
      <c r="TBJ2584" s="100"/>
      <c r="TBK2584" s="100"/>
      <c r="TBL2584" s="100"/>
      <c r="TBM2584" s="100"/>
      <c r="TBN2584" s="100"/>
      <c r="TBO2584" s="100"/>
      <c r="TBP2584" s="100"/>
      <c r="TBQ2584" s="100"/>
      <c r="TBR2584" s="100"/>
      <c r="TBS2584" s="100"/>
      <c r="TBT2584" s="100"/>
      <c r="TBU2584" s="100"/>
      <c r="TBV2584" s="100"/>
      <c r="TBW2584" s="100"/>
      <c r="TBX2584" s="100"/>
      <c r="TBY2584" s="100"/>
      <c r="TBZ2584" s="100"/>
      <c r="TCA2584" s="100"/>
      <c r="TCB2584" s="100"/>
      <c r="TCC2584" s="100"/>
      <c r="TCD2584" s="100"/>
      <c r="TCE2584" s="100"/>
      <c r="TCF2584" s="100"/>
      <c r="TCG2584" s="100"/>
      <c r="TCH2584" s="100"/>
      <c r="TCI2584" s="100"/>
      <c r="TCJ2584" s="100"/>
      <c r="TCK2584" s="100"/>
      <c r="TCL2584" s="100"/>
      <c r="TCM2584" s="100"/>
      <c r="TCN2584" s="100"/>
      <c r="TCO2584" s="100"/>
      <c r="TCP2584" s="100"/>
      <c r="TCQ2584" s="100"/>
      <c r="TCR2584" s="100"/>
      <c r="TCS2584" s="100"/>
      <c r="TCT2584" s="100"/>
      <c r="TCU2584" s="100"/>
      <c r="TCV2584" s="100"/>
      <c r="TCW2584" s="100"/>
      <c r="TCX2584" s="100"/>
      <c r="TCY2584" s="100"/>
      <c r="TCZ2584" s="100"/>
      <c r="TDA2584" s="100"/>
      <c r="TDB2584" s="100"/>
      <c r="TDC2584" s="100"/>
      <c r="TDD2584" s="100"/>
      <c r="TDE2584" s="100"/>
      <c r="TDF2584" s="100"/>
      <c r="TDG2584" s="100"/>
      <c r="TDH2584" s="100"/>
      <c r="TDI2584" s="100"/>
      <c r="TDJ2584" s="100"/>
      <c r="TDK2584" s="100"/>
      <c r="TDL2584" s="100"/>
      <c r="TDM2584" s="100"/>
      <c r="TDN2584" s="100"/>
      <c r="TDO2584" s="100"/>
      <c r="TDP2584" s="100"/>
      <c r="TDQ2584" s="100"/>
      <c r="TDR2584" s="100"/>
      <c r="TDS2584" s="100"/>
      <c r="TDT2584" s="100"/>
      <c r="TDU2584" s="100"/>
      <c r="TDV2584" s="100"/>
      <c r="TDW2584" s="100"/>
      <c r="TDX2584" s="100"/>
      <c r="TDY2584" s="100"/>
      <c r="TDZ2584" s="100"/>
      <c r="TEA2584" s="100"/>
      <c r="TEB2584" s="100"/>
      <c r="TEC2584" s="100"/>
      <c r="TED2584" s="100"/>
      <c r="TEE2584" s="100"/>
      <c r="TEF2584" s="100"/>
      <c r="TEG2584" s="100"/>
      <c r="TEH2584" s="100"/>
      <c r="TEI2584" s="100"/>
      <c r="TEJ2584" s="100"/>
      <c r="TEK2584" s="100"/>
      <c r="TEL2584" s="100"/>
      <c r="TEM2584" s="100"/>
      <c r="TEN2584" s="100"/>
      <c r="TEO2584" s="100"/>
      <c r="TEP2584" s="100"/>
      <c r="TEQ2584" s="100"/>
      <c r="TER2584" s="100"/>
      <c r="TES2584" s="100"/>
      <c r="TET2584" s="100"/>
      <c r="TEU2584" s="100"/>
      <c r="TEV2584" s="100"/>
      <c r="TEW2584" s="100"/>
      <c r="TEX2584" s="100"/>
      <c r="TEY2584" s="100"/>
      <c r="TEZ2584" s="100"/>
      <c r="TFA2584" s="100"/>
      <c r="TFB2584" s="100"/>
      <c r="TFC2584" s="100"/>
      <c r="TFD2584" s="100"/>
      <c r="TFE2584" s="100"/>
      <c r="TFF2584" s="100"/>
      <c r="TFG2584" s="100"/>
      <c r="TFH2584" s="100"/>
      <c r="TFI2584" s="100"/>
      <c r="TFJ2584" s="100"/>
      <c r="TFK2584" s="100"/>
      <c r="TFL2584" s="100"/>
      <c r="TFM2584" s="100"/>
      <c r="TFN2584" s="100"/>
      <c r="TFO2584" s="100"/>
      <c r="TFP2584" s="100"/>
      <c r="TFQ2584" s="100"/>
      <c r="TFR2584" s="100"/>
      <c r="TFS2584" s="100"/>
      <c r="TFT2584" s="100"/>
      <c r="TFU2584" s="100"/>
      <c r="TFV2584" s="100"/>
      <c r="TFW2584" s="100"/>
      <c r="TFX2584" s="100"/>
      <c r="TFY2584" s="100"/>
      <c r="TFZ2584" s="100"/>
      <c r="TGA2584" s="100"/>
      <c r="TGB2584" s="100"/>
      <c r="TGC2584" s="100"/>
      <c r="TGD2584" s="100"/>
      <c r="TGE2584" s="100"/>
      <c r="TGF2584" s="100"/>
      <c r="TGG2584" s="100"/>
      <c r="TGH2584" s="100"/>
      <c r="TGI2584" s="100"/>
      <c r="TGJ2584" s="100"/>
      <c r="TGK2584" s="100"/>
      <c r="TGL2584" s="100"/>
      <c r="TGM2584" s="100"/>
      <c r="TGN2584" s="100"/>
      <c r="TGO2584" s="100"/>
      <c r="TGP2584" s="100"/>
      <c r="TGQ2584" s="100"/>
      <c r="TGR2584" s="100"/>
      <c r="TGS2584" s="100"/>
      <c r="TGT2584" s="100"/>
      <c r="TGU2584" s="100"/>
      <c r="TGV2584" s="100"/>
      <c r="TGW2584" s="100"/>
      <c r="TGX2584" s="100"/>
      <c r="TGY2584" s="100"/>
      <c r="TGZ2584" s="100"/>
      <c r="THA2584" s="100"/>
      <c r="THB2584" s="100"/>
      <c r="THC2584" s="100"/>
      <c r="THD2584" s="100"/>
      <c r="THE2584" s="100"/>
      <c r="THF2584" s="100"/>
      <c r="THG2584" s="100"/>
      <c r="THH2584" s="100"/>
      <c r="THI2584" s="100"/>
      <c r="THJ2584" s="100"/>
      <c r="THK2584" s="100"/>
      <c r="THL2584" s="100"/>
      <c r="THM2584" s="100"/>
      <c r="THN2584" s="100"/>
      <c r="THO2584" s="100"/>
      <c r="THP2584" s="100"/>
      <c r="THQ2584" s="100"/>
      <c r="THR2584" s="100"/>
      <c r="THS2584" s="100"/>
      <c r="THT2584" s="100"/>
      <c r="THU2584" s="100"/>
      <c r="THV2584" s="100"/>
      <c r="THW2584" s="100"/>
      <c r="THX2584" s="100"/>
      <c r="THY2584" s="100"/>
      <c r="THZ2584" s="100"/>
      <c r="TIA2584" s="100"/>
      <c r="TIB2584" s="100"/>
      <c r="TIC2584" s="100"/>
      <c r="TID2584" s="100"/>
      <c r="TIE2584" s="100"/>
      <c r="TIF2584" s="100"/>
      <c r="TIG2584" s="100"/>
      <c r="TIH2584" s="100"/>
      <c r="TII2584" s="100"/>
      <c r="TIJ2584" s="100"/>
      <c r="TIK2584" s="100"/>
      <c r="TIL2584" s="100"/>
      <c r="TIM2584" s="100"/>
      <c r="TIN2584" s="100"/>
      <c r="TIO2584" s="100"/>
      <c r="TIP2584" s="100"/>
      <c r="TIQ2584" s="100"/>
      <c r="TIR2584" s="100"/>
      <c r="TIS2584" s="100"/>
      <c r="TIT2584" s="100"/>
      <c r="TIU2584" s="100"/>
      <c r="TIV2584" s="100"/>
      <c r="TIW2584" s="100"/>
      <c r="TIX2584" s="100"/>
      <c r="TIY2584" s="100"/>
      <c r="TIZ2584" s="100"/>
      <c r="TJA2584" s="100"/>
      <c r="TJB2584" s="100"/>
      <c r="TJC2584" s="100"/>
      <c r="TJD2584" s="100"/>
      <c r="TJE2584" s="100"/>
      <c r="TJF2584" s="100"/>
      <c r="TJG2584" s="100"/>
      <c r="TJH2584" s="100"/>
      <c r="TJI2584" s="100"/>
      <c r="TJJ2584" s="100"/>
      <c r="TJK2584" s="100"/>
      <c r="TJL2584" s="100"/>
      <c r="TJM2584" s="100"/>
      <c r="TJN2584" s="100"/>
      <c r="TJO2584" s="100"/>
      <c r="TJP2584" s="100"/>
      <c r="TJQ2584" s="100"/>
      <c r="TJR2584" s="100"/>
      <c r="TJS2584" s="100"/>
      <c r="TJT2584" s="100"/>
      <c r="TJU2584" s="100"/>
      <c r="TJV2584" s="100"/>
      <c r="TJW2584" s="100"/>
      <c r="TJX2584" s="100"/>
      <c r="TJY2584" s="100"/>
      <c r="TJZ2584" s="100"/>
      <c r="TKA2584" s="100"/>
      <c r="TKB2584" s="100"/>
      <c r="TKC2584" s="100"/>
      <c r="TKD2584" s="100"/>
      <c r="TKE2584" s="100"/>
      <c r="TKF2584" s="100"/>
      <c r="TKG2584" s="100"/>
      <c r="TKH2584" s="100"/>
      <c r="TKI2584" s="100"/>
      <c r="TKJ2584" s="100"/>
      <c r="TKK2584" s="100"/>
      <c r="TKL2584" s="100"/>
      <c r="TKM2584" s="100"/>
      <c r="TKN2584" s="100"/>
      <c r="TKO2584" s="100"/>
      <c r="TKP2584" s="100"/>
      <c r="TKQ2584" s="100"/>
      <c r="TKR2584" s="100"/>
      <c r="TKS2584" s="100"/>
      <c r="TKT2584" s="100"/>
      <c r="TKU2584" s="100"/>
      <c r="TKV2584" s="100"/>
      <c r="TKW2584" s="100"/>
      <c r="TKX2584" s="100"/>
      <c r="TKY2584" s="100"/>
      <c r="TKZ2584" s="100"/>
      <c r="TLA2584" s="100"/>
      <c r="TLB2584" s="100"/>
      <c r="TLC2584" s="100"/>
      <c r="TLD2584" s="100"/>
      <c r="TLE2584" s="100"/>
      <c r="TLF2584" s="100"/>
      <c r="TLG2584" s="100"/>
      <c r="TLH2584" s="100"/>
      <c r="TLI2584" s="100"/>
      <c r="TLJ2584" s="100"/>
      <c r="TLK2584" s="100"/>
      <c r="TLL2584" s="100"/>
      <c r="TLM2584" s="100"/>
      <c r="TLN2584" s="100"/>
      <c r="TLO2584" s="100"/>
      <c r="TLP2584" s="100"/>
      <c r="TLQ2584" s="100"/>
      <c r="TLR2584" s="100"/>
      <c r="TLS2584" s="100"/>
      <c r="TLT2584" s="100"/>
      <c r="TLU2584" s="100"/>
      <c r="TLV2584" s="100"/>
      <c r="TLW2584" s="100"/>
      <c r="TLX2584" s="100"/>
      <c r="TLY2584" s="100"/>
      <c r="TLZ2584" s="100"/>
      <c r="TMA2584" s="100"/>
      <c r="TMB2584" s="100"/>
      <c r="TMC2584" s="100"/>
      <c r="TMD2584" s="100"/>
      <c r="TME2584" s="100"/>
      <c r="TMF2584" s="100"/>
      <c r="TMG2584" s="100"/>
      <c r="TMH2584" s="100"/>
      <c r="TMI2584" s="100"/>
      <c r="TMJ2584" s="100"/>
      <c r="TMK2584" s="100"/>
      <c r="TML2584" s="100"/>
      <c r="TMM2584" s="100"/>
      <c r="TMN2584" s="100"/>
      <c r="TMO2584" s="100"/>
      <c r="TMP2584" s="100"/>
      <c r="TMQ2584" s="100"/>
      <c r="TMR2584" s="100"/>
      <c r="TMS2584" s="100"/>
      <c r="TMT2584" s="100"/>
      <c r="TMU2584" s="100"/>
      <c r="TMV2584" s="100"/>
      <c r="TMW2584" s="100"/>
      <c r="TMX2584" s="100"/>
      <c r="TMY2584" s="100"/>
      <c r="TMZ2584" s="100"/>
      <c r="TNA2584" s="100"/>
      <c r="TNB2584" s="100"/>
      <c r="TNC2584" s="100"/>
      <c r="TND2584" s="100"/>
      <c r="TNE2584" s="100"/>
      <c r="TNF2584" s="100"/>
      <c r="TNG2584" s="100"/>
      <c r="TNH2584" s="100"/>
      <c r="TNI2584" s="100"/>
      <c r="TNJ2584" s="100"/>
      <c r="TNK2584" s="100"/>
      <c r="TNL2584" s="100"/>
      <c r="TNM2584" s="100"/>
      <c r="TNN2584" s="100"/>
      <c r="TNO2584" s="100"/>
      <c r="TNP2584" s="100"/>
      <c r="TNQ2584" s="100"/>
      <c r="TNR2584" s="100"/>
      <c r="TNS2584" s="100"/>
      <c r="TNT2584" s="100"/>
      <c r="TNU2584" s="100"/>
      <c r="TNV2584" s="100"/>
      <c r="TNW2584" s="100"/>
      <c r="TNX2584" s="100"/>
      <c r="TNY2584" s="100"/>
      <c r="TNZ2584" s="100"/>
      <c r="TOA2584" s="100"/>
      <c r="TOB2584" s="100"/>
      <c r="TOC2584" s="100"/>
      <c r="TOD2584" s="100"/>
      <c r="TOE2584" s="100"/>
      <c r="TOF2584" s="100"/>
      <c r="TOG2584" s="100"/>
      <c r="TOH2584" s="100"/>
      <c r="TOI2584" s="100"/>
      <c r="TOJ2584" s="100"/>
      <c r="TOK2584" s="100"/>
      <c r="TOL2584" s="100"/>
      <c r="TOM2584" s="100"/>
      <c r="TON2584" s="100"/>
      <c r="TOO2584" s="100"/>
      <c r="TOP2584" s="100"/>
      <c r="TOQ2584" s="100"/>
      <c r="TOR2584" s="100"/>
      <c r="TOS2584" s="100"/>
      <c r="TOT2584" s="100"/>
      <c r="TOU2584" s="100"/>
      <c r="TOV2584" s="100"/>
      <c r="TOW2584" s="100"/>
      <c r="TOX2584" s="100"/>
      <c r="TOY2584" s="100"/>
      <c r="TOZ2584" s="100"/>
      <c r="TPA2584" s="100"/>
      <c r="TPB2584" s="100"/>
      <c r="TPC2584" s="100"/>
      <c r="TPD2584" s="100"/>
      <c r="TPE2584" s="100"/>
      <c r="TPF2584" s="100"/>
      <c r="TPG2584" s="100"/>
      <c r="TPH2584" s="100"/>
      <c r="TPI2584" s="100"/>
      <c r="TPJ2584" s="100"/>
      <c r="TPK2584" s="100"/>
      <c r="TPL2584" s="100"/>
      <c r="TPM2584" s="100"/>
      <c r="TPN2584" s="100"/>
      <c r="TPO2584" s="100"/>
      <c r="TPP2584" s="100"/>
      <c r="TPQ2584" s="100"/>
      <c r="TPR2584" s="100"/>
      <c r="TPS2584" s="100"/>
      <c r="TPT2584" s="100"/>
      <c r="TPU2584" s="100"/>
      <c r="TPV2584" s="100"/>
      <c r="TPW2584" s="100"/>
      <c r="TPX2584" s="100"/>
      <c r="TPY2584" s="100"/>
      <c r="TPZ2584" s="100"/>
      <c r="TQA2584" s="100"/>
      <c r="TQB2584" s="100"/>
      <c r="TQC2584" s="100"/>
      <c r="TQD2584" s="100"/>
      <c r="TQE2584" s="100"/>
      <c r="TQF2584" s="100"/>
      <c r="TQG2584" s="100"/>
      <c r="TQH2584" s="100"/>
      <c r="TQI2584" s="100"/>
      <c r="TQJ2584" s="100"/>
      <c r="TQK2584" s="100"/>
      <c r="TQL2584" s="100"/>
      <c r="TQM2584" s="100"/>
      <c r="TQN2584" s="100"/>
      <c r="TQO2584" s="100"/>
      <c r="TQP2584" s="100"/>
      <c r="TQQ2584" s="100"/>
      <c r="TQR2584" s="100"/>
      <c r="TQS2584" s="100"/>
      <c r="TQT2584" s="100"/>
      <c r="TQU2584" s="100"/>
      <c r="TQV2584" s="100"/>
      <c r="TQW2584" s="100"/>
      <c r="TQX2584" s="100"/>
      <c r="TQY2584" s="100"/>
      <c r="TQZ2584" s="100"/>
      <c r="TRA2584" s="100"/>
      <c r="TRB2584" s="100"/>
      <c r="TRC2584" s="100"/>
      <c r="TRD2584" s="100"/>
      <c r="TRE2584" s="100"/>
      <c r="TRF2584" s="100"/>
      <c r="TRG2584" s="100"/>
      <c r="TRH2584" s="100"/>
      <c r="TRI2584" s="100"/>
      <c r="TRJ2584" s="100"/>
      <c r="TRK2584" s="100"/>
      <c r="TRL2584" s="100"/>
      <c r="TRM2584" s="100"/>
      <c r="TRN2584" s="100"/>
      <c r="TRO2584" s="100"/>
      <c r="TRP2584" s="100"/>
      <c r="TRQ2584" s="100"/>
      <c r="TRR2584" s="100"/>
      <c r="TRS2584" s="100"/>
      <c r="TRT2584" s="100"/>
      <c r="TRU2584" s="100"/>
      <c r="TRV2584" s="100"/>
      <c r="TRW2584" s="100"/>
      <c r="TRX2584" s="100"/>
      <c r="TRY2584" s="100"/>
      <c r="TRZ2584" s="100"/>
      <c r="TSA2584" s="100"/>
      <c r="TSB2584" s="100"/>
      <c r="TSC2584" s="100"/>
      <c r="TSD2584" s="100"/>
      <c r="TSE2584" s="100"/>
      <c r="TSF2584" s="100"/>
      <c r="TSG2584" s="100"/>
      <c r="TSH2584" s="100"/>
      <c r="TSI2584" s="100"/>
      <c r="TSJ2584" s="100"/>
      <c r="TSK2584" s="100"/>
      <c r="TSL2584" s="100"/>
      <c r="TSM2584" s="100"/>
      <c r="TSN2584" s="100"/>
      <c r="TSO2584" s="100"/>
      <c r="TSP2584" s="100"/>
      <c r="TSQ2584" s="100"/>
      <c r="TSR2584" s="100"/>
      <c r="TSS2584" s="100"/>
      <c r="TST2584" s="100"/>
      <c r="TSU2584" s="100"/>
      <c r="TSV2584" s="100"/>
      <c r="TSW2584" s="100"/>
      <c r="TSX2584" s="100"/>
      <c r="TSY2584" s="100"/>
      <c r="TSZ2584" s="100"/>
      <c r="TTA2584" s="100"/>
      <c r="TTB2584" s="100"/>
      <c r="TTC2584" s="100"/>
      <c r="TTD2584" s="100"/>
      <c r="TTE2584" s="100"/>
      <c r="TTF2584" s="100"/>
      <c r="TTG2584" s="100"/>
      <c r="TTH2584" s="100"/>
      <c r="TTI2584" s="100"/>
      <c r="TTJ2584" s="100"/>
      <c r="TTK2584" s="100"/>
      <c r="TTL2584" s="100"/>
      <c r="TTM2584" s="100"/>
      <c r="TTN2584" s="100"/>
      <c r="TTO2584" s="100"/>
      <c r="TTP2584" s="100"/>
      <c r="TTQ2584" s="100"/>
      <c r="TTR2584" s="100"/>
      <c r="TTS2584" s="100"/>
      <c r="TTT2584" s="100"/>
      <c r="TTU2584" s="100"/>
      <c r="TTV2584" s="100"/>
      <c r="TTW2584" s="100"/>
      <c r="TTX2584" s="100"/>
      <c r="TTY2584" s="100"/>
      <c r="TTZ2584" s="100"/>
      <c r="TUA2584" s="100"/>
      <c r="TUB2584" s="100"/>
      <c r="TUC2584" s="100"/>
      <c r="TUD2584" s="100"/>
      <c r="TUE2584" s="100"/>
      <c r="TUF2584" s="100"/>
      <c r="TUG2584" s="100"/>
      <c r="TUH2584" s="100"/>
      <c r="TUI2584" s="100"/>
      <c r="TUJ2584" s="100"/>
      <c r="TUK2584" s="100"/>
      <c r="TUL2584" s="100"/>
      <c r="TUM2584" s="100"/>
      <c r="TUN2584" s="100"/>
      <c r="TUO2584" s="100"/>
      <c r="TUP2584" s="100"/>
      <c r="TUQ2584" s="100"/>
      <c r="TUR2584" s="100"/>
      <c r="TUS2584" s="100"/>
      <c r="TUT2584" s="100"/>
      <c r="TUU2584" s="100"/>
      <c r="TUV2584" s="100"/>
      <c r="TUW2584" s="100"/>
      <c r="TUX2584" s="100"/>
      <c r="TUY2584" s="100"/>
      <c r="TUZ2584" s="100"/>
      <c r="TVA2584" s="100"/>
      <c r="TVB2584" s="100"/>
      <c r="TVC2584" s="100"/>
      <c r="TVD2584" s="100"/>
      <c r="TVE2584" s="100"/>
      <c r="TVF2584" s="100"/>
      <c r="TVG2584" s="100"/>
      <c r="TVH2584" s="100"/>
      <c r="TVI2584" s="100"/>
      <c r="TVJ2584" s="100"/>
      <c r="TVK2584" s="100"/>
      <c r="TVL2584" s="100"/>
      <c r="TVM2584" s="100"/>
      <c r="TVN2584" s="100"/>
      <c r="TVO2584" s="100"/>
      <c r="TVP2584" s="100"/>
      <c r="TVQ2584" s="100"/>
      <c r="TVR2584" s="100"/>
      <c r="TVS2584" s="100"/>
      <c r="TVT2584" s="100"/>
      <c r="TVU2584" s="100"/>
      <c r="TVV2584" s="100"/>
      <c r="TVW2584" s="100"/>
      <c r="TVX2584" s="100"/>
      <c r="TVY2584" s="100"/>
      <c r="TVZ2584" s="100"/>
      <c r="TWA2584" s="100"/>
      <c r="TWB2584" s="100"/>
      <c r="TWC2584" s="100"/>
      <c r="TWD2584" s="100"/>
      <c r="TWE2584" s="100"/>
      <c r="TWF2584" s="100"/>
      <c r="TWG2584" s="100"/>
      <c r="TWH2584" s="100"/>
      <c r="TWI2584" s="100"/>
      <c r="TWJ2584" s="100"/>
      <c r="TWK2584" s="100"/>
      <c r="TWL2584" s="100"/>
      <c r="TWM2584" s="100"/>
      <c r="TWN2584" s="100"/>
      <c r="TWO2584" s="100"/>
      <c r="TWP2584" s="100"/>
      <c r="TWQ2584" s="100"/>
      <c r="TWR2584" s="100"/>
      <c r="TWS2584" s="100"/>
      <c r="TWT2584" s="100"/>
      <c r="TWU2584" s="100"/>
      <c r="TWV2584" s="100"/>
      <c r="TWW2584" s="100"/>
      <c r="TWX2584" s="100"/>
      <c r="TWY2584" s="100"/>
      <c r="TWZ2584" s="100"/>
      <c r="TXA2584" s="100"/>
      <c r="TXB2584" s="100"/>
      <c r="TXC2584" s="100"/>
      <c r="TXD2584" s="100"/>
      <c r="TXE2584" s="100"/>
      <c r="TXF2584" s="100"/>
      <c r="TXG2584" s="100"/>
      <c r="TXH2584" s="100"/>
      <c r="TXI2584" s="100"/>
      <c r="TXJ2584" s="100"/>
      <c r="TXK2584" s="100"/>
      <c r="TXL2584" s="100"/>
      <c r="TXM2584" s="100"/>
      <c r="TXN2584" s="100"/>
      <c r="TXO2584" s="100"/>
      <c r="TXP2584" s="100"/>
      <c r="TXQ2584" s="100"/>
      <c r="TXR2584" s="100"/>
      <c r="TXS2584" s="100"/>
      <c r="TXT2584" s="100"/>
      <c r="TXU2584" s="100"/>
      <c r="TXV2584" s="100"/>
      <c r="TXW2584" s="100"/>
      <c r="TXX2584" s="100"/>
      <c r="TXY2584" s="100"/>
      <c r="TXZ2584" s="100"/>
      <c r="TYA2584" s="100"/>
      <c r="TYB2584" s="100"/>
      <c r="TYC2584" s="100"/>
      <c r="TYD2584" s="100"/>
      <c r="TYE2584" s="100"/>
      <c r="TYF2584" s="100"/>
      <c r="TYG2584" s="100"/>
      <c r="TYH2584" s="100"/>
      <c r="TYI2584" s="100"/>
      <c r="TYJ2584" s="100"/>
      <c r="TYK2584" s="100"/>
      <c r="TYL2584" s="100"/>
      <c r="TYM2584" s="100"/>
      <c r="TYN2584" s="100"/>
      <c r="TYO2584" s="100"/>
      <c r="TYP2584" s="100"/>
      <c r="TYQ2584" s="100"/>
      <c r="TYR2584" s="100"/>
      <c r="TYS2584" s="100"/>
      <c r="TYT2584" s="100"/>
      <c r="TYU2584" s="100"/>
      <c r="TYV2584" s="100"/>
      <c r="TYW2584" s="100"/>
      <c r="TYX2584" s="100"/>
      <c r="TYY2584" s="100"/>
      <c r="TYZ2584" s="100"/>
      <c r="TZA2584" s="100"/>
      <c r="TZB2584" s="100"/>
      <c r="TZC2584" s="100"/>
      <c r="TZD2584" s="100"/>
      <c r="TZE2584" s="100"/>
      <c r="TZF2584" s="100"/>
      <c r="TZG2584" s="100"/>
      <c r="TZH2584" s="100"/>
      <c r="TZI2584" s="100"/>
      <c r="TZJ2584" s="100"/>
      <c r="TZK2584" s="100"/>
      <c r="TZL2584" s="100"/>
      <c r="TZM2584" s="100"/>
      <c r="TZN2584" s="100"/>
      <c r="TZO2584" s="100"/>
      <c r="TZP2584" s="100"/>
      <c r="TZQ2584" s="100"/>
      <c r="TZR2584" s="100"/>
      <c r="TZS2584" s="100"/>
      <c r="TZT2584" s="100"/>
      <c r="TZU2584" s="100"/>
      <c r="TZV2584" s="100"/>
      <c r="TZW2584" s="100"/>
      <c r="TZX2584" s="100"/>
      <c r="TZY2584" s="100"/>
      <c r="TZZ2584" s="100"/>
      <c r="UAA2584" s="100"/>
      <c r="UAB2584" s="100"/>
      <c r="UAC2584" s="100"/>
      <c r="UAD2584" s="100"/>
      <c r="UAE2584" s="100"/>
      <c r="UAF2584" s="100"/>
      <c r="UAG2584" s="100"/>
      <c r="UAH2584" s="100"/>
      <c r="UAI2584" s="100"/>
      <c r="UAJ2584" s="100"/>
      <c r="UAK2584" s="100"/>
      <c r="UAL2584" s="100"/>
      <c r="UAM2584" s="100"/>
      <c r="UAN2584" s="100"/>
      <c r="UAO2584" s="100"/>
      <c r="UAP2584" s="100"/>
      <c r="UAQ2584" s="100"/>
      <c r="UAR2584" s="100"/>
      <c r="UAS2584" s="100"/>
      <c r="UAT2584" s="100"/>
      <c r="UAU2584" s="100"/>
      <c r="UAV2584" s="100"/>
      <c r="UAW2584" s="100"/>
      <c r="UAX2584" s="100"/>
      <c r="UAY2584" s="100"/>
      <c r="UAZ2584" s="100"/>
      <c r="UBA2584" s="100"/>
      <c r="UBB2584" s="100"/>
      <c r="UBC2584" s="100"/>
      <c r="UBD2584" s="100"/>
      <c r="UBE2584" s="100"/>
      <c r="UBF2584" s="100"/>
      <c r="UBG2584" s="100"/>
      <c r="UBH2584" s="100"/>
      <c r="UBI2584" s="100"/>
      <c r="UBJ2584" s="100"/>
      <c r="UBK2584" s="100"/>
      <c r="UBL2584" s="100"/>
      <c r="UBM2584" s="100"/>
      <c r="UBN2584" s="100"/>
      <c r="UBO2584" s="100"/>
      <c r="UBP2584" s="100"/>
      <c r="UBQ2584" s="100"/>
      <c r="UBR2584" s="100"/>
      <c r="UBS2584" s="100"/>
      <c r="UBT2584" s="100"/>
      <c r="UBU2584" s="100"/>
      <c r="UBV2584" s="100"/>
      <c r="UBW2584" s="100"/>
      <c r="UBX2584" s="100"/>
      <c r="UBY2584" s="100"/>
      <c r="UBZ2584" s="100"/>
      <c r="UCA2584" s="100"/>
      <c r="UCB2584" s="100"/>
      <c r="UCC2584" s="100"/>
      <c r="UCD2584" s="100"/>
      <c r="UCE2584" s="100"/>
      <c r="UCF2584" s="100"/>
      <c r="UCG2584" s="100"/>
      <c r="UCH2584" s="100"/>
      <c r="UCI2584" s="100"/>
      <c r="UCJ2584" s="100"/>
      <c r="UCK2584" s="100"/>
      <c r="UCL2584" s="100"/>
      <c r="UCM2584" s="100"/>
      <c r="UCN2584" s="100"/>
      <c r="UCO2584" s="100"/>
      <c r="UCP2584" s="100"/>
      <c r="UCQ2584" s="100"/>
      <c r="UCR2584" s="100"/>
      <c r="UCS2584" s="100"/>
      <c r="UCT2584" s="100"/>
      <c r="UCU2584" s="100"/>
      <c r="UCV2584" s="100"/>
      <c r="UCW2584" s="100"/>
      <c r="UCX2584" s="100"/>
      <c r="UCY2584" s="100"/>
      <c r="UCZ2584" s="100"/>
      <c r="UDA2584" s="100"/>
      <c r="UDB2584" s="100"/>
      <c r="UDC2584" s="100"/>
      <c r="UDD2584" s="100"/>
      <c r="UDE2584" s="100"/>
      <c r="UDF2584" s="100"/>
      <c r="UDG2584" s="100"/>
      <c r="UDH2584" s="100"/>
      <c r="UDI2584" s="100"/>
      <c r="UDJ2584" s="100"/>
      <c r="UDK2584" s="100"/>
      <c r="UDL2584" s="100"/>
      <c r="UDM2584" s="100"/>
      <c r="UDN2584" s="100"/>
      <c r="UDO2584" s="100"/>
      <c r="UDP2584" s="100"/>
      <c r="UDQ2584" s="100"/>
      <c r="UDR2584" s="100"/>
      <c r="UDS2584" s="100"/>
      <c r="UDT2584" s="100"/>
      <c r="UDU2584" s="100"/>
      <c r="UDV2584" s="100"/>
      <c r="UDW2584" s="100"/>
      <c r="UDX2584" s="100"/>
      <c r="UDY2584" s="100"/>
      <c r="UDZ2584" s="100"/>
      <c r="UEA2584" s="100"/>
      <c r="UEB2584" s="100"/>
      <c r="UEC2584" s="100"/>
      <c r="UED2584" s="100"/>
      <c r="UEE2584" s="100"/>
      <c r="UEF2584" s="100"/>
      <c r="UEG2584" s="100"/>
      <c r="UEH2584" s="100"/>
      <c r="UEI2584" s="100"/>
      <c r="UEJ2584" s="100"/>
      <c r="UEK2584" s="100"/>
      <c r="UEL2584" s="100"/>
      <c r="UEM2584" s="100"/>
      <c r="UEN2584" s="100"/>
      <c r="UEO2584" s="100"/>
      <c r="UEP2584" s="100"/>
      <c r="UEQ2584" s="100"/>
      <c r="UER2584" s="100"/>
      <c r="UES2584" s="100"/>
      <c r="UET2584" s="100"/>
      <c r="UEU2584" s="100"/>
      <c r="UEV2584" s="100"/>
      <c r="UEW2584" s="100"/>
      <c r="UEX2584" s="100"/>
      <c r="UEY2584" s="100"/>
      <c r="UEZ2584" s="100"/>
      <c r="UFA2584" s="100"/>
      <c r="UFB2584" s="100"/>
      <c r="UFC2584" s="100"/>
      <c r="UFD2584" s="100"/>
      <c r="UFE2584" s="100"/>
      <c r="UFF2584" s="100"/>
      <c r="UFG2584" s="100"/>
      <c r="UFH2584" s="100"/>
      <c r="UFI2584" s="100"/>
      <c r="UFJ2584" s="100"/>
      <c r="UFK2584" s="100"/>
      <c r="UFL2584" s="100"/>
      <c r="UFM2584" s="100"/>
      <c r="UFN2584" s="100"/>
      <c r="UFO2584" s="100"/>
      <c r="UFP2584" s="100"/>
      <c r="UFQ2584" s="100"/>
      <c r="UFR2584" s="100"/>
      <c r="UFS2584" s="100"/>
      <c r="UFT2584" s="100"/>
      <c r="UFU2584" s="100"/>
      <c r="UFV2584" s="100"/>
      <c r="UFW2584" s="100"/>
      <c r="UFX2584" s="100"/>
      <c r="UFY2584" s="100"/>
      <c r="UFZ2584" s="100"/>
      <c r="UGA2584" s="100"/>
      <c r="UGB2584" s="100"/>
      <c r="UGC2584" s="100"/>
      <c r="UGD2584" s="100"/>
      <c r="UGE2584" s="100"/>
      <c r="UGF2584" s="100"/>
      <c r="UGG2584" s="100"/>
      <c r="UGH2584" s="100"/>
      <c r="UGI2584" s="100"/>
      <c r="UGJ2584" s="100"/>
      <c r="UGK2584" s="100"/>
      <c r="UGL2584" s="100"/>
      <c r="UGM2584" s="100"/>
      <c r="UGN2584" s="100"/>
      <c r="UGO2584" s="100"/>
      <c r="UGP2584" s="100"/>
      <c r="UGQ2584" s="100"/>
      <c r="UGR2584" s="100"/>
      <c r="UGS2584" s="100"/>
      <c r="UGT2584" s="100"/>
      <c r="UGU2584" s="100"/>
      <c r="UGV2584" s="100"/>
      <c r="UGW2584" s="100"/>
      <c r="UGX2584" s="100"/>
      <c r="UGY2584" s="100"/>
      <c r="UGZ2584" s="100"/>
      <c r="UHA2584" s="100"/>
      <c r="UHB2584" s="100"/>
      <c r="UHC2584" s="100"/>
      <c r="UHD2584" s="100"/>
      <c r="UHE2584" s="100"/>
      <c r="UHF2584" s="100"/>
      <c r="UHG2584" s="100"/>
      <c r="UHH2584" s="100"/>
      <c r="UHI2584" s="100"/>
      <c r="UHJ2584" s="100"/>
      <c r="UHK2584" s="100"/>
      <c r="UHL2584" s="100"/>
      <c r="UHM2584" s="100"/>
      <c r="UHN2584" s="100"/>
      <c r="UHO2584" s="100"/>
      <c r="UHP2584" s="100"/>
      <c r="UHQ2584" s="100"/>
      <c r="UHR2584" s="100"/>
      <c r="UHS2584" s="100"/>
      <c r="UHT2584" s="100"/>
      <c r="UHU2584" s="100"/>
      <c r="UHV2584" s="100"/>
      <c r="UHW2584" s="100"/>
      <c r="UHX2584" s="100"/>
      <c r="UHY2584" s="100"/>
      <c r="UHZ2584" s="100"/>
      <c r="UIA2584" s="100"/>
      <c r="UIB2584" s="100"/>
      <c r="UIC2584" s="100"/>
      <c r="UID2584" s="100"/>
      <c r="UIE2584" s="100"/>
      <c r="UIF2584" s="100"/>
      <c r="UIG2584" s="100"/>
      <c r="UIH2584" s="100"/>
      <c r="UII2584" s="100"/>
      <c r="UIJ2584" s="100"/>
      <c r="UIK2584" s="100"/>
      <c r="UIL2584" s="100"/>
      <c r="UIM2584" s="100"/>
      <c r="UIN2584" s="100"/>
      <c r="UIO2584" s="100"/>
      <c r="UIP2584" s="100"/>
      <c r="UIQ2584" s="100"/>
      <c r="UIR2584" s="100"/>
      <c r="UIS2584" s="100"/>
      <c r="UIT2584" s="100"/>
      <c r="UIU2584" s="100"/>
      <c r="UIV2584" s="100"/>
      <c r="UIW2584" s="100"/>
      <c r="UIX2584" s="100"/>
      <c r="UIY2584" s="100"/>
      <c r="UIZ2584" s="100"/>
      <c r="UJA2584" s="100"/>
      <c r="UJB2584" s="100"/>
      <c r="UJC2584" s="100"/>
      <c r="UJD2584" s="100"/>
      <c r="UJE2584" s="100"/>
      <c r="UJF2584" s="100"/>
      <c r="UJG2584" s="100"/>
      <c r="UJH2584" s="100"/>
      <c r="UJI2584" s="100"/>
      <c r="UJJ2584" s="100"/>
      <c r="UJK2584" s="100"/>
      <c r="UJL2584" s="100"/>
      <c r="UJM2584" s="100"/>
      <c r="UJN2584" s="100"/>
      <c r="UJO2584" s="100"/>
      <c r="UJP2584" s="100"/>
      <c r="UJQ2584" s="100"/>
      <c r="UJR2584" s="100"/>
      <c r="UJS2584" s="100"/>
      <c r="UJT2584" s="100"/>
      <c r="UJU2584" s="100"/>
      <c r="UJV2584" s="100"/>
      <c r="UJW2584" s="100"/>
      <c r="UJX2584" s="100"/>
      <c r="UJY2584" s="100"/>
      <c r="UJZ2584" s="100"/>
      <c r="UKA2584" s="100"/>
      <c r="UKB2584" s="100"/>
      <c r="UKC2584" s="100"/>
      <c r="UKD2584" s="100"/>
      <c r="UKE2584" s="100"/>
      <c r="UKF2584" s="100"/>
      <c r="UKG2584" s="100"/>
      <c r="UKH2584" s="100"/>
      <c r="UKI2584" s="100"/>
      <c r="UKJ2584" s="100"/>
      <c r="UKK2584" s="100"/>
      <c r="UKL2584" s="100"/>
      <c r="UKM2584" s="100"/>
      <c r="UKN2584" s="100"/>
      <c r="UKO2584" s="100"/>
      <c r="UKP2584" s="100"/>
      <c r="UKQ2584" s="100"/>
      <c r="UKR2584" s="100"/>
      <c r="UKS2584" s="100"/>
      <c r="UKT2584" s="100"/>
      <c r="UKU2584" s="100"/>
      <c r="UKV2584" s="100"/>
      <c r="UKW2584" s="100"/>
      <c r="UKX2584" s="100"/>
      <c r="UKY2584" s="100"/>
      <c r="UKZ2584" s="100"/>
      <c r="ULA2584" s="100"/>
      <c r="ULB2584" s="100"/>
      <c r="ULC2584" s="100"/>
      <c r="ULD2584" s="100"/>
      <c r="ULE2584" s="100"/>
      <c r="ULF2584" s="100"/>
      <c r="ULG2584" s="100"/>
      <c r="ULH2584" s="100"/>
      <c r="ULI2584" s="100"/>
      <c r="ULJ2584" s="100"/>
      <c r="ULK2584" s="100"/>
      <c r="ULL2584" s="100"/>
      <c r="ULM2584" s="100"/>
      <c r="ULN2584" s="100"/>
      <c r="ULO2584" s="100"/>
      <c r="ULP2584" s="100"/>
      <c r="ULQ2584" s="100"/>
      <c r="ULR2584" s="100"/>
      <c r="ULS2584" s="100"/>
      <c r="ULT2584" s="100"/>
      <c r="ULU2584" s="100"/>
      <c r="ULV2584" s="100"/>
      <c r="ULW2584" s="100"/>
      <c r="ULX2584" s="100"/>
      <c r="ULY2584" s="100"/>
      <c r="ULZ2584" s="100"/>
      <c r="UMA2584" s="100"/>
      <c r="UMB2584" s="100"/>
      <c r="UMC2584" s="100"/>
      <c r="UMD2584" s="100"/>
      <c r="UME2584" s="100"/>
      <c r="UMF2584" s="100"/>
      <c r="UMG2584" s="100"/>
      <c r="UMH2584" s="100"/>
      <c r="UMI2584" s="100"/>
      <c r="UMJ2584" s="100"/>
      <c r="UMK2584" s="100"/>
      <c r="UML2584" s="100"/>
      <c r="UMM2584" s="100"/>
      <c r="UMN2584" s="100"/>
      <c r="UMO2584" s="100"/>
      <c r="UMP2584" s="100"/>
      <c r="UMQ2584" s="100"/>
      <c r="UMR2584" s="100"/>
      <c r="UMS2584" s="100"/>
      <c r="UMT2584" s="100"/>
      <c r="UMU2584" s="100"/>
      <c r="UMV2584" s="100"/>
      <c r="UMW2584" s="100"/>
      <c r="UMX2584" s="100"/>
      <c r="UMY2584" s="100"/>
      <c r="UMZ2584" s="100"/>
      <c r="UNA2584" s="100"/>
      <c r="UNB2584" s="100"/>
      <c r="UNC2584" s="100"/>
      <c r="UND2584" s="100"/>
      <c r="UNE2584" s="100"/>
      <c r="UNF2584" s="100"/>
      <c r="UNG2584" s="100"/>
      <c r="UNH2584" s="100"/>
      <c r="UNI2584" s="100"/>
      <c r="UNJ2584" s="100"/>
      <c r="UNK2584" s="100"/>
      <c r="UNL2584" s="100"/>
      <c r="UNM2584" s="100"/>
      <c r="UNN2584" s="100"/>
      <c r="UNO2584" s="100"/>
      <c r="UNP2584" s="100"/>
      <c r="UNQ2584" s="100"/>
      <c r="UNR2584" s="100"/>
      <c r="UNS2584" s="100"/>
      <c r="UNT2584" s="100"/>
      <c r="UNU2584" s="100"/>
      <c r="UNV2584" s="100"/>
      <c r="UNW2584" s="100"/>
      <c r="UNX2584" s="100"/>
      <c r="UNY2584" s="100"/>
      <c r="UNZ2584" s="100"/>
      <c r="UOA2584" s="100"/>
      <c r="UOB2584" s="100"/>
      <c r="UOC2584" s="100"/>
      <c r="UOD2584" s="100"/>
      <c r="UOE2584" s="100"/>
      <c r="UOF2584" s="100"/>
      <c r="UOG2584" s="100"/>
      <c r="UOH2584" s="100"/>
      <c r="UOI2584" s="100"/>
      <c r="UOJ2584" s="100"/>
      <c r="UOK2584" s="100"/>
      <c r="UOL2584" s="100"/>
      <c r="UOM2584" s="100"/>
      <c r="UON2584" s="100"/>
      <c r="UOO2584" s="100"/>
      <c r="UOP2584" s="100"/>
      <c r="UOQ2584" s="100"/>
      <c r="UOR2584" s="100"/>
      <c r="UOS2584" s="100"/>
      <c r="UOT2584" s="100"/>
      <c r="UOU2584" s="100"/>
      <c r="UOV2584" s="100"/>
      <c r="UOW2584" s="100"/>
      <c r="UOX2584" s="100"/>
      <c r="UOY2584" s="100"/>
      <c r="UOZ2584" s="100"/>
      <c r="UPA2584" s="100"/>
      <c r="UPB2584" s="100"/>
      <c r="UPC2584" s="100"/>
      <c r="UPD2584" s="100"/>
      <c r="UPE2584" s="100"/>
      <c r="UPF2584" s="100"/>
      <c r="UPG2584" s="100"/>
      <c r="UPH2584" s="100"/>
      <c r="UPI2584" s="100"/>
      <c r="UPJ2584" s="100"/>
      <c r="UPK2584" s="100"/>
      <c r="UPL2584" s="100"/>
      <c r="UPM2584" s="100"/>
      <c r="UPN2584" s="100"/>
      <c r="UPO2584" s="100"/>
      <c r="UPP2584" s="100"/>
      <c r="UPQ2584" s="100"/>
      <c r="UPR2584" s="100"/>
      <c r="UPS2584" s="100"/>
      <c r="UPT2584" s="100"/>
      <c r="UPU2584" s="100"/>
      <c r="UPV2584" s="100"/>
      <c r="UPW2584" s="100"/>
      <c r="UPX2584" s="100"/>
      <c r="UPY2584" s="100"/>
      <c r="UPZ2584" s="100"/>
      <c r="UQA2584" s="100"/>
      <c r="UQB2584" s="100"/>
      <c r="UQC2584" s="100"/>
      <c r="UQD2584" s="100"/>
      <c r="UQE2584" s="100"/>
      <c r="UQF2584" s="100"/>
      <c r="UQG2584" s="100"/>
      <c r="UQH2584" s="100"/>
      <c r="UQI2584" s="100"/>
      <c r="UQJ2584" s="100"/>
      <c r="UQK2584" s="100"/>
      <c r="UQL2584" s="100"/>
      <c r="UQM2584" s="100"/>
      <c r="UQN2584" s="100"/>
      <c r="UQO2584" s="100"/>
      <c r="UQP2584" s="100"/>
      <c r="UQQ2584" s="100"/>
      <c r="UQR2584" s="100"/>
      <c r="UQS2584" s="100"/>
      <c r="UQT2584" s="100"/>
      <c r="UQU2584" s="100"/>
      <c r="UQV2584" s="100"/>
      <c r="UQW2584" s="100"/>
      <c r="UQX2584" s="100"/>
      <c r="UQY2584" s="100"/>
      <c r="UQZ2584" s="100"/>
      <c r="URA2584" s="100"/>
      <c r="URB2584" s="100"/>
      <c r="URC2584" s="100"/>
      <c r="URD2584" s="100"/>
      <c r="URE2584" s="100"/>
      <c r="URF2584" s="100"/>
      <c r="URG2584" s="100"/>
      <c r="URH2584" s="100"/>
      <c r="URI2584" s="100"/>
      <c r="URJ2584" s="100"/>
      <c r="URK2584" s="100"/>
      <c r="URL2584" s="100"/>
      <c r="URM2584" s="100"/>
      <c r="URN2584" s="100"/>
      <c r="URO2584" s="100"/>
      <c r="URP2584" s="100"/>
      <c r="URQ2584" s="100"/>
      <c r="URR2584" s="100"/>
      <c r="URS2584" s="100"/>
      <c r="URT2584" s="100"/>
      <c r="URU2584" s="100"/>
      <c r="URV2584" s="100"/>
      <c r="URW2584" s="100"/>
      <c r="URX2584" s="100"/>
      <c r="URY2584" s="100"/>
      <c r="URZ2584" s="100"/>
      <c r="USA2584" s="100"/>
      <c r="USB2584" s="100"/>
      <c r="USC2584" s="100"/>
      <c r="USD2584" s="100"/>
      <c r="USE2584" s="100"/>
      <c r="USF2584" s="100"/>
      <c r="USG2584" s="100"/>
      <c r="USH2584" s="100"/>
      <c r="USI2584" s="100"/>
      <c r="USJ2584" s="100"/>
      <c r="USK2584" s="100"/>
      <c r="USL2584" s="100"/>
      <c r="USM2584" s="100"/>
      <c r="USN2584" s="100"/>
      <c r="USO2584" s="100"/>
      <c r="USP2584" s="100"/>
      <c r="USQ2584" s="100"/>
      <c r="USR2584" s="100"/>
      <c r="USS2584" s="100"/>
      <c r="UST2584" s="100"/>
      <c r="USU2584" s="100"/>
      <c r="USV2584" s="100"/>
      <c r="USW2584" s="100"/>
      <c r="USX2584" s="100"/>
      <c r="USY2584" s="100"/>
      <c r="USZ2584" s="100"/>
      <c r="UTA2584" s="100"/>
      <c r="UTB2584" s="100"/>
      <c r="UTC2584" s="100"/>
      <c r="UTD2584" s="100"/>
      <c r="UTE2584" s="100"/>
      <c r="UTF2584" s="100"/>
      <c r="UTG2584" s="100"/>
      <c r="UTH2584" s="100"/>
      <c r="UTI2584" s="100"/>
      <c r="UTJ2584" s="100"/>
      <c r="UTK2584" s="100"/>
      <c r="UTL2584" s="100"/>
      <c r="UTM2584" s="100"/>
      <c r="UTN2584" s="100"/>
      <c r="UTO2584" s="100"/>
      <c r="UTP2584" s="100"/>
      <c r="UTQ2584" s="100"/>
      <c r="UTR2584" s="100"/>
      <c r="UTS2584" s="100"/>
      <c r="UTT2584" s="100"/>
      <c r="UTU2584" s="100"/>
      <c r="UTV2584" s="100"/>
      <c r="UTW2584" s="100"/>
      <c r="UTX2584" s="100"/>
      <c r="UTY2584" s="100"/>
      <c r="UTZ2584" s="100"/>
      <c r="UUA2584" s="100"/>
      <c r="UUB2584" s="100"/>
      <c r="UUC2584" s="100"/>
      <c r="UUD2584" s="100"/>
      <c r="UUE2584" s="100"/>
      <c r="UUF2584" s="100"/>
      <c r="UUG2584" s="100"/>
      <c r="UUH2584" s="100"/>
      <c r="UUI2584" s="100"/>
      <c r="UUJ2584" s="100"/>
      <c r="UUK2584" s="100"/>
      <c r="UUL2584" s="100"/>
      <c r="UUM2584" s="100"/>
      <c r="UUN2584" s="100"/>
      <c r="UUO2584" s="100"/>
      <c r="UUP2584" s="100"/>
      <c r="UUQ2584" s="100"/>
      <c r="UUR2584" s="100"/>
      <c r="UUS2584" s="100"/>
      <c r="UUT2584" s="100"/>
      <c r="UUU2584" s="100"/>
      <c r="UUV2584" s="100"/>
      <c r="UUW2584" s="100"/>
      <c r="UUX2584" s="100"/>
      <c r="UUY2584" s="100"/>
      <c r="UUZ2584" s="100"/>
      <c r="UVA2584" s="100"/>
      <c r="UVB2584" s="100"/>
      <c r="UVC2584" s="100"/>
      <c r="UVD2584" s="100"/>
      <c r="UVE2584" s="100"/>
      <c r="UVF2584" s="100"/>
      <c r="UVG2584" s="100"/>
      <c r="UVH2584" s="100"/>
      <c r="UVI2584" s="100"/>
      <c r="UVJ2584" s="100"/>
      <c r="UVK2584" s="100"/>
      <c r="UVL2584" s="100"/>
      <c r="UVM2584" s="100"/>
      <c r="UVN2584" s="100"/>
      <c r="UVO2584" s="100"/>
      <c r="UVP2584" s="100"/>
      <c r="UVQ2584" s="100"/>
      <c r="UVR2584" s="100"/>
      <c r="UVS2584" s="100"/>
      <c r="UVT2584" s="100"/>
      <c r="UVU2584" s="100"/>
      <c r="UVV2584" s="100"/>
      <c r="UVW2584" s="100"/>
      <c r="UVX2584" s="100"/>
      <c r="UVY2584" s="100"/>
      <c r="UVZ2584" s="100"/>
      <c r="UWA2584" s="100"/>
      <c r="UWB2584" s="100"/>
      <c r="UWC2584" s="100"/>
      <c r="UWD2584" s="100"/>
      <c r="UWE2584" s="100"/>
      <c r="UWF2584" s="100"/>
      <c r="UWG2584" s="100"/>
      <c r="UWH2584" s="100"/>
      <c r="UWI2584" s="100"/>
      <c r="UWJ2584" s="100"/>
      <c r="UWK2584" s="100"/>
      <c r="UWL2584" s="100"/>
      <c r="UWM2584" s="100"/>
      <c r="UWN2584" s="100"/>
      <c r="UWO2584" s="100"/>
      <c r="UWP2584" s="100"/>
      <c r="UWQ2584" s="100"/>
      <c r="UWR2584" s="100"/>
      <c r="UWS2584" s="100"/>
      <c r="UWT2584" s="100"/>
      <c r="UWU2584" s="100"/>
      <c r="UWV2584" s="100"/>
      <c r="UWW2584" s="100"/>
      <c r="UWX2584" s="100"/>
      <c r="UWY2584" s="100"/>
      <c r="UWZ2584" s="100"/>
      <c r="UXA2584" s="100"/>
      <c r="UXB2584" s="100"/>
      <c r="UXC2584" s="100"/>
      <c r="UXD2584" s="100"/>
      <c r="UXE2584" s="100"/>
      <c r="UXF2584" s="100"/>
      <c r="UXG2584" s="100"/>
      <c r="UXH2584" s="100"/>
      <c r="UXI2584" s="100"/>
      <c r="UXJ2584" s="100"/>
      <c r="UXK2584" s="100"/>
      <c r="UXL2584" s="100"/>
      <c r="UXM2584" s="100"/>
      <c r="UXN2584" s="100"/>
      <c r="UXO2584" s="100"/>
      <c r="UXP2584" s="100"/>
      <c r="UXQ2584" s="100"/>
      <c r="UXR2584" s="100"/>
      <c r="UXS2584" s="100"/>
      <c r="UXT2584" s="100"/>
      <c r="UXU2584" s="100"/>
      <c r="UXV2584" s="100"/>
      <c r="UXW2584" s="100"/>
      <c r="UXX2584" s="100"/>
      <c r="UXY2584" s="100"/>
      <c r="UXZ2584" s="100"/>
      <c r="UYA2584" s="100"/>
      <c r="UYB2584" s="100"/>
      <c r="UYC2584" s="100"/>
      <c r="UYD2584" s="100"/>
      <c r="UYE2584" s="100"/>
      <c r="UYF2584" s="100"/>
      <c r="UYG2584" s="100"/>
      <c r="UYH2584" s="100"/>
      <c r="UYI2584" s="100"/>
      <c r="UYJ2584" s="100"/>
      <c r="UYK2584" s="100"/>
      <c r="UYL2584" s="100"/>
      <c r="UYM2584" s="100"/>
      <c r="UYN2584" s="100"/>
      <c r="UYO2584" s="100"/>
      <c r="UYP2584" s="100"/>
      <c r="UYQ2584" s="100"/>
      <c r="UYR2584" s="100"/>
      <c r="UYS2584" s="100"/>
      <c r="UYT2584" s="100"/>
      <c r="UYU2584" s="100"/>
      <c r="UYV2584" s="100"/>
      <c r="UYW2584" s="100"/>
      <c r="UYX2584" s="100"/>
      <c r="UYY2584" s="100"/>
      <c r="UYZ2584" s="100"/>
      <c r="UZA2584" s="100"/>
      <c r="UZB2584" s="100"/>
      <c r="UZC2584" s="100"/>
      <c r="UZD2584" s="100"/>
      <c r="UZE2584" s="100"/>
      <c r="UZF2584" s="100"/>
      <c r="UZG2584" s="100"/>
      <c r="UZH2584" s="100"/>
      <c r="UZI2584" s="100"/>
      <c r="UZJ2584" s="100"/>
      <c r="UZK2584" s="100"/>
      <c r="UZL2584" s="100"/>
      <c r="UZM2584" s="100"/>
      <c r="UZN2584" s="100"/>
      <c r="UZO2584" s="100"/>
      <c r="UZP2584" s="100"/>
      <c r="UZQ2584" s="100"/>
      <c r="UZR2584" s="100"/>
      <c r="UZS2584" s="100"/>
      <c r="UZT2584" s="100"/>
      <c r="UZU2584" s="100"/>
      <c r="UZV2584" s="100"/>
      <c r="UZW2584" s="100"/>
      <c r="UZX2584" s="100"/>
      <c r="UZY2584" s="100"/>
      <c r="UZZ2584" s="100"/>
      <c r="VAA2584" s="100"/>
      <c r="VAB2584" s="100"/>
      <c r="VAC2584" s="100"/>
      <c r="VAD2584" s="100"/>
      <c r="VAE2584" s="100"/>
      <c r="VAF2584" s="100"/>
      <c r="VAG2584" s="100"/>
      <c r="VAH2584" s="100"/>
      <c r="VAI2584" s="100"/>
      <c r="VAJ2584" s="100"/>
      <c r="VAK2584" s="100"/>
      <c r="VAL2584" s="100"/>
      <c r="VAM2584" s="100"/>
      <c r="VAN2584" s="100"/>
      <c r="VAO2584" s="100"/>
      <c r="VAP2584" s="100"/>
      <c r="VAQ2584" s="100"/>
      <c r="VAR2584" s="100"/>
      <c r="VAS2584" s="100"/>
      <c r="VAT2584" s="100"/>
      <c r="VAU2584" s="100"/>
      <c r="VAV2584" s="100"/>
      <c r="VAW2584" s="100"/>
      <c r="VAX2584" s="100"/>
      <c r="VAY2584" s="100"/>
      <c r="VAZ2584" s="100"/>
      <c r="VBA2584" s="100"/>
      <c r="VBB2584" s="100"/>
      <c r="VBC2584" s="100"/>
      <c r="VBD2584" s="100"/>
      <c r="VBE2584" s="100"/>
      <c r="VBF2584" s="100"/>
      <c r="VBG2584" s="100"/>
      <c r="VBH2584" s="100"/>
      <c r="VBI2584" s="100"/>
      <c r="VBJ2584" s="100"/>
      <c r="VBK2584" s="100"/>
      <c r="VBL2584" s="100"/>
      <c r="VBM2584" s="100"/>
      <c r="VBN2584" s="100"/>
      <c r="VBO2584" s="100"/>
      <c r="VBP2584" s="100"/>
      <c r="VBQ2584" s="100"/>
      <c r="VBR2584" s="100"/>
      <c r="VBS2584" s="100"/>
      <c r="VBT2584" s="100"/>
      <c r="VBU2584" s="100"/>
      <c r="VBV2584" s="100"/>
      <c r="VBW2584" s="100"/>
      <c r="VBX2584" s="100"/>
      <c r="VBY2584" s="100"/>
      <c r="VBZ2584" s="100"/>
      <c r="VCA2584" s="100"/>
      <c r="VCB2584" s="100"/>
      <c r="VCC2584" s="100"/>
      <c r="VCD2584" s="100"/>
      <c r="VCE2584" s="100"/>
      <c r="VCF2584" s="100"/>
      <c r="VCG2584" s="100"/>
      <c r="VCH2584" s="100"/>
      <c r="VCI2584" s="100"/>
      <c r="VCJ2584" s="100"/>
      <c r="VCK2584" s="100"/>
      <c r="VCL2584" s="100"/>
      <c r="VCM2584" s="100"/>
      <c r="VCN2584" s="100"/>
      <c r="VCO2584" s="100"/>
      <c r="VCP2584" s="100"/>
      <c r="VCQ2584" s="100"/>
      <c r="VCR2584" s="100"/>
      <c r="VCS2584" s="100"/>
      <c r="VCT2584" s="100"/>
      <c r="VCU2584" s="100"/>
      <c r="VCV2584" s="100"/>
      <c r="VCW2584" s="100"/>
      <c r="VCX2584" s="100"/>
      <c r="VCY2584" s="100"/>
      <c r="VCZ2584" s="100"/>
      <c r="VDA2584" s="100"/>
      <c r="VDB2584" s="100"/>
      <c r="VDC2584" s="100"/>
      <c r="VDD2584" s="100"/>
      <c r="VDE2584" s="100"/>
      <c r="VDF2584" s="100"/>
      <c r="VDG2584" s="100"/>
      <c r="VDH2584" s="100"/>
      <c r="VDI2584" s="100"/>
      <c r="VDJ2584" s="100"/>
      <c r="VDK2584" s="100"/>
      <c r="VDL2584" s="100"/>
      <c r="VDM2584" s="100"/>
      <c r="VDN2584" s="100"/>
      <c r="VDO2584" s="100"/>
      <c r="VDP2584" s="100"/>
      <c r="VDQ2584" s="100"/>
      <c r="VDR2584" s="100"/>
      <c r="VDS2584" s="100"/>
      <c r="VDT2584" s="100"/>
      <c r="VDU2584" s="100"/>
      <c r="VDV2584" s="100"/>
      <c r="VDW2584" s="100"/>
      <c r="VDX2584" s="100"/>
      <c r="VDY2584" s="100"/>
      <c r="VDZ2584" s="100"/>
      <c r="VEA2584" s="100"/>
      <c r="VEB2584" s="100"/>
      <c r="VEC2584" s="100"/>
      <c r="VED2584" s="100"/>
      <c r="VEE2584" s="100"/>
      <c r="VEF2584" s="100"/>
      <c r="VEG2584" s="100"/>
      <c r="VEH2584" s="100"/>
      <c r="VEI2584" s="100"/>
      <c r="VEJ2584" s="100"/>
      <c r="VEK2584" s="100"/>
      <c r="VEL2584" s="100"/>
      <c r="VEM2584" s="100"/>
      <c r="VEN2584" s="100"/>
      <c r="VEO2584" s="100"/>
      <c r="VEP2584" s="100"/>
      <c r="VEQ2584" s="100"/>
      <c r="VER2584" s="100"/>
      <c r="VES2584" s="100"/>
      <c r="VET2584" s="100"/>
      <c r="VEU2584" s="100"/>
      <c r="VEV2584" s="100"/>
      <c r="VEW2584" s="100"/>
      <c r="VEX2584" s="100"/>
      <c r="VEY2584" s="100"/>
      <c r="VEZ2584" s="100"/>
      <c r="VFA2584" s="100"/>
      <c r="VFB2584" s="100"/>
      <c r="VFC2584" s="100"/>
      <c r="VFD2584" s="100"/>
      <c r="VFE2584" s="100"/>
      <c r="VFF2584" s="100"/>
      <c r="VFG2584" s="100"/>
      <c r="VFH2584" s="100"/>
      <c r="VFI2584" s="100"/>
      <c r="VFJ2584" s="100"/>
      <c r="VFK2584" s="100"/>
      <c r="VFL2584" s="100"/>
      <c r="VFM2584" s="100"/>
      <c r="VFN2584" s="100"/>
      <c r="VFO2584" s="100"/>
      <c r="VFP2584" s="100"/>
      <c r="VFQ2584" s="100"/>
      <c r="VFR2584" s="100"/>
      <c r="VFS2584" s="100"/>
      <c r="VFT2584" s="100"/>
      <c r="VFU2584" s="100"/>
      <c r="VFV2584" s="100"/>
      <c r="VFW2584" s="100"/>
      <c r="VFX2584" s="100"/>
      <c r="VFY2584" s="100"/>
      <c r="VFZ2584" s="100"/>
      <c r="VGA2584" s="100"/>
      <c r="VGB2584" s="100"/>
      <c r="VGC2584" s="100"/>
      <c r="VGD2584" s="100"/>
      <c r="VGE2584" s="100"/>
      <c r="VGF2584" s="100"/>
      <c r="VGG2584" s="100"/>
      <c r="VGH2584" s="100"/>
      <c r="VGI2584" s="100"/>
      <c r="VGJ2584" s="100"/>
      <c r="VGK2584" s="100"/>
      <c r="VGL2584" s="100"/>
      <c r="VGM2584" s="100"/>
      <c r="VGN2584" s="100"/>
      <c r="VGO2584" s="100"/>
      <c r="VGP2584" s="100"/>
      <c r="VGQ2584" s="100"/>
      <c r="VGR2584" s="100"/>
      <c r="VGS2584" s="100"/>
      <c r="VGT2584" s="100"/>
      <c r="VGU2584" s="100"/>
      <c r="VGV2584" s="100"/>
      <c r="VGW2584" s="100"/>
      <c r="VGX2584" s="100"/>
      <c r="VGY2584" s="100"/>
      <c r="VGZ2584" s="100"/>
      <c r="VHA2584" s="100"/>
      <c r="VHB2584" s="100"/>
      <c r="VHC2584" s="100"/>
      <c r="VHD2584" s="100"/>
      <c r="VHE2584" s="100"/>
      <c r="VHF2584" s="100"/>
      <c r="VHG2584" s="100"/>
      <c r="VHH2584" s="100"/>
      <c r="VHI2584" s="100"/>
      <c r="VHJ2584" s="100"/>
      <c r="VHK2584" s="100"/>
      <c r="VHL2584" s="100"/>
      <c r="VHM2584" s="100"/>
      <c r="VHN2584" s="100"/>
      <c r="VHO2584" s="100"/>
      <c r="VHP2584" s="100"/>
      <c r="VHQ2584" s="100"/>
      <c r="VHR2584" s="100"/>
      <c r="VHS2584" s="100"/>
      <c r="VHT2584" s="100"/>
      <c r="VHU2584" s="100"/>
      <c r="VHV2584" s="100"/>
      <c r="VHW2584" s="100"/>
      <c r="VHX2584" s="100"/>
      <c r="VHY2584" s="100"/>
      <c r="VHZ2584" s="100"/>
      <c r="VIA2584" s="100"/>
      <c r="VIB2584" s="100"/>
      <c r="VIC2584" s="100"/>
      <c r="VID2584" s="100"/>
      <c r="VIE2584" s="100"/>
      <c r="VIF2584" s="100"/>
      <c r="VIG2584" s="100"/>
      <c r="VIH2584" s="100"/>
      <c r="VII2584" s="100"/>
      <c r="VIJ2584" s="100"/>
      <c r="VIK2584" s="100"/>
      <c r="VIL2584" s="100"/>
      <c r="VIM2584" s="100"/>
      <c r="VIN2584" s="100"/>
      <c r="VIO2584" s="100"/>
      <c r="VIP2584" s="100"/>
      <c r="VIQ2584" s="100"/>
      <c r="VIR2584" s="100"/>
      <c r="VIS2584" s="100"/>
      <c r="VIT2584" s="100"/>
      <c r="VIU2584" s="100"/>
      <c r="VIV2584" s="100"/>
      <c r="VIW2584" s="100"/>
      <c r="VIX2584" s="100"/>
      <c r="VIY2584" s="100"/>
      <c r="VIZ2584" s="100"/>
      <c r="VJA2584" s="100"/>
      <c r="VJB2584" s="100"/>
      <c r="VJC2584" s="100"/>
      <c r="VJD2584" s="100"/>
      <c r="VJE2584" s="100"/>
      <c r="VJF2584" s="100"/>
      <c r="VJG2584" s="100"/>
      <c r="VJH2584" s="100"/>
      <c r="VJI2584" s="100"/>
      <c r="VJJ2584" s="100"/>
      <c r="VJK2584" s="100"/>
      <c r="VJL2584" s="100"/>
      <c r="VJM2584" s="100"/>
      <c r="VJN2584" s="100"/>
      <c r="VJO2584" s="100"/>
      <c r="VJP2584" s="100"/>
      <c r="VJQ2584" s="100"/>
      <c r="VJR2584" s="100"/>
      <c r="VJS2584" s="100"/>
      <c r="VJT2584" s="100"/>
      <c r="VJU2584" s="100"/>
      <c r="VJV2584" s="100"/>
      <c r="VJW2584" s="100"/>
      <c r="VJX2584" s="100"/>
      <c r="VJY2584" s="100"/>
      <c r="VJZ2584" s="100"/>
      <c r="VKA2584" s="100"/>
      <c r="VKB2584" s="100"/>
      <c r="VKC2584" s="100"/>
      <c r="VKD2584" s="100"/>
      <c r="VKE2584" s="100"/>
      <c r="VKF2584" s="100"/>
      <c r="VKG2584" s="100"/>
      <c r="VKH2584" s="100"/>
      <c r="VKI2584" s="100"/>
      <c r="VKJ2584" s="100"/>
      <c r="VKK2584" s="100"/>
      <c r="VKL2584" s="100"/>
      <c r="VKM2584" s="100"/>
      <c r="VKN2584" s="100"/>
      <c r="VKO2584" s="100"/>
      <c r="VKP2584" s="100"/>
      <c r="VKQ2584" s="100"/>
      <c r="VKR2584" s="100"/>
      <c r="VKS2584" s="100"/>
      <c r="VKT2584" s="100"/>
      <c r="VKU2584" s="100"/>
      <c r="VKV2584" s="100"/>
      <c r="VKW2584" s="100"/>
      <c r="VKX2584" s="100"/>
      <c r="VKY2584" s="100"/>
      <c r="VKZ2584" s="100"/>
      <c r="VLA2584" s="100"/>
      <c r="VLB2584" s="100"/>
      <c r="VLC2584" s="100"/>
      <c r="VLD2584" s="100"/>
      <c r="VLE2584" s="100"/>
      <c r="VLF2584" s="100"/>
      <c r="VLG2584" s="100"/>
      <c r="VLH2584" s="100"/>
      <c r="VLI2584" s="100"/>
      <c r="VLJ2584" s="100"/>
      <c r="VLK2584" s="100"/>
      <c r="VLL2584" s="100"/>
      <c r="VLM2584" s="100"/>
      <c r="VLN2584" s="100"/>
      <c r="VLO2584" s="100"/>
      <c r="VLP2584" s="100"/>
      <c r="VLQ2584" s="100"/>
      <c r="VLR2584" s="100"/>
      <c r="VLS2584" s="100"/>
      <c r="VLT2584" s="100"/>
      <c r="VLU2584" s="100"/>
      <c r="VLV2584" s="100"/>
      <c r="VLW2584" s="100"/>
      <c r="VLX2584" s="100"/>
      <c r="VLY2584" s="100"/>
      <c r="VLZ2584" s="100"/>
      <c r="VMA2584" s="100"/>
      <c r="VMB2584" s="100"/>
      <c r="VMC2584" s="100"/>
      <c r="VMD2584" s="100"/>
      <c r="VME2584" s="100"/>
      <c r="VMF2584" s="100"/>
      <c r="VMG2584" s="100"/>
      <c r="VMH2584" s="100"/>
      <c r="VMI2584" s="100"/>
      <c r="VMJ2584" s="100"/>
      <c r="VMK2584" s="100"/>
      <c r="VML2584" s="100"/>
      <c r="VMM2584" s="100"/>
      <c r="VMN2584" s="100"/>
      <c r="VMO2584" s="100"/>
      <c r="VMP2584" s="100"/>
      <c r="VMQ2584" s="100"/>
      <c r="VMR2584" s="100"/>
      <c r="VMS2584" s="100"/>
      <c r="VMT2584" s="100"/>
      <c r="VMU2584" s="100"/>
      <c r="VMV2584" s="100"/>
      <c r="VMW2584" s="100"/>
      <c r="VMX2584" s="100"/>
      <c r="VMY2584" s="100"/>
      <c r="VMZ2584" s="100"/>
      <c r="VNA2584" s="100"/>
      <c r="VNB2584" s="100"/>
      <c r="VNC2584" s="100"/>
      <c r="VND2584" s="100"/>
      <c r="VNE2584" s="100"/>
      <c r="VNF2584" s="100"/>
      <c r="VNG2584" s="100"/>
      <c r="VNH2584" s="100"/>
      <c r="VNI2584" s="100"/>
      <c r="VNJ2584" s="100"/>
      <c r="VNK2584" s="100"/>
      <c r="VNL2584" s="100"/>
      <c r="VNM2584" s="100"/>
      <c r="VNN2584" s="100"/>
      <c r="VNO2584" s="100"/>
      <c r="VNP2584" s="100"/>
      <c r="VNQ2584" s="100"/>
      <c r="VNR2584" s="100"/>
      <c r="VNS2584" s="100"/>
      <c r="VNT2584" s="100"/>
      <c r="VNU2584" s="100"/>
      <c r="VNV2584" s="100"/>
      <c r="VNW2584" s="100"/>
      <c r="VNX2584" s="100"/>
      <c r="VNY2584" s="100"/>
      <c r="VNZ2584" s="100"/>
      <c r="VOA2584" s="100"/>
      <c r="VOB2584" s="100"/>
      <c r="VOC2584" s="100"/>
      <c r="VOD2584" s="100"/>
      <c r="VOE2584" s="100"/>
      <c r="VOF2584" s="100"/>
      <c r="VOG2584" s="100"/>
      <c r="VOH2584" s="100"/>
      <c r="VOI2584" s="100"/>
      <c r="VOJ2584" s="100"/>
      <c r="VOK2584" s="100"/>
      <c r="VOL2584" s="100"/>
      <c r="VOM2584" s="100"/>
      <c r="VON2584" s="100"/>
      <c r="VOO2584" s="100"/>
      <c r="VOP2584" s="100"/>
      <c r="VOQ2584" s="100"/>
      <c r="VOR2584" s="100"/>
      <c r="VOS2584" s="100"/>
      <c r="VOT2584" s="100"/>
      <c r="VOU2584" s="100"/>
      <c r="VOV2584" s="100"/>
      <c r="VOW2584" s="100"/>
      <c r="VOX2584" s="100"/>
      <c r="VOY2584" s="100"/>
      <c r="VOZ2584" s="100"/>
      <c r="VPA2584" s="100"/>
      <c r="VPB2584" s="100"/>
      <c r="VPC2584" s="100"/>
      <c r="VPD2584" s="100"/>
      <c r="VPE2584" s="100"/>
      <c r="VPF2584" s="100"/>
      <c r="VPG2584" s="100"/>
      <c r="VPH2584" s="100"/>
      <c r="VPI2584" s="100"/>
      <c r="VPJ2584" s="100"/>
      <c r="VPK2584" s="100"/>
      <c r="VPL2584" s="100"/>
      <c r="VPM2584" s="100"/>
      <c r="VPN2584" s="100"/>
      <c r="VPO2584" s="100"/>
      <c r="VPP2584" s="100"/>
      <c r="VPQ2584" s="100"/>
      <c r="VPR2584" s="100"/>
      <c r="VPS2584" s="100"/>
      <c r="VPT2584" s="100"/>
      <c r="VPU2584" s="100"/>
      <c r="VPV2584" s="100"/>
      <c r="VPW2584" s="100"/>
      <c r="VPX2584" s="100"/>
      <c r="VPY2584" s="100"/>
      <c r="VPZ2584" s="100"/>
      <c r="VQA2584" s="100"/>
      <c r="VQB2584" s="100"/>
      <c r="VQC2584" s="100"/>
      <c r="VQD2584" s="100"/>
      <c r="VQE2584" s="100"/>
      <c r="VQF2584" s="100"/>
      <c r="VQG2584" s="100"/>
      <c r="VQH2584" s="100"/>
      <c r="VQI2584" s="100"/>
      <c r="VQJ2584" s="100"/>
      <c r="VQK2584" s="100"/>
      <c r="VQL2584" s="100"/>
      <c r="VQM2584" s="100"/>
      <c r="VQN2584" s="100"/>
      <c r="VQO2584" s="100"/>
      <c r="VQP2584" s="100"/>
      <c r="VQQ2584" s="100"/>
      <c r="VQR2584" s="100"/>
      <c r="VQS2584" s="100"/>
      <c r="VQT2584" s="100"/>
      <c r="VQU2584" s="100"/>
      <c r="VQV2584" s="100"/>
      <c r="VQW2584" s="100"/>
      <c r="VQX2584" s="100"/>
      <c r="VQY2584" s="100"/>
      <c r="VQZ2584" s="100"/>
      <c r="VRA2584" s="100"/>
      <c r="VRB2584" s="100"/>
      <c r="VRC2584" s="100"/>
      <c r="VRD2584" s="100"/>
      <c r="VRE2584" s="100"/>
      <c r="VRF2584" s="100"/>
      <c r="VRG2584" s="100"/>
      <c r="VRH2584" s="100"/>
      <c r="VRI2584" s="100"/>
      <c r="VRJ2584" s="100"/>
      <c r="VRK2584" s="100"/>
      <c r="VRL2584" s="100"/>
      <c r="VRM2584" s="100"/>
      <c r="VRN2584" s="100"/>
      <c r="VRO2584" s="100"/>
      <c r="VRP2584" s="100"/>
      <c r="VRQ2584" s="100"/>
      <c r="VRR2584" s="100"/>
      <c r="VRS2584" s="100"/>
      <c r="VRT2584" s="100"/>
      <c r="VRU2584" s="100"/>
      <c r="VRV2584" s="100"/>
      <c r="VRW2584" s="100"/>
      <c r="VRX2584" s="100"/>
      <c r="VRY2584" s="100"/>
      <c r="VRZ2584" s="100"/>
      <c r="VSA2584" s="100"/>
      <c r="VSB2584" s="100"/>
      <c r="VSC2584" s="100"/>
      <c r="VSD2584" s="100"/>
      <c r="VSE2584" s="100"/>
      <c r="VSF2584" s="100"/>
      <c r="VSG2584" s="100"/>
      <c r="VSH2584" s="100"/>
      <c r="VSI2584" s="100"/>
      <c r="VSJ2584" s="100"/>
      <c r="VSK2584" s="100"/>
      <c r="VSL2584" s="100"/>
      <c r="VSM2584" s="100"/>
      <c r="VSN2584" s="100"/>
      <c r="VSO2584" s="100"/>
      <c r="VSP2584" s="100"/>
      <c r="VSQ2584" s="100"/>
      <c r="VSR2584" s="100"/>
      <c r="VSS2584" s="100"/>
      <c r="VST2584" s="100"/>
      <c r="VSU2584" s="100"/>
      <c r="VSV2584" s="100"/>
      <c r="VSW2584" s="100"/>
      <c r="VSX2584" s="100"/>
      <c r="VSY2584" s="100"/>
      <c r="VSZ2584" s="100"/>
      <c r="VTA2584" s="100"/>
      <c r="VTB2584" s="100"/>
      <c r="VTC2584" s="100"/>
      <c r="VTD2584" s="100"/>
      <c r="VTE2584" s="100"/>
      <c r="VTF2584" s="100"/>
      <c r="VTG2584" s="100"/>
      <c r="VTH2584" s="100"/>
      <c r="VTI2584" s="100"/>
      <c r="VTJ2584" s="100"/>
      <c r="VTK2584" s="100"/>
      <c r="VTL2584" s="100"/>
      <c r="VTM2584" s="100"/>
      <c r="VTN2584" s="100"/>
      <c r="VTO2584" s="100"/>
      <c r="VTP2584" s="100"/>
      <c r="VTQ2584" s="100"/>
      <c r="VTR2584" s="100"/>
      <c r="VTS2584" s="100"/>
      <c r="VTT2584" s="100"/>
      <c r="VTU2584" s="100"/>
      <c r="VTV2584" s="100"/>
      <c r="VTW2584" s="100"/>
      <c r="VTX2584" s="100"/>
      <c r="VTY2584" s="100"/>
      <c r="VTZ2584" s="100"/>
      <c r="VUA2584" s="100"/>
      <c r="VUB2584" s="100"/>
      <c r="VUC2584" s="100"/>
      <c r="VUD2584" s="100"/>
      <c r="VUE2584" s="100"/>
      <c r="VUF2584" s="100"/>
      <c r="VUG2584" s="100"/>
      <c r="VUH2584" s="100"/>
      <c r="VUI2584" s="100"/>
      <c r="VUJ2584" s="100"/>
      <c r="VUK2584" s="100"/>
      <c r="VUL2584" s="100"/>
      <c r="VUM2584" s="100"/>
      <c r="VUN2584" s="100"/>
      <c r="VUO2584" s="100"/>
      <c r="VUP2584" s="100"/>
      <c r="VUQ2584" s="100"/>
      <c r="VUR2584" s="100"/>
      <c r="VUS2584" s="100"/>
      <c r="VUT2584" s="100"/>
      <c r="VUU2584" s="100"/>
      <c r="VUV2584" s="100"/>
      <c r="VUW2584" s="100"/>
      <c r="VUX2584" s="100"/>
      <c r="VUY2584" s="100"/>
      <c r="VUZ2584" s="100"/>
      <c r="VVA2584" s="100"/>
      <c r="VVB2584" s="100"/>
      <c r="VVC2584" s="100"/>
      <c r="VVD2584" s="100"/>
      <c r="VVE2584" s="100"/>
      <c r="VVF2584" s="100"/>
      <c r="VVG2584" s="100"/>
      <c r="VVH2584" s="100"/>
      <c r="VVI2584" s="100"/>
      <c r="VVJ2584" s="100"/>
      <c r="VVK2584" s="100"/>
      <c r="VVL2584" s="100"/>
      <c r="VVM2584" s="100"/>
      <c r="VVN2584" s="100"/>
      <c r="VVO2584" s="100"/>
      <c r="VVP2584" s="100"/>
      <c r="VVQ2584" s="100"/>
      <c r="VVR2584" s="100"/>
      <c r="VVS2584" s="100"/>
      <c r="VVT2584" s="100"/>
      <c r="VVU2584" s="100"/>
      <c r="VVV2584" s="100"/>
      <c r="VVW2584" s="100"/>
      <c r="VVX2584" s="100"/>
      <c r="VVY2584" s="100"/>
      <c r="VVZ2584" s="100"/>
      <c r="VWA2584" s="100"/>
      <c r="VWB2584" s="100"/>
      <c r="VWC2584" s="100"/>
      <c r="VWD2584" s="100"/>
      <c r="VWE2584" s="100"/>
      <c r="VWF2584" s="100"/>
      <c r="VWG2584" s="100"/>
      <c r="VWH2584" s="100"/>
      <c r="VWI2584" s="100"/>
      <c r="VWJ2584" s="100"/>
      <c r="VWK2584" s="100"/>
      <c r="VWL2584" s="100"/>
      <c r="VWM2584" s="100"/>
      <c r="VWN2584" s="100"/>
      <c r="VWO2584" s="100"/>
      <c r="VWP2584" s="100"/>
      <c r="VWQ2584" s="100"/>
      <c r="VWR2584" s="100"/>
      <c r="VWS2584" s="100"/>
      <c r="VWT2584" s="100"/>
      <c r="VWU2584" s="100"/>
      <c r="VWV2584" s="100"/>
      <c r="VWW2584" s="100"/>
      <c r="VWX2584" s="100"/>
      <c r="VWY2584" s="100"/>
      <c r="VWZ2584" s="100"/>
      <c r="VXA2584" s="100"/>
      <c r="VXB2584" s="100"/>
      <c r="VXC2584" s="100"/>
      <c r="VXD2584" s="100"/>
      <c r="VXE2584" s="100"/>
      <c r="VXF2584" s="100"/>
      <c r="VXG2584" s="100"/>
      <c r="VXH2584" s="100"/>
      <c r="VXI2584" s="100"/>
      <c r="VXJ2584" s="100"/>
      <c r="VXK2584" s="100"/>
      <c r="VXL2584" s="100"/>
      <c r="VXM2584" s="100"/>
      <c r="VXN2584" s="100"/>
      <c r="VXO2584" s="100"/>
      <c r="VXP2584" s="100"/>
      <c r="VXQ2584" s="100"/>
      <c r="VXR2584" s="100"/>
      <c r="VXS2584" s="100"/>
      <c r="VXT2584" s="100"/>
      <c r="VXU2584" s="100"/>
      <c r="VXV2584" s="100"/>
      <c r="VXW2584" s="100"/>
      <c r="VXX2584" s="100"/>
      <c r="VXY2584" s="100"/>
      <c r="VXZ2584" s="100"/>
      <c r="VYA2584" s="100"/>
      <c r="VYB2584" s="100"/>
      <c r="VYC2584" s="100"/>
      <c r="VYD2584" s="100"/>
      <c r="VYE2584" s="100"/>
      <c r="VYF2584" s="100"/>
      <c r="VYG2584" s="100"/>
      <c r="VYH2584" s="100"/>
      <c r="VYI2584" s="100"/>
      <c r="VYJ2584" s="100"/>
      <c r="VYK2584" s="100"/>
      <c r="VYL2584" s="100"/>
      <c r="VYM2584" s="100"/>
      <c r="VYN2584" s="100"/>
      <c r="VYO2584" s="100"/>
      <c r="VYP2584" s="100"/>
      <c r="VYQ2584" s="100"/>
      <c r="VYR2584" s="100"/>
      <c r="VYS2584" s="100"/>
      <c r="VYT2584" s="100"/>
      <c r="VYU2584" s="100"/>
      <c r="VYV2584" s="100"/>
      <c r="VYW2584" s="100"/>
      <c r="VYX2584" s="100"/>
      <c r="VYY2584" s="100"/>
      <c r="VYZ2584" s="100"/>
      <c r="VZA2584" s="100"/>
      <c r="VZB2584" s="100"/>
      <c r="VZC2584" s="100"/>
      <c r="VZD2584" s="100"/>
      <c r="VZE2584" s="100"/>
      <c r="VZF2584" s="100"/>
      <c r="VZG2584" s="100"/>
      <c r="VZH2584" s="100"/>
      <c r="VZI2584" s="100"/>
      <c r="VZJ2584" s="100"/>
      <c r="VZK2584" s="100"/>
      <c r="VZL2584" s="100"/>
      <c r="VZM2584" s="100"/>
      <c r="VZN2584" s="100"/>
      <c r="VZO2584" s="100"/>
      <c r="VZP2584" s="100"/>
      <c r="VZQ2584" s="100"/>
      <c r="VZR2584" s="100"/>
      <c r="VZS2584" s="100"/>
      <c r="VZT2584" s="100"/>
      <c r="VZU2584" s="100"/>
      <c r="VZV2584" s="100"/>
      <c r="VZW2584" s="100"/>
      <c r="VZX2584" s="100"/>
      <c r="VZY2584" s="100"/>
      <c r="VZZ2584" s="100"/>
      <c r="WAA2584" s="100"/>
      <c r="WAB2584" s="100"/>
      <c r="WAC2584" s="100"/>
      <c r="WAD2584" s="100"/>
      <c r="WAE2584" s="100"/>
      <c r="WAF2584" s="100"/>
      <c r="WAG2584" s="100"/>
      <c r="WAH2584" s="100"/>
      <c r="WAI2584" s="100"/>
      <c r="WAJ2584" s="100"/>
      <c r="WAK2584" s="100"/>
      <c r="WAL2584" s="100"/>
      <c r="WAM2584" s="100"/>
      <c r="WAN2584" s="100"/>
      <c r="WAO2584" s="100"/>
      <c r="WAP2584" s="100"/>
      <c r="WAQ2584" s="100"/>
      <c r="WAR2584" s="100"/>
      <c r="WAS2584" s="100"/>
      <c r="WAT2584" s="100"/>
      <c r="WAU2584" s="100"/>
      <c r="WAV2584" s="100"/>
      <c r="WAW2584" s="100"/>
      <c r="WAX2584" s="100"/>
      <c r="WAY2584" s="100"/>
      <c r="WAZ2584" s="100"/>
      <c r="WBA2584" s="100"/>
      <c r="WBB2584" s="100"/>
      <c r="WBC2584" s="100"/>
      <c r="WBD2584" s="100"/>
      <c r="WBE2584" s="100"/>
      <c r="WBF2584" s="100"/>
      <c r="WBG2584" s="100"/>
      <c r="WBH2584" s="100"/>
      <c r="WBI2584" s="100"/>
      <c r="WBJ2584" s="100"/>
      <c r="WBK2584" s="100"/>
      <c r="WBL2584" s="100"/>
      <c r="WBM2584" s="100"/>
      <c r="WBN2584" s="100"/>
      <c r="WBO2584" s="100"/>
      <c r="WBP2584" s="100"/>
      <c r="WBQ2584" s="100"/>
      <c r="WBR2584" s="100"/>
      <c r="WBS2584" s="100"/>
      <c r="WBT2584" s="100"/>
      <c r="WBU2584" s="100"/>
      <c r="WBV2584" s="100"/>
      <c r="WBW2584" s="100"/>
      <c r="WBX2584" s="100"/>
      <c r="WBY2584" s="100"/>
      <c r="WBZ2584" s="100"/>
      <c r="WCA2584" s="100"/>
      <c r="WCB2584" s="100"/>
      <c r="WCC2584" s="100"/>
      <c r="WCD2584" s="100"/>
      <c r="WCE2584" s="100"/>
      <c r="WCF2584" s="100"/>
      <c r="WCG2584" s="100"/>
      <c r="WCH2584" s="100"/>
      <c r="WCI2584" s="100"/>
      <c r="WCJ2584" s="100"/>
      <c r="WCK2584" s="100"/>
      <c r="WCL2584" s="100"/>
      <c r="WCM2584" s="100"/>
      <c r="WCN2584" s="100"/>
      <c r="WCO2584" s="100"/>
      <c r="WCP2584" s="100"/>
      <c r="WCQ2584" s="100"/>
      <c r="WCR2584" s="100"/>
      <c r="WCS2584" s="100"/>
      <c r="WCT2584" s="100"/>
      <c r="WCU2584" s="100"/>
      <c r="WCV2584" s="100"/>
      <c r="WCW2584" s="100"/>
      <c r="WCX2584" s="100"/>
      <c r="WCY2584" s="100"/>
      <c r="WCZ2584" s="100"/>
      <c r="WDA2584" s="100"/>
      <c r="WDB2584" s="100"/>
      <c r="WDC2584" s="100"/>
      <c r="WDD2584" s="100"/>
      <c r="WDE2584" s="100"/>
      <c r="WDF2584" s="100"/>
      <c r="WDG2584" s="100"/>
      <c r="WDH2584" s="100"/>
      <c r="WDI2584" s="100"/>
      <c r="WDJ2584" s="100"/>
      <c r="WDK2584" s="100"/>
      <c r="WDL2584" s="100"/>
      <c r="WDM2584" s="100"/>
      <c r="WDN2584" s="100"/>
      <c r="WDO2584" s="100"/>
      <c r="WDP2584" s="100"/>
      <c r="WDQ2584" s="100"/>
      <c r="WDR2584" s="100"/>
      <c r="WDS2584" s="100"/>
      <c r="WDT2584" s="100"/>
      <c r="WDU2584" s="100"/>
      <c r="WDV2584" s="100"/>
      <c r="WDW2584" s="100"/>
      <c r="WDX2584" s="100"/>
      <c r="WDY2584" s="100"/>
      <c r="WDZ2584" s="100"/>
      <c r="WEA2584" s="100"/>
      <c r="WEB2584" s="100"/>
      <c r="WEC2584" s="100"/>
      <c r="WED2584" s="100"/>
      <c r="WEE2584" s="100"/>
      <c r="WEF2584" s="100"/>
      <c r="WEG2584" s="100"/>
      <c r="WEH2584" s="100"/>
      <c r="WEI2584" s="100"/>
      <c r="WEJ2584" s="100"/>
      <c r="WEK2584" s="100"/>
      <c r="WEL2584" s="100"/>
      <c r="WEM2584" s="100"/>
      <c r="WEN2584" s="100"/>
      <c r="WEO2584" s="100"/>
      <c r="WEP2584" s="100"/>
      <c r="WEQ2584" s="100"/>
      <c r="WER2584" s="100"/>
      <c r="WES2584" s="100"/>
      <c r="WET2584" s="100"/>
      <c r="WEU2584" s="100"/>
      <c r="WEV2584" s="100"/>
      <c r="WEW2584" s="100"/>
      <c r="WEX2584" s="100"/>
      <c r="WEY2584" s="100"/>
      <c r="WEZ2584" s="100"/>
      <c r="WFA2584" s="100"/>
      <c r="WFB2584" s="100"/>
      <c r="WFC2584" s="100"/>
      <c r="WFD2584" s="100"/>
      <c r="WFE2584" s="100"/>
      <c r="WFF2584" s="100"/>
      <c r="WFG2584" s="100"/>
      <c r="WFH2584" s="100"/>
      <c r="WFI2584" s="100"/>
      <c r="WFJ2584" s="100"/>
      <c r="WFK2584" s="100"/>
      <c r="WFL2584" s="100"/>
      <c r="WFM2584" s="100"/>
      <c r="WFN2584" s="100"/>
      <c r="WFO2584" s="100"/>
      <c r="WFP2584" s="100"/>
      <c r="WFQ2584" s="100"/>
      <c r="WFR2584" s="100"/>
      <c r="WFS2584" s="100"/>
      <c r="WFT2584" s="100"/>
      <c r="WFU2584" s="100"/>
      <c r="WFV2584" s="100"/>
      <c r="WFW2584" s="100"/>
      <c r="WFX2584" s="100"/>
      <c r="WFY2584" s="100"/>
      <c r="WFZ2584" s="100"/>
      <c r="WGA2584" s="100"/>
      <c r="WGB2584" s="100"/>
      <c r="WGC2584" s="100"/>
      <c r="WGD2584" s="100"/>
      <c r="WGE2584" s="100"/>
      <c r="WGF2584" s="100"/>
      <c r="WGG2584" s="100"/>
      <c r="WGH2584" s="100"/>
      <c r="WGI2584" s="100"/>
      <c r="WGJ2584" s="100"/>
      <c r="WGK2584" s="100"/>
      <c r="WGL2584" s="100"/>
      <c r="WGM2584" s="100"/>
      <c r="WGN2584" s="100"/>
      <c r="WGO2584" s="100"/>
      <c r="WGP2584" s="100"/>
      <c r="WGQ2584" s="100"/>
      <c r="WGR2584" s="100"/>
      <c r="WGS2584" s="100"/>
      <c r="WGT2584" s="100"/>
      <c r="WGU2584" s="100"/>
      <c r="WGV2584" s="100"/>
      <c r="WGW2584" s="100"/>
      <c r="WGX2584" s="100"/>
      <c r="WGY2584" s="100"/>
      <c r="WGZ2584" s="100"/>
      <c r="WHA2584" s="100"/>
      <c r="WHB2584" s="100"/>
      <c r="WHC2584" s="100"/>
      <c r="WHD2584" s="100"/>
      <c r="WHE2584" s="100"/>
      <c r="WHF2584" s="100"/>
      <c r="WHG2584" s="100"/>
      <c r="WHH2584" s="100"/>
      <c r="WHI2584" s="100"/>
      <c r="WHJ2584" s="100"/>
      <c r="WHK2584" s="100"/>
      <c r="WHL2584" s="100"/>
      <c r="WHM2584" s="100"/>
      <c r="WHN2584" s="100"/>
      <c r="WHO2584" s="100"/>
      <c r="WHP2584" s="100"/>
      <c r="WHQ2584" s="100"/>
      <c r="WHR2584" s="100"/>
      <c r="WHS2584" s="100"/>
      <c r="WHT2584" s="100"/>
      <c r="WHU2584" s="100"/>
      <c r="WHV2584" s="100"/>
      <c r="WHW2584" s="100"/>
      <c r="WHX2584" s="100"/>
      <c r="WHY2584" s="100"/>
      <c r="WHZ2584" s="100"/>
      <c r="WIA2584" s="100"/>
      <c r="WIB2584" s="100"/>
      <c r="WIC2584" s="100"/>
      <c r="WID2584" s="100"/>
      <c r="WIE2584" s="100"/>
      <c r="WIF2584" s="100"/>
      <c r="WIG2584" s="100"/>
      <c r="WIH2584" s="100"/>
      <c r="WII2584" s="100"/>
      <c r="WIJ2584" s="100"/>
      <c r="WIK2584" s="100"/>
      <c r="WIL2584" s="100"/>
      <c r="WIM2584" s="100"/>
      <c r="WIN2584" s="100"/>
      <c r="WIO2584" s="100"/>
      <c r="WIP2584" s="100"/>
      <c r="WIQ2584" s="100"/>
      <c r="WIR2584" s="100"/>
      <c r="WIS2584" s="100"/>
      <c r="WIT2584" s="100"/>
      <c r="WIU2584" s="100"/>
      <c r="WIV2584" s="100"/>
      <c r="WIW2584" s="100"/>
      <c r="WIX2584" s="100"/>
      <c r="WIY2584" s="100"/>
      <c r="WIZ2584" s="100"/>
      <c r="WJA2584" s="100"/>
      <c r="WJB2584" s="100"/>
      <c r="WJC2584" s="100"/>
      <c r="WJD2584" s="100"/>
      <c r="WJE2584" s="100"/>
      <c r="WJF2584" s="100"/>
      <c r="WJG2584" s="100"/>
      <c r="WJH2584" s="100"/>
      <c r="WJI2584" s="100"/>
      <c r="WJJ2584" s="100"/>
      <c r="WJK2584" s="100"/>
      <c r="WJL2584" s="100"/>
      <c r="WJM2584" s="100"/>
      <c r="WJN2584" s="100"/>
      <c r="WJO2584" s="100"/>
      <c r="WJP2584" s="100"/>
      <c r="WJQ2584" s="100"/>
      <c r="WJR2584" s="100"/>
      <c r="WJS2584" s="100"/>
      <c r="WJT2584" s="100"/>
      <c r="WJU2584" s="100"/>
      <c r="WJV2584" s="100"/>
      <c r="WJW2584" s="100"/>
      <c r="WJX2584" s="100"/>
      <c r="WJY2584" s="100"/>
      <c r="WJZ2584" s="100"/>
      <c r="WKA2584" s="100"/>
      <c r="WKB2584" s="100"/>
      <c r="WKC2584" s="100"/>
      <c r="WKD2584" s="100"/>
      <c r="WKE2584" s="100"/>
      <c r="WKF2584" s="100"/>
      <c r="WKG2584" s="100"/>
      <c r="WKH2584" s="100"/>
      <c r="WKI2584" s="100"/>
      <c r="WKJ2584" s="100"/>
      <c r="WKK2584" s="100"/>
      <c r="WKL2584" s="100"/>
      <c r="WKM2584" s="100"/>
      <c r="WKN2584" s="100"/>
      <c r="WKO2584" s="100"/>
      <c r="WKP2584" s="100"/>
      <c r="WKQ2584" s="100"/>
      <c r="WKR2584" s="100"/>
      <c r="WKS2584" s="100"/>
      <c r="WKT2584" s="100"/>
      <c r="WKU2584" s="100"/>
      <c r="WKV2584" s="100"/>
      <c r="WKW2584" s="100"/>
      <c r="WKX2584" s="100"/>
      <c r="WKY2584" s="100"/>
      <c r="WKZ2584" s="100"/>
      <c r="WLA2584" s="100"/>
      <c r="WLB2584" s="100"/>
      <c r="WLC2584" s="100"/>
      <c r="WLD2584" s="100"/>
      <c r="WLE2584" s="100"/>
      <c r="WLF2584" s="100"/>
      <c r="WLG2584" s="100"/>
      <c r="WLH2584" s="100"/>
      <c r="WLI2584" s="100"/>
      <c r="WLJ2584" s="100"/>
      <c r="WLK2584" s="100"/>
      <c r="WLL2584" s="100"/>
      <c r="WLM2584" s="100"/>
      <c r="WLN2584" s="100"/>
      <c r="WLO2584" s="100"/>
      <c r="WLP2584" s="100"/>
      <c r="WLQ2584" s="100"/>
      <c r="WLR2584" s="100"/>
      <c r="WLS2584" s="100"/>
      <c r="WLT2584" s="100"/>
      <c r="WLU2584" s="100"/>
      <c r="WLV2584" s="100"/>
      <c r="WLW2584" s="100"/>
      <c r="WLX2584" s="100"/>
      <c r="WLY2584" s="100"/>
      <c r="WLZ2584" s="100"/>
      <c r="WMA2584" s="100"/>
      <c r="WMB2584" s="100"/>
      <c r="WMC2584" s="100"/>
      <c r="WMD2584" s="100"/>
      <c r="WME2584" s="100"/>
      <c r="WMF2584" s="100"/>
      <c r="WMG2584" s="100"/>
      <c r="WMH2584" s="100"/>
      <c r="WMI2584" s="100"/>
      <c r="WMJ2584" s="100"/>
      <c r="WMK2584" s="100"/>
      <c r="WML2584" s="100"/>
      <c r="WMM2584" s="100"/>
      <c r="WMN2584" s="100"/>
      <c r="WMO2584" s="100"/>
      <c r="WMP2584" s="100"/>
      <c r="WMQ2584" s="100"/>
      <c r="WMR2584" s="100"/>
      <c r="WMS2584" s="100"/>
      <c r="WMT2584" s="100"/>
      <c r="WMU2584" s="100"/>
      <c r="WMV2584" s="100"/>
      <c r="WMW2584" s="100"/>
      <c r="WMX2584" s="100"/>
      <c r="WMY2584" s="100"/>
      <c r="WMZ2584" s="100"/>
      <c r="WNA2584" s="100"/>
      <c r="WNB2584" s="100"/>
      <c r="WNC2584" s="100"/>
      <c r="WND2584" s="100"/>
      <c r="WNE2584" s="100"/>
      <c r="WNF2584" s="100"/>
      <c r="WNG2584" s="100"/>
      <c r="WNH2584" s="100"/>
      <c r="WNI2584" s="100"/>
      <c r="WNJ2584" s="100"/>
      <c r="WNK2584" s="100"/>
      <c r="WNL2584" s="100"/>
      <c r="WNM2584" s="100"/>
      <c r="WNN2584" s="100"/>
      <c r="WNO2584" s="100"/>
      <c r="WNP2584" s="100"/>
      <c r="WNQ2584" s="100"/>
      <c r="WNR2584" s="100"/>
      <c r="WNS2584" s="100"/>
      <c r="WNT2584" s="100"/>
      <c r="WNU2584" s="100"/>
      <c r="WNV2584" s="100"/>
      <c r="WNW2584" s="100"/>
      <c r="WNX2584" s="100"/>
      <c r="WNY2584" s="100"/>
      <c r="WNZ2584" s="100"/>
      <c r="WOA2584" s="100"/>
      <c r="WOB2584" s="100"/>
      <c r="WOC2584" s="100"/>
      <c r="WOD2584" s="100"/>
      <c r="WOE2584" s="100"/>
      <c r="WOF2584" s="100"/>
      <c r="WOG2584" s="100"/>
      <c r="WOH2584" s="100"/>
      <c r="WOI2584" s="100"/>
      <c r="WOJ2584" s="100"/>
      <c r="WOK2584" s="100"/>
      <c r="WOL2584" s="100"/>
      <c r="WOM2584" s="100"/>
      <c r="WON2584" s="100"/>
      <c r="WOO2584" s="100"/>
      <c r="WOP2584" s="100"/>
      <c r="WOQ2584" s="100"/>
      <c r="WOR2584" s="100"/>
      <c r="WOS2584" s="100"/>
      <c r="WOT2584" s="100"/>
      <c r="WOU2584" s="100"/>
      <c r="WOV2584" s="100"/>
      <c r="WOW2584" s="100"/>
      <c r="WOX2584" s="100"/>
      <c r="WOY2584" s="100"/>
      <c r="WOZ2584" s="100"/>
      <c r="WPA2584" s="100"/>
      <c r="WPB2584" s="100"/>
      <c r="WPC2584" s="100"/>
      <c r="WPD2584" s="100"/>
      <c r="WPE2584" s="100"/>
      <c r="WPF2584" s="100"/>
      <c r="WPG2584" s="100"/>
      <c r="WPH2584" s="100"/>
      <c r="WPI2584" s="100"/>
      <c r="WPJ2584" s="100"/>
      <c r="WPK2584" s="100"/>
      <c r="WPL2584" s="100"/>
      <c r="WPM2584" s="100"/>
      <c r="WPN2584" s="100"/>
      <c r="WPO2584" s="100"/>
      <c r="WPP2584" s="100"/>
      <c r="WPQ2584" s="100"/>
      <c r="WPR2584" s="100"/>
      <c r="WPS2584" s="100"/>
      <c r="WPT2584" s="100"/>
      <c r="WPU2584" s="100"/>
      <c r="WPV2584" s="100"/>
      <c r="WPW2584" s="100"/>
      <c r="WPX2584" s="100"/>
      <c r="WPY2584" s="100"/>
      <c r="WPZ2584" s="100"/>
      <c r="WQA2584" s="100"/>
      <c r="WQB2584" s="100"/>
      <c r="WQC2584" s="100"/>
      <c r="WQD2584" s="100"/>
      <c r="WQE2584" s="100"/>
      <c r="WQF2584" s="100"/>
      <c r="WQG2584" s="100"/>
      <c r="WQH2584" s="100"/>
      <c r="WQI2584" s="100"/>
      <c r="WQJ2584" s="100"/>
      <c r="WQK2584" s="100"/>
      <c r="WQL2584" s="100"/>
      <c r="WQM2584" s="100"/>
      <c r="WQN2584" s="100"/>
      <c r="WQO2584" s="100"/>
      <c r="WQP2584" s="100"/>
      <c r="WQQ2584" s="100"/>
      <c r="WQR2584" s="100"/>
      <c r="WQS2584" s="100"/>
      <c r="WQT2584" s="100"/>
      <c r="WQU2584" s="100"/>
      <c r="WQV2584" s="100"/>
      <c r="WQW2584" s="100"/>
      <c r="WQX2584" s="100"/>
      <c r="WQY2584" s="100"/>
      <c r="WQZ2584" s="100"/>
      <c r="WRA2584" s="100"/>
      <c r="WRB2584" s="100"/>
      <c r="WRC2584" s="100"/>
      <c r="WRD2584" s="100"/>
      <c r="WRE2584" s="100"/>
      <c r="WRF2584" s="100"/>
      <c r="WRG2584" s="100"/>
      <c r="WRH2584" s="100"/>
      <c r="WRI2584" s="100"/>
      <c r="WRJ2584" s="100"/>
      <c r="WRK2584" s="100"/>
      <c r="WRL2584" s="100"/>
      <c r="WRM2584" s="100"/>
      <c r="WRN2584" s="100"/>
      <c r="WRO2584" s="100"/>
      <c r="WRP2584" s="100"/>
      <c r="WRQ2584" s="100"/>
      <c r="WRR2584" s="100"/>
      <c r="WRS2584" s="100"/>
      <c r="WRT2584" s="100"/>
      <c r="WRU2584" s="100"/>
      <c r="WRV2584" s="100"/>
      <c r="WRW2584" s="100"/>
      <c r="WRX2584" s="100"/>
      <c r="WRY2584" s="100"/>
      <c r="WRZ2584" s="100"/>
      <c r="WSA2584" s="100"/>
      <c r="WSB2584" s="100"/>
      <c r="WSC2584" s="100"/>
      <c r="WSD2584" s="100"/>
      <c r="WSE2584" s="100"/>
      <c r="WSF2584" s="100"/>
      <c r="WSG2584" s="100"/>
      <c r="WSH2584" s="100"/>
      <c r="WSI2584" s="100"/>
      <c r="WSJ2584" s="100"/>
      <c r="WSK2584" s="100"/>
      <c r="WSL2584" s="100"/>
      <c r="WSM2584" s="100"/>
      <c r="WSN2584" s="100"/>
      <c r="WSO2584" s="100"/>
      <c r="WSP2584" s="100"/>
      <c r="WSQ2584" s="100"/>
      <c r="WSR2584" s="100"/>
      <c r="WSS2584" s="100"/>
      <c r="WST2584" s="100"/>
      <c r="WSU2584" s="100"/>
      <c r="WSV2584" s="100"/>
      <c r="WSW2584" s="100"/>
      <c r="WSX2584" s="100"/>
      <c r="WSY2584" s="100"/>
      <c r="WSZ2584" s="100"/>
      <c r="WTA2584" s="100"/>
      <c r="WTB2584" s="100"/>
      <c r="WTC2584" s="100"/>
      <c r="WTD2584" s="100"/>
      <c r="WTE2584" s="100"/>
      <c r="WTF2584" s="100"/>
      <c r="WTG2584" s="100"/>
      <c r="WTH2584" s="100"/>
      <c r="WTI2584" s="100"/>
      <c r="WTJ2584" s="100"/>
      <c r="WTK2584" s="100"/>
      <c r="WTL2584" s="100"/>
      <c r="WTM2584" s="100"/>
      <c r="WTN2584" s="100"/>
      <c r="WTO2584" s="100"/>
      <c r="WTP2584" s="100"/>
      <c r="WTQ2584" s="100"/>
      <c r="WTR2584" s="100"/>
      <c r="WTS2584" s="100"/>
      <c r="WTT2584" s="100"/>
      <c r="WTU2584" s="100"/>
      <c r="WTV2584" s="100"/>
      <c r="WTW2584" s="100"/>
      <c r="WTX2584" s="100"/>
      <c r="WTY2584" s="100"/>
      <c r="WTZ2584" s="100"/>
      <c r="WUA2584" s="100"/>
      <c r="WUB2584" s="100"/>
      <c r="WUC2584" s="100"/>
      <c r="WUD2584" s="100"/>
      <c r="WUE2584" s="100"/>
      <c r="WUF2584" s="100"/>
      <c r="WUG2584" s="100"/>
      <c r="WUH2584" s="100"/>
      <c r="WUI2584" s="100"/>
      <c r="WUJ2584" s="100"/>
      <c r="WUK2584" s="100"/>
      <c r="WUL2584" s="100"/>
      <c r="WUM2584" s="100"/>
      <c r="WUN2584" s="100"/>
      <c r="WUO2584" s="100"/>
      <c r="WUP2584" s="100"/>
      <c r="WUQ2584" s="100"/>
      <c r="WUR2584" s="100"/>
      <c r="WUS2584" s="100"/>
      <c r="WUT2584" s="100"/>
      <c r="WUU2584" s="100"/>
      <c r="WUV2584" s="100"/>
      <c r="WUW2584" s="100"/>
      <c r="WUX2584" s="100"/>
      <c r="WUY2584" s="100"/>
      <c r="WUZ2584" s="100"/>
      <c r="WVA2584" s="100"/>
      <c r="WVB2584" s="100"/>
      <c r="WVC2584" s="100"/>
      <c r="WVD2584" s="100"/>
      <c r="WVE2584" s="100"/>
      <c r="WVF2584" s="100"/>
      <c r="WVG2584" s="100"/>
      <c r="WVH2584" s="100"/>
      <c r="WVI2584" s="100"/>
      <c r="WVJ2584" s="100"/>
      <c r="WVK2584" s="100"/>
      <c r="WVL2584" s="100"/>
      <c r="WVM2584" s="100"/>
      <c r="WVN2584" s="100"/>
      <c r="WVO2584" s="100"/>
      <c r="WVP2584" s="100"/>
      <c r="WVQ2584" s="100"/>
      <c r="WVR2584" s="100"/>
      <c r="WVS2584" s="100"/>
      <c r="WVT2584" s="100"/>
      <c r="WVU2584" s="100"/>
      <c r="WVV2584" s="100"/>
      <c r="WVW2584" s="100"/>
      <c r="WVX2584" s="100"/>
      <c r="WVY2584" s="100"/>
      <c r="WVZ2584" s="100"/>
      <c r="WWA2584" s="100"/>
      <c r="WWB2584" s="100"/>
      <c r="WWC2584" s="100"/>
      <c r="WWD2584" s="100"/>
      <c r="WWE2584" s="100"/>
      <c r="WWF2584" s="100"/>
      <c r="WWG2584" s="100"/>
      <c r="WWH2584" s="100"/>
      <c r="WWI2584" s="100"/>
      <c r="WWJ2584" s="100"/>
      <c r="WWK2584" s="100"/>
      <c r="WWL2584" s="100"/>
      <c r="WWM2584" s="100"/>
      <c r="WWN2584" s="100"/>
      <c r="WWO2584" s="100"/>
      <c r="WWP2584" s="100"/>
      <c r="WWQ2584" s="100"/>
      <c r="WWR2584" s="100"/>
      <c r="WWS2584" s="100"/>
      <c r="WWT2584" s="100"/>
      <c r="WWU2584" s="100"/>
      <c r="WWV2584" s="100"/>
      <c r="WWW2584" s="100"/>
      <c r="WWX2584" s="100"/>
      <c r="WWY2584" s="100"/>
      <c r="WWZ2584" s="100"/>
      <c r="WXA2584" s="100"/>
      <c r="WXB2584" s="100"/>
      <c r="WXC2584" s="100"/>
      <c r="WXD2584" s="100"/>
      <c r="WXE2584" s="100"/>
      <c r="WXF2584" s="100"/>
      <c r="WXG2584" s="100"/>
      <c r="WXH2584" s="100"/>
      <c r="WXI2584" s="100"/>
      <c r="WXJ2584" s="100"/>
      <c r="WXK2584" s="100"/>
      <c r="WXL2584" s="100"/>
      <c r="WXM2584" s="100"/>
      <c r="WXN2584" s="100"/>
      <c r="WXO2584" s="100"/>
      <c r="WXP2584" s="100"/>
      <c r="WXQ2584" s="100"/>
      <c r="WXR2584" s="100"/>
      <c r="WXS2584" s="100"/>
      <c r="WXT2584" s="100"/>
      <c r="WXU2584" s="100"/>
      <c r="WXV2584" s="100"/>
      <c r="WXW2584" s="100"/>
      <c r="WXX2584" s="100"/>
      <c r="WXY2584" s="100"/>
      <c r="WXZ2584" s="100"/>
      <c r="WYA2584" s="100"/>
      <c r="WYB2584" s="100"/>
      <c r="WYC2584" s="100"/>
      <c r="WYD2584" s="100"/>
      <c r="WYE2584" s="100"/>
      <c r="WYF2584" s="100"/>
      <c r="WYG2584" s="100"/>
      <c r="WYH2584" s="100"/>
      <c r="WYI2584" s="100"/>
      <c r="WYJ2584" s="100"/>
      <c r="WYK2584" s="100"/>
      <c r="WYL2584" s="100"/>
      <c r="WYM2584" s="100"/>
      <c r="WYN2584" s="100"/>
      <c r="WYO2584" s="100"/>
      <c r="WYP2584" s="100"/>
      <c r="WYQ2584" s="100"/>
      <c r="WYR2584" s="100"/>
      <c r="WYS2584" s="100"/>
      <c r="WYT2584" s="100"/>
      <c r="WYU2584" s="100"/>
      <c r="WYV2584" s="100"/>
      <c r="WYW2584" s="100"/>
      <c r="WYX2584" s="100"/>
      <c r="WYY2584" s="100"/>
      <c r="WYZ2584" s="100"/>
      <c r="WZA2584" s="100"/>
      <c r="WZB2584" s="100"/>
      <c r="WZC2584" s="100"/>
      <c r="WZD2584" s="100"/>
      <c r="WZE2584" s="100"/>
      <c r="WZF2584" s="100"/>
      <c r="WZG2584" s="100"/>
      <c r="WZH2584" s="100"/>
      <c r="WZI2584" s="100"/>
      <c r="WZJ2584" s="100"/>
      <c r="WZK2584" s="100"/>
      <c r="WZL2584" s="100"/>
      <c r="WZM2584" s="100"/>
      <c r="WZN2584" s="100"/>
      <c r="WZO2584" s="100"/>
      <c r="WZP2584" s="100"/>
      <c r="WZQ2584" s="100"/>
      <c r="WZR2584" s="100"/>
      <c r="WZS2584" s="100"/>
      <c r="WZT2584" s="100"/>
      <c r="WZU2584" s="100"/>
      <c r="WZV2584" s="100"/>
      <c r="WZW2584" s="100"/>
      <c r="WZX2584" s="100"/>
      <c r="WZY2584" s="100"/>
      <c r="WZZ2584" s="100"/>
      <c r="XAA2584" s="100"/>
      <c r="XAB2584" s="100"/>
      <c r="XAC2584" s="100"/>
      <c r="XAD2584" s="100"/>
      <c r="XAE2584" s="100"/>
      <c r="XAF2584" s="100"/>
      <c r="XAG2584" s="100"/>
      <c r="XAH2584" s="100"/>
      <c r="XAI2584" s="100"/>
      <c r="XAJ2584" s="100"/>
      <c r="XAK2584" s="100"/>
      <c r="XAL2584" s="100"/>
      <c r="XAM2584" s="100"/>
      <c r="XAN2584" s="100"/>
      <c r="XAO2584" s="100"/>
      <c r="XAP2584" s="100"/>
      <c r="XAQ2584" s="100"/>
      <c r="XAR2584" s="100"/>
      <c r="XAS2584" s="100"/>
      <c r="XAT2584" s="100"/>
      <c r="XAU2584" s="100"/>
      <c r="XAV2584" s="100"/>
      <c r="XAW2584" s="100"/>
      <c r="XAX2584" s="100"/>
      <c r="XAY2584" s="100"/>
      <c r="XAZ2584" s="100"/>
      <c r="XBA2584" s="100"/>
      <c r="XBB2584" s="100"/>
      <c r="XBC2584" s="100"/>
      <c r="XBD2584" s="100"/>
      <c r="XBE2584" s="100"/>
      <c r="XBF2584" s="100"/>
      <c r="XBG2584" s="100"/>
      <c r="XBH2584" s="100"/>
      <c r="XBI2584" s="100"/>
      <c r="XBJ2584" s="100"/>
      <c r="XBK2584" s="100"/>
      <c r="XBL2584" s="100"/>
      <c r="XBM2584" s="100"/>
      <c r="XBN2584" s="100"/>
      <c r="XBO2584" s="100"/>
      <c r="XBP2584" s="100"/>
      <c r="XBQ2584" s="100"/>
      <c r="XBR2584" s="100"/>
      <c r="XBS2584" s="100"/>
      <c r="XBT2584" s="100"/>
      <c r="XBU2584" s="100"/>
      <c r="XBV2584" s="100"/>
      <c r="XBW2584" s="100"/>
      <c r="XBX2584" s="100"/>
      <c r="XBY2584" s="100"/>
      <c r="XBZ2584" s="100"/>
      <c r="XCA2584" s="100"/>
      <c r="XCB2584" s="100"/>
      <c r="XCC2584" s="100"/>
      <c r="XCD2584" s="100"/>
      <c r="XCE2584" s="100"/>
      <c r="XCF2584" s="100"/>
      <c r="XCG2584" s="100"/>
      <c r="XCH2584" s="100"/>
      <c r="XCI2584" s="100"/>
      <c r="XCJ2584" s="100"/>
      <c r="XCK2584" s="100"/>
      <c r="XCL2584" s="100"/>
      <c r="XCM2584" s="100"/>
      <c r="XCN2584" s="100"/>
      <c r="XCO2584" s="100"/>
      <c r="XCP2584" s="100"/>
      <c r="XCQ2584" s="100"/>
      <c r="XCR2584" s="100"/>
      <c r="XCS2584" s="100"/>
      <c r="XCT2584" s="100"/>
      <c r="XCU2584" s="100"/>
      <c r="XCV2584" s="100"/>
      <c r="XCW2584" s="100"/>
      <c r="XCX2584" s="100"/>
      <c r="XCY2584" s="100"/>
      <c r="XCZ2584" s="100"/>
      <c r="XDA2584" s="100"/>
      <c r="XDB2584" s="100"/>
      <c r="XDC2584" s="100"/>
      <c r="XDD2584" s="100"/>
      <c r="XDE2584" s="100"/>
      <c r="XDF2584" s="100"/>
      <c r="XDG2584" s="100"/>
      <c r="XDH2584" s="100"/>
      <c r="XDI2584" s="100"/>
      <c r="XDJ2584" s="100"/>
      <c r="XDK2584" s="100"/>
      <c r="XDL2584" s="100"/>
      <c r="XDM2584" s="100"/>
      <c r="XDN2584" s="100"/>
      <c r="XDO2584" s="100"/>
      <c r="XDP2584" s="100"/>
      <c r="XDQ2584" s="100"/>
      <c r="XDR2584" s="100"/>
      <c r="XDS2584" s="100"/>
      <c r="XDT2584" s="100"/>
      <c r="XDU2584" s="100"/>
      <c r="XDV2584" s="100"/>
      <c r="XDW2584" s="100"/>
      <c r="XDX2584" s="100"/>
      <c r="XDY2584" s="100"/>
      <c r="XDZ2584" s="100"/>
      <c r="XEA2584" s="100"/>
      <c r="XEB2584" s="100"/>
      <c r="XEC2584" s="100"/>
      <c r="XED2584" s="100"/>
      <c r="XEE2584" s="100"/>
      <c r="XEF2584" s="100"/>
      <c r="XEG2584" s="100"/>
      <c r="XEH2584" s="100"/>
      <c r="XEI2584" s="100"/>
      <c r="XEJ2584" s="100"/>
      <c r="XEK2584" s="100"/>
      <c r="XEL2584" s="100"/>
      <c r="XEM2584" s="100"/>
      <c r="XEN2584" s="100"/>
      <c r="XEO2584" s="100"/>
      <c r="XEP2584" s="100"/>
      <c r="XEQ2584" s="100"/>
      <c r="XER2584" s="100"/>
      <c r="XES2584" s="100"/>
      <c r="XET2584" s="100"/>
      <c r="XEU2584" s="100"/>
      <c r="XEV2584" s="100"/>
      <c r="XEW2584" s="100"/>
      <c r="XEX2584" s="100"/>
      <c r="XEY2584" s="100"/>
      <c r="XEZ2584" s="100"/>
      <c r="XFA2584" s="100"/>
      <c r="XFB2584" s="100"/>
    </row>
    <row r="2585" spans="1:16382" x14ac:dyDescent="0.2">
      <c r="A2585" s="88" t="s">
        <v>18329</v>
      </c>
      <c r="B2585" s="88" t="e">
        <f>VLOOKUP(C2585,#REF!,1,0)</f>
        <v>#REF!</v>
      </c>
      <c r="C2585" s="1" t="s">
        <v>8488</v>
      </c>
      <c r="D2585" s="1" t="s">
        <v>8489</v>
      </c>
      <c r="E2585" t="s">
        <v>9310</v>
      </c>
      <c r="F2585" t="s">
        <v>8957</v>
      </c>
      <c r="G2585" t="s">
        <v>8959</v>
      </c>
      <c r="H2585" t="s">
        <v>8948</v>
      </c>
      <c r="I2585" t="s">
        <v>8949</v>
      </c>
      <c r="J2585" s="3" t="s">
        <v>21481</v>
      </c>
      <c r="K2585" s="1" t="s">
        <v>21891</v>
      </c>
      <c r="L2585" t="s">
        <v>8987</v>
      </c>
      <c r="M2585">
        <v>3740</v>
      </c>
      <c r="N2585" t="s">
        <v>8953</v>
      </c>
      <c r="O2585" t="s">
        <v>8989</v>
      </c>
      <c r="P2585" s="1" t="s">
        <v>8955</v>
      </c>
      <c r="Q2585" s="1" t="s">
        <v>8956</v>
      </c>
      <c r="R2585" s="1" t="s">
        <v>8958</v>
      </c>
      <c r="S2585" s="1" t="s">
        <v>20416</v>
      </c>
      <c r="T2585" s="1" t="s">
        <v>17</v>
      </c>
      <c r="U2585" s="1" t="s">
        <v>322</v>
      </c>
    </row>
    <row r="2586" spans="1:16382" x14ac:dyDescent="0.2">
      <c r="A2586" s="88" t="s">
        <v>18330</v>
      </c>
      <c r="B2586" s="88" t="e">
        <f>VLOOKUP(C2586,#REF!,1,0)</f>
        <v>#REF!</v>
      </c>
      <c r="C2586" s="1" t="s">
        <v>8490</v>
      </c>
      <c r="D2586" s="1" t="s">
        <v>8491</v>
      </c>
      <c r="E2586" t="s">
        <v>9310</v>
      </c>
      <c r="F2586" t="s">
        <v>8957</v>
      </c>
      <c r="G2586" t="s">
        <v>8959</v>
      </c>
      <c r="H2586" t="s">
        <v>9035</v>
      </c>
      <c r="I2586" t="s">
        <v>8998</v>
      </c>
      <c r="J2586" s="3" t="s">
        <v>20779</v>
      </c>
      <c r="K2586" s="1" t="s">
        <v>9036</v>
      </c>
      <c r="L2586" t="s">
        <v>21619</v>
      </c>
      <c r="M2586">
        <v>3092</v>
      </c>
      <c r="N2586" t="s">
        <v>8953</v>
      </c>
      <c r="O2586" t="s">
        <v>8954</v>
      </c>
      <c r="P2586" s="1" t="s">
        <v>8955</v>
      </c>
      <c r="Q2586" s="1" t="s">
        <v>8956</v>
      </c>
      <c r="R2586" s="1" t="s">
        <v>9103</v>
      </c>
      <c r="S2586" s="1"/>
      <c r="T2586" s="112">
        <v>2019</v>
      </c>
      <c r="U2586" s="1"/>
    </row>
    <row r="2587" spans="1:16382" x14ac:dyDescent="0.2">
      <c r="A2587" s="88" t="s">
        <v>18332</v>
      </c>
      <c r="B2587" s="88" t="e">
        <f>VLOOKUP(C2587,#REF!,1,0)</f>
        <v>#REF!</v>
      </c>
      <c r="C2587" s="1" t="s">
        <v>8494</v>
      </c>
      <c r="D2587" s="1" t="s">
        <v>8495</v>
      </c>
      <c r="E2587" t="s">
        <v>9310</v>
      </c>
      <c r="F2587" t="s">
        <v>8959</v>
      </c>
      <c r="G2587" t="s">
        <v>9061</v>
      </c>
      <c r="H2587" t="s">
        <v>9035</v>
      </c>
      <c r="I2587" t="s">
        <v>8998</v>
      </c>
      <c r="J2587" s="3" t="s">
        <v>10492</v>
      </c>
      <c r="K2587" s="1" t="s">
        <v>10492</v>
      </c>
      <c r="L2587" t="s">
        <v>21600</v>
      </c>
      <c r="M2587">
        <v>650</v>
      </c>
      <c r="N2587" t="s">
        <v>8953</v>
      </c>
      <c r="O2587" t="s">
        <v>8954</v>
      </c>
      <c r="P2587" s="1" t="s">
        <v>8955</v>
      </c>
      <c r="Q2587" s="1" t="s">
        <v>8956</v>
      </c>
      <c r="R2587" s="1" t="s">
        <v>8975</v>
      </c>
      <c r="S2587" s="1" t="s">
        <v>20418</v>
      </c>
      <c r="T2587" s="1" t="s">
        <v>7</v>
      </c>
      <c r="U2587" s="1" t="s">
        <v>8496</v>
      </c>
    </row>
    <row r="2588" spans="1:16382" x14ac:dyDescent="0.2">
      <c r="A2588" s="88" t="s">
        <v>18333</v>
      </c>
      <c r="B2588" s="88" t="e">
        <f>VLOOKUP(C2588,#REF!,1,0)</f>
        <v>#REF!</v>
      </c>
      <c r="C2588" s="1" t="s">
        <v>8497</v>
      </c>
      <c r="D2588" s="1" t="s">
        <v>8498</v>
      </c>
      <c r="E2588" t="s">
        <v>9310</v>
      </c>
      <c r="F2588" t="s">
        <v>8957</v>
      </c>
      <c r="G2588" t="s">
        <v>8959</v>
      </c>
      <c r="H2588" t="s">
        <v>9252</v>
      </c>
      <c r="I2588" t="s">
        <v>18504</v>
      </c>
      <c r="J2588" s="3" t="s">
        <v>20723</v>
      </c>
      <c r="K2588" s="1" t="s">
        <v>20723</v>
      </c>
      <c r="L2588" t="s">
        <v>9133</v>
      </c>
      <c r="M2588">
        <v>5706</v>
      </c>
      <c r="N2588" t="s">
        <v>8953</v>
      </c>
      <c r="O2588" t="s">
        <v>8989</v>
      </c>
      <c r="P2588" s="1" t="s">
        <v>8955</v>
      </c>
      <c r="Q2588" s="1" t="s">
        <v>8956</v>
      </c>
      <c r="R2588" s="1" t="s">
        <v>9103</v>
      </c>
      <c r="S2588" s="1" t="s">
        <v>20419</v>
      </c>
      <c r="T2588" s="1" t="s">
        <v>7</v>
      </c>
      <c r="U2588" s="1" t="s">
        <v>110</v>
      </c>
    </row>
    <row r="2589" spans="1:16382" x14ac:dyDescent="0.2">
      <c r="A2589" s="88" t="s">
        <v>18334</v>
      </c>
      <c r="B2589" s="88" t="e">
        <f>VLOOKUP(C2589,#REF!,1,0)</f>
        <v>#REF!</v>
      </c>
      <c r="C2589" s="1" t="s">
        <v>8499</v>
      </c>
      <c r="D2589" s="1" t="s">
        <v>8500</v>
      </c>
      <c r="E2589" t="s">
        <v>18502</v>
      </c>
      <c r="F2589" t="s">
        <v>8957</v>
      </c>
      <c r="G2589" t="s">
        <v>9061</v>
      </c>
      <c r="H2589" t="s">
        <v>9252</v>
      </c>
      <c r="I2589" t="s">
        <v>8971</v>
      </c>
      <c r="J2589" s="3" t="s">
        <v>20890</v>
      </c>
      <c r="K2589" s="1" t="s">
        <v>21201</v>
      </c>
      <c r="L2589" t="s">
        <v>9133</v>
      </c>
      <c r="M2589">
        <v>455</v>
      </c>
      <c r="N2589" t="s">
        <v>8953</v>
      </c>
      <c r="O2589" t="s">
        <v>8954</v>
      </c>
      <c r="P2589" s="1" t="s">
        <v>8955</v>
      </c>
      <c r="Q2589" s="1" t="s">
        <v>8956</v>
      </c>
      <c r="R2589" s="1" t="s">
        <v>8958</v>
      </c>
      <c r="S2589" s="1" t="s">
        <v>20420</v>
      </c>
      <c r="T2589" s="1" t="s">
        <v>17</v>
      </c>
      <c r="U2589" s="1" t="s">
        <v>46</v>
      </c>
    </row>
    <row r="2590" spans="1:16382" x14ac:dyDescent="0.2">
      <c r="A2590" s="88" t="s">
        <v>18335</v>
      </c>
      <c r="B2590" s="88" t="e">
        <f>VLOOKUP(C2590,#REF!,1,0)</f>
        <v>#REF!</v>
      </c>
      <c r="C2590" s="1" t="s">
        <v>8501</v>
      </c>
      <c r="D2590" s="1" t="s">
        <v>8502</v>
      </c>
      <c r="E2590" t="s">
        <v>9310</v>
      </c>
      <c r="F2590" t="s">
        <v>8959</v>
      </c>
      <c r="G2590" t="s">
        <v>8959</v>
      </c>
      <c r="H2590" t="s">
        <v>9252</v>
      </c>
      <c r="I2590" t="s">
        <v>8971</v>
      </c>
      <c r="J2590" s="3" t="s">
        <v>20890</v>
      </c>
      <c r="K2590" s="1" t="s">
        <v>21201</v>
      </c>
      <c r="L2590" t="s">
        <v>9133</v>
      </c>
      <c r="M2590">
        <v>386</v>
      </c>
      <c r="N2590" t="s">
        <v>8953</v>
      </c>
      <c r="O2590" t="s">
        <v>8954</v>
      </c>
      <c r="P2590" s="1" t="s">
        <v>8955</v>
      </c>
      <c r="Q2590" s="1" t="s">
        <v>8956</v>
      </c>
      <c r="R2590" s="1" t="s">
        <v>8958</v>
      </c>
      <c r="S2590" s="1" t="s">
        <v>20420</v>
      </c>
      <c r="T2590" s="1" t="s">
        <v>7</v>
      </c>
      <c r="U2590" s="1" t="s">
        <v>378</v>
      </c>
    </row>
    <row r="2591" spans="1:16382" x14ac:dyDescent="0.2">
      <c r="A2591" s="88" t="s">
        <v>18337</v>
      </c>
      <c r="B2591" s="88" t="e">
        <f>VLOOKUP(C2591,#REF!,1,0)</f>
        <v>#REF!</v>
      </c>
      <c r="C2591" s="1" t="s">
        <v>8505</v>
      </c>
      <c r="D2591" s="1" t="s">
        <v>8506</v>
      </c>
      <c r="E2591" t="s">
        <v>9310</v>
      </c>
      <c r="F2591" t="s">
        <v>8957</v>
      </c>
      <c r="G2591" t="s">
        <v>8959</v>
      </c>
      <c r="H2591" t="s">
        <v>9035</v>
      </c>
      <c r="I2591" t="s">
        <v>8998</v>
      </c>
      <c r="J2591" s="3" t="s">
        <v>21483</v>
      </c>
      <c r="K2591" s="1" t="s">
        <v>21483</v>
      </c>
      <c r="L2591" t="s">
        <v>8987</v>
      </c>
      <c r="M2591">
        <v>888</v>
      </c>
      <c r="N2591" t="s">
        <v>8953</v>
      </c>
      <c r="O2591" t="s">
        <v>8989</v>
      </c>
      <c r="P2591" s="1" t="s">
        <v>8955</v>
      </c>
      <c r="Q2591" s="1" t="s">
        <v>8956</v>
      </c>
      <c r="R2591" s="1" t="s">
        <v>8958</v>
      </c>
      <c r="S2591" s="1" t="s">
        <v>20422</v>
      </c>
      <c r="T2591" s="1" t="s">
        <v>7</v>
      </c>
      <c r="U2591" s="1" t="s">
        <v>8507</v>
      </c>
    </row>
    <row r="2592" spans="1:16382" x14ac:dyDescent="0.2">
      <c r="A2592" s="88" t="s">
        <v>18338</v>
      </c>
      <c r="B2592" s="88" t="e">
        <f>VLOOKUP(C2592,#REF!,1,0)</f>
        <v>#REF!</v>
      </c>
      <c r="C2592" s="1" t="s">
        <v>8508</v>
      </c>
      <c r="D2592" s="1" t="s">
        <v>8509</v>
      </c>
      <c r="E2592" t="s">
        <v>9310</v>
      </c>
      <c r="F2592" t="s">
        <v>8957</v>
      </c>
      <c r="G2592" t="s">
        <v>8959</v>
      </c>
      <c r="H2592" t="s">
        <v>20714</v>
      </c>
      <c r="I2592" t="s">
        <v>9050</v>
      </c>
      <c r="J2592" s="3" t="s">
        <v>21485</v>
      </c>
      <c r="K2592" s="1" t="s">
        <v>21892</v>
      </c>
      <c r="L2592" t="s">
        <v>8987</v>
      </c>
      <c r="M2592">
        <v>1352</v>
      </c>
      <c r="N2592" t="s">
        <v>8953</v>
      </c>
      <c r="O2592" t="s">
        <v>8989</v>
      </c>
      <c r="P2592" s="1" t="s">
        <v>8955</v>
      </c>
      <c r="Q2592" s="1" t="s">
        <v>8956</v>
      </c>
      <c r="R2592" s="1" t="s">
        <v>8958</v>
      </c>
      <c r="S2592" s="1" t="s">
        <v>20423</v>
      </c>
      <c r="T2592" s="1" t="s">
        <v>17</v>
      </c>
      <c r="U2592" s="1" t="s">
        <v>184</v>
      </c>
    </row>
    <row r="2593" spans="1:21" x14ac:dyDescent="0.2">
      <c r="A2593" s="88" t="s">
        <v>18339</v>
      </c>
      <c r="B2593" s="88" t="e">
        <f>VLOOKUP(C2593,#REF!,1,0)</f>
        <v>#REF!</v>
      </c>
      <c r="C2593" s="1" t="s">
        <v>8510</v>
      </c>
      <c r="D2593" s="1" t="s">
        <v>8511</v>
      </c>
      <c r="E2593" t="s">
        <v>9310</v>
      </c>
      <c r="F2593" t="s">
        <v>8957</v>
      </c>
      <c r="G2593" t="s">
        <v>9009</v>
      </c>
      <c r="H2593" t="s">
        <v>9035</v>
      </c>
      <c r="I2593" t="s">
        <v>8998</v>
      </c>
      <c r="J2593" s="3" t="s">
        <v>20809</v>
      </c>
      <c r="K2593" s="1" t="s">
        <v>20771</v>
      </c>
      <c r="L2593" t="s">
        <v>8951</v>
      </c>
      <c r="M2593">
        <v>2460</v>
      </c>
      <c r="N2593" t="s">
        <v>8953</v>
      </c>
      <c r="O2593" t="s">
        <v>8989</v>
      </c>
      <c r="P2593" s="1" t="s">
        <v>8955</v>
      </c>
      <c r="Q2593" s="1" t="s">
        <v>8956</v>
      </c>
      <c r="R2593" s="1" t="s">
        <v>8975</v>
      </c>
      <c r="S2593" s="1" t="s">
        <v>20424</v>
      </c>
      <c r="T2593" s="1" t="s">
        <v>7</v>
      </c>
      <c r="U2593" s="1" t="s">
        <v>382</v>
      </c>
    </row>
    <row r="2594" spans="1:21" x14ac:dyDescent="0.2">
      <c r="A2594" s="88" t="s">
        <v>18340</v>
      </c>
      <c r="B2594" s="88" t="e">
        <f>VLOOKUP(C2594,#REF!,1,0)</f>
        <v>#REF!</v>
      </c>
      <c r="C2594" s="1" t="s">
        <v>8512</v>
      </c>
      <c r="D2594" s="1" t="s">
        <v>8513</v>
      </c>
      <c r="E2594" t="s">
        <v>9010</v>
      </c>
      <c r="F2594" t="s">
        <v>8957</v>
      </c>
      <c r="G2594" t="s">
        <v>9183</v>
      </c>
      <c r="H2594" t="s">
        <v>9154</v>
      </c>
      <c r="I2594" t="s">
        <v>8971</v>
      </c>
      <c r="J2594" s="3" t="s">
        <v>9036</v>
      </c>
      <c r="K2594" s="1" t="s">
        <v>9036</v>
      </c>
      <c r="L2594" t="s">
        <v>9133</v>
      </c>
      <c r="M2594">
        <v>14035</v>
      </c>
      <c r="N2594" t="s">
        <v>8953</v>
      </c>
      <c r="O2594" t="s">
        <v>8954</v>
      </c>
      <c r="P2594" s="1" t="s">
        <v>8955</v>
      </c>
      <c r="Q2594" s="1" t="s">
        <v>8956</v>
      </c>
      <c r="R2594" s="1" t="s">
        <v>8975</v>
      </c>
      <c r="S2594" s="1" t="s">
        <v>8514</v>
      </c>
      <c r="T2594" s="1" t="s">
        <v>11</v>
      </c>
      <c r="U2594" s="1" t="s">
        <v>8515</v>
      </c>
    </row>
    <row r="2595" spans="1:21" x14ac:dyDescent="0.2">
      <c r="A2595" s="88" t="s">
        <v>18341</v>
      </c>
      <c r="B2595" s="88" t="e">
        <f>VLOOKUP(C2595,#REF!,1,0)</f>
        <v>#REF!</v>
      </c>
      <c r="C2595" s="1" t="s">
        <v>8516</v>
      </c>
      <c r="D2595" s="1" t="s">
        <v>8517</v>
      </c>
      <c r="E2595" t="s">
        <v>9310</v>
      </c>
      <c r="F2595" t="s">
        <v>8957</v>
      </c>
      <c r="G2595" t="s">
        <v>9009</v>
      </c>
      <c r="H2595" t="s">
        <v>8948</v>
      </c>
      <c r="I2595" t="s">
        <v>8998</v>
      </c>
      <c r="J2595" s="3" t="s">
        <v>9036</v>
      </c>
      <c r="K2595" s="1" t="s">
        <v>9036</v>
      </c>
      <c r="L2595" t="s">
        <v>8951</v>
      </c>
      <c r="M2595">
        <v>1200</v>
      </c>
      <c r="N2595" t="s">
        <v>9059</v>
      </c>
      <c r="O2595" t="s">
        <v>8989</v>
      </c>
      <c r="P2595" s="1" t="s">
        <v>8955</v>
      </c>
      <c r="Q2595" s="1" t="s">
        <v>8956</v>
      </c>
      <c r="R2595" s="1" t="s">
        <v>9103</v>
      </c>
      <c r="S2595" s="1" t="s">
        <v>8518</v>
      </c>
      <c r="T2595" s="1" t="s">
        <v>4</v>
      </c>
      <c r="U2595" s="1" t="s">
        <v>625</v>
      </c>
    </row>
    <row r="2596" spans="1:21" x14ac:dyDescent="0.2">
      <c r="A2596" s="88" t="s">
        <v>18342</v>
      </c>
      <c r="B2596" s="88" t="e">
        <f>VLOOKUP(C2596,#REF!,1,0)</f>
        <v>#REF!</v>
      </c>
      <c r="C2596" s="1" t="s">
        <v>8519</v>
      </c>
      <c r="D2596" s="1" t="s">
        <v>8520</v>
      </c>
      <c r="E2596" t="s">
        <v>9310</v>
      </c>
      <c r="F2596" t="s">
        <v>8974</v>
      </c>
      <c r="G2596" t="s">
        <v>8959</v>
      </c>
      <c r="H2596" t="s">
        <v>9075</v>
      </c>
      <c r="I2596" t="s">
        <v>9121</v>
      </c>
      <c r="J2596" s="3" t="s">
        <v>9912</v>
      </c>
      <c r="K2596" s="1" t="s">
        <v>9912</v>
      </c>
      <c r="L2596" t="s">
        <v>21600</v>
      </c>
      <c r="M2596">
        <v>1094</v>
      </c>
      <c r="N2596" t="s">
        <v>8953</v>
      </c>
      <c r="O2596" t="s">
        <v>8954</v>
      </c>
      <c r="P2596" s="1" t="s">
        <v>8955</v>
      </c>
      <c r="Q2596" s="1" t="s">
        <v>8956</v>
      </c>
      <c r="R2596" s="1" t="s">
        <v>8958</v>
      </c>
      <c r="S2596" s="1" t="s">
        <v>8521</v>
      </c>
      <c r="T2596" s="1" t="s">
        <v>17</v>
      </c>
      <c r="U2596" s="1" t="s">
        <v>74</v>
      </c>
    </row>
    <row r="2597" spans="1:21" x14ac:dyDescent="0.2">
      <c r="A2597" s="88" t="s">
        <v>18343</v>
      </c>
      <c r="B2597" s="88" t="e">
        <f>VLOOKUP(C2597,#REF!,1,0)</f>
        <v>#REF!</v>
      </c>
      <c r="C2597" s="1" t="s">
        <v>8522</v>
      </c>
      <c r="D2597" s="1" t="s">
        <v>8523</v>
      </c>
      <c r="E2597" t="s">
        <v>18502</v>
      </c>
      <c r="F2597" t="s">
        <v>8957</v>
      </c>
      <c r="G2597" t="s">
        <v>9061</v>
      </c>
      <c r="H2597" t="s">
        <v>9100</v>
      </c>
      <c r="I2597" t="s">
        <v>9155</v>
      </c>
      <c r="J2597" s="3" t="s">
        <v>21193</v>
      </c>
      <c r="K2597" s="1" t="s">
        <v>10492</v>
      </c>
      <c r="L2597" t="s">
        <v>9464</v>
      </c>
      <c r="M2597">
        <v>22</v>
      </c>
      <c r="N2597" t="s">
        <v>9059</v>
      </c>
      <c r="O2597" t="s">
        <v>8954</v>
      </c>
      <c r="P2597" s="1" t="s">
        <v>8955</v>
      </c>
      <c r="Q2597" s="1" t="s">
        <v>8956</v>
      </c>
      <c r="R2597" s="1" t="s">
        <v>8975</v>
      </c>
      <c r="S2597" s="1" t="s">
        <v>20425</v>
      </c>
      <c r="T2597" s="1" t="s">
        <v>7</v>
      </c>
      <c r="U2597" s="1" t="s">
        <v>392</v>
      </c>
    </row>
    <row r="2598" spans="1:21" x14ac:dyDescent="0.2">
      <c r="A2598" s="88" t="s">
        <v>18345</v>
      </c>
      <c r="B2598" s="88" t="e">
        <f>VLOOKUP(C2598,#REF!,1,0)</f>
        <v>#REF!</v>
      </c>
      <c r="C2598" s="1" t="s">
        <v>8525</v>
      </c>
      <c r="D2598" s="1" t="s">
        <v>8526</v>
      </c>
      <c r="E2598" t="s">
        <v>9310</v>
      </c>
      <c r="F2598" t="s">
        <v>8957</v>
      </c>
      <c r="G2598" t="s">
        <v>8959</v>
      </c>
      <c r="H2598" t="s">
        <v>8948</v>
      </c>
      <c r="I2598" t="s">
        <v>9155</v>
      </c>
      <c r="J2598" s="3" t="s">
        <v>21518</v>
      </c>
      <c r="K2598" s="1" t="s">
        <v>21810</v>
      </c>
      <c r="L2598" t="s">
        <v>8987</v>
      </c>
      <c r="M2598">
        <v>10942</v>
      </c>
      <c r="N2598" t="s">
        <v>8953</v>
      </c>
      <c r="O2598" t="s">
        <v>8989</v>
      </c>
      <c r="P2598" s="1" t="s">
        <v>8955</v>
      </c>
      <c r="Q2598" s="1" t="s">
        <v>8956</v>
      </c>
      <c r="R2598" s="1" t="s">
        <v>8958</v>
      </c>
      <c r="S2598" s="1" t="s">
        <v>8527</v>
      </c>
      <c r="T2598" s="1" t="s">
        <v>11</v>
      </c>
      <c r="U2598" s="1" t="s">
        <v>27</v>
      </c>
    </row>
    <row r="2599" spans="1:21" x14ac:dyDescent="0.2">
      <c r="A2599" s="88" t="s">
        <v>18346</v>
      </c>
      <c r="B2599" s="88" t="e">
        <f>VLOOKUP(C2599,#REF!,1,0)</f>
        <v>#REF!</v>
      </c>
      <c r="C2599" s="1" t="s">
        <v>8528</v>
      </c>
      <c r="D2599" s="1" t="s">
        <v>8529</v>
      </c>
      <c r="E2599" t="s">
        <v>9310</v>
      </c>
      <c r="F2599" t="s">
        <v>8957</v>
      </c>
      <c r="G2599" t="s">
        <v>8959</v>
      </c>
      <c r="H2599" t="s">
        <v>9605</v>
      </c>
      <c r="I2599" t="s">
        <v>9155</v>
      </c>
      <c r="J2599" s="3" t="s">
        <v>10258</v>
      </c>
      <c r="K2599" s="1" t="s">
        <v>21766</v>
      </c>
      <c r="L2599" t="s">
        <v>8987</v>
      </c>
      <c r="M2599">
        <v>21747</v>
      </c>
      <c r="N2599" t="s">
        <v>8953</v>
      </c>
      <c r="O2599" t="s">
        <v>8954</v>
      </c>
      <c r="P2599" s="1" t="s">
        <v>8955</v>
      </c>
      <c r="Q2599" s="1" t="s">
        <v>8956</v>
      </c>
      <c r="R2599" s="1" t="s">
        <v>8958</v>
      </c>
      <c r="S2599" s="1" t="s">
        <v>8530</v>
      </c>
      <c r="T2599" s="1" t="s">
        <v>17</v>
      </c>
      <c r="U2599" s="1" t="s">
        <v>126</v>
      </c>
    </row>
    <row r="2600" spans="1:21" x14ac:dyDescent="0.2">
      <c r="A2600" s="88" t="s">
        <v>18347</v>
      </c>
      <c r="B2600" s="88" t="e">
        <f>VLOOKUP(C2600,#REF!,1,0)</f>
        <v>#REF!</v>
      </c>
      <c r="C2600" s="1" t="s">
        <v>8531</v>
      </c>
      <c r="D2600" s="1" t="s">
        <v>8532</v>
      </c>
      <c r="E2600" t="s">
        <v>9310</v>
      </c>
      <c r="F2600" t="s">
        <v>8957</v>
      </c>
      <c r="G2600" t="s">
        <v>8959</v>
      </c>
      <c r="H2600" t="s">
        <v>20714</v>
      </c>
      <c r="I2600" t="s">
        <v>9050</v>
      </c>
      <c r="J2600" s="3" t="s">
        <v>21486</v>
      </c>
      <c r="K2600" s="1" t="s">
        <v>21893</v>
      </c>
      <c r="L2600" t="s">
        <v>9133</v>
      </c>
      <c r="M2600">
        <v>1513</v>
      </c>
      <c r="N2600" t="s">
        <v>8953</v>
      </c>
      <c r="O2600" t="s">
        <v>8989</v>
      </c>
      <c r="P2600" s="1" t="s">
        <v>8955</v>
      </c>
      <c r="Q2600" s="1" t="s">
        <v>8956</v>
      </c>
      <c r="R2600" s="1" t="s">
        <v>8975</v>
      </c>
      <c r="S2600" s="1" t="s">
        <v>20427</v>
      </c>
      <c r="T2600" s="1" t="s">
        <v>11</v>
      </c>
      <c r="U2600" s="1" t="s">
        <v>2284</v>
      </c>
    </row>
    <row r="2601" spans="1:21" x14ac:dyDescent="0.2">
      <c r="A2601" s="88" t="s">
        <v>18348</v>
      </c>
      <c r="B2601" s="88" t="e">
        <f>VLOOKUP(C2601,#REF!,1,0)</f>
        <v>#REF!</v>
      </c>
      <c r="C2601" s="1" t="s">
        <v>8533</v>
      </c>
      <c r="D2601" s="1" t="s">
        <v>8534</v>
      </c>
      <c r="E2601" t="s">
        <v>9310</v>
      </c>
      <c r="F2601" t="s">
        <v>9060</v>
      </c>
      <c r="G2601" t="s">
        <v>8959</v>
      </c>
      <c r="H2601" t="s">
        <v>9035</v>
      </c>
      <c r="I2601" t="s">
        <v>8998</v>
      </c>
      <c r="J2601" s="3" t="s">
        <v>21487</v>
      </c>
      <c r="K2601" s="1" t="s">
        <v>21894</v>
      </c>
      <c r="L2601" t="s">
        <v>9133</v>
      </c>
      <c r="M2601">
        <v>617775</v>
      </c>
      <c r="N2601" t="s">
        <v>8953</v>
      </c>
      <c r="O2601" t="s">
        <v>8989</v>
      </c>
      <c r="P2601" s="1" t="s">
        <v>8955</v>
      </c>
      <c r="Q2601" s="1" t="s">
        <v>8956</v>
      </c>
      <c r="R2601" s="1" t="s">
        <v>8975</v>
      </c>
      <c r="S2601" s="1" t="s">
        <v>20428</v>
      </c>
      <c r="T2601" s="1" t="s">
        <v>7</v>
      </c>
      <c r="U2601" s="1" t="s">
        <v>1462</v>
      </c>
    </row>
    <row r="2602" spans="1:21" x14ac:dyDescent="0.2">
      <c r="A2602" s="88" t="s">
        <v>18349</v>
      </c>
      <c r="B2602" s="88" t="e">
        <f>VLOOKUP(C2602,#REF!,1,0)</f>
        <v>#REF!</v>
      </c>
      <c r="C2602" s="1" t="s">
        <v>8535</v>
      </c>
      <c r="D2602" s="1" t="s">
        <v>8536</v>
      </c>
      <c r="E2602" t="s">
        <v>9310</v>
      </c>
      <c r="F2602" t="s">
        <v>8957</v>
      </c>
      <c r="G2602" t="s">
        <v>9183</v>
      </c>
      <c r="H2602" t="s">
        <v>9092</v>
      </c>
      <c r="I2602" t="s">
        <v>8949</v>
      </c>
      <c r="J2602" s="3" t="s">
        <v>9270</v>
      </c>
      <c r="K2602" s="1" t="s">
        <v>9270</v>
      </c>
      <c r="L2602" t="s">
        <v>21600</v>
      </c>
      <c r="M2602">
        <v>167</v>
      </c>
      <c r="N2602" t="s">
        <v>9059</v>
      </c>
      <c r="O2602" t="s">
        <v>8989</v>
      </c>
      <c r="P2602" s="1" t="s">
        <v>8955</v>
      </c>
      <c r="Q2602" s="1" t="s">
        <v>8956</v>
      </c>
      <c r="R2602" s="1" t="s">
        <v>8958</v>
      </c>
      <c r="S2602" s="1" t="s">
        <v>8537</v>
      </c>
      <c r="T2602" s="1" t="s">
        <v>11</v>
      </c>
      <c r="U2602" s="1" t="s">
        <v>43</v>
      </c>
    </row>
    <row r="2603" spans="1:21" x14ac:dyDescent="0.2">
      <c r="A2603" s="88" t="s">
        <v>18350</v>
      </c>
      <c r="B2603" s="88" t="e">
        <f>VLOOKUP(C2603,#REF!,1,0)</f>
        <v>#REF!</v>
      </c>
      <c r="C2603" s="1" t="s">
        <v>8538</v>
      </c>
      <c r="D2603" s="1" t="s">
        <v>8539</v>
      </c>
      <c r="E2603" t="s">
        <v>9310</v>
      </c>
      <c r="F2603" t="s">
        <v>8957</v>
      </c>
      <c r="G2603" t="s">
        <v>8959</v>
      </c>
      <c r="H2603" t="s">
        <v>9075</v>
      </c>
      <c r="I2603" t="s">
        <v>9121</v>
      </c>
      <c r="J2603" s="3" t="s">
        <v>10184</v>
      </c>
      <c r="K2603" s="1" t="s">
        <v>10184</v>
      </c>
      <c r="L2603" t="s">
        <v>21600</v>
      </c>
      <c r="M2603">
        <v>672</v>
      </c>
      <c r="N2603" t="s">
        <v>8953</v>
      </c>
      <c r="O2603" t="s">
        <v>8989</v>
      </c>
      <c r="P2603" s="1" t="s">
        <v>8955</v>
      </c>
      <c r="Q2603" s="1" t="s">
        <v>8956</v>
      </c>
      <c r="R2603" s="1" t="s">
        <v>8958</v>
      </c>
      <c r="S2603" s="1" t="s">
        <v>8540</v>
      </c>
      <c r="T2603" s="1" t="s">
        <v>17</v>
      </c>
      <c r="U2603" s="1" t="s">
        <v>1651</v>
      </c>
    </row>
    <row r="2604" spans="1:21" x14ac:dyDescent="0.2">
      <c r="A2604" s="88" t="s">
        <v>18351</v>
      </c>
      <c r="B2604" s="88" t="e">
        <f>VLOOKUP(C2604,#REF!,1,0)</f>
        <v>#REF!</v>
      </c>
      <c r="C2604" s="1" t="s">
        <v>8541</v>
      </c>
      <c r="D2604" s="1" t="s">
        <v>8542</v>
      </c>
      <c r="E2604" t="s">
        <v>9310</v>
      </c>
      <c r="F2604" t="s">
        <v>8959</v>
      </c>
      <c r="G2604" t="s">
        <v>8959</v>
      </c>
      <c r="H2604" t="s">
        <v>9173</v>
      </c>
      <c r="I2604" t="s">
        <v>9174</v>
      </c>
      <c r="J2604" s="3" t="s">
        <v>21589</v>
      </c>
      <c r="K2604" s="1" t="s">
        <v>21809</v>
      </c>
      <c r="L2604" t="s">
        <v>8951</v>
      </c>
      <c r="M2604" t="s">
        <v>9479</v>
      </c>
      <c r="N2604" t="s">
        <v>8953</v>
      </c>
      <c r="O2604" t="s">
        <v>8954</v>
      </c>
      <c r="P2604" s="1" t="s">
        <v>8955</v>
      </c>
      <c r="Q2604" s="1" t="s">
        <v>8956</v>
      </c>
      <c r="R2604" s="1" t="s">
        <v>9103</v>
      </c>
      <c r="S2604" s="1" t="s">
        <v>20429</v>
      </c>
      <c r="T2604" s="1" t="s">
        <v>7</v>
      </c>
      <c r="U2604" s="1" t="s">
        <v>8543</v>
      </c>
    </row>
    <row r="2605" spans="1:21" x14ac:dyDescent="0.2">
      <c r="A2605" s="88" t="s">
        <v>18352</v>
      </c>
      <c r="B2605" s="88" t="e">
        <f>VLOOKUP(C2605,#REF!,1,0)</f>
        <v>#REF!</v>
      </c>
      <c r="C2605" s="1" t="s">
        <v>8544</v>
      </c>
      <c r="D2605" s="1" t="s">
        <v>8545</v>
      </c>
      <c r="E2605" t="s">
        <v>9310</v>
      </c>
      <c r="F2605" t="s">
        <v>8959</v>
      </c>
      <c r="G2605" t="s">
        <v>9061</v>
      </c>
      <c r="H2605" t="s">
        <v>9075</v>
      </c>
      <c r="I2605" t="s">
        <v>8971</v>
      </c>
      <c r="J2605" s="3" t="s">
        <v>21489</v>
      </c>
      <c r="K2605" s="1" t="s">
        <v>10135</v>
      </c>
      <c r="L2605" t="s">
        <v>8951</v>
      </c>
      <c r="M2605">
        <v>1828</v>
      </c>
      <c r="N2605" t="s">
        <v>8953</v>
      </c>
      <c r="O2605" t="s">
        <v>8954</v>
      </c>
      <c r="P2605" s="1" t="s">
        <v>8955</v>
      </c>
      <c r="Q2605" s="1" t="s">
        <v>8956</v>
      </c>
      <c r="R2605" s="1" t="s">
        <v>9103</v>
      </c>
      <c r="S2605" s="1" t="s">
        <v>8546</v>
      </c>
      <c r="T2605" s="1" t="s">
        <v>17</v>
      </c>
      <c r="U2605" s="1" t="s">
        <v>97</v>
      </c>
    </row>
    <row r="2606" spans="1:21" x14ac:dyDescent="0.2">
      <c r="A2606" s="88" t="s">
        <v>18353</v>
      </c>
      <c r="B2606" s="88" t="e">
        <f>VLOOKUP(C2606,#REF!,1,0)</f>
        <v>#REF!</v>
      </c>
      <c r="C2606" s="1" t="s">
        <v>8547</v>
      </c>
      <c r="D2606" s="1" t="s">
        <v>8548</v>
      </c>
      <c r="E2606" t="s">
        <v>9010</v>
      </c>
      <c r="F2606" t="s">
        <v>8957</v>
      </c>
      <c r="G2606" t="s">
        <v>8959</v>
      </c>
      <c r="H2606" t="s">
        <v>9154</v>
      </c>
      <c r="I2606" t="s">
        <v>9155</v>
      </c>
      <c r="J2606" s="3" t="s">
        <v>21590</v>
      </c>
      <c r="K2606" s="1" t="s">
        <v>21590</v>
      </c>
      <c r="L2606" t="s">
        <v>9157</v>
      </c>
      <c r="M2606">
        <v>132</v>
      </c>
      <c r="N2606" t="s">
        <v>8953</v>
      </c>
      <c r="O2606" t="s">
        <v>8989</v>
      </c>
      <c r="P2606" s="1" t="s">
        <v>8955</v>
      </c>
      <c r="Q2606" s="1" t="s">
        <v>8956</v>
      </c>
      <c r="R2606" s="1" t="s">
        <v>8958</v>
      </c>
      <c r="S2606" s="1" t="s">
        <v>8549</v>
      </c>
      <c r="T2606" s="1" t="s">
        <v>7</v>
      </c>
      <c r="U2606" s="1" t="s">
        <v>61</v>
      </c>
    </row>
    <row r="2607" spans="1:21" x14ac:dyDescent="0.2">
      <c r="A2607" s="88" t="s">
        <v>18355</v>
      </c>
      <c r="B2607" s="88" t="e">
        <f>VLOOKUP(C2607,#REF!,1,0)</f>
        <v>#REF!</v>
      </c>
      <c r="C2607" s="1" t="s">
        <v>8552</v>
      </c>
      <c r="D2607" s="1" t="s">
        <v>8553</v>
      </c>
      <c r="E2607" t="s">
        <v>18502</v>
      </c>
      <c r="F2607" t="s">
        <v>8957</v>
      </c>
      <c r="G2607" t="s">
        <v>8959</v>
      </c>
      <c r="H2607" t="s">
        <v>20712</v>
      </c>
      <c r="I2607" t="s">
        <v>9155</v>
      </c>
      <c r="J2607" s="3" t="s">
        <v>20785</v>
      </c>
      <c r="K2607" s="1" t="s">
        <v>18491</v>
      </c>
      <c r="L2607" t="s">
        <v>21600</v>
      </c>
      <c r="M2607">
        <v>875</v>
      </c>
      <c r="N2607" t="s">
        <v>9059</v>
      </c>
      <c r="O2607" t="s">
        <v>8954</v>
      </c>
      <c r="P2607" s="1" t="s">
        <v>8955</v>
      </c>
      <c r="Q2607" s="1" t="s">
        <v>8956</v>
      </c>
      <c r="R2607" s="1" t="s">
        <v>8975</v>
      </c>
      <c r="S2607" s="1" t="s">
        <v>20431</v>
      </c>
      <c r="T2607" s="1" t="s">
        <v>7</v>
      </c>
      <c r="U2607" s="1" t="s">
        <v>61</v>
      </c>
    </row>
    <row r="2608" spans="1:21" x14ac:dyDescent="0.2">
      <c r="A2608" s="88" t="s">
        <v>18356</v>
      </c>
      <c r="B2608" s="88" t="e">
        <f>VLOOKUP(C2608,#REF!,1,0)</f>
        <v>#REF!</v>
      </c>
      <c r="C2608" s="1" t="s">
        <v>8554</v>
      </c>
      <c r="D2608" s="1" t="s">
        <v>8555</v>
      </c>
      <c r="E2608" t="s">
        <v>9310</v>
      </c>
      <c r="F2608" t="s">
        <v>8957</v>
      </c>
      <c r="G2608" t="s">
        <v>8959</v>
      </c>
      <c r="H2608" t="s">
        <v>8948</v>
      </c>
      <c r="I2608" t="s">
        <v>9155</v>
      </c>
      <c r="J2608" s="3" t="s">
        <v>18497</v>
      </c>
      <c r="K2608" s="1" t="s">
        <v>18497</v>
      </c>
      <c r="L2608" t="s">
        <v>9133</v>
      </c>
      <c r="M2608">
        <v>78</v>
      </c>
      <c r="N2608" t="s">
        <v>9059</v>
      </c>
      <c r="O2608" t="s">
        <v>8989</v>
      </c>
      <c r="P2608" s="1" t="s">
        <v>8955</v>
      </c>
      <c r="Q2608" s="1" t="s">
        <v>8956</v>
      </c>
      <c r="R2608" s="1" t="s">
        <v>8975</v>
      </c>
      <c r="S2608" s="1" t="s">
        <v>20432</v>
      </c>
      <c r="T2608" s="1" t="s">
        <v>17</v>
      </c>
      <c r="U2608" s="1" t="s">
        <v>3111</v>
      </c>
    </row>
    <row r="2609" spans="1:21" x14ac:dyDescent="0.2">
      <c r="A2609" s="88" t="s">
        <v>18357</v>
      </c>
      <c r="B2609" s="88" t="e">
        <f>VLOOKUP(C2609,#REF!,1,0)</f>
        <v>#REF!</v>
      </c>
      <c r="C2609" s="1" t="s">
        <v>8556</v>
      </c>
      <c r="D2609" s="1" t="s">
        <v>8557</v>
      </c>
      <c r="E2609" t="s">
        <v>18502</v>
      </c>
      <c r="F2609" t="s">
        <v>8957</v>
      </c>
      <c r="G2609" t="s">
        <v>9061</v>
      </c>
      <c r="H2609" t="s">
        <v>9100</v>
      </c>
      <c r="I2609" t="s">
        <v>8959</v>
      </c>
      <c r="J2609" s="3" t="s">
        <v>21193</v>
      </c>
      <c r="K2609" s="1" t="s">
        <v>10492</v>
      </c>
      <c r="L2609" t="s">
        <v>21600</v>
      </c>
      <c r="M2609">
        <v>30</v>
      </c>
      <c r="N2609" t="s">
        <v>8953</v>
      </c>
      <c r="O2609" t="s">
        <v>8989</v>
      </c>
      <c r="P2609" s="1" t="s">
        <v>8955</v>
      </c>
      <c r="Q2609" s="1" t="s">
        <v>8956</v>
      </c>
      <c r="R2609" s="1" t="s">
        <v>8958</v>
      </c>
      <c r="S2609" s="1" t="s">
        <v>20433</v>
      </c>
      <c r="T2609" s="1" t="s">
        <v>7</v>
      </c>
      <c r="U2609" s="1" t="s">
        <v>184</v>
      </c>
    </row>
    <row r="2610" spans="1:21" x14ac:dyDescent="0.2">
      <c r="A2610" s="88" t="s">
        <v>18358</v>
      </c>
      <c r="B2610" s="88" t="e">
        <f>VLOOKUP(C2610,#REF!,1,0)</f>
        <v>#REF!</v>
      </c>
      <c r="C2610" s="1" t="s">
        <v>8558</v>
      </c>
      <c r="D2610" s="1" t="s">
        <v>8559</v>
      </c>
      <c r="E2610" t="s">
        <v>18502</v>
      </c>
      <c r="F2610" t="s">
        <v>9060</v>
      </c>
      <c r="G2610" t="s">
        <v>20843</v>
      </c>
      <c r="H2610" t="s">
        <v>9605</v>
      </c>
      <c r="I2610" t="s">
        <v>9101</v>
      </c>
      <c r="J2610" s="3" t="s">
        <v>21193</v>
      </c>
      <c r="K2610" s="1" t="s">
        <v>21645</v>
      </c>
      <c r="L2610" t="s">
        <v>21600</v>
      </c>
      <c r="M2610">
        <v>10</v>
      </c>
      <c r="N2610" t="s">
        <v>11658</v>
      </c>
      <c r="O2610" t="s">
        <v>8989</v>
      </c>
      <c r="P2610" s="1" t="s">
        <v>8955</v>
      </c>
      <c r="Q2610" s="1" t="s">
        <v>8956</v>
      </c>
      <c r="R2610" s="1" t="s">
        <v>8958</v>
      </c>
      <c r="S2610" s="1" t="s">
        <v>20434</v>
      </c>
      <c r="T2610" s="1" t="s">
        <v>7</v>
      </c>
      <c r="U2610" s="1" t="s">
        <v>580</v>
      </c>
    </row>
    <row r="2611" spans="1:21" x14ac:dyDescent="0.2">
      <c r="A2611" s="88" t="s">
        <v>18359</v>
      </c>
      <c r="B2611" s="88" t="e">
        <f>VLOOKUP(C2611,#REF!,1,0)</f>
        <v>#REF!</v>
      </c>
      <c r="C2611" s="1" t="s">
        <v>8560</v>
      </c>
      <c r="D2611" s="1" t="s">
        <v>8561</v>
      </c>
      <c r="E2611" t="s">
        <v>9310</v>
      </c>
      <c r="F2611" t="s">
        <v>8957</v>
      </c>
      <c r="G2611" t="s">
        <v>9061</v>
      </c>
      <c r="H2611" t="s">
        <v>9154</v>
      </c>
      <c r="I2611" t="s">
        <v>8949</v>
      </c>
      <c r="J2611" s="3" t="s">
        <v>20838</v>
      </c>
      <c r="K2611" s="1" t="s">
        <v>20755</v>
      </c>
      <c r="L2611" t="s">
        <v>9133</v>
      </c>
      <c r="M2611">
        <v>299</v>
      </c>
      <c r="N2611" t="s">
        <v>9059</v>
      </c>
      <c r="O2611" t="s">
        <v>8989</v>
      </c>
      <c r="P2611" s="1" t="s">
        <v>8955</v>
      </c>
      <c r="Q2611" s="1" t="s">
        <v>8956</v>
      </c>
      <c r="R2611" s="1" t="s">
        <v>8975</v>
      </c>
      <c r="S2611" s="1" t="s">
        <v>20435</v>
      </c>
      <c r="T2611" s="1" t="s">
        <v>17</v>
      </c>
      <c r="U2611" s="1" t="s">
        <v>180</v>
      </c>
    </row>
    <row r="2612" spans="1:21" x14ac:dyDescent="0.2">
      <c r="A2612" s="88" t="s">
        <v>18360</v>
      </c>
      <c r="B2612" s="88" t="e">
        <f>VLOOKUP(C2612,#REF!,1,0)</f>
        <v>#REF!</v>
      </c>
      <c r="C2612" s="1" t="s">
        <v>8562</v>
      </c>
      <c r="D2612" s="1" t="s">
        <v>8563</v>
      </c>
      <c r="E2612" t="s">
        <v>18502</v>
      </c>
      <c r="F2612" t="s">
        <v>8957</v>
      </c>
      <c r="G2612" t="s">
        <v>8959</v>
      </c>
      <c r="H2612" t="s">
        <v>9605</v>
      </c>
      <c r="I2612" t="s">
        <v>9101</v>
      </c>
      <c r="J2612" s="3" t="s">
        <v>20779</v>
      </c>
      <c r="K2612" s="1" t="s">
        <v>9036</v>
      </c>
      <c r="L2612" t="s">
        <v>9292</v>
      </c>
      <c r="M2612">
        <v>5</v>
      </c>
      <c r="N2612" t="s">
        <v>11658</v>
      </c>
      <c r="O2612" t="s">
        <v>8989</v>
      </c>
      <c r="P2612" s="1" t="s">
        <v>8955</v>
      </c>
      <c r="Q2612" s="1" t="s">
        <v>8956</v>
      </c>
      <c r="R2612" s="1" t="s">
        <v>8958</v>
      </c>
      <c r="S2612" s="1" t="s">
        <v>20436</v>
      </c>
      <c r="T2612" s="1" t="s">
        <v>11</v>
      </c>
      <c r="U2612" s="1" t="s">
        <v>700</v>
      </c>
    </row>
    <row r="2613" spans="1:21" x14ac:dyDescent="0.2">
      <c r="A2613" s="88" t="s">
        <v>18361</v>
      </c>
      <c r="B2613" s="88" t="e">
        <f>VLOOKUP(C2613,#REF!,1,0)</f>
        <v>#REF!</v>
      </c>
      <c r="C2613" s="1" t="s">
        <v>8564</v>
      </c>
      <c r="D2613" s="1" t="s">
        <v>8565</v>
      </c>
      <c r="E2613" t="s">
        <v>9310</v>
      </c>
      <c r="F2613" t="s">
        <v>8957</v>
      </c>
      <c r="G2613" t="s">
        <v>8959</v>
      </c>
      <c r="H2613" t="s">
        <v>9100</v>
      </c>
      <c r="I2613" t="s">
        <v>12453</v>
      </c>
      <c r="J2613" s="3" t="s">
        <v>20779</v>
      </c>
      <c r="K2613" s="1" t="s">
        <v>9036</v>
      </c>
      <c r="L2613" t="s">
        <v>8987</v>
      </c>
      <c r="M2613">
        <v>17</v>
      </c>
      <c r="N2613" t="s">
        <v>9059</v>
      </c>
      <c r="O2613" t="s">
        <v>8989</v>
      </c>
      <c r="P2613" s="1" t="s">
        <v>8955</v>
      </c>
      <c r="Q2613" s="1" t="s">
        <v>8956</v>
      </c>
      <c r="R2613" s="1" t="s">
        <v>8958</v>
      </c>
      <c r="S2613" s="1" t="s">
        <v>20437</v>
      </c>
      <c r="T2613" s="1" t="s">
        <v>17</v>
      </c>
      <c r="U2613" s="1" t="s">
        <v>4802</v>
      </c>
    </row>
    <row r="2614" spans="1:21" x14ac:dyDescent="0.2">
      <c r="A2614" s="88" t="s">
        <v>18363</v>
      </c>
      <c r="B2614" s="88" t="e">
        <f>VLOOKUP(C2614,#REF!,1,0)</f>
        <v>#REF!</v>
      </c>
      <c r="C2614" s="1" t="s">
        <v>8568</v>
      </c>
      <c r="D2614" s="1" t="s">
        <v>8569</v>
      </c>
      <c r="E2614" t="s">
        <v>9310</v>
      </c>
      <c r="F2614" t="s">
        <v>9060</v>
      </c>
      <c r="G2614" t="s">
        <v>9061</v>
      </c>
      <c r="H2614" t="s">
        <v>20712</v>
      </c>
      <c r="I2614" t="s">
        <v>8998</v>
      </c>
      <c r="J2614" s="3" t="s">
        <v>20779</v>
      </c>
      <c r="K2614" s="1" t="s">
        <v>9036</v>
      </c>
      <c r="L2614" t="s">
        <v>9464</v>
      </c>
      <c r="M2614">
        <v>50000</v>
      </c>
      <c r="N2614" t="s">
        <v>8953</v>
      </c>
      <c r="O2614" t="s">
        <v>8989</v>
      </c>
      <c r="P2614" s="1" t="s">
        <v>8955</v>
      </c>
      <c r="Q2614" s="1" t="s">
        <v>8956</v>
      </c>
      <c r="R2614" s="1" t="s">
        <v>8958</v>
      </c>
      <c r="S2614" s="1" t="s">
        <v>20439</v>
      </c>
      <c r="T2614" s="1" t="s">
        <v>7</v>
      </c>
      <c r="U2614" s="1" t="s">
        <v>378</v>
      </c>
    </row>
    <row r="2615" spans="1:21" x14ac:dyDescent="0.2">
      <c r="A2615" s="88" t="s">
        <v>18364</v>
      </c>
      <c r="B2615" s="88" t="e">
        <f>VLOOKUP(C2615,#REF!,1,0)</f>
        <v>#REF!</v>
      </c>
      <c r="C2615" s="1" t="s">
        <v>8570</v>
      </c>
      <c r="D2615" s="1" t="s">
        <v>8571</v>
      </c>
      <c r="E2615" t="s">
        <v>9310</v>
      </c>
      <c r="F2615" t="s">
        <v>8957</v>
      </c>
      <c r="G2615" t="s">
        <v>8959</v>
      </c>
      <c r="H2615" t="s">
        <v>20714</v>
      </c>
      <c r="I2615" t="s">
        <v>20725</v>
      </c>
      <c r="J2615" s="3" t="s">
        <v>21493</v>
      </c>
      <c r="K2615" s="1" t="s">
        <v>20731</v>
      </c>
      <c r="L2615" t="s">
        <v>9133</v>
      </c>
      <c r="M2615">
        <v>38057</v>
      </c>
      <c r="N2615" t="s">
        <v>8953</v>
      </c>
      <c r="O2615" t="s">
        <v>8989</v>
      </c>
      <c r="P2615" s="1" t="s">
        <v>8955</v>
      </c>
      <c r="Q2615" s="1" t="s">
        <v>8956</v>
      </c>
      <c r="R2615" s="1" t="s">
        <v>9103</v>
      </c>
      <c r="S2615" s="1" t="s">
        <v>20440</v>
      </c>
      <c r="T2615" s="1" t="s">
        <v>7</v>
      </c>
      <c r="U2615" s="1" t="s">
        <v>8572</v>
      </c>
    </row>
    <row r="2616" spans="1:21" x14ac:dyDescent="0.2">
      <c r="A2616" s="88" t="s">
        <v>18365</v>
      </c>
      <c r="B2616" s="88" t="e">
        <f>VLOOKUP(C2616,#REF!,1,0)</f>
        <v>#REF!</v>
      </c>
      <c r="C2616" s="1" t="s">
        <v>8573</v>
      </c>
      <c r="D2616" s="1" t="s">
        <v>8574</v>
      </c>
      <c r="E2616" t="s">
        <v>9310</v>
      </c>
      <c r="F2616" t="s">
        <v>9060</v>
      </c>
      <c r="G2616" t="s">
        <v>8959</v>
      </c>
      <c r="H2616" t="s">
        <v>20712</v>
      </c>
      <c r="I2616" t="s">
        <v>8949</v>
      </c>
      <c r="J2616" s="3" t="s">
        <v>20779</v>
      </c>
      <c r="K2616" s="1" t="s">
        <v>9036</v>
      </c>
      <c r="L2616" t="s">
        <v>9076</v>
      </c>
      <c r="M2616">
        <v>17588</v>
      </c>
      <c r="N2616" t="s">
        <v>8953</v>
      </c>
      <c r="O2616" t="s">
        <v>8954</v>
      </c>
      <c r="P2616" s="1" t="s">
        <v>8955</v>
      </c>
      <c r="Q2616" s="1" t="s">
        <v>8956</v>
      </c>
      <c r="R2616" s="1" t="s">
        <v>8975</v>
      </c>
      <c r="S2616" s="1" t="s">
        <v>20441</v>
      </c>
      <c r="T2616" s="1" t="s">
        <v>17</v>
      </c>
      <c r="U2616" s="1" t="s">
        <v>161</v>
      </c>
    </row>
    <row r="2617" spans="1:21" x14ac:dyDescent="0.2">
      <c r="A2617" s="88" t="s">
        <v>18366</v>
      </c>
      <c r="B2617" s="88" t="e">
        <f>VLOOKUP(C2617,#REF!,1,0)</f>
        <v>#REF!</v>
      </c>
      <c r="C2617" s="1" t="s">
        <v>8575</v>
      </c>
      <c r="D2617" s="1" t="s">
        <v>8576</v>
      </c>
      <c r="E2617" t="s">
        <v>9310</v>
      </c>
      <c r="F2617" t="s">
        <v>8957</v>
      </c>
      <c r="G2617" t="s">
        <v>8959</v>
      </c>
      <c r="H2617" t="s">
        <v>9252</v>
      </c>
      <c r="I2617" t="s">
        <v>9121</v>
      </c>
      <c r="J2617" s="3" t="s">
        <v>21494</v>
      </c>
      <c r="K2617" s="1" t="s">
        <v>14324</v>
      </c>
      <c r="L2617" t="s">
        <v>8987</v>
      </c>
      <c r="M2617">
        <v>227</v>
      </c>
      <c r="N2617" t="s">
        <v>8953</v>
      </c>
      <c r="O2617" t="s">
        <v>8989</v>
      </c>
      <c r="P2617" s="1" t="s">
        <v>8955</v>
      </c>
      <c r="Q2617" s="1" t="s">
        <v>8956</v>
      </c>
      <c r="R2617" s="1" t="s">
        <v>8958</v>
      </c>
      <c r="S2617" s="1" t="s">
        <v>8577</v>
      </c>
      <c r="T2617" s="1" t="s">
        <v>242</v>
      </c>
      <c r="U2617" s="1" t="s">
        <v>5702</v>
      </c>
    </row>
    <row r="2618" spans="1:21" x14ac:dyDescent="0.2">
      <c r="A2618" s="88" t="s">
        <v>18367</v>
      </c>
      <c r="B2618" s="88" t="e">
        <f>VLOOKUP(C2618,#REF!,1,0)</f>
        <v>#REF!</v>
      </c>
      <c r="C2618" s="1" t="s">
        <v>8578</v>
      </c>
      <c r="D2618" s="1" t="s">
        <v>8579</v>
      </c>
      <c r="E2618" t="s">
        <v>9310</v>
      </c>
      <c r="F2618" t="s">
        <v>8957</v>
      </c>
      <c r="G2618" t="s">
        <v>8959</v>
      </c>
      <c r="H2618" t="s">
        <v>9075</v>
      </c>
      <c r="I2618" t="s">
        <v>8971</v>
      </c>
      <c r="J2618" s="3" t="s">
        <v>20872</v>
      </c>
      <c r="K2618" s="1" t="s">
        <v>13541</v>
      </c>
      <c r="L2618" t="s">
        <v>9133</v>
      </c>
      <c r="M2618">
        <v>313</v>
      </c>
      <c r="N2618" t="s">
        <v>8953</v>
      </c>
      <c r="O2618" t="s">
        <v>8989</v>
      </c>
      <c r="P2618" s="1" t="s">
        <v>8955</v>
      </c>
      <c r="Q2618" s="1" t="s">
        <v>8956</v>
      </c>
      <c r="R2618" s="1" t="s">
        <v>8958</v>
      </c>
      <c r="S2618" s="1" t="s">
        <v>20442</v>
      </c>
      <c r="T2618" s="1" t="s">
        <v>7</v>
      </c>
      <c r="U2618" s="1" t="s">
        <v>2304</v>
      </c>
    </row>
    <row r="2619" spans="1:21" x14ac:dyDescent="0.2">
      <c r="A2619" s="88" t="s">
        <v>18368</v>
      </c>
      <c r="B2619" s="88" t="e">
        <f>VLOOKUP(C2619,#REF!,1,0)</f>
        <v>#REF!</v>
      </c>
      <c r="C2619" s="1" t="s">
        <v>8580</v>
      </c>
      <c r="D2619" s="1" t="s">
        <v>8581</v>
      </c>
      <c r="E2619" t="s">
        <v>9310</v>
      </c>
      <c r="F2619" t="s">
        <v>8957</v>
      </c>
      <c r="G2619" t="s">
        <v>8959</v>
      </c>
      <c r="H2619" t="s">
        <v>9035</v>
      </c>
      <c r="I2619" t="s">
        <v>9308</v>
      </c>
      <c r="J2619" s="3" t="s">
        <v>21497</v>
      </c>
      <c r="K2619" s="1" t="s">
        <v>21862</v>
      </c>
      <c r="L2619" t="s">
        <v>8987</v>
      </c>
      <c r="M2619">
        <v>4990</v>
      </c>
      <c r="N2619" t="s">
        <v>8953</v>
      </c>
      <c r="O2619" t="s">
        <v>8954</v>
      </c>
      <c r="P2619" s="1" t="s">
        <v>8955</v>
      </c>
      <c r="Q2619" s="1" t="s">
        <v>8956</v>
      </c>
      <c r="R2619" s="1" t="s">
        <v>9103</v>
      </c>
      <c r="S2619" s="1" t="s">
        <v>20443</v>
      </c>
      <c r="T2619" s="1" t="s">
        <v>7</v>
      </c>
      <c r="U2619" s="1" t="s">
        <v>46</v>
      </c>
    </row>
    <row r="2620" spans="1:21" x14ac:dyDescent="0.2">
      <c r="A2620" s="88" t="s">
        <v>18369</v>
      </c>
      <c r="B2620" s="88" t="e">
        <f>VLOOKUP(C2620,#REF!,1,0)</f>
        <v>#REF!</v>
      </c>
      <c r="C2620" s="1" t="s">
        <v>8582</v>
      </c>
      <c r="D2620" s="1" t="s">
        <v>8583</v>
      </c>
      <c r="E2620" t="s">
        <v>9310</v>
      </c>
      <c r="F2620" t="s">
        <v>8957</v>
      </c>
      <c r="G2620" t="s">
        <v>8959</v>
      </c>
      <c r="H2620" t="s">
        <v>9035</v>
      </c>
      <c r="I2620" t="s">
        <v>9308</v>
      </c>
      <c r="J2620" s="3" t="s">
        <v>21496</v>
      </c>
      <c r="K2620" s="1" t="s">
        <v>21895</v>
      </c>
      <c r="L2620" t="s">
        <v>8951</v>
      </c>
      <c r="M2620">
        <v>6095</v>
      </c>
      <c r="N2620" t="s">
        <v>8953</v>
      </c>
      <c r="O2620" t="s">
        <v>8954</v>
      </c>
      <c r="P2620" s="1" t="s">
        <v>8955</v>
      </c>
      <c r="Q2620" s="1" t="s">
        <v>8956</v>
      </c>
      <c r="R2620" s="1" t="s">
        <v>8975</v>
      </c>
      <c r="S2620" s="1" t="s">
        <v>20444</v>
      </c>
      <c r="T2620" s="1" t="s">
        <v>7</v>
      </c>
      <c r="U2620" s="1" t="s">
        <v>8584</v>
      </c>
    </row>
    <row r="2621" spans="1:21" x14ac:dyDescent="0.2">
      <c r="A2621" s="88" t="s">
        <v>18370</v>
      </c>
      <c r="B2621" s="88" t="e">
        <f>VLOOKUP(C2621,#REF!,1,0)</f>
        <v>#REF!</v>
      </c>
      <c r="C2621" s="1" t="s">
        <v>8585</v>
      </c>
      <c r="D2621" s="1" t="s">
        <v>8586</v>
      </c>
      <c r="E2621" t="s">
        <v>9310</v>
      </c>
      <c r="F2621" t="s">
        <v>8957</v>
      </c>
      <c r="G2621" t="s">
        <v>9183</v>
      </c>
      <c r="H2621" t="s">
        <v>8984</v>
      </c>
      <c r="I2621" t="s">
        <v>9131</v>
      </c>
      <c r="J2621" s="3" t="s">
        <v>20841</v>
      </c>
      <c r="K2621" s="1" t="s">
        <v>21647</v>
      </c>
      <c r="L2621" t="s">
        <v>8951</v>
      </c>
      <c r="M2621">
        <v>11574</v>
      </c>
      <c r="N2621" t="s">
        <v>8953</v>
      </c>
      <c r="O2621" t="s">
        <v>8954</v>
      </c>
      <c r="P2621" s="1" t="s">
        <v>8955</v>
      </c>
      <c r="Q2621" s="1" t="s">
        <v>8956</v>
      </c>
      <c r="R2621" s="1" t="s">
        <v>8958</v>
      </c>
      <c r="S2621" s="1" t="s">
        <v>8587</v>
      </c>
      <c r="T2621" s="1" t="s">
        <v>11</v>
      </c>
      <c r="U2621" s="1" t="s">
        <v>8588</v>
      </c>
    </row>
    <row r="2622" spans="1:21" x14ac:dyDescent="0.2">
      <c r="A2622" s="88" t="s">
        <v>21498</v>
      </c>
      <c r="B2622" s="88" t="e">
        <f>VLOOKUP(C2622,#REF!,1,0)</f>
        <v>#REF!</v>
      </c>
      <c r="C2622" s="1" t="s">
        <v>8589</v>
      </c>
      <c r="D2622" s="1" t="s">
        <v>8590</v>
      </c>
      <c r="E2622" t="s">
        <v>18502</v>
      </c>
      <c r="F2622" t="s">
        <v>8957</v>
      </c>
      <c r="G2622" t="s">
        <v>9061</v>
      </c>
      <c r="H2622" t="s">
        <v>9100</v>
      </c>
      <c r="I2622" t="s">
        <v>8949</v>
      </c>
      <c r="J2622" s="3" t="s">
        <v>20825</v>
      </c>
      <c r="K2622" s="1" t="s">
        <v>12500</v>
      </c>
      <c r="L2622" t="s">
        <v>8987</v>
      </c>
      <c r="M2622">
        <v>80</v>
      </c>
      <c r="N2622" t="s">
        <v>9059</v>
      </c>
      <c r="O2622" t="s">
        <v>8989</v>
      </c>
      <c r="P2622" s="1" t="s">
        <v>8955</v>
      </c>
      <c r="Q2622" s="1" t="s">
        <v>8956</v>
      </c>
      <c r="R2622" s="1" t="s">
        <v>8958</v>
      </c>
      <c r="S2622" s="1" t="s">
        <v>20445</v>
      </c>
      <c r="T2622" s="1" t="s">
        <v>17</v>
      </c>
      <c r="U2622" s="1" t="s">
        <v>126</v>
      </c>
    </row>
    <row r="2623" spans="1:21" x14ac:dyDescent="0.2">
      <c r="A2623" s="88" t="s">
        <v>18371</v>
      </c>
      <c r="B2623" s="88" t="e">
        <f>VLOOKUP(C2623,#REF!,1,0)</f>
        <v>#REF!</v>
      </c>
      <c r="C2623" s="1" t="s">
        <v>8591</v>
      </c>
      <c r="D2623" s="1" t="s">
        <v>8592</v>
      </c>
      <c r="E2623" t="s">
        <v>9010</v>
      </c>
      <c r="F2623" t="s">
        <v>8957</v>
      </c>
      <c r="G2623" t="s">
        <v>9061</v>
      </c>
      <c r="H2623" t="s">
        <v>20712</v>
      </c>
      <c r="I2623" t="s">
        <v>8998</v>
      </c>
      <c r="J2623" s="3" t="s">
        <v>21501</v>
      </c>
      <c r="K2623" s="1" t="s">
        <v>21786</v>
      </c>
      <c r="L2623" t="s">
        <v>8987</v>
      </c>
      <c r="M2623">
        <v>600</v>
      </c>
      <c r="N2623" t="s">
        <v>8953</v>
      </c>
      <c r="O2623" t="s">
        <v>8954</v>
      </c>
      <c r="P2623" s="1" t="s">
        <v>8955</v>
      </c>
      <c r="Q2623" s="1" t="s">
        <v>8956</v>
      </c>
      <c r="R2623" s="1" t="s">
        <v>8975</v>
      </c>
      <c r="S2623" s="1" t="s">
        <v>8593</v>
      </c>
      <c r="T2623" s="1" t="s">
        <v>17</v>
      </c>
      <c r="U2623" s="1" t="s">
        <v>43</v>
      </c>
    </row>
    <row r="2624" spans="1:21" x14ac:dyDescent="0.2">
      <c r="A2624" s="88" t="s">
        <v>18372</v>
      </c>
      <c r="B2624" s="88" t="e">
        <f>VLOOKUP(C2624,#REF!,1,0)</f>
        <v>#REF!</v>
      </c>
      <c r="C2624" s="1" t="s">
        <v>8594</v>
      </c>
      <c r="D2624" s="1" t="s">
        <v>8595</v>
      </c>
      <c r="E2624" t="s">
        <v>18502</v>
      </c>
      <c r="F2624" t="s">
        <v>8957</v>
      </c>
      <c r="G2624" t="s">
        <v>9061</v>
      </c>
      <c r="H2624" t="s">
        <v>9100</v>
      </c>
      <c r="I2624" t="s">
        <v>8949</v>
      </c>
      <c r="J2624" s="3" t="s">
        <v>20779</v>
      </c>
      <c r="K2624" s="1" t="s">
        <v>9036</v>
      </c>
      <c r="L2624" t="s">
        <v>8987</v>
      </c>
      <c r="M2624">
        <v>66</v>
      </c>
      <c r="N2624" t="s">
        <v>9059</v>
      </c>
      <c r="O2624" t="s">
        <v>8954</v>
      </c>
      <c r="P2624" s="1" t="s">
        <v>8955</v>
      </c>
      <c r="Q2624" s="1" t="s">
        <v>8956</v>
      </c>
      <c r="R2624" s="1" t="s">
        <v>8975</v>
      </c>
      <c r="S2624" s="1" t="s">
        <v>20446</v>
      </c>
      <c r="T2624" s="1" t="s">
        <v>17</v>
      </c>
      <c r="U2624" s="1" t="s">
        <v>1076</v>
      </c>
    </row>
    <row r="2625" spans="1:21" x14ac:dyDescent="0.2">
      <c r="A2625" s="88" t="s">
        <v>18373</v>
      </c>
      <c r="B2625" s="88" t="e">
        <f>VLOOKUP(C2625,#REF!,1,0)</f>
        <v>#REF!</v>
      </c>
      <c r="C2625" s="1" t="s">
        <v>8596</v>
      </c>
      <c r="D2625" s="1" t="s">
        <v>8597</v>
      </c>
      <c r="E2625" t="s">
        <v>9310</v>
      </c>
      <c r="F2625" t="s">
        <v>8957</v>
      </c>
      <c r="G2625" t="s">
        <v>8959</v>
      </c>
      <c r="H2625" t="s">
        <v>8984</v>
      </c>
      <c r="I2625" t="s">
        <v>8971</v>
      </c>
      <c r="J2625" s="3" t="s">
        <v>9036</v>
      </c>
      <c r="K2625" s="1" t="s">
        <v>9036</v>
      </c>
      <c r="L2625" t="s">
        <v>8951</v>
      </c>
      <c r="M2625">
        <v>1640</v>
      </c>
      <c r="N2625" t="s">
        <v>8953</v>
      </c>
      <c r="O2625" t="s">
        <v>8954</v>
      </c>
      <c r="P2625" s="1" t="s">
        <v>8955</v>
      </c>
      <c r="Q2625" s="1" t="s">
        <v>8956</v>
      </c>
      <c r="R2625" s="1" t="s">
        <v>8975</v>
      </c>
      <c r="S2625" s="1" t="s">
        <v>8598</v>
      </c>
      <c r="T2625" s="1" t="s">
        <v>7</v>
      </c>
      <c r="U2625" s="1" t="s">
        <v>27</v>
      </c>
    </row>
    <row r="2626" spans="1:21" x14ac:dyDescent="0.2">
      <c r="A2626" s="88" t="s">
        <v>18374</v>
      </c>
      <c r="B2626" s="88" t="e">
        <f>VLOOKUP(C2626,#REF!,1,0)</f>
        <v>#REF!</v>
      </c>
      <c r="C2626" s="1" t="s">
        <v>8599</v>
      </c>
      <c r="D2626" s="1" t="s">
        <v>8600</v>
      </c>
      <c r="E2626" t="s">
        <v>9310</v>
      </c>
      <c r="F2626" t="s">
        <v>8957</v>
      </c>
      <c r="G2626" t="s">
        <v>8959</v>
      </c>
      <c r="H2626" t="s">
        <v>9092</v>
      </c>
      <c r="I2626" t="s">
        <v>21477</v>
      </c>
      <c r="J2626" s="3" t="s">
        <v>18497</v>
      </c>
      <c r="K2626" s="1" t="s">
        <v>18497</v>
      </c>
      <c r="L2626" t="s">
        <v>9133</v>
      </c>
      <c r="M2626">
        <v>10219</v>
      </c>
      <c r="N2626" t="s">
        <v>8953</v>
      </c>
      <c r="O2626" t="s">
        <v>8989</v>
      </c>
      <c r="P2626" s="1" t="s">
        <v>8955</v>
      </c>
      <c r="Q2626" s="1" t="s">
        <v>8956</v>
      </c>
      <c r="R2626" s="1" t="s">
        <v>8958</v>
      </c>
      <c r="S2626" s="1" t="s">
        <v>20447</v>
      </c>
      <c r="T2626" s="1" t="s">
        <v>7</v>
      </c>
      <c r="U2626" s="1" t="s">
        <v>8601</v>
      </c>
    </row>
    <row r="2627" spans="1:21" x14ac:dyDescent="0.2">
      <c r="A2627" s="88" t="s">
        <v>18375</v>
      </c>
      <c r="B2627" s="88" t="e">
        <f>VLOOKUP(C2627,#REF!,1,0)</f>
        <v>#REF!</v>
      </c>
      <c r="C2627" s="1" t="s">
        <v>8602</v>
      </c>
      <c r="D2627" s="1" t="s">
        <v>8603</v>
      </c>
      <c r="E2627" t="s">
        <v>9010</v>
      </c>
      <c r="F2627" t="s">
        <v>8957</v>
      </c>
      <c r="G2627" t="s">
        <v>8959</v>
      </c>
      <c r="H2627" t="s">
        <v>8948</v>
      </c>
      <c r="I2627" t="s">
        <v>9155</v>
      </c>
      <c r="J2627" s="3" t="s">
        <v>9036</v>
      </c>
      <c r="K2627" s="1" t="s">
        <v>9036</v>
      </c>
      <c r="L2627" t="s">
        <v>21600</v>
      </c>
      <c r="M2627">
        <v>2680</v>
      </c>
      <c r="N2627" t="s">
        <v>8953</v>
      </c>
      <c r="O2627" t="s">
        <v>8989</v>
      </c>
      <c r="P2627" s="1" t="s">
        <v>8955</v>
      </c>
      <c r="Q2627" s="1" t="s">
        <v>8956</v>
      </c>
      <c r="R2627" s="1" t="s">
        <v>8958</v>
      </c>
      <c r="S2627" s="1" t="s">
        <v>8604</v>
      </c>
      <c r="T2627" s="1" t="s">
        <v>924</v>
      </c>
      <c r="U2627" s="1" t="s">
        <v>392</v>
      </c>
    </row>
    <row r="2628" spans="1:21" x14ac:dyDescent="0.2">
      <c r="A2628" s="88" t="s">
        <v>18377</v>
      </c>
      <c r="B2628" s="88" t="e">
        <f>VLOOKUP(C2628,#REF!,1,0)</f>
        <v>#REF!</v>
      </c>
      <c r="C2628" s="1" t="s">
        <v>8606</v>
      </c>
      <c r="D2628" s="1" t="s">
        <v>8607</v>
      </c>
      <c r="E2628" t="s">
        <v>18502</v>
      </c>
      <c r="F2628" t="s">
        <v>8957</v>
      </c>
      <c r="G2628" t="s">
        <v>9061</v>
      </c>
      <c r="H2628" t="s">
        <v>9100</v>
      </c>
      <c r="I2628" t="s">
        <v>8949</v>
      </c>
      <c r="J2628" s="3" t="s">
        <v>21503</v>
      </c>
      <c r="K2628" s="1" t="s">
        <v>14324</v>
      </c>
      <c r="L2628" t="s">
        <v>8987</v>
      </c>
      <c r="M2628">
        <v>900</v>
      </c>
      <c r="N2628" t="s">
        <v>9059</v>
      </c>
      <c r="O2628" t="s">
        <v>8989</v>
      </c>
      <c r="P2628" s="1" t="s">
        <v>8955</v>
      </c>
      <c r="Q2628" s="1" t="s">
        <v>8956</v>
      </c>
      <c r="R2628" s="1" t="s">
        <v>8975</v>
      </c>
      <c r="S2628" s="1" t="s">
        <v>20449</v>
      </c>
      <c r="T2628" s="1" t="s">
        <v>7</v>
      </c>
      <c r="U2628" s="1" t="s">
        <v>8608</v>
      </c>
    </row>
    <row r="2629" spans="1:21" x14ac:dyDescent="0.2">
      <c r="A2629" s="88" t="s">
        <v>18378</v>
      </c>
      <c r="B2629" s="88" t="e">
        <f>VLOOKUP(C2629,#REF!,1,0)</f>
        <v>#REF!</v>
      </c>
      <c r="C2629" s="1" t="s">
        <v>8609</v>
      </c>
      <c r="D2629" s="1" t="s">
        <v>8610</v>
      </c>
      <c r="E2629" t="s">
        <v>9310</v>
      </c>
      <c r="F2629" t="s">
        <v>8959</v>
      </c>
      <c r="G2629" t="s">
        <v>8959</v>
      </c>
      <c r="H2629" t="s">
        <v>9173</v>
      </c>
      <c r="I2629" t="s">
        <v>9174</v>
      </c>
      <c r="J2629" s="3" t="s">
        <v>9036</v>
      </c>
      <c r="K2629" s="1" t="s">
        <v>9036</v>
      </c>
      <c r="L2629" t="s">
        <v>21600</v>
      </c>
      <c r="M2629">
        <v>2600</v>
      </c>
      <c r="N2629" t="s">
        <v>8953</v>
      </c>
      <c r="O2629" t="s">
        <v>8989</v>
      </c>
      <c r="P2629" s="1" t="s">
        <v>8955</v>
      </c>
      <c r="Q2629" s="1" t="s">
        <v>8956</v>
      </c>
      <c r="R2629" s="1" t="s">
        <v>9103</v>
      </c>
      <c r="S2629" s="1" t="s">
        <v>8611</v>
      </c>
      <c r="T2629" s="1" t="s">
        <v>4</v>
      </c>
      <c r="U2629" s="1" t="s">
        <v>2307</v>
      </c>
    </row>
    <row r="2630" spans="1:21" x14ac:dyDescent="0.2">
      <c r="A2630" s="88" t="s">
        <v>18379</v>
      </c>
      <c r="B2630" s="88" t="e">
        <f>VLOOKUP(C2630,#REF!,1,0)</f>
        <v>#REF!</v>
      </c>
      <c r="C2630" s="1" t="s">
        <v>8612</v>
      </c>
      <c r="D2630" s="1" t="s">
        <v>8613</v>
      </c>
      <c r="E2630" t="s">
        <v>18502</v>
      </c>
      <c r="F2630" t="s">
        <v>9060</v>
      </c>
      <c r="G2630" t="s">
        <v>8959</v>
      </c>
      <c r="H2630" t="s">
        <v>9100</v>
      </c>
      <c r="I2630" t="s">
        <v>21478</v>
      </c>
      <c r="J2630" s="3" t="s">
        <v>20813</v>
      </c>
      <c r="K2630" s="1" t="s">
        <v>20770</v>
      </c>
      <c r="L2630" t="s">
        <v>8987</v>
      </c>
      <c r="M2630">
        <v>466</v>
      </c>
      <c r="N2630" t="s">
        <v>9059</v>
      </c>
      <c r="O2630" t="s">
        <v>8989</v>
      </c>
      <c r="P2630" s="1" t="s">
        <v>8955</v>
      </c>
      <c r="Q2630" s="1" t="s">
        <v>8956</v>
      </c>
      <c r="R2630" s="1" t="s">
        <v>8975</v>
      </c>
      <c r="S2630" s="1" t="s">
        <v>20450</v>
      </c>
      <c r="T2630" s="1" t="s">
        <v>17</v>
      </c>
      <c r="U2630" s="1" t="s">
        <v>24</v>
      </c>
    </row>
    <row r="2631" spans="1:21" x14ac:dyDescent="0.2">
      <c r="A2631" s="88">
        <v>1</v>
      </c>
      <c r="B2631" s="88" t="e">
        <f>VLOOKUP(C2631,#REF!,1,0)</f>
        <v>#REF!</v>
      </c>
      <c r="C2631" s="1" t="s">
        <v>8614</v>
      </c>
      <c r="D2631" s="1" t="s">
        <v>8615</v>
      </c>
      <c r="E2631" t="s">
        <v>18502</v>
      </c>
      <c r="F2631" t="s">
        <v>9060</v>
      </c>
      <c r="G2631" t="s">
        <v>8959</v>
      </c>
      <c r="H2631" t="s">
        <v>9100</v>
      </c>
      <c r="I2631" t="s">
        <v>8949</v>
      </c>
      <c r="J2631" s="3" t="s">
        <v>20805</v>
      </c>
      <c r="K2631" s="1" t="s">
        <v>9212</v>
      </c>
      <c r="L2631" t="s">
        <v>8987</v>
      </c>
      <c r="M2631">
        <v>754</v>
      </c>
      <c r="N2631" t="s">
        <v>9059</v>
      </c>
      <c r="O2631" t="s">
        <v>8989</v>
      </c>
      <c r="P2631" s="1" t="s">
        <v>8955</v>
      </c>
      <c r="Q2631" s="1" t="s">
        <v>8956</v>
      </c>
      <c r="R2631" s="1" t="s">
        <v>8958</v>
      </c>
      <c r="S2631" s="1" t="s">
        <v>20451</v>
      </c>
      <c r="T2631" s="1" t="s">
        <v>11</v>
      </c>
      <c r="U2631" s="1"/>
    </row>
    <row r="2632" spans="1:21" x14ac:dyDescent="0.2">
      <c r="A2632" s="88" t="s">
        <v>18380</v>
      </c>
      <c r="B2632" s="88" t="e">
        <f>VLOOKUP(C2632,#REF!,1,0)</f>
        <v>#REF!</v>
      </c>
      <c r="C2632" s="1" t="s">
        <v>8616</v>
      </c>
      <c r="D2632" s="1" t="s">
        <v>8617</v>
      </c>
      <c r="E2632" t="s">
        <v>9310</v>
      </c>
      <c r="F2632" t="s">
        <v>8957</v>
      </c>
      <c r="G2632" t="s">
        <v>8959</v>
      </c>
      <c r="H2632" t="s">
        <v>9075</v>
      </c>
      <c r="I2632" t="s">
        <v>9101</v>
      </c>
      <c r="J2632" s="3" t="s">
        <v>20723</v>
      </c>
      <c r="K2632" s="1" t="s">
        <v>20723</v>
      </c>
      <c r="L2632" t="s">
        <v>9292</v>
      </c>
      <c r="M2632">
        <v>1550</v>
      </c>
      <c r="N2632" t="s">
        <v>8953</v>
      </c>
      <c r="O2632" t="s">
        <v>8989</v>
      </c>
      <c r="P2632" s="1" t="s">
        <v>8955</v>
      </c>
      <c r="Q2632" s="1" t="s">
        <v>8956</v>
      </c>
      <c r="R2632" s="1" t="s">
        <v>8958</v>
      </c>
      <c r="S2632" s="1" t="s">
        <v>20452</v>
      </c>
      <c r="T2632" s="1" t="s">
        <v>17</v>
      </c>
      <c r="U2632" s="1" t="s">
        <v>97</v>
      </c>
    </row>
    <row r="2633" spans="1:21" x14ac:dyDescent="0.2">
      <c r="A2633" s="88" t="s">
        <v>18381</v>
      </c>
      <c r="B2633" s="88" t="e">
        <f>VLOOKUP(C2633,#REF!,1,0)</f>
        <v>#REF!</v>
      </c>
      <c r="C2633" s="1" t="s">
        <v>8618</v>
      </c>
      <c r="D2633" s="1" t="s">
        <v>8619</v>
      </c>
      <c r="E2633" t="s">
        <v>9310</v>
      </c>
      <c r="F2633" t="s">
        <v>8957</v>
      </c>
      <c r="G2633" t="s">
        <v>9061</v>
      </c>
      <c r="H2633" t="s">
        <v>8984</v>
      </c>
      <c r="I2633" t="s">
        <v>8949</v>
      </c>
      <c r="J2633" s="3" t="s">
        <v>20779</v>
      </c>
      <c r="K2633" s="1" t="s">
        <v>9036</v>
      </c>
      <c r="L2633" t="s">
        <v>8987</v>
      </c>
      <c r="M2633">
        <v>383</v>
      </c>
      <c r="N2633" t="s">
        <v>9059</v>
      </c>
      <c r="O2633" t="s">
        <v>8989</v>
      </c>
      <c r="P2633" s="1" t="s">
        <v>8955</v>
      </c>
      <c r="Q2633" s="1" t="s">
        <v>8956</v>
      </c>
      <c r="R2633" s="1" t="s">
        <v>8975</v>
      </c>
      <c r="S2633" s="1" t="s">
        <v>20453</v>
      </c>
      <c r="T2633" s="1" t="s">
        <v>7</v>
      </c>
      <c r="U2633" s="1" t="s">
        <v>180</v>
      </c>
    </row>
    <row r="2634" spans="1:21" x14ac:dyDescent="0.2">
      <c r="A2634" s="88" t="s">
        <v>18382</v>
      </c>
      <c r="B2634" s="88" t="e">
        <f>VLOOKUP(C2634,#REF!,1,0)</f>
        <v>#REF!</v>
      </c>
      <c r="C2634" s="1" t="s">
        <v>8620</v>
      </c>
      <c r="D2634" s="1" t="s">
        <v>8621</v>
      </c>
      <c r="E2634" t="s">
        <v>9310</v>
      </c>
      <c r="F2634" t="s">
        <v>8957</v>
      </c>
      <c r="G2634" t="s">
        <v>8959</v>
      </c>
      <c r="H2634" t="s">
        <v>9943</v>
      </c>
      <c r="I2634" t="s">
        <v>8971</v>
      </c>
      <c r="J2634" s="3" t="s">
        <v>21506</v>
      </c>
      <c r="K2634" s="1" t="s">
        <v>21896</v>
      </c>
      <c r="L2634" t="s">
        <v>21620</v>
      </c>
      <c r="M2634">
        <v>5000</v>
      </c>
      <c r="N2634" t="s">
        <v>8953</v>
      </c>
      <c r="O2634" t="s">
        <v>8989</v>
      </c>
      <c r="P2634" s="1" t="s">
        <v>8955</v>
      </c>
      <c r="Q2634" s="1" t="s">
        <v>8956</v>
      </c>
      <c r="R2634" s="1" t="s">
        <v>9103</v>
      </c>
      <c r="S2634" s="1" t="s">
        <v>8622</v>
      </c>
      <c r="T2634" s="1" t="s">
        <v>17</v>
      </c>
      <c r="U2634" s="1" t="s">
        <v>97</v>
      </c>
    </row>
    <row r="2635" spans="1:21" x14ac:dyDescent="0.2">
      <c r="A2635" s="88" t="s">
        <v>18383</v>
      </c>
      <c r="B2635" s="88" t="e">
        <f>VLOOKUP(C2635,#REF!,1,0)</f>
        <v>#REF!</v>
      </c>
      <c r="C2635" s="1" t="s">
        <v>8623</v>
      </c>
      <c r="D2635" s="1" t="s">
        <v>8624</v>
      </c>
      <c r="E2635" t="s">
        <v>9310</v>
      </c>
      <c r="F2635" t="s">
        <v>8959</v>
      </c>
      <c r="G2635" t="s">
        <v>8959</v>
      </c>
      <c r="H2635" t="s">
        <v>13401</v>
      </c>
      <c r="I2635" t="s">
        <v>9155</v>
      </c>
      <c r="J2635" s="3" t="s">
        <v>9036</v>
      </c>
      <c r="K2635" s="1" t="s">
        <v>9036</v>
      </c>
      <c r="L2635" t="s">
        <v>9076</v>
      </c>
      <c r="M2635">
        <v>1000</v>
      </c>
      <c r="N2635" t="s">
        <v>8953</v>
      </c>
      <c r="O2635" t="s">
        <v>8989</v>
      </c>
      <c r="P2635" s="1" t="s">
        <v>8955</v>
      </c>
      <c r="Q2635" s="1" t="s">
        <v>8956</v>
      </c>
      <c r="R2635" s="1" t="s">
        <v>9103</v>
      </c>
      <c r="S2635" s="1" t="s">
        <v>8625</v>
      </c>
      <c r="T2635" s="1" t="s">
        <v>4</v>
      </c>
      <c r="U2635" s="1" t="s">
        <v>35</v>
      </c>
    </row>
    <row r="2636" spans="1:21" x14ac:dyDescent="0.2">
      <c r="A2636" s="88" t="s">
        <v>18384</v>
      </c>
      <c r="B2636" s="88" t="e">
        <f>VLOOKUP(C2636,#REF!,1,0)</f>
        <v>#REF!</v>
      </c>
      <c r="C2636" s="1" t="s">
        <v>8626</v>
      </c>
      <c r="D2636" s="1" t="s">
        <v>8627</v>
      </c>
      <c r="E2636" t="s">
        <v>18502</v>
      </c>
      <c r="F2636" t="s">
        <v>8957</v>
      </c>
      <c r="G2636" t="s">
        <v>9061</v>
      </c>
      <c r="H2636" t="s">
        <v>9252</v>
      </c>
      <c r="I2636" t="s">
        <v>8949</v>
      </c>
      <c r="J2636" s="3" t="s">
        <v>21193</v>
      </c>
      <c r="K2636" s="1" t="s">
        <v>10492</v>
      </c>
      <c r="L2636" t="s">
        <v>21600</v>
      </c>
      <c r="M2636">
        <v>314</v>
      </c>
      <c r="N2636" t="s">
        <v>9059</v>
      </c>
      <c r="O2636" t="s">
        <v>8954</v>
      </c>
      <c r="P2636" s="1" t="s">
        <v>8955</v>
      </c>
      <c r="Q2636" s="1" t="s">
        <v>8956</v>
      </c>
      <c r="R2636" s="1" t="s">
        <v>8975</v>
      </c>
      <c r="S2636" s="1" t="s">
        <v>20454</v>
      </c>
      <c r="T2636" s="1" t="s">
        <v>17</v>
      </c>
      <c r="U2636" s="1" t="s">
        <v>562</v>
      </c>
    </row>
    <row r="2637" spans="1:21" x14ac:dyDescent="0.2">
      <c r="A2637" s="88" t="s">
        <v>18385</v>
      </c>
      <c r="B2637" s="88" t="e">
        <f>VLOOKUP(C2637,#REF!,1,0)</f>
        <v>#REF!</v>
      </c>
      <c r="C2637" s="1" t="s">
        <v>8628</v>
      </c>
      <c r="D2637" s="1" t="s">
        <v>8629</v>
      </c>
      <c r="E2637" t="s">
        <v>9310</v>
      </c>
      <c r="F2637" t="s">
        <v>9060</v>
      </c>
      <c r="G2637" t="s">
        <v>8959</v>
      </c>
      <c r="H2637" t="s">
        <v>20714</v>
      </c>
      <c r="I2637" t="s">
        <v>8949</v>
      </c>
      <c r="J2637" s="3" t="s">
        <v>20811</v>
      </c>
      <c r="K2637" s="1" t="s">
        <v>13923</v>
      </c>
      <c r="L2637" t="s">
        <v>9076</v>
      </c>
      <c r="M2637">
        <v>2100</v>
      </c>
      <c r="N2637" t="s">
        <v>8953</v>
      </c>
      <c r="O2637" t="s">
        <v>8954</v>
      </c>
      <c r="P2637" s="1" t="s">
        <v>8955</v>
      </c>
      <c r="Q2637" s="1" t="s">
        <v>8956</v>
      </c>
      <c r="R2637" s="1" t="s">
        <v>8975</v>
      </c>
      <c r="S2637" s="1" t="s">
        <v>20455</v>
      </c>
      <c r="T2637" s="1" t="s">
        <v>7</v>
      </c>
      <c r="U2637" s="1" t="s">
        <v>342</v>
      </c>
    </row>
    <row r="2638" spans="1:21" x14ac:dyDescent="0.2">
      <c r="A2638" s="88" t="s">
        <v>18386</v>
      </c>
      <c r="B2638" s="88" t="e">
        <f>VLOOKUP(C2638,#REF!,1,0)</f>
        <v>#REF!</v>
      </c>
      <c r="C2638" s="1" t="s">
        <v>21509</v>
      </c>
      <c r="D2638" s="1" t="s">
        <v>8630</v>
      </c>
      <c r="E2638" t="s">
        <v>18502</v>
      </c>
      <c r="F2638" t="e">
        <v>#N/A</v>
      </c>
      <c r="G2638" t="s">
        <v>9061</v>
      </c>
      <c r="H2638" t="s">
        <v>9075</v>
      </c>
      <c r="I2638" t="s">
        <v>8971</v>
      </c>
      <c r="J2638" s="3" t="s">
        <v>21510</v>
      </c>
      <c r="K2638" s="1" t="s">
        <v>21911</v>
      </c>
      <c r="L2638" t="s">
        <v>9292</v>
      </c>
      <c r="M2638">
        <v>23</v>
      </c>
      <c r="N2638" t="s">
        <v>9059</v>
      </c>
      <c r="O2638" t="s">
        <v>8989</v>
      </c>
      <c r="P2638" s="1" t="s">
        <v>8955</v>
      </c>
      <c r="Q2638" s="1" t="s">
        <v>8956</v>
      </c>
      <c r="R2638" s="1" t="s">
        <v>8975</v>
      </c>
      <c r="S2638" s="1" t="s">
        <v>20456</v>
      </c>
      <c r="T2638" s="1" t="s">
        <v>7</v>
      </c>
      <c r="U2638" s="1" t="s">
        <v>378</v>
      </c>
    </row>
    <row r="2639" spans="1:21" x14ac:dyDescent="0.2">
      <c r="A2639" s="88" t="s">
        <v>18387</v>
      </c>
      <c r="B2639" s="88" t="e">
        <f>VLOOKUP(C2639,#REF!,1,0)</f>
        <v>#REF!</v>
      </c>
      <c r="C2639" s="1" t="s">
        <v>8631</v>
      </c>
      <c r="D2639" s="1" t="s">
        <v>8632</v>
      </c>
      <c r="E2639" t="s">
        <v>9310</v>
      </c>
      <c r="F2639" t="s">
        <v>8957</v>
      </c>
      <c r="G2639" t="s">
        <v>8959</v>
      </c>
      <c r="H2639" t="s">
        <v>9100</v>
      </c>
      <c r="I2639" t="s">
        <v>8949</v>
      </c>
      <c r="J2639" s="3" t="s">
        <v>21193</v>
      </c>
      <c r="K2639" s="1" t="s">
        <v>10492</v>
      </c>
      <c r="L2639" t="s">
        <v>21600</v>
      </c>
      <c r="M2639">
        <v>229</v>
      </c>
      <c r="N2639" t="s">
        <v>9059</v>
      </c>
      <c r="O2639" s="115" t="s">
        <v>8989</v>
      </c>
      <c r="P2639" s="1" t="s">
        <v>8955</v>
      </c>
      <c r="Q2639" s="1" t="s">
        <v>8956</v>
      </c>
      <c r="R2639" s="1" t="s">
        <v>8958</v>
      </c>
      <c r="S2639" s="1" t="s">
        <v>20457</v>
      </c>
      <c r="T2639" s="1" t="s">
        <v>7</v>
      </c>
      <c r="U2639" s="1" t="s">
        <v>27</v>
      </c>
    </row>
    <row r="2640" spans="1:21" x14ac:dyDescent="0.2">
      <c r="A2640" s="88" t="s">
        <v>18388</v>
      </c>
      <c r="B2640" s="88" t="e">
        <f>VLOOKUP(C2640,#REF!,1,0)</f>
        <v>#REF!</v>
      </c>
      <c r="C2640" s="1" t="s">
        <v>8633</v>
      </c>
      <c r="D2640" s="1" t="s">
        <v>8634</v>
      </c>
      <c r="E2640" t="s">
        <v>9310</v>
      </c>
      <c r="F2640" t="s">
        <v>8957</v>
      </c>
      <c r="G2640" t="s">
        <v>8959</v>
      </c>
      <c r="H2640" t="s">
        <v>9100</v>
      </c>
      <c r="I2640" t="s">
        <v>8949</v>
      </c>
      <c r="J2640" s="3" t="s">
        <v>20779</v>
      </c>
      <c r="K2640" s="1" t="s">
        <v>9036</v>
      </c>
      <c r="L2640" t="s">
        <v>9076</v>
      </c>
      <c r="M2640">
        <v>15</v>
      </c>
      <c r="N2640" t="s">
        <v>9059</v>
      </c>
      <c r="O2640" t="s">
        <v>8989</v>
      </c>
      <c r="P2640" s="1" t="s">
        <v>8955</v>
      </c>
      <c r="Q2640" s="1" t="s">
        <v>8956</v>
      </c>
      <c r="R2640" s="1" t="s">
        <v>8958</v>
      </c>
      <c r="S2640" s="1" t="s">
        <v>20458</v>
      </c>
      <c r="T2640" s="1" t="s">
        <v>17</v>
      </c>
      <c r="U2640" s="1" t="s">
        <v>21</v>
      </c>
    </row>
    <row r="2641" spans="1:21" x14ac:dyDescent="0.2">
      <c r="A2641" s="88" t="s">
        <v>18389</v>
      </c>
      <c r="B2641" s="88" t="e">
        <f>VLOOKUP(C2641,#REF!,1,0)</f>
        <v>#REF!</v>
      </c>
      <c r="C2641" s="1" t="s">
        <v>8635</v>
      </c>
      <c r="D2641" s="1" t="s">
        <v>8636</v>
      </c>
      <c r="E2641" s="1" t="s">
        <v>9010</v>
      </c>
      <c r="F2641" s="1" t="s">
        <v>8974</v>
      </c>
      <c r="G2641" t="s">
        <v>8959</v>
      </c>
      <c r="H2641" s="1" t="s">
        <v>9092</v>
      </c>
      <c r="I2641" s="1" t="s">
        <v>8998</v>
      </c>
      <c r="J2641" s="2" t="s">
        <v>9036</v>
      </c>
      <c r="K2641" s="1" t="s">
        <v>9036</v>
      </c>
      <c r="L2641" s="1" t="s">
        <v>9076</v>
      </c>
      <c r="M2641" s="1">
        <v>2000</v>
      </c>
      <c r="N2641" s="1" t="s">
        <v>8953</v>
      </c>
      <c r="O2641" s="1" t="s">
        <v>8989</v>
      </c>
      <c r="P2641" s="1" t="s">
        <v>8955</v>
      </c>
      <c r="Q2641" s="1" t="s">
        <v>8956</v>
      </c>
      <c r="R2641" s="1" t="s">
        <v>9103</v>
      </c>
      <c r="S2641" s="1" t="s">
        <v>8637</v>
      </c>
      <c r="T2641" s="1" t="s">
        <v>11</v>
      </c>
      <c r="U2641" s="1" t="s">
        <v>61</v>
      </c>
    </row>
    <row r="2642" spans="1:21" x14ac:dyDescent="0.2">
      <c r="A2642" s="88" t="s">
        <v>18390</v>
      </c>
      <c r="B2642" s="88" t="e">
        <f>VLOOKUP(C2642,#REF!,1,0)</f>
        <v>#REF!</v>
      </c>
      <c r="C2642" s="1" t="s">
        <v>8638</v>
      </c>
      <c r="D2642" s="1" t="s">
        <v>8639</v>
      </c>
      <c r="E2642" s="1" t="s">
        <v>9010</v>
      </c>
      <c r="F2642" s="1" t="s">
        <v>8957</v>
      </c>
      <c r="G2642" t="s">
        <v>9183</v>
      </c>
      <c r="H2642" s="1" t="s">
        <v>9092</v>
      </c>
      <c r="I2642" s="1" t="s">
        <v>9121</v>
      </c>
      <c r="J2642" s="2" t="s">
        <v>21591</v>
      </c>
      <c r="K2642" s="1" t="s">
        <v>21591</v>
      </c>
      <c r="L2642" s="1" t="s">
        <v>8951</v>
      </c>
      <c r="M2642" s="1">
        <v>265</v>
      </c>
      <c r="N2642" s="1" t="s">
        <v>9059</v>
      </c>
      <c r="O2642" s="1" t="s">
        <v>8989</v>
      </c>
      <c r="P2642" s="1" t="s">
        <v>8955</v>
      </c>
      <c r="Q2642" s="1" t="s">
        <v>8956</v>
      </c>
      <c r="R2642" s="1" t="s">
        <v>9103</v>
      </c>
      <c r="S2642" s="1" t="s">
        <v>8640</v>
      </c>
      <c r="T2642" s="1" t="s">
        <v>11</v>
      </c>
      <c r="U2642" s="1" t="s">
        <v>24</v>
      </c>
    </row>
    <row r="2643" spans="1:21" x14ac:dyDescent="0.2">
      <c r="A2643" s="88" t="s">
        <v>18391</v>
      </c>
      <c r="B2643" s="88" t="e">
        <f>VLOOKUP(C2643,#REF!,1,0)</f>
        <v>#REF!</v>
      </c>
      <c r="C2643" t="s">
        <v>8641</v>
      </c>
      <c r="D2643" t="s">
        <v>8642</v>
      </c>
      <c r="E2643" s="8" t="s">
        <v>9310</v>
      </c>
      <c r="F2643" s="8" t="s">
        <v>8957</v>
      </c>
      <c r="G2643" s="8" t="s">
        <v>8959</v>
      </c>
      <c r="H2643" s="8" t="s">
        <v>8984</v>
      </c>
      <c r="I2643" s="8" t="s">
        <v>8998</v>
      </c>
      <c r="J2643" s="138" t="s">
        <v>21263</v>
      </c>
      <c r="K2643" s="1" t="s">
        <v>21756</v>
      </c>
      <c r="L2643" s="8" t="s">
        <v>8951</v>
      </c>
      <c r="M2643" s="8">
        <v>2890</v>
      </c>
      <c r="N2643" s="8" t="s">
        <v>8953</v>
      </c>
      <c r="O2643" s="91" t="s">
        <v>8989</v>
      </c>
      <c r="P2643" s="1" t="s">
        <v>8955</v>
      </c>
      <c r="Q2643" s="1" t="s">
        <v>8956</v>
      </c>
      <c r="R2643" s="1" t="s">
        <v>9103</v>
      </c>
      <c r="S2643" s="1" t="s">
        <v>20459</v>
      </c>
      <c r="T2643" s="1" t="s">
        <v>7</v>
      </c>
      <c r="U2643" s="1" t="s">
        <v>46</v>
      </c>
    </row>
    <row r="2644" spans="1:21" x14ac:dyDescent="0.2">
      <c r="A2644" s="88" t="s">
        <v>18392</v>
      </c>
      <c r="B2644" s="88" t="e">
        <f>VLOOKUP(C2644,#REF!,1,0)</f>
        <v>#REF!</v>
      </c>
      <c r="C2644" t="s">
        <v>8643</v>
      </c>
      <c r="D2644" t="s">
        <v>8644</v>
      </c>
      <c r="E2644" s="8" t="s">
        <v>9310</v>
      </c>
      <c r="F2644" s="8" t="s">
        <v>8957</v>
      </c>
      <c r="G2644" s="8" t="s">
        <v>9061</v>
      </c>
      <c r="H2644" s="8" t="s">
        <v>9100</v>
      </c>
      <c r="I2644" s="8" t="s">
        <v>8998</v>
      </c>
      <c r="J2644" s="138" t="s">
        <v>9270</v>
      </c>
      <c r="K2644" s="1" t="s">
        <v>9270</v>
      </c>
      <c r="L2644" s="8" t="s">
        <v>9076</v>
      </c>
      <c r="M2644" s="8">
        <v>3059</v>
      </c>
      <c r="N2644" s="8" t="s">
        <v>8953</v>
      </c>
      <c r="O2644" s="8" t="s">
        <v>8954</v>
      </c>
      <c r="P2644" s="1" t="s">
        <v>8955</v>
      </c>
      <c r="Q2644" s="1" t="s">
        <v>8956</v>
      </c>
      <c r="R2644" s="1" t="s">
        <v>8958</v>
      </c>
      <c r="S2644" s="1" t="s">
        <v>8645</v>
      </c>
      <c r="T2644" s="1" t="s">
        <v>11</v>
      </c>
      <c r="U2644" s="1" t="s">
        <v>61</v>
      </c>
    </row>
    <row r="2645" spans="1:21" x14ac:dyDescent="0.2">
      <c r="A2645" s="88" t="s">
        <v>18393</v>
      </c>
      <c r="B2645" s="88" t="e">
        <f>VLOOKUP(C2645,#REF!,1,0)</f>
        <v>#REF!</v>
      </c>
      <c r="C2645" t="s">
        <v>8649</v>
      </c>
      <c r="D2645" t="s">
        <v>8650</v>
      </c>
      <c r="E2645" s="8" t="s">
        <v>9310</v>
      </c>
      <c r="F2645" s="8" t="s">
        <v>8957</v>
      </c>
      <c r="G2645" s="8" t="s">
        <v>8959</v>
      </c>
      <c r="H2645" s="8" t="s">
        <v>20712</v>
      </c>
      <c r="I2645" s="8" t="s">
        <v>9155</v>
      </c>
      <c r="J2645" s="138" t="s">
        <v>10492</v>
      </c>
      <c r="K2645" s="1" t="s">
        <v>21645</v>
      </c>
      <c r="L2645" s="8" t="s">
        <v>21600</v>
      </c>
      <c r="M2645" s="8">
        <v>5340</v>
      </c>
      <c r="N2645" s="8" t="s">
        <v>8953</v>
      </c>
      <c r="O2645" s="8" t="s">
        <v>8954</v>
      </c>
      <c r="P2645" s="1" t="s">
        <v>8955</v>
      </c>
      <c r="Q2645" s="1" t="s">
        <v>8956</v>
      </c>
      <c r="R2645" s="1" t="s">
        <v>9103</v>
      </c>
      <c r="S2645" s="1" t="s">
        <v>20461</v>
      </c>
      <c r="T2645" s="1" t="s">
        <v>7</v>
      </c>
      <c r="U2645" s="1" t="s">
        <v>184</v>
      </c>
    </row>
    <row r="2646" spans="1:21" x14ac:dyDescent="0.2">
      <c r="A2646" s="88" t="s">
        <v>18395</v>
      </c>
      <c r="B2646" s="88" t="e">
        <f>VLOOKUP(C2646,#REF!,1,0)</f>
        <v>#REF!</v>
      </c>
      <c r="C2646" t="s">
        <v>8653</v>
      </c>
      <c r="D2646" t="s">
        <v>8654</v>
      </c>
      <c r="E2646" s="8" t="s">
        <v>9010</v>
      </c>
      <c r="F2646" s="8" t="s">
        <v>8957</v>
      </c>
      <c r="G2646" s="8" t="s">
        <v>8959</v>
      </c>
      <c r="H2646" s="8" t="s">
        <v>8948</v>
      </c>
      <c r="I2646" s="8" t="s">
        <v>8949</v>
      </c>
      <c r="J2646" s="138" t="s">
        <v>9036</v>
      </c>
      <c r="K2646" s="1" t="s">
        <v>9036</v>
      </c>
      <c r="L2646" s="8" t="s">
        <v>21600</v>
      </c>
      <c r="M2646" s="8">
        <v>10000</v>
      </c>
      <c r="N2646" s="8" t="s">
        <v>8953</v>
      </c>
      <c r="O2646" s="8" t="s">
        <v>8954</v>
      </c>
      <c r="P2646" s="1" t="s">
        <v>8955</v>
      </c>
      <c r="Q2646" s="1" t="s">
        <v>8956</v>
      </c>
      <c r="R2646" s="1" t="s">
        <v>8958</v>
      </c>
      <c r="S2646" s="1" t="s">
        <v>8655</v>
      </c>
      <c r="T2646" s="1" t="s">
        <v>11</v>
      </c>
      <c r="U2646" s="1" t="s">
        <v>392</v>
      </c>
    </row>
    <row r="2647" spans="1:21" x14ac:dyDescent="0.2">
      <c r="A2647" s="88" t="s">
        <v>18396</v>
      </c>
      <c r="B2647" s="88" t="e">
        <f>VLOOKUP(C2647,#REF!,1,0)</f>
        <v>#REF!</v>
      </c>
      <c r="C2647" t="s">
        <v>8656</v>
      </c>
      <c r="D2647" t="s">
        <v>8657</v>
      </c>
      <c r="E2647" s="8" t="s">
        <v>18502</v>
      </c>
      <c r="F2647" s="8" t="s">
        <v>8957</v>
      </c>
      <c r="G2647" s="8" t="s">
        <v>9061</v>
      </c>
      <c r="H2647" s="8" t="s">
        <v>9075</v>
      </c>
      <c r="I2647" s="8" t="s">
        <v>8949</v>
      </c>
      <c r="J2647" s="138" t="s">
        <v>20805</v>
      </c>
      <c r="K2647" s="1" t="s">
        <v>10607</v>
      </c>
      <c r="L2647" s="8" t="s">
        <v>21600</v>
      </c>
      <c r="M2647" s="8">
        <v>600</v>
      </c>
      <c r="N2647" s="8" t="s">
        <v>8953</v>
      </c>
      <c r="O2647" s="8" t="s">
        <v>8989</v>
      </c>
      <c r="P2647" s="1" t="s">
        <v>8955</v>
      </c>
      <c r="Q2647" s="1" t="s">
        <v>8956</v>
      </c>
      <c r="R2647" s="1" t="s">
        <v>8958</v>
      </c>
      <c r="S2647" s="1" t="s">
        <v>20463</v>
      </c>
      <c r="T2647" s="1" t="s">
        <v>7</v>
      </c>
      <c r="U2647" s="1" t="s">
        <v>24</v>
      </c>
    </row>
    <row r="2648" spans="1:21" x14ac:dyDescent="0.2">
      <c r="A2648" s="88" t="s">
        <v>18397</v>
      </c>
      <c r="B2648" s="88" t="e">
        <f>VLOOKUP(C2648,#REF!,1,0)</f>
        <v>#REF!</v>
      </c>
      <c r="C2648" t="s">
        <v>8658</v>
      </c>
      <c r="D2648" t="s">
        <v>8659</v>
      </c>
      <c r="E2648" s="8" t="s">
        <v>10850</v>
      </c>
      <c r="F2648" s="8" t="s">
        <v>9060</v>
      </c>
      <c r="G2648" s="8" t="s">
        <v>8959</v>
      </c>
      <c r="H2648" s="8" t="s">
        <v>9049</v>
      </c>
      <c r="I2648" s="8" t="s">
        <v>9155</v>
      </c>
      <c r="J2648" s="138" t="s">
        <v>9051</v>
      </c>
      <c r="K2648" s="1" t="s">
        <v>9051</v>
      </c>
      <c r="L2648" s="8" t="s">
        <v>9133</v>
      </c>
      <c r="M2648" s="8">
        <v>10</v>
      </c>
      <c r="N2648" s="8" t="s">
        <v>8953</v>
      </c>
      <c r="O2648" s="8" t="s">
        <v>8954</v>
      </c>
      <c r="P2648" s="1" t="s">
        <v>8955</v>
      </c>
      <c r="Q2648" s="1" t="s">
        <v>8956</v>
      </c>
      <c r="R2648" s="1" t="s">
        <v>8958</v>
      </c>
      <c r="S2648" s="1" t="s">
        <v>8660</v>
      </c>
      <c r="T2648" s="1" t="s">
        <v>11</v>
      </c>
      <c r="U2648" s="1" t="s">
        <v>126</v>
      </c>
    </row>
    <row r="2649" spans="1:21" x14ac:dyDescent="0.2">
      <c r="A2649" s="88" t="s">
        <v>18399</v>
      </c>
      <c r="B2649" s="88" t="e">
        <f>VLOOKUP(C2649,#REF!,1,0)</f>
        <v>#REF!</v>
      </c>
      <c r="C2649" t="s">
        <v>21624</v>
      </c>
      <c r="D2649" t="s">
        <v>8663</v>
      </c>
      <c r="E2649" s="8" t="s">
        <v>9310</v>
      </c>
      <c r="F2649" s="8" t="s">
        <v>8974</v>
      </c>
      <c r="G2649" s="8" t="s">
        <v>9061</v>
      </c>
      <c r="H2649" s="8" t="s">
        <v>8948</v>
      </c>
      <c r="I2649" s="8" t="s">
        <v>9725</v>
      </c>
      <c r="J2649" s="138" t="s">
        <v>18491</v>
      </c>
      <c r="K2649" s="1" t="s">
        <v>9386</v>
      </c>
      <c r="L2649" s="8" t="s">
        <v>9076</v>
      </c>
      <c r="M2649" s="8">
        <v>109</v>
      </c>
      <c r="N2649" s="8" t="s">
        <v>9059</v>
      </c>
      <c r="O2649" s="8" t="s">
        <v>8989</v>
      </c>
      <c r="P2649" s="1" t="s">
        <v>8955</v>
      </c>
      <c r="Q2649" s="1" t="s">
        <v>8956</v>
      </c>
      <c r="R2649" s="1" t="s">
        <v>8975</v>
      </c>
      <c r="S2649" s="1" t="s">
        <v>20465</v>
      </c>
      <c r="T2649" s="1" t="s">
        <v>7</v>
      </c>
      <c r="U2649" s="1" t="s">
        <v>110</v>
      </c>
    </row>
    <row r="2650" spans="1:21" x14ac:dyDescent="0.2">
      <c r="A2650" s="88" t="s">
        <v>18400</v>
      </c>
      <c r="B2650" s="88" t="e">
        <f>VLOOKUP(C2650,#REF!,1,0)</f>
        <v>#REF!</v>
      </c>
      <c r="C2650" t="s">
        <v>8664</v>
      </c>
      <c r="D2650" t="s">
        <v>8665</v>
      </c>
      <c r="E2650" s="8" t="s">
        <v>9310</v>
      </c>
      <c r="F2650" s="8" t="s">
        <v>8959</v>
      </c>
      <c r="G2650" s="8" t="s">
        <v>8959</v>
      </c>
      <c r="H2650" s="8" t="s">
        <v>20712</v>
      </c>
      <c r="I2650" s="8" t="s">
        <v>20800</v>
      </c>
      <c r="J2650" s="138" t="s">
        <v>10492</v>
      </c>
      <c r="K2650" s="1" t="s">
        <v>10492</v>
      </c>
      <c r="L2650" s="8" t="s">
        <v>21600</v>
      </c>
      <c r="M2650" s="8">
        <v>378</v>
      </c>
      <c r="N2650" s="8" t="s">
        <v>8953</v>
      </c>
      <c r="O2650" s="8" t="s">
        <v>8954</v>
      </c>
      <c r="P2650" s="1" t="s">
        <v>8955</v>
      </c>
      <c r="Q2650" s="1" t="s">
        <v>8956</v>
      </c>
      <c r="R2650" s="1" t="s">
        <v>9103</v>
      </c>
      <c r="S2650" s="1" t="s">
        <v>20466</v>
      </c>
      <c r="T2650" s="1" t="s">
        <v>7</v>
      </c>
      <c r="U2650" s="1" t="s">
        <v>2785</v>
      </c>
    </row>
    <row r="2651" spans="1:21" x14ac:dyDescent="0.2">
      <c r="A2651" s="88" t="s">
        <v>18401</v>
      </c>
      <c r="B2651" s="88" t="e">
        <f>VLOOKUP(C2651,#REF!,1,0)</f>
        <v>#REF!</v>
      </c>
      <c r="C2651" t="s">
        <v>8666</v>
      </c>
      <c r="D2651" t="s">
        <v>8667</v>
      </c>
      <c r="E2651" s="8" t="s">
        <v>18502</v>
      </c>
      <c r="F2651" s="8" t="s">
        <v>8957</v>
      </c>
      <c r="G2651" s="8" t="s">
        <v>9009</v>
      </c>
      <c r="H2651" s="8" t="s">
        <v>20712</v>
      </c>
      <c r="I2651" s="8" t="s">
        <v>9155</v>
      </c>
      <c r="J2651" s="138" t="s">
        <v>10525</v>
      </c>
      <c r="K2651" s="1" t="s">
        <v>10525</v>
      </c>
      <c r="L2651" s="8" t="s">
        <v>9133</v>
      </c>
      <c r="M2651" s="8">
        <v>14896</v>
      </c>
      <c r="N2651" s="8" t="s">
        <v>9059</v>
      </c>
      <c r="O2651" s="8" t="s">
        <v>8954</v>
      </c>
      <c r="P2651" s="1" t="s">
        <v>8955</v>
      </c>
      <c r="Q2651" s="1" t="s">
        <v>8956</v>
      </c>
      <c r="R2651" s="1" t="s">
        <v>9103</v>
      </c>
      <c r="S2651" s="1" t="s">
        <v>20467</v>
      </c>
      <c r="T2651" s="1" t="s">
        <v>7</v>
      </c>
      <c r="U2651" s="1" t="s">
        <v>580</v>
      </c>
    </row>
    <row r="2652" spans="1:21" x14ac:dyDescent="0.2">
      <c r="A2652" s="88" t="s">
        <v>21140</v>
      </c>
      <c r="B2652" s="88" t="e">
        <f>VLOOKUP(C2652,#REF!,1,0)</f>
        <v>#REF!</v>
      </c>
      <c r="C2652" t="s">
        <v>21138</v>
      </c>
      <c r="D2652" t="s">
        <v>21139</v>
      </c>
      <c r="E2652" s="8" t="s">
        <v>9317</v>
      </c>
      <c r="F2652" s="8" t="s">
        <v>8957</v>
      </c>
      <c r="G2652" s="8" t="s">
        <v>9009</v>
      </c>
      <c r="H2652" s="8" t="s">
        <v>20712</v>
      </c>
      <c r="I2652" s="8" t="s">
        <v>9101</v>
      </c>
      <c r="J2652" s="138" t="s">
        <v>10492</v>
      </c>
      <c r="K2652" s="1" t="s">
        <v>10492</v>
      </c>
      <c r="L2652" s="8" t="s">
        <v>9076</v>
      </c>
      <c r="M2652" s="8">
        <v>278656</v>
      </c>
      <c r="N2652" s="8" t="s">
        <v>8953</v>
      </c>
      <c r="O2652" s="8" t="s">
        <v>8989</v>
      </c>
      <c r="P2652" s="1" t="s">
        <v>8955</v>
      </c>
      <c r="Q2652" s="1" t="s">
        <v>8956</v>
      </c>
      <c r="R2652" s="1" t="s">
        <v>8975</v>
      </c>
      <c r="S2652" s="1" t="s">
        <v>20469</v>
      </c>
      <c r="T2652" s="1" t="s">
        <v>7</v>
      </c>
      <c r="U2652" s="1" t="s">
        <v>1462</v>
      </c>
    </row>
    <row r="2653" spans="1:21" x14ac:dyDescent="0.2">
      <c r="A2653" s="88" t="s">
        <v>18403</v>
      </c>
      <c r="B2653" s="88" t="e">
        <f>VLOOKUP(C2653,#REF!,1,0)</f>
        <v>#REF!</v>
      </c>
      <c r="C2653" t="s">
        <v>8670</v>
      </c>
      <c r="D2653" t="s">
        <v>8671</v>
      </c>
      <c r="E2653" s="8" t="s">
        <v>9310</v>
      </c>
      <c r="F2653" s="8" t="s">
        <v>8957</v>
      </c>
      <c r="G2653" s="8" t="s">
        <v>9183</v>
      </c>
      <c r="H2653" s="8" t="s">
        <v>9173</v>
      </c>
      <c r="I2653" s="8" t="s">
        <v>9174</v>
      </c>
      <c r="J2653" s="138" t="s">
        <v>21304</v>
      </c>
      <c r="K2653" s="1" t="s">
        <v>21749</v>
      </c>
      <c r="L2653" s="8" t="s">
        <v>9292</v>
      </c>
      <c r="M2653" s="8">
        <v>8021</v>
      </c>
      <c r="N2653" s="8" t="s">
        <v>8953</v>
      </c>
      <c r="O2653" s="8" t="s">
        <v>8989</v>
      </c>
      <c r="P2653" s="1" t="s">
        <v>8955</v>
      </c>
      <c r="Q2653" s="1" t="s">
        <v>8956</v>
      </c>
      <c r="R2653" s="1" t="s">
        <v>8975</v>
      </c>
      <c r="S2653" s="1" t="s">
        <v>20470</v>
      </c>
      <c r="T2653" s="1" t="s">
        <v>7</v>
      </c>
      <c r="U2653" s="1" t="s">
        <v>8672</v>
      </c>
    </row>
    <row r="2654" spans="1:21" x14ac:dyDescent="0.2">
      <c r="A2654" s="88" t="s">
        <v>18404</v>
      </c>
      <c r="B2654" s="88" t="e">
        <f>VLOOKUP(C2654,#REF!,1,0)</f>
        <v>#REF!</v>
      </c>
      <c r="C2654" t="s">
        <v>8673</v>
      </c>
      <c r="D2654" t="s">
        <v>8674</v>
      </c>
      <c r="E2654" s="8" t="s">
        <v>18502</v>
      </c>
      <c r="F2654" s="8" t="s">
        <v>8959</v>
      </c>
      <c r="G2654" s="8" t="s">
        <v>9061</v>
      </c>
      <c r="H2654" s="8" t="s">
        <v>9035</v>
      </c>
      <c r="I2654" s="8" t="s">
        <v>8998</v>
      </c>
      <c r="J2654" s="138" t="s">
        <v>9036</v>
      </c>
      <c r="K2654" s="1" t="s">
        <v>9036</v>
      </c>
      <c r="L2654" s="8" t="s">
        <v>8951</v>
      </c>
      <c r="M2654" s="8">
        <v>1200</v>
      </c>
      <c r="N2654" s="8" t="s">
        <v>8953</v>
      </c>
      <c r="O2654" s="8" t="s">
        <v>8989</v>
      </c>
      <c r="P2654" s="1" t="s">
        <v>8955</v>
      </c>
      <c r="Q2654" s="1" t="s">
        <v>8956</v>
      </c>
      <c r="R2654" s="1" t="s">
        <v>9103</v>
      </c>
      <c r="S2654" s="1" t="s">
        <v>20471</v>
      </c>
      <c r="T2654" s="1" t="s">
        <v>17</v>
      </c>
      <c r="U2654" s="1" t="s">
        <v>93</v>
      </c>
    </row>
    <row r="2655" spans="1:21" x14ac:dyDescent="0.2">
      <c r="A2655" s="88" t="s">
        <v>18405</v>
      </c>
      <c r="B2655" s="88" t="e">
        <f>VLOOKUP(C2655,#REF!,1,0)</f>
        <v>#REF!</v>
      </c>
      <c r="C2655" t="s">
        <v>8675</v>
      </c>
      <c r="D2655" t="s">
        <v>8676</v>
      </c>
      <c r="E2655" s="8" t="s">
        <v>18502</v>
      </c>
      <c r="F2655" s="8" t="s">
        <v>8957</v>
      </c>
      <c r="G2655" s="8" t="s">
        <v>9061</v>
      </c>
      <c r="H2655" s="8" t="s">
        <v>9075</v>
      </c>
      <c r="I2655" s="8" t="s">
        <v>9155</v>
      </c>
      <c r="J2655" s="138" t="s">
        <v>10525</v>
      </c>
      <c r="K2655" s="1" t="s">
        <v>10525</v>
      </c>
      <c r="L2655" s="8" t="s">
        <v>9076</v>
      </c>
      <c r="M2655" s="8">
        <v>1000</v>
      </c>
      <c r="N2655" s="8" t="s">
        <v>8953</v>
      </c>
      <c r="O2655" s="8" t="s">
        <v>8989</v>
      </c>
      <c r="P2655" s="1" t="s">
        <v>8955</v>
      </c>
      <c r="Q2655" s="1" t="s">
        <v>8956</v>
      </c>
      <c r="R2655" s="1" t="s">
        <v>8958</v>
      </c>
      <c r="S2655" s="1" t="s">
        <v>20472</v>
      </c>
      <c r="T2655" s="1" t="s">
        <v>17</v>
      </c>
      <c r="U2655" s="1" t="s">
        <v>1780</v>
      </c>
    </row>
    <row r="2656" spans="1:21" x14ac:dyDescent="0.2">
      <c r="A2656" s="88" t="s">
        <v>18406</v>
      </c>
      <c r="B2656" s="88" t="e">
        <f>VLOOKUP(C2656,#REF!,1,0)</f>
        <v>#REF!</v>
      </c>
      <c r="C2656" t="s">
        <v>8677</v>
      </c>
      <c r="D2656" t="s">
        <v>8678</v>
      </c>
      <c r="E2656" s="8" t="s">
        <v>18502</v>
      </c>
      <c r="F2656" s="8" t="s">
        <v>8957</v>
      </c>
      <c r="G2656" s="8" t="s">
        <v>9061</v>
      </c>
      <c r="H2656" s="8" t="s">
        <v>8984</v>
      </c>
      <c r="I2656" s="8" t="s">
        <v>9155</v>
      </c>
      <c r="J2656" s="138" t="s">
        <v>10525</v>
      </c>
      <c r="K2656" s="1" t="s">
        <v>10525</v>
      </c>
      <c r="L2656" s="8" t="s">
        <v>9076</v>
      </c>
      <c r="M2656" s="8">
        <v>80</v>
      </c>
      <c r="N2656" s="8" t="s">
        <v>9059</v>
      </c>
      <c r="O2656" s="8" t="s">
        <v>8989</v>
      </c>
      <c r="P2656" s="1" t="s">
        <v>8955</v>
      </c>
      <c r="Q2656" s="1" t="s">
        <v>8956</v>
      </c>
      <c r="R2656" s="1" t="s">
        <v>8975</v>
      </c>
      <c r="S2656" s="1" t="s">
        <v>20473</v>
      </c>
      <c r="T2656" s="1" t="s">
        <v>17</v>
      </c>
      <c r="U2656" s="1" t="s">
        <v>4044</v>
      </c>
    </row>
    <row r="2657" spans="1:21" x14ac:dyDescent="0.2">
      <c r="A2657" s="88" t="s">
        <v>18407</v>
      </c>
      <c r="B2657" s="88" t="e">
        <f>VLOOKUP(C2657,#REF!,1,0)</f>
        <v>#REF!</v>
      </c>
      <c r="C2657" t="s">
        <v>8679</v>
      </c>
      <c r="D2657" t="s">
        <v>8680</v>
      </c>
      <c r="E2657" s="8" t="s">
        <v>9310</v>
      </c>
      <c r="F2657" s="8" t="s">
        <v>8957</v>
      </c>
      <c r="G2657" s="8" t="s">
        <v>9061</v>
      </c>
      <c r="H2657" s="8" t="s">
        <v>9035</v>
      </c>
      <c r="I2657" s="8" t="s">
        <v>8998</v>
      </c>
      <c r="J2657" s="138" t="s">
        <v>20723</v>
      </c>
      <c r="K2657" s="1" t="s">
        <v>21659</v>
      </c>
      <c r="L2657" s="8" t="s">
        <v>8951</v>
      </c>
      <c r="M2657" s="8">
        <v>579</v>
      </c>
      <c r="N2657" s="8" t="s">
        <v>9059</v>
      </c>
      <c r="O2657" s="8" t="s">
        <v>8954</v>
      </c>
      <c r="P2657" s="1" t="s">
        <v>8955</v>
      </c>
      <c r="Q2657" s="1" t="s">
        <v>8956</v>
      </c>
      <c r="R2657" s="1" t="s">
        <v>8975</v>
      </c>
      <c r="S2657" s="1" t="s">
        <v>20474</v>
      </c>
      <c r="T2657" s="1" t="s">
        <v>17</v>
      </c>
      <c r="U2657" s="1" t="s">
        <v>8681</v>
      </c>
    </row>
    <row r="2658" spans="1:21" x14ac:dyDescent="0.2">
      <c r="A2658" s="88" t="s">
        <v>18408</v>
      </c>
      <c r="B2658" s="88" t="e">
        <f>VLOOKUP(C2658,#REF!,1,0)</f>
        <v>#REF!</v>
      </c>
      <c r="C2658" t="s">
        <v>8682</v>
      </c>
      <c r="D2658" t="s">
        <v>8683</v>
      </c>
      <c r="E2658" s="8" t="s">
        <v>9310</v>
      </c>
      <c r="F2658" s="8" t="s">
        <v>8957</v>
      </c>
      <c r="G2658" s="8" t="s">
        <v>9183</v>
      </c>
      <c r="H2658" s="8" t="s">
        <v>9035</v>
      </c>
      <c r="I2658" s="8" t="s">
        <v>8998</v>
      </c>
      <c r="J2658" s="138" t="s">
        <v>9270</v>
      </c>
      <c r="K2658" s="1" t="s">
        <v>9270</v>
      </c>
      <c r="L2658" s="8" t="s">
        <v>9464</v>
      </c>
      <c r="M2658" s="8">
        <v>651</v>
      </c>
      <c r="N2658" s="8" t="s">
        <v>8953</v>
      </c>
      <c r="O2658" s="8" t="s">
        <v>8989</v>
      </c>
      <c r="P2658" s="1" t="s">
        <v>8955</v>
      </c>
      <c r="Q2658" s="1" t="s">
        <v>8956</v>
      </c>
      <c r="R2658" s="1" t="s">
        <v>8975</v>
      </c>
      <c r="S2658" s="1" t="s">
        <v>8684</v>
      </c>
      <c r="T2658" s="1" t="s">
        <v>11</v>
      </c>
      <c r="U2658" s="1" t="s">
        <v>1979</v>
      </c>
    </row>
    <row r="2659" spans="1:21" x14ac:dyDescent="0.2">
      <c r="A2659" s="88" t="s">
        <v>18409</v>
      </c>
      <c r="B2659" s="88" t="e">
        <f>VLOOKUP(C2659,#REF!,1,0)</f>
        <v>#REF!</v>
      </c>
      <c r="C2659" t="s">
        <v>8685</v>
      </c>
      <c r="D2659" t="s">
        <v>8686</v>
      </c>
      <c r="E2659" s="8" t="s">
        <v>9310</v>
      </c>
      <c r="F2659" s="8" t="s">
        <v>8957</v>
      </c>
      <c r="G2659" s="8" t="s">
        <v>9061</v>
      </c>
      <c r="H2659" s="8" t="s">
        <v>9035</v>
      </c>
      <c r="I2659" s="8" t="s">
        <v>8998</v>
      </c>
      <c r="J2659" s="138" t="s">
        <v>20723</v>
      </c>
      <c r="K2659" s="1" t="s">
        <v>20723</v>
      </c>
      <c r="L2659" s="8" t="s">
        <v>9133</v>
      </c>
      <c r="M2659" s="8">
        <v>183</v>
      </c>
      <c r="N2659" s="8" t="s">
        <v>9059</v>
      </c>
      <c r="O2659" s="8" t="s">
        <v>8989</v>
      </c>
      <c r="P2659" s="1" t="s">
        <v>8955</v>
      </c>
      <c r="Q2659" s="1" t="s">
        <v>8956</v>
      </c>
      <c r="R2659" s="1" t="s">
        <v>8975</v>
      </c>
      <c r="S2659" s="1" t="s">
        <v>20475</v>
      </c>
      <c r="T2659" s="1" t="s">
        <v>17</v>
      </c>
      <c r="U2659" s="1" t="s">
        <v>4311</v>
      </c>
    </row>
    <row r="2660" spans="1:21" x14ac:dyDescent="0.2">
      <c r="A2660" s="88" t="s">
        <v>18410</v>
      </c>
      <c r="B2660" s="88" t="e">
        <f>VLOOKUP(C2660,#REF!,1,0)</f>
        <v>#REF!</v>
      </c>
      <c r="C2660" t="s">
        <v>8687</v>
      </c>
      <c r="D2660" t="s">
        <v>8688</v>
      </c>
      <c r="E2660" s="8" t="s">
        <v>9310</v>
      </c>
      <c r="F2660" s="8" t="s">
        <v>8957</v>
      </c>
      <c r="G2660" s="8" t="s">
        <v>8959</v>
      </c>
      <c r="H2660" s="8" t="s">
        <v>9035</v>
      </c>
      <c r="I2660" s="8" t="s">
        <v>9155</v>
      </c>
      <c r="J2660" s="138" t="s">
        <v>10607</v>
      </c>
      <c r="K2660" s="1" t="s">
        <v>10607</v>
      </c>
      <c r="L2660" s="8" t="s">
        <v>21600</v>
      </c>
      <c r="M2660" s="8">
        <v>3</v>
      </c>
      <c r="N2660" s="8" t="s">
        <v>9059</v>
      </c>
      <c r="O2660" s="8" t="s">
        <v>8989</v>
      </c>
      <c r="P2660" s="1" t="s">
        <v>8955</v>
      </c>
      <c r="Q2660" s="1" t="s">
        <v>8956</v>
      </c>
      <c r="R2660" s="1" t="s">
        <v>8958</v>
      </c>
      <c r="S2660" s="1" t="s">
        <v>8689</v>
      </c>
      <c r="T2660" s="1" t="s">
        <v>11</v>
      </c>
      <c r="U2660" s="1" t="s">
        <v>378</v>
      </c>
    </row>
    <row r="2661" spans="1:21" x14ac:dyDescent="0.2">
      <c r="A2661" s="88" t="s">
        <v>18411</v>
      </c>
      <c r="B2661" s="88" t="e">
        <f>VLOOKUP(C2661,#REF!,1,0)</f>
        <v>#REF!</v>
      </c>
      <c r="C2661" t="s">
        <v>8690</v>
      </c>
      <c r="D2661" t="s">
        <v>8691</v>
      </c>
      <c r="E2661" s="8" t="s">
        <v>9310</v>
      </c>
      <c r="F2661" s="8" t="s">
        <v>8957</v>
      </c>
      <c r="G2661" s="8" t="s">
        <v>9009</v>
      </c>
      <c r="H2661" s="8" t="s">
        <v>8984</v>
      </c>
      <c r="I2661" s="8" t="s">
        <v>8998</v>
      </c>
      <c r="J2661" s="138" t="s">
        <v>9036</v>
      </c>
      <c r="K2661" s="1" t="s">
        <v>9036</v>
      </c>
      <c r="L2661" s="8" t="s">
        <v>8987</v>
      </c>
      <c r="M2661" s="8">
        <v>743</v>
      </c>
      <c r="N2661" s="8" t="s">
        <v>8953</v>
      </c>
      <c r="O2661" s="8" t="s">
        <v>8989</v>
      </c>
      <c r="P2661" s="1" t="s">
        <v>8955</v>
      </c>
      <c r="Q2661" s="1" t="s">
        <v>8956</v>
      </c>
      <c r="R2661" s="1" t="s">
        <v>8958</v>
      </c>
      <c r="S2661" s="1" t="s">
        <v>8692</v>
      </c>
      <c r="T2661" s="1" t="s">
        <v>11</v>
      </c>
      <c r="U2661" s="1" t="s">
        <v>64</v>
      </c>
    </row>
    <row r="2662" spans="1:21" x14ac:dyDescent="0.2">
      <c r="A2662" s="88" t="s">
        <v>18412</v>
      </c>
      <c r="B2662" s="88" t="e">
        <f>VLOOKUP(C2662,#REF!,1,0)</f>
        <v>#REF!</v>
      </c>
      <c r="C2662" t="s">
        <v>8693</v>
      </c>
      <c r="D2662" t="s">
        <v>8694</v>
      </c>
      <c r="E2662" s="8" t="s">
        <v>9310</v>
      </c>
      <c r="F2662" s="8" t="s">
        <v>9060</v>
      </c>
      <c r="G2662" s="8" t="s">
        <v>8959</v>
      </c>
      <c r="H2662" s="8" t="s">
        <v>9035</v>
      </c>
      <c r="I2662" s="8" t="s">
        <v>8998</v>
      </c>
      <c r="J2662" s="138" t="s">
        <v>21592</v>
      </c>
      <c r="K2662" s="1" t="s">
        <v>21811</v>
      </c>
      <c r="L2662" s="8" t="s">
        <v>8987</v>
      </c>
      <c r="M2662" s="8">
        <v>1018</v>
      </c>
      <c r="N2662" s="8" t="s">
        <v>8953</v>
      </c>
      <c r="O2662" s="8" t="s">
        <v>8989</v>
      </c>
      <c r="P2662" s="1" t="s">
        <v>8955</v>
      </c>
      <c r="Q2662" s="1" t="s">
        <v>8956</v>
      </c>
      <c r="R2662" s="1" t="s">
        <v>8958</v>
      </c>
      <c r="S2662" s="1" t="s">
        <v>8695</v>
      </c>
      <c r="T2662" s="1" t="s">
        <v>17</v>
      </c>
      <c r="U2662" s="1" t="s">
        <v>234</v>
      </c>
    </row>
    <row r="2663" spans="1:21" x14ac:dyDescent="0.2">
      <c r="A2663" s="88" t="s">
        <v>21143</v>
      </c>
      <c r="B2663" s="88" t="e">
        <f>VLOOKUP(C2663,#REF!,1,0)</f>
        <v>#REF!</v>
      </c>
      <c r="C2663" t="s">
        <v>8696</v>
      </c>
      <c r="D2663" t="s">
        <v>8697</v>
      </c>
      <c r="E2663" s="8" t="s">
        <v>9310</v>
      </c>
      <c r="F2663" s="8" t="s">
        <v>8957</v>
      </c>
      <c r="G2663" s="8" t="s">
        <v>8959</v>
      </c>
      <c r="H2663" s="8" t="s">
        <v>9100</v>
      </c>
      <c r="I2663" s="8" t="s">
        <v>8949</v>
      </c>
      <c r="J2663" s="3" t="s">
        <v>20723</v>
      </c>
      <c r="K2663" s="1" t="s">
        <v>21659</v>
      </c>
      <c r="L2663" s="8" t="s">
        <v>9133</v>
      </c>
      <c r="M2663" s="8">
        <v>55296</v>
      </c>
      <c r="N2663" s="8" t="s">
        <v>8953</v>
      </c>
      <c r="O2663" s="8" t="s">
        <v>8989</v>
      </c>
      <c r="P2663" s="1" t="s">
        <v>8955</v>
      </c>
      <c r="Q2663" s="1" t="s">
        <v>8956</v>
      </c>
      <c r="R2663" s="1" t="s">
        <v>9103</v>
      </c>
      <c r="S2663" s="1" t="s">
        <v>20476</v>
      </c>
      <c r="T2663" s="1" t="s">
        <v>17</v>
      </c>
      <c r="U2663" s="1" t="s">
        <v>625</v>
      </c>
    </row>
    <row r="2664" spans="1:21" x14ac:dyDescent="0.2">
      <c r="A2664" s="88" t="s">
        <v>18413</v>
      </c>
      <c r="B2664" s="88" t="e">
        <f>VLOOKUP(C2664,#REF!,1,0)</f>
        <v>#REF!</v>
      </c>
      <c r="C2664" t="s">
        <v>8698</v>
      </c>
      <c r="D2664" t="s">
        <v>8699</v>
      </c>
      <c r="E2664" s="8" t="s">
        <v>9317</v>
      </c>
      <c r="F2664" s="8" t="s">
        <v>8959</v>
      </c>
      <c r="G2664" s="8" t="s">
        <v>8959</v>
      </c>
      <c r="H2664" s="8" t="s">
        <v>9100</v>
      </c>
      <c r="I2664" s="8" t="s">
        <v>9725</v>
      </c>
      <c r="J2664" s="138" t="s">
        <v>9036</v>
      </c>
      <c r="K2664" s="1" t="s">
        <v>9036</v>
      </c>
      <c r="L2664" s="8" t="s">
        <v>8987</v>
      </c>
      <c r="M2664" s="8">
        <v>920</v>
      </c>
      <c r="N2664" s="8" t="s">
        <v>9059</v>
      </c>
      <c r="O2664" s="8" t="s">
        <v>8989</v>
      </c>
      <c r="P2664" s="1" t="s">
        <v>8955</v>
      </c>
      <c r="Q2664" s="1" t="s">
        <v>8956</v>
      </c>
      <c r="R2664" s="1" t="s">
        <v>8975</v>
      </c>
      <c r="S2664" s="1" t="s">
        <v>20477</v>
      </c>
      <c r="T2664" s="1" t="s">
        <v>17</v>
      </c>
      <c r="U2664" s="1" t="s">
        <v>46</v>
      </c>
    </row>
    <row r="2665" spans="1:21" x14ac:dyDescent="0.2">
      <c r="A2665" s="88" t="s">
        <v>18414</v>
      </c>
      <c r="B2665" s="88" t="e">
        <f>VLOOKUP(C2665,#REF!,1,0)</f>
        <v>#REF!</v>
      </c>
      <c r="C2665" t="s">
        <v>8700</v>
      </c>
      <c r="D2665" t="s">
        <v>8701</v>
      </c>
      <c r="E2665" s="8" t="s">
        <v>9010</v>
      </c>
      <c r="F2665" s="8" t="s">
        <v>8957</v>
      </c>
      <c r="G2665" s="8" t="s">
        <v>8959</v>
      </c>
      <c r="H2665" s="8" t="s">
        <v>9605</v>
      </c>
      <c r="I2665" s="8" t="s">
        <v>9121</v>
      </c>
      <c r="J2665" s="138" t="s">
        <v>9041</v>
      </c>
      <c r="K2665" s="1" t="s">
        <v>9041</v>
      </c>
      <c r="L2665" s="8" t="s">
        <v>9133</v>
      </c>
      <c r="M2665" s="8">
        <v>10000</v>
      </c>
      <c r="N2665" s="8" t="s">
        <v>8953</v>
      </c>
      <c r="O2665" s="8" t="s">
        <v>8989</v>
      </c>
      <c r="P2665" s="1" t="s">
        <v>8955</v>
      </c>
      <c r="Q2665" s="1" t="s">
        <v>8956</v>
      </c>
      <c r="R2665" s="1" t="s">
        <v>8958</v>
      </c>
      <c r="S2665" s="1" t="s">
        <v>8702</v>
      </c>
      <c r="T2665" s="1" t="s">
        <v>11</v>
      </c>
      <c r="U2665" s="1" t="s">
        <v>8703</v>
      </c>
    </row>
    <row r="2666" spans="1:21" x14ac:dyDescent="0.2">
      <c r="A2666" s="88" t="s">
        <v>18415</v>
      </c>
      <c r="B2666" s="88" t="e">
        <f>VLOOKUP(C2666,#REF!,1,0)</f>
        <v>#REF!</v>
      </c>
      <c r="C2666" t="s">
        <v>8704</v>
      </c>
      <c r="D2666" t="s">
        <v>8705</v>
      </c>
      <c r="E2666" s="8" t="s">
        <v>9010</v>
      </c>
      <c r="F2666" s="8" t="s">
        <v>8957</v>
      </c>
      <c r="G2666" s="8" t="s">
        <v>8959</v>
      </c>
      <c r="H2666" s="8" t="s">
        <v>8948</v>
      </c>
      <c r="I2666" s="8" t="s">
        <v>8949</v>
      </c>
      <c r="J2666" s="138" t="s">
        <v>21201</v>
      </c>
      <c r="K2666" s="1" t="s">
        <v>21712</v>
      </c>
      <c r="L2666" s="8" t="s">
        <v>9464</v>
      </c>
      <c r="M2666" s="8">
        <v>5275</v>
      </c>
      <c r="N2666" s="8" t="s">
        <v>8953</v>
      </c>
      <c r="O2666" s="8" t="s">
        <v>8989</v>
      </c>
      <c r="P2666" s="1" t="s">
        <v>8955</v>
      </c>
      <c r="Q2666" s="1" t="s">
        <v>8956</v>
      </c>
      <c r="R2666" s="1" t="s">
        <v>8975</v>
      </c>
      <c r="S2666" s="1" t="s">
        <v>8706</v>
      </c>
      <c r="T2666" s="1" t="s">
        <v>4</v>
      </c>
      <c r="U2666" s="1" t="s">
        <v>126</v>
      </c>
    </row>
    <row r="2667" spans="1:21" x14ac:dyDescent="0.2">
      <c r="A2667" s="88" t="s">
        <v>18416</v>
      </c>
      <c r="B2667" s="88" t="e">
        <f>VLOOKUP(C2667,#REF!,1,0)</f>
        <v>#REF!</v>
      </c>
      <c r="C2667" t="s">
        <v>8707</v>
      </c>
      <c r="D2667" t="s">
        <v>8708</v>
      </c>
      <c r="E2667" s="8" t="s">
        <v>9010</v>
      </c>
      <c r="F2667" s="8" t="s">
        <v>8957</v>
      </c>
      <c r="G2667" s="8" t="s">
        <v>9061</v>
      </c>
      <c r="H2667" s="8" t="s">
        <v>8948</v>
      </c>
      <c r="I2667" s="8" t="s">
        <v>8949</v>
      </c>
      <c r="J2667" s="138" t="s">
        <v>9036</v>
      </c>
      <c r="K2667" s="1" t="s">
        <v>9036</v>
      </c>
      <c r="L2667" s="8" t="s">
        <v>8987</v>
      </c>
      <c r="M2667" s="8">
        <v>68</v>
      </c>
      <c r="N2667" s="8" t="s">
        <v>9059</v>
      </c>
      <c r="O2667" s="8" t="s">
        <v>8989</v>
      </c>
      <c r="P2667" s="1" t="s">
        <v>8955</v>
      </c>
      <c r="Q2667" s="1" t="s">
        <v>8956</v>
      </c>
      <c r="R2667" s="1" t="s">
        <v>8975</v>
      </c>
      <c r="S2667" s="1" t="s">
        <v>8709</v>
      </c>
      <c r="T2667" s="1" t="s">
        <v>11</v>
      </c>
      <c r="U2667" s="1" t="s">
        <v>1076</v>
      </c>
    </row>
    <row r="2668" spans="1:21" x14ac:dyDescent="0.2">
      <c r="A2668" s="88" t="s">
        <v>18417</v>
      </c>
      <c r="B2668" s="88" t="e">
        <f>VLOOKUP(C2668,#REF!,1,0)</f>
        <v>#REF!</v>
      </c>
      <c r="C2668" t="s">
        <v>8710</v>
      </c>
      <c r="D2668" t="s">
        <v>8711</v>
      </c>
      <c r="E2668" s="8" t="s">
        <v>9317</v>
      </c>
      <c r="F2668" s="8" t="s">
        <v>8959</v>
      </c>
      <c r="G2668" s="8" t="s">
        <v>8959</v>
      </c>
      <c r="H2668" s="8" t="s">
        <v>9075</v>
      </c>
      <c r="I2668" s="8" t="s">
        <v>9155</v>
      </c>
      <c r="J2668" s="138" t="s">
        <v>10492</v>
      </c>
      <c r="K2668" s="1" t="s">
        <v>10492</v>
      </c>
      <c r="L2668" s="8" t="s">
        <v>9292</v>
      </c>
      <c r="M2668" s="8">
        <v>71</v>
      </c>
      <c r="N2668" s="8" t="s">
        <v>9059</v>
      </c>
      <c r="O2668" s="8" t="s">
        <v>8954</v>
      </c>
      <c r="P2668" s="1" t="s">
        <v>8955</v>
      </c>
      <c r="Q2668" s="1" t="s">
        <v>8956</v>
      </c>
      <c r="R2668" s="1" t="s">
        <v>8975</v>
      </c>
      <c r="S2668" s="1" t="s">
        <v>20478</v>
      </c>
      <c r="T2668" s="1" t="s">
        <v>17</v>
      </c>
      <c r="U2668" s="1" t="s">
        <v>46</v>
      </c>
    </row>
    <row r="2669" spans="1:21" x14ac:dyDescent="0.2">
      <c r="A2669" s="88" t="s">
        <v>18418</v>
      </c>
      <c r="B2669" s="88" t="e">
        <f>VLOOKUP(C2669,#REF!,1,0)</f>
        <v>#REF!</v>
      </c>
      <c r="C2669" t="s">
        <v>8712</v>
      </c>
      <c r="D2669" t="s">
        <v>8713</v>
      </c>
      <c r="E2669" s="8" t="s">
        <v>9010</v>
      </c>
      <c r="F2669" s="8" t="s">
        <v>8957</v>
      </c>
      <c r="G2669" s="8" t="s">
        <v>8959</v>
      </c>
      <c r="H2669" s="8" t="s">
        <v>8948</v>
      </c>
      <c r="I2669" s="8" t="s">
        <v>8949</v>
      </c>
      <c r="J2669" s="138" t="s">
        <v>9036</v>
      </c>
      <c r="K2669" s="1" t="s">
        <v>9036</v>
      </c>
      <c r="L2669" s="8" t="s">
        <v>8987</v>
      </c>
      <c r="M2669" s="8">
        <v>1099</v>
      </c>
      <c r="N2669" s="8" t="s">
        <v>9059</v>
      </c>
      <c r="O2669" s="8" t="s">
        <v>8989</v>
      </c>
      <c r="P2669" s="1" t="s">
        <v>8955</v>
      </c>
      <c r="Q2669" s="1" t="s">
        <v>8956</v>
      </c>
      <c r="R2669" s="1" t="s">
        <v>9103</v>
      </c>
      <c r="S2669" s="1" t="s">
        <v>8714</v>
      </c>
      <c r="T2669" s="1" t="s">
        <v>11</v>
      </c>
      <c r="U2669" s="1" t="s">
        <v>126</v>
      </c>
    </row>
    <row r="2670" spans="1:21" x14ac:dyDescent="0.2">
      <c r="A2670" s="88" t="s">
        <v>18419</v>
      </c>
      <c r="B2670" s="88" t="e">
        <f>VLOOKUP(C2670,#REF!,1,0)</f>
        <v>#REF!</v>
      </c>
      <c r="C2670" t="s">
        <v>8715</v>
      </c>
      <c r="D2670" t="s">
        <v>8716</v>
      </c>
      <c r="E2670" s="8" t="s">
        <v>9317</v>
      </c>
      <c r="F2670" s="8" t="s">
        <v>8974</v>
      </c>
      <c r="G2670" s="8" t="s">
        <v>8959</v>
      </c>
      <c r="H2670" s="8" t="s">
        <v>20712</v>
      </c>
      <c r="I2670" s="8" t="s">
        <v>8998</v>
      </c>
      <c r="J2670" s="138" t="s">
        <v>10492</v>
      </c>
      <c r="K2670" s="1" t="s">
        <v>10492</v>
      </c>
      <c r="L2670" s="8" t="s">
        <v>21600</v>
      </c>
      <c r="M2670" s="8">
        <v>40</v>
      </c>
      <c r="N2670" s="8" t="s">
        <v>9059</v>
      </c>
      <c r="O2670" s="8" t="s">
        <v>8954</v>
      </c>
      <c r="P2670" s="1" t="s">
        <v>8955</v>
      </c>
      <c r="Q2670" s="1" t="s">
        <v>8956</v>
      </c>
      <c r="R2670" s="1" t="s">
        <v>8975</v>
      </c>
      <c r="S2670" s="1" t="s">
        <v>20479</v>
      </c>
      <c r="T2670" s="1" t="s">
        <v>17</v>
      </c>
      <c r="U2670" s="1" t="s">
        <v>27</v>
      </c>
    </row>
    <row r="2671" spans="1:21" x14ac:dyDescent="0.2">
      <c r="A2671" s="88" t="s">
        <v>18420</v>
      </c>
      <c r="B2671" s="88" t="e">
        <f>VLOOKUP(C2671,#REF!,1,0)</f>
        <v>#REF!</v>
      </c>
      <c r="C2671" t="s">
        <v>8717</v>
      </c>
      <c r="D2671" t="s">
        <v>21137</v>
      </c>
      <c r="E2671" s="8" t="s">
        <v>9310</v>
      </c>
      <c r="F2671" s="8" t="s">
        <v>8957</v>
      </c>
      <c r="G2671" s="8" t="s">
        <v>8959</v>
      </c>
      <c r="H2671" s="8" t="s">
        <v>20712</v>
      </c>
      <c r="I2671" s="8" t="s">
        <v>8959</v>
      </c>
      <c r="J2671" s="138" t="s">
        <v>10525</v>
      </c>
      <c r="K2671" s="1" t="s">
        <v>21650</v>
      </c>
      <c r="L2671" s="8" t="s">
        <v>8951</v>
      </c>
      <c r="M2671" s="8">
        <v>23560</v>
      </c>
      <c r="N2671" s="8" t="s">
        <v>8953</v>
      </c>
      <c r="O2671" s="8" t="s">
        <v>8954</v>
      </c>
      <c r="P2671" s="1" t="s">
        <v>8955</v>
      </c>
      <c r="Q2671" s="1" t="s">
        <v>8956</v>
      </c>
      <c r="R2671" s="1" t="s">
        <v>9103</v>
      </c>
      <c r="S2671" s="1" t="s">
        <v>20480</v>
      </c>
      <c r="T2671" s="1" t="s">
        <v>17</v>
      </c>
      <c r="U2671" s="1" t="s">
        <v>2082</v>
      </c>
    </row>
    <row r="2672" spans="1:21" x14ac:dyDescent="0.2">
      <c r="A2672" s="88" t="s">
        <v>18421</v>
      </c>
      <c r="B2672" s="88" t="e">
        <f>VLOOKUP(C2672,#REF!,1,0)</f>
        <v>#REF!</v>
      </c>
      <c r="C2672" t="s">
        <v>8718</v>
      </c>
      <c r="D2672" t="s">
        <v>8719</v>
      </c>
      <c r="E2672" s="8" t="s">
        <v>9310</v>
      </c>
      <c r="F2672" s="8" t="s">
        <v>8957</v>
      </c>
      <c r="G2672" s="8" t="s">
        <v>8959</v>
      </c>
      <c r="H2672" s="8" t="s">
        <v>8984</v>
      </c>
      <c r="I2672" s="8" t="e">
        <v>#N/A</v>
      </c>
      <c r="J2672" s="138" t="s">
        <v>9036</v>
      </c>
      <c r="K2672" s="1" t="s">
        <v>9036</v>
      </c>
      <c r="L2672" s="8" t="s">
        <v>8951</v>
      </c>
      <c r="M2672" s="8">
        <v>4096</v>
      </c>
      <c r="N2672" s="8" t="s">
        <v>8953</v>
      </c>
      <c r="O2672" s="8" t="s">
        <v>8989</v>
      </c>
      <c r="P2672" s="1" t="s">
        <v>8955</v>
      </c>
      <c r="Q2672" s="1" t="s">
        <v>8956</v>
      </c>
      <c r="R2672" s="1" t="s">
        <v>8958</v>
      </c>
      <c r="S2672" s="1" t="s">
        <v>8720</v>
      </c>
      <c r="T2672" s="1" t="s">
        <v>4</v>
      </c>
      <c r="U2672" s="1" t="s">
        <v>2307</v>
      </c>
    </row>
    <row r="2673" spans="1:21" x14ac:dyDescent="0.2">
      <c r="A2673" s="88" t="s">
        <v>18422</v>
      </c>
      <c r="B2673" s="88" t="e">
        <f>VLOOKUP(C2673,#REF!,1,0)</f>
        <v>#REF!</v>
      </c>
      <c r="C2673" t="s">
        <v>8721</v>
      </c>
      <c r="D2673" t="s">
        <v>8722</v>
      </c>
      <c r="E2673" s="8" t="s">
        <v>9310</v>
      </c>
      <c r="F2673" s="8" t="s">
        <v>8957</v>
      </c>
      <c r="G2673" s="8" t="s">
        <v>8959</v>
      </c>
      <c r="H2673" s="8" t="s">
        <v>8948</v>
      </c>
      <c r="I2673" s="8" t="s">
        <v>8971</v>
      </c>
      <c r="J2673" s="138" t="s">
        <v>10525</v>
      </c>
      <c r="K2673" s="1" t="s">
        <v>21650</v>
      </c>
      <c r="L2673" s="8" t="s">
        <v>9292</v>
      </c>
      <c r="M2673" s="8">
        <v>1735</v>
      </c>
      <c r="N2673" s="8" t="s">
        <v>8953</v>
      </c>
      <c r="O2673" s="8" t="s">
        <v>8954</v>
      </c>
      <c r="P2673" s="1" t="s">
        <v>8955</v>
      </c>
      <c r="Q2673" s="1" t="s">
        <v>8956</v>
      </c>
      <c r="R2673" s="1" t="s">
        <v>8958</v>
      </c>
      <c r="S2673" s="1" t="s">
        <v>20481</v>
      </c>
      <c r="T2673" s="1" t="s">
        <v>242</v>
      </c>
      <c r="U2673" s="1" t="s">
        <v>46</v>
      </c>
    </row>
    <row r="2674" spans="1:21" x14ac:dyDescent="0.2">
      <c r="A2674" s="88" t="s">
        <v>21136</v>
      </c>
      <c r="B2674" s="88" t="e">
        <f>VLOOKUP(C2674,#REF!,1,0)</f>
        <v>#REF!</v>
      </c>
      <c r="C2674" t="s">
        <v>8723</v>
      </c>
      <c r="D2674" t="s">
        <v>8724</v>
      </c>
      <c r="E2674" s="8" t="s">
        <v>9310</v>
      </c>
      <c r="F2674" s="8" t="s">
        <v>8957</v>
      </c>
      <c r="G2674" s="8" t="s">
        <v>8959</v>
      </c>
      <c r="H2674" s="8" t="s">
        <v>20714</v>
      </c>
      <c r="I2674" s="8" t="s">
        <v>20725</v>
      </c>
      <c r="J2674" s="138" t="s">
        <v>18489</v>
      </c>
      <c r="K2674" s="1" t="s">
        <v>21673</v>
      </c>
      <c r="L2674" s="8" t="s">
        <v>8951</v>
      </c>
      <c r="M2674" s="8">
        <v>1603</v>
      </c>
      <c r="N2674" s="8" t="s">
        <v>8953</v>
      </c>
      <c r="O2674" s="8" t="s">
        <v>8989</v>
      </c>
      <c r="P2674" s="1" t="s">
        <v>8955</v>
      </c>
      <c r="Q2674" s="1" t="s">
        <v>8956</v>
      </c>
      <c r="R2674" s="1" t="s">
        <v>8975</v>
      </c>
      <c r="S2674" s="1" t="s">
        <v>20482</v>
      </c>
      <c r="T2674" s="1" t="s">
        <v>7</v>
      </c>
      <c r="U2674" s="1" t="s">
        <v>4060</v>
      </c>
    </row>
    <row r="2675" spans="1:21" x14ac:dyDescent="0.2">
      <c r="A2675" s="88" t="s">
        <v>18423</v>
      </c>
      <c r="B2675" s="88" t="e">
        <f>VLOOKUP(C2675,#REF!,1,0)</f>
        <v>#REF!</v>
      </c>
      <c r="C2675" t="s">
        <v>8725</v>
      </c>
      <c r="D2675" t="s">
        <v>8726</v>
      </c>
      <c r="E2675" s="8" t="s">
        <v>9310</v>
      </c>
      <c r="F2675" s="8" t="s">
        <v>8957</v>
      </c>
      <c r="G2675" s="8" t="s">
        <v>8959</v>
      </c>
      <c r="H2675" s="8" t="s">
        <v>20714</v>
      </c>
      <c r="I2675" s="8" t="s">
        <v>20725</v>
      </c>
      <c r="J2675" s="138" t="s">
        <v>18491</v>
      </c>
      <c r="K2675" s="1" t="s">
        <v>18491</v>
      </c>
      <c r="L2675" s="8" t="s">
        <v>9076</v>
      </c>
      <c r="M2675" s="8">
        <v>108312</v>
      </c>
      <c r="N2675" s="8" t="s">
        <v>8953</v>
      </c>
      <c r="O2675" s="8" t="s">
        <v>8954</v>
      </c>
      <c r="P2675" s="1" t="s">
        <v>8955</v>
      </c>
      <c r="Q2675" s="1" t="s">
        <v>8956</v>
      </c>
      <c r="R2675" s="1" t="s">
        <v>8975</v>
      </c>
      <c r="S2675" s="1" t="s">
        <v>20483</v>
      </c>
      <c r="T2675" s="1" t="s">
        <v>7</v>
      </c>
      <c r="U2675" s="1" t="s">
        <v>7384</v>
      </c>
    </row>
    <row r="2676" spans="1:21" x14ac:dyDescent="0.2">
      <c r="A2676" s="88" t="s">
        <v>18424</v>
      </c>
      <c r="B2676" s="88" t="e">
        <f>VLOOKUP(C2676,#REF!,1,0)</f>
        <v>#REF!</v>
      </c>
      <c r="C2676" t="s">
        <v>8727</v>
      </c>
      <c r="D2676" t="s">
        <v>8728</v>
      </c>
      <c r="E2676" s="8" t="s">
        <v>9310</v>
      </c>
      <c r="F2676" s="8" t="s">
        <v>8957</v>
      </c>
      <c r="G2676" s="8" t="s">
        <v>8959</v>
      </c>
      <c r="H2676" s="8" t="s">
        <v>8984</v>
      </c>
      <c r="I2676" s="8" t="s">
        <v>8949</v>
      </c>
      <c r="J2676" s="138" t="s">
        <v>10492</v>
      </c>
      <c r="K2676" s="1" t="s">
        <v>10492</v>
      </c>
      <c r="L2676" s="8" t="s">
        <v>21600</v>
      </c>
      <c r="M2676" s="8">
        <v>102</v>
      </c>
      <c r="N2676" s="8" t="s">
        <v>9059</v>
      </c>
      <c r="O2676" s="8" t="s">
        <v>8954</v>
      </c>
      <c r="P2676" s="1" t="s">
        <v>8955</v>
      </c>
      <c r="Q2676" s="1" t="s">
        <v>8956</v>
      </c>
      <c r="R2676" s="1" t="s">
        <v>8958</v>
      </c>
      <c r="S2676" s="1" t="s">
        <v>20484</v>
      </c>
      <c r="T2676" s="1" t="s">
        <v>7</v>
      </c>
      <c r="U2676" s="1" t="s">
        <v>21</v>
      </c>
    </row>
    <row r="2677" spans="1:21" x14ac:dyDescent="0.2">
      <c r="A2677" s="88" t="s">
        <v>18425</v>
      </c>
      <c r="B2677" s="88" t="e">
        <f>VLOOKUP(C2677,#REF!,1,0)</f>
        <v>#REF!</v>
      </c>
      <c r="C2677" t="s">
        <v>15493</v>
      </c>
      <c r="D2677" t="s">
        <v>8729</v>
      </c>
      <c r="E2677" s="8" t="s">
        <v>9310</v>
      </c>
      <c r="F2677" s="8" t="s">
        <v>8957</v>
      </c>
      <c r="G2677" s="8" t="s">
        <v>9061</v>
      </c>
      <c r="H2677" s="8" t="s">
        <v>8984</v>
      </c>
      <c r="I2677" s="8" t="s">
        <v>8998</v>
      </c>
      <c r="J2677" s="138" t="s">
        <v>20809</v>
      </c>
      <c r="K2677" s="1" t="s">
        <v>20771</v>
      </c>
      <c r="L2677" s="8" t="s">
        <v>21600</v>
      </c>
      <c r="M2677" s="8">
        <v>82</v>
      </c>
      <c r="N2677" s="8" t="s">
        <v>9059</v>
      </c>
      <c r="O2677" s="8" t="s">
        <v>8989</v>
      </c>
      <c r="P2677" s="1" t="s">
        <v>8955</v>
      </c>
      <c r="Q2677" s="1" t="s">
        <v>8956</v>
      </c>
      <c r="R2677" s="1" t="s">
        <v>8958</v>
      </c>
      <c r="S2677" s="1" t="s">
        <v>20485</v>
      </c>
      <c r="T2677" s="1" t="s">
        <v>7</v>
      </c>
      <c r="U2677" s="1" t="s">
        <v>93</v>
      </c>
    </row>
    <row r="2678" spans="1:21" x14ac:dyDescent="0.2">
      <c r="A2678" s="88" t="s">
        <v>18426</v>
      </c>
      <c r="B2678" s="88" t="e">
        <f>VLOOKUP(C2678,#REF!,1,0)</f>
        <v>#REF!</v>
      </c>
      <c r="C2678" t="s">
        <v>8730</v>
      </c>
      <c r="D2678" t="s">
        <v>8731</v>
      </c>
      <c r="E2678" s="8" t="s">
        <v>18502</v>
      </c>
      <c r="F2678" s="8" t="s">
        <v>8957</v>
      </c>
      <c r="G2678" s="8" t="s">
        <v>8959</v>
      </c>
      <c r="H2678" s="8" t="s">
        <v>9154</v>
      </c>
      <c r="I2678" s="8" t="s">
        <v>9155</v>
      </c>
      <c r="J2678" s="138" t="s">
        <v>21219</v>
      </c>
      <c r="K2678" s="1" t="s">
        <v>21897</v>
      </c>
      <c r="L2678" s="8" t="s">
        <v>21600</v>
      </c>
      <c r="M2678" s="8">
        <v>24</v>
      </c>
      <c r="N2678" s="8" t="s">
        <v>8953</v>
      </c>
      <c r="O2678" s="8" t="s">
        <v>8954</v>
      </c>
      <c r="P2678" s="1" t="s">
        <v>8955</v>
      </c>
      <c r="Q2678" s="1" t="s">
        <v>8956</v>
      </c>
      <c r="R2678" s="1" t="s">
        <v>8958</v>
      </c>
      <c r="S2678" s="1" t="s">
        <v>20486</v>
      </c>
      <c r="T2678" s="1" t="s">
        <v>7</v>
      </c>
      <c r="U2678" s="1" t="s">
        <v>8732</v>
      </c>
    </row>
    <row r="2679" spans="1:21" x14ac:dyDescent="0.2">
      <c r="A2679" s="88" t="s">
        <v>18427</v>
      </c>
      <c r="B2679" s="88" t="e">
        <f>VLOOKUP(C2679,#REF!,1,0)</f>
        <v>#REF!</v>
      </c>
      <c r="C2679" t="s">
        <v>8733</v>
      </c>
      <c r="D2679" t="s">
        <v>8734</v>
      </c>
      <c r="E2679" s="8" t="s">
        <v>9010</v>
      </c>
      <c r="F2679" s="8" t="s">
        <v>8959</v>
      </c>
      <c r="G2679" s="8" t="s">
        <v>9009</v>
      </c>
      <c r="H2679" s="8" t="s">
        <v>9092</v>
      </c>
      <c r="I2679" s="8" t="s">
        <v>9308</v>
      </c>
      <c r="J2679" s="138" t="s">
        <v>9036</v>
      </c>
      <c r="K2679" s="1" t="s">
        <v>9036</v>
      </c>
      <c r="L2679" s="8" t="s">
        <v>9464</v>
      </c>
      <c r="M2679" s="8">
        <v>1663</v>
      </c>
      <c r="N2679" s="8" t="s">
        <v>8953</v>
      </c>
      <c r="O2679" s="8" t="s">
        <v>8989</v>
      </c>
      <c r="P2679" s="1" t="s">
        <v>8955</v>
      </c>
      <c r="Q2679" s="1" t="s">
        <v>8956</v>
      </c>
      <c r="R2679" s="1" t="s">
        <v>8958</v>
      </c>
      <c r="S2679" s="1" t="s">
        <v>8735</v>
      </c>
      <c r="T2679" s="1" t="s">
        <v>11</v>
      </c>
      <c r="U2679" s="1" t="s">
        <v>286</v>
      </c>
    </row>
    <row r="2680" spans="1:21" x14ac:dyDescent="0.2">
      <c r="A2680" s="88" t="s">
        <v>18428</v>
      </c>
      <c r="B2680" s="88" t="e">
        <f>VLOOKUP(C2680,#REF!,1,0)</f>
        <v>#REF!</v>
      </c>
      <c r="C2680" t="s">
        <v>8736</v>
      </c>
      <c r="D2680" t="s">
        <v>8737</v>
      </c>
      <c r="E2680" s="8" t="s">
        <v>10032</v>
      </c>
      <c r="F2680" s="8" t="s">
        <v>8957</v>
      </c>
      <c r="G2680" s="8" t="s">
        <v>8959</v>
      </c>
      <c r="H2680" s="8" t="s">
        <v>9154</v>
      </c>
      <c r="I2680" s="8" t="s">
        <v>8949</v>
      </c>
      <c r="J2680" s="138" t="e">
        <v>#N/A</v>
      </c>
      <c r="K2680" s="1" t="e">
        <v>#N/A</v>
      </c>
      <c r="L2680" s="8" t="s">
        <v>8987</v>
      </c>
      <c r="M2680" s="8">
        <v>150</v>
      </c>
      <c r="N2680" s="8" t="s">
        <v>9059</v>
      </c>
      <c r="O2680" s="8" t="s">
        <v>8989</v>
      </c>
      <c r="P2680" s="1" t="s">
        <v>8955</v>
      </c>
      <c r="Q2680" s="1" t="s">
        <v>8956</v>
      </c>
      <c r="R2680" s="1" t="s">
        <v>9103</v>
      </c>
      <c r="S2680" s="1" t="s">
        <v>20487</v>
      </c>
      <c r="T2680" s="1" t="s">
        <v>17</v>
      </c>
      <c r="U2680" s="1" t="s">
        <v>126</v>
      </c>
    </row>
    <row r="2681" spans="1:21" x14ac:dyDescent="0.2">
      <c r="A2681" s="88" t="s">
        <v>18429</v>
      </c>
      <c r="B2681" s="88" t="e">
        <f>VLOOKUP(C2681,#REF!,1,0)</f>
        <v>#REF!</v>
      </c>
      <c r="C2681" t="s">
        <v>8738</v>
      </c>
      <c r="D2681" t="s">
        <v>8739</v>
      </c>
      <c r="E2681" s="8" t="s">
        <v>10032</v>
      </c>
      <c r="F2681" s="8" t="s">
        <v>8957</v>
      </c>
      <c r="G2681" s="8" t="s">
        <v>9183</v>
      </c>
      <c r="H2681" s="8" t="s">
        <v>9154</v>
      </c>
      <c r="I2681" s="8" t="s">
        <v>8949</v>
      </c>
      <c r="J2681" s="138" t="s">
        <v>8972</v>
      </c>
      <c r="K2681" s="1" t="s">
        <v>8972</v>
      </c>
      <c r="L2681" s="8" t="s">
        <v>21600</v>
      </c>
      <c r="M2681" s="8">
        <v>3078</v>
      </c>
      <c r="N2681" s="8" t="s">
        <v>8953</v>
      </c>
      <c r="O2681" s="8" t="s">
        <v>8989</v>
      </c>
      <c r="P2681" s="1" t="s">
        <v>8955</v>
      </c>
      <c r="Q2681" s="1" t="s">
        <v>8956</v>
      </c>
      <c r="R2681" s="1" t="s">
        <v>8958</v>
      </c>
      <c r="S2681" s="1" t="s">
        <v>8740</v>
      </c>
      <c r="T2681" s="1" t="s">
        <v>11</v>
      </c>
      <c r="U2681" s="1" t="s">
        <v>61</v>
      </c>
    </row>
    <row r="2682" spans="1:21" x14ac:dyDescent="0.2">
      <c r="A2682" s="88" t="s">
        <v>18430</v>
      </c>
      <c r="B2682" s="88" t="e">
        <f>VLOOKUP(C2682,#REF!,1,0)</f>
        <v>#REF!</v>
      </c>
      <c r="C2682" t="s">
        <v>8741</v>
      </c>
      <c r="D2682" t="s">
        <v>8742</v>
      </c>
      <c r="E2682" s="8" t="s">
        <v>18502</v>
      </c>
      <c r="F2682" s="8" t="s">
        <v>8959</v>
      </c>
      <c r="G2682" s="8" t="s">
        <v>9061</v>
      </c>
      <c r="H2682" s="8" t="s">
        <v>9075</v>
      </c>
      <c r="I2682" s="8" t="s">
        <v>8971</v>
      </c>
      <c r="J2682" s="138" t="s">
        <v>20779</v>
      </c>
      <c r="K2682" s="1" t="s">
        <v>9036</v>
      </c>
      <c r="L2682" s="8" t="s">
        <v>8987</v>
      </c>
      <c r="M2682" s="8">
        <v>100</v>
      </c>
      <c r="N2682" s="8" t="s">
        <v>9059</v>
      </c>
      <c r="O2682" s="8" t="s">
        <v>8989</v>
      </c>
      <c r="P2682" s="1" t="s">
        <v>8955</v>
      </c>
      <c r="Q2682" s="1" t="s">
        <v>8956</v>
      </c>
      <c r="R2682" s="1" t="s">
        <v>9103</v>
      </c>
      <c r="S2682" s="1" t="s">
        <v>20488</v>
      </c>
      <c r="T2682" s="1" t="s">
        <v>17</v>
      </c>
      <c r="U2682" s="1" t="s">
        <v>8743</v>
      </c>
    </row>
    <row r="2683" spans="1:21" x14ac:dyDescent="0.2">
      <c r="A2683" s="88" t="s">
        <v>18431</v>
      </c>
      <c r="B2683" s="88"/>
      <c r="C2683" t="s">
        <v>8744</v>
      </c>
      <c r="D2683" t="s">
        <v>8745</v>
      </c>
      <c r="E2683" s="8" t="s">
        <v>9310</v>
      </c>
      <c r="F2683" s="8" t="s">
        <v>8957</v>
      </c>
      <c r="G2683" s="8" t="s">
        <v>8959</v>
      </c>
      <c r="H2683" s="8" t="s">
        <v>21056</v>
      </c>
      <c r="I2683" s="8" t="s">
        <v>21057</v>
      </c>
      <c r="J2683" s="138" t="e">
        <v>#N/A</v>
      </c>
      <c r="K2683" s="1" t="e">
        <v>#N/A</v>
      </c>
      <c r="L2683" s="8" t="s">
        <v>8973</v>
      </c>
      <c r="M2683" s="8">
        <v>180</v>
      </c>
      <c r="N2683" s="8" t="s">
        <v>9059</v>
      </c>
      <c r="O2683" s="8" t="s">
        <v>8989</v>
      </c>
      <c r="P2683" s="1" t="s">
        <v>8955</v>
      </c>
      <c r="Q2683" s="1" t="s">
        <v>8956</v>
      </c>
      <c r="R2683" s="1" t="s">
        <v>9103</v>
      </c>
      <c r="S2683" s="1" t="s">
        <v>20489</v>
      </c>
      <c r="T2683" s="1" t="s">
        <v>252</v>
      </c>
      <c r="U2683" s="1" t="s">
        <v>8746</v>
      </c>
    </row>
    <row r="2684" spans="1:21" x14ac:dyDescent="0.2">
      <c r="A2684" s="88" t="s">
        <v>18432</v>
      </c>
      <c r="B2684" s="88" t="e">
        <f>VLOOKUP(C2684,#REF!,1,0)</f>
        <v>#REF!</v>
      </c>
      <c r="C2684" t="s">
        <v>8747</v>
      </c>
      <c r="D2684" t="s">
        <v>8748</v>
      </c>
      <c r="E2684" s="8" t="s">
        <v>9310</v>
      </c>
      <c r="F2684" s="8" t="s">
        <v>8957</v>
      </c>
      <c r="G2684" s="8" t="s">
        <v>8959</v>
      </c>
      <c r="H2684" s="8" t="s">
        <v>9092</v>
      </c>
      <c r="I2684" s="8" t="s">
        <v>9308</v>
      </c>
      <c r="J2684" s="138" t="s">
        <v>20779</v>
      </c>
      <c r="K2684" s="1" t="s">
        <v>9036</v>
      </c>
      <c r="L2684" s="8" t="s">
        <v>21600</v>
      </c>
      <c r="M2684" s="8">
        <v>179</v>
      </c>
      <c r="N2684" s="8" t="s">
        <v>9059</v>
      </c>
      <c r="O2684" s="8" t="s">
        <v>8989</v>
      </c>
      <c r="P2684" s="1" t="s">
        <v>8955</v>
      </c>
      <c r="Q2684" s="1" t="s">
        <v>8956</v>
      </c>
      <c r="R2684" s="1" t="s">
        <v>8958</v>
      </c>
      <c r="S2684" s="1" t="s">
        <v>20490</v>
      </c>
      <c r="T2684" s="1" t="s">
        <v>7</v>
      </c>
      <c r="U2684" s="1" t="s">
        <v>180</v>
      </c>
    </row>
    <row r="2685" spans="1:21" x14ac:dyDescent="0.2">
      <c r="A2685" s="88" t="s">
        <v>18433</v>
      </c>
      <c r="B2685" s="88"/>
      <c r="C2685" s="4" t="s">
        <v>8749</v>
      </c>
      <c r="D2685" t="s">
        <v>8750</v>
      </c>
      <c r="E2685" s="8" t="e">
        <v>#N/A</v>
      </c>
      <c r="F2685" s="8" t="e">
        <v>#N/A</v>
      </c>
      <c r="G2685" s="8" t="e">
        <v>#N/A</v>
      </c>
      <c r="H2685" s="8" t="e">
        <v>#N/A</v>
      </c>
      <c r="I2685" s="8" t="e">
        <v>#N/A</v>
      </c>
      <c r="J2685" s="138" t="e">
        <v>#N/A</v>
      </c>
      <c r="K2685" s="1" t="e">
        <v>#N/A</v>
      </c>
      <c r="L2685" s="8" t="e">
        <v>#N/A</v>
      </c>
      <c r="M2685" s="8" t="e">
        <v>#N/A</v>
      </c>
      <c r="N2685" s="8" t="e">
        <v>#N/A</v>
      </c>
      <c r="O2685" s="8" t="e">
        <v>#N/A</v>
      </c>
      <c r="P2685" s="1" t="s">
        <v>8955</v>
      </c>
      <c r="Q2685" s="1" t="s">
        <v>8956</v>
      </c>
      <c r="R2685" s="1" t="s">
        <v>8958</v>
      </c>
      <c r="S2685" s="1" t="s">
        <v>20491</v>
      </c>
      <c r="T2685" s="1" t="s">
        <v>252</v>
      </c>
      <c r="U2685" s="1" t="s">
        <v>8751</v>
      </c>
    </row>
    <row r="2686" spans="1:21" x14ac:dyDescent="0.2">
      <c r="A2686" s="88" t="s">
        <v>18434</v>
      </c>
      <c r="B2686" s="88" t="e">
        <f>VLOOKUP(C2686,#REF!,1,0)</f>
        <v>#REF!</v>
      </c>
      <c r="C2686" t="s">
        <v>8752</v>
      </c>
      <c r="D2686" t="s">
        <v>8753</v>
      </c>
      <c r="E2686" s="8" t="s">
        <v>9310</v>
      </c>
      <c r="F2686" s="8" t="s">
        <v>8957</v>
      </c>
      <c r="G2686" s="8" t="s">
        <v>9061</v>
      </c>
      <c r="H2686" s="8" t="s">
        <v>9252</v>
      </c>
      <c r="I2686" s="8" t="s">
        <v>9155</v>
      </c>
      <c r="J2686" s="138" t="s">
        <v>18497</v>
      </c>
      <c r="K2686" s="1" t="s">
        <v>18497</v>
      </c>
      <c r="L2686" s="8" t="s">
        <v>9133</v>
      </c>
      <c r="M2686" s="8">
        <v>584</v>
      </c>
      <c r="N2686" s="8" t="s">
        <v>9059</v>
      </c>
      <c r="O2686" s="8" t="s">
        <v>8989</v>
      </c>
      <c r="P2686" s="1" t="s">
        <v>8955</v>
      </c>
      <c r="Q2686" s="1" t="s">
        <v>8956</v>
      </c>
      <c r="R2686" s="1" t="s">
        <v>8975</v>
      </c>
      <c r="S2686" s="1" t="s">
        <v>20492</v>
      </c>
      <c r="T2686" s="1" t="s">
        <v>7</v>
      </c>
      <c r="U2686" s="1" t="s">
        <v>580</v>
      </c>
    </row>
    <row r="2687" spans="1:21" x14ac:dyDescent="0.2">
      <c r="A2687" s="88" t="s">
        <v>18435</v>
      </c>
      <c r="B2687" s="88" t="e">
        <f>VLOOKUP(C2687,#REF!,1,0)</f>
        <v>#REF!</v>
      </c>
      <c r="C2687" t="s">
        <v>8754</v>
      </c>
      <c r="D2687" t="s">
        <v>8755</v>
      </c>
      <c r="E2687" s="8" t="s">
        <v>9010</v>
      </c>
      <c r="F2687" s="8" t="s">
        <v>8959</v>
      </c>
      <c r="G2687" s="8" t="s">
        <v>8959</v>
      </c>
      <c r="H2687" s="8" t="s">
        <v>9154</v>
      </c>
      <c r="I2687" s="8" t="s">
        <v>8998</v>
      </c>
      <c r="J2687" s="138" t="s">
        <v>9036</v>
      </c>
      <c r="K2687" s="1" t="s">
        <v>9036</v>
      </c>
      <c r="L2687" s="8" t="s">
        <v>8987</v>
      </c>
      <c r="M2687" s="8">
        <v>7489</v>
      </c>
      <c r="N2687" s="8" t="s">
        <v>8953</v>
      </c>
      <c r="O2687" s="8" t="s">
        <v>8989</v>
      </c>
      <c r="P2687" s="1" t="s">
        <v>8955</v>
      </c>
      <c r="Q2687" s="1" t="s">
        <v>8956</v>
      </c>
      <c r="R2687" s="1" t="s">
        <v>8975</v>
      </c>
      <c r="S2687" s="1" t="s">
        <v>8756</v>
      </c>
      <c r="T2687" s="1" t="s">
        <v>242</v>
      </c>
      <c r="U2687" s="1" t="s">
        <v>61</v>
      </c>
    </row>
    <row r="2688" spans="1:21" x14ac:dyDescent="0.2">
      <c r="A2688" s="95" t="s">
        <v>18436</v>
      </c>
      <c r="B2688" s="88" t="e">
        <f>VLOOKUP(C2688,#REF!,1,0)</f>
        <v>#REF!</v>
      </c>
      <c r="C2688" t="s">
        <v>8757</v>
      </c>
      <c r="D2688" t="s">
        <v>8758</v>
      </c>
      <c r="E2688" s="8" t="s">
        <v>9310</v>
      </c>
      <c r="F2688" s="8" t="s">
        <v>8959</v>
      </c>
      <c r="G2688" s="8" t="s">
        <v>8959</v>
      </c>
      <c r="H2688" s="8" t="s">
        <v>9100</v>
      </c>
      <c r="I2688" s="8" t="s">
        <v>8949</v>
      </c>
      <c r="J2688" s="138" t="s">
        <v>20852</v>
      </c>
      <c r="K2688" s="1" t="s">
        <v>21462</v>
      </c>
      <c r="L2688" s="8" t="s">
        <v>8987</v>
      </c>
      <c r="M2688" s="8">
        <v>10</v>
      </c>
      <c r="N2688" s="8" t="s">
        <v>9059</v>
      </c>
      <c r="O2688" s="8" t="s">
        <v>8989</v>
      </c>
      <c r="P2688" s="1" t="s">
        <v>8955</v>
      </c>
      <c r="Q2688" s="1" t="s">
        <v>8956</v>
      </c>
      <c r="R2688" s="1" t="s">
        <v>9103</v>
      </c>
      <c r="S2688" s="1" t="s">
        <v>20493</v>
      </c>
      <c r="T2688" s="1" t="s">
        <v>7</v>
      </c>
      <c r="U2688" s="1" t="s">
        <v>2775</v>
      </c>
    </row>
    <row r="2689" spans="1:21" x14ac:dyDescent="0.2">
      <c r="A2689" s="88" t="s">
        <v>18437</v>
      </c>
      <c r="B2689" s="88" t="e">
        <f>VLOOKUP(C2689,#REF!,1,0)</f>
        <v>#REF!</v>
      </c>
      <c r="C2689" t="s">
        <v>8759</v>
      </c>
      <c r="D2689" t="s">
        <v>8760</v>
      </c>
      <c r="E2689" s="8" t="s">
        <v>18502</v>
      </c>
      <c r="F2689" s="8" t="s">
        <v>8974</v>
      </c>
      <c r="G2689" s="8" t="s">
        <v>9061</v>
      </c>
      <c r="H2689" s="8" t="s">
        <v>9075</v>
      </c>
      <c r="I2689" s="8" t="s">
        <v>8949</v>
      </c>
      <c r="J2689" s="138" t="s">
        <v>10258</v>
      </c>
      <c r="K2689" s="1" t="s">
        <v>10258</v>
      </c>
      <c r="L2689" s="8" t="s">
        <v>8987</v>
      </c>
      <c r="M2689" s="8">
        <v>140</v>
      </c>
      <c r="N2689" s="8" t="s">
        <v>9059</v>
      </c>
      <c r="O2689" s="8" t="s">
        <v>8989</v>
      </c>
      <c r="P2689" s="1" t="s">
        <v>8955</v>
      </c>
      <c r="Q2689" s="1" t="s">
        <v>8956</v>
      </c>
      <c r="R2689" s="1" t="s">
        <v>8975</v>
      </c>
      <c r="S2689" s="1" t="s">
        <v>20494</v>
      </c>
      <c r="T2689" s="1" t="s">
        <v>17</v>
      </c>
      <c r="U2689" s="1" t="s">
        <v>891</v>
      </c>
    </row>
    <row r="2690" spans="1:21" x14ac:dyDescent="0.2">
      <c r="A2690" s="88" t="s">
        <v>18438</v>
      </c>
      <c r="B2690" s="88" t="e">
        <f>VLOOKUP(C2690,#REF!,1,0)</f>
        <v>#REF!</v>
      </c>
      <c r="C2690" t="s">
        <v>8761</v>
      </c>
      <c r="D2690" t="s">
        <v>8762</v>
      </c>
      <c r="E2690" s="8" t="s">
        <v>9010</v>
      </c>
      <c r="F2690" s="8" t="s">
        <v>8957</v>
      </c>
      <c r="G2690" s="8" t="s">
        <v>9061</v>
      </c>
      <c r="H2690" s="8" t="s">
        <v>9035</v>
      </c>
      <c r="I2690" s="8" t="s">
        <v>8998</v>
      </c>
      <c r="J2690" s="138" t="s">
        <v>9036</v>
      </c>
      <c r="K2690" s="1" t="s">
        <v>9036</v>
      </c>
      <c r="L2690" s="8" t="s">
        <v>9076</v>
      </c>
      <c r="M2690" s="8">
        <v>82</v>
      </c>
      <c r="N2690" s="8" t="s">
        <v>9059</v>
      </c>
      <c r="O2690" s="8" t="s">
        <v>8989</v>
      </c>
      <c r="P2690" s="1" t="s">
        <v>8955</v>
      </c>
      <c r="Q2690" s="1" t="s">
        <v>8956</v>
      </c>
      <c r="R2690" s="1" t="s">
        <v>8975</v>
      </c>
      <c r="S2690" s="1" t="s">
        <v>8763</v>
      </c>
      <c r="T2690" s="1" t="s">
        <v>17</v>
      </c>
      <c r="U2690" s="1" t="s">
        <v>93</v>
      </c>
    </row>
    <row r="2691" spans="1:21" x14ac:dyDescent="0.2">
      <c r="A2691" s="88" t="s">
        <v>18439</v>
      </c>
      <c r="B2691" s="88" t="e">
        <f>VLOOKUP(C2691,#REF!,1,0)</f>
        <v>#REF!</v>
      </c>
      <c r="C2691" t="s">
        <v>8764</v>
      </c>
      <c r="D2691" t="s">
        <v>8765</v>
      </c>
      <c r="E2691" s="8" t="s">
        <v>9010</v>
      </c>
      <c r="F2691" s="8" t="s">
        <v>8957</v>
      </c>
      <c r="G2691" s="8" t="s">
        <v>8959</v>
      </c>
      <c r="H2691" s="8" t="s">
        <v>9035</v>
      </c>
      <c r="I2691" s="8" t="s">
        <v>9155</v>
      </c>
      <c r="J2691" s="138" t="s">
        <v>10492</v>
      </c>
      <c r="K2691" s="1" t="s">
        <v>10492</v>
      </c>
      <c r="L2691" s="8" t="s">
        <v>21600</v>
      </c>
      <c r="M2691" s="8">
        <v>60</v>
      </c>
      <c r="N2691" s="8" t="s">
        <v>9059</v>
      </c>
      <c r="O2691" s="8" t="s">
        <v>8954</v>
      </c>
      <c r="P2691" s="1" t="s">
        <v>8955</v>
      </c>
      <c r="Q2691" s="1" t="s">
        <v>8956</v>
      </c>
      <c r="R2691" s="1" t="s">
        <v>8958</v>
      </c>
      <c r="S2691" s="1" t="s">
        <v>8766</v>
      </c>
      <c r="T2691" s="1" t="s">
        <v>17</v>
      </c>
      <c r="U2691" s="1" t="s">
        <v>93</v>
      </c>
    </row>
    <row r="2692" spans="1:21" x14ac:dyDescent="0.2">
      <c r="A2692" s="95" t="s">
        <v>18441</v>
      </c>
      <c r="B2692" s="88" t="e">
        <f>VLOOKUP(C2692,#REF!,1,0)</f>
        <v>#REF!</v>
      </c>
      <c r="C2692" t="s">
        <v>8769</v>
      </c>
      <c r="D2692" t="s">
        <v>8770</v>
      </c>
      <c r="E2692" s="8" t="s">
        <v>9310</v>
      </c>
      <c r="F2692" s="8" t="s">
        <v>8974</v>
      </c>
      <c r="G2692" s="8" t="s">
        <v>8959</v>
      </c>
      <c r="H2692" s="8" t="s">
        <v>9100</v>
      </c>
      <c r="I2692" s="8" t="s">
        <v>9101</v>
      </c>
      <c r="J2692" s="138" t="s">
        <v>20785</v>
      </c>
      <c r="K2692" s="1" t="s">
        <v>18491</v>
      </c>
      <c r="L2692" s="8" t="s">
        <v>9076</v>
      </c>
      <c r="M2692" s="8">
        <v>30</v>
      </c>
      <c r="N2692" s="8" t="s">
        <v>8953</v>
      </c>
      <c r="O2692" s="8" t="s">
        <v>8989</v>
      </c>
      <c r="P2692" s="1" t="s">
        <v>8955</v>
      </c>
      <c r="Q2692" s="1" t="s">
        <v>8956</v>
      </c>
      <c r="R2692" s="1" t="s">
        <v>8975</v>
      </c>
      <c r="S2692" s="1" t="s">
        <v>20496</v>
      </c>
      <c r="T2692" s="1" t="s">
        <v>7</v>
      </c>
      <c r="U2692" s="1" t="s">
        <v>8703</v>
      </c>
    </row>
    <row r="2693" spans="1:21" x14ac:dyDescent="0.2">
      <c r="A2693" s="88" t="s">
        <v>18442</v>
      </c>
      <c r="B2693" s="88" t="e">
        <f>VLOOKUP(C2693,#REF!,1,0)</f>
        <v>#REF!</v>
      </c>
      <c r="C2693" t="s">
        <v>8771</v>
      </c>
      <c r="D2693" t="s">
        <v>8772</v>
      </c>
      <c r="E2693" s="8" t="s">
        <v>9310</v>
      </c>
      <c r="F2693" s="8" t="s">
        <v>8957</v>
      </c>
      <c r="G2693" s="8" t="s">
        <v>8959</v>
      </c>
      <c r="H2693" s="8" t="s">
        <v>9943</v>
      </c>
      <c r="I2693" s="8" t="s">
        <v>8971</v>
      </c>
      <c r="J2693" s="138" t="s">
        <v>20779</v>
      </c>
      <c r="K2693" s="1" t="s">
        <v>9036</v>
      </c>
      <c r="L2693" s="8" t="s">
        <v>9133</v>
      </c>
      <c r="M2693" s="8">
        <v>2284</v>
      </c>
      <c r="N2693" s="8" t="s">
        <v>9059</v>
      </c>
      <c r="O2693" s="8" t="s">
        <v>8989</v>
      </c>
      <c r="P2693" s="1" t="s">
        <v>8955</v>
      </c>
      <c r="Q2693" s="1" t="s">
        <v>8956</v>
      </c>
      <c r="R2693" s="1" t="s">
        <v>8975</v>
      </c>
      <c r="S2693" s="1" t="s">
        <v>20497</v>
      </c>
      <c r="T2693" s="1" t="s">
        <v>7</v>
      </c>
      <c r="U2693" s="1" t="s">
        <v>831</v>
      </c>
    </row>
    <row r="2694" spans="1:21" x14ac:dyDescent="0.2">
      <c r="A2694" s="88" t="s">
        <v>18443</v>
      </c>
      <c r="B2694" s="88" t="e">
        <f>VLOOKUP(C2694,#REF!,1,0)</f>
        <v>#REF!</v>
      </c>
      <c r="C2694" t="s">
        <v>8773</v>
      </c>
      <c r="D2694" t="s">
        <v>8774</v>
      </c>
      <c r="E2694" s="8" t="s">
        <v>9310</v>
      </c>
      <c r="F2694" s="8" t="s">
        <v>8957</v>
      </c>
      <c r="G2694" s="8" t="s">
        <v>9061</v>
      </c>
      <c r="H2694" s="8" t="s">
        <v>9252</v>
      </c>
      <c r="I2694" s="8" t="s">
        <v>8949</v>
      </c>
      <c r="J2694" s="138" t="s">
        <v>9036</v>
      </c>
      <c r="K2694" s="1" t="s">
        <v>9036</v>
      </c>
      <c r="L2694" s="8" t="s">
        <v>8987</v>
      </c>
      <c r="M2694" s="8">
        <v>1537</v>
      </c>
      <c r="N2694" s="8" t="s">
        <v>9059</v>
      </c>
      <c r="O2694" s="8" t="s">
        <v>8989</v>
      </c>
      <c r="P2694" s="1" t="s">
        <v>8955</v>
      </c>
      <c r="Q2694" s="1" t="s">
        <v>8956</v>
      </c>
      <c r="R2694" s="1" t="s">
        <v>8975</v>
      </c>
      <c r="S2694" s="1" t="s">
        <v>20498</v>
      </c>
      <c r="T2694" s="1" t="s">
        <v>17</v>
      </c>
      <c r="U2694" s="1" t="s">
        <v>619</v>
      </c>
    </row>
    <row r="2695" spans="1:21" x14ac:dyDescent="0.2">
      <c r="A2695" s="88" t="s">
        <v>18444</v>
      </c>
      <c r="B2695" s="88" t="e">
        <f>VLOOKUP(C2695,#REF!,1,0)</f>
        <v>#REF!</v>
      </c>
      <c r="C2695" t="s">
        <v>8779</v>
      </c>
      <c r="D2695" t="s">
        <v>8780</v>
      </c>
      <c r="E2695" s="8" t="s">
        <v>9310</v>
      </c>
      <c r="F2695" s="8" t="s">
        <v>8957</v>
      </c>
      <c r="G2695" s="8" t="s">
        <v>8959</v>
      </c>
      <c r="H2695" s="8" t="s">
        <v>8948</v>
      </c>
      <c r="I2695" s="8" t="e">
        <v>#N/A</v>
      </c>
      <c r="J2695" s="138" t="s">
        <v>20779</v>
      </c>
      <c r="K2695" s="1" t="s">
        <v>9036</v>
      </c>
      <c r="L2695" s="8" t="s">
        <v>8987</v>
      </c>
      <c r="M2695" s="8">
        <v>132600</v>
      </c>
      <c r="N2695" s="8" t="s">
        <v>8953</v>
      </c>
      <c r="O2695" s="8" t="s">
        <v>8954</v>
      </c>
      <c r="P2695" s="1" t="s">
        <v>8955</v>
      </c>
      <c r="Q2695" s="1" t="s">
        <v>8956</v>
      </c>
      <c r="R2695" s="1" t="s">
        <v>9103</v>
      </c>
      <c r="S2695" s="1" t="s">
        <v>20500</v>
      </c>
      <c r="T2695" s="1" t="s">
        <v>4</v>
      </c>
      <c r="U2695" s="1" t="s">
        <v>1651</v>
      </c>
    </row>
    <row r="2696" spans="1:21" x14ac:dyDescent="0.2">
      <c r="A2696" s="88" t="s">
        <v>18446</v>
      </c>
      <c r="B2696" s="88" t="e">
        <f>VLOOKUP(C2696,#REF!,1,0)</f>
        <v>#REF!</v>
      </c>
      <c r="C2696" t="s">
        <v>8786</v>
      </c>
      <c r="D2696" t="s">
        <v>8787</v>
      </c>
      <c r="E2696" s="8" t="s">
        <v>9310</v>
      </c>
      <c r="F2696" s="8" t="s">
        <v>8957</v>
      </c>
      <c r="G2696" s="8" t="s">
        <v>9061</v>
      </c>
      <c r="H2696" s="8" t="s">
        <v>9252</v>
      </c>
      <c r="I2696" s="8" t="s">
        <v>8971</v>
      </c>
      <c r="J2696" s="138" t="s">
        <v>10258</v>
      </c>
      <c r="K2696" s="1" t="s">
        <v>21766</v>
      </c>
      <c r="L2696" s="8" t="s">
        <v>9133</v>
      </c>
      <c r="M2696" s="8">
        <v>974</v>
      </c>
      <c r="N2696" s="8" t="s">
        <v>8953</v>
      </c>
      <c r="O2696" s="8" t="s">
        <v>8954</v>
      </c>
      <c r="P2696" s="1" t="s">
        <v>8955</v>
      </c>
      <c r="Q2696" s="1" t="s">
        <v>8956</v>
      </c>
      <c r="R2696" s="1" t="s">
        <v>8975</v>
      </c>
      <c r="S2696" s="1" t="s">
        <v>8788</v>
      </c>
      <c r="T2696" s="1" t="s">
        <v>7</v>
      </c>
      <c r="U2696" s="1" t="s">
        <v>180</v>
      </c>
    </row>
    <row r="2697" spans="1:21" x14ac:dyDescent="0.2">
      <c r="A2697" s="88" t="s">
        <v>18447</v>
      </c>
      <c r="B2697" s="88" t="e">
        <f>VLOOKUP(C2697,#REF!,1,0)</f>
        <v>#REF!</v>
      </c>
      <c r="C2697" t="s">
        <v>8789</v>
      </c>
      <c r="D2697" t="s">
        <v>8790</v>
      </c>
      <c r="E2697" s="8" t="s">
        <v>9310</v>
      </c>
      <c r="F2697" s="8" t="s">
        <v>8957</v>
      </c>
      <c r="G2697" s="8" t="s">
        <v>8959</v>
      </c>
      <c r="H2697" s="8" t="s">
        <v>9100</v>
      </c>
      <c r="I2697" s="8" t="s">
        <v>8949</v>
      </c>
      <c r="J2697" s="138" t="s">
        <v>10492</v>
      </c>
      <c r="K2697" s="1" t="s">
        <v>10492</v>
      </c>
      <c r="L2697" s="8" t="s">
        <v>21600</v>
      </c>
      <c r="M2697" s="8">
        <v>60</v>
      </c>
      <c r="N2697" s="8" t="s">
        <v>9059</v>
      </c>
      <c r="O2697" s="8" t="s">
        <v>8989</v>
      </c>
      <c r="P2697" s="1" t="s">
        <v>8955</v>
      </c>
      <c r="Q2697" s="1" t="s">
        <v>8956</v>
      </c>
      <c r="R2697" s="1" t="s">
        <v>8958</v>
      </c>
      <c r="S2697" s="1" t="s">
        <v>20503</v>
      </c>
      <c r="T2697" s="1" t="s">
        <v>7</v>
      </c>
      <c r="U2697" s="1" t="s">
        <v>46</v>
      </c>
    </row>
    <row r="2698" spans="1:21" x14ac:dyDescent="0.2">
      <c r="A2698" s="88" t="s">
        <v>18448</v>
      </c>
      <c r="B2698" s="88" t="e">
        <f>VLOOKUP(C2698,#REF!,1,0)</f>
        <v>#REF!</v>
      </c>
      <c r="C2698" t="s">
        <v>8791</v>
      </c>
      <c r="D2698" t="s">
        <v>8792</v>
      </c>
      <c r="E2698" s="8" t="s">
        <v>9310</v>
      </c>
      <c r="F2698" s="8" t="s">
        <v>8959</v>
      </c>
      <c r="G2698" s="8" t="s">
        <v>9061</v>
      </c>
      <c r="H2698" s="8" t="s">
        <v>9035</v>
      </c>
      <c r="I2698" s="8" t="s">
        <v>8998</v>
      </c>
      <c r="J2698" s="138" t="s">
        <v>10381</v>
      </c>
      <c r="K2698" s="1" t="s">
        <v>21752</v>
      </c>
      <c r="L2698" s="8" t="s">
        <v>21617</v>
      </c>
      <c r="M2698" s="8">
        <v>1079</v>
      </c>
      <c r="N2698" s="8" t="s">
        <v>9059</v>
      </c>
      <c r="O2698" s="8" t="s">
        <v>8954</v>
      </c>
      <c r="P2698" s="1" t="s">
        <v>8955</v>
      </c>
      <c r="Q2698" s="1" t="s">
        <v>8956</v>
      </c>
      <c r="R2698" s="1" t="s">
        <v>8975</v>
      </c>
      <c r="S2698" s="1" t="s">
        <v>20504</v>
      </c>
      <c r="T2698" s="1" t="s">
        <v>7</v>
      </c>
      <c r="U2698" s="1" t="s">
        <v>138</v>
      </c>
    </row>
    <row r="2699" spans="1:21" x14ac:dyDescent="0.2">
      <c r="A2699" s="88" t="s">
        <v>18449</v>
      </c>
      <c r="B2699" s="88" t="e">
        <f>VLOOKUP(C2699,#REF!,1,0)</f>
        <v>#REF!</v>
      </c>
      <c r="C2699" t="s">
        <v>8793</v>
      </c>
      <c r="D2699" t="s">
        <v>8794</v>
      </c>
      <c r="E2699" s="8" t="s">
        <v>9310</v>
      </c>
      <c r="F2699" s="8" t="s">
        <v>8957</v>
      </c>
      <c r="G2699" s="8" t="s">
        <v>9061</v>
      </c>
      <c r="H2699" s="8" t="s">
        <v>8948</v>
      </c>
      <c r="I2699" s="8" t="s">
        <v>8971</v>
      </c>
      <c r="J2699" s="138" t="s">
        <v>8972</v>
      </c>
      <c r="K2699" s="1" t="s">
        <v>21768</v>
      </c>
      <c r="L2699" s="8" t="s">
        <v>21600</v>
      </c>
      <c r="M2699" s="8">
        <v>2165</v>
      </c>
      <c r="N2699" s="8" t="s">
        <v>8953</v>
      </c>
      <c r="O2699" s="8" t="s">
        <v>8989</v>
      </c>
      <c r="P2699" s="1" t="s">
        <v>8955</v>
      </c>
      <c r="Q2699" s="1" t="s">
        <v>8956</v>
      </c>
      <c r="R2699" s="1" t="s">
        <v>8958</v>
      </c>
      <c r="S2699" s="1" t="s">
        <v>8795</v>
      </c>
      <c r="T2699" s="1" t="s">
        <v>17</v>
      </c>
      <c r="U2699" s="1" t="s">
        <v>93</v>
      </c>
    </row>
    <row r="2700" spans="1:21" x14ac:dyDescent="0.2">
      <c r="A2700" s="88" t="s">
        <v>18450</v>
      </c>
      <c r="B2700" s="88" t="e">
        <f>VLOOKUP(C2700,#REF!,1,0)</f>
        <v>#REF!</v>
      </c>
      <c r="C2700" t="s">
        <v>8796</v>
      </c>
      <c r="D2700" t="s">
        <v>8797</v>
      </c>
      <c r="E2700" s="8" t="s">
        <v>9310</v>
      </c>
      <c r="F2700" s="8" t="s">
        <v>8957</v>
      </c>
      <c r="G2700" s="8" t="s">
        <v>8959</v>
      </c>
      <c r="H2700" s="8" t="s">
        <v>8984</v>
      </c>
      <c r="I2700" s="8" t="s">
        <v>9131</v>
      </c>
      <c r="J2700" s="138" t="s">
        <v>10135</v>
      </c>
      <c r="K2700" s="1" t="s">
        <v>10135</v>
      </c>
      <c r="L2700" s="8" t="s">
        <v>9133</v>
      </c>
      <c r="M2700" s="8">
        <v>20</v>
      </c>
      <c r="N2700" s="8" t="s">
        <v>9059</v>
      </c>
      <c r="O2700" s="8" t="s">
        <v>8989</v>
      </c>
      <c r="P2700" s="1" t="s">
        <v>8955</v>
      </c>
      <c r="Q2700" s="1" t="s">
        <v>8956</v>
      </c>
      <c r="R2700" s="1" t="s">
        <v>8958</v>
      </c>
      <c r="S2700" s="1" t="s">
        <v>8798</v>
      </c>
      <c r="T2700" s="1" t="s">
        <v>4</v>
      </c>
      <c r="U2700" s="1" t="s">
        <v>74</v>
      </c>
    </row>
    <row r="2701" spans="1:21" x14ac:dyDescent="0.2">
      <c r="A2701" s="88" t="s">
        <v>18451</v>
      </c>
      <c r="B2701" s="88" t="e">
        <f>VLOOKUP(C2701,#REF!,1,0)</f>
        <v>#REF!</v>
      </c>
      <c r="C2701" t="s">
        <v>8799</v>
      </c>
      <c r="D2701" t="s">
        <v>8800</v>
      </c>
      <c r="E2701" s="8" t="s">
        <v>18502</v>
      </c>
      <c r="F2701" s="8" t="s">
        <v>8957</v>
      </c>
      <c r="G2701" s="8" t="s">
        <v>9061</v>
      </c>
      <c r="H2701" s="8" t="s">
        <v>9100</v>
      </c>
      <c r="I2701" s="8" t="s">
        <v>9155</v>
      </c>
      <c r="J2701" s="138" t="s">
        <v>20852</v>
      </c>
      <c r="K2701" s="1" t="s">
        <v>21462</v>
      </c>
      <c r="L2701" s="8" t="s">
        <v>9292</v>
      </c>
      <c r="M2701" s="8">
        <v>805</v>
      </c>
      <c r="N2701" s="8" t="s">
        <v>9059</v>
      </c>
      <c r="O2701" s="8" t="s">
        <v>8954</v>
      </c>
      <c r="P2701" s="1" t="s">
        <v>8955</v>
      </c>
      <c r="Q2701" s="1" t="s">
        <v>8956</v>
      </c>
      <c r="R2701" s="1" t="s">
        <v>9103</v>
      </c>
      <c r="S2701" s="1" t="s">
        <v>20505</v>
      </c>
      <c r="T2701" s="1" t="s">
        <v>17</v>
      </c>
      <c r="U2701" s="1" t="s">
        <v>2988</v>
      </c>
    </row>
    <row r="2702" spans="1:21" x14ac:dyDescent="0.2">
      <c r="A2702" s="88" t="s">
        <v>18452</v>
      </c>
      <c r="B2702" s="88" t="e">
        <f>VLOOKUP(C2702,#REF!,1,0)</f>
        <v>#REF!</v>
      </c>
      <c r="C2702" t="s">
        <v>8804</v>
      </c>
      <c r="D2702" t="s">
        <v>8805</v>
      </c>
      <c r="E2702" s="8" t="s">
        <v>9333</v>
      </c>
      <c r="F2702" s="8" t="s">
        <v>8957</v>
      </c>
      <c r="G2702" s="8" t="s">
        <v>8959</v>
      </c>
      <c r="H2702" s="8" t="s">
        <v>9605</v>
      </c>
      <c r="I2702" s="8" t="s">
        <v>8998</v>
      </c>
      <c r="J2702" s="138" t="s">
        <v>9436</v>
      </c>
      <c r="K2702" s="1" t="s">
        <v>9436</v>
      </c>
      <c r="L2702" s="8" t="s">
        <v>21600</v>
      </c>
      <c r="M2702" s="8">
        <v>240</v>
      </c>
      <c r="N2702" s="8" t="s">
        <v>8953</v>
      </c>
      <c r="O2702" s="8" t="s">
        <v>8954</v>
      </c>
      <c r="P2702" s="1" t="s">
        <v>8955</v>
      </c>
      <c r="Q2702" s="1" t="s">
        <v>8956</v>
      </c>
      <c r="R2702" s="1" t="s">
        <v>8958</v>
      </c>
      <c r="S2702" s="1" t="s">
        <v>8806</v>
      </c>
      <c r="T2702" s="1" t="s">
        <v>4</v>
      </c>
      <c r="U2702" s="1" t="s">
        <v>93</v>
      </c>
    </row>
    <row r="2703" spans="1:21" x14ac:dyDescent="0.2">
      <c r="A2703" s="88" t="s">
        <v>18453</v>
      </c>
      <c r="B2703" s="88" t="e">
        <f>VLOOKUP(C2703,#REF!,1,0)</f>
        <v>#REF!</v>
      </c>
      <c r="C2703" t="s">
        <v>8807</v>
      </c>
      <c r="D2703" t="s">
        <v>8808</v>
      </c>
      <c r="E2703" s="8" t="s">
        <v>9310</v>
      </c>
      <c r="F2703" s="8" t="s">
        <v>8957</v>
      </c>
      <c r="G2703" s="8" t="s">
        <v>8959</v>
      </c>
      <c r="H2703" s="8" t="s">
        <v>8984</v>
      </c>
      <c r="I2703" s="8" t="s">
        <v>8949</v>
      </c>
      <c r="J2703" s="138" t="s">
        <v>9036</v>
      </c>
      <c r="K2703" s="1" t="s">
        <v>9036</v>
      </c>
      <c r="L2703" s="8" t="s">
        <v>8951</v>
      </c>
      <c r="M2703" s="8">
        <v>4417</v>
      </c>
      <c r="N2703" s="93" t="s">
        <v>11658</v>
      </c>
      <c r="O2703" s="8" t="s">
        <v>8989</v>
      </c>
      <c r="P2703" s="1" t="s">
        <v>8955</v>
      </c>
      <c r="Q2703" s="1" t="s">
        <v>8956</v>
      </c>
      <c r="R2703" s="1" t="s">
        <v>8958</v>
      </c>
      <c r="S2703" s="1" t="s">
        <v>20506</v>
      </c>
      <c r="T2703" s="1" t="s">
        <v>17</v>
      </c>
      <c r="U2703" s="1" t="s">
        <v>87</v>
      </c>
    </row>
    <row r="2704" spans="1:21" x14ac:dyDescent="0.2">
      <c r="A2704" s="88" t="s">
        <v>18454</v>
      </c>
      <c r="B2704" s="88" t="e">
        <f>VLOOKUP(C2704,#REF!,1,0)</f>
        <v>#REF!</v>
      </c>
      <c r="C2704" t="s">
        <v>8809</v>
      </c>
      <c r="D2704" t="s">
        <v>8810</v>
      </c>
      <c r="E2704" s="8" t="s">
        <v>9310</v>
      </c>
      <c r="F2704" s="8" t="s">
        <v>8957</v>
      </c>
      <c r="G2704" s="8" t="s">
        <v>9183</v>
      </c>
      <c r="H2704" s="8" t="s">
        <v>8984</v>
      </c>
      <c r="I2704" s="8" t="s">
        <v>8949</v>
      </c>
      <c r="J2704" s="138" t="s">
        <v>10381</v>
      </c>
      <c r="K2704" s="1" t="s">
        <v>10381</v>
      </c>
      <c r="L2704" s="8" t="s">
        <v>9133</v>
      </c>
      <c r="M2704" s="8">
        <v>19276</v>
      </c>
      <c r="N2704" s="8" t="s">
        <v>8953</v>
      </c>
      <c r="O2704" s="8" t="s">
        <v>8989</v>
      </c>
      <c r="P2704" s="1" t="s">
        <v>8955</v>
      </c>
      <c r="Q2704" s="1" t="s">
        <v>8956</v>
      </c>
      <c r="R2704" s="1" t="s">
        <v>8958</v>
      </c>
      <c r="S2704" s="1" t="s">
        <v>8811</v>
      </c>
      <c r="T2704" s="1" t="s">
        <v>17</v>
      </c>
      <c r="U2704" s="1" t="s">
        <v>2003</v>
      </c>
    </row>
    <row r="2705" spans="1:21" x14ac:dyDescent="0.2">
      <c r="A2705" s="88" t="s">
        <v>18455</v>
      </c>
      <c r="B2705" s="88" t="e">
        <f>VLOOKUP(C2705,#REF!,1,0)</f>
        <v>#REF!</v>
      </c>
      <c r="C2705" t="s">
        <v>8812</v>
      </c>
      <c r="D2705" t="s">
        <v>8813</v>
      </c>
      <c r="E2705" s="8" t="s">
        <v>9010</v>
      </c>
      <c r="F2705" s="8" t="s">
        <v>8957</v>
      </c>
      <c r="G2705" s="8" t="s">
        <v>9183</v>
      </c>
      <c r="H2705" s="8" t="s">
        <v>8948</v>
      </c>
      <c r="I2705" s="8" t="s">
        <v>9155</v>
      </c>
      <c r="J2705" s="138" t="s">
        <v>9036</v>
      </c>
      <c r="K2705" s="1" t="s">
        <v>9036</v>
      </c>
      <c r="L2705" s="8" t="s">
        <v>9157</v>
      </c>
      <c r="M2705" s="8">
        <v>31</v>
      </c>
      <c r="N2705" s="8" t="s">
        <v>9059</v>
      </c>
      <c r="O2705" s="8" t="s">
        <v>8989</v>
      </c>
      <c r="P2705" s="1" t="s">
        <v>8955</v>
      </c>
      <c r="Q2705" s="1" t="s">
        <v>8956</v>
      </c>
      <c r="R2705" s="1" t="s">
        <v>8975</v>
      </c>
      <c r="S2705" s="1" t="s">
        <v>8814</v>
      </c>
      <c r="T2705" s="1" t="s">
        <v>11</v>
      </c>
      <c r="U2705" s="1" t="s">
        <v>46</v>
      </c>
    </row>
    <row r="2706" spans="1:21" x14ac:dyDescent="0.2">
      <c r="A2706" s="88" t="s">
        <v>18456</v>
      </c>
      <c r="B2706" s="88" t="e">
        <f>VLOOKUP(C2706,#REF!,1,0)</f>
        <v>#REF!</v>
      </c>
      <c r="C2706" t="s">
        <v>8815</v>
      </c>
      <c r="D2706" t="s">
        <v>8816</v>
      </c>
      <c r="E2706" s="8" t="s">
        <v>18502</v>
      </c>
      <c r="F2706" s="8" t="s">
        <v>8974</v>
      </c>
      <c r="G2706" s="8" t="s">
        <v>9061</v>
      </c>
      <c r="H2706" s="8" t="s">
        <v>20712</v>
      </c>
      <c r="I2706" s="8" t="s">
        <v>8949</v>
      </c>
      <c r="J2706" s="138" t="s">
        <v>9036</v>
      </c>
      <c r="K2706" s="1" t="s">
        <v>9036</v>
      </c>
      <c r="L2706" s="8" t="s">
        <v>9076</v>
      </c>
      <c r="M2706" s="8">
        <v>13500</v>
      </c>
      <c r="N2706" s="8" t="s">
        <v>8953</v>
      </c>
      <c r="O2706" s="8" t="s">
        <v>8954</v>
      </c>
      <c r="P2706" s="1" t="s">
        <v>8955</v>
      </c>
      <c r="Q2706" s="1" t="s">
        <v>8956</v>
      </c>
      <c r="R2706" s="1" t="s">
        <v>8958</v>
      </c>
      <c r="S2706" s="1" t="s">
        <v>20507</v>
      </c>
      <c r="T2706" s="1" t="s">
        <v>17</v>
      </c>
      <c r="U2706" s="1" t="s">
        <v>93</v>
      </c>
    </row>
    <row r="2707" spans="1:21" x14ac:dyDescent="0.2">
      <c r="A2707" s="88" t="s">
        <v>18457</v>
      </c>
      <c r="B2707" s="88" t="e">
        <f>VLOOKUP(C2707,#REF!,1,0)</f>
        <v>#REF!</v>
      </c>
      <c r="C2707" t="s">
        <v>8817</v>
      </c>
      <c r="D2707" t="s">
        <v>8818</v>
      </c>
      <c r="E2707" s="8" t="s">
        <v>18502</v>
      </c>
      <c r="F2707" s="8" t="s">
        <v>8974</v>
      </c>
      <c r="G2707" s="8" t="s">
        <v>8959</v>
      </c>
      <c r="H2707" s="8" t="s">
        <v>9100</v>
      </c>
      <c r="I2707" s="8" t="s">
        <v>8949</v>
      </c>
      <c r="J2707" s="138" t="s">
        <v>18497</v>
      </c>
      <c r="K2707" s="1" t="s">
        <v>18497</v>
      </c>
      <c r="L2707" s="8" t="s">
        <v>8951</v>
      </c>
      <c r="M2707" s="8">
        <v>266</v>
      </c>
      <c r="N2707" s="8" t="s">
        <v>9059</v>
      </c>
      <c r="O2707" s="8" t="s">
        <v>8989</v>
      </c>
      <c r="P2707" s="1" t="s">
        <v>8955</v>
      </c>
      <c r="Q2707" s="1" t="s">
        <v>8956</v>
      </c>
      <c r="R2707" s="1" t="s">
        <v>8975</v>
      </c>
      <c r="S2707" s="1" t="s">
        <v>20707</v>
      </c>
      <c r="T2707" s="1" t="s">
        <v>7</v>
      </c>
      <c r="U2707" s="1" t="s">
        <v>180</v>
      </c>
    </row>
    <row r="2708" spans="1:21" x14ac:dyDescent="0.2">
      <c r="A2708" s="88" t="s">
        <v>21133</v>
      </c>
      <c r="B2708" s="88" t="e">
        <f>VLOOKUP(C2708,#REF!,1,0)</f>
        <v>#REF!</v>
      </c>
      <c r="C2708" t="s">
        <v>21623</v>
      </c>
      <c r="D2708" t="s">
        <v>8820</v>
      </c>
      <c r="E2708" s="8" t="s">
        <v>18502</v>
      </c>
      <c r="F2708" s="8" t="s">
        <v>8957</v>
      </c>
      <c r="G2708" s="8" t="s">
        <v>8959</v>
      </c>
      <c r="H2708" s="8" t="s">
        <v>8948</v>
      </c>
      <c r="I2708" s="8" t="s">
        <v>8971</v>
      </c>
      <c r="J2708" s="138" t="s">
        <v>20736</v>
      </c>
      <c r="K2708" s="1" t="s">
        <v>21640</v>
      </c>
      <c r="L2708" s="8" t="s">
        <v>8987</v>
      </c>
      <c r="M2708" s="8">
        <v>8021</v>
      </c>
      <c r="N2708" s="8" t="s">
        <v>8953</v>
      </c>
      <c r="O2708" s="8" t="s">
        <v>8989</v>
      </c>
      <c r="P2708" s="1" t="s">
        <v>8955</v>
      </c>
      <c r="Q2708" s="1" t="s">
        <v>8956</v>
      </c>
      <c r="R2708" s="1" t="s">
        <v>8958</v>
      </c>
      <c r="S2708" s="1" t="s">
        <v>20508</v>
      </c>
      <c r="T2708" s="1" t="s">
        <v>17</v>
      </c>
      <c r="U2708" s="1" t="s">
        <v>87</v>
      </c>
    </row>
    <row r="2709" spans="1:21" x14ac:dyDescent="0.2">
      <c r="A2709" s="88" t="s">
        <v>18458</v>
      </c>
      <c r="B2709" s="88"/>
      <c r="C2709" t="s">
        <v>8821</v>
      </c>
      <c r="D2709" t="s">
        <v>8822</v>
      </c>
      <c r="E2709" s="8" t="s">
        <v>18502</v>
      </c>
      <c r="F2709" s="8" t="s">
        <v>9060</v>
      </c>
      <c r="G2709" s="8" t="s">
        <v>8959</v>
      </c>
      <c r="H2709" s="8" t="s">
        <v>9035</v>
      </c>
      <c r="I2709" s="8" t="s">
        <v>8998</v>
      </c>
      <c r="J2709" s="138" t="e">
        <v>#N/A</v>
      </c>
      <c r="K2709" s="1" t="e">
        <v>#N/A</v>
      </c>
      <c r="L2709" s="8" t="e">
        <v>#N/A</v>
      </c>
      <c r="M2709" s="8">
        <v>888</v>
      </c>
      <c r="N2709" s="8" t="s">
        <v>9059</v>
      </c>
      <c r="O2709" s="8" t="s">
        <v>8989</v>
      </c>
      <c r="P2709" s="1" t="s">
        <v>8955</v>
      </c>
      <c r="Q2709" s="1" t="s">
        <v>8956</v>
      </c>
      <c r="R2709" s="1" t="s">
        <v>8958</v>
      </c>
      <c r="S2709" s="1" t="s">
        <v>20509</v>
      </c>
      <c r="T2709" s="1" t="s">
        <v>252</v>
      </c>
      <c r="U2709" s="1" t="s">
        <v>126</v>
      </c>
    </row>
    <row r="2710" spans="1:21" x14ac:dyDescent="0.2">
      <c r="A2710" s="88" t="s">
        <v>18459</v>
      </c>
      <c r="B2710" s="88" t="e">
        <f>VLOOKUP(C2710,#REF!,1,0)</f>
        <v>#REF!</v>
      </c>
      <c r="C2710" t="s">
        <v>8823</v>
      </c>
      <c r="D2710" t="s">
        <v>8824</v>
      </c>
      <c r="E2710" s="8" t="s">
        <v>18502</v>
      </c>
      <c r="F2710" s="8" t="s">
        <v>9060</v>
      </c>
      <c r="G2710" s="8" t="s">
        <v>8959</v>
      </c>
      <c r="H2710" s="8" t="s">
        <v>9035</v>
      </c>
      <c r="I2710" s="8" t="s">
        <v>9155</v>
      </c>
      <c r="J2710" s="138" t="s">
        <v>20838</v>
      </c>
      <c r="K2710" s="1" t="s">
        <v>20755</v>
      </c>
      <c r="L2710" s="8" t="s">
        <v>9076</v>
      </c>
      <c r="M2710" s="8">
        <v>77608</v>
      </c>
      <c r="N2710" s="8" t="s">
        <v>8953</v>
      </c>
      <c r="O2710" s="8" t="s">
        <v>8954</v>
      </c>
      <c r="P2710" s="1" t="s">
        <v>8955</v>
      </c>
      <c r="Q2710" s="1" t="s">
        <v>8956</v>
      </c>
      <c r="R2710" s="1" t="s">
        <v>8958</v>
      </c>
      <c r="S2710" s="1" t="s">
        <v>20510</v>
      </c>
      <c r="T2710" s="1" t="s">
        <v>17</v>
      </c>
      <c r="U2710" s="1" t="s">
        <v>921</v>
      </c>
    </row>
    <row r="2711" spans="1:21" x14ac:dyDescent="0.2">
      <c r="A2711" s="88" t="s">
        <v>18460</v>
      </c>
      <c r="B2711" s="88" t="e">
        <f>VLOOKUP(C2711,#REF!,1,0)</f>
        <v>#REF!</v>
      </c>
      <c r="C2711" t="s">
        <v>8825</v>
      </c>
      <c r="D2711" t="s">
        <v>8826</v>
      </c>
      <c r="E2711" s="8" t="s">
        <v>9010</v>
      </c>
      <c r="F2711" s="8" t="s">
        <v>8959</v>
      </c>
      <c r="G2711" s="8" t="s">
        <v>9183</v>
      </c>
      <c r="H2711" s="8" t="s">
        <v>9092</v>
      </c>
      <c r="I2711" s="8" t="s">
        <v>8949</v>
      </c>
      <c r="J2711" s="138" t="s">
        <v>9018</v>
      </c>
      <c r="K2711" s="1" t="s">
        <v>21762</v>
      </c>
      <c r="L2711" s="8" t="s">
        <v>21600</v>
      </c>
      <c r="M2711" s="8">
        <v>20</v>
      </c>
      <c r="N2711" s="8" t="s">
        <v>9059</v>
      </c>
      <c r="O2711" s="8" t="s">
        <v>8989</v>
      </c>
      <c r="P2711" s="1" t="s">
        <v>8955</v>
      </c>
      <c r="Q2711" s="1" t="s">
        <v>8956</v>
      </c>
      <c r="R2711" s="1" t="s">
        <v>8958</v>
      </c>
      <c r="S2711" s="1" t="s">
        <v>8827</v>
      </c>
      <c r="T2711" s="1" t="s">
        <v>11</v>
      </c>
      <c r="U2711" s="1" t="s">
        <v>161</v>
      </c>
    </row>
    <row r="2712" spans="1:21" x14ac:dyDescent="0.2">
      <c r="A2712" s="88" t="s">
        <v>18461</v>
      </c>
      <c r="B2712" s="88" t="e">
        <f>VLOOKUP(C2712,#REF!,1,0)</f>
        <v>#REF!</v>
      </c>
      <c r="C2712" t="s">
        <v>8834</v>
      </c>
      <c r="D2712" t="s">
        <v>8835</v>
      </c>
      <c r="E2712" s="8" t="s">
        <v>9310</v>
      </c>
      <c r="F2712" s="8" t="s">
        <v>9060</v>
      </c>
      <c r="G2712" s="8" t="s">
        <v>8959</v>
      </c>
      <c r="H2712" s="8" t="s">
        <v>9100</v>
      </c>
      <c r="I2712" s="8" t="s">
        <v>8949</v>
      </c>
      <c r="J2712" s="138" t="s">
        <v>10492</v>
      </c>
      <c r="K2712" s="1" t="s">
        <v>10492</v>
      </c>
      <c r="L2712" s="8" t="s">
        <v>21600</v>
      </c>
      <c r="M2712" s="8">
        <v>100</v>
      </c>
      <c r="N2712" s="8" t="s">
        <v>9059</v>
      </c>
      <c r="O2712" s="8" t="s">
        <v>8989</v>
      </c>
      <c r="P2712" s="1" t="s">
        <v>8955</v>
      </c>
      <c r="Q2712" s="1" t="s">
        <v>8956</v>
      </c>
      <c r="R2712" s="1" t="s">
        <v>9103</v>
      </c>
      <c r="S2712" s="1" t="s">
        <v>20513</v>
      </c>
      <c r="T2712" s="1" t="s">
        <v>7</v>
      </c>
      <c r="U2712" s="1" t="s">
        <v>467</v>
      </c>
    </row>
    <row r="2713" spans="1:21" x14ac:dyDescent="0.2">
      <c r="A2713" s="88" t="s">
        <v>18462</v>
      </c>
      <c r="B2713" s="88" t="e">
        <f>VLOOKUP(C2713,#REF!,1,0)</f>
        <v>#REF!</v>
      </c>
      <c r="C2713" t="s">
        <v>8836</v>
      </c>
      <c r="D2713" t="s">
        <v>8837</v>
      </c>
      <c r="E2713" s="8" t="s">
        <v>9310</v>
      </c>
      <c r="F2713" s="8" t="s">
        <v>8957</v>
      </c>
      <c r="G2713" s="8" t="s">
        <v>8959</v>
      </c>
      <c r="H2713" s="8" t="s">
        <v>9100</v>
      </c>
      <c r="I2713" s="8" t="s">
        <v>8998</v>
      </c>
      <c r="J2713" s="138" t="s">
        <v>18497</v>
      </c>
      <c r="K2713" s="1" t="s">
        <v>21658</v>
      </c>
      <c r="L2713" s="8" t="s">
        <v>9076</v>
      </c>
      <c r="M2713" s="8">
        <v>5760</v>
      </c>
      <c r="N2713" s="8" t="s">
        <v>8953</v>
      </c>
      <c r="O2713" s="8" t="s">
        <v>8989</v>
      </c>
      <c r="P2713" s="1" t="s">
        <v>8955</v>
      </c>
      <c r="Q2713" s="1" t="s">
        <v>8956</v>
      </c>
      <c r="R2713" s="1" t="s">
        <v>8975</v>
      </c>
      <c r="S2713" s="1" t="s">
        <v>20514</v>
      </c>
      <c r="T2713" s="1" t="s">
        <v>7</v>
      </c>
      <c r="U2713" s="1" t="s">
        <v>64</v>
      </c>
    </row>
    <row r="2714" spans="1:21" x14ac:dyDescent="0.2">
      <c r="A2714" s="88" t="s">
        <v>18463</v>
      </c>
      <c r="B2714" s="88" t="e">
        <f>VLOOKUP(C2714,#REF!,1,0)</f>
        <v>#REF!</v>
      </c>
      <c r="C2714" t="s">
        <v>8838</v>
      </c>
      <c r="D2714" t="s">
        <v>8839</v>
      </c>
      <c r="E2714" s="8" t="s">
        <v>9310</v>
      </c>
      <c r="F2714" s="8" t="s">
        <v>8957</v>
      </c>
      <c r="G2714" s="8" t="s">
        <v>8959</v>
      </c>
      <c r="H2714" s="8" t="s">
        <v>9035</v>
      </c>
      <c r="I2714" s="8" t="s">
        <v>8998</v>
      </c>
      <c r="J2714" s="138" t="s">
        <v>9036</v>
      </c>
      <c r="K2714" s="1" t="s">
        <v>9036</v>
      </c>
      <c r="L2714" s="8" t="s">
        <v>8951</v>
      </c>
      <c r="M2714" s="8">
        <v>793062</v>
      </c>
      <c r="N2714" s="8" t="s">
        <v>8953</v>
      </c>
      <c r="O2714" s="8" t="s">
        <v>8954</v>
      </c>
      <c r="P2714" s="1" t="s">
        <v>8955</v>
      </c>
      <c r="Q2714" s="1" t="s">
        <v>8956</v>
      </c>
      <c r="R2714" s="1" t="s">
        <v>8975</v>
      </c>
      <c r="S2714" s="1" t="s">
        <v>8840</v>
      </c>
      <c r="T2714" s="1" t="s">
        <v>7</v>
      </c>
      <c r="U2714" s="1" t="s">
        <v>27</v>
      </c>
    </row>
    <row r="2715" spans="1:21" x14ac:dyDescent="0.2">
      <c r="A2715" s="88" t="s">
        <v>18464</v>
      </c>
      <c r="B2715" s="88" t="e">
        <f>VLOOKUP(C2715,#REF!,1,0)</f>
        <v>#REF!</v>
      </c>
      <c r="C2715" t="s">
        <v>8841</v>
      </c>
      <c r="D2715" t="s">
        <v>8842</v>
      </c>
      <c r="E2715" s="8" t="s">
        <v>9310</v>
      </c>
      <c r="F2715" s="8" t="s">
        <v>8957</v>
      </c>
      <c r="G2715" s="8" t="s">
        <v>8959</v>
      </c>
      <c r="H2715" s="8" t="s">
        <v>9100</v>
      </c>
      <c r="I2715" s="8" t="s">
        <v>9155</v>
      </c>
      <c r="J2715" s="138" t="s">
        <v>21410</v>
      </c>
      <c r="K2715" s="1" t="s">
        <v>21410</v>
      </c>
      <c r="L2715" s="8" t="s">
        <v>21618</v>
      </c>
      <c r="M2715" s="8">
        <v>2626</v>
      </c>
      <c r="N2715" s="8" t="s">
        <v>8953</v>
      </c>
      <c r="O2715" s="8" t="s">
        <v>8954</v>
      </c>
      <c r="P2715" s="1" t="s">
        <v>8955</v>
      </c>
      <c r="Q2715" s="1" t="s">
        <v>8956</v>
      </c>
      <c r="R2715" s="1" t="s">
        <v>8958</v>
      </c>
      <c r="S2715" s="1" t="s">
        <v>20515</v>
      </c>
      <c r="T2715" s="1" t="s">
        <v>7</v>
      </c>
      <c r="U2715" s="1" t="s">
        <v>126</v>
      </c>
    </row>
    <row r="2716" spans="1:21" x14ac:dyDescent="0.2">
      <c r="A2716" s="88" t="s">
        <v>18465</v>
      </c>
      <c r="B2716" s="88" t="e">
        <f>VLOOKUP(C2716,#REF!,1,0)</f>
        <v>#REF!</v>
      </c>
      <c r="C2716" t="s">
        <v>8843</v>
      </c>
      <c r="D2716" t="s">
        <v>8844</v>
      </c>
      <c r="E2716" s="8" t="s">
        <v>18502</v>
      </c>
      <c r="F2716" s="8" t="s">
        <v>8959</v>
      </c>
      <c r="G2716" s="8" t="s">
        <v>9061</v>
      </c>
      <c r="H2716" s="8" t="s">
        <v>9035</v>
      </c>
      <c r="I2716" s="8" t="s">
        <v>9308</v>
      </c>
      <c r="J2716" s="138" t="s">
        <v>10525</v>
      </c>
      <c r="K2716" s="1" t="s">
        <v>21650</v>
      </c>
      <c r="L2716" s="8" t="s">
        <v>8987</v>
      </c>
      <c r="M2716" s="8">
        <v>131</v>
      </c>
      <c r="N2716" s="8" t="s">
        <v>8953</v>
      </c>
      <c r="O2716" s="8" t="s">
        <v>8989</v>
      </c>
      <c r="P2716" s="1" t="s">
        <v>8955</v>
      </c>
      <c r="Q2716" s="1" t="s">
        <v>8956</v>
      </c>
      <c r="R2716" s="1" t="s">
        <v>8958</v>
      </c>
      <c r="S2716" s="1" t="s">
        <v>20708</v>
      </c>
      <c r="T2716" s="1" t="s">
        <v>7</v>
      </c>
      <c r="U2716" s="1" t="s">
        <v>110</v>
      </c>
    </row>
    <row r="2717" spans="1:21" x14ac:dyDescent="0.2">
      <c r="A2717" s="88" t="s">
        <v>18466</v>
      </c>
      <c r="B2717" s="88" t="e">
        <f>VLOOKUP(C2717,#REF!,1,0)</f>
        <v>#REF!</v>
      </c>
      <c r="C2717" t="s">
        <v>8847</v>
      </c>
      <c r="D2717" t="s">
        <v>8848</v>
      </c>
      <c r="E2717" s="8" t="s">
        <v>9310</v>
      </c>
      <c r="F2717" s="8" t="s">
        <v>8957</v>
      </c>
      <c r="G2717" s="8" t="s">
        <v>8959</v>
      </c>
      <c r="H2717" s="8" t="s">
        <v>9075</v>
      </c>
      <c r="I2717" s="8" t="s">
        <v>8949</v>
      </c>
      <c r="J2717" s="138" t="s">
        <v>10525</v>
      </c>
      <c r="K2717" s="1" t="s">
        <v>21650</v>
      </c>
      <c r="L2717" s="8" t="s">
        <v>21600</v>
      </c>
      <c r="M2717" s="8">
        <v>2102</v>
      </c>
      <c r="N2717" s="8" t="s">
        <v>8953</v>
      </c>
      <c r="O2717" s="8" t="s">
        <v>8954</v>
      </c>
      <c r="P2717" s="1" t="s">
        <v>8955</v>
      </c>
      <c r="Q2717" s="1" t="s">
        <v>8956</v>
      </c>
      <c r="R2717" s="1" t="s">
        <v>9103</v>
      </c>
      <c r="S2717" s="1" t="s">
        <v>20517</v>
      </c>
      <c r="T2717" s="1" t="s">
        <v>7</v>
      </c>
      <c r="U2717" s="1" t="s">
        <v>61</v>
      </c>
    </row>
    <row r="2718" spans="1:21" x14ac:dyDescent="0.2">
      <c r="A2718" s="88" t="s">
        <v>18468</v>
      </c>
      <c r="B2718" s="88" t="e">
        <f>VLOOKUP(C2718,#REF!,1,0)</f>
        <v>#REF!</v>
      </c>
      <c r="C2718" t="s">
        <v>8851</v>
      </c>
      <c r="D2718" t="s">
        <v>8852</v>
      </c>
      <c r="E2718" s="8" t="s">
        <v>9010</v>
      </c>
      <c r="F2718" s="8" t="s">
        <v>8974</v>
      </c>
      <c r="G2718" s="8" t="s">
        <v>8959</v>
      </c>
      <c r="H2718" s="8" t="s">
        <v>8948</v>
      </c>
      <c r="I2718" s="8" t="s">
        <v>8998</v>
      </c>
      <c r="J2718" s="138" t="s">
        <v>8972</v>
      </c>
      <c r="K2718" s="1" t="s">
        <v>8972</v>
      </c>
      <c r="L2718" s="8" t="s">
        <v>21600</v>
      </c>
      <c r="M2718" s="8">
        <v>271</v>
      </c>
      <c r="N2718" s="8" t="s">
        <v>8953</v>
      </c>
      <c r="O2718" s="8" t="s">
        <v>8954</v>
      </c>
      <c r="P2718" s="1" t="s">
        <v>8955</v>
      </c>
      <c r="Q2718" s="1" t="s">
        <v>8956</v>
      </c>
      <c r="R2718" s="1" t="s">
        <v>8975</v>
      </c>
      <c r="S2718" s="1" t="s">
        <v>8853</v>
      </c>
      <c r="T2718" s="1" t="s">
        <v>17</v>
      </c>
      <c r="U2718" s="1" t="s">
        <v>93</v>
      </c>
    </row>
    <row r="2719" spans="1:21" x14ac:dyDescent="0.2">
      <c r="A2719" s="88" t="s">
        <v>18469</v>
      </c>
      <c r="B2719" s="88" t="e">
        <f>VLOOKUP(C2719,#REF!,1,0)</f>
        <v>#REF!</v>
      </c>
      <c r="C2719" t="s">
        <v>21622</v>
      </c>
      <c r="D2719" t="s">
        <v>8855</v>
      </c>
      <c r="E2719" s="8" t="s">
        <v>9310</v>
      </c>
      <c r="F2719" s="8" t="s">
        <v>8957</v>
      </c>
      <c r="G2719" s="8" t="s">
        <v>8959</v>
      </c>
      <c r="H2719" s="8" t="s">
        <v>9100</v>
      </c>
      <c r="I2719" s="8" t="s">
        <v>9155</v>
      </c>
      <c r="J2719" s="138" t="s">
        <v>20825</v>
      </c>
      <c r="K2719" s="1" t="s">
        <v>12500</v>
      </c>
      <c r="L2719" s="8" t="s">
        <v>9464</v>
      </c>
      <c r="M2719" s="8">
        <v>500</v>
      </c>
      <c r="N2719" s="8" t="s">
        <v>8953</v>
      </c>
      <c r="O2719" s="8" t="s">
        <v>8954</v>
      </c>
      <c r="P2719" s="1" t="s">
        <v>8955</v>
      </c>
      <c r="Q2719" s="1" t="s">
        <v>8956</v>
      </c>
      <c r="R2719" s="1" t="s">
        <v>8958</v>
      </c>
      <c r="S2719" s="1" t="s">
        <v>20519</v>
      </c>
      <c r="T2719" s="1" t="s">
        <v>11</v>
      </c>
      <c r="U2719" s="1" t="s">
        <v>210</v>
      </c>
    </row>
    <row r="2720" spans="1:21" x14ac:dyDescent="0.2">
      <c r="A2720" s="88" t="s">
        <v>18470</v>
      </c>
      <c r="B2720" s="88" t="e">
        <f>VLOOKUP(C2720,#REF!,1,0)</f>
        <v>#REF!</v>
      </c>
      <c r="C2720" t="s">
        <v>8856</v>
      </c>
      <c r="D2720" t="s">
        <v>8857</v>
      </c>
      <c r="E2720" s="8" t="s">
        <v>9310</v>
      </c>
      <c r="F2720" s="8" t="s">
        <v>8957</v>
      </c>
      <c r="G2720" s="8" t="s">
        <v>8959</v>
      </c>
      <c r="H2720" s="8" t="s">
        <v>8948</v>
      </c>
      <c r="I2720" s="8" t="s">
        <v>8949</v>
      </c>
      <c r="J2720" s="138" t="s">
        <v>9666</v>
      </c>
      <c r="K2720" s="1" t="s">
        <v>9666</v>
      </c>
      <c r="L2720" s="8" t="s">
        <v>8987</v>
      </c>
      <c r="M2720" s="8">
        <v>181</v>
      </c>
      <c r="N2720" s="8" t="s">
        <v>8953</v>
      </c>
      <c r="O2720" s="8" t="s">
        <v>8954</v>
      </c>
      <c r="P2720" s="1" t="s">
        <v>8955</v>
      </c>
      <c r="Q2720" s="1" t="s">
        <v>8956</v>
      </c>
      <c r="R2720" s="1" t="s">
        <v>8975</v>
      </c>
      <c r="S2720" s="1" t="s">
        <v>8858</v>
      </c>
      <c r="T2720" s="1" t="s">
        <v>17</v>
      </c>
      <c r="U2720" s="1" t="s">
        <v>831</v>
      </c>
    </row>
    <row r="2721" spans="1:21" x14ac:dyDescent="0.2">
      <c r="A2721" s="88" t="s">
        <v>18471</v>
      </c>
      <c r="B2721" s="88" t="e">
        <f>VLOOKUP(C2721,#REF!,1,0)</f>
        <v>#REF!</v>
      </c>
      <c r="C2721" t="s">
        <v>8859</v>
      </c>
      <c r="D2721" t="s">
        <v>8860</v>
      </c>
      <c r="E2721" s="8" t="s">
        <v>9310</v>
      </c>
      <c r="F2721" s="8" t="s">
        <v>9060</v>
      </c>
      <c r="G2721" s="8" t="s">
        <v>9009</v>
      </c>
      <c r="H2721" s="8" t="s">
        <v>9605</v>
      </c>
      <c r="I2721" s="8" t="s">
        <v>9101</v>
      </c>
      <c r="J2721" s="138" t="s">
        <v>13719</v>
      </c>
      <c r="K2721" s="1" t="s">
        <v>21750</v>
      </c>
      <c r="L2721" s="8" t="s">
        <v>9076</v>
      </c>
      <c r="M2721" s="8">
        <v>100</v>
      </c>
      <c r="N2721" s="8" t="s">
        <v>8953</v>
      </c>
      <c r="O2721" s="8" t="s">
        <v>8954</v>
      </c>
      <c r="P2721" s="1" t="s">
        <v>8955</v>
      </c>
      <c r="Q2721" s="1" t="s">
        <v>8956</v>
      </c>
      <c r="R2721" s="1" t="s">
        <v>9103</v>
      </c>
      <c r="S2721" s="1" t="s">
        <v>8861</v>
      </c>
      <c r="T2721" s="1" t="s">
        <v>4</v>
      </c>
      <c r="U2721" s="1" t="s">
        <v>15</v>
      </c>
    </row>
    <row r="2722" spans="1:21" x14ac:dyDescent="0.2">
      <c r="A2722" s="88" t="s">
        <v>18472</v>
      </c>
      <c r="B2722" s="88" t="e">
        <f>VLOOKUP(C2722,#REF!,1,0)</f>
        <v>#REF!</v>
      </c>
      <c r="C2722" t="s">
        <v>8862</v>
      </c>
      <c r="D2722" t="s">
        <v>8863</v>
      </c>
      <c r="E2722" s="8" t="s">
        <v>9310</v>
      </c>
      <c r="F2722" s="8" t="s">
        <v>8957</v>
      </c>
      <c r="G2722" s="8" t="s">
        <v>8959</v>
      </c>
      <c r="H2722" s="8" t="s">
        <v>9075</v>
      </c>
      <c r="I2722" s="8" t="s">
        <v>8949</v>
      </c>
      <c r="J2722" s="138" t="s">
        <v>21462</v>
      </c>
      <c r="K2722" s="1" t="s">
        <v>21462</v>
      </c>
      <c r="L2722" s="8" t="s">
        <v>8951</v>
      </c>
      <c r="M2722" s="8">
        <v>21</v>
      </c>
      <c r="N2722" s="8" t="s">
        <v>9059</v>
      </c>
      <c r="O2722" s="8" t="s">
        <v>8989</v>
      </c>
      <c r="P2722" s="1" t="s">
        <v>8955</v>
      </c>
      <c r="Q2722" s="1" t="s">
        <v>8956</v>
      </c>
      <c r="R2722" s="1" t="s">
        <v>8958</v>
      </c>
      <c r="S2722" s="1" t="s">
        <v>8864</v>
      </c>
      <c r="T2722" s="1" t="s">
        <v>4</v>
      </c>
      <c r="U2722" s="1" t="s">
        <v>93</v>
      </c>
    </row>
    <row r="2723" spans="1:21" x14ac:dyDescent="0.2">
      <c r="A2723" s="88" t="s">
        <v>18473</v>
      </c>
      <c r="B2723" s="88" t="e">
        <f>VLOOKUP(C2723,#REF!,1,0)</f>
        <v>#REF!</v>
      </c>
      <c r="C2723" t="s">
        <v>8865</v>
      </c>
      <c r="D2723" t="s">
        <v>8866</v>
      </c>
      <c r="E2723" s="8" t="s">
        <v>9310</v>
      </c>
      <c r="F2723" s="8" t="s">
        <v>8957</v>
      </c>
      <c r="G2723" s="8" t="s">
        <v>8959</v>
      </c>
      <c r="H2723" s="8" t="s">
        <v>9075</v>
      </c>
      <c r="I2723" s="8" t="s">
        <v>8949</v>
      </c>
      <c r="J2723" s="138" t="s">
        <v>10492</v>
      </c>
      <c r="K2723" s="1" t="s">
        <v>10492</v>
      </c>
      <c r="L2723" s="8" t="s">
        <v>21600</v>
      </c>
      <c r="M2723" s="8">
        <v>1416</v>
      </c>
      <c r="N2723" s="8" t="s">
        <v>8953</v>
      </c>
      <c r="O2723" s="8" t="s">
        <v>8989</v>
      </c>
      <c r="P2723" s="1" t="s">
        <v>8955</v>
      </c>
      <c r="Q2723" s="1" t="s">
        <v>8956</v>
      </c>
      <c r="R2723" s="1" t="s">
        <v>8958</v>
      </c>
      <c r="S2723" s="1" t="s">
        <v>20520</v>
      </c>
      <c r="T2723" s="1" t="s">
        <v>17</v>
      </c>
      <c r="U2723" s="1" t="s">
        <v>619</v>
      </c>
    </row>
    <row r="2724" spans="1:21" x14ac:dyDescent="0.2">
      <c r="A2724" s="88" t="s">
        <v>18474</v>
      </c>
      <c r="B2724" s="88"/>
      <c r="C2724" t="s">
        <v>8867</v>
      </c>
      <c r="D2724" t="s">
        <v>8868</v>
      </c>
      <c r="E2724" s="8" t="e">
        <v>#N/A</v>
      </c>
      <c r="F2724" s="8" t="e">
        <v>#N/A</v>
      </c>
      <c r="G2724" s="8" t="e">
        <v>#N/A</v>
      </c>
      <c r="H2724" s="8" t="e">
        <v>#N/A</v>
      </c>
      <c r="I2724" s="8" t="e">
        <v>#N/A</v>
      </c>
      <c r="J2724" s="138" t="e">
        <v>#N/A</v>
      </c>
      <c r="K2724" s="1" t="e">
        <v>#N/A</v>
      </c>
      <c r="L2724" s="8" t="e">
        <v>#N/A</v>
      </c>
      <c r="M2724" s="8" t="e">
        <v>#N/A</v>
      </c>
      <c r="N2724" s="8" t="e">
        <v>#N/A</v>
      </c>
      <c r="O2724" s="8" t="e">
        <v>#N/A</v>
      </c>
      <c r="P2724" s="1" t="s">
        <v>8955</v>
      </c>
      <c r="Q2724" s="1" t="s">
        <v>8956</v>
      </c>
      <c r="R2724" s="1" t="s">
        <v>8975</v>
      </c>
      <c r="S2724" s="1" t="s">
        <v>20521</v>
      </c>
      <c r="T2724" s="1" t="s">
        <v>252</v>
      </c>
      <c r="U2724" s="1" t="s">
        <v>5702</v>
      </c>
    </row>
    <row r="2725" spans="1:21" x14ac:dyDescent="0.2">
      <c r="A2725" s="88" t="s">
        <v>18475</v>
      </c>
      <c r="B2725" s="88" t="e">
        <f>VLOOKUP(C2725,#REF!,1,0)</f>
        <v>#REF!</v>
      </c>
      <c r="C2725" t="s">
        <v>8869</v>
      </c>
      <c r="D2725" t="s">
        <v>8870</v>
      </c>
      <c r="E2725" s="8" t="s">
        <v>18502</v>
      </c>
      <c r="F2725" s="8" t="s">
        <v>8957</v>
      </c>
      <c r="G2725" s="8" t="s">
        <v>9061</v>
      </c>
      <c r="H2725" s="8" t="s">
        <v>9252</v>
      </c>
      <c r="I2725" s="8" t="s">
        <v>8949</v>
      </c>
      <c r="J2725" s="138" t="s">
        <v>21245</v>
      </c>
      <c r="K2725" s="1" t="s">
        <v>21898</v>
      </c>
      <c r="L2725" s="8" t="s">
        <v>8987</v>
      </c>
      <c r="M2725" s="8">
        <v>270</v>
      </c>
      <c r="N2725" s="8" t="s">
        <v>9059</v>
      </c>
      <c r="O2725" s="8" t="s">
        <v>8989</v>
      </c>
      <c r="P2725" s="1" t="s">
        <v>8955</v>
      </c>
      <c r="Q2725" s="1" t="s">
        <v>8956</v>
      </c>
      <c r="R2725" s="1" t="s">
        <v>8958</v>
      </c>
      <c r="S2725" s="1" t="s">
        <v>20522</v>
      </c>
      <c r="T2725" s="1" t="s">
        <v>17</v>
      </c>
      <c r="U2725" s="1" t="s">
        <v>74</v>
      </c>
    </row>
    <row r="2726" spans="1:21" x14ac:dyDescent="0.2">
      <c r="A2726" s="88" t="s">
        <v>18476</v>
      </c>
      <c r="B2726" s="88" t="e">
        <f>VLOOKUP(C2726,#REF!,1,0)</f>
        <v>#REF!</v>
      </c>
      <c r="C2726" t="s">
        <v>8871</v>
      </c>
      <c r="D2726" t="s">
        <v>8872</v>
      </c>
      <c r="E2726" s="8" t="s">
        <v>9310</v>
      </c>
      <c r="F2726" s="8" t="s">
        <v>8957</v>
      </c>
      <c r="G2726" s="8" t="s">
        <v>8959</v>
      </c>
      <c r="H2726" s="8" t="s">
        <v>9100</v>
      </c>
      <c r="I2726" s="8" t="s">
        <v>8949</v>
      </c>
      <c r="J2726" s="138" t="s">
        <v>10492</v>
      </c>
      <c r="K2726" s="1" t="s">
        <v>10492</v>
      </c>
      <c r="L2726" s="8" t="s">
        <v>9464</v>
      </c>
      <c r="M2726" s="8">
        <v>132</v>
      </c>
      <c r="N2726" s="8" t="s">
        <v>8953</v>
      </c>
      <c r="O2726" s="8" t="s">
        <v>8954</v>
      </c>
      <c r="P2726" s="1" t="s">
        <v>8955</v>
      </c>
      <c r="Q2726" s="1" t="s">
        <v>8956</v>
      </c>
      <c r="R2726" s="1" t="s">
        <v>8975</v>
      </c>
      <c r="S2726" s="1" t="s">
        <v>20523</v>
      </c>
      <c r="T2726" s="1" t="s">
        <v>7</v>
      </c>
      <c r="U2726" s="1" t="s">
        <v>93</v>
      </c>
    </row>
    <row r="2727" spans="1:21" x14ac:dyDescent="0.2">
      <c r="A2727" s="88" t="s">
        <v>18477</v>
      </c>
      <c r="B2727" s="88" t="e">
        <f>VLOOKUP(C2727,#REF!,1,0)</f>
        <v>#REF!</v>
      </c>
      <c r="C2727" t="s">
        <v>21621</v>
      </c>
      <c r="D2727" t="s">
        <v>8874</v>
      </c>
      <c r="E2727" s="8" t="s">
        <v>9310</v>
      </c>
      <c r="F2727" s="8" t="s">
        <v>8957</v>
      </c>
      <c r="G2727" s="8" t="s">
        <v>8959</v>
      </c>
      <c r="H2727" s="8" t="s">
        <v>9100</v>
      </c>
      <c r="I2727" s="8" t="s">
        <v>8949</v>
      </c>
      <c r="J2727" s="138" t="s">
        <v>10492</v>
      </c>
      <c r="K2727" s="1" t="s">
        <v>10492</v>
      </c>
      <c r="L2727" s="8" t="s">
        <v>9464</v>
      </c>
      <c r="M2727" s="8">
        <v>132</v>
      </c>
      <c r="N2727" s="8" t="s">
        <v>8953</v>
      </c>
      <c r="O2727" s="8" t="s">
        <v>8954</v>
      </c>
      <c r="P2727" s="1" t="s">
        <v>8955</v>
      </c>
      <c r="Q2727" s="1" t="s">
        <v>8956</v>
      </c>
      <c r="R2727" s="1" t="s">
        <v>8958</v>
      </c>
      <c r="S2727" s="1" t="s">
        <v>20524</v>
      </c>
      <c r="T2727" s="1" t="s">
        <v>7</v>
      </c>
      <c r="U2727" s="1" t="s">
        <v>46</v>
      </c>
    </row>
    <row r="2728" spans="1:21" x14ac:dyDescent="0.2">
      <c r="A2728" s="88" t="s">
        <v>18478</v>
      </c>
      <c r="B2728" s="88" t="e">
        <f>VLOOKUP(C2728,#REF!,1,0)</f>
        <v>#REF!</v>
      </c>
      <c r="C2728" t="s">
        <v>8875</v>
      </c>
      <c r="D2728" t="s">
        <v>8876</v>
      </c>
      <c r="E2728" s="8" t="s">
        <v>18502</v>
      </c>
      <c r="F2728" s="8" t="s">
        <v>8959</v>
      </c>
      <c r="G2728" s="8" t="s">
        <v>9061</v>
      </c>
      <c r="H2728" s="8" t="s">
        <v>9252</v>
      </c>
      <c r="I2728" s="8" t="s">
        <v>8949</v>
      </c>
      <c r="J2728" s="138" t="s">
        <v>20735</v>
      </c>
      <c r="K2728" s="1" t="s">
        <v>20735</v>
      </c>
      <c r="L2728" s="8" t="s">
        <v>9292</v>
      </c>
      <c r="M2728" s="8">
        <v>131</v>
      </c>
      <c r="N2728" s="8" t="s">
        <v>9059</v>
      </c>
      <c r="O2728" s="8" t="s">
        <v>8989</v>
      </c>
      <c r="P2728" s="1" t="s">
        <v>8955</v>
      </c>
      <c r="Q2728" s="1" t="s">
        <v>8956</v>
      </c>
      <c r="R2728" s="1" t="s">
        <v>8958</v>
      </c>
      <c r="S2728" s="1" t="s">
        <v>20525</v>
      </c>
      <c r="T2728" s="1" t="s">
        <v>17</v>
      </c>
      <c r="U2728" s="1" t="s">
        <v>74</v>
      </c>
    </row>
    <row r="2729" spans="1:21" x14ac:dyDescent="0.2">
      <c r="A2729" s="88" t="s">
        <v>18479</v>
      </c>
      <c r="B2729" s="88" t="e">
        <f>VLOOKUP(C2729,#REF!,1,0)</f>
        <v>#REF!</v>
      </c>
      <c r="C2729" t="s">
        <v>8877</v>
      </c>
      <c r="D2729" t="s">
        <v>8878</v>
      </c>
      <c r="E2729" s="8" t="s">
        <v>9310</v>
      </c>
      <c r="F2729" s="8" t="s">
        <v>8957</v>
      </c>
      <c r="G2729" s="8" t="s">
        <v>8959</v>
      </c>
      <c r="H2729" s="8" t="s">
        <v>9154</v>
      </c>
      <c r="I2729" s="8" t="s">
        <v>9155</v>
      </c>
      <c r="J2729" s="138" t="s">
        <v>21345</v>
      </c>
      <c r="K2729" s="1" t="s">
        <v>21329</v>
      </c>
      <c r="L2729" s="8" t="s">
        <v>21600</v>
      </c>
      <c r="M2729" s="8">
        <v>120</v>
      </c>
      <c r="N2729" s="8" t="s">
        <v>8953</v>
      </c>
      <c r="O2729" s="8" t="s">
        <v>8954</v>
      </c>
      <c r="P2729" s="1" t="s">
        <v>8955</v>
      </c>
      <c r="Q2729" s="1" t="s">
        <v>8956</v>
      </c>
      <c r="R2729" s="1" t="s">
        <v>8975</v>
      </c>
      <c r="S2729" s="1" t="s">
        <v>20526</v>
      </c>
      <c r="T2729" s="1" t="s">
        <v>17</v>
      </c>
      <c r="U2729" s="1" t="s">
        <v>126</v>
      </c>
    </row>
    <row r="2730" spans="1:21" x14ac:dyDescent="0.2">
      <c r="A2730" s="88" t="s">
        <v>18480</v>
      </c>
      <c r="B2730" s="88" t="e">
        <f>VLOOKUP(C2730,#REF!,1,0)</f>
        <v>#REF!</v>
      </c>
      <c r="C2730" t="s">
        <v>8879</v>
      </c>
      <c r="D2730" t="s">
        <v>8880</v>
      </c>
      <c r="E2730" s="8" t="s">
        <v>9310</v>
      </c>
      <c r="F2730" s="8" t="s">
        <v>8957</v>
      </c>
      <c r="G2730" s="8" t="s">
        <v>8959</v>
      </c>
      <c r="H2730" s="8" t="s">
        <v>9252</v>
      </c>
      <c r="I2730" s="8" t="s">
        <v>8971</v>
      </c>
      <c r="J2730" s="138" t="s">
        <v>10525</v>
      </c>
      <c r="K2730" s="1" t="s">
        <v>10525</v>
      </c>
      <c r="L2730" s="8" t="s">
        <v>8987</v>
      </c>
      <c r="M2730" s="8">
        <v>2288</v>
      </c>
      <c r="N2730" s="8" t="s">
        <v>8953</v>
      </c>
      <c r="O2730" s="8" t="s">
        <v>8954</v>
      </c>
      <c r="P2730" s="1" t="s">
        <v>8955</v>
      </c>
      <c r="Q2730" s="1" t="s">
        <v>8956</v>
      </c>
      <c r="R2730" s="1" t="s">
        <v>8958</v>
      </c>
      <c r="S2730" s="1" t="s">
        <v>20527</v>
      </c>
      <c r="T2730" s="1" t="s">
        <v>7</v>
      </c>
      <c r="U2730" s="1" t="s">
        <v>93</v>
      </c>
    </row>
    <row r="2731" spans="1:21" x14ac:dyDescent="0.2">
      <c r="A2731" s="88" t="s">
        <v>18481</v>
      </c>
      <c r="B2731" s="88" t="e">
        <f>VLOOKUP(C2731,#REF!,1,0)</f>
        <v>#REF!</v>
      </c>
      <c r="C2731" t="s">
        <v>8881</v>
      </c>
      <c r="D2731" t="s">
        <v>8882</v>
      </c>
      <c r="E2731" s="8" t="s">
        <v>9310</v>
      </c>
      <c r="F2731" s="8" t="s">
        <v>8957</v>
      </c>
      <c r="G2731" s="8" t="s">
        <v>8959</v>
      </c>
      <c r="H2731" s="8" t="s">
        <v>9252</v>
      </c>
      <c r="I2731" s="8" t="s">
        <v>8971</v>
      </c>
      <c r="J2731" s="138" t="s">
        <v>10492</v>
      </c>
      <c r="K2731" s="1" t="s">
        <v>10492</v>
      </c>
      <c r="L2731" s="8" t="s">
        <v>21600</v>
      </c>
      <c r="M2731" s="8">
        <v>1602</v>
      </c>
      <c r="N2731" s="8" t="s">
        <v>8953</v>
      </c>
      <c r="O2731" s="8" t="s">
        <v>8954</v>
      </c>
      <c r="P2731" s="1" t="s">
        <v>8955</v>
      </c>
      <c r="Q2731" s="1" t="s">
        <v>8956</v>
      </c>
      <c r="R2731" s="1" t="s">
        <v>8958</v>
      </c>
      <c r="S2731" s="1" t="s">
        <v>20528</v>
      </c>
      <c r="T2731" s="1" t="s">
        <v>17</v>
      </c>
      <c r="U2731" s="1" t="s">
        <v>110</v>
      </c>
    </row>
    <row r="2732" spans="1:21" x14ac:dyDescent="0.2">
      <c r="A2732" s="88" t="s">
        <v>18485</v>
      </c>
      <c r="B2732" s="88" t="e">
        <f>VLOOKUP(C2732,#REF!,1,0)</f>
        <v>#REF!</v>
      </c>
      <c r="C2732" t="s">
        <v>8890</v>
      </c>
      <c r="D2732" t="s">
        <v>8891</v>
      </c>
      <c r="E2732" s="8" t="s">
        <v>10873</v>
      </c>
      <c r="F2732" s="8" t="s">
        <v>8974</v>
      </c>
      <c r="G2732" s="8" t="s">
        <v>9183</v>
      </c>
      <c r="H2732" s="8" t="s">
        <v>9049</v>
      </c>
      <c r="I2732" s="8" t="s">
        <v>9050</v>
      </c>
      <c r="J2732" s="138" t="s">
        <v>13278</v>
      </c>
      <c r="K2732" s="1" t="s">
        <v>13278</v>
      </c>
      <c r="L2732" s="8" t="s">
        <v>8951</v>
      </c>
      <c r="M2732" s="8">
        <v>17118</v>
      </c>
      <c r="N2732" s="8" t="s">
        <v>8953</v>
      </c>
      <c r="O2732" s="8" t="s">
        <v>8989</v>
      </c>
      <c r="P2732" s="1" t="s">
        <v>8955</v>
      </c>
      <c r="Q2732" s="1" t="s">
        <v>8956</v>
      </c>
      <c r="R2732" s="1" t="s">
        <v>8975</v>
      </c>
      <c r="S2732" s="1" t="s">
        <v>8892</v>
      </c>
      <c r="T2732" s="1" t="s">
        <v>4</v>
      </c>
      <c r="U2732" s="1" t="s">
        <v>2082</v>
      </c>
    </row>
    <row r="2733" spans="1:21" x14ac:dyDescent="0.2">
      <c r="A2733" s="88" t="s">
        <v>18486</v>
      </c>
      <c r="B2733" s="88" t="e">
        <f>VLOOKUP(C2733,#REF!,1,0)</f>
        <v>#REF!</v>
      </c>
      <c r="C2733" t="s">
        <v>8899</v>
      </c>
      <c r="D2733" t="s">
        <v>8900</v>
      </c>
      <c r="E2733" s="8" t="s">
        <v>18502</v>
      </c>
      <c r="F2733" s="8" t="s">
        <v>8974</v>
      </c>
      <c r="G2733" s="8" t="s">
        <v>9061</v>
      </c>
      <c r="H2733" s="8" t="s">
        <v>9075</v>
      </c>
      <c r="I2733" s="8" t="s">
        <v>8949</v>
      </c>
      <c r="J2733" s="138" t="s">
        <v>10525</v>
      </c>
      <c r="K2733" s="1" t="s">
        <v>21650</v>
      </c>
      <c r="L2733" s="8" t="s">
        <v>8987</v>
      </c>
      <c r="M2733" s="8">
        <v>342</v>
      </c>
      <c r="N2733" s="8" t="s">
        <v>9059</v>
      </c>
      <c r="O2733" s="8" t="s">
        <v>8989</v>
      </c>
      <c r="P2733" s="1" t="s">
        <v>8955</v>
      </c>
      <c r="Q2733" s="1" t="s">
        <v>8956</v>
      </c>
      <c r="R2733" s="1" t="s">
        <v>8975</v>
      </c>
      <c r="S2733" s="1" t="s">
        <v>20534</v>
      </c>
      <c r="T2733" s="1" t="s">
        <v>7</v>
      </c>
      <c r="U2733" s="1" t="s">
        <v>93</v>
      </c>
    </row>
    <row r="2734" spans="1:21" x14ac:dyDescent="0.2">
      <c r="A2734" s="88" t="s">
        <v>18487</v>
      </c>
      <c r="B2734" s="88" t="e">
        <f>VLOOKUP(C2734,#REF!,1,0)</f>
        <v>#REF!</v>
      </c>
      <c r="C2734" t="s">
        <v>8907</v>
      </c>
      <c r="D2734" t="s">
        <v>8908</v>
      </c>
      <c r="E2734" s="8" t="s">
        <v>9310</v>
      </c>
      <c r="F2734" s="8" t="s">
        <v>8959</v>
      </c>
      <c r="G2734" s="8" t="s">
        <v>9009</v>
      </c>
      <c r="H2734" s="8" t="s">
        <v>9035</v>
      </c>
      <c r="I2734" s="8" t="s">
        <v>9308</v>
      </c>
      <c r="J2734" s="138" t="s">
        <v>21593</v>
      </c>
      <c r="K2734" s="1" t="s">
        <v>21593</v>
      </c>
      <c r="L2734" s="8" t="s">
        <v>8951</v>
      </c>
      <c r="M2734" s="8">
        <v>762</v>
      </c>
      <c r="N2734" s="8" t="s">
        <v>8953</v>
      </c>
      <c r="O2734" s="8" t="s">
        <v>8954</v>
      </c>
      <c r="P2734" s="1" t="s">
        <v>8955</v>
      </c>
      <c r="Q2734" s="1" t="s">
        <v>8956</v>
      </c>
      <c r="R2734" s="1" t="s">
        <v>8975</v>
      </c>
      <c r="S2734" s="1" t="s">
        <v>20537</v>
      </c>
      <c r="T2734" s="1" t="s">
        <v>7</v>
      </c>
      <c r="U2734" s="1" t="s">
        <v>110</v>
      </c>
    </row>
    <row r="2735" spans="1:21" x14ac:dyDescent="0.2">
      <c r="A2735" s="88" t="s">
        <v>18488</v>
      </c>
      <c r="B2735" s="88" t="e">
        <f>VLOOKUP(C2735,#REF!,1,0)</f>
        <v>#REF!</v>
      </c>
      <c r="C2735" s="1" t="s">
        <v>8909</v>
      </c>
      <c r="D2735" s="1" t="s">
        <v>8910</v>
      </c>
      <c r="E2735" s="1" t="s">
        <v>9246</v>
      </c>
      <c r="F2735" s="1" t="s">
        <v>8957</v>
      </c>
      <c r="G2735" t="s">
        <v>9009</v>
      </c>
      <c r="H2735" s="1" t="s">
        <v>9154</v>
      </c>
      <c r="I2735" s="1" t="s">
        <v>8998</v>
      </c>
      <c r="J2735" s="2" t="s">
        <v>20890</v>
      </c>
      <c r="K2735" s="1" t="s">
        <v>21712</v>
      </c>
      <c r="L2735" s="1" t="s">
        <v>9292</v>
      </c>
      <c r="M2735" s="1">
        <v>166</v>
      </c>
      <c r="N2735" s="1" t="s">
        <v>8953</v>
      </c>
      <c r="O2735" s="1" t="s">
        <v>8989</v>
      </c>
      <c r="P2735" s="1" t="s">
        <v>8955</v>
      </c>
      <c r="Q2735" s="1" t="s">
        <v>8956</v>
      </c>
      <c r="R2735" s="1" t="s">
        <v>8975</v>
      </c>
      <c r="S2735" s="1" t="s">
        <v>8911</v>
      </c>
      <c r="T2735" s="1" t="s">
        <v>11</v>
      </c>
      <c r="U2735" s="1" t="s">
        <v>126</v>
      </c>
    </row>
    <row r="2736" spans="1:21" x14ac:dyDescent="0.2">
      <c r="A2736" s="95" t="s">
        <v>16355</v>
      </c>
      <c r="B2736" s="88" t="e">
        <f>VLOOKUP(C2736,#REF!,1,0)</f>
        <v>#REF!</v>
      </c>
      <c r="C2736" s="96" t="s">
        <v>21154</v>
      </c>
      <c r="D2736" s="96" t="s">
        <v>2753</v>
      </c>
      <c r="E2736" s="118" t="s">
        <v>9176</v>
      </c>
      <c r="F2736" s="118" t="s">
        <v>8957</v>
      </c>
      <c r="G2736" s="117" t="s">
        <v>8959</v>
      </c>
      <c r="H2736" s="118" t="s">
        <v>9075</v>
      </c>
      <c r="I2736" s="118" t="s">
        <v>8949</v>
      </c>
      <c r="J2736" s="139" t="s">
        <v>21814</v>
      </c>
      <c r="L2736" s="118" t="s">
        <v>8973</v>
      </c>
      <c r="M2736" s="118">
        <v>50000</v>
      </c>
      <c r="N2736" s="118" t="s">
        <v>8953</v>
      </c>
      <c r="O2736" s="118" t="s">
        <v>8954</v>
      </c>
      <c r="R2736" s="96" t="str">
        <f t="shared" ref="R2736:R2738" si="0">IF(Q2736&gt;4,IF(Q2736&lt;8,"4-7",IF(Q2736&gt;7,"&gt;7")),"&lt;4")</f>
        <v>&lt;4</v>
      </c>
      <c r="S2736" s="96" t="s">
        <v>19065</v>
      </c>
      <c r="T2736" s="96">
        <v>2020</v>
      </c>
      <c r="U2736" s="96" t="s">
        <v>61</v>
      </c>
    </row>
    <row r="2737" spans="1:21" x14ac:dyDescent="0.2">
      <c r="A2737" s="95" t="s">
        <v>18293</v>
      </c>
      <c r="B2737" s="88" t="e">
        <f>VLOOKUP(C2737,#REF!,1,0)</f>
        <v>#REF!</v>
      </c>
      <c r="C2737" s="118" t="s">
        <v>21194</v>
      </c>
      <c r="D2737" s="118" t="s">
        <v>8384</v>
      </c>
      <c r="E2737" s="117" t="s">
        <v>18502</v>
      </c>
      <c r="F2737" s="117" t="s">
        <v>8959</v>
      </c>
      <c r="G2737" s="117" t="s">
        <v>8959</v>
      </c>
      <c r="H2737" s="117" t="s">
        <v>9605</v>
      </c>
      <c r="I2737" s="117" t="s">
        <v>8998</v>
      </c>
      <c r="J2737" s="140" t="s">
        <v>21813</v>
      </c>
      <c r="L2737" s="117" t="s">
        <v>9464</v>
      </c>
      <c r="M2737" s="117">
        <f>5175</f>
        <v>5175</v>
      </c>
      <c r="N2737" s="117" t="s">
        <v>8953</v>
      </c>
      <c r="O2737" s="117" t="s">
        <v>8989</v>
      </c>
      <c r="R2737" s="118" t="str">
        <f t="shared" si="0"/>
        <v>&lt;4</v>
      </c>
      <c r="S2737" s="118" t="s">
        <v>20396</v>
      </c>
      <c r="T2737" s="118" t="s">
        <v>7</v>
      </c>
      <c r="U2737" s="118" t="s">
        <v>378</v>
      </c>
    </row>
    <row r="2738" spans="1:21" x14ac:dyDescent="0.2">
      <c r="A2738" s="95" t="s">
        <v>18344</v>
      </c>
      <c r="B2738" s="88" t="e">
        <f>VLOOKUP(C2738,#REF!,1,0)</f>
        <v>#REF!</v>
      </c>
      <c r="C2738" s="96" t="s">
        <v>21512</v>
      </c>
      <c r="D2738" s="96" t="s">
        <v>8524</v>
      </c>
      <c r="E2738" s="117" t="s">
        <v>9310</v>
      </c>
      <c r="F2738" s="117" t="s">
        <v>8957</v>
      </c>
      <c r="G2738" s="117" t="s">
        <v>8959</v>
      </c>
      <c r="H2738" s="117" t="s">
        <v>9100</v>
      </c>
      <c r="I2738" s="117" t="s">
        <v>8949</v>
      </c>
      <c r="J2738" s="140" t="s">
        <v>18497</v>
      </c>
      <c r="L2738" s="117" t="s">
        <v>9076</v>
      </c>
      <c r="M2738" s="117">
        <v>800</v>
      </c>
      <c r="N2738" s="117" t="s">
        <v>8953</v>
      </c>
      <c r="O2738" s="117" t="s">
        <v>8989</v>
      </c>
      <c r="R2738" s="96" t="str">
        <f t="shared" si="0"/>
        <v>&lt;4</v>
      </c>
      <c r="S2738" s="96" t="s">
        <v>20426</v>
      </c>
      <c r="T2738" s="96" t="s">
        <v>17</v>
      </c>
      <c r="U2738" s="96" t="s">
        <v>61</v>
      </c>
    </row>
  </sheetData>
  <autoFilter ref="A1:U2738" xr:uid="{5FEC8DF7-2BDE-4F15-BD14-1896FD2A1A7A}"/>
  <phoneticPr fontId="18" type="noConversion"/>
  <dataValidations count="18">
    <dataValidation type="list" allowBlank="1" showInputMessage="1" showErrorMessage="1" sqref="I2:I1712 I1716:I1717 I1719 I1721 I1725 I1729 I1746:I1747 I1750:I1755 I1757 I1760 I1764 I1766:I1767 I1770:I1780 I1789 I1792 I1796 I1798:I1800 I1803:I1804 I1806 I1815:I1816 I1819 I1824:I1825 I1835:I1837 I1839:I1845 I1847:I1848 I1854 I1856:I1857 I1862 I1865:I1866 I1868 I1873 I1875:I1877 I1883:I1884 I1886:I1887 I1890 I1894 I1897:I1898 I1900 I1903 I1906 I1908 I1914 I1916 I1918:I1920 I1923:I1925 I1934:I1936 I1938 I1941 I1946:I1947 I1949 I1951 I1953 I1955 I1958 I1962 I1966:I1967 I1970 I1972:I1973 I1975:I1976 I1979:I1981 I1985 I1989 I1993:I1996 I1998 I2001:I2002 I2004 I2010:I2011 I2016 I2019 I2021 I2024 I2028:I2029 I2033:I2034 I2041 I2043 I2047 I2049:I2052 I2054:I2055 I2058 I2068:I2069 I2071:I2072 I2074 I2079:I2083 I2087:I2088 I2091 I2093:I2096 I2099 I2104 I2106:I2108 I2111:I2113 I2116 I2118:I2120 I2129 I2131:I2132 I2134 I2136 I2138:I2139 I2144 I2147 I2153:I2154 I2157 I2167 I2169 I2172 I2174 I2176 I2182:I2187 I2189 I2191 I2200 I2204:I2205 I2208:I2209 I2212 I2215 I2217 I2222 I2224:I2225 I2228:I2230 I2232:I2233 I2235:I2238 I2242 I2246 I2250 I2252:I2253 I2255 I2257 I2261 I2265 I2268:I2271 I2273:I2275 I2279:I2280 I2283:I2284 I2286:I2287 I2289 I2292 I2294 I2297:I2298 I2301 I2303:I2305 I2311 I2316 I2320:I2322 I2324:I2325 I2329 I2331 I2334 I2336:I2343 I2348 I2352 I2354 I2366:I2367 I2370:I2371 I2373 I2376 I2378 I2380:I2381 I2384 I2386 I2390 I2392:I2393 I2407 I2410:I2411 I2414 I2416:I2417 I2419:I2420 I2424 I2428 I2431 I2433 I2436 I2439 I2441 I2443:I2444 I2448:I2449 I2454 I2458:I2461 I2463 I2468 I2473:I2474 I2477:I2478 I2480:I2481 I2483:I2484 I2487:I2493 I2495 I2501:I2506 I2511 I2513 I2533 I2535:I2536 I2527:I2528 I2539:I2540 I2544:I2546 I2554:I2556 I2558 I2562 I2564:I2565 I2569 I2571:I2572 I2583 I2575:I2577 I2579:I2580 I2594:I2596 I2598:I2599 I2602:I2603 I2605:I2606 I2617 I2621 I2623 I2625 I2627 I2641:I2682 I2629 I2635 I2684:I2736" xr:uid="{5CE9D5EF-A58E-4452-A8B4-A86832B6FBBE}">
      <formula1>"US, CT, MRI, PET,Mammography,HE,WSI,ICH,CFP(fundus images),X-ray, mixed (more than one radiological technique),histopathological images,OCT optical coherence tomography, microscopy image, Dermoscopic image,endoscopy, ECG,EEG,other"</formula1>
    </dataValidation>
    <dataValidation type="list" allowBlank="1" showInputMessage="1" showErrorMessage="1" sqref="H1:H2509 H2511:H2517 H2519:H2682 H2685:H2738" xr:uid="{923AD30A-2B53-4DBA-93AD-808EDA4F6FD2}">
      <formula1>"neuroradiology, head and neck, thyroid, breast, thoracic, cardiac, abdominal, musculoskeletal, genitourinary, miscellaneous (not conforming to one of the aforementioned categories),eye,skin,multiple sites"</formula1>
    </dataValidation>
    <dataValidation type="list" allowBlank="1" showInputMessage="1" showErrorMessage="1" sqref="N2643:N2734 N109:N264 N1615 N1619 N1621:N1623 N1626:N1628 N1630:N1633 N1635 N1637 N1639:N1640 N1642 N1647:N1650 N1652 N1655 N1657 N1665 N1669 N1672 N1675 N1678 N1681 N1683:N1686 N1689 N1693 N1695 N1700 N1703:N1704 N1706 N1708:N1709 N1716:N1717 N1719 N1721 N1725 N1746:N1747 N1750:N1755 N1757 N1760 N1763:N1796 N87:N107 N266:N373 N375:N419 N421:N672 N1558:N1612 N674:N782 N784:N866 N1:N85 N868:N920 N922:N1552 N1554:N1556 N2736" xr:uid="{FFE62DFA-F70F-4D97-B1A7-5BAAA146924B}">
      <formula1>"patient,imagine, video,not mentioned"</formula1>
    </dataValidation>
    <dataValidation type="list" allowBlank="1" showInputMessage="1" showErrorMessage="1" sqref="E1:E2 E4:E56 E58:E67 E69:E78 E80:E94 E96:E99 E101:E117 E119:E224 E226:E408 E410:E432 E434:E504 E506:E510 E512:E529 E531:E747 E749:E752 E754:E907 E909:E966 E968:E1040 E1042:E1121 E1123:E1127 E1129:E1166 E1168:E1465 E1467:E1468 E1470:E1474 E1476:E1494 E1496:E1500 E1502:E1587 E1589:E1590 E1592:E1602 E1604:E1748 E1750:E1808 E1810:E1830 E1832:E1862 E1865:E1869 E1871 E1873:E1900 E1902:E1949 E1951:E1963 E1965:E2179 E2181:E2196 E2198 E2200:E2202 E2204:E2213 E2215:E2242 E2244:E2247 E2249:E2250 E2252:E2253 E2255:E2265 E2267:E2738" xr:uid="{DC8E3EC0-05E6-4051-A1E5-546D824A8969}">
      <formula1>"the United States,China,South Korea,Germany,Canada,UK,Japan,Netherlands,Australia,India,France,Switzerland,Italy,Spain,Iran,Austria,Pakistan,Israel,Taiwan,Singapore,Turkey,Colombia,Sweden,Brazil,Belgium,SandiArabia,Poland,Finland,Norway,Greece,Malaysia"</formula1>
    </dataValidation>
    <dataValidation type="list" allowBlank="1" showInputMessage="1" showErrorMessage="1" sqref="L1:L20 L22:L44 L46:L54 L56:L71 L73:L76 L84:L113 L78:L82 L115:L276 L279:L342 L344:L345 L347:L395 L2587:L2633 L609:L851 L853:L921 L923:L947 L949:L953 L955:L956 L958:L1011 L1013:L1103 L1105:L1117 L1119:L1143 L1145:L1200 L1202:L1375 L1377:L1380 L1382:L1411 L1413:L1497 L1499:L1607 L1609:L1644 L1646:L1697 L1699:L1700 L1702:L1714 L1716:L1726 L1728:L1736 L1738:L1747 L1749:L1758 L1760:L1764 L1766:L1800 L1802:L1810 L1812:L1813 L1815:L1819 L1821:L1827 L2720:L2725 L1856:L1898 L1900:L1956 L1958:L1986 L1988:L1989 L1991:L2044 L2046:L2047 L2049:L2192 L2194:L2196 L2198:L2246 L2248:L2331 L2333:L2343 L2345:L2350 L2352 L2354:L2361 L2363:L2384 L2386:L2387 L2389:L2405 L2407:L2414 L2416:L2428 L2430:L2466 L2468:L2478 L2480:L2517 L2519:L2522 L2524:L2549 L2551:L2580 L1829:L1854 L2716:L2718 L2582:L2585 L2635:L2714 L397:L521 L523:L607 L2728:L2735 L2736:L2738" xr:uid="{717D208C-5AB5-4D74-BF93-71DAB91708D4}">
      <formula1>"image acquisition,preprocessing,characterization-identification,characterization-segmention,characterization-classification,characterization-detection,characterization-diagnose,monitoring,reporting,improve algorithm"</formula1>
    </dataValidation>
    <dataValidation type="list" allowBlank="1" showInputMessage="1" showErrorMessage="1" sqref="N1613:N1614 N1616:N1618 N1620 N1624:N1625 N1629 N1634 N1636 N1638 N1641 N1643:N1646 N1651 N1653:N1654 N1656 N1658:N1664 N1666:N1668 N1670:N1671 N1673:N1674 N1676:N1677 N1679:N1680 N1682 N1687:N1688 N1690:N1692 N1694 N1696:N1699 N1701:N1702 N1705 N1707 N1710:N1715 N1718 N1720 N1722:N1724 N1726:N1745 N1748:N1749 N1761:N1762 N1758:N1759 N1553" xr:uid="{D2BE88B6-EEE5-45CB-A8F1-868E498A33D3}">
      <formula1>"patient,imagine,patch, video,not mentioned"</formula1>
    </dataValidation>
    <dataValidation type="list" allowBlank="1" showInputMessage="1" showErrorMessage="1" sqref="I1713:I1715 I1718 I1720 I1722:I1724 I1726:I1728 I1730:I1745 I1748:I1749 I1756 I1758:I1759 I1761:I1763 I1765 I1768:I1769 I1781:I1788 I1790:I1791 I1793:I1795 I1797 I1801:I1802 I1805 I1807:I1814 I1817:I1818 I1820:I1823 I1826:I1834 I1838 I1846 I1849:I1853 I1855 I1858:I1861 I1863:I1864 I1867 I1869:I1872 I1874 I1878:I1882 I1885 I1888:I1889 I1891:I1893 I1895:I1896 I1899 I1901:I1902 I1904:I1905 I1907 I1909:I1913 I1915 I1917 I1921:I1922 I1937 I1926:I1933 I1942:I1945 I1939:I1940 I1948 I1950 I1952 I1954 I1956:I1957 I1959:I1961 I1963:I1965 I1968:I1969 I1971 I1974 I1977:I1978 I1982:I1984 I1986:I1988 I1990:I1992 I1997 I2003 I2005:I2009 I1999:I2000 I2012:I2015 I2017:I2018 I2020 I2025:I2027 I2022:I2023 I2030:I2032 I2035:I2040 I2042 I2044:I2046 I2048 I2053 I2056:I2057 I2059:I2067 I2073 I2070 I2075:I2078 I2084:I2086 I2089:I2090 I2092 I2097:I2098 I2100:I2103 I2105 I2109:I2110 I2114:I2115 I2117 I2121:I2128 I2130 I2133 I2135 I2137 I2140:I2143 I2145:I2146 I2148:I2152 I2155:I2156 I2158:I2166 I2168 I2170:I2171 I2173 I2175 I2177:I2181 I2188 I2190 I2192:I2199 I2201:I2203 I2206:I2207 I2210:I2211 I2213:I2214 I2216 I2218:I2221 I2223 I2226:I2227 I2231 I2234 I2239:I2241 I2243:I2245 I2247:I2249 I2251 I2254 I2256 I2262:I2264 I2258:I2260 I2266:I2267 I2272 I2276:I2278 I2281:I2282 I2285 I2288 I2290:I2291 I2293 I2299:I2300 I2295:I2296 I2302 I2312:I2315 I2306:I2310 I2317:I2319 I2323 I2326:I2328 I2330 I2332:I2333 I2335 I2344:I2347 I2349:I2351 I2353 I2355:I2365 I2368:I2369 I2372 I2374:I2375 I2377 I2379 I2382:I2383 I2385 I2391 I2387:I2389 I2394:I2406 I2408:I2409 I2415 I2418 I2421:I2423 I2412:I2413 I2425:I2427 I2429:I2430 I2432 I2434:I2435 I2437:I2438 I2440 I2442 I2445:I2447 I2455:I2457 I2450:I2453 I2462 I2464:I2467 I2469:I2472 I2479 I2482 I2486 I2475:I2476 I2494 I2496:I2500 I2512 I2507:I2509 I2514:I2526 I2534 I2529:I2532 I2537:I2538 I2541:I2543 I2547:I2553 I2557 I2559:I2561 I2563 I2566:I2568 I2570 I2573:I2574 I2578 I2581:I2582 I2584:I2593 I2597 I2604 I2600:I2601 I2618:I2620 I2622 I2624 I2626 I2628 I2630:I2634 I2636:I2640 I2607:I2616 I2737:I2738" xr:uid="{6DB97D5A-CED8-437E-9FB5-1C3BAC349304}">
      <formula1>"US, CT, MRI, ECT,Mammography,HE,WSI,ICH,CFP(fundus images),X-ray, mixed (more than one radiological technique),histopathological images,OCT optical coherence tomography, microscopy image, Dermoscopic image,endoscopy, ECG,EEG,other"</formula1>
    </dataValidation>
    <dataValidation type="list" allowBlank="1" showInputMessage="1" showErrorMessage="1" sqref="M2604 N2735 N1797:N1973 N1975:N2021 N2023:N2099 N2101:N2642 N783 N867 N86 N921 N2737:N2738" xr:uid="{3188B679-17EE-48DC-9302-E6C93B964DAB}">
      <formula1>"patient,imagine, patch,video,not mentioned"</formula1>
    </dataValidation>
    <dataValidation type="list" allowBlank="1" showInputMessage="1" showErrorMessage="1" sqref="I2683" xr:uid="{FEF3B965-95FC-494F-A9EF-06C2C019B38B}">
      <formula1>"US, CT, MRI, PET,Mammography,HE,WSI,ICH,CFP(fundus images),X-ray, mixed (more than one radiological technique),histopathological images,OCT optical coherence tomography, microscopy image, Dermoscopic image,endoscopy, ECG,EEG,CBCT,other"</formula1>
    </dataValidation>
    <dataValidation type="list" allowBlank="1" showInputMessage="1" showErrorMessage="1" sqref="H2683" xr:uid="{9E06C0D2-98F7-43C6-B9C4-AB17143FFF12}">
      <formula1>"neuroradiology, head and neck, thyroid, breast, thoracic, cardiac, abdominal, musculoskeletal, genitourinary, miscellaneous (not conforming to one of the aforementioned categories),eye,skin,multiple sites,tooth"</formula1>
    </dataValidation>
    <dataValidation type="list" allowBlank="1" showInputMessage="1" showErrorMessage="1" sqref="H2684" xr:uid="{EB0B0C7F-9367-4A74-A5E1-8B97754CA603}">
      <formula1>"neuroradiology, head and neck, thyroid, breast, thoracic, cardiac, abdominal, musculoskeletal, genitourinary, miscellaneous (not conforming to one of the aforementioned categories),eye,skin,multiple sites,leg"</formula1>
    </dataValidation>
    <dataValidation type="list" allowBlank="1" showInputMessage="1" showErrorMessage="1" sqref="L2715" xr:uid="{3B673E82-C239-4585-8CAE-97FA9B52B7FE}">
      <formula1>"image acquisition,preprocessing,characterization-identification,characterization-segmention,characterization-classification,characterization-detection,characterization-diagnose,monitoring,reporting,improve algorithm,classification and segmentation"</formula1>
    </dataValidation>
    <dataValidation type="list" allowBlank="1" showInputMessage="1" showErrorMessage="1" sqref="L2719" xr:uid="{FBC47720-D4DF-4C72-AAAB-B1B84DFF3DC6}">
      <formula1>"image acquisition,preprocessing,characterization-identification,characterization-segmention,characterization-classification,characterization-detection,characterization-diagnose,monitoring,reporting,improve algorithm,characterization-extraction"</formula1>
    </dataValidation>
    <dataValidation type="list" allowBlank="1" showInputMessage="1" showErrorMessage="1" sqref="L2726:L2727" xr:uid="{DDD3BBB8-A308-44B0-9DBF-361A0FE8F7C1}">
      <formula1>"image acquisition,preprocessing,characterization-identification,characterization-segmention,characterization-classification,characterization-detection,characterization-diagnose,monitoring,reporting,improve algorithm,image registration"</formula1>
    </dataValidation>
    <dataValidation type="list" allowBlank="1" showInputMessage="1" showErrorMessage="1" sqref="I1" xr:uid="{11D87582-D5FE-42D0-A58D-D2820B643FBF}">
      <formula1>"US, CT, MRI, PET,Mammography,HE,WSI,ICH,CFP(fundus images),X-ray, mixed (more than one radiological technique),histopathological images,OCT optical coherence tomography, microscopy image, Dermoscopic image,other"</formula1>
    </dataValidation>
    <dataValidation type="list" allowBlank="1" showInputMessage="1" showErrorMessage="1" sqref="G1:G2738" xr:uid="{0CE9493D-CC7D-4586-92B1-9B74DF5844E7}">
      <formula1>"radiology,medical or related specialties, surgery or related specialties,other"</formula1>
    </dataValidation>
    <dataValidation type="list" allowBlank="1" showInputMessage="1" showErrorMessage="1" sqref="O1:O107 O109:O373 O375:O419 O421:O1973 O1975:O2021 O2023:O2099 O2101:O2738 O2736:O2738" xr:uid="{E597F487-24A0-4FA5-9A4B-3C19294B203D}">
      <formula1>"single center, multi-center"</formula1>
    </dataValidation>
    <dataValidation type="list" allowBlank="1" showInputMessage="1" showErrorMessage="1" sqref="F1:F2738" xr:uid="{505EB90F-250E-4E6C-B291-C8F47331EEDD}">
      <formula1>"government,private,both,other"</formula1>
    </dataValidation>
  </dataValidation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52B7A-750C-45A1-BB60-84667EB85189}">
  <sheetPr codeName="Sheet1"/>
  <dimension ref="A1:X3412"/>
  <sheetViews>
    <sheetView zoomScale="70" zoomScaleNormal="70" workbookViewId="0">
      <pane ySplit="2" topLeftCell="A3227" activePane="bottomLeft" state="frozen"/>
      <selection activeCell="E1" sqref="E1"/>
      <selection pane="bottomLeft" activeCell="F3251" sqref="F3251:O3251"/>
    </sheetView>
  </sheetViews>
  <sheetFormatPr defaultRowHeight="14.25" x14ac:dyDescent="0.2"/>
  <cols>
    <col min="1" max="1" width="8.875" style="89" customWidth="1"/>
    <col min="2" max="2" width="16.5" hidden="1" customWidth="1"/>
    <col min="3" max="3" width="6.875" customWidth="1"/>
    <col min="4" max="4" width="10.25" style="4" customWidth="1"/>
    <col min="5" max="5" width="5.125" customWidth="1"/>
    <col min="6" max="7" width="12" customWidth="1"/>
    <col min="8" max="8" width="7.5" customWidth="1"/>
    <col min="9" max="10" width="19.5" customWidth="1"/>
    <col min="11" max="11" width="13.75" customWidth="1"/>
    <col min="12" max="12" width="16" customWidth="1"/>
    <col min="13" max="13" width="12.25" customWidth="1"/>
    <col min="14" max="14" width="8.875" customWidth="1"/>
    <col min="15" max="15" width="7.75" customWidth="1"/>
    <col min="16" max="17" width="19.5" customWidth="1"/>
    <col min="18" max="18" width="19.5" hidden="1" customWidth="1"/>
    <col min="19" max="19" width="19.5" customWidth="1"/>
    <col min="20" max="20" width="58.125" bestFit="1" customWidth="1"/>
    <col min="21" max="21" width="42" bestFit="1" customWidth="1"/>
    <col min="22" max="22" width="45.5" bestFit="1" customWidth="1"/>
    <col min="23" max="23" width="12.125" bestFit="1" customWidth="1"/>
  </cols>
  <sheetData>
    <row r="1" spans="1:23" ht="56.85" customHeight="1" x14ac:dyDescent="0.2">
      <c r="A1" s="88" t="s">
        <v>8912</v>
      </c>
      <c r="B1" t="s">
        <v>8919</v>
      </c>
      <c r="C1" t="s">
        <v>17</v>
      </c>
      <c r="D1" t="s">
        <v>8913</v>
      </c>
      <c r="E1" t="s">
        <v>8914</v>
      </c>
      <c r="F1" s="69" t="s">
        <v>18501</v>
      </c>
      <c r="G1" s="69" t="s">
        <v>18503</v>
      </c>
      <c r="H1" s="74" t="s">
        <v>15523</v>
      </c>
      <c r="I1" s="75" t="s">
        <v>8924</v>
      </c>
      <c r="J1" s="9" t="s">
        <v>8925</v>
      </c>
      <c r="K1" s="9" t="s">
        <v>8926</v>
      </c>
      <c r="L1" s="9" t="s">
        <v>8927</v>
      </c>
      <c r="M1" s="9" t="s">
        <v>8928</v>
      </c>
      <c r="N1" s="72" t="s">
        <v>8930</v>
      </c>
      <c r="O1" s="73" t="s">
        <v>8931</v>
      </c>
      <c r="P1" s="10" t="s">
        <v>8932</v>
      </c>
      <c r="Q1" s="10" t="s">
        <v>8933</v>
      </c>
      <c r="R1" s="10" t="s">
        <v>18500</v>
      </c>
      <c r="S1" s="70" t="s">
        <v>8936</v>
      </c>
      <c r="T1" s="71" t="s">
        <v>8920</v>
      </c>
      <c r="U1" t="s">
        <v>8915</v>
      </c>
      <c r="V1" t="s">
        <v>8916</v>
      </c>
      <c r="W1" t="s">
        <v>0</v>
      </c>
    </row>
    <row r="2" spans="1:23" x14ac:dyDescent="0.2">
      <c r="A2" s="88" t="s">
        <v>15524</v>
      </c>
      <c r="B2" s="1" t="e">
        <v>#N/A</v>
      </c>
      <c r="C2" s="1" t="s">
        <v>13976</v>
      </c>
      <c r="D2" s="1" t="s">
        <v>1</v>
      </c>
      <c r="E2" s="1" t="s">
        <v>2</v>
      </c>
      <c r="F2" s="1" t="s">
        <v>10166</v>
      </c>
      <c r="G2" s="1" t="s">
        <v>8957</v>
      </c>
      <c r="H2" t="s">
        <v>8959</v>
      </c>
      <c r="I2" s="1" t="s">
        <v>9049</v>
      </c>
      <c r="J2" s="1" t="s">
        <v>9050</v>
      </c>
      <c r="K2" s="1" t="s">
        <v>13541</v>
      </c>
      <c r="L2" s="1" t="s">
        <v>9133</v>
      </c>
      <c r="M2" s="1">
        <v>750</v>
      </c>
      <c r="N2" s="1" t="s">
        <v>8953</v>
      </c>
      <c r="O2" s="1" t="s">
        <v>8954</v>
      </c>
      <c r="P2" s="1" t="s">
        <v>8955</v>
      </c>
      <c r="Q2" s="1" t="s">
        <v>8956</v>
      </c>
      <c r="R2" s="1" t="s">
        <v>8957</v>
      </c>
      <c r="S2" s="1" t="s">
        <v>8958</v>
      </c>
      <c r="T2" s="1" t="s">
        <v>3</v>
      </c>
      <c r="U2" s="1" t="s">
        <v>4</v>
      </c>
      <c r="V2" s="1" t="s">
        <v>5</v>
      </c>
      <c r="W2" s="1"/>
    </row>
    <row r="3" spans="1:23" x14ac:dyDescent="0.2">
      <c r="A3" s="88" t="s">
        <v>15525</v>
      </c>
      <c r="B3" s="1" t="e">
        <v>#N/A</v>
      </c>
      <c r="C3" s="1" t="e">
        <v>#N/A</v>
      </c>
      <c r="D3" s="1" t="s">
        <v>21149</v>
      </c>
      <c r="E3" s="1" t="s">
        <v>6</v>
      </c>
      <c r="F3" s="1" t="s">
        <v>20822</v>
      </c>
      <c r="G3" s="1" t="s">
        <v>8959</v>
      </c>
      <c r="H3" t="s">
        <v>8959</v>
      </c>
      <c r="I3" s="1" t="s">
        <v>9100</v>
      </c>
      <c r="J3" s="1" t="s">
        <v>8949</v>
      </c>
      <c r="K3" s="1" t="s">
        <v>18497</v>
      </c>
      <c r="L3" s="1" t="s">
        <v>8987</v>
      </c>
      <c r="M3" s="1">
        <v>3064</v>
      </c>
      <c r="N3" s="1" t="s">
        <v>8953</v>
      </c>
      <c r="O3" s="1" t="s">
        <v>8954</v>
      </c>
      <c r="P3" s="1" t="e">
        <v>#N/A</v>
      </c>
      <c r="Q3" s="1" t="e">
        <v>#N/A</v>
      </c>
      <c r="R3" s="1">
        <f>1+LEN(T3)-LEN(SUBSTITUTE(T3,",",))</f>
        <v>3</v>
      </c>
      <c r="S3" s="1" t="str">
        <f>IF(R3&lt;4,"&lt;4",IF(4&lt;=R3 and R3&lt;=7,"4-7",IF(R3&gt;7,"&gt;7")))</f>
        <v>&lt;4</v>
      </c>
      <c r="T3" s="1" t="s">
        <v>18505</v>
      </c>
      <c r="U3" s="1" t="s">
        <v>7</v>
      </c>
      <c r="V3" s="1" t="s">
        <v>8</v>
      </c>
      <c r="W3" s="1"/>
    </row>
    <row r="4" spans="1:23" x14ac:dyDescent="0.2">
      <c r="A4" s="88" t="s">
        <v>15526</v>
      </c>
      <c r="B4" s="1" t="e">
        <v>#N/A</v>
      </c>
      <c r="C4" s="1" t="s">
        <v>12472</v>
      </c>
      <c r="D4" s="1" t="s">
        <v>20819</v>
      </c>
      <c r="E4" s="1" t="s">
        <v>9</v>
      </c>
      <c r="F4" s="1" t="s">
        <v>9333</v>
      </c>
      <c r="G4" s="1" t="s">
        <v>8959</v>
      </c>
      <c r="H4" t="s">
        <v>8959</v>
      </c>
      <c r="I4" s="1" t="s">
        <v>8948</v>
      </c>
      <c r="J4" s="1" t="s">
        <v>8949</v>
      </c>
      <c r="K4" s="1" t="s">
        <v>9041</v>
      </c>
      <c r="L4" s="1" t="s">
        <v>8951</v>
      </c>
      <c r="M4" s="1">
        <v>1000</v>
      </c>
      <c r="N4" s="1" t="s">
        <v>8953</v>
      </c>
      <c r="O4" s="1" t="s">
        <v>8954</v>
      </c>
      <c r="P4" s="1" t="s">
        <v>8955</v>
      </c>
      <c r="Q4" s="1" t="s">
        <v>8990</v>
      </c>
      <c r="R4" s="1" t="s">
        <v>8959</v>
      </c>
      <c r="S4" s="1" t="s">
        <v>9103</v>
      </c>
      <c r="T4" s="1" t="s">
        <v>10</v>
      </c>
      <c r="U4" s="1" t="s">
        <v>11</v>
      </c>
      <c r="V4" s="1" t="s">
        <v>12</v>
      </c>
      <c r="W4" s="1"/>
    </row>
    <row r="5" spans="1:23" x14ac:dyDescent="0.2">
      <c r="A5" s="88" t="s">
        <v>15527</v>
      </c>
      <c r="B5" s="1" t="e">
        <v>#N/A</v>
      </c>
      <c r="C5" s="1" t="e">
        <v>#N/A</v>
      </c>
      <c r="D5" s="1" t="s">
        <v>13</v>
      </c>
      <c r="E5" s="1" t="s">
        <v>14</v>
      </c>
      <c r="F5" s="1" t="s">
        <v>18502</v>
      </c>
      <c r="G5" s="1" t="s">
        <v>8957</v>
      </c>
      <c r="H5" t="s">
        <v>8959</v>
      </c>
      <c r="I5" s="1" t="s">
        <v>9252</v>
      </c>
      <c r="J5" s="1" t="s">
        <v>18504</v>
      </c>
      <c r="K5" s="1" t="s">
        <v>21519</v>
      </c>
      <c r="L5" s="1" t="s">
        <v>8973</v>
      </c>
      <c r="M5" s="1">
        <v>2066</v>
      </c>
      <c r="N5" s="1" t="s">
        <v>8953</v>
      </c>
      <c r="O5" s="1" t="s">
        <v>8954</v>
      </c>
      <c r="P5" s="1" t="e">
        <v>#N/A</v>
      </c>
      <c r="Q5" s="1" t="e">
        <v>#N/A</v>
      </c>
      <c r="R5" s="1">
        <f t="shared" ref="R5:R10" si="0">1+LEN(T5)-LEN(SUBSTITUTE(T5,",",))</f>
        <v>5</v>
      </c>
      <c r="S5" s="1" t="str">
        <f>IF(R5&gt;4,IF(R5&lt;8,"4-7",IF(R5&gt;7,"&gt;7")),"&lt;4")</f>
        <v>4-7</v>
      </c>
      <c r="T5" s="1" t="s">
        <v>18506</v>
      </c>
      <c r="U5" s="1" t="s">
        <v>7</v>
      </c>
      <c r="V5" s="1" t="s">
        <v>15</v>
      </c>
      <c r="W5" s="1"/>
    </row>
    <row r="6" spans="1:23" x14ac:dyDescent="0.2">
      <c r="A6" s="89" t="s">
        <v>15528</v>
      </c>
      <c r="B6" s="1" t="e">
        <v>#N/A</v>
      </c>
      <c r="C6" s="1" t="e">
        <v>#N/A</v>
      </c>
      <c r="D6" s="1" t="s">
        <v>21159</v>
      </c>
      <c r="E6" s="1" t="s">
        <v>16</v>
      </c>
      <c r="F6" s="1" t="e">
        <v>#N/A</v>
      </c>
      <c r="G6" s="1" t="e">
        <v>#N/A</v>
      </c>
      <c r="H6" t="e">
        <v>#N/A</v>
      </c>
      <c r="I6" s="1" t="e">
        <v>#N/A</v>
      </c>
      <c r="J6" s="1" t="e">
        <v>#N/A</v>
      </c>
      <c r="K6" s="1" t="e">
        <v>#N/A</v>
      </c>
      <c r="L6" s="1" t="e">
        <v>#N/A</v>
      </c>
      <c r="M6" s="1" t="e">
        <v>#N/A</v>
      </c>
      <c r="N6" s="1" t="e">
        <v>#N/A</v>
      </c>
      <c r="O6" s="1" t="e">
        <v>#N/A</v>
      </c>
      <c r="P6" s="1" t="e">
        <v>#N/A</v>
      </c>
      <c r="Q6" s="1" t="e">
        <v>#N/A</v>
      </c>
      <c r="R6" s="1">
        <f t="shared" si="0"/>
        <v>4</v>
      </c>
      <c r="S6" s="1" t="str">
        <f t="shared" ref="S6:S10" si="1">IF(R6&gt;4,IF(R6&lt;8,"4-7",IF(R6&gt;7,"&gt;7")),"&lt;4")</f>
        <v>&lt;4</v>
      </c>
      <c r="T6" s="1" t="s">
        <v>18507</v>
      </c>
      <c r="U6" s="1" t="s">
        <v>17</v>
      </c>
      <c r="V6" s="1" t="s">
        <v>15</v>
      </c>
      <c r="W6" s="1"/>
    </row>
    <row r="7" spans="1:23" x14ac:dyDescent="0.2">
      <c r="A7" s="89" t="s">
        <v>18</v>
      </c>
      <c r="B7" s="1" t="e">
        <v>#N/A</v>
      </c>
      <c r="C7" s="1" t="e">
        <v>#N/A</v>
      </c>
      <c r="D7" s="5" t="s">
        <v>19</v>
      </c>
      <c r="E7" s="1" t="s">
        <v>20</v>
      </c>
      <c r="F7" s="1" t="e">
        <v>#N/A</v>
      </c>
      <c r="G7" s="1" t="e">
        <v>#N/A</v>
      </c>
      <c r="H7" t="e">
        <v>#N/A</v>
      </c>
      <c r="I7" s="1" t="e">
        <v>#N/A</v>
      </c>
      <c r="J7" s="1" t="e">
        <v>#N/A</v>
      </c>
      <c r="K7" s="1" t="e">
        <v>#N/A</v>
      </c>
      <c r="L7" s="1" t="e">
        <v>#N/A</v>
      </c>
      <c r="M7" s="1" t="e">
        <v>#N/A</v>
      </c>
      <c r="N7" s="1" t="e">
        <v>#N/A</v>
      </c>
      <c r="O7" s="1" t="e">
        <v>#N/A</v>
      </c>
      <c r="P7" s="1" t="e">
        <v>#N/A</v>
      </c>
      <c r="Q7" s="1" t="e">
        <v>#N/A</v>
      </c>
      <c r="R7" s="1">
        <f t="shared" si="0"/>
        <v>4</v>
      </c>
      <c r="S7" s="1" t="str">
        <f t="shared" si="1"/>
        <v>&lt;4</v>
      </c>
      <c r="T7" s="1" t="s">
        <v>18508</v>
      </c>
      <c r="U7" s="1" t="s">
        <v>17</v>
      </c>
      <c r="V7" s="1" t="s">
        <v>21</v>
      </c>
      <c r="W7" s="1"/>
    </row>
    <row r="8" spans="1:23" x14ac:dyDescent="0.2">
      <c r="A8" s="88" t="s">
        <v>15529</v>
      </c>
      <c r="B8" s="1" t="e">
        <v>#N/A</v>
      </c>
      <c r="C8" s="1" t="e">
        <v>#N/A</v>
      </c>
      <c r="D8" s="1" t="s">
        <v>22</v>
      </c>
      <c r="E8" s="1" t="s">
        <v>23</v>
      </c>
      <c r="F8" s="1" t="s">
        <v>18502</v>
      </c>
      <c r="G8" s="1" t="s">
        <v>8957</v>
      </c>
      <c r="H8" t="s">
        <v>8959</v>
      </c>
      <c r="I8" s="1" t="s">
        <v>9075</v>
      </c>
      <c r="J8" s="1" t="s">
        <v>8949</v>
      </c>
      <c r="K8" s="1" t="s">
        <v>20779</v>
      </c>
      <c r="L8" s="1" t="s">
        <v>9133</v>
      </c>
      <c r="M8" s="1">
        <v>56</v>
      </c>
      <c r="N8" s="1" t="s">
        <v>9059</v>
      </c>
      <c r="O8" s="1" t="s">
        <v>8954</v>
      </c>
      <c r="P8" s="1" t="e">
        <v>#N/A</v>
      </c>
      <c r="Q8" s="1" t="e">
        <v>#N/A</v>
      </c>
      <c r="R8" s="1">
        <f t="shared" si="0"/>
        <v>11</v>
      </c>
      <c r="S8" s="1" t="str">
        <f t="shared" si="1"/>
        <v>&gt;7</v>
      </c>
      <c r="T8" s="1" t="s">
        <v>18509</v>
      </c>
      <c r="U8" s="1" t="s">
        <v>17</v>
      </c>
      <c r="V8" s="1" t="s">
        <v>24</v>
      </c>
      <c r="W8" s="1"/>
    </row>
    <row r="9" spans="1:23" x14ac:dyDescent="0.2">
      <c r="A9" s="88" t="s">
        <v>15530</v>
      </c>
      <c r="B9" s="1" t="e">
        <v>#N/A</v>
      </c>
      <c r="C9" s="1" t="e">
        <v>#N/A</v>
      </c>
      <c r="D9" s="1" t="s">
        <v>25</v>
      </c>
      <c r="E9" s="1" t="s">
        <v>26</v>
      </c>
      <c r="F9" s="1" t="s">
        <v>18502</v>
      </c>
      <c r="G9" s="1" t="s">
        <v>8957</v>
      </c>
      <c r="H9" t="s">
        <v>8959</v>
      </c>
      <c r="I9" s="1" t="s">
        <v>9154</v>
      </c>
      <c r="J9" s="1" t="s">
        <v>20725</v>
      </c>
      <c r="K9" s="1" t="s">
        <v>20736</v>
      </c>
      <c r="L9" s="1" t="s">
        <v>9464</v>
      </c>
      <c r="M9" s="1">
        <v>26</v>
      </c>
      <c r="N9" s="1" t="s">
        <v>9059</v>
      </c>
      <c r="O9" s="1" t="s">
        <v>8989</v>
      </c>
      <c r="P9" s="1" t="e">
        <v>#N/A</v>
      </c>
      <c r="Q9" s="1" t="e">
        <v>#N/A</v>
      </c>
      <c r="R9" s="1">
        <f t="shared" si="0"/>
        <v>4</v>
      </c>
      <c r="S9" s="1" t="str">
        <f t="shared" si="1"/>
        <v>&lt;4</v>
      </c>
      <c r="T9" s="1" t="s">
        <v>18510</v>
      </c>
      <c r="U9" s="1" t="s">
        <v>17</v>
      </c>
      <c r="V9" s="1" t="s">
        <v>27</v>
      </c>
      <c r="W9" s="1"/>
    </row>
    <row r="10" spans="1:23" x14ac:dyDescent="0.2">
      <c r="A10" s="89" t="s">
        <v>28</v>
      </c>
      <c r="B10" s="1" t="e">
        <v>#N/A</v>
      </c>
      <c r="C10" s="1" t="e">
        <v>#N/A</v>
      </c>
      <c r="D10" s="1" t="s">
        <v>29</v>
      </c>
      <c r="E10" s="1" t="s">
        <v>30</v>
      </c>
      <c r="F10" s="1" t="e">
        <v>#N/A</v>
      </c>
      <c r="G10" s="1" t="e">
        <v>#N/A</v>
      </c>
      <c r="H10" t="e">
        <v>#N/A</v>
      </c>
      <c r="I10" s="1" t="e">
        <v>#N/A</v>
      </c>
      <c r="J10" s="1" t="e">
        <v>#N/A</v>
      </c>
      <c r="K10" s="1" t="e">
        <v>#N/A</v>
      </c>
      <c r="L10" s="1" t="e">
        <v>#N/A</v>
      </c>
      <c r="M10" s="1" t="e">
        <v>#N/A</v>
      </c>
      <c r="N10" s="1" t="e">
        <v>#N/A</v>
      </c>
      <c r="O10" s="1" t="e">
        <v>#N/A</v>
      </c>
      <c r="P10" s="1" t="e">
        <v>#N/A</v>
      </c>
      <c r="Q10" s="1" t="e">
        <v>#N/A</v>
      </c>
      <c r="R10" s="1">
        <f t="shared" si="0"/>
        <v>12</v>
      </c>
      <c r="S10" s="1" t="str">
        <f t="shared" si="1"/>
        <v>&gt;7</v>
      </c>
      <c r="T10" s="1" t="s">
        <v>18511</v>
      </c>
      <c r="U10" s="1" t="s">
        <v>17</v>
      </c>
      <c r="V10" s="1" t="s">
        <v>31</v>
      </c>
      <c r="W10" s="1"/>
    </row>
    <row r="11" spans="1:23" x14ac:dyDescent="0.2">
      <c r="A11" s="88" t="s">
        <v>15531</v>
      </c>
      <c r="B11" s="1" t="e">
        <v>#N/A</v>
      </c>
      <c r="C11" s="1" t="s">
        <v>15359</v>
      </c>
      <c r="D11" s="1" t="s">
        <v>32</v>
      </c>
      <c r="E11" s="1" t="s">
        <v>33</v>
      </c>
      <c r="F11" s="1" t="s">
        <v>14748</v>
      </c>
      <c r="G11" s="1" t="s">
        <v>8959</v>
      </c>
      <c r="H11" t="s">
        <v>8959</v>
      </c>
      <c r="I11" s="1" t="s">
        <v>9035</v>
      </c>
      <c r="J11" s="1" t="s">
        <v>9308</v>
      </c>
      <c r="K11" s="1" t="s">
        <v>9018</v>
      </c>
      <c r="L11" s="1" t="s">
        <v>8951</v>
      </c>
      <c r="M11" s="1">
        <v>1084</v>
      </c>
      <c r="N11" s="1" t="s">
        <v>8953</v>
      </c>
      <c r="O11" s="1" t="s">
        <v>8989</v>
      </c>
      <c r="P11" s="1" t="s">
        <v>8955</v>
      </c>
      <c r="Q11" s="1" t="s">
        <v>8956</v>
      </c>
      <c r="R11" s="1" t="s">
        <v>8959</v>
      </c>
      <c r="S11" s="1" t="s">
        <v>9103</v>
      </c>
      <c r="T11" s="1" t="s">
        <v>34</v>
      </c>
      <c r="U11" s="1" t="s">
        <v>11</v>
      </c>
      <c r="V11" s="1" t="s">
        <v>35</v>
      </c>
      <c r="W11" s="1"/>
    </row>
    <row r="12" spans="1:23" x14ac:dyDescent="0.2">
      <c r="A12" s="88" t="s">
        <v>21522</v>
      </c>
      <c r="B12" s="1" t="e">
        <v>#N/A</v>
      </c>
      <c r="C12" s="1" t="s">
        <v>15317</v>
      </c>
      <c r="D12" s="1" t="s">
        <v>36</v>
      </c>
      <c r="E12" s="1" t="s">
        <v>37</v>
      </c>
      <c r="F12" s="1" t="s">
        <v>9010</v>
      </c>
      <c r="G12" s="1" t="s">
        <v>8957</v>
      </c>
      <c r="H12" t="s">
        <v>9009</v>
      </c>
      <c r="I12" s="1" t="s">
        <v>9252</v>
      </c>
      <c r="J12" s="1" t="s">
        <v>9253</v>
      </c>
      <c r="K12" s="1" t="s">
        <v>9036</v>
      </c>
      <c r="L12" s="1" t="s">
        <v>8987</v>
      </c>
      <c r="M12" s="1">
        <v>14860</v>
      </c>
      <c r="N12" s="1" t="s">
        <v>8953</v>
      </c>
      <c r="O12" s="1" t="s">
        <v>8954</v>
      </c>
      <c r="P12" s="1" t="s">
        <v>8955</v>
      </c>
      <c r="Q12" s="1" t="s">
        <v>8956</v>
      </c>
      <c r="R12" s="1" t="s">
        <v>8957</v>
      </c>
      <c r="S12" s="1" t="s">
        <v>8958</v>
      </c>
      <c r="T12" s="1" t="s">
        <v>38</v>
      </c>
      <c r="U12" s="1" t="s">
        <v>11</v>
      </c>
      <c r="V12" s="1" t="s">
        <v>39</v>
      </c>
      <c r="W12" s="1"/>
    </row>
    <row r="13" spans="1:23" x14ac:dyDescent="0.2">
      <c r="A13" s="88" t="s">
        <v>15532</v>
      </c>
      <c r="B13" s="1" t="e">
        <v>#N/A</v>
      </c>
      <c r="C13" s="1" t="s">
        <v>11558</v>
      </c>
      <c r="D13" s="1" t="s">
        <v>40</v>
      </c>
      <c r="E13" s="1" t="s">
        <v>41</v>
      </c>
      <c r="F13" s="1" t="s">
        <v>9815</v>
      </c>
      <c r="G13" s="1" t="s">
        <v>8957</v>
      </c>
      <c r="H13" t="s">
        <v>9061</v>
      </c>
      <c r="I13" s="1" t="s">
        <v>9075</v>
      </c>
      <c r="J13" s="1" t="s">
        <v>8949</v>
      </c>
      <c r="K13" s="1" t="s">
        <v>9018</v>
      </c>
      <c r="L13" s="1" t="s">
        <v>8987</v>
      </c>
      <c r="M13" s="1">
        <v>182</v>
      </c>
      <c r="N13" s="1" t="s">
        <v>8953</v>
      </c>
      <c r="O13" s="1" t="s">
        <v>8989</v>
      </c>
      <c r="P13" s="1" t="s">
        <v>8955</v>
      </c>
      <c r="Q13" s="1" t="s">
        <v>8956</v>
      </c>
      <c r="R13" s="1" t="s">
        <v>8957</v>
      </c>
      <c r="S13" s="1" t="s">
        <v>9103</v>
      </c>
      <c r="T13" s="1" t="s">
        <v>42</v>
      </c>
      <c r="U13" s="1" t="s">
        <v>11</v>
      </c>
      <c r="V13" s="1" t="s">
        <v>43</v>
      </c>
      <c r="W13" s="1"/>
    </row>
    <row r="14" spans="1:23" x14ac:dyDescent="0.2">
      <c r="A14" s="88" t="s">
        <v>15533</v>
      </c>
      <c r="B14" s="1" t="e">
        <v>#N/A</v>
      </c>
      <c r="C14" s="1" t="e">
        <v>#N/A</v>
      </c>
      <c r="D14" s="1" t="s">
        <v>44</v>
      </c>
      <c r="E14" s="1" t="s">
        <v>45</v>
      </c>
      <c r="F14" s="1" t="s">
        <v>18502</v>
      </c>
      <c r="G14" s="1" t="s">
        <v>8957</v>
      </c>
      <c r="H14" t="s">
        <v>9009</v>
      </c>
      <c r="I14" s="1" t="s">
        <v>9100</v>
      </c>
      <c r="J14" s="1" t="s">
        <v>8949</v>
      </c>
      <c r="K14" s="1" t="s">
        <v>18497</v>
      </c>
      <c r="L14" s="1" t="s">
        <v>8951</v>
      </c>
      <c r="M14" s="1">
        <v>134</v>
      </c>
      <c r="N14" s="1" t="s">
        <v>9059</v>
      </c>
      <c r="O14" s="1" t="s">
        <v>8989</v>
      </c>
      <c r="P14" s="1" t="e">
        <v>#N/A</v>
      </c>
      <c r="Q14" s="1" t="e">
        <v>#N/A</v>
      </c>
      <c r="R14" s="1">
        <f t="shared" ref="R14:R16" si="2">1+LEN(T14)-LEN(SUBSTITUTE(T14,",",))</f>
        <v>4</v>
      </c>
      <c r="S14" s="1" t="str">
        <f t="shared" ref="S14:S16" si="3">IF(R14&gt;4,IF(R14&lt;8,"4-7",IF(R14&gt;7,"&gt;7")),"&lt;4")</f>
        <v>&lt;4</v>
      </c>
      <c r="T14" s="1" t="s">
        <v>18512</v>
      </c>
      <c r="U14" s="1" t="s">
        <v>17</v>
      </c>
      <c r="V14" s="1" t="s">
        <v>46</v>
      </c>
      <c r="W14" s="1"/>
    </row>
    <row r="15" spans="1:23" x14ac:dyDescent="0.2">
      <c r="A15" s="89" t="s">
        <v>47</v>
      </c>
      <c r="B15" s="1" t="e">
        <v>#N/A</v>
      </c>
      <c r="C15" s="1" t="e">
        <v>#N/A</v>
      </c>
      <c r="D15" s="1" t="s">
        <v>48</v>
      </c>
      <c r="E15" s="1" t="s">
        <v>49</v>
      </c>
      <c r="F15" s="1" t="e">
        <v>#N/A</v>
      </c>
      <c r="G15" s="1" t="e">
        <v>#N/A</v>
      </c>
      <c r="H15" t="e">
        <v>#N/A</v>
      </c>
      <c r="I15" s="1" t="e">
        <v>#N/A</v>
      </c>
      <c r="J15" s="1" t="e">
        <v>#N/A</v>
      </c>
      <c r="K15" s="1" t="e">
        <v>#N/A</v>
      </c>
      <c r="L15" s="1" t="e">
        <v>#N/A</v>
      </c>
      <c r="M15" s="1" t="e">
        <v>#N/A</v>
      </c>
      <c r="N15" s="1" t="e">
        <v>#N/A</v>
      </c>
      <c r="O15" s="1" t="e">
        <v>#N/A</v>
      </c>
      <c r="P15" s="1" t="e">
        <v>#N/A</v>
      </c>
      <c r="Q15" s="1" t="e">
        <v>#N/A</v>
      </c>
      <c r="R15" s="1">
        <f t="shared" si="2"/>
        <v>5</v>
      </c>
      <c r="S15" s="1" t="str">
        <f t="shared" si="3"/>
        <v>4-7</v>
      </c>
      <c r="T15" s="1" t="s">
        <v>18513</v>
      </c>
      <c r="U15" s="1" t="s">
        <v>11</v>
      </c>
      <c r="V15" s="1" t="s">
        <v>50</v>
      </c>
      <c r="W15" s="1"/>
    </row>
    <row r="16" spans="1:23" x14ac:dyDescent="0.2">
      <c r="A16" s="88" t="s">
        <v>15534</v>
      </c>
      <c r="B16" s="1" t="e">
        <v>#N/A</v>
      </c>
      <c r="C16" s="1" t="e">
        <v>#N/A</v>
      </c>
      <c r="D16" s="1" t="s">
        <v>51</v>
      </c>
      <c r="E16" s="1" t="s">
        <v>52</v>
      </c>
      <c r="F16" s="1" t="s">
        <v>18502</v>
      </c>
      <c r="G16" s="1" t="s">
        <v>9060</v>
      </c>
      <c r="H16" t="s">
        <v>8959</v>
      </c>
      <c r="I16" s="1" t="s">
        <v>8984</v>
      </c>
      <c r="J16" s="1" t="s">
        <v>8998</v>
      </c>
      <c r="K16" s="1" t="s">
        <v>21350</v>
      </c>
      <c r="L16" s="1" t="s">
        <v>8973</v>
      </c>
      <c r="M16" s="1">
        <v>131</v>
      </c>
      <c r="N16" s="1" t="s">
        <v>8953</v>
      </c>
      <c r="O16" s="1" t="s">
        <v>8989</v>
      </c>
      <c r="P16" s="1" t="e">
        <v>#N/A</v>
      </c>
      <c r="Q16" s="1" t="e">
        <v>#N/A</v>
      </c>
      <c r="R16" s="1">
        <f t="shared" si="2"/>
        <v>3</v>
      </c>
      <c r="S16" s="1" t="str">
        <f t="shared" si="3"/>
        <v>&lt;4</v>
      </c>
      <c r="T16" s="1" t="s">
        <v>18514</v>
      </c>
      <c r="U16" s="1" t="s">
        <v>7</v>
      </c>
      <c r="V16" s="1" t="s">
        <v>53</v>
      </c>
      <c r="W16" s="1"/>
    </row>
    <row r="17" spans="1:23" x14ac:dyDescent="0.2">
      <c r="A17" s="88" t="s">
        <v>15535</v>
      </c>
      <c r="B17" s="1" t="e">
        <v>#N/A</v>
      </c>
      <c r="C17" s="1" t="s">
        <v>13990</v>
      </c>
      <c r="D17" s="1" t="s">
        <v>54</v>
      </c>
      <c r="E17" s="1" t="s">
        <v>55</v>
      </c>
      <c r="F17" s="1" t="s">
        <v>9246</v>
      </c>
      <c r="G17" s="1" t="s">
        <v>8957</v>
      </c>
      <c r="H17" t="s">
        <v>8959</v>
      </c>
      <c r="I17" s="1" t="s">
        <v>9100</v>
      </c>
      <c r="J17" s="1" t="s">
        <v>8949</v>
      </c>
      <c r="K17" s="1" t="s">
        <v>9036</v>
      </c>
      <c r="L17" s="1" t="s">
        <v>8987</v>
      </c>
      <c r="M17" s="1">
        <v>1327</v>
      </c>
      <c r="N17" s="1" t="s">
        <v>9059</v>
      </c>
      <c r="O17" s="1" t="s">
        <v>8954</v>
      </c>
      <c r="P17" s="1" t="s">
        <v>8955</v>
      </c>
      <c r="Q17" s="1" t="s">
        <v>8956</v>
      </c>
      <c r="R17" s="1" t="s">
        <v>8957</v>
      </c>
      <c r="S17" s="1" t="s">
        <v>8958</v>
      </c>
      <c r="T17" s="1" t="s">
        <v>56</v>
      </c>
      <c r="U17" s="1" t="s">
        <v>4</v>
      </c>
      <c r="V17" s="1" t="s">
        <v>57</v>
      </c>
      <c r="W17" s="1"/>
    </row>
    <row r="18" spans="1:23" x14ac:dyDescent="0.2">
      <c r="A18" s="88" t="s">
        <v>15536</v>
      </c>
      <c r="B18" s="1" t="e">
        <v>#N/A</v>
      </c>
      <c r="C18" s="1" t="s">
        <v>12318</v>
      </c>
      <c r="D18" s="1" t="s">
        <v>58</v>
      </c>
      <c r="E18" s="1" t="s">
        <v>59</v>
      </c>
      <c r="F18" s="1" t="s">
        <v>9310</v>
      </c>
      <c r="G18" s="1" t="s">
        <v>8957</v>
      </c>
      <c r="H18" t="s">
        <v>9183</v>
      </c>
      <c r="I18" s="1" t="s">
        <v>9100</v>
      </c>
      <c r="J18" s="1" t="s">
        <v>9155</v>
      </c>
      <c r="K18" s="1" t="s">
        <v>8972</v>
      </c>
      <c r="L18" s="1" t="s">
        <v>9076</v>
      </c>
      <c r="M18" s="1">
        <v>2168</v>
      </c>
      <c r="N18" s="1" t="s">
        <v>8953</v>
      </c>
      <c r="O18" s="1" t="s">
        <v>8989</v>
      </c>
      <c r="P18" s="1" t="s">
        <v>8955</v>
      </c>
      <c r="Q18" s="1" t="s">
        <v>8956</v>
      </c>
      <c r="R18" s="1" t="s">
        <v>8957</v>
      </c>
      <c r="S18" s="1" t="s">
        <v>9103</v>
      </c>
      <c r="T18" s="1" t="s">
        <v>60</v>
      </c>
      <c r="U18" s="1" t="s">
        <v>11</v>
      </c>
      <c r="V18" s="1" t="s">
        <v>61</v>
      </c>
      <c r="W18" s="1"/>
    </row>
    <row r="19" spans="1:23" x14ac:dyDescent="0.2">
      <c r="A19" s="94" t="s">
        <v>15537</v>
      </c>
      <c r="B19" s="1" t="e">
        <v>#N/A</v>
      </c>
      <c r="C19" s="1" t="e">
        <v>#N/A</v>
      </c>
      <c r="D19" s="1" t="s">
        <v>62</v>
      </c>
      <c r="E19" s="1" t="s">
        <v>63</v>
      </c>
      <c r="F19" s="1" t="s">
        <v>9317</v>
      </c>
      <c r="G19" s="1" t="e">
        <v>#N/A</v>
      </c>
      <c r="H19" t="e">
        <v>#N/A</v>
      </c>
      <c r="I19" s="1" t="e">
        <v>#N/A</v>
      </c>
      <c r="J19" s="1" t="e">
        <v>#N/A</v>
      </c>
      <c r="K19" s="1" t="e">
        <v>#N/A</v>
      </c>
      <c r="L19" s="1" t="e">
        <v>#N/A</v>
      </c>
      <c r="M19" s="1" t="e">
        <v>#N/A</v>
      </c>
      <c r="N19" s="1" t="e">
        <v>#N/A</v>
      </c>
      <c r="O19" s="1" t="e">
        <v>#N/A</v>
      </c>
      <c r="P19" s="1" t="e">
        <v>#N/A</v>
      </c>
      <c r="Q19" s="1" t="e">
        <v>#N/A</v>
      </c>
      <c r="R19" s="1">
        <f t="shared" ref="R19:R21" si="4">1+LEN(T19)-LEN(SUBSTITUTE(T19,",",))</f>
        <v>11</v>
      </c>
      <c r="S19" s="1" t="str">
        <f t="shared" ref="S19:S21" si="5">IF(R19&gt;4,IF(R19&lt;8,"4-7",IF(R19&gt;7,"&gt;7")),"&lt;4")</f>
        <v>&gt;7</v>
      </c>
      <c r="T19" s="1" t="s">
        <v>18515</v>
      </c>
      <c r="U19" s="1" t="s">
        <v>17</v>
      </c>
      <c r="V19" s="1" t="s">
        <v>64</v>
      </c>
      <c r="W19" s="1"/>
    </row>
    <row r="20" spans="1:23" x14ac:dyDescent="0.2">
      <c r="A20" s="89" t="s">
        <v>15538</v>
      </c>
      <c r="B20" s="1" t="e">
        <v>#N/A</v>
      </c>
      <c r="C20" s="1" t="e">
        <v>#N/A</v>
      </c>
      <c r="D20" s="1" t="s">
        <v>65</v>
      </c>
      <c r="E20" s="1" t="s">
        <v>20821</v>
      </c>
      <c r="F20" s="1" t="s">
        <v>18502</v>
      </c>
      <c r="G20" s="1" t="e">
        <v>#N/A</v>
      </c>
      <c r="H20" t="e">
        <v>#N/A</v>
      </c>
      <c r="I20" s="1" t="e">
        <v>#N/A</v>
      </c>
      <c r="J20" s="1" t="e">
        <v>#N/A</v>
      </c>
      <c r="K20" s="1" t="e">
        <v>#N/A</v>
      </c>
      <c r="L20" s="1" t="e">
        <v>#N/A</v>
      </c>
      <c r="M20" s="1" t="e">
        <v>#N/A</v>
      </c>
      <c r="N20" s="1" t="e">
        <v>#N/A</v>
      </c>
      <c r="O20" s="1" t="e">
        <v>#N/A</v>
      </c>
      <c r="P20" s="1" t="e">
        <v>#N/A</v>
      </c>
      <c r="Q20" s="1" t="e">
        <v>#N/A</v>
      </c>
      <c r="R20" s="1">
        <f t="shared" si="4"/>
        <v>11</v>
      </c>
      <c r="S20" s="1" t="str">
        <f t="shared" si="5"/>
        <v>&gt;7</v>
      </c>
      <c r="T20" s="1" t="s">
        <v>18516</v>
      </c>
      <c r="U20" s="1" t="s">
        <v>11</v>
      </c>
      <c r="V20" s="1" t="s">
        <v>66</v>
      </c>
      <c r="W20" s="1"/>
    </row>
    <row r="21" spans="1:23" x14ac:dyDescent="0.2">
      <c r="A21" s="92" t="s">
        <v>15539</v>
      </c>
      <c r="B21" s="1" t="e">
        <v>#N/A</v>
      </c>
      <c r="C21" s="1" t="e">
        <v>#N/A</v>
      </c>
      <c r="D21" s="1" t="s">
        <v>67</v>
      </c>
      <c r="E21" s="1" t="s">
        <v>68</v>
      </c>
      <c r="F21" s="1" t="s">
        <v>9380</v>
      </c>
      <c r="G21" s="1"/>
      <c r="H21" t="e">
        <v>#N/A</v>
      </c>
      <c r="I21" s="1" t="e">
        <v>#N/A</v>
      </c>
      <c r="J21" s="1" t="e">
        <v>#N/A</v>
      </c>
      <c r="K21" s="1" t="e">
        <v>#N/A</v>
      </c>
      <c r="L21" s="1" t="e">
        <v>#N/A</v>
      </c>
      <c r="M21" s="1" t="e">
        <v>#N/A</v>
      </c>
      <c r="N21" s="1" t="e">
        <v>#N/A</v>
      </c>
      <c r="O21" s="1" t="e">
        <v>#N/A</v>
      </c>
      <c r="P21" s="1" t="e">
        <v>#N/A</v>
      </c>
      <c r="Q21" s="1" t="e">
        <v>#N/A</v>
      </c>
      <c r="R21" s="1">
        <f t="shared" si="4"/>
        <v>8</v>
      </c>
      <c r="S21" s="1" t="str">
        <f t="shared" si="5"/>
        <v>&gt;7</v>
      </c>
      <c r="T21" s="1" t="s">
        <v>18517</v>
      </c>
      <c r="U21" s="1" t="s">
        <v>7</v>
      </c>
      <c r="V21" s="1" t="s">
        <v>24</v>
      </c>
      <c r="W21" s="1"/>
    </row>
    <row r="22" spans="1:23" x14ac:dyDescent="0.2">
      <c r="A22" s="88" t="s">
        <v>15540</v>
      </c>
      <c r="B22" s="1" t="e">
        <v>#N/A</v>
      </c>
      <c r="C22" s="1" t="s">
        <v>11255</v>
      </c>
      <c r="D22" s="1" t="s">
        <v>69</v>
      </c>
      <c r="E22" s="1" t="s">
        <v>70</v>
      </c>
      <c r="F22" s="1" t="s">
        <v>9380</v>
      </c>
      <c r="G22" s="1" t="s">
        <v>8959</v>
      </c>
      <c r="H22" t="s">
        <v>9183</v>
      </c>
      <c r="I22" s="1" t="s">
        <v>11258</v>
      </c>
      <c r="J22" s="1" t="s">
        <v>9725</v>
      </c>
      <c r="K22" s="1" t="s">
        <v>9036</v>
      </c>
      <c r="L22" s="1" t="s">
        <v>8951</v>
      </c>
      <c r="M22" s="1">
        <v>156</v>
      </c>
      <c r="N22" s="1" t="s">
        <v>9059</v>
      </c>
      <c r="O22" s="1" t="s">
        <v>8989</v>
      </c>
      <c r="P22" s="1" t="s">
        <v>8955</v>
      </c>
      <c r="Q22" s="1" t="s">
        <v>8956</v>
      </c>
      <c r="R22" s="1" t="s">
        <v>8959</v>
      </c>
      <c r="S22" s="1" t="s">
        <v>9103</v>
      </c>
      <c r="T22" s="1" t="s">
        <v>71</v>
      </c>
      <c r="U22" s="1" t="s">
        <v>11</v>
      </c>
      <c r="V22" s="1" t="s">
        <v>43</v>
      </c>
      <c r="W22" s="1"/>
    </row>
    <row r="23" spans="1:23" x14ac:dyDescent="0.2">
      <c r="A23" s="88" t="s">
        <v>15541</v>
      </c>
      <c r="B23" s="1" t="e">
        <v>#N/A</v>
      </c>
      <c r="C23" s="1" t="e">
        <v>#N/A</v>
      </c>
      <c r="D23" s="1" t="s">
        <v>72</v>
      </c>
      <c r="E23" s="1" t="s">
        <v>73</v>
      </c>
      <c r="F23" s="1" t="s">
        <v>9650</v>
      </c>
      <c r="G23" s="1" t="s">
        <v>8957</v>
      </c>
      <c r="H23" t="s">
        <v>8959</v>
      </c>
      <c r="I23" s="1" t="s">
        <v>9252</v>
      </c>
      <c r="J23" s="1" t="s">
        <v>18504</v>
      </c>
      <c r="K23" s="1" t="s">
        <v>10381</v>
      </c>
      <c r="L23" s="1" t="s">
        <v>8951</v>
      </c>
      <c r="M23" s="1">
        <v>80000</v>
      </c>
      <c r="N23" s="1" t="s">
        <v>8953</v>
      </c>
      <c r="O23" s="1" t="s">
        <v>8954</v>
      </c>
      <c r="P23" s="1" t="e">
        <v>#N/A</v>
      </c>
      <c r="Q23" s="1" t="e">
        <v>#N/A</v>
      </c>
      <c r="R23" s="1">
        <f t="shared" ref="R23:R26" si="6">1+LEN(T23)-LEN(SUBSTITUTE(T23,",",))</f>
        <v>5</v>
      </c>
      <c r="S23" s="1" t="str">
        <f t="shared" ref="S23:S26" si="7">IF(R23&gt;4,IF(R23&lt;8,"4-7",IF(R23&gt;7,"&gt;7")),"&lt;4")</f>
        <v>4-7</v>
      </c>
      <c r="T23" s="1" t="s">
        <v>18518</v>
      </c>
      <c r="U23" s="1" t="s">
        <v>7</v>
      </c>
      <c r="V23" s="1" t="s">
        <v>74</v>
      </c>
      <c r="W23" s="1"/>
    </row>
    <row r="24" spans="1:23" x14ac:dyDescent="0.2">
      <c r="A24" s="88" t="s">
        <v>15542</v>
      </c>
      <c r="B24" s="1" t="e">
        <v>#N/A</v>
      </c>
      <c r="C24" s="1" t="e">
        <v>#N/A</v>
      </c>
      <c r="D24" s="1" t="s">
        <v>75</v>
      </c>
      <c r="E24" s="1" t="s">
        <v>76</v>
      </c>
      <c r="F24" s="1" t="s">
        <v>9815</v>
      </c>
      <c r="G24" s="1" t="e">
        <v>#N/A</v>
      </c>
      <c r="H24" t="s">
        <v>8959</v>
      </c>
      <c r="I24" s="1" t="s">
        <v>9035</v>
      </c>
      <c r="J24" s="1" t="s">
        <v>8998</v>
      </c>
      <c r="K24" s="1" t="s">
        <v>9212</v>
      </c>
      <c r="L24" s="1" t="s">
        <v>8951</v>
      </c>
      <c r="M24" s="1">
        <v>13028</v>
      </c>
      <c r="N24" s="1" t="s">
        <v>8953</v>
      </c>
      <c r="O24" s="1" t="s">
        <v>8954</v>
      </c>
      <c r="P24" s="1" t="e">
        <v>#N/A</v>
      </c>
      <c r="Q24" s="1" t="e">
        <v>#N/A</v>
      </c>
      <c r="R24" s="1">
        <f t="shared" si="6"/>
        <v>9</v>
      </c>
      <c r="S24" s="1" t="str">
        <f t="shared" si="7"/>
        <v>&gt;7</v>
      </c>
      <c r="T24" s="1" t="s">
        <v>20538</v>
      </c>
      <c r="U24" s="1" t="s">
        <v>7</v>
      </c>
      <c r="V24" s="1" t="s">
        <v>77</v>
      </c>
      <c r="W24" s="1"/>
    </row>
    <row r="25" spans="1:23" x14ac:dyDescent="0.2">
      <c r="A25" s="88" t="s">
        <v>15543</v>
      </c>
      <c r="B25" s="1" t="e">
        <v>#N/A</v>
      </c>
      <c r="C25" s="1" t="e">
        <v>#N/A</v>
      </c>
      <c r="D25" s="1" t="s">
        <v>78</v>
      </c>
      <c r="E25" s="1" t="s">
        <v>79</v>
      </c>
      <c r="F25" s="1" t="s">
        <v>18502</v>
      </c>
      <c r="G25" s="1" t="s">
        <v>8957</v>
      </c>
      <c r="H25" t="s">
        <v>8959</v>
      </c>
      <c r="I25" s="1" t="s">
        <v>9605</v>
      </c>
      <c r="J25" s="1" t="s">
        <v>8959</v>
      </c>
      <c r="K25" s="1" t="s">
        <v>9036</v>
      </c>
      <c r="L25" s="1" t="s">
        <v>9076</v>
      </c>
      <c r="M25" s="1">
        <v>2100</v>
      </c>
      <c r="N25" s="1" t="s">
        <v>8953</v>
      </c>
      <c r="O25" s="1" t="s">
        <v>8954</v>
      </c>
      <c r="P25" s="1" t="e">
        <v>#N/A</v>
      </c>
      <c r="Q25" s="1" t="e">
        <v>#N/A</v>
      </c>
      <c r="R25" s="1">
        <f t="shared" si="6"/>
        <v>3</v>
      </c>
      <c r="S25" s="1" t="str">
        <f t="shared" si="7"/>
        <v>&lt;4</v>
      </c>
      <c r="T25" s="1" t="s">
        <v>18519</v>
      </c>
      <c r="U25" s="1" t="s">
        <v>17</v>
      </c>
      <c r="V25" s="1" t="s">
        <v>61</v>
      </c>
      <c r="W25" s="1"/>
    </row>
    <row r="26" spans="1:23" x14ac:dyDescent="0.2">
      <c r="A26" s="88" t="s">
        <v>15544</v>
      </c>
      <c r="B26" s="1" t="e">
        <v>#N/A</v>
      </c>
      <c r="C26" s="1" t="e">
        <v>#N/A</v>
      </c>
      <c r="D26" s="1" t="s">
        <v>80</v>
      </c>
      <c r="E26" s="1" t="s">
        <v>81</v>
      </c>
      <c r="F26" s="1" t="s">
        <v>18502</v>
      </c>
      <c r="G26" s="1" t="s">
        <v>8959</v>
      </c>
      <c r="H26" t="s">
        <v>8959</v>
      </c>
      <c r="I26" s="1" t="s">
        <v>9173</v>
      </c>
      <c r="J26" s="1" t="e">
        <v>#N/A</v>
      </c>
      <c r="K26" s="1" t="s">
        <v>20710</v>
      </c>
      <c r="L26" s="1" t="s">
        <v>9292</v>
      </c>
      <c r="M26" s="1">
        <f>332+92+138+280+96+1200000</f>
        <v>1200938</v>
      </c>
      <c r="N26" s="1" t="s">
        <v>8953</v>
      </c>
      <c r="O26" s="1" t="s">
        <v>8954</v>
      </c>
      <c r="P26" s="1" t="e">
        <v>#N/A</v>
      </c>
      <c r="Q26" s="1" t="e">
        <v>#N/A</v>
      </c>
      <c r="R26" s="1">
        <f t="shared" si="6"/>
        <v>1</v>
      </c>
      <c r="S26" s="1" t="str">
        <f t="shared" si="7"/>
        <v>&lt;4</v>
      </c>
      <c r="T26" s="1" t="s">
        <v>82</v>
      </c>
      <c r="U26" s="1" t="s">
        <v>17</v>
      </c>
      <c r="V26" s="1" t="s">
        <v>83</v>
      </c>
      <c r="W26" s="1"/>
    </row>
    <row r="27" spans="1:23" x14ac:dyDescent="0.2">
      <c r="A27" s="88" t="s">
        <v>15545</v>
      </c>
      <c r="B27" s="1" t="e">
        <v>#N/A</v>
      </c>
      <c r="C27" s="1" t="s">
        <v>9965</v>
      </c>
      <c r="D27" s="1" t="s">
        <v>84</v>
      </c>
      <c r="E27" s="1" t="s">
        <v>85</v>
      </c>
      <c r="F27" s="1" t="s">
        <v>9968</v>
      </c>
      <c r="G27" s="1" t="s">
        <v>8959</v>
      </c>
      <c r="H27" t="s">
        <v>8959</v>
      </c>
      <c r="I27" s="1" t="s">
        <v>9100</v>
      </c>
      <c r="J27" s="1" t="s">
        <v>8949</v>
      </c>
      <c r="K27" s="1" t="s">
        <v>9036</v>
      </c>
      <c r="L27" s="1" t="s">
        <v>9133</v>
      </c>
      <c r="M27" s="1">
        <v>2256</v>
      </c>
      <c r="N27" s="1" t="s">
        <v>8953</v>
      </c>
      <c r="O27" s="1" t="s">
        <v>8954</v>
      </c>
      <c r="P27" s="1" t="s">
        <v>8955</v>
      </c>
      <c r="Q27" s="1" t="s">
        <v>8956</v>
      </c>
      <c r="R27" s="1" t="s">
        <v>8959</v>
      </c>
      <c r="S27" s="1" t="s">
        <v>9103</v>
      </c>
      <c r="T27" s="1" t="s">
        <v>86</v>
      </c>
      <c r="U27" s="1" t="s">
        <v>17</v>
      </c>
      <c r="V27" s="1" t="s">
        <v>87</v>
      </c>
      <c r="W27" s="1"/>
    </row>
    <row r="28" spans="1:23" x14ac:dyDescent="0.2">
      <c r="A28" s="88" t="s">
        <v>15546</v>
      </c>
      <c r="B28" s="1" t="e">
        <v>#N/A</v>
      </c>
      <c r="C28" s="1" t="e">
        <v>#N/A</v>
      </c>
      <c r="D28" s="1" t="s">
        <v>88</v>
      </c>
      <c r="E28" s="1" t="s">
        <v>89</v>
      </c>
      <c r="F28" s="1" t="s">
        <v>9815</v>
      </c>
      <c r="G28" s="1" t="s">
        <v>8959</v>
      </c>
      <c r="H28" t="s">
        <v>8959</v>
      </c>
      <c r="I28" s="1" t="s">
        <v>9035</v>
      </c>
      <c r="J28" s="1" t="s">
        <v>8998</v>
      </c>
      <c r="K28" s="1" t="s">
        <v>21305</v>
      </c>
      <c r="L28" s="1" t="s">
        <v>20711</v>
      </c>
      <c r="M28" s="1">
        <v>244557</v>
      </c>
      <c r="N28" s="1" t="s">
        <v>8953</v>
      </c>
      <c r="O28" s="1" t="s">
        <v>8954</v>
      </c>
      <c r="P28" s="1" t="e">
        <v>#N/A</v>
      </c>
      <c r="Q28" s="1" t="e">
        <v>#N/A</v>
      </c>
      <c r="R28" s="1">
        <f t="shared" ref="R28:R29" si="8">1+LEN(T28)-LEN(SUBSTITUTE(T28,",",))</f>
        <v>2</v>
      </c>
      <c r="S28" s="1" t="str">
        <f t="shared" ref="S28:S29" si="9">IF(R28&gt;4,IF(R28&lt;8,"4-7",IF(R28&gt;7,"&gt;7")),"&lt;4")</f>
        <v>&lt;4</v>
      </c>
      <c r="T28" s="1" t="s">
        <v>18520</v>
      </c>
      <c r="U28" s="1" t="s">
        <v>7</v>
      </c>
      <c r="V28" s="1" t="s">
        <v>90</v>
      </c>
      <c r="W28" s="1"/>
    </row>
    <row r="29" spans="1:23" x14ac:dyDescent="0.2">
      <c r="A29" s="88" t="s">
        <v>15547</v>
      </c>
      <c r="B29" s="1" t="e">
        <v>#N/A</v>
      </c>
      <c r="C29" s="1" t="e">
        <v>#N/A</v>
      </c>
      <c r="D29" s="1" t="s">
        <v>91</v>
      </c>
      <c r="E29" s="1" t="s">
        <v>92</v>
      </c>
      <c r="F29" s="1" t="s">
        <v>18502</v>
      </c>
      <c r="G29" s="1" t="s">
        <v>8959</v>
      </c>
      <c r="H29" t="s">
        <v>9061</v>
      </c>
      <c r="I29" s="1" t="s">
        <v>20712</v>
      </c>
      <c r="J29" s="1" t="s">
        <v>8998</v>
      </c>
      <c r="K29" s="1" t="s">
        <v>20713</v>
      </c>
      <c r="L29" s="1" t="s">
        <v>9292</v>
      </c>
      <c r="M29" s="1">
        <v>442</v>
      </c>
      <c r="N29" s="1" t="s">
        <v>8953</v>
      </c>
      <c r="O29" s="1" t="s">
        <v>8989</v>
      </c>
      <c r="P29" s="1" t="e">
        <v>#N/A</v>
      </c>
      <c r="Q29" s="1" t="e">
        <v>#N/A</v>
      </c>
      <c r="R29" s="1">
        <f t="shared" si="8"/>
        <v>4</v>
      </c>
      <c r="S29" s="1" t="str">
        <f t="shared" si="9"/>
        <v>&lt;4</v>
      </c>
      <c r="T29" s="1" t="s">
        <v>18521</v>
      </c>
      <c r="U29" s="1" t="s">
        <v>7</v>
      </c>
      <c r="V29" s="1" t="s">
        <v>93</v>
      </c>
      <c r="W29" s="1"/>
    </row>
    <row r="30" spans="1:23" x14ac:dyDescent="0.2">
      <c r="A30" s="88" t="s">
        <v>15548</v>
      </c>
      <c r="B30" s="1" t="e">
        <v>#N/A</v>
      </c>
      <c r="C30" s="1" t="s">
        <v>10102</v>
      </c>
      <c r="D30" s="1" t="s">
        <v>94</v>
      </c>
      <c r="E30" s="1" t="s">
        <v>95</v>
      </c>
      <c r="F30" s="1" t="s">
        <v>9815</v>
      </c>
      <c r="G30" s="1" t="s">
        <v>8959</v>
      </c>
      <c r="H30" t="s">
        <v>8959</v>
      </c>
      <c r="I30" s="1" t="s">
        <v>9100</v>
      </c>
      <c r="J30" s="1" t="s">
        <v>8949</v>
      </c>
      <c r="K30" s="1" t="s">
        <v>9018</v>
      </c>
      <c r="L30" s="1" t="s">
        <v>9292</v>
      </c>
      <c r="M30" s="1">
        <v>20</v>
      </c>
      <c r="N30" s="1" t="s">
        <v>9059</v>
      </c>
      <c r="O30" s="1" t="s">
        <v>8989</v>
      </c>
      <c r="P30" s="1" t="s">
        <v>8955</v>
      </c>
      <c r="Q30" s="1" t="s">
        <v>8990</v>
      </c>
      <c r="R30" s="1" t="s">
        <v>8959</v>
      </c>
      <c r="S30" s="1" t="s">
        <v>9103</v>
      </c>
      <c r="T30" s="1" t="s">
        <v>96</v>
      </c>
      <c r="U30" s="1" t="s">
        <v>17</v>
      </c>
      <c r="V30" s="1" t="s">
        <v>97</v>
      </c>
      <c r="W30" s="1"/>
    </row>
    <row r="31" spans="1:23" x14ac:dyDescent="0.2">
      <c r="A31" s="88" t="s">
        <v>15549</v>
      </c>
      <c r="B31" s="1" t="e">
        <v>#N/A</v>
      </c>
      <c r="C31" s="1" t="s">
        <v>13288</v>
      </c>
      <c r="D31" s="1" t="s">
        <v>98</v>
      </c>
      <c r="E31" s="1" t="s">
        <v>99</v>
      </c>
      <c r="F31" s="1" t="s">
        <v>9852</v>
      </c>
      <c r="G31" s="1" t="s">
        <v>8957</v>
      </c>
      <c r="H31" t="s">
        <v>9009</v>
      </c>
      <c r="I31" s="1" t="s">
        <v>8984</v>
      </c>
      <c r="J31" s="1" t="s">
        <v>9422</v>
      </c>
      <c r="K31" s="1" t="s">
        <v>9036</v>
      </c>
      <c r="L31" s="1" t="s">
        <v>8951</v>
      </c>
      <c r="M31" s="1">
        <v>100</v>
      </c>
      <c r="N31" s="1" t="s">
        <v>8953</v>
      </c>
      <c r="O31" s="1" t="s">
        <v>8989</v>
      </c>
      <c r="P31" s="1" t="s">
        <v>8955</v>
      </c>
      <c r="Q31" s="1" t="s">
        <v>8956</v>
      </c>
      <c r="R31" s="1" t="s">
        <v>8957</v>
      </c>
      <c r="S31" s="1" t="s">
        <v>8958</v>
      </c>
      <c r="T31" s="1" t="s">
        <v>100</v>
      </c>
      <c r="U31" s="1" t="s">
        <v>4</v>
      </c>
      <c r="V31" s="1" t="s">
        <v>97</v>
      </c>
    </row>
    <row r="32" spans="1:23" x14ac:dyDescent="0.2">
      <c r="A32" s="89" t="s">
        <v>101</v>
      </c>
      <c r="B32" s="1" t="e">
        <v>#N/A</v>
      </c>
      <c r="C32" s="1" t="e">
        <v>#N/A</v>
      </c>
      <c r="D32" s="1" t="s">
        <v>102</v>
      </c>
      <c r="E32" s="1" t="s">
        <v>103</v>
      </c>
      <c r="F32" s="1" t="e">
        <v>#N/A</v>
      </c>
      <c r="G32" s="1" t="e">
        <v>#N/A</v>
      </c>
      <c r="H32" t="e">
        <v>#N/A</v>
      </c>
      <c r="I32" s="1" t="e">
        <v>#N/A</v>
      </c>
      <c r="J32" s="1" t="e">
        <v>#N/A</v>
      </c>
      <c r="K32" s="1" t="e">
        <v>#N/A</v>
      </c>
      <c r="L32" s="1" t="e">
        <v>#N/A</v>
      </c>
      <c r="M32" s="1" t="e">
        <v>#N/A</v>
      </c>
      <c r="N32" s="1" t="e">
        <v>#N/A</v>
      </c>
      <c r="O32" s="1" t="e">
        <v>#N/A</v>
      </c>
      <c r="P32" s="1" t="e">
        <v>#N/A</v>
      </c>
      <c r="Q32" s="1" t="e">
        <v>#N/A</v>
      </c>
      <c r="R32" s="1">
        <f t="shared" ref="R32:R38" si="10">1+LEN(T32)-LEN(SUBSTITUTE(T32,",",))</f>
        <v>3</v>
      </c>
      <c r="S32" s="1" t="str">
        <f t="shared" ref="S32:S38" si="11">IF(R32&gt;4,IF(R32&lt;8,"4-7",IF(R32&gt;7,"&gt;7")),"&lt;4")</f>
        <v>&lt;4</v>
      </c>
      <c r="T32" s="1" t="s">
        <v>18522</v>
      </c>
      <c r="U32" s="1" t="s">
        <v>7</v>
      </c>
      <c r="V32" s="1" t="s">
        <v>104</v>
      </c>
      <c r="W32" s="1"/>
    </row>
    <row r="33" spans="1:23" x14ac:dyDescent="0.2">
      <c r="A33" s="92" t="s">
        <v>15550</v>
      </c>
      <c r="B33" s="1" t="e">
        <v>#N/A</v>
      </c>
      <c r="C33" s="1" t="e">
        <v>#N/A</v>
      </c>
      <c r="D33" s="1" t="s">
        <v>105</v>
      </c>
      <c r="E33" s="1" t="s">
        <v>106</v>
      </c>
      <c r="F33" s="1" t="e">
        <v>#N/A</v>
      </c>
      <c r="G33" s="1" t="e">
        <v>#N/A</v>
      </c>
      <c r="H33" t="e">
        <v>#N/A</v>
      </c>
      <c r="I33" s="1" t="e">
        <v>#N/A</v>
      </c>
      <c r="J33" s="1" t="e">
        <v>#N/A</v>
      </c>
      <c r="K33" s="1" t="e">
        <v>#N/A</v>
      </c>
      <c r="L33" s="1" t="e">
        <v>#N/A</v>
      </c>
      <c r="M33" s="1" t="e">
        <v>#N/A</v>
      </c>
      <c r="N33" s="1" t="e">
        <v>#N/A</v>
      </c>
      <c r="O33" s="1" t="e">
        <v>#N/A</v>
      </c>
      <c r="P33" s="1" t="e">
        <v>#N/A</v>
      </c>
      <c r="Q33" s="1" t="e">
        <v>#N/A</v>
      </c>
      <c r="R33" s="1">
        <f t="shared" si="10"/>
        <v>5</v>
      </c>
      <c r="S33" s="1" t="str">
        <f t="shared" si="11"/>
        <v>4-7</v>
      </c>
      <c r="T33" s="1" t="s">
        <v>18523</v>
      </c>
      <c r="U33" s="1" t="s">
        <v>7</v>
      </c>
      <c r="V33" s="1" t="s">
        <v>107</v>
      </c>
      <c r="W33" s="1"/>
    </row>
    <row r="34" spans="1:23" x14ac:dyDescent="0.2">
      <c r="A34" s="94" t="s">
        <v>15551</v>
      </c>
      <c r="B34" s="1" t="e">
        <v>#N/A</v>
      </c>
      <c r="C34" s="1" t="e">
        <v>#N/A</v>
      </c>
      <c r="D34" s="1" t="s">
        <v>108</v>
      </c>
      <c r="E34" s="1" t="s">
        <v>109</v>
      </c>
      <c r="F34" s="1" t="e">
        <v>#N/A</v>
      </c>
      <c r="G34" s="1" t="e">
        <v>#N/A</v>
      </c>
      <c r="H34" t="e">
        <v>#N/A</v>
      </c>
      <c r="I34" s="1" t="e">
        <v>#N/A</v>
      </c>
      <c r="J34" s="1" t="e">
        <v>#N/A</v>
      </c>
      <c r="K34" s="1" t="e">
        <v>#N/A</v>
      </c>
      <c r="L34" s="1" t="e">
        <v>#N/A</v>
      </c>
      <c r="M34" s="1" t="e">
        <v>#N/A</v>
      </c>
      <c r="N34" s="1" t="e">
        <v>#N/A</v>
      </c>
      <c r="O34" s="1" t="e">
        <v>#N/A</v>
      </c>
      <c r="P34" s="1" t="e">
        <v>#N/A</v>
      </c>
      <c r="Q34" s="1" t="e">
        <v>#N/A</v>
      </c>
      <c r="R34" s="1">
        <f t="shared" si="10"/>
        <v>3</v>
      </c>
      <c r="S34" s="1" t="str">
        <f t="shared" si="11"/>
        <v>&lt;4</v>
      </c>
      <c r="T34" s="1" t="s">
        <v>18524</v>
      </c>
      <c r="U34" s="1" t="s">
        <v>4</v>
      </c>
      <c r="V34" s="1" t="s">
        <v>110</v>
      </c>
      <c r="W34" s="1"/>
    </row>
    <row r="35" spans="1:23" x14ac:dyDescent="0.2">
      <c r="A35" s="89" t="s">
        <v>111</v>
      </c>
      <c r="B35" s="1" t="e">
        <v>#N/A</v>
      </c>
      <c r="C35" s="1" t="e">
        <v>#N/A</v>
      </c>
      <c r="D35" s="1" t="s">
        <v>112</v>
      </c>
      <c r="E35" s="1" t="s">
        <v>113</v>
      </c>
      <c r="F35" s="1" t="e">
        <v>#N/A</v>
      </c>
      <c r="G35" s="1" t="e">
        <v>#N/A</v>
      </c>
      <c r="H35" t="e">
        <v>#N/A</v>
      </c>
      <c r="I35" s="1" t="e">
        <v>#N/A</v>
      </c>
      <c r="J35" s="1" t="e">
        <v>#N/A</v>
      </c>
      <c r="K35" s="1" t="e">
        <v>#N/A</v>
      </c>
      <c r="L35" s="1" t="e">
        <v>#N/A</v>
      </c>
      <c r="M35" s="1" t="e">
        <v>#N/A</v>
      </c>
      <c r="N35" s="1" t="e">
        <v>#N/A</v>
      </c>
      <c r="O35" s="1" t="e">
        <v>#N/A</v>
      </c>
      <c r="P35" s="1" t="e">
        <v>#N/A</v>
      </c>
      <c r="Q35" s="1" t="e">
        <v>#N/A</v>
      </c>
      <c r="R35" s="1">
        <f t="shared" si="10"/>
        <v>6</v>
      </c>
      <c r="S35" s="1" t="str">
        <f t="shared" si="11"/>
        <v>4-7</v>
      </c>
      <c r="T35" s="1" t="s">
        <v>18525</v>
      </c>
      <c r="U35" s="1" t="s">
        <v>17</v>
      </c>
      <c r="V35" s="1" t="s">
        <v>114</v>
      </c>
      <c r="W35" s="1"/>
    </row>
    <row r="36" spans="1:23" x14ac:dyDescent="0.2">
      <c r="A36" s="89" t="s">
        <v>15552</v>
      </c>
      <c r="B36" s="1" t="e">
        <v>#N/A</v>
      </c>
      <c r="C36" s="1" t="e">
        <v>#N/A</v>
      </c>
      <c r="D36" s="1" t="s">
        <v>115</v>
      </c>
      <c r="E36" s="1" t="s">
        <v>116</v>
      </c>
      <c r="F36" s="1" t="e">
        <v>#N/A</v>
      </c>
      <c r="G36" s="1" t="e">
        <v>#N/A</v>
      </c>
      <c r="H36" t="e">
        <v>#N/A</v>
      </c>
      <c r="I36" s="1" t="s">
        <v>9100</v>
      </c>
      <c r="J36" s="1" t="e">
        <v>#N/A</v>
      </c>
      <c r="K36" s="1" t="e">
        <v>#N/A</v>
      </c>
      <c r="L36" s="1" t="s">
        <v>8987</v>
      </c>
      <c r="M36" s="1" t="e">
        <v>#N/A</v>
      </c>
      <c r="N36" s="1" t="e">
        <v>#N/A</v>
      </c>
      <c r="O36" s="1" t="e">
        <v>#N/A</v>
      </c>
      <c r="P36" s="1" t="e">
        <v>#N/A</v>
      </c>
      <c r="Q36" s="1" t="e">
        <v>#N/A</v>
      </c>
      <c r="R36" s="1">
        <f t="shared" si="10"/>
        <v>5</v>
      </c>
      <c r="S36" s="1" t="str">
        <f t="shared" si="11"/>
        <v>4-7</v>
      </c>
      <c r="T36" s="1" t="s">
        <v>18526</v>
      </c>
      <c r="U36" s="1" t="s">
        <v>7</v>
      </c>
      <c r="V36" s="1" t="s">
        <v>46</v>
      </c>
      <c r="W36" s="1"/>
    </row>
    <row r="37" spans="1:23" x14ac:dyDescent="0.2">
      <c r="A37" s="88" t="s">
        <v>15553</v>
      </c>
      <c r="B37" s="1" t="e">
        <v>#N/A</v>
      </c>
      <c r="C37" s="1" t="e">
        <v>#N/A</v>
      </c>
      <c r="D37" s="1" t="s">
        <v>117</v>
      </c>
      <c r="E37" s="1" t="s">
        <v>118</v>
      </c>
      <c r="F37" s="1" t="s">
        <v>9176</v>
      </c>
      <c r="G37" s="1" t="s">
        <v>8959</v>
      </c>
      <c r="H37" t="s">
        <v>9061</v>
      </c>
      <c r="I37" s="1" t="s">
        <v>9100</v>
      </c>
      <c r="J37" s="1" t="s">
        <v>8959</v>
      </c>
      <c r="K37" s="1" t="s">
        <v>12408</v>
      </c>
      <c r="L37" s="1" t="s">
        <v>9292</v>
      </c>
      <c r="M37" s="1">
        <v>35</v>
      </c>
      <c r="N37" s="1" t="s">
        <v>9059</v>
      </c>
      <c r="O37" s="1" t="s">
        <v>8989</v>
      </c>
      <c r="P37" s="1" t="e">
        <v>#N/A</v>
      </c>
      <c r="Q37" s="1" t="e">
        <v>#N/A</v>
      </c>
      <c r="R37" s="1">
        <f t="shared" si="10"/>
        <v>6</v>
      </c>
      <c r="S37" s="1" t="str">
        <f t="shared" si="11"/>
        <v>4-7</v>
      </c>
      <c r="T37" s="1" t="s">
        <v>18527</v>
      </c>
      <c r="U37" s="1" t="s">
        <v>17</v>
      </c>
      <c r="V37" s="1" t="s">
        <v>27</v>
      </c>
      <c r="W37" s="1"/>
    </row>
    <row r="38" spans="1:23" x14ac:dyDescent="0.2">
      <c r="A38" s="89" t="s">
        <v>119</v>
      </c>
      <c r="B38" s="1" t="e">
        <v>#N/A</v>
      </c>
      <c r="C38" s="1" t="e">
        <v>#N/A</v>
      </c>
      <c r="D38" s="1" t="s">
        <v>120</v>
      </c>
      <c r="E38" s="1" t="s">
        <v>121</v>
      </c>
      <c r="F38" s="1" t="e">
        <v>#N/A</v>
      </c>
      <c r="G38" s="1" t="e">
        <v>#N/A</v>
      </c>
      <c r="H38" t="e">
        <v>#N/A</v>
      </c>
      <c r="I38" s="1" t="e">
        <v>#N/A</v>
      </c>
      <c r="J38" s="1" t="e">
        <v>#N/A</v>
      </c>
      <c r="K38" s="1" t="e">
        <v>#N/A</v>
      </c>
      <c r="L38" s="1" t="e">
        <v>#N/A</v>
      </c>
      <c r="M38" s="1" t="e">
        <v>#N/A</v>
      </c>
      <c r="N38" s="1" t="e">
        <v>#N/A</v>
      </c>
      <c r="O38" s="1" t="e">
        <v>#N/A</v>
      </c>
      <c r="P38" s="1" t="e">
        <v>#N/A</v>
      </c>
      <c r="Q38" s="1" t="e">
        <v>#N/A</v>
      </c>
      <c r="R38" s="1">
        <f t="shared" si="10"/>
        <v>6</v>
      </c>
      <c r="S38" s="1" t="str">
        <f t="shared" si="11"/>
        <v>4-7</v>
      </c>
      <c r="T38" s="1" t="s">
        <v>18528</v>
      </c>
      <c r="U38" s="1" t="s">
        <v>4</v>
      </c>
      <c r="V38" s="1" t="s">
        <v>122</v>
      </c>
      <c r="W38" s="1"/>
    </row>
    <row r="39" spans="1:23" x14ac:dyDescent="0.2">
      <c r="A39" s="88" t="s">
        <v>15554</v>
      </c>
      <c r="B39" s="1" t="e">
        <v>#N/A</v>
      </c>
      <c r="C39" s="1" t="s">
        <v>9532</v>
      </c>
      <c r="D39" s="1" t="s">
        <v>123</v>
      </c>
      <c r="E39" s="1" t="s">
        <v>124</v>
      </c>
      <c r="F39" s="1" t="s">
        <v>9176</v>
      </c>
      <c r="G39" s="1" t="s">
        <v>8959</v>
      </c>
      <c r="H39" t="s">
        <v>8959</v>
      </c>
      <c r="I39" s="1" t="s">
        <v>9173</v>
      </c>
      <c r="J39" s="1" t="s">
        <v>9308</v>
      </c>
      <c r="K39" s="1" t="s">
        <v>21351</v>
      </c>
      <c r="L39" s="1" t="s">
        <v>9464</v>
      </c>
      <c r="M39" s="1">
        <v>6766</v>
      </c>
      <c r="N39" s="1" t="s">
        <v>8953</v>
      </c>
      <c r="O39" s="1" t="s">
        <v>8954</v>
      </c>
      <c r="P39" s="1" t="s">
        <v>8955</v>
      </c>
      <c r="Q39" s="1" t="s">
        <v>8990</v>
      </c>
      <c r="R39" s="1" t="s">
        <v>8959</v>
      </c>
      <c r="S39" s="1" t="s">
        <v>8958</v>
      </c>
      <c r="T39" s="1" t="s">
        <v>125</v>
      </c>
      <c r="U39" s="1" t="s">
        <v>17</v>
      </c>
      <c r="V39" s="1" t="s">
        <v>126</v>
      </c>
      <c r="W39" s="1"/>
    </row>
    <row r="40" spans="1:23" x14ac:dyDescent="0.2">
      <c r="A40" s="95" t="s">
        <v>15555</v>
      </c>
      <c r="B40" s="1" t="e">
        <v>#N/A</v>
      </c>
      <c r="C40" s="1" t="e">
        <v>#N/A</v>
      </c>
      <c r="D40" s="97" t="s">
        <v>127</v>
      </c>
      <c r="E40" s="1" t="s">
        <v>128</v>
      </c>
      <c r="F40" s="1" t="s">
        <v>9176</v>
      </c>
      <c r="G40" s="1" t="s">
        <v>8959</v>
      </c>
      <c r="H40" t="s">
        <v>8959</v>
      </c>
      <c r="I40" s="1" t="s">
        <v>20712</v>
      </c>
      <c r="J40" s="1" t="s">
        <v>9155</v>
      </c>
      <c r="K40" s="1" t="s">
        <v>21221</v>
      </c>
      <c r="L40" s="1" t="s">
        <v>8987</v>
      </c>
      <c r="M40" s="1">
        <f>6776+2600+230+214</f>
        <v>9820</v>
      </c>
      <c r="N40" s="1" t="s">
        <v>8953</v>
      </c>
      <c r="O40" s="1" t="s">
        <v>8954</v>
      </c>
      <c r="P40" s="1" t="e">
        <v>#N/A</v>
      </c>
      <c r="Q40" s="1" t="e">
        <v>#N/A</v>
      </c>
      <c r="R40" s="1">
        <f>1+LEN(T40)-LEN(SUBSTITUTE(T40,",",))</f>
        <v>5</v>
      </c>
      <c r="S40" s="1" t="str">
        <f>IF(R40&gt;4,IF(R40&lt;8,"4-7",IF(R40&gt;7,"&gt;7")),"&lt;4")</f>
        <v>4-7</v>
      </c>
      <c r="T40" s="1" t="s">
        <v>18529</v>
      </c>
      <c r="U40" s="1" t="s">
        <v>7</v>
      </c>
      <c r="V40" s="1" t="s">
        <v>61</v>
      </c>
      <c r="W40" s="1"/>
    </row>
    <row r="41" spans="1:23" x14ac:dyDescent="0.2">
      <c r="A41" s="88" t="s">
        <v>15556</v>
      </c>
      <c r="B41" s="1" t="e">
        <v>#N/A</v>
      </c>
      <c r="C41" s="1" t="s">
        <v>10750</v>
      </c>
      <c r="D41" s="1" t="s">
        <v>129</v>
      </c>
      <c r="E41" s="1" t="s">
        <v>130</v>
      </c>
      <c r="F41" s="1" t="s">
        <v>9213</v>
      </c>
      <c r="G41" s="1" t="s">
        <v>8974</v>
      </c>
      <c r="H41" t="s">
        <v>8959</v>
      </c>
      <c r="I41" s="1" t="s">
        <v>9049</v>
      </c>
      <c r="J41" s="1" t="s">
        <v>9050</v>
      </c>
      <c r="K41" s="1" t="s">
        <v>21222</v>
      </c>
      <c r="L41" s="1" t="s">
        <v>8951</v>
      </c>
      <c r="M41" s="1">
        <v>1542</v>
      </c>
      <c r="N41" s="1" t="s">
        <v>8953</v>
      </c>
      <c r="O41" s="1" t="s">
        <v>8989</v>
      </c>
      <c r="P41" s="1" t="s">
        <v>8955</v>
      </c>
      <c r="Q41" s="1" t="s">
        <v>8990</v>
      </c>
      <c r="R41" s="1" t="s">
        <v>8974</v>
      </c>
      <c r="S41" s="1" t="s">
        <v>8958</v>
      </c>
      <c r="T41" s="1" t="s">
        <v>131</v>
      </c>
      <c r="U41" s="1" t="s">
        <v>11</v>
      </c>
      <c r="V41" s="1" t="s">
        <v>110</v>
      </c>
      <c r="W41" s="1"/>
    </row>
    <row r="42" spans="1:23" x14ac:dyDescent="0.2">
      <c r="A42" s="88" t="s">
        <v>15557</v>
      </c>
      <c r="B42" s="1" t="e">
        <v>#N/A</v>
      </c>
      <c r="C42" s="1" t="e">
        <v>#N/A</v>
      </c>
      <c r="D42" s="1" t="s">
        <v>132</v>
      </c>
      <c r="E42" s="1" t="s">
        <v>133</v>
      </c>
      <c r="F42" s="1" t="s">
        <v>9213</v>
      </c>
      <c r="G42" s="1" t="s">
        <v>8957</v>
      </c>
      <c r="H42" t="s">
        <v>9061</v>
      </c>
      <c r="I42" s="1" t="s">
        <v>8984</v>
      </c>
      <c r="J42" s="1" t="s">
        <v>8998</v>
      </c>
      <c r="K42" s="1" t="s">
        <v>10492</v>
      </c>
      <c r="L42" s="1" t="s">
        <v>8973</v>
      </c>
      <c r="M42" s="1">
        <v>70</v>
      </c>
      <c r="N42" s="1" t="s">
        <v>9059</v>
      </c>
      <c r="O42" s="1" t="s">
        <v>8989</v>
      </c>
      <c r="P42" s="1" t="e">
        <v>#N/A</v>
      </c>
      <c r="Q42" s="1" t="e">
        <v>#N/A</v>
      </c>
      <c r="R42" s="1">
        <f>1+LEN(T42)-LEN(SUBSTITUTE(T42,",",))</f>
        <v>15</v>
      </c>
      <c r="S42" s="1" t="str">
        <f>IF(R42&gt;4,IF(R42&lt;8,"4-7",IF(R42&gt;7,"&gt;7")),"&lt;4")</f>
        <v>&gt;7</v>
      </c>
      <c r="T42" s="1" t="s">
        <v>18530</v>
      </c>
      <c r="U42" s="1" t="s">
        <v>17</v>
      </c>
      <c r="V42" s="1" t="s">
        <v>134</v>
      </c>
      <c r="W42" s="1"/>
    </row>
    <row r="43" spans="1:23" x14ac:dyDescent="0.2">
      <c r="A43" s="88" t="s">
        <v>15558</v>
      </c>
      <c r="B43" s="1" t="e">
        <v>#N/A</v>
      </c>
      <c r="C43" s="1" t="s">
        <v>12537</v>
      </c>
      <c r="D43" s="1" t="s">
        <v>135</v>
      </c>
      <c r="E43" s="1" t="s">
        <v>136</v>
      </c>
      <c r="F43" s="1" t="s">
        <v>9213</v>
      </c>
      <c r="G43" s="1" t="s">
        <v>8974</v>
      </c>
      <c r="H43" t="s">
        <v>9061</v>
      </c>
      <c r="I43" s="1" t="s">
        <v>9035</v>
      </c>
      <c r="J43" s="1" t="s">
        <v>9308</v>
      </c>
      <c r="K43" s="1" t="s">
        <v>9036</v>
      </c>
      <c r="L43" s="1" t="s">
        <v>8973</v>
      </c>
      <c r="M43" s="1">
        <v>38</v>
      </c>
      <c r="N43" s="1" t="s">
        <v>9059</v>
      </c>
      <c r="O43" s="1" t="s">
        <v>8989</v>
      </c>
      <c r="P43" s="1" t="s">
        <v>8955</v>
      </c>
      <c r="Q43" s="1" t="s">
        <v>8956</v>
      </c>
      <c r="R43" s="1" t="s">
        <v>8974</v>
      </c>
      <c r="S43" s="1" t="s">
        <v>9103</v>
      </c>
      <c r="T43" s="1" t="s">
        <v>137</v>
      </c>
      <c r="U43" s="1" t="s">
        <v>11</v>
      </c>
      <c r="V43" s="1" t="s">
        <v>138</v>
      </c>
      <c r="W43" s="1"/>
    </row>
    <row r="44" spans="1:23" x14ac:dyDescent="0.2">
      <c r="A44" s="88" t="s">
        <v>15559</v>
      </c>
      <c r="B44" s="1" t="e">
        <v>#N/A</v>
      </c>
      <c r="C44" s="1" t="e">
        <v>#N/A</v>
      </c>
      <c r="D44" s="1" t="s">
        <v>139</v>
      </c>
      <c r="E44" s="1" t="s">
        <v>140</v>
      </c>
      <c r="F44" s="1" t="s">
        <v>9213</v>
      </c>
      <c r="G44" s="1" t="s">
        <v>8957</v>
      </c>
      <c r="H44" t="s">
        <v>9061</v>
      </c>
      <c r="I44" s="1" t="s">
        <v>8984</v>
      </c>
      <c r="J44" s="1" t="s">
        <v>8998</v>
      </c>
      <c r="K44" s="1" t="s">
        <v>10492</v>
      </c>
      <c r="L44" s="1" t="s">
        <v>8973</v>
      </c>
      <c r="M44" s="1">
        <v>813</v>
      </c>
      <c r="N44" s="1" t="s">
        <v>9059</v>
      </c>
      <c r="O44" s="1" t="s">
        <v>8954</v>
      </c>
      <c r="P44" s="1" t="e">
        <v>#N/A</v>
      </c>
      <c r="Q44" s="1" t="e">
        <v>#N/A</v>
      </c>
      <c r="R44" s="1">
        <f t="shared" ref="R44:R50" si="12">1+LEN(T44)-LEN(SUBSTITUTE(T44,",",))</f>
        <v>9</v>
      </c>
      <c r="S44" s="1" t="str">
        <f t="shared" ref="S44:S50" si="13">IF(R44&gt;4,IF(R44&lt;8,"4-7",IF(R44&gt;7,"&gt;7")),"&lt;4")</f>
        <v>&gt;7</v>
      </c>
      <c r="T44" s="1" t="s">
        <v>18531</v>
      </c>
      <c r="U44" s="1" t="s">
        <v>7</v>
      </c>
      <c r="V44" s="1" t="s">
        <v>138</v>
      </c>
      <c r="W44" s="1"/>
    </row>
    <row r="45" spans="1:23" x14ac:dyDescent="0.2">
      <c r="A45" s="92" t="s">
        <v>15560</v>
      </c>
      <c r="B45" s="1" t="e">
        <v>#N/A</v>
      </c>
      <c r="C45" s="1" t="e">
        <v>#N/A</v>
      </c>
      <c r="D45" s="1" t="s">
        <v>141</v>
      </c>
      <c r="E45" s="1" t="s">
        <v>142</v>
      </c>
      <c r="F45" s="1" t="e">
        <v>#N/A</v>
      </c>
      <c r="G45" s="1" t="e">
        <v>#N/A</v>
      </c>
      <c r="H45" t="e">
        <v>#N/A</v>
      </c>
      <c r="I45" s="1" t="e">
        <v>#N/A</v>
      </c>
      <c r="J45" s="1" t="e">
        <v>#N/A</v>
      </c>
      <c r="K45" s="1" t="e">
        <v>#N/A</v>
      </c>
      <c r="L45" s="1" t="e">
        <v>#N/A</v>
      </c>
      <c r="M45" s="1" t="e">
        <v>#N/A</v>
      </c>
      <c r="N45" s="1" t="e">
        <v>#N/A</v>
      </c>
      <c r="O45" s="1" t="e">
        <v>#N/A</v>
      </c>
      <c r="P45" s="1" t="e">
        <v>#N/A</v>
      </c>
      <c r="Q45" s="1" t="e">
        <v>#N/A</v>
      </c>
      <c r="R45" s="1">
        <f t="shared" si="12"/>
        <v>1</v>
      </c>
      <c r="S45" s="1" t="str">
        <f t="shared" si="13"/>
        <v>&lt;4</v>
      </c>
      <c r="T45" s="1" t="s">
        <v>143</v>
      </c>
      <c r="U45" s="1" t="s">
        <v>7</v>
      </c>
      <c r="V45" s="1" t="s">
        <v>144</v>
      </c>
      <c r="W45" s="1"/>
    </row>
    <row r="46" spans="1:23" x14ac:dyDescent="0.2">
      <c r="A46" s="88" t="s">
        <v>15561</v>
      </c>
      <c r="B46" s="1" t="e">
        <v>#N/A</v>
      </c>
      <c r="C46" s="1" t="e">
        <v>#N/A</v>
      </c>
      <c r="D46" s="1" t="s">
        <v>145</v>
      </c>
      <c r="E46" s="1" t="s">
        <v>146</v>
      </c>
      <c r="F46" s="1" t="s">
        <v>9333</v>
      </c>
      <c r="G46" s="1" t="s">
        <v>8974</v>
      </c>
      <c r="H46" t="s">
        <v>9061</v>
      </c>
      <c r="I46" s="1" t="s">
        <v>8984</v>
      </c>
      <c r="J46" s="1" t="s">
        <v>8998</v>
      </c>
      <c r="K46" s="1" t="s">
        <v>9036</v>
      </c>
      <c r="L46" s="1" t="s">
        <v>9076</v>
      </c>
      <c r="M46" s="1">
        <v>46</v>
      </c>
      <c r="N46" s="1" t="s">
        <v>9059</v>
      </c>
      <c r="O46" s="1" t="s">
        <v>8989</v>
      </c>
      <c r="P46" s="1" t="e">
        <v>#N/A</v>
      </c>
      <c r="Q46" s="1" t="e">
        <v>#N/A</v>
      </c>
      <c r="R46" s="1">
        <f t="shared" si="12"/>
        <v>9</v>
      </c>
      <c r="S46" s="1" t="str">
        <f t="shared" si="13"/>
        <v>&gt;7</v>
      </c>
      <c r="T46" s="1" t="s">
        <v>18532</v>
      </c>
      <c r="U46" s="1" t="s">
        <v>17</v>
      </c>
      <c r="V46" s="1" t="s">
        <v>147</v>
      </c>
      <c r="W46" s="1"/>
    </row>
    <row r="47" spans="1:23" x14ac:dyDescent="0.2">
      <c r="A47" s="88" t="s">
        <v>15562</v>
      </c>
      <c r="B47" s="1" t="e">
        <v>#N/A</v>
      </c>
      <c r="C47" s="1" t="e">
        <v>#N/A</v>
      </c>
      <c r="D47" s="1" t="s">
        <v>148</v>
      </c>
      <c r="E47" s="1" t="s">
        <v>149</v>
      </c>
      <c r="F47" s="1" t="s">
        <v>9333</v>
      </c>
      <c r="G47" s="1" t="s">
        <v>8957</v>
      </c>
      <c r="H47" t="s">
        <v>9009</v>
      </c>
      <c r="I47" s="1" t="s">
        <v>9075</v>
      </c>
      <c r="J47" s="1" t="s">
        <v>8949</v>
      </c>
      <c r="K47" s="76" t="s">
        <v>21264</v>
      </c>
      <c r="L47" s="1" t="s">
        <v>8987</v>
      </c>
      <c r="M47" s="1">
        <v>307</v>
      </c>
      <c r="N47" s="1" t="s">
        <v>8953</v>
      </c>
      <c r="O47" s="1" t="s">
        <v>8989</v>
      </c>
      <c r="P47" s="1" t="e">
        <v>#N/A</v>
      </c>
      <c r="Q47" s="1" t="e">
        <v>#N/A</v>
      </c>
      <c r="R47" s="1">
        <f t="shared" si="12"/>
        <v>18</v>
      </c>
      <c r="S47" s="1" t="str">
        <f t="shared" si="13"/>
        <v>&gt;7</v>
      </c>
      <c r="T47" s="1" t="s">
        <v>18533</v>
      </c>
      <c r="U47" s="1" t="s">
        <v>17</v>
      </c>
      <c r="V47" s="1" t="s">
        <v>150</v>
      </c>
      <c r="W47" s="1"/>
    </row>
    <row r="48" spans="1:23" x14ac:dyDescent="0.2">
      <c r="A48" s="89" t="s">
        <v>151</v>
      </c>
      <c r="B48" s="1" t="e">
        <v>#N/A</v>
      </c>
      <c r="C48" s="1" t="e">
        <v>#N/A</v>
      </c>
      <c r="D48" s="1" t="s">
        <v>152</v>
      </c>
      <c r="E48" s="1" t="s">
        <v>153</v>
      </c>
      <c r="F48" s="1" t="e">
        <v>#N/A</v>
      </c>
      <c r="G48" s="1" t="e">
        <v>#N/A</v>
      </c>
      <c r="H48" t="e">
        <v>#N/A</v>
      </c>
      <c r="I48" s="1" t="e">
        <v>#N/A</v>
      </c>
      <c r="J48" s="1" t="e">
        <v>#N/A</v>
      </c>
      <c r="K48" s="1" t="e">
        <v>#N/A</v>
      </c>
      <c r="L48" s="1" t="e">
        <v>#N/A</v>
      </c>
      <c r="M48" s="1" t="e">
        <v>#N/A</v>
      </c>
      <c r="N48" s="1" t="e">
        <v>#N/A</v>
      </c>
      <c r="O48" s="1" t="e">
        <v>#N/A</v>
      </c>
      <c r="P48" s="1" t="e">
        <v>#N/A</v>
      </c>
      <c r="Q48" s="1" t="e">
        <v>#N/A</v>
      </c>
      <c r="R48" s="1">
        <f t="shared" si="12"/>
        <v>2</v>
      </c>
      <c r="S48" s="1" t="str">
        <f t="shared" si="13"/>
        <v>&lt;4</v>
      </c>
      <c r="T48" s="1" t="s">
        <v>18534</v>
      </c>
      <c r="U48" s="1" t="s">
        <v>17</v>
      </c>
      <c r="V48" s="1" t="s">
        <v>27</v>
      </c>
      <c r="W48" s="1"/>
    </row>
    <row r="49" spans="1:23" x14ac:dyDescent="0.2">
      <c r="A49" s="94" t="s">
        <v>15563</v>
      </c>
      <c r="B49" s="1" t="e">
        <v>#N/A</v>
      </c>
      <c r="C49" s="1" t="e">
        <v>#N/A</v>
      </c>
      <c r="D49" s="1" t="s">
        <v>154</v>
      </c>
      <c r="E49" s="1" t="s">
        <v>155</v>
      </c>
      <c r="F49" s="1" t="e">
        <v>#N/A</v>
      </c>
      <c r="G49" s="1" t="e">
        <v>#N/A</v>
      </c>
      <c r="H49" t="e">
        <v>#N/A</v>
      </c>
      <c r="I49" s="1" t="e">
        <v>#N/A</v>
      </c>
      <c r="J49" s="1" t="e">
        <v>#N/A</v>
      </c>
      <c r="K49" s="1" t="e">
        <v>#N/A</v>
      </c>
      <c r="L49" s="1" t="e">
        <v>#N/A</v>
      </c>
      <c r="M49" s="1" t="e">
        <v>#N/A</v>
      </c>
      <c r="N49" s="1" t="e">
        <v>#N/A</v>
      </c>
      <c r="O49" s="1" t="e">
        <v>#N/A</v>
      </c>
      <c r="P49" s="1" t="e">
        <v>#N/A</v>
      </c>
      <c r="Q49" s="1" t="e">
        <v>#N/A</v>
      </c>
      <c r="R49" s="1">
        <f t="shared" si="12"/>
        <v>5</v>
      </c>
      <c r="S49" s="1" t="str">
        <f t="shared" si="13"/>
        <v>4-7</v>
      </c>
      <c r="T49" s="1" t="s">
        <v>18535</v>
      </c>
      <c r="U49" s="1" t="s">
        <v>17</v>
      </c>
      <c r="V49" s="1" t="s">
        <v>24</v>
      </c>
      <c r="W49" s="1"/>
    </row>
    <row r="50" spans="1:23" x14ac:dyDescent="0.2">
      <c r="A50" s="88" t="s">
        <v>15564</v>
      </c>
      <c r="B50" s="1" t="e">
        <v>#N/A</v>
      </c>
      <c r="C50" s="1" t="e">
        <v>#N/A</v>
      </c>
      <c r="D50" s="1" t="s">
        <v>20820</v>
      </c>
      <c r="E50" s="1" t="s">
        <v>156</v>
      </c>
      <c r="F50" s="1" t="s">
        <v>18502</v>
      </c>
      <c r="G50" s="1" t="s">
        <v>9060</v>
      </c>
      <c r="H50" t="s">
        <v>8959</v>
      </c>
      <c r="I50" s="1" t="s">
        <v>9100</v>
      </c>
      <c r="J50" s="1" t="s">
        <v>9155</v>
      </c>
      <c r="K50" s="1" t="s">
        <v>9018</v>
      </c>
      <c r="L50" s="1" t="s">
        <v>8987</v>
      </c>
      <c r="M50" s="1">
        <v>1200000</v>
      </c>
      <c r="N50" s="1" t="s">
        <v>8953</v>
      </c>
      <c r="O50" s="1" t="s">
        <v>8954</v>
      </c>
      <c r="P50" s="1" t="e">
        <v>#N/A</v>
      </c>
      <c r="Q50" s="1" t="e">
        <v>#N/A</v>
      </c>
      <c r="R50" s="1">
        <f t="shared" si="12"/>
        <v>20</v>
      </c>
      <c r="S50" s="1" t="str">
        <f t="shared" si="13"/>
        <v>&gt;7</v>
      </c>
      <c r="T50" s="1" t="s">
        <v>20539</v>
      </c>
      <c r="U50" s="1" t="s">
        <v>7</v>
      </c>
      <c r="V50" s="1" t="s">
        <v>157</v>
      </c>
      <c r="W50" s="1"/>
    </row>
    <row r="51" spans="1:23" x14ac:dyDescent="0.2">
      <c r="A51" s="88" t="s">
        <v>15565</v>
      </c>
      <c r="B51" s="1" t="e">
        <v>#N/A</v>
      </c>
      <c r="C51" s="1" t="s">
        <v>15327</v>
      </c>
      <c r="D51" s="1" t="s">
        <v>158</v>
      </c>
      <c r="E51" s="1" t="s">
        <v>159</v>
      </c>
      <c r="F51" s="1" t="s">
        <v>9010</v>
      </c>
      <c r="G51" s="1" t="s">
        <v>8957</v>
      </c>
      <c r="H51" t="s">
        <v>8959</v>
      </c>
      <c r="I51" s="1" t="s">
        <v>15330</v>
      </c>
      <c r="J51" s="1" t="s">
        <v>8949</v>
      </c>
      <c r="K51" s="1" t="s">
        <v>9036</v>
      </c>
      <c r="L51" s="1" t="s">
        <v>9076</v>
      </c>
      <c r="M51" s="1">
        <v>2</v>
      </c>
      <c r="N51" s="1" t="s">
        <v>9059</v>
      </c>
      <c r="O51" s="1" t="s">
        <v>8954</v>
      </c>
      <c r="P51" s="1" t="s">
        <v>8955</v>
      </c>
      <c r="Q51" s="1" t="s">
        <v>8956</v>
      </c>
      <c r="R51" s="1" t="s">
        <v>8957</v>
      </c>
      <c r="S51" s="1" t="s">
        <v>8958</v>
      </c>
      <c r="T51" s="1" t="s">
        <v>160</v>
      </c>
      <c r="U51" s="1" t="s">
        <v>17</v>
      </c>
      <c r="V51" s="1" t="s">
        <v>161</v>
      </c>
      <c r="W51" s="1"/>
    </row>
    <row r="52" spans="1:23" x14ac:dyDescent="0.2">
      <c r="A52" s="88" t="s">
        <v>15566</v>
      </c>
      <c r="B52" s="1" t="e">
        <v>#N/A</v>
      </c>
      <c r="C52" s="1" t="e">
        <v>#N/A</v>
      </c>
      <c r="D52" s="1" t="s">
        <v>162</v>
      </c>
      <c r="E52" s="1" t="s">
        <v>163</v>
      </c>
      <c r="F52" s="1" t="s">
        <v>18502</v>
      </c>
      <c r="G52" s="1" t="s">
        <v>8957</v>
      </c>
      <c r="H52" t="s">
        <v>9183</v>
      </c>
      <c r="I52" s="1" t="s">
        <v>9154</v>
      </c>
      <c r="J52" s="1" t="s">
        <v>9101</v>
      </c>
      <c r="K52" s="1" t="s">
        <v>21306</v>
      </c>
      <c r="L52" s="1" t="s">
        <v>8973</v>
      </c>
      <c r="M52" s="1">
        <v>2630</v>
      </c>
      <c r="N52" s="1" t="s">
        <v>8953</v>
      </c>
      <c r="O52" s="1" t="s">
        <v>8989</v>
      </c>
      <c r="P52" s="1" t="e">
        <v>#N/A</v>
      </c>
      <c r="Q52" s="1" t="e">
        <v>#N/A</v>
      </c>
      <c r="R52" s="1">
        <f>1+LEN(T52)-LEN(SUBSTITUTE(T52,",",))</f>
        <v>4</v>
      </c>
      <c r="S52" s="1" t="str">
        <f>IF(R52&gt;4,IF(R52&lt;8,"4-7",IF(R52&gt;7,"&gt;7")),"&lt;4")</f>
        <v>&lt;4</v>
      </c>
      <c r="T52" s="1" t="s">
        <v>18536</v>
      </c>
      <c r="U52" s="1" t="s">
        <v>17</v>
      </c>
      <c r="V52" s="1" t="s">
        <v>164</v>
      </c>
      <c r="W52" s="1"/>
    </row>
    <row r="53" spans="1:23" x14ac:dyDescent="0.2">
      <c r="A53" s="88" t="s">
        <v>15567</v>
      </c>
      <c r="B53" s="1" t="e">
        <v>#N/A</v>
      </c>
      <c r="C53" s="1" t="s">
        <v>12497</v>
      </c>
      <c r="D53" s="1" t="s">
        <v>165</v>
      </c>
      <c r="E53" s="1" t="s">
        <v>166</v>
      </c>
      <c r="F53" s="1" t="s">
        <v>9968</v>
      </c>
      <c r="G53" s="1" t="s">
        <v>8974</v>
      </c>
      <c r="H53" t="s">
        <v>8959</v>
      </c>
      <c r="I53" s="1" t="s">
        <v>8948</v>
      </c>
      <c r="J53" s="1" t="s">
        <v>8949</v>
      </c>
      <c r="K53" s="1" t="s">
        <v>12500</v>
      </c>
      <c r="L53" s="1" t="s">
        <v>9133</v>
      </c>
      <c r="M53" s="1">
        <v>185</v>
      </c>
      <c r="N53" s="1" t="s">
        <v>9059</v>
      </c>
      <c r="O53" s="1" t="s">
        <v>8954</v>
      </c>
      <c r="P53" s="1" t="s">
        <v>8955</v>
      </c>
      <c r="Q53" s="1" t="s">
        <v>8956</v>
      </c>
      <c r="R53" s="1" t="s">
        <v>8974</v>
      </c>
      <c r="S53" s="1" t="s">
        <v>9103</v>
      </c>
      <c r="T53" s="1" t="s">
        <v>167</v>
      </c>
      <c r="U53" s="1" t="s">
        <v>11</v>
      </c>
      <c r="V53" s="1" t="s">
        <v>87</v>
      </c>
      <c r="W53" s="1"/>
    </row>
    <row r="54" spans="1:23" x14ac:dyDescent="0.2">
      <c r="A54" s="88" t="s">
        <v>15568</v>
      </c>
      <c r="B54" s="1" t="e">
        <v>#N/A</v>
      </c>
      <c r="C54" s="1" t="e">
        <v>#N/A</v>
      </c>
      <c r="D54" s="1" t="s">
        <v>168</v>
      </c>
      <c r="E54" s="1" t="s">
        <v>169</v>
      </c>
      <c r="F54" s="1" t="s">
        <v>9333</v>
      </c>
      <c r="G54" s="1" t="s">
        <v>8959</v>
      </c>
      <c r="H54" t="s">
        <v>9183</v>
      </c>
      <c r="I54" s="1" t="s">
        <v>8948</v>
      </c>
      <c r="J54" s="1" t="s">
        <v>8949</v>
      </c>
      <c r="K54" s="1" t="s">
        <v>9018</v>
      </c>
      <c r="L54" s="1" t="s">
        <v>9133</v>
      </c>
      <c r="M54" s="1">
        <v>25600</v>
      </c>
      <c r="N54" s="1" t="s">
        <v>8953</v>
      </c>
      <c r="O54" s="1" t="s">
        <v>8989</v>
      </c>
      <c r="P54" s="1" t="e">
        <v>#N/A</v>
      </c>
      <c r="Q54" s="1" t="e">
        <v>#N/A</v>
      </c>
      <c r="R54" s="1">
        <f t="shared" ref="R54:R57" si="14">1+LEN(T54)-LEN(SUBSTITUTE(T54,",",))</f>
        <v>3</v>
      </c>
      <c r="S54" s="1" t="str">
        <f t="shared" ref="S54:S57" si="15">IF(R54&gt;4,IF(R54&lt;8,"4-7",IF(R54&gt;7,"&gt;7")),"&lt;4")</f>
        <v>&lt;4</v>
      </c>
      <c r="T54" s="1" t="s">
        <v>18537</v>
      </c>
      <c r="U54" s="1" t="s">
        <v>7</v>
      </c>
      <c r="V54" s="1" t="s">
        <v>170</v>
      </c>
      <c r="W54" s="1"/>
    </row>
    <row r="55" spans="1:23" x14ac:dyDescent="0.2">
      <c r="A55" s="89" t="s">
        <v>171</v>
      </c>
      <c r="B55" s="1" t="e">
        <v>#N/A</v>
      </c>
      <c r="C55" s="1" t="e">
        <v>#N/A</v>
      </c>
      <c r="D55" s="1" t="s">
        <v>172</v>
      </c>
      <c r="E55" s="1" t="s">
        <v>173</v>
      </c>
      <c r="F55" s="1" t="e">
        <v>#N/A</v>
      </c>
      <c r="G55" s="1" t="e">
        <v>#N/A</v>
      </c>
      <c r="H55" t="e">
        <v>#N/A</v>
      </c>
      <c r="I55" s="1" t="e">
        <v>#N/A</v>
      </c>
      <c r="J55" s="1" t="e">
        <v>#N/A</v>
      </c>
      <c r="K55" s="1" t="e">
        <v>#N/A</v>
      </c>
      <c r="L55" s="1" t="e">
        <v>#N/A</v>
      </c>
      <c r="M55" s="1" t="e">
        <v>#N/A</v>
      </c>
      <c r="N55" s="1" t="e">
        <v>#N/A</v>
      </c>
      <c r="O55" s="1" t="e">
        <v>#N/A</v>
      </c>
      <c r="P55" s="1" t="e">
        <v>#N/A</v>
      </c>
      <c r="Q55" s="1" t="e">
        <v>#N/A</v>
      </c>
      <c r="R55" s="1">
        <f t="shared" si="14"/>
        <v>7</v>
      </c>
      <c r="S55" s="1" t="str">
        <f t="shared" si="15"/>
        <v>4-7</v>
      </c>
      <c r="T55" s="1" t="s">
        <v>18538</v>
      </c>
      <c r="U55" s="1" t="s">
        <v>17</v>
      </c>
      <c r="V55" s="1" t="s">
        <v>174</v>
      </c>
      <c r="W55" s="1"/>
    </row>
    <row r="56" spans="1:23" x14ac:dyDescent="0.2">
      <c r="A56" s="89" t="s">
        <v>175</v>
      </c>
      <c r="B56" s="1" t="e">
        <v>#N/A</v>
      </c>
      <c r="C56" s="1" t="e">
        <v>#N/A</v>
      </c>
      <c r="D56" s="1" t="s">
        <v>176</v>
      </c>
      <c r="E56" s="1" t="s">
        <v>177</v>
      </c>
      <c r="F56" s="1" t="e">
        <v>#N/A</v>
      </c>
      <c r="G56" s="1" t="e">
        <v>#N/A</v>
      </c>
      <c r="H56" t="e">
        <v>#N/A</v>
      </c>
      <c r="I56" s="1" t="e">
        <v>#N/A</v>
      </c>
      <c r="J56" s="1" t="e">
        <v>#N/A</v>
      </c>
      <c r="K56" s="1" t="e">
        <v>#N/A</v>
      </c>
      <c r="L56" s="1" t="e">
        <v>#N/A</v>
      </c>
      <c r="M56" s="1" t="e">
        <v>#N/A</v>
      </c>
      <c r="N56" s="1" t="e">
        <v>#N/A</v>
      </c>
      <c r="O56" s="1" t="e">
        <v>#N/A</v>
      </c>
      <c r="P56" s="1" t="e">
        <v>#N/A</v>
      </c>
      <c r="Q56" s="1" t="e">
        <v>#N/A</v>
      </c>
      <c r="R56" s="1">
        <f t="shared" si="14"/>
        <v>5</v>
      </c>
      <c r="S56" s="1" t="str">
        <f t="shared" si="15"/>
        <v>4-7</v>
      </c>
      <c r="T56" s="1" t="s">
        <v>18539</v>
      </c>
      <c r="U56" s="1" t="s">
        <v>4</v>
      </c>
      <c r="V56" s="1" t="s">
        <v>87</v>
      </c>
      <c r="W56" s="1"/>
    </row>
    <row r="57" spans="1:23" x14ac:dyDescent="0.2">
      <c r="A57" s="88" t="s">
        <v>15569</v>
      </c>
      <c r="B57" s="1" t="e">
        <v>#N/A</v>
      </c>
      <c r="C57" s="1" t="e">
        <v>#N/A</v>
      </c>
      <c r="D57" s="1" t="s">
        <v>178</v>
      </c>
      <c r="E57" s="1" t="s">
        <v>179</v>
      </c>
      <c r="F57" s="1" t="s">
        <v>9387</v>
      </c>
      <c r="G57" s="1" t="s">
        <v>8959</v>
      </c>
      <c r="H57" t="s">
        <v>8959</v>
      </c>
      <c r="I57" s="1" t="s">
        <v>9252</v>
      </c>
      <c r="J57" s="1" t="s">
        <v>18504</v>
      </c>
      <c r="K57" s="1" t="s">
        <v>18489</v>
      </c>
      <c r="L57" s="1" t="s">
        <v>8987</v>
      </c>
      <c r="M57" s="1">
        <v>52936</v>
      </c>
      <c r="N57" s="1" t="s">
        <v>8953</v>
      </c>
      <c r="O57" s="1" t="s">
        <v>8954</v>
      </c>
      <c r="P57" s="1" t="e">
        <v>#N/A</v>
      </c>
      <c r="Q57" s="1" t="e">
        <v>#N/A</v>
      </c>
      <c r="R57" s="1">
        <f t="shared" si="14"/>
        <v>15</v>
      </c>
      <c r="S57" s="1" t="str">
        <f t="shared" si="15"/>
        <v>&gt;7</v>
      </c>
      <c r="T57" s="1" t="s">
        <v>18540</v>
      </c>
      <c r="U57" s="1" t="s">
        <v>17</v>
      </c>
      <c r="V57" s="1" t="s">
        <v>180</v>
      </c>
      <c r="W57" s="1"/>
    </row>
    <row r="58" spans="1:23" x14ac:dyDescent="0.2">
      <c r="A58" s="88" t="s">
        <v>15570</v>
      </c>
      <c r="B58" s="1" t="e">
        <v>#N/A</v>
      </c>
      <c r="C58" s="1" t="s">
        <v>12860</v>
      </c>
      <c r="D58" s="1" t="s">
        <v>181</v>
      </c>
      <c r="E58" s="1" t="s">
        <v>182</v>
      </c>
      <c r="F58" s="1" t="s">
        <v>10873</v>
      </c>
      <c r="G58" s="1" t="s">
        <v>8957</v>
      </c>
      <c r="H58" t="s">
        <v>8959</v>
      </c>
      <c r="I58" s="1" t="s">
        <v>8948</v>
      </c>
      <c r="J58" s="1" t="s">
        <v>9308</v>
      </c>
      <c r="K58" s="1" t="s">
        <v>9036</v>
      </c>
      <c r="L58" s="1" t="s">
        <v>8973</v>
      </c>
      <c r="M58" s="1">
        <v>296</v>
      </c>
      <c r="N58" s="1" t="s">
        <v>8953</v>
      </c>
      <c r="O58" s="1" t="s">
        <v>8989</v>
      </c>
      <c r="P58" s="1" t="s">
        <v>8955</v>
      </c>
      <c r="Q58" s="1" t="s">
        <v>8956</v>
      </c>
      <c r="R58" s="1" t="s">
        <v>8957</v>
      </c>
      <c r="S58" s="1" t="s">
        <v>9103</v>
      </c>
      <c r="T58" s="1" t="s">
        <v>183</v>
      </c>
      <c r="U58" s="1" t="s">
        <v>11</v>
      </c>
      <c r="V58" s="1" t="s">
        <v>184</v>
      </c>
      <c r="W58" s="1"/>
    </row>
    <row r="59" spans="1:23" x14ac:dyDescent="0.2">
      <c r="A59" s="88" t="s">
        <v>15571</v>
      </c>
      <c r="B59" s="1" t="e">
        <v>#N/A</v>
      </c>
      <c r="C59" s="1" t="e">
        <v>#N/A</v>
      </c>
      <c r="D59" s="1" t="s">
        <v>185</v>
      </c>
      <c r="E59" s="1" t="s">
        <v>186</v>
      </c>
      <c r="F59" s="1" t="s">
        <v>10032</v>
      </c>
      <c r="G59" s="1" t="s">
        <v>8957</v>
      </c>
      <c r="H59" t="s">
        <v>8959</v>
      </c>
      <c r="I59" s="1" t="s">
        <v>20714</v>
      </c>
      <c r="J59" s="1" t="s">
        <v>8959</v>
      </c>
      <c r="K59" s="1" t="s">
        <v>20715</v>
      </c>
      <c r="L59" s="1" t="s">
        <v>9464</v>
      </c>
      <c r="M59" s="1">
        <v>50</v>
      </c>
      <c r="N59" s="1" t="s">
        <v>11658</v>
      </c>
      <c r="O59" s="1" t="s">
        <v>8989</v>
      </c>
      <c r="P59" s="1" t="e">
        <v>#N/A</v>
      </c>
      <c r="Q59" s="1" t="e">
        <v>#N/A</v>
      </c>
      <c r="R59" s="1">
        <f t="shared" ref="R59:R61" si="16">1+LEN(T59)-LEN(SUBSTITUTE(T59,",",))</f>
        <v>38</v>
      </c>
      <c r="S59" s="1" t="str">
        <f t="shared" ref="S59:S61" si="17">IF(R59&gt;4,IF(R59&lt;8,"4-7",IF(R59&gt;7,"&gt;7")),"&lt;4")</f>
        <v>&gt;7</v>
      </c>
      <c r="T59" s="1" t="s">
        <v>20540</v>
      </c>
      <c r="U59" s="1" t="s">
        <v>17</v>
      </c>
      <c r="V59" s="1" t="s">
        <v>126</v>
      </c>
      <c r="W59" s="1"/>
    </row>
    <row r="60" spans="1:23" x14ac:dyDescent="0.2">
      <c r="A60" s="88" t="s">
        <v>15572</v>
      </c>
      <c r="B60" s="1" t="e">
        <v>#N/A</v>
      </c>
      <c r="C60" s="1" t="e">
        <v>#N/A</v>
      </c>
      <c r="D60" s="1" t="s">
        <v>187</v>
      </c>
      <c r="E60" s="1" t="s">
        <v>188</v>
      </c>
      <c r="F60" s="1" t="s">
        <v>18502</v>
      </c>
      <c r="G60" s="1" t="s">
        <v>8957</v>
      </c>
      <c r="H60" t="s">
        <v>8959</v>
      </c>
      <c r="I60" s="1" t="s">
        <v>9100</v>
      </c>
      <c r="J60" s="1" t="s">
        <v>9422</v>
      </c>
      <c r="K60" s="1" t="s">
        <v>9036</v>
      </c>
      <c r="L60" s="1" t="s">
        <v>8973</v>
      </c>
      <c r="M60" s="1">
        <v>966</v>
      </c>
      <c r="N60" s="1" t="s">
        <v>8953</v>
      </c>
      <c r="O60" s="1" t="s">
        <v>8989</v>
      </c>
      <c r="P60" s="1" t="e">
        <v>#N/A</v>
      </c>
      <c r="Q60" s="1" t="e">
        <v>#N/A</v>
      </c>
      <c r="R60" s="1">
        <f t="shared" si="16"/>
        <v>6</v>
      </c>
      <c r="S60" s="1" t="str">
        <f t="shared" si="17"/>
        <v>4-7</v>
      </c>
      <c r="T60" s="1" t="s">
        <v>18541</v>
      </c>
      <c r="U60" s="1" t="s">
        <v>17</v>
      </c>
      <c r="V60" s="1" t="s">
        <v>189</v>
      </c>
      <c r="W60" s="1"/>
    </row>
    <row r="61" spans="1:23" x14ac:dyDescent="0.2">
      <c r="A61" s="89" t="s">
        <v>190</v>
      </c>
      <c r="B61" s="1" t="e">
        <v>#N/A</v>
      </c>
      <c r="C61" s="1" t="e">
        <v>#N/A</v>
      </c>
      <c r="D61" s="1" t="s">
        <v>191</v>
      </c>
      <c r="E61" s="1" t="s">
        <v>192</v>
      </c>
      <c r="F61" s="1" t="e">
        <v>#N/A</v>
      </c>
      <c r="G61" s="1" t="e">
        <v>#N/A</v>
      </c>
      <c r="H61" t="e">
        <v>#N/A</v>
      </c>
      <c r="I61" s="1" t="e">
        <v>#N/A</v>
      </c>
      <c r="J61" s="1" t="e">
        <v>#N/A</v>
      </c>
      <c r="K61" s="1" t="e">
        <v>#N/A</v>
      </c>
      <c r="L61" s="1" t="e">
        <v>#N/A</v>
      </c>
      <c r="M61" s="1" t="e">
        <v>#N/A</v>
      </c>
      <c r="N61" s="1" t="e">
        <v>#N/A</v>
      </c>
      <c r="O61" s="1" t="e">
        <v>#N/A</v>
      </c>
      <c r="P61" s="1" t="e">
        <v>#N/A</v>
      </c>
      <c r="Q61" s="1" t="e">
        <v>#N/A</v>
      </c>
      <c r="R61" s="1">
        <f t="shared" si="16"/>
        <v>10</v>
      </c>
      <c r="S61" s="1" t="str">
        <f t="shared" si="17"/>
        <v>&gt;7</v>
      </c>
      <c r="T61" s="1" t="s">
        <v>18542</v>
      </c>
      <c r="U61" s="1" t="s">
        <v>11</v>
      </c>
      <c r="V61" s="1" t="s">
        <v>193</v>
      </c>
      <c r="W61" s="1"/>
    </row>
    <row r="62" spans="1:23" x14ac:dyDescent="0.2">
      <c r="A62" s="88" t="s">
        <v>15573</v>
      </c>
      <c r="B62" s="1" t="e">
        <v>#N/A</v>
      </c>
      <c r="C62" s="1" t="s">
        <v>10319</v>
      </c>
      <c r="D62" s="1" t="s">
        <v>194</v>
      </c>
      <c r="E62" s="1" t="s">
        <v>195</v>
      </c>
      <c r="F62" s="1" t="s">
        <v>10873</v>
      </c>
      <c r="G62" s="1" t="s">
        <v>8974</v>
      </c>
      <c r="H62" t="s">
        <v>8959</v>
      </c>
      <c r="I62" s="1" t="s">
        <v>10322</v>
      </c>
      <c r="J62" s="1" t="s">
        <v>9155</v>
      </c>
      <c r="K62" s="1" t="s">
        <v>9036</v>
      </c>
      <c r="L62" s="1" t="s">
        <v>8951</v>
      </c>
      <c r="M62" s="1">
        <v>1359</v>
      </c>
      <c r="N62" s="1" t="s">
        <v>8953</v>
      </c>
      <c r="O62" s="1" t="s">
        <v>8954</v>
      </c>
      <c r="P62" s="1" t="s">
        <v>8955</v>
      </c>
      <c r="Q62" s="1" t="s">
        <v>8956</v>
      </c>
      <c r="R62" s="1" t="s">
        <v>8974</v>
      </c>
      <c r="S62" s="1" t="s">
        <v>8975</v>
      </c>
      <c r="T62" s="1" t="s">
        <v>196</v>
      </c>
      <c r="U62" s="1" t="s">
        <v>17</v>
      </c>
      <c r="V62" s="1" t="s">
        <v>126</v>
      </c>
      <c r="W62" s="1"/>
    </row>
    <row r="63" spans="1:23" x14ac:dyDescent="0.2">
      <c r="A63" s="88" t="s">
        <v>15574</v>
      </c>
      <c r="B63" s="1" t="e">
        <v>#N/A</v>
      </c>
      <c r="C63" s="1" t="s">
        <v>11853</v>
      </c>
      <c r="D63" s="1" t="s">
        <v>197</v>
      </c>
      <c r="E63" s="1" t="s">
        <v>198</v>
      </c>
      <c r="F63" s="1" t="s">
        <v>9213</v>
      </c>
      <c r="G63" s="1" t="s">
        <v>8957</v>
      </c>
      <c r="H63" t="s">
        <v>9183</v>
      </c>
      <c r="I63" s="1" t="s">
        <v>9252</v>
      </c>
      <c r="J63" s="1" t="s">
        <v>9253</v>
      </c>
      <c r="K63" s="1" t="s">
        <v>21307</v>
      </c>
      <c r="L63" s="1" t="s">
        <v>9133</v>
      </c>
      <c r="M63" s="1">
        <v>896</v>
      </c>
      <c r="N63" s="1" t="s">
        <v>8953</v>
      </c>
      <c r="O63" s="1" t="s">
        <v>8989</v>
      </c>
      <c r="P63" s="1" t="s">
        <v>8955</v>
      </c>
      <c r="Q63" s="1" t="s">
        <v>8956</v>
      </c>
      <c r="R63" s="1" t="s">
        <v>8957</v>
      </c>
      <c r="S63" s="1" t="s">
        <v>8958</v>
      </c>
      <c r="T63" s="1" t="s">
        <v>199</v>
      </c>
      <c r="U63" s="1" t="s">
        <v>11</v>
      </c>
      <c r="V63" s="1" t="s">
        <v>200</v>
      </c>
      <c r="W63" s="1"/>
    </row>
    <row r="64" spans="1:23" x14ac:dyDescent="0.2">
      <c r="A64" s="89" t="s">
        <v>201</v>
      </c>
      <c r="B64" s="1" t="e">
        <v>#N/A</v>
      </c>
      <c r="C64" s="1" t="e">
        <v>#N/A</v>
      </c>
      <c r="D64" s="1" t="s">
        <v>202</v>
      </c>
      <c r="E64" s="1" t="s">
        <v>203</v>
      </c>
      <c r="F64" s="1" t="e">
        <v>#N/A</v>
      </c>
      <c r="G64" s="1" t="e">
        <v>#N/A</v>
      </c>
      <c r="H64" t="e">
        <v>#N/A</v>
      </c>
      <c r="I64" s="1" t="e">
        <v>#N/A</v>
      </c>
      <c r="J64" s="1" t="e">
        <v>#N/A</v>
      </c>
      <c r="K64" s="1" t="e">
        <v>#N/A</v>
      </c>
      <c r="L64" s="1" t="e">
        <v>#N/A</v>
      </c>
      <c r="M64" s="1" t="e">
        <v>#N/A</v>
      </c>
      <c r="N64" s="1" t="e">
        <v>#N/A</v>
      </c>
      <c r="O64" s="1" t="e">
        <v>#N/A</v>
      </c>
      <c r="P64" s="1" t="e">
        <v>#N/A</v>
      </c>
      <c r="Q64" s="1" t="e">
        <v>#N/A</v>
      </c>
      <c r="R64" s="1">
        <f t="shared" ref="R64:R65" si="18">1+LEN(T64)-LEN(SUBSTITUTE(T64,",",))</f>
        <v>3</v>
      </c>
      <c r="S64" s="1" t="str">
        <f t="shared" ref="S64:S65" si="19">IF(R64&gt;4,IF(R64&lt;8,"4-7",IF(R64&gt;7,"&gt;7")),"&lt;4")</f>
        <v>&lt;4</v>
      </c>
      <c r="T64" s="1" t="s">
        <v>18543</v>
      </c>
      <c r="U64" s="1" t="s">
        <v>7</v>
      </c>
      <c r="V64" s="1" t="s">
        <v>204</v>
      </c>
      <c r="W64" s="1"/>
    </row>
    <row r="65" spans="1:23" x14ac:dyDescent="0.2">
      <c r="A65" s="88" t="s">
        <v>15575</v>
      </c>
      <c r="B65" s="1" t="e">
        <v>#N/A</v>
      </c>
      <c r="C65" s="1" t="e">
        <v>#N/A</v>
      </c>
      <c r="D65" s="1" t="s">
        <v>205</v>
      </c>
      <c r="E65" s="1" t="s">
        <v>206</v>
      </c>
      <c r="F65" s="1" t="s">
        <v>9213</v>
      </c>
      <c r="G65" s="1" t="s">
        <v>8957</v>
      </c>
      <c r="H65" t="s">
        <v>8959</v>
      </c>
      <c r="I65" s="1" t="s">
        <v>9252</v>
      </c>
      <c r="J65" s="1" t="s">
        <v>18504</v>
      </c>
      <c r="K65" s="1" t="s">
        <v>20717</v>
      </c>
      <c r="L65" s="1" t="s">
        <v>20716</v>
      </c>
      <c r="M65" s="1">
        <f>9240+2266</f>
        <v>11506</v>
      </c>
      <c r="N65" s="1" t="s">
        <v>8953</v>
      </c>
      <c r="O65" s="1" t="s">
        <v>8954</v>
      </c>
      <c r="P65" s="1" t="e">
        <v>#N/A</v>
      </c>
      <c r="Q65" s="1" t="e">
        <v>#N/A</v>
      </c>
      <c r="R65" s="1">
        <f t="shared" si="18"/>
        <v>3</v>
      </c>
      <c r="S65" s="1" t="str">
        <f t="shared" si="19"/>
        <v>&lt;4</v>
      </c>
      <c r="T65" s="1" t="s">
        <v>18544</v>
      </c>
      <c r="U65" s="1" t="s">
        <v>7</v>
      </c>
      <c r="V65" s="1" t="s">
        <v>184</v>
      </c>
      <c r="W65" s="1"/>
    </row>
    <row r="66" spans="1:23" x14ac:dyDescent="0.2">
      <c r="A66" s="88" t="s">
        <v>15576</v>
      </c>
      <c r="B66" s="1" t="e">
        <v>#N/A</v>
      </c>
      <c r="C66" s="1" t="s">
        <v>10162</v>
      </c>
      <c r="D66" s="1" t="s">
        <v>207</v>
      </c>
      <c r="E66" s="1" t="s">
        <v>208</v>
      </c>
      <c r="F66" s="1" t="s">
        <v>10166</v>
      </c>
      <c r="G66" s="1" t="s">
        <v>8957</v>
      </c>
      <c r="H66" t="s">
        <v>8959</v>
      </c>
      <c r="I66" s="1" t="s">
        <v>8984</v>
      </c>
      <c r="J66" s="1" t="s">
        <v>9131</v>
      </c>
      <c r="K66" s="1" t="s">
        <v>10165</v>
      </c>
      <c r="L66" s="1" t="s">
        <v>8951</v>
      </c>
      <c r="M66" s="1">
        <v>1875</v>
      </c>
      <c r="N66" s="1" t="s">
        <v>8953</v>
      </c>
      <c r="O66" s="1" t="s">
        <v>8989</v>
      </c>
      <c r="P66" s="1" t="s">
        <v>8955</v>
      </c>
      <c r="Q66" s="1" t="s">
        <v>8990</v>
      </c>
      <c r="R66" s="1" t="s">
        <v>8957</v>
      </c>
      <c r="S66" s="1" t="s">
        <v>8958</v>
      </c>
      <c r="T66" s="1" t="s">
        <v>209</v>
      </c>
      <c r="U66" s="1" t="s">
        <v>17</v>
      </c>
      <c r="V66" s="1" t="s">
        <v>210</v>
      </c>
      <c r="W66" s="1"/>
    </row>
    <row r="67" spans="1:23" x14ac:dyDescent="0.2">
      <c r="A67" s="88" t="s">
        <v>15577</v>
      </c>
      <c r="B67" s="1" t="e">
        <v>#N/A</v>
      </c>
      <c r="C67" s="1" t="e">
        <v>#N/A</v>
      </c>
      <c r="D67" s="1" t="s">
        <v>211</v>
      </c>
      <c r="E67" s="1" t="s">
        <v>212</v>
      </c>
      <c r="F67" s="1" t="s">
        <v>18502</v>
      </c>
      <c r="G67" s="1" t="s">
        <v>8959</v>
      </c>
      <c r="H67" t="s">
        <v>9183</v>
      </c>
      <c r="I67" s="1" t="s">
        <v>20714</v>
      </c>
      <c r="J67" s="1" t="s">
        <v>9050</v>
      </c>
      <c r="K67" s="1" t="s">
        <v>18497</v>
      </c>
      <c r="L67" s="1" t="s">
        <v>8987</v>
      </c>
      <c r="M67" s="1">
        <v>110</v>
      </c>
      <c r="N67" s="1" t="s">
        <v>8953</v>
      </c>
      <c r="O67" s="1" t="s">
        <v>8989</v>
      </c>
      <c r="P67" s="1" t="e">
        <v>#N/A</v>
      </c>
      <c r="Q67" s="1" t="e">
        <v>#N/A</v>
      </c>
      <c r="R67" s="1">
        <f t="shared" ref="R67:R69" si="20">1+LEN(T67)-LEN(SUBSTITUTE(T67,",",))</f>
        <v>13</v>
      </c>
      <c r="S67" s="1" t="str">
        <f t="shared" ref="S67:S69" si="21">IF(R67&gt;4,IF(R67&lt;8,"4-7",IF(R67&gt;7,"&gt;7")),"&lt;4")</f>
        <v>&gt;7</v>
      </c>
      <c r="T67" s="1" t="s">
        <v>18545</v>
      </c>
      <c r="U67" s="1" t="s">
        <v>17</v>
      </c>
      <c r="V67" s="1" t="s">
        <v>213</v>
      </c>
      <c r="W67" s="1"/>
    </row>
    <row r="68" spans="1:23" x14ac:dyDescent="0.2">
      <c r="A68" s="94" t="s">
        <v>15578</v>
      </c>
      <c r="B68" s="1" t="e">
        <v>#N/A</v>
      </c>
      <c r="C68" s="1" t="e">
        <v>#N/A</v>
      </c>
      <c r="D68" s="1" t="s">
        <v>214</v>
      </c>
      <c r="E68" s="1" t="s">
        <v>215</v>
      </c>
      <c r="F68" s="1" t="s">
        <v>18502</v>
      </c>
      <c r="G68" s="1" t="e">
        <v>#N/A</v>
      </c>
      <c r="H68" t="s">
        <v>8959</v>
      </c>
      <c r="I68" s="1" t="e">
        <v>#N/A</v>
      </c>
      <c r="J68" s="1" t="e">
        <v>#N/A</v>
      </c>
      <c r="K68" s="1" t="e">
        <v>#N/A</v>
      </c>
      <c r="L68" s="1" t="e">
        <v>#N/A</v>
      </c>
      <c r="M68" s="1" t="e">
        <v>#N/A</v>
      </c>
      <c r="N68" s="1" t="e">
        <v>#N/A</v>
      </c>
      <c r="O68" s="1" t="e">
        <v>#N/A</v>
      </c>
      <c r="P68" s="1" t="e">
        <v>#N/A</v>
      </c>
      <c r="Q68" s="1" t="e">
        <v>#N/A</v>
      </c>
      <c r="R68" s="1">
        <f t="shared" si="20"/>
        <v>4</v>
      </c>
      <c r="S68" s="1" t="str">
        <f t="shared" si="21"/>
        <v>&lt;4</v>
      </c>
      <c r="T68" s="1" t="s">
        <v>18546</v>
      </c>
      <c r="U68" s="1" t="s">
        <v>7</v>
      </c>
      <c r="V68" s="1" t="s">
        <v>15</v>
      </c>
      <c r="W68" s="1"/>
    </row>
    <row r="69" spans="1:23" x14ac:dyDescent="0.2">
      <c r="A69" s="94" t="s">
        <v>15579</v>
      </c>
      <c r="B69" s="1" t="e">
        <v>#N/A</v>
      </c>
      <c r="C69" s="1" t="e">
        <v>#N/A</v>
      </c>
      <c r="D69" s="1" t="s">
        <v>216</v>
      </c>
      <c r="E69" s="1" t="s">
        <v>217</v>
      </c>
      <c r="F69" s="1" t="e">
        <v>#N/A</v>
      </c>
      <c r="G69" s="1" t="e">
        <v>#N/A</v>
      </c>
      <c r="H69" t="e">
        <v>#N/A</v>
      </c>
      <c r="I69" s="1" t="e">
        <v>#N/A</v>
      </c>
      <c r="J69" s="1" t="e">
        <v>#N/A</v>
      </c>
      <c r="K69" s="1" t="e">
        <v>#N/A</v>
      </c>
      <c r="L69" s="1" t="e">
        <v>#N/A</v>
      </c>
      <c r="M69" s="1" t="e">
        <v>#N/A</v>
      </c>
      <c r="N69" s="1" t="e">
        <v>#N/A</v>
      </c>
      <c r="O69" s="1" t="e">
        <v>#N/A</v>
      </c>
      <c r="P69" s="1" t="e">
        <v>#N/A</v>
      </c>
      <c r="Q69" s="1" t="e">
        <v>#N/A</v>
      </c>
      <c r="R69" s="1">
        <f t="shared" si="20"/>
        <v>6</v>
      </c>
      <c r="S69" s="1" t="str">
        <f t="shared" si="21"/>
        <v>4-7</v>
      </c>
      <c r="T69" s="1" t="s">
        <v>18547</v>
      </c>
      <c r="U69" s="1" t="s">
        <v>7</v>
      </c>
      <c r="V69" s="1" t="s">
        <v>15</v>
      </c>
      <c r="W69" s="1"/>
    </row>
    <row r="70" spans="1:23" x14ac:dyDescent="0.2">
      <c r="A70" s="88" t="s">
        <v>15580</v>
      </c>
      <c r="B70" s="1" t="e">
        <v>#N/A</v>
      </c>
      <c r="C70" s="1" t="s">
        <v>9602</v>
      </c>
      <c r="D70" s="1" t="s">
        <v>218</v>
      </c>
      <c r="E70" s="1" t="s">
        <v>219</v>
      </c>
      <c r="F70" s="1" t="s">
        <v>9010</v>
      </c>
      <c r="G70" s="1" t="s">
        <v>8957</v>
      </c>
      <c r="H70" t="s">
        <v>8959</v>
      </c>
      <c r="I70" s="1" t="s">
        <v>9605</v>
      </c>
      <c r="J70" s="1" t="s">
        <v>9101</v>
      </c>
      <c r="K70" s="1" t="s">
        <v>9036</v>
      </c>
      <c r="L70" s="1" t="s">
        <v>9292</v>
      </c>
      <c r="M70" s="1">
        <v>102</v>
      </c>
      <c r="N70" s="1" t="s">
        <v>8953</v>
      </c>
      <c r="O70" s="1" t="s">
        <v>8954</v>
      </c>
      <c r="P70" s="1" t="s">
        <v>8955</v>
      </c>
      <c r="Q70" s="1" t="s">
        <v>8956</v>
      </c>
      <c r="R70" s="1" t="s">
        <v>8957</v>
      </c>
      <c r="S70" s="1" t="s">
        <v>8958</v>
      </c>
      <c r="T70" s="1" t="s">
        <v>220</v>
      </c>
      <c r="U70" s="1" t="s">
        <v>17</v>
      </c>
      <c r="V70" s="1" t="s">
        <v>15</v>
      </c>
      <c r="W70" s="1"/>
    </row>
    <row r="71" spans="1:23" x14ac:dyDescent="0.2">
      <c r="A71" s="88" t="s">
        <v>15581</v>
      </c>
      <c r="B71" s="1" t="e">
        <v>#N/A</v>
      </c>
      <c r="C71" s="1" t="s">
        <v>13077</v>
      </c>
      <c r="D71" s="1" t="s">
        <v>221</v>
      </c>
      <c r="E71" s="1" t="s">
        <v>222</v>
      </c>
      <c r="F71" s="1" t="s">
        <v>9010</v>
      </c>
      <c r="G71" s="1" t="s">
        <v>8959</v>
      </c>
      <c r="H71" t="s">
        <v>9061</v>
      </c>
      <c r="I71" s="1" t="s">
        <v>8948</v>
      </c>
      <c r="J71" s="1" t="s">
        <v>8949</v>
      </c>
      <c r="K71" s="1" t="s">
        <v>9036</v>
      </c>
      <c r="L71" s="1" t="s">
        <v>8973</v>
      </c>
      <c r="M71" s="1">
        <v>68</v>
      </c>
      <c r="N71" s="1" t="s">
        <v>9059</v>
      </c>
      <c r="O71" s="1" t="s">
        <v>8989</v>
      </c>
      <c r="P71" s="1" t="s">
        <v>8955</v>
      </c>
      <c r="Q71" s="1" t="s">
        <v>8956</v>
      </c>
      <c r="R71" s="1" t="s">
        <v>8959</v>
      </c>
      <c r="S71" s="1" t="s">
        <v>9103</v>
      </c>
      <c r="T71" s="1" t="s">
        <v>223</v>
      </c>
      <c r="U71" s="1" t="s">
        <v>11</v>
      </c>
      <c r="V71" s="1" t="s">
        <v>93</v>
      </c>
      <c r="W71" s="1"/>
    </row>
    <row r="72" spans="1:23" x14ac:dyDescent="0.2">
      <c r="A72" s="94" t="s">
        <v>15582</v>
      </c>
      <c r="B72" s="1" t="e">
        <v>#N/A</v>
      </c>
      <c r="C72" s="1" t="e">
        <v>#N/A</v>
      </c>
      <c r="D72" s="1" t="s">
        <v>224</v>
      </c>
      <c r="E72" s="1" t="s">
        <v>225</v>
      </c>
      <c r="F72" s="1" t="s">
        <v>13122</v>
      </c>
      <c r="G72" s="1" t="e">
        <v>#N/A</v>
      </c>
      <c r="H72" t="s">
        <v>8959</v>
      </c>
      <c r="I72" s="1" t="s">
        <v>9035</v>
      </c>
      <c r="J72" s="1" t="s">
        <v>9308</v>
      </c>
      <c r="K72" s="1" t="e">
        <v>#N/A</v>
      </c>
      <c r="L72" s="1" t="s">
        <v>8951</v>
      </c>
      <c r="M72" s="1" t="e">
        <v>#N/A</v>
      </c>
      <c r="N72" s="1" t="e">
        <v>#N/A</v>
      </c>
      <c r="O72" s="1" t="e">
        <v>#N/A</v>
      </c>
      <c r="P72" s="1" t="e">
        <v>#N/A</v>
      </c>
      <c r="Q72" s="1" t="e">
        <v>#N/A</v>
      </c>
      <c r="R72" s="1">
        <f t="shared" ref="R72:R76" si="22">1+LEN(T72)-LEN(SUBSTITUTE(T72,",",))</f>
        <v>6</v>
      </c>
      <c r="S72" s="1" t="str">
        <f t="shared" ref="S72:S76" si="23">IF(R72&gt;4,IF(R72&lt;8,"4-7",IF(R72&gt;7,"&gt;7")),"&lt;4")</f>
        <v>4-7</v>
      </c>
      <c r="T72" s="1" t="s">
        <v>18548</v>
      </c>
      <c r="U72" s="1" t="s">
        <v>7</v>
      </c>
      <c r="V72" s="1" t="s">
        <v>110</v>
      </c>
      <c r="W72" s="1"/>
    </row>
    <row r="73" spans="1:23" x14ac:dyDescent="0.2">
      <c r="A73" s="88" t="s">
        <v>15583</v>
      </c>
      <c r="B73" s="1" t="e">
        <v>#N/A</v>
      </c>
      <c r="C73" s="1" t="e">
        <v>#N/A</v>
      </c>
      <c r="D73" s="1" t="s">
        <v>226</v>
      </c>
      <c r="E73" s="1" t="s">
        <v>227</v>
      </c>
      <c r="F73" s="1" t="s">
        <v>20718</v>
      </c>
      <c r="G73" s="1" t="s">
        <v>8974</v>
      </c>
      <c r="H73" t="s">
        <v>8959</v>
      </c>
      <c r="I73" s="1" t="s">
        <v>9035</v>
      </c>
      <c r="J73" s="1" t="s">
        <v>9308</v>
      </c>
      <c r="K73" s="1" t="s">
        <v>18491</v>
      </c>
      <c r="L73" s="1" t="s">
        <v>8951</v>
      </c>
      <c r="M73" s="1">
        <v>108948</v>
      </c>
      <c r="N73" s="1" t="s">
        <v>8953</v>
      </c>
      <c r="O73" s="1" t="s">
        <v>8954</v>
      </c>
      <c r="P73" s="1" t="e">
        <v>#N/A</v>
      </c>
      <c r="Q73" s="1" t="e">
        <v>#N/A</v>
      </c>
      <c r="R73" s="1">
        <f t="shared" si="22"/>
        <v>1</v>
      </c>
      <c r="S73" s="1" t="str">
        <f t="shared" si="23"/>
        <v>&lt;4</v>
      </c>
      <c r="T73" s="1" t="s">
        <v>228</v>
      </c>
      <c r="U73" s="1" t="s">
        <v>7</v>
      </c>
      <c r="V73" s="1" t="s">
        <v>229</v>
      </c>
      <c r="W73" s="1"/>
    </row>
    <row r="74" spans="1:23" x14ac:dyDescent="0.2">
      <c r="A74" s="94" t="s">
        <v>15584</v>
      </c>
      <c r="B74" s="1" t="e">
        <v>#N/A</v>
      </c>
      <c r="C74" s="1" t="e">
        <v>#N/A</v>
      </c>
      <c r="D74" s="1" t="s">
        <v>230</v>
      </c>
      <c r="E74" s="1" t="s">
        <v>231</v>
      </c>
      <c r="F74" s="1" t="s">
        <v>20718</v>
      </c>
      <c r="G74" s="1" t="s">
        <v>8959</v>
      </c>
      <c r="H74" t="s">
        <v>8959</v>
      </c>
      <c r="I74" s="1" t="s">
        <v>9035</v>
      </c>
      <c r="J74" s="1" t="s">
        <v>9308</v>
      </c>
      <c r="K74" s="1" t="s">
        <v>18489</v>
      </c>
      <c r="L74" s="1" t="s">
        <v>8951</v>
      </c>
      <c r="M74" s="1" t="e">
        <v>#N/A</v>
      </c>
      <c r="N74" s="1" t="e">
        <v>#N/A</v>
      </c>
      <c r="O74" s="1" t="e">
        <v>#N/A</v>
      </c>
      <c r="P74" s="1" t="e">
        <v>#N/A</v>
      </c>
      <c r="Q74" s="1" t="e">
        <v>#N/A</v>
      </c>
      <c r="R74" s="1">
        <f t="shared" si="22"/>
        <v>2</v>
      </c>
      <c r="S74" s="1" t="str">
        <f t="shared" si="23"/>
        <v>&lt;4</v>
      </c>
      <c r="T74" s="1" t="s">
        <v>18549</v>
      </c>
      <c r="U74" s="1" t="s">
        <v>7</v>
      </c>
      <c r="V74" s="1" t="s">
        <v>107</v>
      </c>
      <c r="W74" s="1"/>
    </row>
    <row r="75" spans="1:23" x14ac:dyDescent="0.2">
      <c r="A75" s="88" t="s">
        <v>15585</v>
      </c>
      <c r="B75" s="1" t="e">
        <v>#N/A</v>
      </c>
      <c r="C75" s="1" t="e">
        <v>#N/A</v>
      </c>
      <c r="D75" s="1" t="s">
        <v>232</v>
      </c>
      <c r="E75" s="1" t="s">
        <v>233</v>
      </c>
      <c r="F75" s="1" t="s">
        <v>20718</v>
      </c>
      <c r="G75" s="1" t="s">
        <v>8959</v>
      </c>
      <c r="H75" t="s">
        <v>8959</v>
      </c>
      <c r="I75" s="1" t="s">
        <v>9035</v>
      </c>
      <c r="J75" s="1" t="s">
        <v>9308</v>
      </c>
      <c r="K75" s="1" t="s">
        <v>20719</v>
      </c>
      <c r="L75" s="1" t="s">
        <v>8951</v>
      </c>
      <c r="M75" s="1">
        <v>1765</v>
      </c>
      <c r="N75" s="1" t="s">
        <v>8953</v>
      </c>
      <c r="O75" s="1" t="s">
        <v>8954</v>
      </c>
      <c r="P75" s="1" t="e">
        <v>#N/A</v>
      </c>
      <c r="Q75" s="1" t="e">
        <v>#N/A</v>
      </c>
      <c r="R75" s="1">
        <f t="shared" si="22"/>
        <v>2</v>
      </c>
      <c r="S75" s="1" t="str">
        <f t="shared" si="23"/>
        <v>&lt;4</v>
      </c>
      <c r="T75" s="1" t="s">
        <v>18549</v>
      </c>
      <c r="U75" s="1" t="s">
        <v>7</v>
      </c>
      <c r="V75" s="1" t="s">
        <v>234</v>
      </c>
      <c r="W75" s="1"/>
    </row>
    <row r="76" spans="1:23" x14ac:dyDescent="0.2">
      <c r="A76" s="94" t="s">
        <v>15586</v>
      </c>
      <c r="B76" s="1" t="e">
        <v>#N/A</v>
      </c>
      <c r="C76" s="1" t="e">
        <v>#N/A</v>
      </c>
      <c r="D76" s="1" t="s">
        <v>235</v>
      </c>
      <c r="E76" s="1" t="s">
        <v>236</v>
      </c>
      <c r="F76" s="1" t="e">
        <v>#N/A</v>
      </c>
      <c r="G76" s="1" t="e">
        <v>#N/A</v>
      </c>
      <c r="H76" t="e">
        <v>#N/A</v>
      </c>
      <c r="I76" s="1" t="e">
        <v>#N/A</v>
      </c>
      <c r="J76" s="1" t="e">
        <v>#N/A</v>
      </c>
      <c r="K76" s="1" t="e">
        <v>#N/A</v>
      </c>
      <c r="L76" s="1" t="e">
        <v>#N/A</v>
      </c>
      <c r="M76" s="1" t="e">
        <v>#N/A</v>
      </c>
      <c r="N76" s="1" t="e">
        <v>#N/A</v>
      </c>
      <c r="O76" s="1" t="e">
        <v>#N/A</v>
      </c>
      <c r="P76" s="1" t="e">
        <v>#N/A</v>
      </c>
      <c r="Q76" s="1" t="e">
        <v>#N/A</v>
      </c>
      <c r="R76" s="1">
        <f t="shared" si="22"/>
        <v>1</v>
      </c>
      <c r="S76" s="1" t="str">
        <f t="shared" si="23"/>
        <v>&lt;4</v>
      </c>
      <c r="T76" s="1" t="s">
        <v>237</v>
      </c>
      <c r="U76" s="1" t="s">
        <v>11</v>
      </c>
      <c r="V76" s="1" t="s">
        <v>238</v>
      </c>
      <c r="W76" s="1"/>
    </row>
    <row r="77" spans="1:23" x14ac:dyDescent="0.2">
      <c r="A77" s="88" t="s">
        <v>15587</v>
      </c>
      <c r="B77" s="1" t="e">
        <v>#N/A</v>
      </c>
      <c r="C77" s="1" t="s">
        <v>14425</v>
      </c>
      <c r="D77" s="1" t="s">
        <v>239</v>
      </c>
      <c r="E77" s="1" t="s">
        <v>240</v>
      </c>
      <c r="F77" s="1" t="s">
        <v>9317</v>
      </c>
      <c r="G77" s="1" t="s">
        <v>8959</v>
      </c>
      <c r="H77" t="s">
        <v>9009</v>
      </c>
      <c r="I77" s="1" t="s">
        <v>9252</v>
      </c>
      <c r="J77" s="1" t="s">
        <v>9121</v>
      </c>
      <c r="K77" s="1" t="s">
        <v>9036</v>
      </c>
      <c r="L77" s="1" t="s">
        <v>8951</v>
      </c>
      <c r="M77" s="1">
        <v>666</v>
      </c>
      <c r="N77" s="1" t="s">
        <v>8953</v>
      </c>
      <c r="O77" s="1" t="s">
        <v>8989</v>
      </c>
      <c r="P77" s="1" t="s">
        <v>8955</v>
      </c>
      <c r="Q77" s="1" t="s">
        <v>8956</v>
      </c>
      <c r="R77" s="1" t="s">
        <v>8959</v>
      </c>
      <c r="S77" s="1" t="s">
        <v>8958</v>
      </c>
      <c r="T77" s="1" t="s">
        <v>241</v>
      </c>
      <c r="U77" s="1" t="s">
        <v>242</v>
      </c>
      <c r="V77" s="1" t="s">
        <v>61</v>
      </c>
      <c r="W77" s="1"/>
    </row>
    <row r="78" spans="1:23" x14ac:dyDescent="0.2">
      <c r="A78" s="94" t="s">
        <v>15588</v>
      </c>
      <c r="B78" s="1" t="e">
        <v>#N/A</v>
      </c>
      <c r="C78" s="1" t="e">
        <v>#N/A</v>
      </c>
      <c r="D78" s="1" t="s">
        <v>243</v>
      </c>
      <c r="E78" s="1" t="s">
        <v>244</v>
      </c>
      <c r="F78" s="1" t="e">
        <v>#N/A</v>
      </c>
      <c r="G78" s="1" t="e">
        <v>#N/A</v>
      </c>
      <c r="H78" t="e">
        <v>#N/A</v>
      </c>
      <c r="I78" s="1" t="e">
        <v>#N/A</v>
      </c>
      <c r="J78" s="1" t="e">
        <v>#N/A</v>
      </c>
      <c r="K78" s="1" t="e">
        <v>#N/A</v>
      </c>
      <c r="L78" s="1" t="e">
        <v>#N/A</v>
      </c>
      <c r="M78" s="1" t="e">
        <v>#N/A</v>
      </c>
      <c r="N78" s="1" t="e">
        <v>#N/A</v>
      </c>
      <c r="O78" s="1" t="e">
        <v>#N/A</v>
      </c>
      <c r="P78" s="1" t="e">
        <v>#N/A</v>
      </c>
      <c r="Q78" s="1" t="e">
        <v>#N/A</v>
      </c>
      <c r="R78" s="1">
        <f t="shared" ref="R78:R85" si="24">1+LEN(T78)-LEN(SUBSTITUTE(T78,",",))</f>
        <v>4</v>
      </c>
      <c r="S78" s="1" t="str">
        <f t="shared" ref="S78:S85" si="25">IF(R78&gt;4,IF(R78&lt;8,"4-7",IF(R78&gt;7,"&gt;7")),"&lt;4")</f>
        <v>&lt;4</v>
      </c>
      <c r="T78" s="1" t="s">
        <v>18550</v>
      </c>
      <c r="U78" s="1" t="s">
        <v>7</v>
      </c>
      <c r="V78" s="1" t="s">
        <v>245</v>
      </c>
      <c r="W78" s="1"/>
    </row>
    <row r="79" spans="1:23" x14ac:dyDescent="0.2">
      <c r="A79" s="88" t="s">
        <v>15589</v>
      </c>
      <c r="B79" s="1" t="e">
        <v>#N/A</v>
      </c>
      <c r="C79" s="1" t="e">
        <v>#N/A</v>
      </c>
      <c r="D79" s="1" t="s">
        <v>246</v>
      </c>
      <c r="E79" s="1" t="s">
        <v>247</v>
      </c>
      <c r="F79" s="1" t="s">
        <v>9317</v>
      </c>
      <c r="G79" s="1" t="s">
        <v>9060</v>
      </c>
      <c r="H79" t="s">
        <v>9061</v>
      </c>
      <c r="I79" s="1" t="s">
        <v>9075</v>
      </c>
      <c r="J79" s="1" t="s">
        <v>8949</v>
      </c>
      <c r="K79" s="1" t="s">
        <v>9036</v>
      </c>
      <c r="L79" s="1" t="s">
        <v>8987</v>
      </c>
      <c r="M79" s="1">
        <v>318</v>
      </c>
      <c r="N79" s="1" t="s">
        <v>8953</v>
      </c>
      <c r="O79" s="1" t="s">
        <v>8989</v>
      </c>
      <c r="P79" s="1" t="e">
        <v>#N/A</v>
      </c>
      <c r="Q79" s="1" t="e">
        <v>#N/A</v>
      </c>
      <c r="R79" s="1">
        <f t="shared" si="24"/>
        <v>4</v>
      </c>
      <c r="S79" s="1" t="str">
        <f t="shared" si="25"/>
        <v>&lt;4</v>
      </c>
      <c r="T79" s="1" t="s">
        <v>18551</v>
      </c>
      <c r="U79" s="1" t="s">
        <v>7</v>
      </c>
      <c r="V79" s="1" t="s">
        <v>147</v>
      </c>
      <c r="W79" s="1"/>
    </row>
    <row r="80" spans="1:23" x14ac:dyDescent="0.2">
      <c r="A80" s="88" t="s">
        <v>15590</v>
      </c>
      <c r="B80" s="1" t="e">
        <v>#N/A</v>
      </c>
      <c r="C80" s="1" t="e">
        <v>#N/A</v>
      </c>
      <c r="D80" s="1" t="s">
        <v>248</v>
      </c>
      <c r="E80" s="1" t="s">
        <v>249</v>
      </c>
      <c r="F80" s="1" t="s">
        <v>10873</v>
      </c>
      <c r="G80" s="1" t="s">
        <v>8957</v>
      </c>
      <c r="H80" t="s">
        <v>8959</v>
      </c>
      <c r="I80" s="1" t="s">
        <v>9605</v>
      </c>
      <c r="J80" s="1" t="s">
        <v>9422</v>
      </c>
      <c r="K80" s="1" t="s">
        <v>9036</v>
      </c>
      <c r="L80" s="1" t="s">
        <v>8973</v>
      </c>
      <c r="M80" s="1">
        <f>213+30+32+2689</f>
        <v>2964</v>
      </c>
      <c r="N80" s="1" t="s">
        <v>8953</v>
      </c>
      <c r="O80" s="1" t="s">
        <v>8954</v>
      </c>
      <c r="P80" s="1" t="e">
        <v>#N/A</v>
      </c>
      <c r="Q80" s="1" t="e">
        <v>#N/A</v>
      </c>
      <c r="R80" s="1">
        <f t="shared" si="24"/>
        <v>4</v>
      </c>
      <c r="S80" s="1" t="str">
        <f t="shared" si="25"/>
        <v>&lt;4</v>
      </c>
      <c r="T80" s="1" t="s">
        <v>18552</v>
      </c>
      <c r="U80" s="1" t="s">
        <v>7</v>
      </c>
      <c r="V80" s="1" t="s">
        <v>126</v>
      </c>
      <c r="W80" s="1"/>
    </row>
    <row r="81" spans="1:23" x14ac:dyDescent="0.2">
      <c r="A81" s="94" t="s">
        <v>15591</v>
      </c>
      <c r="B81" s="1" t="e">
        <v>#N/A</v>
      </c>
      <c r="C81" s="1" t="e">
        <v>#N/A</v>
      </c>
      <c r="D81" s="1" t="s">
        <v>250</v>
      </c>
      <c r="E81" s="1" t="s">
        <v>251</v>
      </c>
      <c r="F81" s="1" t="s">
        <v>9407</v>
      </c>
      <c r="G81" s="1" t="e">
        <v>#N/A</v>
      </c>
      <c r="H81" t="s">
        <v>9183</v>
      </c>
      <c r="I81" s="1" t="s">
        <v>9035</v>
      </c>
      <c r="J81" s="1" t="e">
        <v>#N/A</v>
      </c>
      <c r="K81" s="1" t="e">
        <v>#N/A</v>
      </c>
      <c r="L81" s="1" t="s">
        <v>9157</v>
      </c>
      <c r="M81" s="1">
        <v>2202</v>
      </c>
      <c r="N81" s="1" t="s">
        <v>9059</v>
      </c>
      <c r="O81" s="1" t="s">
        <v>8954</v>
      </c>
      <c r="P81" s="1" t="e">
        <v>#N/A</v>
      </c>
      <c r="Q81" s="1" t="e">
        <v>#N/A</v>
      </c>
      <c r="R81" s="1">
        <f t="shared" si="24"/>
        <v>7</v>
      </c>
      <c r="S81" s="1" t="str">
        <f t="shared" si="25"/>
        <v>4-7</v>
      </c>
      <c r="T81" s="1" t="s">
        <v>18553</v>
      </c>
      <c r="U81" s="1" t="s">
        <v>252</v>
      </c>
      <c r="V81" s="1" t="s">
        <v>126</v>
      </c>
      <c r="W81" s="1"/>
    </row>
    <row r="82" spans="1:23" x14ac:dyDescent="0.2">
      <c r="A82" s="88" t="s">
        <v>15592</v>
      </c>
      <c r="B82" s="1" t="e">
        <v>#N/A</v>
      </c>
      <c r="C82" s="1" t="e">
        <v>#N/A</v>
      </c>
      <c r="D82" s="1" t="s">
        <v>253</v>
      </c>
      <c r="E82" s="1" t="s">
        <v>254</v>
      </c>
      <c r="F82" s="1" t="s">
        <v>10873</v>
      </c>
      <c r="G82" s="1" t="s">
        <v>8957</v>
      </c>
      <c r="H82" t="s">
        <v>8959</v>
      </c>
      <c r="I82" s="1" t="s">
        <v>20712</v>
      </c>
      <c r="J82" s="1" t="s">
        <v>9131</v>
      </c>
      <c r="K82" s="1" t="s">
        <v>20721</v>
      </c>
      <c r="L82" s="1" t="s">
        <v>20720</v>
      </c>
      <c r="M82" s="1">
        <v>2192</v>
      </c>
      <c r="N82" s="1" t="s">
        <v>11658</v>
      </c>
      <c r="O82" s="1" t="s">
        <v>8954</v>
      </c>
      <c r="P82" s="1" t="e">
        <v>#N/A</v>
      </c>
      <c r="Q82" s="1" t="e">
        <v>#N/A</v>
      </c>
      <c r="R82" s="1">
        <f t="shared" si="24"/>
        <v>29</v>
      </c>
      <c r="S82" s="1" t="str">
        <f t="shared" si="25"/>
        <v>&gt;7</v>
      </c>
      <c r="T82" s="1" t="s">
        <v>18554</v>
      </c>
      <c r="U82" s="1" t="s">
        <v>7</v>
      </c>
      <c r="V82" s="1" t="s">
        <v>24</v>
      </c>
      <c r="W82" s="1"/>
    </row>
    <row r="83" spans="1:23" x14ac:dyDescent="0.2">
      <c r="A83" s="88" t="s">
        <v>15593</v>
      </c>
      <c r="B83" s="1" t="e">
        <v>#N/A</v>
      </c>
      <c r="C83" s="1" t="e">
        <v>#N/A</v>
      </c>
      <c r="D83" s="1" t="s">
        <v>255</v>
      </c>
      <c r="E83" s="1" t="s">
        <v>256</v>
      </c>
      <c r="F83" s="1" t="s">
        <v>9317</v>
      </c>
      <c r="G83" s="1" t="s">
        <v>8957</v>
      </c>
      <c r="H83" t="s">
        <v>8959</v>
      </c>
      <c r="I83" s="1" t="s">
        <v>9075</v>
      </c>
      <c r="J83" s="1" t="s">
        <v>9422</v>
      </c>
      <c r="K83" s="1" t="s">
        <v>9036</v>
      </c>
      <c r="L83" s="1" t="s">
        <v>8987</v>
      </c>
      <c r="M83" s="1">
        <v>30</v>
      </c>
      <c r="N83" s="1" t="s">
        <v>9059</v>
      </c>
      <c r="O83" s="1" t="s">
        <v>8989</v>
      </c>
      <c r="P83" s="1" t="e">
        <v>#N/A</v>
      </c>
      <c r="Q83" s="1" t="e">
        <v>#N/A</v>
      </c>
      <c r="R83" s="1">
        <f t="shared" si="24"/>
        <v>10</v>
      </c>
      <c r="S83" s="1" t="str">
        <f t="shared" si="25"/>
        <v>&gt;7</v>
      </c>
      <c r="T83" s="1" t="s">
        <v>18555</v>
      </c>
      <c r="U83" s="1" t="s">
        <v>17</v>
      </c>
      <c r="V83" s="1" t="s">
        <v>257</v>
      </c>
      <c r="W83" s="1"/>
    </row>
    <row r="84" spans="1:23" x14ac:dyDescent="0.2">
      <c r="A84" s="88" t="s">
        <v>15594</v>
      </c>
      <c r="B84" s="1" t="e">
        <v>#N/A</v>
      </c>
      <c r="C84" s="1" t="e">
        <v>#N/A</v>
      </c>
      <c r="D84" s="1" t="s">
        <v>258</v>
      </c>
      <c r="E84" s="1" t="s">
        <v>259</v>
      </c>
      <c r="F84" s="1" t="s">
        <v>20722</v>
      </c>
      <c r="G84" s="1" t="s">
        <v>8959</v>
      </c>
      <c r="H84" t="s">
        <v>8959</v>
      </c>
      <c r="I84" s="1" t="s">
        <v>9075</v>
      </c>
      <c r="J84" s="1" t="s">
        <v>8949</v>
      </c>
      <c r="K84" s="1" t="s">
        <v>10525</v>
      </c>
      <c r="L84" s="1" t="s">
        <v>8973</v>
      </c>
      <c r="M84" s="1">
        <v>2356</v>
      </c>
      <c r="N84" s="1" t="s">
        <v>8953</v>
      </c>
      <c r="O84" s="1" t="s">
        <v>8989</v>
      </c>
      <c r="P84" s="1" t="e">
        <v>#N/A</v>
      </c>
      <c r="Q84" s="1" t="e">
        <v>#N/A</v>
      </c>
      <c r="R84" s="1">
        <f t="shared" si="24"/>
        <v>4</v>
      </c>
      <c r="S84" s="1" t="str">
        <f t="shared" si="25"/>
        <v>&lt;4</v>
      </c>
      <c r="T84" s="1" t="s">
        <v>18556</v>
      </c>
      <c r="U84" s="1" t="s">
        <v>17</v>
      </c>
      <c r="V84" s="1" t="s">
        <v>87</v>
      </c>
      <c r="W84" s="1"/>
    </row>
    <row r="85" spans="1:23" x14ac:dyDescent="0.2">
      <c r="A85" s="88" t="s">
        <v>15595</v>
      </c>
      <c r="B85" s="1" t="e">
        <v>#N/A</v>
      </c>
      <c r="C85" s="1" t="e">
        <v>#N/A</v>
      </c>
      <c r="D85" s="1" t="s">
        <v>260</v>
      </c>
      <c r="E85" s="1" t="s">
        <v>261</v>
      </c>
      <c r="F85" s="1" t="s">
        <v>10032</v>
      </c>
      <c r="G85" s="1" t="s">
        <v>8957</v>
      </c>
      <c r="H85" t="s">
        <v>8959</v>
      </c>
      <c r="I85" s="1" t="s">
        <v>9100</v>
      </c>
      <c r="J85" s="1" t="s">
        <v>8971</v>
      </c>
      <c r="K85" s="1" t="s">
        <v>9036</v>
      </c>
      <c r="L85" s="1" t="s">
        <v>9292</v>
      </c>
      <c r="M85" s="1">
        <v>10337</v>
      </c>
      <c r="N85" s="1" t="s">
        <v>8953</v>
      </c>
      <c r="O85" s="1" t="s">
        <v>8989</v>
      </c>
      <c r="P85" s="1" t="e">
        <v>#N/A</v>
      </c>
      <c r="Q85" s="1" t="e">
        <v>#N/A</v>
      </c>
      <c r="R85" s="1">
        <f t="shared" si="24"/>
        <v>4</v>
      </c>
      <c r="S85" s="1" t="str">
        <f t="shared" si="25"/>
        <v>&lt;4</v>
      </c>
      <c r="T85" s="1" t="s">
        <v>18557</v>
      </c>
      <c r="U85" s="1" t="s">
        <v>17</v>
      </c>
      <c r="V85" s="1" t="s">
        <v>43</v>
      </c>
      <c r="W85" s="1"/>
    </row>
    <row r="86" spans="1:23" x14ac:dyDescent="0.2">
      <c r="A86" s="88" t="s">
        <v>15596</v>
      </c>
      <c r="B86" s="1" t="e">
        <v>#N/A</v>
      </c>
      <c r="C86" s="1" t="s">
        <v>11415</v>
      </c>
      <c r="D86" s="1" t="s">
        <v>262</v>
      </c>
      <c r="E86" s="1" t="s">
        <v>263</v>
      </c>
      <c r="F86" s="1" t="s">
        <v>9010</v>
      </c>
      <c r="G86" s="1" t="s">
        <v>8959</v>
      </c>
      <c r="H86" t="s">
        <v>9183</v>
      </c>
      <c r="I86" s="1" t="s">
        <v>9605</v>
      </c>
      <c r="J86" s="1" t="s">
        <v>9101</v>
      </c>
      <c r="K86" s="1" t="s">
        <v>8972</v>
      </c>
      <c r="L86" s="1" t="s">
        <v>8973</v>
      </c>
      <c r="M86" s="1">
        <v>108</v>
      </c>
      <c r="N86" s="1" t="s">
        <v>8953</v>
      </c>
      <c r="O86" s="1" t="s">
        <v>8989</v>
      </c>
      <c r="P86" s="1" t="s">
        <v>8955</v>
      </c>
      <c r="Q86" s="1" t="s">
        <v>8956</v>
      </c>
      <c r="R86" s="1" t="s">
        <v>8959</v>
      </c>
      <c r="S86" s="1" t="s">
        <v>8958</v>
      </c>
      <c r="T86" s="1" t="s">
        <v>264</v>
      </c>
      <c r="U86" s="1" t="s">
        <v>11</v>
      </c>
      <c r="V86" s="1" t="s">
        <v>15</v>
      </c>
      <c r="W86" s="1"/>
    </row>
    <row r="87" spans="1:23" x14ac:dyDescent="0.2">
      <c r="A87" s="88" t="s">
        <v>15597</v>
      </c>
      <c r="B87" s="1" t="e">
        <v>#N/A</v>
      </c>
      <c r="C87" s="1" t="e">
        <v>#N/A</v>
      </c>
      <c r="D87" s="1" t="s">
        <v>265</v>
      </c>
      <c r="E87" s="1" t="s">
        <v>266</v>
      </c>
      <c r="F87" s="1" t="s">
        <v>18502</v>
      </c>
      <c r="G87" s="1" t="s">
        <v>8959</v>
      </c>
      <c r="H87" t="s">
        <v>9009</v>
      </c>
      <c r="I87" s="1" t="s">
        <v>9173</v>
      </c>
      <c r="J87" s="1" t="s">
        <v>9174</v>
      </c>
      <c r="K87" s="1" t="s">
        <v>20723</v>
      </c>
      <c r="L87" s="1" t="s">
        <v>9292</v>
      </c>
      <c r="M87" s="1">
        <v>10015</v>
      </c>
      <c r="N87" s="1" t="s">
        <v>8953</v>
      </c>
      <c r="O87" s="1" t="s">
        <v>8954</v>
      </c>
      <c r="P87" s="1" t="e">
        <v>#N/A</v>
      </c>
      <c r="Q87" s="1" t="e">
        <v>#N/A</v>
      </c>
      <c r="R87" s="1">
        <f>1+LEN(T87)-LEN(SUBSTITUTE(T87,",",))</f>
        <v>5</v>
      </c>
      <c r="S87" s="1" t="str">
        <f>IF(R87&gt;4,IF(R87&lt;8,"4-7",IF(R87&gt;7,"&gt;7")),"&lt;4")</f>
        <v>4-7</v>
      </c>
      <c r="T87" s="1" t="s">
        <v>18558</v>
      </c>
      <c r="U87" s="1" t="s">
        <v>7</v>
      </c>
      <c r="V87" s="1" t="s">
        <v>267</v>
      </c>
      <c r="W87" s="1"/>
    </row>
    <row r="88" spans="1:23" x14ac:dyDescent="0.2">
      <c r="A88" s="88" t="s">
        <v>15598</v>
      </c>
      <c r="B88" s="1" t="e">
        <v>#N/A</v>
      </c>
      <c r="C88" s="1" t="s">
        <v>12204</v>
      </c>
      <c r="D88" s="1" t="s">
        <v>268</v>
      </c>
      <c r="E88" s="1" t="s">
        <v>269</v>
      </c>
      <c r="F88" s="1" t="s">
        <v>9213</v>
      </c>
      <c r="G88" s="1" t="s">
        <v>8957</v>
      </c>
      <c r="H88" t="s">
        <v>9183</v>
      </c>
      <c r="I88" s="1" t="s">
        <v>9173</v>
      </c>
      <c r="J88" s="1" t="s">
        <v>9174</v>
      </c>
      <c r="K88" s="1" t="s">
        <v>21308</v>
      </c>
      <c r="L88" s="1" t="s">
        <v>8973</v>
      </c>
      <c r="M88" s="1">
        <v>2750</v>
      </c>
      <c r="N88" s="1" t="s">
        <v>9059</v>
      </c>
      <c r="O88" s="1" t="s">
        <v>8954</v>
      </c>
      <c r="P88" s="1" t="s">
        <v>8955</v>
      </c>
      <c r="Q88" s="1" t="s">
        <v>8956</v>
      </c>
      <c r="R88" s="1" t="s">
        <v>8957</v>
      </c>
      <c r="S88" s="1" t="s">
        <v>8958</v>
      </c>
      <c r="T88" s="1" t="s">
        <v>270</v>
      </c>
      <c r="U88" s="1" t="s">
        <v>11</v>
      </c>
      <c r="V88" s="1" t="s">
        <v>184</v>
      </c>
      <c r="W88" s="1"/>
    </row>
    <row r="89" spans="1:23" x14ac:dyDescent="0.2">
      <c r="A89" s="88" t="s">
        <v>15599</v>
      </c>
      <c r="B89" s="1" t="e">
        <v>#N/A</v>
      </c>
      <c r="C89" s="1" t="s">
        <v>12865</v>
      </c>
      <c r="D89" s="1" t="s">
        <v>271</v>
      </c>
      <c r="E89" s="1" t="s">
        <v>272</v>
      </c>
      <c r="F89" s="1" t="s">
        <v>9213</v>
      </c>
      <c r="G89" s="1" t="s">
        <v>8957</v>
      </c>
      <c r="H89" t="s">
        <v>9009</v>
      </c>
      <c r="I89" s="1" t="s">
        <v>9252</v>
      </c>
      <c r="J89" s="1" t="s">
        <v>9253</v>
      </c>
      <c r="K89" s="1" t="s">
        <v>9212</v>
      </c>
      <c r="L89" s="1" t="s">
        <v>8987</v>
      </c>
      <c r="M89" s="1">
        <v>600</v>
      </c>
      <c r="N89" s="1" t="s">
        <v>8953</v>
      </c>
      <c r="O89" s="1" t="s">
        <v>8989</v>
      </c>
      <c r="P89" s="1" t="s">
        <v>8955</v>
      </c>
      <c r="Q89" s="1" t="s">
        <v>8956</v>
      </c>
      <c r="R89" s="1" t="s">
        <v>8957</v>
      </c>
      <c r="S89" s="1" t="s">
        <v>8975</v>
      </c>
      <c r="T89" s="1" t="s">
        <v>273</v>
      </c>
      <c r="U89" s="1" t="s">
        <v>11</v>
      </c>
      <c r="V89" s="1" t="s">
        <v>184</v>
      </c>
      <c r="W89" s="1"/>
    </row>
    <row r="90" spans="1:23" x14ac:dyDescent="0.2">
      <c r="A90" s="88" t="s">
        <v>15600</v>
      </c>
      <c r="B90" s="1" t="e">
        <v>#N/A</v>
      </c>
      <c r="C90" s="1" t="s">
        <v>13414</v>
      </c>
      <c r="D90" s="1" t="s">
        <v>274</v>
      </c>
      <c r="E90" s="1" t="s">
        <v>275</v>
      </c>
      <c r="F90" s="1" t="s">
        <v>9213</v>
      </c>
      <c r="G90" s="1" t="s">
        <v>8957</v>
      </c>
      <c r="H90" t="s">
        <v>8959</v>
      </c>
      <c r="I90" s="1" t="s">
        <v>9252</v>
      </c>
      <c r="J90" s="1" t="s">
        <v>9253</v>
      </c>
      <c r="K90" s="1" t="s">
        <v>9212</v>
      </c>
      <c r="L90" s="1" t="s">
        <v>8951</v>
      </c>
      <c r="M90" s="1">
        <v>600</v>
      </c>
      <c r="N90" s="1" t="s">
        <v>8953</v>
      </c>
      <c r="O90" s="1" t="s">
        <v>8989</v>
      </c>
      <c r="P90" s="1" t="s">
        <v>8955</v>
      </c>
      <c r="Q90" s="1" t="s">
        <v>8956</v>
      </c>
      <c r="R90" s="1" t="s">
        <v>8957</v>
      </c>
      <c r="S90" s="1" t="s">
        <v>8975</v>
      </c>
      <c r="T90" s="1" t="s">
        <v>276</v>
      </c>
      <c r="U90" s="1" t="s">
        <v>4</v>
      </c>
      <c r="V90" s="1" t="s">
        <v>46</v>
      </c>
      <c r="W90" s="1"/>
    </row>
    <row r="91" spans="1:23" x14ac:dyDescent="0.2">
      <c r="A91" s="88" t="s">
        <v>15601</v>
      </c>
      <c r="B91" s="1" t="e">
        <v>#N/A</v>
      </c>
      <c r="C91" s="1" t="e">
        <v>#N/A</v>
      </c>
      <c r="D91" s="1" t="s">
        <v>277</v>
      </c>
      <c r="E91" s="1" t="s">
        <v>278</v>
      </c>
      <c r="F91" s="1" t="s">
        <v>9213</v>
      </c>
      <c r="G91" s="1" t="s">
        <v>8957</v>
      </c>
      <c r="H91" t="s">
        <v>8959</v>
      </c>
      <c r="I91" s="1" t="s">
        <v>8948</v>
      </c>
      <c r="J91" s="1" t="s">
        <v>8949</v>
      </c>
      <c r="K91" s="1" t="s">
        <v>20724</v>
      </c>
      <c r="L91" s="1" t="s">
        <v>8951</v>
      </c>
      <c r="M91" s="1">
        <v>188</v>
      </c>
      <c r="N91" s="1" t="s">
        <v>8953</v>
      </c>
      <c r="O91" s="1" t="s">
        <v>8989</v>
      </c>
      <c r="P91" s="1" t="e">
        <v>#N/A</v>
      </c>
      <c r="Q91" s="1" t="e">
        <v>#N/A</v>
      </c>
      <c r="R91" s="1">
        <f t="shared" ref="R91:R94" si="26">1+LEN(T91)-LEN(SUBSTITUTE(T91,",",))</f>
        <v>5</v>
      </c>
      <c r="S91" s="1" t="str">
        <f t="shared" ref="S91:S94" si="27">IF(R91&gt;4,IF(R91&lt;8,"4-7",IF(R91&gt;7,"&gt;7")),"&lt;4")</f>
        <v>4-7</v>
      </c>
      <c r="T91" s="1" t="s">
        <v>18559</v>
      </c>
      <c r="U91" s="1" t="s">
        <v>7</v>
      </c>
      <c r="V91" s="1" t="s">
        <v>46</v>
      </c>
      <c r="W91" s="1"/>
    </row>
    <row r="92" spans="1:23" x14ac:dyDescent="0.2">
      <c r="A92" s="89" t="s">
        <v>279</v>
      </c>
      <c r="B92" s="1" t="e">
        <v>#N/A</v>
      </c>
      <c r="C92" s="1" t="e">
        <v>#N/A</v>
      </c>
      <c r="D92" s="5" t="s">
        <v>280</v>
      </c>
      <c r="E92" s="1" t="s">
        <v>281</v>
      </c>
      <c r="F92" s="1" t="e">
        <v>#N/A</v>
      </c>
      <c r="G92" s="1" t="e">
        <v>#N/A</v>
      </c>
      <c r="H92" t="e">
        <v>#N/A</v>
      </c>
      <c r="I92" s="1" t="e">
        <v>#N/A</v>
      </c>
      <c r="J92" s="1" t="e">
        <v>#N/A</v>
      </c>
      <c r="K92" s="1" t="e">
        <v>#N/A</v>
      </c>
      <c r="L92" s="1" t="e">
        <v>#N/A</v>
      </c>
      <c r="M92" s="1" t="e">
        <v>#N/A</v>
      </c>
      <c r="N92" s="1" t="e">
        <v>#N/A</v>
      </c>
      <c r="O92" s="1" t="e">
        <v>#N/A</v>
      </c>
      <c r="P92" s="1" t="e">
        <v>#N/A</v>
      </c>
      <c r="Q92" s="1" t="e">
        <v>#N/A</v>
      </c>
      <c r="R92" s="1">
        <f t="shared" si="26"/>
        <v>2</v>
      </c>
      <c r="S92" s="1" t="str">
        <f t="shared" si="27"/>
        <v>&lt;4</v>
      </c>
      <c r="T92" s="1" t="s">
        <v>18560</v>
      </c>
      <c r="U92" s="1" t="s">
        <v>7</v>
      </c>
      <c r="V92" s="1" t="s">
        <v>97</v>
      </c>
      <c r="W92" s="1"/>
    </row>
    <row r="93" spans="1:23" x14ac:dyDescent="0.2">
      <c r="A93" s="88" t="s">
        <v>15602</v>
      </c>
      <c r="B93" s="1" t="e">
        <v>#N/A</v>
      </c>
      <c r="C93" s="1" t="e">
        <v>#N/A</v>
      </c>
      <c r="D93" s="1" t="s">
        <v>282</v>
      </c>
      <c r="E93" s="1" t="s">
        <v>283</v>
      </c>
      <c r="F93" s="1" t="s">
        <v>20718</v>
      </c>
      <c r="G93" s="1" t="s">
        <v>8974</v>
      </c>
      <c r="H93" t="s">
        <v>8959</v>
      </c>
      <c r="I93" s="1" t="s">
        <v>8984</v>
      </c>
      <c r="J93" s="1" t="s">
        <v>8998</v>
      </c>
      <c r="K93" s="1" t="s">
        <v>21309</v>
      </c>
      <c r="L93" s="1" t="s">
        <v>8973</v>
      </c>
      <c r="M93" s="1">
        <v>2063</v>
      </c>
      <c r="N93" s="1" t="s">
        <v>8953</v>
      </c>
      <c r="O93" s="1" t="s">
        <v>8989</v>
      </c>
      <c r="P93" s="1" t="e">
        <v>#N/A</v>
      </c>
      <c r="Q93" s="1" t="e">
        <v>#N/A</v>
      </c>
      <c r="R93" s="1">
        <f t="shared" si="26"/>
        <v>5</v>
      </c>
      <c r="S93" s="1" t="str">
        <f t="shared" si="27"/>
        <v>4-7</v>
      </c>
      <c r="T93" s="1" t="s">
        <v>18561</v>
      </c>
      <c r="U93" s="1" t="s">
        <v>7</v>
      </c>
      <c r="V93" s="1" t="s">
        <v>210</v>
      </c>
      <c r="W93" s="1"/>
    </row>
    <row r="94" spans="1:23" x14ac:dyDescent="0.2">
      <c r="A94" s="88" t="s">
        <v>15603</v>
      </c>
      <c r="B94" s="1" t="e">
        <v>#N/A</v>
      </c>
      <c r="C94" s="1" t="e">
        <v>#N/A</v>
      </c>
      <c r="D94" s="1" t="s">
        <v>284</v>
      </c>
      <c r="E94" s="1" t="s">
        <v>285</v>
      </c>
      <c r="F94" s="1" t="s">
        <v>18502</v>
      </c>
      <c r="G94" s="1" t="s">
        <v>8957</v>
      </c>
      <c r="H94" t="s">
        <v>8959</v>
      </c>
      <c r="I94" s="1" t="s">
        <v>20712</v>
      </c>
      <c r="J94" s="1" t="s">
        <v>9155</v>
      </c>
      <c r="K94" s="1" t="s">
        <v>21310</v>
      </c>
      <c r="L94" s="1" t="s">
        <v>8973</v>
      </c>
      <c r="M94" s="1">
        <f>250000+190000</f>
        <v>440000</v>
      </c>
      <c r="N94" s="1" t="s">
        <v>8953</v>
      </c>
      <c r="O94" s="1" t="s">
        <v>8954</v>
      </c>
      <c r="P94" s="1" t="e">
        <v>#N/A</v>
      </c>
      <c r="Q94" s="1" t="e">
        <v>#N/A</v>
      </c>
      <c r="R94" s="1">
        <f t="shared" si="26"/>
        <v>5</v>
      </c>
      <c r="S94" s="1" t="str">
        <f t="shared" si="27"/>
        <v>4-7</v>
      </c>
      <c r="T94" s="1" t="s">
        <v>18562</v>
      </c>
      <c r="U94" s="1" t="s">
        <v>17</v>
      </c>
      <c r="V94" s="1" t="s">
        <v>286</v>
      </c>
      <c r="W94" s="1"/>
    </row>
    <row r="95" spans="1:23" x14ac:dyDescent="0.2">
      <c r="A95" s="88" t="s">
        <v>15604</v>
      </c>
      <c r="B95" s="1" t="e">
        <v>#N/A</v>
      </c>
      <c r="C95" s="1" t="s">
        <v>10350</v>
      </c>
      <c r="D95" s="1" t="s">
        <v>287</v>
      </c>
      <c r="E95" s="1" t="s">
        <v>288</v>
      </c>
      <c r="F95" s="1" t="s">
        <v>9010</v>
      </c>
      <c r="G95" s="1" t="s">
        <v>8959</v>
      </c>
      <c r="H95" t="s">
        <v>8959</v>
      </c>
      <c r="I95" s="1" t="s">
        <v>9252</v>
      </c>
      <c r="J95" s="1" t="s">
        <v>9155</v>
      </c>
      <c r="K95" s="1" t="s">
        <v>10353</v>
      </c>
      <c r="L95" s="1" t="s">
        <v>8987</v>
      </c>
      <c r="M95" s="1">
        <v>8158</v>
      </c>
      <c r="N95" s="1" t="s">
        <v>8953</v>
      </c>
      <c r="O95" s="1" t="s">
        <v>8954</v>
      </c>
      <c r="P95" s="1" t="s">
        <v>8955</v>
      </c>
      <c r="Q95" s="1" t="s">
        <v>8990</v>
      </c>
      <c r="R95" s="1" t="s">
        <v>8959</v>
      </c>
      <c r="S95" s="1" t="s">
        <v>8958</v>
      </c>
      <c r="T95" s="1" t="s">
        <v>289</v>
      </c>
      <c r="U95" s="1" t="s">
        <v>17</v>
      </c>
      <c r="V95" s="1" t="s">
        <v>87</v>
      </c>
      <c r="W95" s="1"/>
    </row>
    <row r="96" spans="1:23" x14ac:dyDescent="0.2">
      <c r="A96" s="88" t="s">
        <v>15605</v>
      </c>
      <c r="B96" s="1" t="e">
        <v>#N/A</v>
      </c>
      <c r="C96" s="1" t="e">
        <v>#N/A</v>
      </c>
      <c r="D96" s="1" t="s">
        <v>290</v>
      </c>
      <c r="E96" s="1" t="s">
        <v>291</v>
      </c>
      <c r="F96" t="s">
        <v>20726</v>
      </c>
      <c r="G96" s="1" t="s">
        <v>8959</v>
      </c>
      <c r="H96" t="s">
        <v>8959</v>
      </c>
      <c r="I96" s="1" t="s">
        <v>20714</v>
      </c>
      <c r="J96" s="1" t="s">
        <v>20725</v>
      </c>
      <c r="K96" s="1" t="s">
        <v>9036</v>
      </c>
      <c r="L96" s="1" t="s">
        <v>8987</v>
      </c>
      <c r="M96" s="1">
        <v>108312</v>
      </c>
      <c r="N96" s="1" t="s">
        <v>8953</v>
      </c>
      <c r="O96" s="1" t="s">
        <v>8954</v>
      </c>
      <c r="P96" s="1" t="e">
        <v>#N/A</v>
      </c>
      <c r="Q96" s="1" t="e">
        <v>#N/A</v>
      </c>
      <c r="R96" s="1">
        <f t="shared" ref="R96:R98" si="28">1+LEN(T96)-LEN(SUBSTITUTE(T96,",",))</f>
        <v>1</v>
      </c>
      <c r="S96" s="1" t="str">
        <f t="shared" ref="S96:S98" si="29">IF(R96&gt;4,IF(R96&lt;8,"4-7",IF(R96&gt;7,"&gt;7")),"&lt;4")</f>
        <v>&lt;4</v>
      </c>
      <c r="T96" s="1" t="s">
        <v>292</v>
      </c>
      <c r="U96" s="1" t="s">
        <v>7</v>
      </c>
      <c r="V96" s="1" t="s">
        <v>5</v>
      </c>
      <c r="W96" s="1"/>
    </row>
    <row r="97" spans="1:23" x14ac:dyDescent="0.2">
      <c r="A97" s="88" t="s">
        <v>15606</v>
      </c>
      <c r="B97" s="1" t="e">
        <v>#N/A</v>
      </c>
      <c r="C97" s="1" t="e">
        <v>#N/A</v>
      </c>
      <c r="D97" s="1" t="s">
        <v>293</v>
      </c>
      <c r="E97" s="1" t="s">
        <v>294</v>
      </c>
      <c r="F97" s="1" t="s">
        <v>13122</v>
      </c>
      <c r="G97" s="1" t="s">
        <v>8957</v>
      </c>
      <c r="H97" t="s">
        <v>8959</v>
      </c>
      <c r="I97" s="1" t="s">
        <v>9035</v>
      </c>
      <c r="J97" s="1" t="s">
        <v>9155</v>
      </c>
      <c r="K97" s="1" t="s">
        <v>20727</v>
      </c>
      <c r="L97" s="1" t="s">
        <v>8987</v>
      </c>
      <c r="M97" s="1">
        <v>244527</v>
      </c>
      <c r="N97" s="1" t="s">
        <v>8953</v>
      </c>
      <c r="O97" s="1" t="s">
        <v>8954</v>
      </c>
      <c r="P97" s="1" t="e">
        <v>#N/A</v>
      </c>
      <c r="Q97" s="1" t="e">
        <v>#N/A</v>
      </c>
      <c r="R97" s="1">
        <f t="shared" si="28"/>
        <v>5</v>
      </c>
      <c r="S97" s="1" t="str">
        <f t="shared" si="29"/>
        <v>4-7</v>
      </c>
      <c r="T97" s="1" t="s">
        <v>18563</v>
      </c>
      <c r="U97" s="1" t="s">
        <v>17</v>
      </c>
      <c r="V97" s="1" t="s">
        <v>64</v>
      </c>
      <c r="W97" s="1"/>
    </row>
    <row r="98" spans="1:23" x14ac:dyDescent="0.2">
      <c r="A98" s="89" t="s">
        <v>295</v>
      </c>
      <c r="B98" s="1" t="e">
        <v>#N/A</v>
      </c>
      <c r="C98" s="1" t="e">
        <v>#N/A</v>
      </c>
      <c r="D98" s="5" t="s">
        <v>296</v>
      </c>
      <c r="E98" s="1" t="s">
        <v>297</v>
      </c>
      <c r="F98" s="1"/>
      <c r="G98" s="1" t="e">
        <v>#N/A</v>
      </c>
      <c r="I98" s="1" t="e">
        <v>#N/A</v>
      </c>
      <c r="J98" s="1" t="e">
        <v>#N/A</v>
      </c>
      <c r="K98" s="1" t="e">
        <v>#N/A</v>
      </c>
      <c r="L98" s="1" t="e">
        <v>#N/A</v>
      </c>
      <c r="M98" s="1" t="e">
        <v>#N/A</v>
      </c>
      <c r="N98" s="1" t="e">
        <v>#N/A</v>
      </c>
      <c r="O98" s="1" t="e">
        <v>#N/A</v>
      </c>
      <c r="P98" s="1" t="e">
        <v>#N/A</v>
      </c>
      <c r="Q98" s="1" t="e">
        <v>#N/A</v>
      </c>
      <c r="R98" s="1">
        <f t="shared" si="28"/>
        <v>6</v>
      </c>
      <c r="S98" s="1" t="str">
        <f t="shared" si="29"/>
        <v>4-7</v>
      </c>
      <c r="T98" s="1" t="s">
        <v>18564</v>
      </c>
      <c r="U98" s="1" t="s">
        <v>7</v>
      </c>
      <c r="V98" s="1" t="s">
        <v>298</v>
      </c>
      <c r="W98" s="1"/>
    </row>
    <row r="99" spans="1:23" x14ac:dyDescent="0.2">
      <c r="A99" s="88" t="s">
        <v>15607</v>
      </c>
      <c r="B99" s="1" t="e">
        <v>#N/A</v>
      </c>
      <c r="C99" s="1" t="s">
        <v>10175</v>
      </c>
      <c r="D99" s="1" t="s">
        <v>299</v>
      </c>
      <c r="E99" s="1" t="s">
        <v>300</v>
      </c>
      <c r="F99" s="1" t="s">
        <v>9010</v>
      </c>
      <c r="G99" s="1" t="s">
        <v>8957</v>
      </c>
      <c r="H99" t="s">
        <v>8959</v>
      </c>
      <c r="I99" s="1" t="s">
        <v>9092</v>
      </c>
      <c r="J99" s="1" t="s">
        <v>8971</v>
      </c>
      <c r="K99" s="1" t="s">
        <v>10178</v>
      </c>
      <c r="L99" s="1" t="s">
        <v>8973</v>
      </c>
      <c r="M99" s="1">
        <v>546</v>
      </c>
      <c r="N99" s="1" t="s">
        <v>8953</v>
      </c>
      <c r="O99" s="1" t="s">
        <v>8954</v>
      </c>
      <c r="P99" s="1" t="s">
        <v>8955</v>
      </c>
      <c r="Q99" s="1" t="s">
        <v>8956</v>
      </c>
      <c r="R99" s="1" t="s">
        <v>8957</v>
      </c>
      <c r="S99" s="1" t="s">
        <v>9103</v>
      </c>
      <c r="T99" s="1" t="s">
        <v>301</v>
      </c>
      <c r="U99" s="1" t="s">
        <v>17</v>
      </c>
      <c r="V99" s="1" t="s">
        <v>64</v>
      </c>
      <c r="W99" s="1"/>
    </row>
    <row r="100" spans="1:23" x14ac:dyDescent="0.2">
      <c r="A100" s="88" t="s">
        <v>15608</v>
      </c>
      <c r="B100" s="1" t="e">
        <v>#N/A</v>
      </c>
      <c r="C100" s="1" t="e">
        <v>#N/A</v>
      </c>
      <c r="D100" s="1" t="s">
        <v>302</v>
      </c>
      <c r="E100" s="1" t="s">
        <v>303</v>
      </c>
      <c r="F100" s="1" t="s">
        <v>18502</v>
      </c>
      <c r="G100" s="1" t="s">
        <v>8957</v>
      </c>
      <c r="H100" t="s">
        <v>8959</v>
      </c>
      <c r="I100" s="1" t="s">
        <v>9092</v>
      </c>
      <c r="J100" s="1" t="s">
        <v>8971</v>
      </c>
      <c r="K100" s="1" t="s">
        <v>18491</v>
      </c>
      <c r="L100" s="1" t="s">
        <v>8973</v>
      </c>
      <c r="M100" s="1">
        <v>1235</v>
      </c>
      <c r="N100" s="1" t="s">
        <v>8953</v>
      </c>
      <c r="O100" s="1" t="s">
        <v>8989</v>
      </c>
      <c r="P100" s="1" t="e">
        <v>#N/A</v>
      </c>
      <c r="Q100" s="1" t="e">
        <v>#N/A</v>
      </c>
      <c r="R100" s="1">
        <f t="shared" ref="R100:R102" si="30">1+LEN(T100)-LEN(SUBSTITUTE(T100,",",))</f>
        <v>3</v>
      </c>
      <c r="S100" s="1" t="str">
        <f t="shared" ref="S100:S102" si="31">IF(R100&gt;4,IF(R100&lt;8,"4-7",IF(R100&gt;7,"&gt;7")),"&lt;4")</f>
        <v>&lt;4</v>
      </c>
      <c r="T100" s="1" t="s">
        <v>18565</v>
      </c>
      <c r="U100" s="1" t="s">
        <v>7</v>
      </c>
      <c r="V100" s="1" t="s">
        <v>64</v>
      </c>
      <c r="W100" s="1"/>
    </row>
    <row r="101" spans="1:23" x14ac:dyDescent="0.2">
      <c r="A101" s="88" t="s">
        <v>15609</v>
      </c>
      <c r="B101" s="1" t="e">
        <v>#N/A</v>
      </c>
      <c r="C101" s="1" t="e">
        <v>#N/A</v>
      </c>
      <c r="D101" s="1" t="s">
        <v>304</v>
      </c>
      <c r="E101" s="1" t="s">
        <v>305</v>
      </c>
      <c r="F101" s="1" t="s">
        <v>12363</v>
      </c>
      <c r="G101" s="1" t="s">
        <v>8959</v>
      </c>
      <c r="H101" t="s">
        <v>8959</v>
      </c>
      <c r="I101" s="1" t="s">
        <v>9252</v>
      </c>
      <c r="J101" s="1" t="s">
        <v>18504</v>
      </c>
      <c r="K101" s="1" t="s">
        <v>20729</v>
      </c>
      <c r="L101" s="1" t="s">
        <v>20728</v>
      </c>
      <c r="M101" s="1">
        <v>410</v>
      </c>
      <c r="N101" s="1" t="s">
        <v>8953</v>
      </c>
      <c r="O101" s="1" t="s">
        <v>8989</v>
      </c>
      <c r="P101" s="1" t="e">
        <v>#N/A</v>
      </c>
      <c r="Q101" s="1" t="e">
        <v>#N/A</v>
      </c>
      <c r="R101" s="1">
        <f t="shared" si="30"/>
        <v>4</v>
      </c>
      <c r="S101" s="1" t="str">
        <f t="shared" si="31"/>
        <v>&lt;4</v>
      </c>
      <c r="T101" s="1" t="s">
        <v>18566</v>
      </c>
      <c r="U101" s="1" t="s">
        <v>7</v>
      </c>
      <c r="V101" s="1" t="s">
        <v>184</v>
      </c>
      <c r="W101" s="1"/>
    </row>
    <row r="102" spans="1:23" x14ac:dyDescent="0.2">
      <c r="A102" s="94">
        <v>1</v>
      </c>
      <c r="B102" t="e">
        <v>#N/A</v>
      </c>
      <c r="C102" t="e">
        <v>#N/A</v>
      </c>
      <c r="D102" s="1" t="s">
        <v>306</v>
      </c>
      <c r="E102" s="1" t="s">
        <v>307</v>
      </c>
      <c r="F102" s="1"/>
      <c r="G102" s="1" t="e">
        <v>#N/A</v>
      </c>
      <c r="H102" t="s">
        <v>8959</v>
      </c>
      <c r="I102" s="1"/>
      <c r="J102" s="1" t="e">
        <v>#N/A</v>
      </c>
      <c r="K102" s="1" t="e">
        <v>#N/A</v>
      </c>
      <c r="L102" s="1" t="e">
        <v>#N/A</v>
      </c>
      <c r="M102" s="1" t="e">
        <v>#N/A</v>
      </c>
      <c r="N102" s="1" t="e">
        <v>#N/A</v>
      </c>
      <c r="O102" s="1" t="e">
        <v>#N/A</v>
      </c>
      <c r="P102" s="1" t="e">
        <v>#N/A</v>
      </c>
      <c r="Q102" s="1" t="e">
        <v>#N/A</v>
      </c>
      <c r="R102" s="1">
        <f t="shared" si="30"/>
        <v>2</v>
      </c>
      <c r="S102" s="1" t="str">
        <f t="shared" si="31"/>
        <v>&lt;4</v>
      </c>
      <c r="T102" s="1" t="s">
        <v>18567</v>
      </c>
      <c r="U102" s="1" t="s">
        <v>4</v>
      </c>
      <c r="V102" s="1"/>
      <c r="W102" s="1"/>
    </row>
    <row r="103" spans="1:23" x14ac:dyDescent="0.2">
      <c r="A103" s="88" t="s">
        <v>15610</v>
      </c>
      <c r="B103" s="1" t="e">
        <v>#N/A</v>
      </c>
      <c r="C103" s="1" t="s">
        <v>10640</v>
      </c>
      <c r="D103" s="1" t="s">
        <v>309</v>
      </c>
      <c r="E103" s="1" t="s">
        <v>310</v>
      </c>
      <c r="F103" s="1" t="s">
        <v>9317</v>
      </c>
      <c r="G103" s="1" t="s">
        <v>9060</v>
      </c>
      <c r="H103" t="s">
        <v>9009</v>
      </c>
      <c r="I103" s="1" t="s">
        <v>9092</v>
      </c>
      <c r="J103" s="1" t="s">
        <v>8949</v>
      </c>
      <c r="K103" s="1" t="s">
        <v>9036</v>
      </c>
      <c r="L103" s="1" t="s">
        <v>8973</v>
      </c>
      <c r="M103" s="1">
        <v>595</v>
      </c>
      <c r="N103" s="1" t="s">
        <v>8953</v>
      </c>
      <c r="O103" s="1" t="s">
        <v>8954</v>
      </c>
      <c r="P103" s="1" t="s">
        <v>8955</v>
      </c>
      <c r="Q103" s="1" t="s">
        <v>8956</v>
      </c>
      <c r="R103" s="1" t="s">
        <v>9060</v>
      </c>
      <c r="S103" s="1" t="s">
        <v>8958</v>
      </c>
      <c r="T103" s="1" t="s">
        <v>311</v>
      </c>
      <c r="U103" s="1" t="s">
        <v>17</v>
      </c>
      <c r="V103" s="1" t="s">
        <v>126</v>
      </c>
      <c r="W103" s="1"/>
    </row>
    <row r="104" spans="1:23" x14ac:dyDescent="0.2">
      <c r="A104" s="94" t="s">
        <v>15611</v>
      </c>
      <c r="B104" s="1" t="e">
        <v>#N/A</v>
      </c>
      <c r="C104" s="1" t="e">
        <v>#N/A</v>
      </c>
      <c r="D104" s="1" t="s">
        <v>312</v>
      </c>
      <c r="E104" s="1" t="s">
        <v>313</v>
      </c>
      <c r="F104" s="1" t="e">
        <v>#N/A</v>
      </c>
      <c r="G104" s="1" t="e">
        <v>#N/A</v>
      </c>
      <c r="H104" t="e">
        <v>#N/A</v>
      </c>
      <c r="I104" s="1" t="e">
        <v>#N/A</v>
      </c>
      <c r="J104" s="1" t="e">
        <v>#N/A</v>
      </c>
      <c r="K104" s="1" t="e">
        <v>#N/A</v>
      </c>
      <c r="L104" s="1" t="e">
        <v>#N/A</v>
      </c>
      <c r="M104" s="1" t="e">
        <v>#N/A</v>
      </c>
      <c r="N104" s="1" t="e">
        <v>#N/A</v>
      </c>
      <c r="O104" s="1" t="e">
        <v>#N/A</v>
      </c>
      <c r="P104" s="1" t="e">
        <v>#N/A</v>
      </c>
      <c r="Q104" s="1" t="e">
        <v>#N/A</v>
      </c>
      <c r="R104" s="1">
        <f t="shared" ref="R104:R106" si="32">1+LEN(T104)-LEN(SUBSTITUTE(T104,",",))</f>
        <v>4</v>
      </c>
      <c r="S104" s="1" t="str">
        <f t="shared" ref="S104:S106" si="33">IF(R104&gt;4,IF(R104&lt;8,"4-7",IF(R104&gt;7,"&gt;7")),"&lt;4")</f>
        <v>&lt;4</v>
      </c>
      <c r="T104" s="1" t="s">
        <v>18568</v>
      </c>
      <c r="U104" s="1" t="s">
        <v>7</v>
      </c>
      <c r="V104" s="1" t="s">
        <v>46</v>
      </c>
      <c r="W104" s="1"/>
    </row>
    <row r="105" spans="1:23" x14ac:dyDescent="0.2">
      <c r="A105" s="88" t="s">
        <v>15612</v>
      </c>
      <c r="B105" s="1" t="e">
        <v>#N/A</v>
      </c>
      <c r="C105" s="1" t="e">
        <v>#N/A</v>
      </c>
      <c r="D105" s="1" t="s">
        <v>314</v>
      </c>
      <c r="E105" s="1" t="s">
        <v>315</v>
      </c>
      <c r="F105" s="1" t="s">
        <v>9380</v>
      </c>
      <c r="G105" s="1" t="s">
        <v>8957</v>
      </c>
      <c r="H105" t="s">
        <v>8959</v>
      </c>
      <c r="I105" s="1" t="s">
        <v>20712</v>
      </c>
      <c r="J105" s="1" t="s">
        <v>9155</v>
      </c>
      <c r="K105" s="1" t="s">
        <v>10492</v>
      </c>
      <c r="L105" s="1" t="s">
        <v>8973</v>
      </c>
      <c r="M105" s="1">
        <f>10000+85+163+805+240</f>
        <v>11293</v>
      </c>
      <c r="N105" s="1" t="s">
        <v>8953</v>
      </c>
      <c r="O105" s="1" t="s">
        <v>8954</v>
      </c>
      <c r="P105" s="1" t="e">
        <v>#N/A</v>
      </c>
      <c r="Q105" s="1" t="e">
        <v>#N/A</v>
      </c>
      <c r="R105" s="1">
        <f t="shared" si="32"/>
        <v>3</v>
      </c>
      <c r="S105" s="1" t="str">
        <f t="shared" si="33"/>
        <v>&lt;4</v>
      </c>
      <c r="T105" s="1" t="s">
        <v>18569</v>
      </c>
      <c r="U105" s="1" t="s">
        <v>7</v>
      </c>
      <c r="V105" s="1" t="s">
        <v>316</v>
      </c>
      <c r="W105" s="1"/>
    </row>
    <row r="106" spans="1:23" x14ac:dyDescent="0.2">
      <c r="A106" s="88" t="s">
        <v>15613</v>
      </c>
      <c r="B106" s="1" t="e">
        <v>#N/A</v>
      </c>
      <c r="C106" s="1" t="e">
        <v>#N/A</v>
      </c>
      <c r="D106" s="1" t="s">
        <v>317</v>
      </c>
      <c r="E106" s="1" t="s">
        <v>318</v>
      </c>
      <c r="F106" s="1" t="s">
        <v>9380</v>
      </c>
      <c r="G106" s="1" t="s">
        <v>8957</v>
      </c>
      <c r="H106" t="s">
        <v>8959</v>
      </c>
      <c r="I106" s="1" t="s">
        <v>20712</v>
      </c>
      <c r="J106" s="1" t="s">
        <v>8971</v>
      </c>
      <c r="K106" s="1" t="s">
        <v>10492</v>
      </c>
      <c r="L106" s="1" t="s">
        <v>8951</v>
      </c>
      <c r="M106" s="1">
        <v>2000</v>
      </c>
      <c r="N106" s="1" t="s">
        <v>8953</v>
      </c>
      <c r="O106" s="1" t="s">
        <v>8989</v>
      </c>
      <c r="P106" s="1" t="e">
        <v>#N/A</v>
      </c>
      <c r="Q106" s="1" t="e">
        <v>#N/A</v>
      </c>
      <c r="R106" s="1">
        <f t="shared" si="32"/>
        <v>3</v>
      </c>
      <c r="S106" s="1" t="str">
        <f t="shared" si="33"/>
        <v>&lt;4</v>
      </c>
      <c r="T106" s="1" t="s">
        <v>18570</v>
      </c>
      <c r="U106" s="1" t="s">
        <v>7</v>
      </c>
      <c r="V106" s="1" t="s">
        <v>46</v>
      </c>
      <c r="W106" s="1"/>
    </row>
    <row r="107" spans="1:23" x14ac:dyDescent="0.2">
      <c r="A107" s="88" t="s">
        <v>15614</v>
      </c>
      <c r="B107" s="1" t="e">
        <v>#N/A</v>
      </c>
      <c r="C107" s="1" t="s">
        <v>13149</v>
      </c>
      <c r="D107" s="1" t="s">
        <v>319</v>
      </c>
      <c r="E107" s="1" t="s">
        <v>320</v>
      </c>
      <c r="F107" s="1" t="s">
        <v>10049</v>
      </c>
      <c r="G107" s="1" t="s">
        <v>8959</v>
      </c>
      <c r="H107" t="s">
        <v>8959</v>
      </c>
      <c r="I107" s="1" t="s">
        <v>9100</v>
      </c>
      <c r="J107" s="1" t="s">
        <v>8949</v>
      </c>
      <c r="K107" s="1" t="s">
        <v>9041</v>
      </c>
      <c r="L107" s="1" t="s">
        <v>8987</v>
      </c>
      <c r="M107" s="1">
        <v>500</v>
      </c>
      <c r="N107" s="1" t="s">
        <v>9059</v>
      </c>
      <c r="O107" s="1" t="s">
        <v>8954</v>
      </c>
      <c r="P107" s="1" t="s">
        <v>8955</v>
      </c>
      <c r="Q107" s="1" t="s">
        <v>8956</v>
      </c>
      <c r="R107" s="1" t="s">
        <v>8959</v>
      </c>
      <c r="S107" s="1" t="s">
        <v>8975</v>
      </c>
      <c r="T107" s="1" t="s">
        <v>321</v>
      </c>
      <c r="U107" s="1" t="s">
        <v>11</v>
      </c>
      <c r="V107" s="1" t="s">
        <v>322</v>
      </c>
      <c r="W107" s="1"/>
    </row>
    <row r="108" spans="1:23" x14ac:dyDescent="0.2">
      <c r="A108" s="88" t="s">
        <v>15615</v>
      </c>
      <c r="B108" s="1" t="e">
        <v>#N/A</v>
      </c>
      <c r="C108" s="1" t="e">
        <v>#N/A</v>
      </c>
      <c r="D108" s="1" t="s">
        <v>323</v>
      </c>
      <c r="E108" s="1" t="s">
        <v>324</v>
      </c>
      <c r="F108" s="1" t="s">
        <v>10032</v>
      </c>
      <c r="G108" s="1" t="s">
        <v>8959</v>
      </c>
      <c r="H108" t="s">
        <v>8959</v>
      </c>
      <c r="I108" s="1" t="s">
        <v>9035</v>
      </c>
      <c r="J108" s="1" t="s">
        <v>8998</v>
      </c>
      <c r="K108" s="1" t="s">
        <v>10492</v>
      </c>
      <c r="L108" s="1" t="s">
        <v>20730</v>
      </c>
      <c r="M108" s="1">
        <v>1369</v>
      </c>
      <c r="N108" s="1" t="s">
        <v>8953</v>
      </c>
      <c r="O108" s="1" t="s">
        <v>8954</v>
      </c>
      <c r="P108" s="1" t="e">
        <v>#N/A</v>
      </c>
      <c r="Q108" s="1" t="e">
        <v>#N/A</v>
      </c>
      <c r="R108" s="1">
        <f t="shared" ref="R108:R109" si="34">1+LEN(T108)-LEN(SUBSTITUTE(T108,",",))</f>
        <v>4</v>
      </c>
      <c r="S108" s="1" t="str">
        <f t="shared" ref="S108:S109" si="35">IF(R108&gt;4,IF(R108&lt;8,"4-7",IF(R108&gt;7,"&gt;7")),"&lt;4")</f>
        <v>&lt;4</v>
      </c>
      <c r="T108" s="1" t="s">
        <v>18571</v>
      </c>
      <c r="U108" s="1" t="s">
        <v>7</v>
      </c>
      <c r="V108" s="1" t="s">
        <v>74</v>
      </c>
      <c r="W108" s="1"/>
    </row>
    <row r="109" spans="1:23" x14ac:dyDescent="0.2">
      <c r="A109" s="94" t="s">
        <v>15616</v>
      </c>
      <c r="B109" s="1" t="e">
        <v>#N/A</v>
      </c>
      <c r="C109" s="1" t="e">
        <v>#N/A</v>
      </c>
      <c r="D109" s="1" t="s">
        <v>325</v>
      </c>
      <c r="E109" s="1" t="s">
        <v>326</v>
      </c>
      <c r="F109" s="1" t="e">
        <v>#N/A</v>
      </c>
      <c r="G109" s="1" t="e">
        <v>#N/A</v>
      </c>
      <c r="H109" t="e">
        <v>#N/A</v>
      </c>
      <c r="I109" s="1" t="e">
        <v>#N/A</v>
      </c>
      <c r="J109" s="1" t="e">
        <v>#N/A</v>
      </c>
      <c r="K109" s="1" t="e">
        <v>#N/A</v>
      </c>
      <c r="L109" s="1" t="e">
        <v>#N/A</v>
      </c>
      <c r="M109" s="1" t="e">
        <v>#N/A</v>
      </c>
      <c r="N109" s="1" t="e">
        <v>#N/A</v>
      </c>
      <c r="O109" s="1" t="e">
        <v>#N/A</v>
      </c>
      <c r="P109" s="1" t="e">
        <v>#N/A</v>
      </c>
      <c r="Q109" s="1" t="e">
        <v>#N/A</v>
      </c>
      <c r="R109" s="1">
        <f t="shared" si="34"/>
        <v>10</v>
      </c>
      <c r="S109" s="1" t="str">
        <f t="shared" si="35"/>
        <v>&gt;7</v>
      </c>
      <c r="T109" s="1" t="s">
        <v>20541</v>
      </c>
      <c r="U109" s="1" t="s">
        <v>17</v>
      </c>
      <c r="V109" s="1" t="s">
        <v>46</v>
      </c>
      <c r="W109" s="1"/>
    </row>
    <row r="110" spans="1:23" x14ac:dyDescent="0.2">
      <c r="A110" s="88" t="s">
        <v>15617</v>
      </c>
      <c r="B110" s="1" t="e">
        <v>#N/A</v>
      </c>
      <c r="C110" s="1" t="s">
        <v>12220</v>
      </c>
      <c r="D110" s="1" t="s">
        <v>327</v>
      </c>
      <c r="E110" s="1" t="s">
        <v>328</v>
      </c>
      <c r="F110" s="1" t="s">
        <v>9010</v>
      </c>
      <c r="G110" s="1" t="s">
        <v>8957</v>
      </c>
      <c r="H110" t="s">
        <v>9183</v>
      </c>
      <c r="I110" s="1" t="s">
        <v>9075</v>
      </c>
      <c r="J110" s="1" t="s">
        <v>8971</v>
      </c>
      <c r="K110" s="1" t="s">
        <v>8972</v>
      </c>
      <c r="L110" s="1" t="s">
        <v>8973</v>
      </c>
      <c r="M110" s="1">
        <v>2238</v>
      </c>
      <c r="N110" s="1" t="s">
        <v>9059</v>
      </c>
      <c r="O110" s="1" t="s">
        <v>8954</v>
      </c>
      <c r="P110" s="1" t="s">
        <v>8955</v>
      </c>
      <c r="Q110" s="1" t="s">
        <v>8956</v>
      </c>
      <c r="R110" s="1" t="s">
        <v>8957</v>
      </c>
      <c r="S110" s="1" t="s">
        <v>9103</v>
      </c>
      <c r="T110" s="1" t="s">
        <v>329</v>
      </c>
      <c r="U110" s="1" t="s">
        <v>11</v>
      </c>
      <c r="V110" s="1" t="s">
        <v>126</v>
      </c>
      <c r="W110" s="1"/>
    </row>
    <row r="111" spans="1:23" x14ac:dyDescent="0.2">
      <c r="A111" s="88" t="s">
        <v>15618</v>
      </c>
      <c r="B111" s="1" t="e">
        <v>#N/A</v>
      </c>
      <c r="C111" s="1" t="e">
        <v>#N/A</v>
      </c>
      <c r="D111" s="1" t="s">
        <v>330</v>
      </c>
      <c r="E111" s="1" t="s">
        <v>331</v>
      </c>
      <c r="F111" s="1" t="s">
        <v>12526</v>
      </c>
      <c r="G111" s="1" t="s">
        <v>8959</v>
      </c>
      <c r="H111" t="s">
        <v>8959</v>
      </c>
      <c r="I111" s="1" t="s">
        <v>9092</v>
      </c>
      <c r="J111" s="1" t="s">
        <v>8971</v>
      </c>
      <c r="K111" s="1" t="s">
        <v>20731</v>
      </c>
      <c r="L111" s="1" t="s">
        <v>8987</v>
      </c>
      <c r="M111" s="1">
        <v>1694</v>
      </c>
      <c r="N111" s="1" t="s">
        <v>8953</v>
      </c>
      <c r="O111" s="1" t="s">
        <v>8989</v>
      </c>
      <c r="P111" s="1" t="e">
        <v>#N/A</v>
      </c>
      <c r="Q111" s="1" t="e">
        <v>#N/A</v>
      </c>
      <c r="R111" s="1">
        <f t="shared" ref="R111:R113" si="36">1+LEN(T111)-LEN(SUBSTITUTE(T111,",",))</f>
        <v>7</v>
      </c>
      <c r="S111" s="1" t="str">
        <f t="shared" ref="S111:S113" si="37">IF(R111&gt;4,IF(R111&lt;8,"4-7",IF(R111&gt;7,"&gt;7")),"&lt;4")</f>
        <v>4-7</v>
      </c>
      <c r="T111" s="1" t="s">
        <v>20542</v>
      </c>
      <c r="U111" s="1" t="s">
        <v>17</v>
      </c>
      <c r="V111" s="1" t="s">
        <v>332</v>
      </c>
      <c r="W111" s="1"/>
    </row>
    <row r="112" spans="1:23" x14ac:dyDescent="0.2">
      <c r="A112" s="88" t="s">
        <v>15619</v>
      </c>
      <c r="B112" s="1" t="e">
        <v>#N/A</v>
      </c>
      <c r="C112" s="1" t="e">
        <v>#N/A</v>
      </c>
      <c r="D112" s="1" t="s">
        <v>333</v>
      </c>
      <c r="E112" s="1" t="s">
        <v>334</v>
      </c>
      <c r="F112" s="1" t="s">
        <v>11671</v>
      </c>
      <c r="G112" s="1" t="s">
        <v>8957</v>
      </c>
      <c r="H112" t="s">
        <v>9061</v>
      </c>
      <c r="I112" s="1" t="s">
        <v>20712</v>
      </c>
      <c r="J112" s="1" t="s">
        <v>8959</v>
      </c>
      <c r="K112" s="1" t="s">
        <v>10492</v>
      </c>
      <c r="L112" s="1" t="s">
        <v>8973</v>
      </c>
      <c r="M112" s="1">
        <v>240</v>
      </c>
      <c r="N112" s="1" t="s">
        <v>9059</v>
      </c>
      <c r="O112" s="1" t="s">
        <v>8989</v>
      </c>
      <c r="P112" s="1" t="e">
        <v>#N/A</v>
      </c>
      <c r="Q112" s="1" t="e">
        <v>#N/A</v>
      </c>
      <c r="R112" s="1">
        <f t="shared" si="36"/>
        <v>3</v>
      </c>
      <c r="S112" s="1" t="str">
        <f t="shared" si="37"/>
        <v>&lt;4</v>
      </c>
      <c r="T112" s="1" t="s">
        <v>20543</v>
      </c>
      <c r="U112" s="1" t="s">
        <v>17</v>
      </c>
      <c r="V112" s="1" t="s">
        <v>161</v>
      </c>
      <c r="W112" s="1"/>
    </row>
    <row r="113" spans="1:23" x14ac:dyDescent="0.2">
      <c r="A113" s="88" t="s">
        <v>15620</v>
      </c>
      <c r="B113" s="1" t="e">
        <v>#N/A</v>
      </c>
      <c r="C113" s="1" t="e">
        <v>#N/A</v>
      </c>
      <c r="D113" s="1" t="s">
        <v>335</v>
      </c>
      <c r="E113" s="1" t="s">
        <v>336</v>
      </c>
      <c r="F113" s="1" t="s">
        <v>9465</v>
      </c>
      <c r="G113" s="1" t="s">
        <v>8957</v>
      </c>
      <c r="H113" t="s">
        <v>8959</v>
      </c>
      <c r="I113" s="1" t="s">
        <v>20712</v>
      </c>
      <c r="J113" s="1" t="s">
        <v>9155</v>
      </c>
      <c r="K113" s="1" t="s">
        <v>9036</v>
      </c>
      <c r="L113" s="1" t="s">
        <v>8987</v>
      </c>
      <c r="M113" s="1">
        <v>2485</v>
      </c>
      <c r="N113" s="1" t="s">
        <v>8953</v>
      </c>
      <c r="O113" s="1" t="s">
        <v>8954</v>
      </c>
      <c r="P113" s="1" t="e">
        <v>#N/A</v>
      </c>
      <c r="Q113" s="1" t="e">
        <v>#N/A</v>
      </c>
      <c r="R113" s="1">
        <f t="shared" si="36"/>
        <v>5</v>
      </c>
      <c r="S113" s="1" t="str">
        <f t="shared" si="37"/>
        <v>4-7</v>
      </c>
      <c r="T113" s="1" t="s">
        <v>20544</v>
      </c>
      <c r="U113" s="1" t="s">
        <v>7</v>
      </c>
      <c r="V113" s="1" t="s">
        <v>126</v>
      </c>
      <c r="W113" s="1"/>
    </row>
    <row r="114" spans="1:23" x14ac:dyDescent="0.2">
      <c r="A114" s="88" t="s">
        <v>15621</v>
      </c>
      <c r="B114" s="1" t="e">
        <v>#N/A</v>
      </c>
      <c r="C114" s="1" t="s">
        <v>14671</v>
      </c>
      <c r="D114" s="1" t="s">
        <v>337</v>
      </c>
      <c r="E114" s="1" t="s">
        <v>338</v>
      </c>
      <c r="F114" s="1" t="s">
        <v>10049</v>
      </c>
      <c r="G114" s="1" t="s">
        <v>8957</v>
      </c>
      <c r="H114" t="s">
        <v>8959</v>
      </c>
      <c r="I114" s="1" t="s">
        <v>9605</v>
      </c>
      <c r="J114" s="1" t="s">
        <v>9121</v>
      </c>
      <c r="K114" s="1" t="s">
        <v>14674</v>
      </c>
      <c r="L114" s="1" t="s">
        <v>8973</v>
      </c>
      <c r="M114" s="1">
        <v>324</v>
      </c>
      <c r="N114" s="1" t="s">
        <v>8953</v>
      </c>
      <c r="O114" s="1" t="s">
        <v>8989</v>
      </c>
      <c r="P114" s="1" t="s">
        <v>8955</v>
      </c>
      <c r="Q114" s="1" t="s">
        <v>8956</v>
      </c>
      <c r="R114" s="1" t="s">
        <v>8957</v>
      </c>
      <c r="S114" s="1" t="s">
        <v>8958</v>
      </c>
      <c r="T114" s="1" t="s">
        <v>339</v>
      </c>
      <c r="U114" s="1" t="s">
        <v>7</v>
      </c>
      <c r="V114" s="1" t="s">
        <v>184</v>
      </c>
      <c r="W114" s="1"/>
    </row>
    <row r="115" spans="1:23" x14ac:dyDescent="0.2">
      <c r="A115" s="88" t="s">
        <v>15622</v>
      </c>
      <c r="B115" s="1" t="e">
        <v>#N/A</v>
      </c>
      <c r="C115" s="1" t="e">
        <v>#N/A</v>
      </c>
      <c r="D115" s="1" t="s">
        <v>340</v>
      </c>
      <c r="E115" s="1" t="s">
        <v>341</v>
      </c>
      <c r="F115" s="1" t="s">
        <v>10873</v>
      </c>
      <c r="G115" s="1" t="s">
        <v>8959</v>
      </c>
      <c r="H115" t="s">
        <v>8959</v>
      </c>
      <c r="I115" s="1" t="s">
        <v>9035</v>
      </c>
      <c r="J115" s="1" t="s">
        <v>9155</v>
      </c>
      <c r="K115" s="1" t="s">
        <v>10525</v>
      </c>
      <c r="L115" s="1" t="s">
        <v>21150</v>
      </c>
      <c r="M115" s="1">
        <f>4656+30607+102+275</f>
        <v>35640</v>
      </c>
      <c r="N115" s="1" t="s">
        <v>8953</v>
      </c>
      <c r="O115" s="1" t="s">
        <v>8954</v>
      </c>
      <c r="P115" s="1" t="e">
        <v>#N/A</v>
      </c>
      <c r="Q115" s="1" t="e">
        <v>#N/A</v>
      </c>
      <c r="R115" s="1">
        <f>1+LEN(T115)-LEN(SUBSTITUTE(T115,",",))</f>
        <v>2</v>
      </c>
      <c r="S115" s="1" t="str">
        <f>IF(R115&gt;4,IF(R115&lt;8,"4-7",IF(R115&gt;7,"&gt;7")),"&lt;4")</f>
        <v>&lt;4</v>
      </c>
      <c r="T115" s="1" t="s">
        <v>18572</v>
      </c>
      <c r="U115" s="1" t="s">
        <v>7</v>
      </c>
      <c r="V115" s="1" t="s">
        <v>342</v>
      </c>
      <c r="W115" s="1"/>
    </row>
    <row r="116" spans="1:23" x14ac:dyDescent="0.2">
      <c r="A116" s="88" t="s">
        <v>15623</v>
      </c>
      <c r="B116" s="1" t="e">
        <v>#N/A</v>
      </c>
      <c r="C116" s="1" t="s">
        <v>15179</v>
      </c>
      <c r="D116" s="1" t="s">
        <v>343</v>
      </c>
      <c r="E116" s="1" t="s">
        <v>344</v>
      </c>
      <c r="F116" s="1" t="s">
        <v>10873</v>
      </c>
      <c r="G116" s="1" t="s">
        <v>8957</v>
      </c>
      <c r="H116" t="s">
        <v>9009</v>
      </c>
      <c r="I116" s="1" t="s">
        <v>9035</v>
      </c>
      <c r="J116" s="1" t="s">
        <v>9308</v>
      </c>
      <c r="K116" s="1" t="s">
        <v>9036</v>
      </c>
      <c r="L116" s="1" t="s">
        <v>8987</v>
      </c>
      <c r="M116" s="1">
        <v>486275</v>
      </c>
      <c r="N116" s="1" t="s">
        <v>8953</v>
      </c>
      <c r="O116" s="1" t="s">
        <v>8954</v>
      </c>
      <c r="P116" s="1" t="s">
        <v>8955</v>
      </c>
      <c r="Q116" s="1" t="s">
        <v>8956</v>
      </c>
      <c r="R116" s="1" t="s">
        <v>8957</v>
      </c>
      <c r="S116" s="1" t="s">
        <v>8958</v>
      </c>
      <c r="T116" s="1" t="s">
        <v>345</v>
      </c>
      <c r="U116" s="1" t="s">
        <v>17</v>
      </c>
      <c r="V116" s="1" t="s">
        <v>180</v>
      </c>
      <c r="W116" s="1"/>
    </row>
    <row r="117" spans="1:23" x14ac:dyDescent="0.2">
      <c r="A117" s="88" t="s">
        <v>15624</v>
      </c>
      <c r="B117" s="1" t="e">
        <v>#N/A</v>
      </c>
      <c r="C117" s="1" t="s">
        <v>14269</v>
      </c>
      <c r="D117" s="1" t="s">
        <v>346</v>
      </c>
      <c r="E117" s="1" t="s">
        <v>347</v>
      </c>
      <c r="F117" s="1" t="s">
        <v>10873</v>
      </c>
      <c r="G117" s="1" t="s">
        <v>8957</v>
      </c>
      <c r="H117" t="s">
        <v>8959</v>
      </c>
      <c r="I117" s="1" t="s">
        <v>9049</v>
      </c>
      <c r="J117" s="1" t="s">
        <v>9050</v>
      </c>
      <c r="K117" s="1" t="s">
        <v>9102</v>
      </c>
      <c r="L117" s="1" t="s">
        <v>8973</v>
      </c>
      <c r="M117" s="1">
        <v>1022</v>
      </c>
      <c r="N117" s="1" t="s">
        <v>8953</v>
      </c>
      <c r="O117" s="1" t="s">
        <v>8954</v>
      </c>
      <c r="P117" s="1" t="s">
        <v>8955</v>
      </c>
      <c r="Q117" s="1" t="s">
        <v>8956</v>
      </c>
      <c r="R117" s="1" t="s">
        <v>8957</v>
      </c>
      <c r="S117" s="1" t="s">
        <v>9103</v>
      </c>
      <c r="T117" s="1" t="s">
        <v>348</v>
      </c>
      <c r="U117" s="1" t="s">
        <v>242</v>
      </c>
      <c r="V117" s="1" t="s">
        <v>61</v>
      </c>
      <c r="W117" s="1"/>
    </row>
    <row r="118" spans="1:23" x14ac:dyDescent="0.2">
      <c r="A118" s="88" t="s">
        <v>15625</v>
      </c>
      <c r="B118" s="1" t="e">
        <v>#N/A</v>
      </c>
      <c r="C118" s="1" t="s">
        <v>14404</v>
      </c>
      <c r="D118" s="1" t="s">
        <v>349</v>
      </c>
      <c r="E118" s="1" t="s">
        <v>350</v>
      </c>
      <c r="F118" s="1" t="s">
        <v>9465</v>
      </c>
      <c r="G118" s="1" t="s">
        <v>8957</v>
      </c>
      <c r="H118" t="s">
        <v>9009</v>
      </c>
      <c r="I118" s="1" t="s">
        <v>9035</v>
      </c>
      <c r="J118" s="1" t="s">
        <v>8998</v>
      </c>
      <c r="K118" s="1" t="s">
        <v>9036</v>
      </c>
      <c r="L118" s="1" t="s">
        <v>8987</v>
      </c>
      <c r="M118" s="1">
        <v>35056</v>
      </c>
      <c r="N118" s="1" t="s">
        <v>8953</v>
      </c>
      <c r="O118" s="1" t="s">
        <v>8954</v>
      </c>
      <c r="P118" s="1" t="s">
        <v>8955</v>
      </c>
      <c r="Q118" s="1" t="s">
        <v>8956</v>
      </c>
      <c r="R118" s="1" t="s">
        <v>8957</v>
      </c>
      <c r="S118" s="1" t="s">
        <v>8958</v>
      </c>
      <c r="T118" s="1" t="s">
        <v>351</v>
      </c>
      <c r="U118" s="1" t="s">
        <v>242</v>
      </c>
      <c r="V118" s="1" t="s">
        <v>61</v>
      </c>
      <c r="W118" s="1"/>
    </row>
    <row r="119" spans="1:23" x14ac:dyDescent="0.2">
      <c r="A119" s="89" t="s">
        <v>352</v>
      </c>
      <c r="B119" s="1" t="e">
        <v>#N/A</v>
      </c>
      <c r="C119" s="1" t="e">
        <v>#N/A</v>
      </c>
      <c r="D119" s="1" t="s">
        <v>353</v>
      </c>
      <c r="E119" s="1" t="s">
        <v>354</v>
      </c>
      <c r="F119" s="1" t="e">
        <v>#N/A</v>
      </c>
      <c r="G119" s="1" t="e">
        <v>#N/A</v>
      </c>
      <c r="H119" t="e">
        <v>#N/A</v>
      </c>
      <c r="I119" s="1" t="e">
        <v>#N/A</v>
      </c>
      <c r="J119" s="1" t="e">
        <v>#N/A</v>
      </c>
      <c r="K119" s="1" t="e">
        <v>#N/A</v>
      </c>
      <c r="L119" s="1" t="e">
        <v>#N/A</v>
      </c>
      <c r="M119" s="1" t="e">
        <v>#N/A</v>
      </c>
      <c r="N119" s="1" t="e">
        <v>#N/A</v>
      </c>
      <c r="O119" s="1" t="e">
        <v>#N/A</v>
      </c>
      <c r="P119" s="1" t="e">
        <v>#N/A</v>
      </c>
      <c r="Q119" s="1" t="e">
        <v>#N/A</v>
      </c>
      <c r="R119" s="1">
        <f>1+LEN(T119)-LEN(SUBSTITUTE(T119,",",))</f>
        <v>5</v>
      </c>
      <c r="S119" s="1" t="str">
        <f>IF(R119&gt;4,IF(R119&lt;8,"4-7",IF(R119&gt;7,"&gt;7")),"&lt;4")</f>
        <v>4-7</v>
      </c>
      <c r="T119" s="1" t="s">
        <v>18573</v>
      </c>
      <c r="U119" s="1" t="s">
        <v>17</v>
      </c>
      <c r="V119" s="1" t="s">
        <v>355</v>
      </c>
      <c r="W119" s="1"/>
    </row>
    <row r="120" spans="1:23" x14ac:dyDescent="0.2">
      <c r="A120" s="88" t="s">
        <v>15626</v>
      </c>
      <c r="B120" s="1" t="e">
        <v>#N/A</v>
      </c>
      <c r="C120" s="1" t="s">
        <v>12656</v>
      </c>
      <c r="D120" s="1" t="s">
        <v>356</v>
      </c>
      <c r="E120" s="1" t="s">
        <v>357</v>
      </c>
      <c r="F120" s="1" t="s">
        <v>10873</v>
      </c>
      <c r="G120" s="1" t="s">
        <v>8959</v>
      </c>
      <c r="H120" t="s">
        <v>8959</v>
      </c>
      <c r="I120" s="1" t="s">
        <v>8948</v>
      </c>
      <c r="J120" s="1" t="s">
        <v>12453</v>
      </c>
      <c r="K120" s="1" t="s">
        <v>9036</v>
      </c>
      <c r="L120" s="1" t="s">
        <v>8987</v>
      </c>
      <c r="M120" s="1">
        <v>17</v>
      </c>
      <c r="N120" s="1" t="s">
        <v>9059</v>
      </c>
      <c r="O120" s="1" t="s">
        <v>8989</v>
      </c>
      <c r="P120" s="1" t="s">
        <v>8955</v>
      </c>
      <c r="Q120" s="1" t="s">
        <v>8956</v>
      </c>
      <c r="R120" s="1" t="s">
        <v>8959</v>
      </c>
      <c r="S120" s="1" t="s">
        <v>8958</v>
      </c>
      <c r="T120" s="1" t="s">
        <v>358</v>
      </c>
      <c r="U120" s="1" t="s">
        <v>11</v>
      </c>
      <c r="V120" s="1" t="s">
        <v>359</v>
      </c>
      <c r="W120" s="1"/>
    </row>
    <row r="121" spans="1:23" x14ac:dyDescent="0.2">
      <c r="A121" s="88" t="s">
        <v>15627</v>
      </c>
      <c r="B121" s="1" t="e">
        <v>#N/A</v>
      </c>
      <c r="C121" s="1" t="e">
        <v>#N/A</v>
      </c>
      <c r="D121" s="1" t="s">
        <v>360</v>
      </c>
      <c r="E121" s="1" t="s">
        <v>361</v>
      </c>
      <c r="F121" s="1" t="s">
        <v>9176</v>
      </c>
      <c r="G121" s="1" t="s">
        <v>8959</v>
      </c>
      <c r="H121" t="s">
        <v>8959</v>
      </c>
      <c r="I121" s="1" t="s">
        <v>20714</v>
      </c>
      <c r="J121" s="1" t="s">
        <v>20725</v>
      </c>
      <c r="K121" s="1" t="s">
        <v>10525</v>
      </c>
      <c r="L121" s="1" t="s">
        <v>9076</v>
      </c>
      <c r="M121" s="1">
        <v>32382</v>
      </c>
      <c r="N121" s="1" t="s">
        <v>8953</v>
      </c>
      <c r="O121" s="1" t="s">
        <v>8989</v>
      </c>
      <c r="P121" s="1" t="e">
        <v>#N/A</v>
      </c>
      <c r="Q121" s="1" t="e">
        <v>#N/A</v>
      </c>
      <c r="R121" s="1">
        <f t="shared" ref="R121:R127" si="38">1+LEN(T121)-LEN(SUBSTITUTE(T121,",",))</f>
        <v>3</v>
      </c>
      <c r="S121" s="1" t="str">
        <f t="shared" ref="S121:S127" si="39">IF(R121&gt;4,IF(R121&lt;8,"4-7",IF(R121&gt;7,"&gt;7")),"&lt;4")</f>
        <v>&lt;4</v>
      </c>
      <c r="T121" s="1" t="s">
        <v>18574</v>
      </c>
      <c r="U121" s="1" t="s">
        <v>17</v>
      </c>
      <c r="V121" s="1" t="s">
        <v>110</v>
      </c>
      <c r="W121" s="1"/>
    </row>
    <row r="122" spans="1:23" x14ac:dyDescent="0.2">
      <c r="A122" s="89" t="s">
        <v>362</v>
      </c>
      <c r="B122" s="1" t="e">
        <v>#N/A</v>
      </c>
      <c r="C122" s="1" t="e">
        <v>#N/A</v>
      </c>
      <c r="D122" s="5" t="s">
        <v>363</v>
      </c>
      <c r="E122" s="1" t="s">
        <v>364</v>
      </c>
      <c r="F122" s="1" t="e">
        <v>#N/A</v>
      </c>
      <c r="G122" s="1" t="e">
        <v>#N/A</v>
      </c>
      <c r="H122" t="e">
        <v>#N/A</v>
      </c>
      <c r="I122" s="1" t="e">
        <v>#N/A</v>
      </c>
      <c r="J122" s="1" t="e">
        <v>#N/A</v>
      </c>
      <c r="K122" s="1" t="e">
        <v>#N/A</v>
      </c>
      <c r="L122" s="1" t="e">
        <v>#N/A</v>
      </c>
      <c r="M122" s="1" t="e">
        <v>#N/A</v>
      </c>
      <c r="N122" s="1" t="e">
        <v>#N/A</v>
      </c>
      <c r="O122" s="1" t="e">
        <v>#N/A</v>
      </c>
      <c r="P122" s="1" t="e">
        <v>#N/A</v>
      </c>
      <c r="Q122" s="1" t="e">
        <v>#N/A</v>
      </c>
      <c r="R122" s="1">
        <f t="shared" si="38"/>
        <v>6</v>
      </c>
      <c r="S122" s="1" t="str">
        <f t="shared" si="39"/>
        <v>4-7</v>
      </c>
      <c r="T122" s="1" t="s">
        <v>18575</v>
      </c>
      <c r="U122" s="1" t="s">
        <v>11</v>
      </c>
      <c r="V122" s="1" t="s">
        <v>97</v>
      </c>
      <c r="W122" s="1"/>
    </row>
    <row r="123" spans="1:23" x14ac:dyDescent="0.2">
      <c r="A123" s="88" t="s">
        <v>15628</v>
      </c>
      <c r="B123" s="1" t="e">
        <v>#N/A</v>
      </c>
      <c r="C123" s="1" t="e">
        <v>#N/A</v>
      </c>
      <c r="D123" s="1" t="s">
        <v>365</v>
      </c>
      <c r="E123" s="1" t="s">
        <v>366</v>
      </c>
      <c r="F123" s="1" t="s">
        <v>9333</v>
      </c>
      <c r="G123" s="1" t="s">
        <v>9060</v>
      </c>
      <c r="H123" t="s">
        <v>8959</v>
      </c>
      <c r="I123" s="1" t="s">
        <v>9100</v>
      </c>
      <c r="J123" s="1" t="s">
        <v>8959</v>
      </c>
      <c r="K123" s="1" t="s">
        <v>20732</v>
      </c>
      <c r="L123" s="1" t="s">
        <v>8987</v>
      </c>
      <c r="M123" s="1">
        <f>67+26+140</f>
        <v>233</v>
      </c>
      <c r="N123" s="1" t="s">
        <v>9059</v>
      </c>
      <c r="O123" s="1" t="s">
        <v>8989</v>
      </c>
      <c r="P123" s="1" t="e">
        <v>#N/A</v>
      </c>
      <c r="Q123" s="1" t="e">
        <v>#N/A</v>
      </c>
      <c r="R123" s="1">
        <f t="shared" si="38"/>
        <v>10</v>
      </c>
      <c r="S123" s="1" t="str">
        <f t="shared" si="39"/>
        <v>&gt;7</v>
      </c>
      <c r="T123" s="1" t="s">
        <v>18576</v>
      </c>
      <c r="U123" s="1" t="s">
        <v>17</v>
      </c>
      <c r="V123" s="1" t="s">
        <v>24</v>
      </c>
      <c r="W123" s="1"/>
    </row>
    <row r="124" spans="1:23" x14ac:dyDescent="0.2">
      <c r="A124" s="88" t="s">
        <v>15629</v>
      </c>
      <c r="B124" s="1" t="e">
        <v>#N/A</v>
      </c>
      <c r="C124" s="1" t="e">
        <v>#N/A</v>
      </c>
      <c r="D124" s="1" t="s">
        <v>367</v>
      </c>
      <c r="E124" s="1" t="s">
        <v>368</v>
      </c>
      <c r="F124" s="1" t="s">
        <v>10008</v>
      </c>
      <c r="G124" s="1" t="s">
        <v>8959</v>
      </c>
      <c r="H124" t="s">
        <v>8959</v>
      </c>
      <c r="I124" s="1" t="s">
        <v>9035</v>
      </c>
      <c r="J124" s="1" t="s">
        <v>9308</v>
      </c>
      <c r="K124" s="1" t="s">
        <v>20733</v>
      </c>
      <c r="L124" s="1" t="s">
        <v>8987</v>
      </c>
      <c r="M124" s="1">
        <v>3905</v>
      </c>
      <c r="N124" s="1" t="s">
        <v>8953</v>
      </c>
      <c r="O124" s="1" t="s">
        <v>8954</v>
      </c>
      <c r="P124" s="1" t="e">
        <v>#N/A</v>
      </c>
      <c r="Q124" s="1" t="e">
        <v>#N/A</v>
      </c>
      <c r="R124" s="1">
        <f t="shared" si="38"/>
        <v>3</v>
      </c>
      <c r="S124" s="1" t="str">
        <f t="shared" si="39"/>
        <v>&lt;4</v>
      </c>
      <c r="T124" s="1" t="s">
        <v>18577</v>
      </c>
      <c r="U124" s="1" t="s">
        <v>7</v>
      </c>
      <c r="V124" s="1" t="s">
        <v>369</v>
      </c>
      <c r="W124" s="1"/>
    </row>
    <row r="125" spans="1:23" x14ac:dyDescent="0.2">
      <c r="A125" s="88" t="s">
        <v>15630</v>
      </c>
      <c r="B125" s="1" t="e">
        <v>#N/A</v>
      </c>
      <c r="C125" s="1" t="e">
        <v>#N/A</v>
      </c>
      <c r="D125" s="1" t="s">
        <v>370</v>
      </c>
      <c r="E125" s="1" t="s">
        <v>371</v>
      </c>
      <c r="F125" s="1" t="s">
        <v>10008</v>
      </c>
      <c r="G125" s="1" t="s">
        <v>8959</v>
      </c>
      <c r="H125" t="s">
        <v>8959</v>
      </c>
      <c r="I125" s="1" t="s">
        <v>9035</v>
      </c>
      <c r="J125" s="1" t="s">
        <v>9308</v>
      </c>
      <c r="K125" s="1" t="s">
        <v>20734</v>
      </c>
      <c r="L125" s="1" t="s">
        <v>8951</v>
      </c>
      <c r="M125" s="1">
        <f>1427+224+714+504</f>
        <v>2869</v>
      </c>
      <c r="N125" s="1" t="s">
        <v>8953</v>
      </c>
      <c r="O125" s="1" t="s">
        <v>8954</v>
      </c>
      <c r="P125" s="1" t="e">
        <v>#N/A</v>
      </c>
      <c r="Q125" s="1" t="e">
        <v>#N/A</v>
      </c>
      <c r="R125" s="1">
        <f t="shared" si="38"/>
        <v>2</v>
      </c>
      <c r="S125" s="1" t="str">
        <f t="shared" si="39"/>
        <v>&lt;4</v>
      </c>
      <c r="T125" s="1" t="s">
        <v>18578</v>
      </c>
      <c r="U125" s="1" t="s">
        <v>7</v>
      </c>
      <c r="V125" s="1" t="s">
        <v>372</v>
      </c>
      <c r="W125" s="1"/>
    </row>
    <row r="126" spans="1:23" x14ac:dyDescent="0.2">
      <c r="A126" s="88" t="s">
        <v>15631</v>
      </c>
      <c r="B126" s="1" t="e">
        <v>#N/A</v>
      </c>
      <c r="C126" s="1" t="e">
        <v>#N/A</v>
      </c>
      <c r="D126" s="1" t="s">
        <v>373</v>
      </c>
      <c r="E126" s="1" t="s">
        <v>374</v>
      </c>
      <c r="F126" s="1" t="s">
        <v>10008</v>
      </c>
      <c r="G126" s="1" t="s">
        <v>8959</v>
      </c>
      <c r="H126" t="s">
        <v>8959</v>
      </c>
      <c r="I126" s="1" t="s">
        <v>9154</v>
      </c>
      <c r="J126" s="1" t="s">
        <v>8959</v>
      </c>
      <c r="K126" s="1" t="s">
        <v>10525</v>
      </c>
      <c r="L126" s="1" t="s">
        <v>9464</v>
      </c>
      <c r="M126" s="1">
        <v>216</v>
      </c>
      <c r="N126" s="1" t="s">
        <v>9059</v>
      </c>
      <c r="O126" s="1" t="s">
        <v>8989</v>
      </c>
      <c r="P126" s="1" t="e">
        <v>#N/A</v>
      </c>
      <c r="Q126" s="1" t="e">
        <v>#N/A</v>
      </c>
      <c r="R126" s="1">
        <f t="shared" si="38"/>
        <v>4</v>
      </c>
      <c r="S126" s="1" t="str">
        <f t="shared" si="39"/>
        <v>&lt;4</v>
      </c>
      <c r="T126" s="1" t="s">
        <v>18579</v>
      </c>
      <c r="U126" s="1" t="s">
        <v>7</v>
      </c>
      <c r="V126" s="1" t="s">
        <v>375</v>
      </c>
      <c r="W126" s="1"/>
    </row>
    <row r="127" spans="1:23" x14ac:dyDescent="0.2">
      <c r="A127" s="88" t="s">
        <v>15632</v>
      </c>
      <c r="B127" s="1" t="e">
        <v>#N/A</v>
      </c>
      <c r="C127" s="1" t="e">
        <v>#N/A</v>
      </c>
      <c r="D127" s="1" t="s">
        <v>376</v>
      </c>
      <c r="E127" s="1" t="s">
        <v>377</v>
      </c>
      <c r="F127" s="1" t="s">
        <v>9465</v>
      </c>
      <c r="G127" s="1" t="s">
        <v>8959</v>
      </c>
      <c r="H127" t="s">
        <v>9061</v>
      </c>
      <c r="I127" s="1" t="s">
        <v>20712</v>
      </c>
      <c r="J127" s="1" t="s">
        <v>9155</v>
      </c>
      <c r="K127" s="1" t="e">
        <v>#N/A</v>
      </c>
      <c r="L127" s="1" t="s">
        <v>9464</v>
      </c>
      <c r="M127" s="1">
        <v>25</v>
      </c>
      <c r="N127" s="1" t="s">
        <v>8953</v>
      </c>
      <c r="O127" s="1" t="s">
        <v>8989</v>
      </c>
      <c r="P127" s="1" t="e">
        <v>#N/A</v>
      </c>
      <c r="Q127" s="1" t="e">
        <v>#N/A</v>
      </c>
      <c r="R127" s="1">
        <f t="shared" si="38"/>
        <v>2</v>
      </c>
      <c r="S127" s="1" t="str">
        <f t="shared" si="39"/>
        <v>&lt;4</v>
      </c>
      <c r="T127" s="1" t="s">
        <v>18580</v>
      </c>
      <c r="U127" s="1" t="s">
        <v>7</v>
      </c>
      <c r="V127" s="1" t="s">
        <v>378</v>
      </c>
      <c r="W127" s="1"/>
    </row>
    <row r="128" spans="1:23" x14ac:dyDescent="0.2">
      <c r="A128" s="88" t="s">
        <v>15633</v>
      </c>
      <c r="B128" s="1" t="e">
        <v>#N/A</v>
      </c>
      <c r="C128" s="1" t="s">
        <v>9461</v>
      </c>
      <c r="D128" s="1" t="s">
        <v>379</v>
      </c>
      <c r="E128" s="1" t="s">
        <v>380</v>
      </c>
      <c r="F128" s="1" t="s">
        <v>9465</v>
      </c>
      <c r="G128" s="1" t="s">
        <v>8957</v>
      </c>
      <c r="H128" t="s">
        <v>9061</v>
      </c>
      <c r="I128" s="1" t="s">
        <v>8948</v>
      </c>
      <c r="J128" s="1" t="s">
        <v>9155</v>
      </c>
      <c r="K128" s="1" t="s">
        <v>9051</v>
      </c>
      <c r="L128" s="1" t="s">
        <v>9464</v>
      </c>
      <c r="M128" s="1">
        <v>50</v>
      </c>
      <c r="N128" s="1" t="s">
        <v>9059</v>
      </c>
      <c r="O128" s="1" t="s">
        <v>8989</v>
      </c>
      <c r="P128" s="1" t="s">
        <v>8955</v>
      </c>
      <c r="Q128" s="1" t="s">
        <v>8956</v>
      </c>
      <c r="R128" s="1" t="s">
        <v>8957</v>
      </c>
      <c r="S128" s="1" t="s">
        <v>8958</v>
      </c>
      <c r="T128" s="1" t="s">
        <v>381</v>
      </c>
      <c r="U128" s="1" t="s">
        <v>17</v>
      </c>
      <c r="V128" s="1" t="s">
        <v>382</v>
      </c>
      <c r="W128" s="1"/>
    </row>
    <row r="129" spans="1:23" x14ac:dyDescent="0.2">
      <c r="A129" s="89" t="s">
        <v>383</v>
      </c>
      <c r="B129" s="1" t="e">
        <v>#N/A</v>
      </c>
      <c r="C129" s="1" t="e">
        <v>#N/A</v>
      </c>
      <c r="D129" s="1" t="s">
        <v>384</v>
      </c>
      <c r="E129" s="1" t="s">
        <v>385</v>
      </c>
      <c r="F129" s="1" t="e">
        <v>#N/A</v>
      </c>
      <c r="G129" s="1" t="e">
        <v>#N/A</v>
      </c>
      <c r="H129" t="e">
        <v>#N/A</v>
      </c>
      <c r="I129" s="1" t="e">
        <v>#N/A</v>
      </c>
      <c r="J129" s="1" t="e">
        <v>#N/A</v>
      </c>
      <c r="K129" s="1" t="e">
        <v>#N/A</v>
      </c>
      <c r="L129" s="1" t="e">
        <v>#N/A</v>
      </c>
      <c r="M129" s="1" t="e">
        <v>#N/A</v>
      </c>
      <c r="N129" s="1" t="e">
        <v>#N/A</v>
      </c>
      <c r="O129" s="1" t="e">
        <v>#N/A</v>
      </c>
      <c r="P129" s="1" t="e">
        <v>#N/A</v>
      </c>
      <c r="Q129" s="1" t="e">
        <v>#N/A</v>
      </c>
      <c r="R129" s="1">
        <f t="shared" ref="R129:R131" si="40">1+LEN(T129)-LEN(SUBSTITUTE(T129,",",))</f>
        <v>2</v>
      </c>
      <c r="S129" s="1" t="str">
        <f t="shared" ref="S129:S131" si="41">IF(R129&gt;4,IF(R129&lt;8,"4-7",IF(R129&gt;7,"&gt;7")),"&lt;4")</f>
        <v>&lt;4</v>
      </c>
      <c r="T129" s="1" t="s">
        <v>18581</v>
      </c>
      <c r="U129" s="1" t="s">
        <v>17</v>
      </c>
      <c r="V129" s="1" t="s">
        <v>386</v>
      </c>
      <c r="W129" s="1"/>
    </row>
    <row r="130" spans="1:23" x14ac:dyDescent="0.2">
      <c r="A130" s="88" t="s">
        <v>15634</v>
      </c>
      <c r="B130" s="1" t="e">
        <v>#N/A</v>
      </c>
      <c r="C130" s="1" t="e">
        <v>#N/A</v>
      </c>
      <c r="D130" s="1" t="s">
        <v>387</v>
      </c>
      <c r="E130" s="1" t="s">
        <v>388</v>
      </c>
      <c r="F130" s="1" t="s">
        <v>13950</v>
      </c>
      <c r="G130" s="1" t="s">
        <v>8957</v>
      </c>
      <c r="H130" t="s">
        <v>8959</v>
      </c>
      <c r="I130" s="1" t="s">
        <v>20714</v>
      </c>
      <c r="J130" s="1" t="s">
        <v>9050</v>
      </c>
      <c r="K130" s="1" t="s">
        <v>9036</v>
      </c>
      <c r="L130" s="1" t="s">
        <v>8987</v>
      </c>
      <c r="M130" s="1">
        <f>5776+216+18+35000+55000+1748+413+9939+966</f>
        <v>109076</v>
      </c>
      <c r="N130" s="1" t="s">
        <v>8953</v>
      </c>
      <c r="O130" s="1" t="s">
        <v>8954</v>
      </c>
      <c r="P130" s="1" t="e">
        <v>#N/A</v>
      </c>
      <c r="Q130" s="1" t="e">
        <v>#N/A</v>
      </c>
      <c r="R130" s="1">
        <f t="shared" si="40"/>
        <v>8</v>
      </c>
      <c r="S130" s="1" t="str">
        <f t="shared" si="41"/>
        <v>&gt;7</v>
      </c>
      <c r="T130" s="1" t="s">
        <v>18582</v>
      </c>
      <c r="U130" s="1" t="s">
        <v>7</v>
      </c>
      <c r="V130" s="1" t="s">
        <v>126</v>
      </c>
      <c r="W130" s="1"/>
    </row>
    <row r="131" spans="1:23" x14ac:dyDescent="0.2">
      <c r="A131" s="89" t="s">
        <v>389</v>
      </c>
      <c r="B131" s="1" t="e">
        <v>#N/A</v>
      </c>
      <c r="C131" s="1" t="e">
        <v>#N/A</v>
      </c>
      <c r="D131" s="1" t="s">
        <v>390</v>
      </c>
      <c r="E131" s="1" t="s">
        <v>391</v>
      </c>
      <c r="F131" s="1" t="e">
        <v>#N/A</v>
      </c>
      <c r="G131" s="1" t="e">
        <v>#N/A</v>
      </c>
      <c r="H131" t="e">
        <v>#N/A</v>
      </c>
      <c r="I131" s="1" t="e">
        <v>#N/A</v>
      </c>
      <c r="J131" s="1" t="e">
        <v>#N/A</v>
      </c>
      <c r="K131" s="1" t="e">
        <v>#N/A</v>
      </c>
      <c r="L131" s="1" t="e">
        <v>#N/A</v>
      </c>
      <c r="M131" s="1" t="e">
        <v>#N/A</v>
      </c>
      <c r="N131" s="1" t="e">
        <v>#N/A</v>
      </c>
      <c r="O131" s="1" t="e">
        <v>#N/A</v>
      </c>
      <c r="P131" s="1" t="e">
        <v>#N/A</v>
      </c>
      <c r="Q131" s="1" t="e">
        <v>#N/A</v>
      </c>
      <c r="R131" s="1">
        <f t="shared" si="40"/>
        <v>4</v>
      </c>
      <c r="S131" s="1" t="str">
        <f t="shared" si="41"/>
        <v>&lt;4</v>
      </c>
      <c r="T131" s="1" t="s">
        <v>18583</v>
      </c>
      <c r="U131" s="1" t="s">
        <v>4</v>
      </c>
      <c r="V131" s="1" t="s">
        <v>392</v>
      </c>
      <c r="W131" s="1"/>
    </row>
    <row r="132" spans="1:23" x14ac:dyDescent="0.2">
      <c r="A132" s="88" t="s">
        <v>15635</v>
      </c>
      <c r="B132" s="1" t="e">
        <v>#N/A</v>
      </c>
      <c r="C132" s="1" t="s">
        <v>10242</v>
      </c>
      <c r="D132" s="1" t="s">
        <v>393</v>
      </c>
      <c r="E132" s="1" t="s">
        <v>394</v>
      </c>
      <c r="F132" s="1" t="s">
        <v>9465</v>
      </c>
      <c r="G132" s="1" t="s">
        <v>8974</v>
      </c>
      <c r="H132" t="s">
        <v>8959</v>
      </c>
      <c r="I132" s="1" t="s">
        <v>9049</v>
      </c>
      <c r="J132" s="1" t="s">
        <v>9050</v>
      </c>
      <c r="K132" s="1" t="s">
        <v>18489</v>
      </c>
      <c r="L132" s="1" t="s">
        <v>8951</v>
      </c>
      <c r="M132" s="1">
        <v>30371</v>
      </c>
      <c r="N132" s="1" t="s">
        <v>8953</v>
      </c>
      <c r="O132" s="1" t="s">
        <v>8954</v>
      </c>
      <c r="P132" s="1" t="s">
        <v>8955</v>
      </c>
      <c r="Q132" s="1" t="s">
        <v>8990</v>
      </c>
      <c r="R132" s="1" t="s">
        <v>8974</v>
      </c>
      <c r="S132" s="1" t="s">
        <v>8975</v>
      </c>
      <c r="T132" s="1" t="s">
        <v>395</v>
      </c>
      <c r="U132" s="1" t="s">
        <v>17</v>
      </c>
      <c r="V132" s="1" t="s">
        <v>396</v>
      </c>
      <c r="W132" s="1"/>
    </row>
    <row r="133" spans="1:23" x14ac:dyDescent="0.2">
      <c r="A133" s="88" t="s">
        <v>15636</v>
      </c>
      <c r="B133" s="1" t="e">
        <v>#N/A</v>
      </c>
      <c r="C133" s="1" t="e">
        <v>#N/A</v>
      </c>
      <c r="D133" s="1" t="s">
        <v>397</v>
      </c>
      <c r="E133" s="1" t="s">
        <v>398</v>
      </c>
      <c r="F133" s="1" t="s">
        <v>9968</v>
      </c>
      <c r="G133" s="1" t="s">
        <v>8959</v>
      </c>
      <c r="H133" t="s">
        <v>8959</v>
      </c>
      <c r="I133" s="1" t="s">
        <v>9035</v>
      </c>
      <c r="J133" s="1" t="s">
        <v>8998</v>
      </c>
      <c r="K133" s="1" t="s">
        <v>21223</v>
      </c>
      <c r="L133" s="1" t="s">
        <v>9133</v>
      </c>
      <c r="M133" s="1">
        <v>1020</v>
      </c>
      <c r="N133" s="1" t="s">
        <v>8953</v>
      </c>
      <c r="O133" s="1" t="s">
        <v>8989</v>
      </c>
      <c r="P133" s="1" t="e">
        <v>#N/A</v>
      </c>
      <c r="Q133" s="1" t="e">
        <v>#N/A</v>
      </c>
      <c r="R133" s="1">
        <f>1+LEN(T133)-LEN(SUBSTITUTE(T133,",",))</f>
        <v>5</v>
      </c>
      <c r="S133" s="1" t="str">
        <f>IF(R133&gt;4,IF(R133&lt;8,"4-7",IF(R133&gt;7,"&gt;7")),"&lt;4")</f>
        <v>4-7</v>
      </c>
      <c r="T133" s="1" t="s">
        <v>18584</v>
      </c>
      <c r="U133" s="1" t="s">
        <v>7</v>
      </c>
      <c r="V133" s="1" t="s">
        <v>74</v>
      </c>
      <c r="W133" s="1"/>
    </row>
    <row r="134" spans="1:23" x14ac:dyDescent="0.2">
      <c r="A134" s="88" t="s">
        <v>15637</v>
      </c>
      <c r="B134" s="1" t="e">
        <v>#N/A</v>
      </c>
      <c r="C134" s="1" t="s">
        <v>9731</v>
      </c>
      <c r="D134" s="1" t="s">
        <v>399</v>
      </c>
      <c r="E134" s="1" t="s">
        <v>400</v>
      </c>
      <c r="F134" s="1" t="s">
        <v>9010</v>
      </c>
      <c r="G134" s="1" t="s">
        <v>8974</v>
      </c>
      <c r="H134" t="s">
        <v>8959</v>
      </c>
      <c r="I134" s="1" t="s">
        <v>9035</v>
      </c>
      <c r="J134" s="1" t="s">
        <v>8998</v>
      </c>
      <c r="K134" s="1" t="s">
        <v>9036</v>
      </c>
      <c r="L134" s="1" t="s">
        <v>8951</v>
      </c>
      <c r="M134" s="1">
        <v>7855</v>
      </c>
      <c r="N134" s="1" t="s">
        <v>8953</v>
      </c>
      <c r="O134" s="1" t="s">
        <v>8954</v>
      </c>
      <c r="P134" s="1" t="s">
        <v>9182</v>
      </c>
      <c r="Q134" s="1" t="s">
        <v>8956</v>
      </c>
      <c r="R134" s="1" t="s">
        <v>8974</v>
      </c>
      <c r="S134" s="1" t="s">
        <v>8975</v>
      </c>
      <c r="T134" s="1" t="s">
        <v>401</v>
      </c>
      <c r="U134" s="1" t="s">
        <v>17</v>
      </c>
      <c r="V134" s="1" t="s">
        <v>402</v>
      </c>
      <c r="W134" s="1"/>
    </row>
    <row r="135" spans="1:23" x14ac:dyDescent="0.2">
      <c r="A135" s="88" t="s">
        <v>15638</v>
      </c>
      <c r="B135" s="1" t="e">
        <v>#N/A</v>
      </c>
      <c r="C135" s="1" t="e">
        <v>#N/A</v>
      </c>
      <c r="D135" s="1" t="s">
        <v>403</v>
      </c>
      <c r="E135" s="1" t="s">
        <v>404</v>
      </c>
      <c r="F135" s="1" t="s">
        <v>18502</v>
      </c>
      <c r="G135" s="1" t="s">
        <v>9060</v>
      </c>
      <c r="H135" t="s">
        <v>9061</v>
      </c>
      <c r="I135" s="1" t="s">
        <v>9252</v>
      </c>
      <c r="J135" s="1" t="s">
        <v>9308</v>
      </c>
      <c r="K135" s="1" t="s">
        <v>20735</v>
      </c>
      <c r="L135" s="1" t="s">
        <v>9133</v>
      </c>
      <c r="M135" s="1">
        <v>452</v>
      </c>
      <c r="N135" s="1" t="s">
        <v>8953</v>
      </c>
      <c r="O135" s="1" t="s">
        <v>8989</v>
      </c>
      <c r="P135" s="1" t="e">
        <v>#N/A</v>
      </c>
      <c r="Q135" s="1" t="e">
        <v>#N/A</v>
      </c>
      <c r="R135" s="1">
        <f t="shared" ref="R135:R136" si="42">1+LEN(T135)-LEN(SUBSTITUTE(T135,",",))</f>
        <v>6</v>
      </c>
      <c r="S135" s="1" t="str">
        <f t="shared" ref="S135:S136" si="43">IF(R135&gt;4,IF(R135&lt;8,"4-7",IF(R135&gt;7,"&gt;7")),"&lt;4")</f>
        <v>4-7</v>
      </c>
      <c r="T135" s="1" t="s">
        <v>18585</v>
      </c>
      <c r="U135" s="1" t="s">
        <v>7</v>
      </c>
      <c r="V135" s="1" t="s">
        <v>93</v>
      </c>
      <c r="W135" s="1"/>
    </row>
    <row r="136" spans="1:23" x14ac:dyDescent="0.2">
      <c r="A136" s="88" t="s">
        <v>15639</v>
      </c>
      <c r="B136" s="1" t="e">
        <v>#N/A</v>
      </c>
      <c r="C136" s="1" t="e">
        <v>#N/A</v>
      </c>
      <c r="D136" s="1" t="s">
        <v>405</v>
      </c>
      <c r="E136" s="1" t="s">
        <v>406</v>
      </c>
      <c r="F136" s="1" t="s">
        <v>13950</v>
      </c>
      <c r="G136" s="1" t="s">
        <v>8957</v>
      </c>
      <c r="H136" t="s">
        <v>8959</v>
      </c>
      <c r="I136" s="1" t="s">
        <v>9252</v>
      </c>
      <c r="J136" s="1" t="s">
        <v>9422</v>
      </c>
      <c r="K136" s="1" t="s">
        <v>20737</v>
      </c>
      <c r="L136" s="1" t="s">
        <v>8987</v>
      </c>
      <c r="M136" s="1">
        <v>540</v>
      </c>
      <c r="N136" s="1" t="s">
        <v>8953</v>
      </c>
      <c r="O136" s="1" t="s">
        <v>8954</v>
      </c>
      <c r="P136" s="1" t="e">
        <v>#N/A</v>
      </c>
      <c r="Q136" s="1" t="e">
        <v>#N/A</v>
      </c>
      <c r="R136" s="1">
        <f t="shared" si="42"/>
        <v>36</v>
      </c>
      <c r="S136" s="1" t="str">
        <f t="shared" si="43"/>
        <v>&gt;7</v>
      </c>
      <c r="T136" s="1" t="s">
        <v>20545</v>
      </c>
      <c r="U136" s="1" t="s">
        <v>17</v>
      </c>
      <c r="V136" s="1" t="s">
        <v>126</v>
      </c>
      <c r="W136" s="1"/>
    </row>
    <row r="137" spans="1:23" x14ac:dyDescent="0.2">
      <c r="A137" s="88" t="s">
        <v>15640</v>
      </c>
      <c r="B137" s="1" t="e">
        <v>#N/A</v>
      </c>
      <c r="C137" s="1" t="s">
        <v>14450</v>
      </c>
      <c r="D137" s="1" t="s">
        <v>407</v>
      </c>
      <c r="E137" s="1" t="s">
        <v>408</v>
      </c>
      <c r="F137" s="1" t="s">
        <v>9327</v>
      </c>
      <c r="G137" s="1" t="s">
        <v>8957</v>
      </c>
      <c r="H137" t="s">
        <v>8959</v>
      </c>
      <c r="I137" s="1" t="s">
        <v>9252</v>
      </c>
      <c r="J137" s="1" t="s">
        <v>9253</v>
      </c>
      <c r="K137" s="1" t="s">
        <v>9036</v>
      </c>
      <c r="L137" s="1" t="s">
        <v>8987</v>
      </c>
      <c r="M137" s="1">
        <v>736</v>
      </c>
      <c r="N137" s="1" t="s">
        <v>8953</v>
      </c>
      <c r="O137" s="1" t="s">
        <v>8989</v>
      </c>
      <c r="P137" s="1" t="s">
        <v>8955</v>
      </c>
      <c r="Q137" s="1" t="s">
        <v>8956</v>
      </c>
      <c r="R137" s="1" t="s">
        <v>8957</v>
      </c>
      <c r="S137" s="1" t="s">
        <v>8958</v>
      </c>
      <c r="T137" s="1" t="s">
        <v>409</v>
      </c>
      <c r="U137" s="1" t="s">
        <v>242</v>
      </c>
      <c r="V137" s="1" t="s">
        <v>184</v>
      </c>
      <c r="W137" s="1"/>
    </row>
    <row r="138" spans="1:23" x14ac:dyDescent="0.2">
      <c r="A138" s="88" t="s">
        <v>15641</v>
      </c>
      <c r="B138" s="1" t="e">
        <v>#N/A</v>
      </c>
      <c r="C138" s="1" t="s">
        <v>10732</v>
      </c>
      <c r="D138" s="1" t="s">
        <v>410</v>
      </c>
      <c r="E138" s="1" t="s">
        <v>411</v>
      </c>
      <c r="F138" s="1" t="s">
        <v>9333</v>
      </c>
      <c r="G138" s="1" t="s">
        <v>8959</v>
      </c>
      <c r="H138" t="s">
        <v>9061</v>
      </c>
      <c r="I138" s="1" t="s">
        <v>8948</v>
      </c>
      <c r="J138" s="1" t="s">
        <v>8998</v>
      </c>
      <c r="K138" s="1" t="s">
        <v>9658</v>
      </c>
      <c r="L138" s="1" t="s">
        <v>9133</v>
      </c>
      <c r="M138" s="1">
        <v>441</v>
      </c>
      <c r="N138" s="1" t="s">
        <v>8953</v>
      </c>
      <c r="O138" s="1" t="s">
        <v>8954</v>
      </c>
      <c r="P138" s="1" t="s">
        <v>8955</v>
      </c>
      <c r="Q138" s="1" t="s">
        <v>8956</v>
      </c>
      <c r="R138" s="1" t="s">
        <v>8959</v>
      </c>
      <c r="S138" s="1" t="s">
        <v>8975</v>
      </c>
      <c r="T138" s="1" t="s">
        <v>412</v>
      </c>
      <c r="U138" s="1" t="s">
        <v>17</v>
      </c>
      <c r="V138" s="1" t="s">
        <v>413</v>
      </c>
      <c r="W138" s="1"/>
    </row>
    <row r="139" spans="1:23" x14ac:dyDescent="0.2">
      <c r="A139" s="88" t="s">
        <v>15642</v>
      </c>
      <c r="B139" s="1" t="e">
        <v>#N/A</v>
      </c>
      <c r="C139" s="1" t="e">
        <v>#N/A</v>
      </c>
      <c r="D139" s="1" t="s">
        <v>414</v>
      </c>
      <c r="E139" s="1" t="s">
        <v>415</v>
      </c>
      <c r="F139" s="1" t="s">
        <v>9333</v>
      </c>
      <c r="G139" s="1" t="s">
        <v>8959</v>
      </c>
      <c r="H139" t="s">
        <v>9061</v>
      </c>
      <c r="I139" s="1" t="s">
        <v>8948</v>
      </c>
      <c r="J139" s="1" t="s">
        <v>8998</v>
      </c>
      <c r="K139" s="1" t="s">
        <v>20736</v>
      </c>
      <c r="L139" s="1" t="s">
        <v>9133</v>
      </c>
      <c r="M139" s="1">
        <v>703</v>
      </c>
      <c r="N139" s="1" t="s">
        <v>8953</v>
      </c>
      <c r="O139" s="1" t="s">
        <v>8989</v>
      </c>
      <c r="P139" s="1" t="e">
        <v>#N/A</v>
      </c>
      <c r="Q139" s="1" t="e">
        <v>#N/A</v>
      </c>
      <c r="R139" s="1">
        <f t="shared" ref="R139:R144" si="44">1+LEN(T139)-LEN(SUBSTITUTE(T139,",",))</f>
        <v>10</v>
      </c>
      <c r="S139" s="1" t="str">
        <f t="shared" ref="S139:S144" si="45">IF(R139&gt;4,IF(R139&lt;8,"4-7",IF(R139&gt;7,"&gt;7")),"&lt;4")</f>
        <v>&gt;7</v>
      </c>
      <c r="T139" s="1" t="s">
        <v>18586</v>
      </c>
      <c r="U139" s="1" t="s">
        <v>7</v>
      </c>
      <c r="V139" s="1" t="s">
        <v>416</v>
      </c>
      <c r="W139" s="1"/>
    </row>
    <row r="140" spans="1:23" x14ac:dyDescent="0.2">
      <c r="A140" s="88" t="s">
        <v>15643</v>
      </c>
      <c r="B140" s="1" t="e">
        <v>#N/A</v>
      </c>
      <c r="C140" s="1" t="e">
        <v>#N/A</v>
      </c>
      <c r="D140" s="1" t="s">
        <v>417</v>
      </c>
      <c r="E140" s="1" t="s">
        <v>418</v>
      </c>
      <c r="F140" s="1" t="s">
        <v>9333</v>
      </c>
      <c r="G140" s="1" t="s">
        <v>8959</v>
      </c>
      <c r="H140" t="s">
        <v>9061</v>
      </c>
      <c r="I140" s="1" t="s">
        <v>8948</v>
      </c>
      <c r="J140" s="1" t="s">
        <v>9308</v>
      </c>
      <c r="K140" s="1" t="s">
        <v>21204</v>
      </c>
      <c r="L140" s="1" t="s">
        <v>8987</v>
      </c>
      <c r="M140" s="1">
        <v>210</v>
      </c>
      <c r="N140" s="1" t="s">
        <v>8953</v>
      </c>
      <c r="O140" s="1" t="s">
        <v>8989</v>
      </c>
      <c r="P140" s="1" t="e">
        <v>#N/A</v>
      </c>
      <c r="Q140" s="1" t="e">
        <v>#N/A</v>
      </c>
      <c r="R140" s="1">
        <f t="shared" si="44"/>
        <v>11</v>
      </c>
      <c r="S140" s="1" t="str">
        <f t="shared" si="45"/>
        <v>&gt;7</v>
      </c>
      <c r="T140" s="1" t="s">
        <v>18587</v>
      </c>
      <c r="U140" s="1" t="s">
        <v>17</v>
      </c>
      <c r="V140" s="1" t="s">
        <v>413</v>
      </c>
      <c r="W140" s="1"/>
    </row>
    <row r="141" spans="1:23" x14ac:dyDescent="0.2">
      <c r="A141" s="88" t="s">
        <v>15644</v>
      </c>
      <c r="B141" s="1" t="e">
        <v>#N/A</v>
      </c>
      <c r="C141" s="1" t="e">
        <v>#N/A</v>
      </c>
      <c r="D141" s="1" t="s">
        <v>419</v>
      </c>
      <c r="E141" s="1" t="s">
        <v>420</v>
      </c>
      <c r="F141" s="1" t="s">
        <v>9317</v>
      </c>
      <c r="G141" s="1" t="s">
        <v>8959</v>
      </c>
      <c r="H141" t="s">
        <v>9061</v>
      </c>
      <c r="I141" s="1" t="s">
        <v>8948</v>
      </c>
      <c r="J141" s="1" t="s">
        <v>9725</v>
      </c>
      <c r="K141" s="1" t="s">
        <v>18491</v>
      </c>
      <c r="L141" s="1" t="s">
        <v>9464</v>
      </c>
      <c r="M141" s="1">
        <v>90</v>
      </c>
      <c r="N141" s="1" t="s">
        <v>9059</v>
      </c>
      <c r="O141" s="1" t="s">
        <v>8989</v>
      </c>
      <c r="P141" s="1" t="e">
        <v>#N/A</v>
      </c>
      <c r="Q141" s="1" t="e">
        <v>#N/A</v>
      </c>
      <c r="R141" s="1">
        <f t="shared" si="44"/>
        <v>7</v>
      </c>
      <c r="S141" s="1" t="str">
        <f t="shared" si="45"/>
        <v>4-7</v>
      </c>
      <c r="T141" s="1" t="s">
        <v>18588</v>
      </c>
      <c r="U141" s="1" t="s">
        <v>17</v>
      </c>
      <c r="V141" s="1" t="s">
        <v>375</v>
      </c>
      <c r="W141" s="1"/>
    </row>
    <row r="142" spans="1:23" x14ac:dyDescent="0.2">
      <c r="A142" s="89" t="s">
        <v>421</v>
      </c>
      <c r="B142" s="1" t="e">
        <v>#N/A</v>
      </c>
      <c r="C142" s="1" t="e">
        <v>#N/A</v>
      </c>
      <c r="D142" s="5" t="s">
        <v>422</v>
      </c>
      <c r="E142" s="1" t="s">
        <v>423</v>
      </c>
      <c r="F142" s="1" t="e">
        <v>#N/A</v>
      </c>
      <c r="G142" s="1" t="e">
        <v>#N/A</v>
      </c>
      <c r="H142" t="e">
        <v>#N/A</v>
      </c>
      <c r="I142" s="1" t="e">
        <v>#N/A</v>
      </c>
      <c r="J142" s="1" t="e">
        <v>#N/A</v>
      </c>
      <c r="K142" s="1" t="e">
        <v>#N/A</v>
      </c>
      <c r="L142" s="1" t="e">
        <v>#N/A</v>
      </c>
      <c r="M142" s="1" t="e">
        <v>#N/A</v>
      </c>
      <c r="N142" s="1" t="e">
        <v>#N/A</v>
      </c>
      <c r="O142" s="1" t="e">
        <v>#N/A</v>
      </c>
      <c r="P142" s="1" t="e">
        <v>#N/A</v>
      </c>
      <c r="Q142" s="1" t="e">
        <v>#N/A</v>
      </c>
      <c r="R142" s="1">
        <f t="shared" si="44"/>
        <v>9</v>
      </c>
      <c r="S142" s="1" t="str">
        <f t="shared" si="45"/>
        <v>&gt;7</v>
      </c>
      <c r="T142" s="1" t="s">
        <v>18589</v>
      </c>
      <c r="U142" s="1" t="s">
        <v>17</v>
      </c>
      <c r="V142" s="1" t="s">
        <v>424</v>
      </c>
      <c r="W142" s="1"/>
    </row>
    <row r="143" spans="1:23" x14ac:dyDescent="0.2">
      <c r="A143" s="88" t="s">
        <v>15645</v>
      </c>
      <c r="B143" s="1" t="e">
        <v>#N/A</v>
      </c>
      <c r="C143" s="1" t="e">
        <v>#N/A</v>
      </c>
      <c r="D143" s="1" t="s">
        <v>425</v>
      </c>
      <c r="E143" s="1" t="s">
        <v>426</v>
      </c>
      <c r="F143" s="1" t="s">
        <v>9815</v>
      </c>
      <c r="G143" s="1" t="s">
        <v>8957</v>
      </c>
      <c r="H143" t="s">
        <v>8959</v>
      </c>
      <c r="I143" s="1" t="s">
        <v>9252</v>
      </c>
      <c r="J143" s="1" t="s">
        <v>18504</v>
      </c>
      <c r="K143" s="77" t="s">
        <v>20738</v>
      </c>
      <c r="L143" s="1" t="s">
        <v>8987</v>
      </c>
      <c r="M143" s="1">
        <v>1318</v>
      </c>
      <c r="N143" s="1" t="s">
        <v>8953</v>
      </c>
      <c r="O143" s="1" t="s">
        <v>8954</v>
      </c>
      <c r="P143" s="1" t="e">
        <v>#N/A</v>
      </c>
      <c r="Q143" s="1" t="e">
        <v>#N/A</v>
      </c>
      <c r="R143" s="1">
        <f t="shared" si="44"/>
        <v>3</v>
      </c>
      <c r="S143" s="1" t="str">
        <f t="shared" si="45"/>
        <v>&lt;4</v>
      </c>
      <c r="T143" s="1" t="s">
        <v>18590</v>
      </c>
      <c r="U143" s="1" t="s">
        <v>7</v>
      </c>
      <c r="V143" s="1" t="s">
        <v>5</v>
      </c>
      <c r="W143" s="1"/>
    </row>
    <row r="144" spans="1:23" x14ac:dyDescent="0.2">
      <c r="A144" s="89" t="s">
        <v>427</v>
      </c>
      <c r="B144" s="1" t="e">
        <v>#N/A</v>
      </c>
      <c r="C144" s="1" t="e">
        <v>#N/A</v>
      </c>
      <c r="D144" s="1" t="s">
        <v>428</v>
      </c>
      <c r="E144" s="1" t="s">
        <v>429</v>
      </c>
      <c r="F144" s="1" t="e">
        <v>#N/A</v>
      </c>
      <c r="G144" s="1" t="e">
        <v>#N/A</v>
      </c>
      <c r="H144" t="e">
        <v>#N/A</v>
      </c>
      <c r="I144" s="1" t="e">
        <v>#N/A</v>
      </c>
      <c r="J144" s="1" t="e">
        <v>#N/A</v>
      </c>
      <c r="K144" s="1" t="e">
        <v>#N/A</v>
      </c>
      <c r="L144" s="1" t="e">
        <v>#N/A</v>
      </c>
      <c r="M144" s="1" t="e">
        <v>#N/A</v>
      </c>
      <c r="N144" s="1" t="e">
        <v>#N/A</v>
      </c>
      <c r="O144" s="1" t="e">
        <v>#N/A</v>
      </c>
      <c r="P144" s="1" t="e">
        <v>#N/A</v>
      </c>
      <c r="Q144" s="1" t="e">
        <v>#N/A</v>
      </c>
      <c r="R144" s="1">
        <f t="shared" si="44"/>
        <v>2</v>
      </c>
      <c r="S144" s="1" t="str">
        <f t="shared" si="45"/>
        <v>&lt;4</v>
      </c>
      <c r="T144" s="1" t="s">
        <v>18591</v>
      </c>
      <c r="U144" s="1" t="s">
        <v>7</v>
      </c>
      <c r="V144" s="1" t="s">
        <v>430</v>
      </c>
      <c r="W144" s="1"/>
    </row>
    <row r="145" spans="1:23" x14ac:dyDescent="0.2">
      <c r="A145" s="88" t="s">
        <v>15646</v>
      </c>
      <c r="B145" s="1" t="e">
        <v>#N/A</v>
      </c>
      <c r="C145" s="1" t="s">
        <v>9209</v>
      </c>
      <c r="D145" s="1" t="s">
        <v>431</v>
      </c>
      <c r="E145" s="1" t="s">
        <v>432</v>
      </c>
      <c r="F145" s="1" t="s">
        <v>9213</v>
      </c>
      <c r="G145" s="1" t="s">
        <v>8957</v>
      </c>
      <c r="H145" t="s">
        <v>8959</v>
      </c>
      <c r="I145" s="1" t="s">
        <v>9049</v>
      </c>
      <c r="J145" s="1" t="s">
        <v>9050</v>
      </c>
      <c r="K145" s="1" t="s">
        <v>9212</v>
      </c>
      <c r="L145" s="1" t="s">
        <v>9133</v>
      </c>
      <c r="M145" s="1">
        <v>40</v>
      </c>
      <c r="N145" s="1" t="s">
        <v>8953</v>
      </c>
      <c r="O145" s="1" t="s">
        <v>8954</v>
      </c>
      <c r="P145" s="1" t="s">
        <v>8955</v>
      </c>
      <c r="Q145" s="1" t="s">
        <v>8990</v>
      </c>
      <c r="R145" s="1" t="s">
        <v>8957</v>
      </c>
      <c r="S145" s="1" t="s">
        <v>8958</v>
      </c>
      <c r="T145" s="1" t="s">
        <v>433</v>
      </c>
      <c r="U145" s="1" t="s">
        <v>17</v>
      </c>
      <c r="V145" s="1" t="s">
        <v>434</v>
      </c>
      <c r="W145" s="1"/>
    </row>
    <row r="146" spans="1:23" x14ac:dyDescent="0.2">
      <c r="A146" s="88" t="s">
        <v>15647</v>
      </c>
      <c r="B146" s="1" t="e">
        <v>#N/A</v>
      </c>
      <c r="C146" s="1" t="e">
        <v>#N/A</v>
      </c>
      <c r="D146" s="1" t="s">
        <v>435</v>
      </c>
      <c r="E146" s="1" t="s">
        <v>436</v>
      </c>
      <c r="F146" s="1" t="s">
        <v>9968</v>
      </c>
      <c r="G146" s="1" t="e">
        <v>#N/A</v>
      </c>
      <c r="H146" t="s">
        <v>8959</v>
      </c>
      <c r="I146" s="1" t="s">
        <v>9173</v>
      </c>
      <c r="J146" s="1" t="e">
        <v>#N/A</v>
      </c>
      <c r="K146" s="1" t="e">
        <v>#N/A</v>
      </c>
      <c r="L146" s="1" t="s">
        <v>9464</v>
      </c>
      <c r="M146" s="1" t="e">
        <v>#N/A</v>
      </c>
      <c r="N146" s="1" t="e">
        <v>#N/A</v>
      </c>
      <c r="O146" s="1" t="e">
        <v>#N/A</v>
      </c>
      <c r="P146" s="1" t="e">
        <v>#N/A</v>
      </c>
      <c r="Q146" s="1" t="e">
        <v>#N/A</v>
      </c>
      <c r="R146" s="1">
        <f>1+LEN(T146)-LEN(SUBSTITUTE(T146,",",))</f>
        <v>3</v>
      </c>
      <c r="S146" s="1" t="str">
        <f>IF(R146&gt;4,IF(R146&lt;8,"4-7",IF(R146&gt;7,"&gt;7")),"&lt;4")</f>
        <v>&lt;4</v>
      </c>
      <c r="T146" s="1" t="s">
        <v>18592</v>
      </c>
      <c r="U146" s="1" t="s">
        <v>7</v>
      </c>
      <c r="V146" s="1" t="s">
        <v>107</v>
      </c>
      <c r="W146" s="1"/>
    </row>
    <row r="147" spans="1:23" x14ac:dyDescent="0.2">
      <c r="A147" s="88" t="s">
        <v>15648</v>
      </c>
      <c r="B147" s="1" t="e">
        <v>#N/A</v>
      </c>
      <c r="C147" s="1" t="s">
        <v>15037</v>
      </c>
      <c r="D147" s="1" t="s">
        <v>437</v>
      </c>
      <c r="E147" s="1" t="s">
        <v>438</v>
      </c>
      <c r="F147" s="1" t="s">
        <v>9010</v>
      </c>
      <c r="G147" s="1" t="s">
        <v>8957</v>
      </c>
      <c r="H147" t="s">
        <v>8959</v>
      </c>
      <c r="I147" s="1" t="s">
        <v>9092</v>
      </c>
      <c r="J147" s="1" t="s">
        <v>8985</v>
      </c>
      <c r="K147" s="1" t="s">
        <v>21246</v>
      </c>
      <c r="L147" s="1" t="s">
        <v>9292</v>
      </c>
      <c r="M147" s="1">
        <v>942</v>
      </c>
      <c r="N147" s="1" t="s">
        <v>8953</v>
      </c>
      <c r="O147" s="1" t="s">
        <v>8989</v>
      </c>
      <c r="P147" s="1" t="s">
        <v>8955</v>
      </c>
      <c r="Q147" s="1" t="s">
        <v>8956</v>
      </c>
      <c r="R147" s="1" t="s">
        <v>8957</v>
      </c>
      <c r="S147" s="1" t="s">
        <v>8975</v>
      </c>
      <c r="T147" s="1" t="s">
        <v>439</v>
      </c>
      <c r="U147" s="1" t="s">
        <v>17</v>
      </c>
      <c r="V147" s="1" t="s">
        <v>110</v>
      </c>
      <c r="W147" s="1"/>
    </row>
    <row r="148" spans="1:23" x14ac:dyDescent="0.2">
      <c r="A148" s="88" t="s">
        <v>15649</v>
      </c>
      <c r="B148" s="1" t="e">
        <v>#N/A</v>
      </c>
      <c r="C148" s="1" t="s">
        <v>15312</v>
      </c>
      <c r="D148" s="1" t="s">
        <v>440</v>
      </c>
      <c r="E148" s="1" t="s">
        <v>441</v>
      </c>
      <c r="F148" s="1" t="s">
        <v>9333</v>
      </c>
      <c r="G148" s="1" t="s">
        <v>8957</v>
      </c>
      <c r="H148" t="s">
        <v>9183</v>
      </c>
      <c r="I148" s="1" t="s">
        <v>9049</v>
      </c>
      <c r="J148" s="1" t="s">
        <v>9325</v>
      </c>
      <c r="K148" s="1" t="s">
        <v>9036</v>
      </c>
      <c r="L148" s="1" t="s">
        <v>9133</v>
      </c>
      <c r="M148" s="1">
        <v>4216</v>
      </c>
      <c r="N148" s="1" t="s">
        <v>8953</v>
      </c>
      <c r="O148" s="1" t="s">
        <v>8954</v>
      </c>
      <c r="P148" s="1" t="s">
        <v>9182</v>
      </c>
      <c r="Q148" s="1" t="s">
        <v>8956</v>
      </c>
      <c r="R148" s="1" t="s">
        <v>8957</v>
      </c>
      <c r="S148" s="1" t="s">
        <v>8975</v>
      </c>
      <c r="T148" s="1" t="s">
        <v>442</v>
      </c>
      <c r="U148" s="1" t="s">
        <v>17</v>
      </c>
      <c r="V148" s="1" t="s">
        <v>443</v>
      </c>
      <c r="W148" s="1"/>
    </row>
    <row r="149" spans="1:23" x14ac:dyDescent="0.2">
      <c r="A149" s="88" t="s">
        <v>15650</v>
      </c>
      <c r="B149" s="1" t="e">
        <v>#N/A</v>
      </c>
      <c r="C149" s="1" t="s">
        <v>14350</v>
      </c>
      <c r="D149" s="1" t="s">
        <v>444</v>
      </c>
      <c r="E149" s="1" t="s">
        <v>445</v>
      </c>
      <c r="F149" s="1" t="s">
        <v>9333</v>
      </c>
      <c r="G149" s="1" t="s">
        <v>8957</v>
      </c>
      <c r="H149" t="s">
        <v>9009</v>
      </c>
      <c r="I149" s="1" t="s">
        <v>9049</v>
      </c>
      <c r="J149" s="1" t="s">
        <v>9121</v>
      </c>
      <c r="K149" s="1" t="s">
        <v>14353</v>
      </c>
      <c r="L149" s="1" t="s">
        <v>8951</v>
      </c>
      <c r="M149" s="1">
        <v>171</v>
      </c>
      <c r="N149" s="1" t="s">
        <v>9059</v>
      </c>
      <c r="O149" s="1" t="s">
        <v>8989</v>
      </c>
      <c r="P149" s="1" t="s">
        <v>8955</v>
      </c>
      <c r="Q149" s="1" t="s">
        <v>8956</v>
      </c>
      <c r="R149" s="1" t="s">
        <v>8957</v>
      </c>
      <c r="S149" s="1" t="s">
        <v>8958</v>
      </c>
      <c r="T149" s="1" t="s">
        <v>446</v>
      </c>
      <c r="U149" s="1" t="s">
        <v>242</v>
      </c>
      <c r="V149" s="1" t="s">
        <v>447</v>
      </c>
      <c r="W149" s="1"/>
    </row>
    <row r="150" spans="1:23" x14ac:dyDescent="0.2">
      <c r="A150" s="89" t="s">
        <v>448</v>
      </c>
      <c r="B150" s="1" t="e">
        <v>#N/A</v>
      </c>
      <c r="C150" s="1" t="e">
        <v>#N/A</v>
      </c>
      <c r="D150" s="1" t="s">
        <v>449</v>
      </c>
      <c r="E150" s="1" t="s">
        <v>450</v>
      </c>
      <c r="F150" s="1" t="e">
        <v>#N/A</v>
      </c>
      <c r="G150" s="1" t="e">
        <v>#N/A</v>
      </c>
      <c r="H150" t="e">
        <v>#N/A</v>
      </c>
      <c r="I150" s="1" t="e">
        <v>#N/A</v>
      </c>
      <c r="J150" s="1" t="e">
        <v>#N/A</v>
      </c>
      <c r="K150" s="1" t="e">
        <v>#N/A</v>
      </c>
      <c r="L150" s="1" t="e">
        <v>#N/A</v>
      </c>
      <c r="M150" s="1" t="e">
        <v>#N/A</v>
      </c>
      <c r="N150" s="1" t="e">
        <v>#N/A</v>
      </c>
      <c r="O150" s="1" t="e">
        <v>#N/A</v>
      </c>
      <c r="P150" s="1" t="e">
        <v>#N/A</v>
      </c>
      <c r="Q150" s="1" t="e">
        <v>#N/A</v>
      </c>
      <c r="R150" s="1">
        <f t="shared" ref="R150:R162" si="46">1+LEN(T150)-LEN(SUBSTITUTE(T150,",",))</f>
        <v>4</v>
      </c>
      <c r="S150" s="1" t="str">
        <f t="shared" ref="S150:S162" si="47">IF(R150&gt;4,IF(R150&lt;8,"4-7",IF(R150&gt;7,"&gt;7")),"&lt;4")</f>
        <v>&lt;4</v>
      </c>
      <c r="T150" s="1" t="s">
        <v>18593</v>
      </c>
      <c r="U150" s="1" t="s">
        <v>17</v>
      </c>
      <c r="V150" s="1" t="s">
        <v>8</v>
      </c>
      <c r="W150" s="1"/>
    </row>
    <row r="151" spans="1:23" x14ac:dyDescent="0.2">
      <c r="A151" s="88" t="s">
        <v>15651</v>
      </c>
      <c r="B151" s="1" t="e">
        <v>#N/A</v>
      </c>
      <c r="C151" s="1" t="e">
        <v>#N/A</v>
      </c>
      <c r="D151" s="1" t="s">
        <v>451</v>
      </c>
      <c r="E151" s="1" t="s">
        <v>452</v>
      </c>
      <c r="F151" s="1" t="s">
        <v>18502</v>
      </c>
      <c r="G151" s="1" t="s">
        <v>9060</v>
      </c>
      <c r="H151" t="s">
        <v>9061</v>
      </c>
      <c r="I151" s="1" t="s">
        <v>9154</v>
      </c>
      <c r="J151" s="1" t="s">
        <v>8949</v>
      </c>
      <c r="K151" s="1" t="s">
        <v>9036</v>
      </c>
      <c r="L151" s="1" t="s">
        <v>9464</v>
      </c>
      <c r="M151" s="1">
        <v>4036</v>
      </c>
      <c r="N151" s="1" t="s">
        <v>8953</v>
      </c>
      <c r="O151" s="1" t="s">
        <v>8954</v>
      </c>
      <c r="P151" s="1" t="e">
        <v>#N/A</v>
      </c>
      <c r="Q151" s="1" t="e">
        <v>#N/A</v>
      </c>
      <c r="R151" s="1">
        <f t="shared" si="46"/>
        <v>4</v>
      </c>
      <c r="S151" s="1" t="str">
        <f t="shared" si="47"/>
        <v>&lt;4</v>
      </c>
      <c r="T151" s="1" t="s">
        <v>18594</v>
      </c>
      <c r="U151" s="1" t="s">
        <v>17</v>
      </c>
      <c r="V151" s="1" t="s">
        <v>392</v>
      </c>
      <c r="W151" s="1"/>
    </row>
    <row r="152" spans="1:23" x14ac:dyDescent="0.2">
      <c r="A152" s="89" t="s">
        <v>453</v>
      </c>
      <c r="B152" s="1" t="e">
        <v>#N/A</v>
      </c>
      <c r="C152" s="1" t="e">
        <v>#N/A</v>
      </c>
      <c r="D152" s="1" t="s">
        <v>454</v>
      </c>
      <c r="E152" s="1" t="s">
        <v>455</v>
      </c>
      <c r="F152" s="1" t="e">
        <v>#N/A</v>
      </c>
      <c r="G152" s="1" t="e">
        <v>#N/A</v>
      </c>
      <c r="H152" t="e">
        <v>#N/A</v>
      </c>
      <c r="I152" s="1" t="e">
        <v>#N/A</v>
      </c>
      <c r="J152" s="1" t="e">
        <v>#N/A</v>
      </c>
      <c r="K152" s="1" t="e">
        <v>#N/A</v>
      </c>
      <c r="L152" s="1" t="e">
        <v>#N/A</v>
      </c>
      <c r="M152" s="1" t="e">
        <v>#N/A</v>
      </c>
      <c r="N152" s="1" t="e">
        <v>#N/A</v>
      </c>
      <c r="O152" s="1" t="e">
        <v>#N/A</v>
      </c>
      <c r="P152" s="1" t="e">
        <v>#N/A</v>
      </c>
      <c r="Q152" s="1" t="e">
        <v>#N/A</v>
      </c>
      <c r="R152" s="1">
        <f t="shared" si="46"/>
        <v>4</v>
      </c>
      <c r="S152" s="1" t="str">
        <f t="shared" si="47"/>
        <v>&lt;4</v>
      </c>
      <c r="T152" s="1" t="s">
        <v>18595</v>
      </c>
      <c r="U152" s="1" t="s">
        <v>7</v>
      </c>
      <c r="V152" s="1" t="s">
        <v>456</v>
      </c>
      <c r="W152" s="1"/>
    </row>
    <row r="153" spans="1:23" x14ac:dyDescent="0.2">
      <c r="A153" s="88" t="s">
        <v>15652</v>
      </c>
      <c r="B153" s="1" t="e">
        <v>#N/A</v>
      </c>
      <c r="C153" s="1" t="e">
        <v>#N/A</v>
      </c>
      <c r="D153" s="1" t="s">
        <v>457</v>
      </c>
      <c r="E153" s="1" t="s">
        <v>458</v>
      </c>
      <c r="F153" s="1" t="s">
        <v>9642</v>
      </c>
      <c r="G153" s="1" t="s">
        <v>8959</v>
      </c>
      <c r="H153" t="s">
        <v>8959</v>
      </c>
      <c r="I153" s="1" t="s">
        <v>9154</v>
      </c>
      <c r="J153" s="1" t="s">
        <v>8998</v>
      </c>
      <c r="K153" s="1" t="s">
        <v>20740</v>
      </c>
      <c r="L153" s="1" t="s">
        <v>8951</v>
      </c>
      <c r="M153" s="1">
        <v>71</v>
      </c>
      <c r="N153" s="1" t="s">
        <v>9059</v>
      </c>
      <c r="O153" s="1" t="s">
        <v>8954</v>
      </c>
      <c r="P153" s="1" t="e">
        <v>#N/A</v>
      </c>
      <c r="Q153" s="1" t="e">
        <v>#N/A</v>
      </c>
      <c r="R153" s="1">
        <f t="shared" si="46"/>
        <v>4</v>
      </c>
      <c r="S153" s="1" t="str">
        <f t="shared" si="47"/>
        <v>&lt;4</v>
      </c>
      <c r="T153" s="1" t="s">
        <v>18596</v>
      </c>
      <c r="U153" s="1" t="s">
        <v>17</v>
      </c>
      <c r="V153" s="1" t="s">
        <v>459</v>
      </c>
      <c r="W153" s="1"/>
    </row>
    <row r="154" spans="1:23" x14ac:dyDescent="0.2">
      <c r="A154" s="88" t="s">
        <v>15653</v>
      </c>
      <c r="B154" s="1" t="e">
        <v>#N/A</v>
      </c>
      <c r="C154" s="1" t="e">
        <v>#N/A</v>
      </c>
      <c r="D154" s="1" t="s">
        <v>460</v>
      </c>
      <c r="E154" s="1" t="s">
        <v>461</v>
      </c>
      <c r="F154" s="1" t="s">
        <v>9642</v>
      </c>
      <c r="G154" s="1" t="s">
        <v>8957</v>
      </c>
      <c r="H154" t="s">
        <v>8959</v>
      </c>
      <c r="I154" s="1" t="s">
        <v>9154</v>
      </c>
      <c r="J154" s="1" t="s">
        <v>8998</v>
      </c>
      <c r="K154" s="1" t="s">
        <v>10492</v>
      </c>
      <c r="L154" s="1" t="s">
        <v>20739</v>
      </c>
      <c r="M154" s="1">
        <f>355+118</f>
        <v>473</v>
      </c>
      <c r="N154" s="1" t="s">
        <v>9059</v>
      </c>
      <c r="O154" s="1" t="s">
        <v>8954</v>
      </c>
      <c r="P154" s="1" t="e">
        <v>#N/A</v>
      </c>
      <c r="Q154" s="1" t="e">
        <v>#N/A</v>
      </c>
      <c r="R154" s="1">
        <f t="shared" si="46"/>
        <v>7</v>
      </c>
      <c r="S154" s="1" t="str">
        <f t="shared" si="47"/>
        <v>4-7</v>
      </c>
      <c r="T154" s="1" t="s">
        <v>18597</v>
      </c>
      <c r="U154" s="1" t="s">
        <v>17</v>
      </c>
      <c r="V154" s="1" t="s">
        <v>462</v>
      </c>
      <c r="W154" s="1"/>
    </row>
    <row r="155" spans="1:23" x14ac:dyDescent="0.2">
      <c r="A155" s="88" t="s">
        <v>15654</v>
      </c>
      <c r="B155" s="1" t="e">
        <v>#N/A</v>
      </c>
      <c r="C155" s="1" t="e">
        <v>#N/A</v>
      </c>
      <c r="D155" s="1" t="s">
        <v>463</v>
      </c>
      <c r="E155" s="1" t="s">
        <v>464</v>
      </c>
      <c r="F155" s="1" t="s">
        <v>9642</v>
      </c>
      <c r="G155" s="1" t="s">
        <v>8959</v>
      </c>
      <c r="H155" t="s">
        <v>8959</v>
      </c>
      <c r="I155" s="1" t="s">
        <v>9154</v>
      </c>
      <c r="J155" s="1" t="s">
        <v>8998</v>
      </c>
      <c r="K155" s="1" t="s">
        <v>20740</v>
      </c>
      <c r="L155" s="1" t="s">
        <v>8951</v>
      </c>
      <c r="M155" s="1">
        <v>444</v>
      </c>
      <c r="N155" s="1" t="s">
        <v>9059</v>
      </c>
      <c r="O155" s="1" t="s">
        <v>8954</v>
      </c>
      <c r="P155" s="1" t="e">
        <v>#N/A</v>
      </c>
      <c r="Q155" s="1" t="e">
        <v>#N/A</v>
      </c>
      <c r="R155" s="1">
        <f t="shared" si="46"/>
        <v>8</v>
      </c>
      <c r="S155" s="1" t="str">
        <f t="shared" si="47"/>
        <v>&gt;7</v>
      </c>
      <c r="T155" s="1" t="s">
        <v>18598</v>
      </c>
      <c r="U155" s="1" t="s">
        <v>7</v>
      </c>
      <c r="V155" s="1" t="s">
        <v>462</v>
      </c>
      <c r="W155" s="1"/>
    </row>
    <row r="156" spans="1:23" x14ac:dyDescent="0.2">
      <c r="A156" s="88" t="s">
        <v>15655</v>
      </c>
      <c r="B156" s="1" t="e">
        <v>#N/A</v>
      </c>
      <c r="C156" s="1" t="e">
        <v>#N/A</v>
      </c>
      <c r="D156" s="1" t="s">
        <v>465</v>
      </c>
      <c r="E156" s="1" t="s">
        <v>466</v>
      </c>
      <c r="F156" s="1" t="s">
        <v>10008</v>
      </c>
      <c r="G156" s="1" t="s">
        <v>8959</v>
      </c>
      <c r="H156" t="s">
        <v>8959</v>
      </c>
      <c r="I156" s="1" t="s">
        <v>8948</v>
      </c>
      <c r="J156" s="1" t="s">
        <v>8949</v>
      </c>
      <c r="K156" s="1" t="s">
        <v>9036</v>
      </c>
      <c r="L156" s="1" t="s">
        <v>8973</v>
      </c>
      <c r="M156" s="1">
        <v>243</v>
      </c>
      <c r="N156" s="1" t="s">
        <v>8953</v>
      </c>
      <c r="O156" s="1" t="s">
        <v>8954</v>
      </c>
      <c r="P156" s="1" t="e">
        <v>#N/A</v>
      </c>
      <c r="Q156" s="1" t="e">
        <v>#N/A</v>
      </c>
      <c r="R156" s="1">
        <f t="shared" si="46"/>
        <v>4</v>
      </c>
      <c r="S156" s="1" t="str">
        <f t="shared" si="47"/>
        <v>&lt;4</v>
      </c>
      <c r="T156" s="1" t="s">
        <v>18599</v>
      </c>
      <c r="U156" s="1" t="s">
        <v>17</v>
      </c>
      <c r="V156" s="1" t="s">
        <v>467</v>
      </c>
      <c r="W156" s="1"/>
    </row>
    <row r="157" spans="1:23" x14ac:dyDescent="0.2">
      <c r="A157" s="89" t="s">
        <v>468</v>
      </c>
      <c r="B157" s="1" t="e">
        <v>#N/A</v>
      </c>
      <c r="C157" s="1" t="e">
        <v>#N/A</v>
      </c>
      <c r="D157" s="1" t="s">
        <v>469</v>
      </c>
      <c r="E157" s="1" t="s">
        <v>470</v>
      </c>
      <c r="F157" s="1" t="e">
        <v>#N/A</v>
      </c>
      <c r="G157" s="1" t="e">
        <v>#N/A</v>
      </c>
      <c r="H157" t="e">
        <v>#N/A</v>
      </c>
      <c r="I157" s="1" t="e">
        <v>#N/A</v>
      </c>
      <c r="J157" s="1" t="e">
        <v>#N/A</v>
      </c>
      <c r="K157" s="1" t="e">
        <v>#N/A</v>
      </c>
      <c r="L157" s="1" t="e">
        <v>#N/A</v>
      </c>
      <c r="M157" s="1" t="e">
        <v>#N/A</v>
      </c>
      <c r="N157" s="1" t="e">
        <v>#N/A</v>
      </c>
      <c r="O157" s="1" t="e">
        <v>#N/A</v>
      </c>
      <c r="P157" s="1" t="e">
        <v>#N/A</v>
      </c>
      <c r="Q157" s="1" t="e">
        <v>#N/A</v>
      </c>
      <c r="R157" s="1">
        <f t="shared" si="46"/>
        <v>3</v>
      </c>
      <c r="S157" s="1" t="str">
        <f t="shared" si="47"/>
        <v>&lt;4</v>
      </c>
      <c r="T157" s="1" t="s">
        <v>18600</v>
      </c>
      <c r="U157" s="1" t="s">
        <v>7</v>
      </c>
      <c r="V157" s="1" t="s">
        <v>77</v>
      </c>
      <c r="W157" s="1"/>
    </row>
    <row r="158" spans="1:23" x14ac:dyDescent="0.2">
      <c r="A158" s="88" t="s">
        <v>15656</v>
      </c>
      <c r="B158" s="1" t="e">
        <v>#N/A</v>
      </c>
      <c r="C158" s="1" t="e">
        <v>#N/A</v>
      </c>
      <c r="D158" s="1" t="s">
        <v>471</v>
      </c>
      <c r="E158" s="1" t="s">
        <v>472</v>
      </c>
      <c r="F158" s="1" t="s">
        <v>14748</v>
      </c>
      <c r="G158" s="1" t="s">
        <v>8959</v>
      </c>
      <c r="H158" t="s">
        <v>8959</v>
      </c>
      <c r="I158" s="1" t="s">
        <v>8948</v>
      </c>
      <c r="J158" s="1" t="s">
        <v>8949</v>
      </c>
      <c r="K158" s="1" t="s">
        <v>9036</v>
      </c>
      <c r="L158" s="1" t="s">
        <v>8951</v>
      </c>
      <c r="M158" s="1">
        <v>3580</v>
      </c>
      <c r="N158" s="1" t="s">
        <v>8953</v>
      </c>
      <c r="O158" s="1" t="s">
        <v>8989</v>
      </c>
      <c r="P158" s="1" t="e">
        <v>#N/A</v>
      </c>
      <c r="Q158" s="1" t="e">
        <v>#N/A</v>
      </c>
      <c r="R158" s="1">
        <f t="shared" si="46"/>
        <v>7</v>
      </c>
      <c r="S158" s="1" t="str">
        <f t="shared" si="47"/>
        <v>4-7</v>
      </c>
      <c r="T158" s="1" t="s">
        <v>18601</v>
      </c>
      <c r="U158" s="1" t="s">
        <v>7</v>
      </c>
      <c r="V158" s="1" t="s">
        <v>473</v>
      </c>
      <c r="W158" s="1"/>
    </row>
    <row r="159" spans="1:23" x14ac:dyDescent="0.2">
      <c r="A159" s="89" t="s">
        <v>474</v>
      </c>
      <c r="B159" s="1" t="e">
        <v>#N/A</v>
      </c>
      <c r="C159" s="1" t="e">
        <v>#N/A</v>
      </c>
      <c r="D159" s="1" t="s">
        <v>475</v>
      </c>
      <c r="E159" s="1" t="s">
        <v>476</v>
      </c>
      <c r="F159" s="1" t="e">
        <v>#N/A</v>
      </c>
      <c r="G159" s="1" t="e">
        <v>#N/A</v>
      </c>
      <c r="H159" t="e">
        <v>#N/A</v>
      </c>
      <c r="I159" s="1" t="e">
        <v>#N/A</v>
      </c>
      <c r="J159" s="1" t="e">
        <v>#N/A</v>
      </c>
      <c r="K159" s="1" t="e">
        <v>#N/A</v>
      </c>
      <c r="L159" s="1" t="e">
        <v>#N/A</v>
      </c>
      <c r="M159" s="1" t="e">
        <v>#N/A</v>
      </c>
      <c r="N159" s="1" t="e">
        <v>#N/A</v>
      </c>
      <c r="O159" s="1" t="e">
        <v>#N/A</v>
      </c>
      <c r="P159" s="1" t="e">
        <v>#N/A</v>
      </c>
      <c r="Q159" s="1" t="e">
        <v>#N/A</v>
      </c>
      <c r="R159" s="1">
        <f t="shared" si="46"/>
        <v>4</v>
      </c>
      <c r="S159" s="1" t="str">
        <f t="shared" si="47"/>
        <v>&lt;4</v>
      </c>
      <c r="T159" s="1" t="s">
        <v>18602</v>
      </c>
      <c r="U159" s="1" t="s">
        <v>17</v>
      </c>
      <c r="V159" s="1" t="s">
        <v>477</v>
      </c>
      <c r="W159" s="1"/>
    </row>
    <row r="160" spans="1:23" x14ac:dyDescent="0.2">
      <c r="A160" s="88" t="s">
        <v>15657</v>
      </c>
      <c r="B160" s="1" t="e">
        <v>#N/A</v>
      </c>
      <c r="C160" s="1" t="e">
        <v>#N/A</v>
      </c>
      <c r="D160" s="1" t="s">
        <v>478</v>
      </c>
      <c r="E160" s="1" t="s">
        <v>479</v>
      </c>
      <c r="F160" s="1" t="s">
        <v>20741</v>
      </c>
      <c r="G160" s="1" t="s">
        <v>8957</v>
      </c>
      <c r="H160" t="s">
        <v>8959</v>
      </c>
      <c r="I160" s="1" t="s">
        <v>8948</v>
      </c>
      <c r="J160" s="1" t="s">
        <v>8949</v>
      </c>
      <c r="K160" s="1" t="s">
        <v>20742</v>
      </c>
      <c r="L160" s="1" t="s">
        <v>8973</v>
      </c>
      <c r="M160" s="1">
        <f>5764+60</f>
        <v>5824</v>
      </c>
      <c r="N160" s="1" t="s">
        <v>9059</v>
      </c>
      <c r="O160" s="1" t="s">
        <v>8954</v>
      </c>
      <c r="P160" s="1" t="e">
        <v>#N/A</v>
      </c>
      <c r="Q160" s="1" t="e">
        <v>#N/A</v>
      </c>
      <c r="R160" s="1">
        <f t="shared" si="46"/>
        <v>5</v>
      </c>
      <c r="S160" s="1" t="str">
        <f t="shared" si="47"/>
        <v>4-7</v>
      </c>
      <c r="T160" s="1" t="s">
        <v>18603</v>
      </c>
      <c r="U160" s="1" t="s">
        <v>17</v>
      </c>
      <c r="V160" s="1" t="s">
        <v>57</v>
      </c>
      <c r="W160" s="1"/>
    </row>
    <row r="161" spans="1:23" x14ac:dyDescent="0.2">
      <c r="A161" s="88" t="s">
        <v>15658</v>
      </c>
      <c r="B161" s="1" t="e">
        <v>#N/A</v>
      </c>
      <c r="C161" s="1" t="e">
        <v>#N/A</v>
      </c>
      <c r="D161" s="1" t="s">
        <v>480</v>
      </c>
      <c r="E161" s="1" t="s">
        <v>481</v>
      </c>
      <c r="F161" s="1" t="s">
        <v>10873</v>
      </c>
      <c r="G161" s="1" t="s">
        <v>9060</v>
      </c>
      <c r="H161" t="s">
        <v>9061</v>
      </c>
      <c r="I161" s="1" t="s">
        <v>9154</v>
      </c>
      <c r="J161" s="1" t="s">
        <v>8949</v>
      </c>
      <c r="K161" s="1" t="s">
        <v>9036</v>
      </c>
      <c r="L161" s="1" t="s">
        <v>8973</v>
      </c>
      <c r="M161" s="1">
        <v>24620</v>
      </c>
      <c r="N161" s="1" t="s">
        <v>9059</v>
      </c>
      <c r="O161" s="1" t="s">
        <v>8954</v>
      </c>
      <c r="P161" s="1" t="e">
        <v>#N/A</v>
      </c>
      <c r="Q161" s="1" t="e">
        <v>#N/A</v>
      </c>
      <c r="R161" s="1">
        <f t="shared" si="46"/>
        <v>16</v>
      </c>
      <c r="S161" s="1" t="str">
        <f t="shared" si="47"/>
        <v>&gt;7</v>
      </c>
      <c r="T161" s="1" t="s">
        <v>18604</v>
      </c>
      <c r="U161" s="1" t="s">
        <v>17</v>
      </c>
      <c r="V161" s="1" t="s">
        <v>126</v>
      </c>
      <c r="W161" s="1"/>
    </row>
    <row r="162" spans="1:23" x14ac:dyDescent="0.2">
      <c r="A162" s="88" t="s">
        <v>15659</v>
      </c>
      <c r="B162" s="1" t="e">
        <v>#N/A</v>
      </c>
      <c r="C162" s="1" t="e">
        <v>#N/A</v>
      </c>
      <c r="D162" s="1" t="s">
        <v>482</v>
      </c>
      <c r="E162" s="1" t="s">
        <v>483</v>
      </c>
      <c r="F162" s="1" t="s">
        <v>18502</v>
      </c>
      <c r="G162" s="1" t="s">
        <v>8957</v>
      </c>
      <c r="H162" t="s">
        <v>9009</v>
      </c>
      <c r="I162" s="1" t="s">
        <v>9154</v>
      </c>
      <c r="J162" s="1" t="s">
        <v>11607</v>
      </c>
      <c r="K162" s="1" t="s">
        <v>9036</v>
      </c>
      <c r="L162" s="1" t="s">
        <v>8951</v>
      </c>
      <c r="M162" s="1">
        <v>16056</v>
      </c>
      <c r="N162" s="1" t="s">
        <v>9059</v>
      </c>
      <c r="O162" s="1" t="s">
        <v>8989</v>
      </c>
      <c r="P162" s="1" t="e">
        <v>#N/A</v>
      </c>
      <c r="Q162" s="1" t="e">
        <v>#N/A</v>
      </c>
      <c r="R162" s="1">
        <f t="shared" si="46"/>
        <v>10</v>
      </c>
      <c r="S162" s="1" t="str">
        <f t="shared" si="47"/>
        <v>&gt;7</v>
      </c>
      <c r="T162" s="1" t="s">
        <v>18605</v>
      </c>
      <c r="U162" s="1" t="s">
        <v>17</v>
      </c>
      <c r="V162" s="1" t="s">
        <v>484</v>
      </c>
      <c r="W162" s="1"/>
    </row>
    <row r="163" spans="1:23" x14ac:dyDescent="0.2">
      <c r="A163" s="88" t="s">
        <v>15660</v>
      </c>
      <c r="B163" s="1" t="e">
        <v>#N/A</v>
      </c>
      <c r="C163" s="1" t="s">
        <v>13549</v>
      </c>
      <c r="D163" s="1" t="s">
        <v>485</v>
      </c>
      <c r="E163" s="1" t="s">
        <v>486</v>
      </c>
      <c r="F163" s="1" t="s">
        <v>9317</v>
      </c>
      <c r="G163" s="1" t="s">
        <v>8959</v>
      </c>
      <c r="H163" t="s">
        <v>8959</v>
      </c>
      <c r="I163" s="1" t="s">
        <v>8948</v>
      </c>
      <c r="J163" s="1" t="s">
        <v>9101</v>
      </c>
      <c r="K163" s="1" t="s">
        <v>9316</v>
      </c>
      <c r="L163" s="1" t="s">
        <v>8987</v>
      </c>
      <c r="M163" s="1">
        <v>7849</v>
      </c>
      <c r="N163" s="1" t="s">
        <v>8953</v>
      </c>
      <c r="O163" s="1" t="s">
        <v>8954</v>
      </c>
      <c r="P163" s="1" t="s">
        <v>8955</v>
      </c>
      <c r="Q163" s="1" t="s">
        <v>8956</v>
      </c>
      <c r="R163" s="1" t="s">
        <v>8959</v>
      </c>
      <c r="S163" s="1" t="s">
        <v>8975</v>
      </c>
      <c r="T163" s="1" t="s">
        <v>487</v>
      </c>
      <c r="U163" s="1" t="s">
        <v>4</v>
      </c>
      <c r="V163" s="1" t="s">
        <v>24</v>
      </c>
      <c r="W163" s="1"/>
    </row>
    <row r="164" spans="1:23" x14ac:dyDescent="0.2">
      <c r="A164" s="88" t="s">
        <v>15661</v>
      </c>
      <c r="B164" s="1" t="e">
        <v>#N/A</v>
      </c>
      <c r="C164" s="1" t="s">
        <v>11765</v>
      </c>
      <c r="D164" s="1" t="s">
        <v>488</v>
      </c>
      <c r="E164" s="1" t="s">
        <v>489</v>
      </c>
      <c r="F164" s="1" t="s">
        <v>9317</v>
      </c>
      <c r="G164" s="1" t="s">
        <v>8959</v>
      </c>
      <c r="H164" t="s">
        <v>9009</v>
      </c>
      <c r="I164" s="1" t="s">
        <v>9173</v>
      </c>
      <c r="J164" s="1" t="s">
        <v>9101</v>
      </c>
      <c r="K164" s="1" t="s">
        <v>9112</v>
      </c>
      <c r="L164" s="1" t="s">
        <v>8951</v>
      </c>
      <c r="M164" s="1">
        <v>22</v>
      </c>
      <c r="N164" s="1" t="s">
        <v>9059</v>
      </c>
      <c r="O164" s="1" t="s">
        <v>8954</v>
      </c>
      <c r="P164" s="1" t="s">
        <v>8955</v>
      </c>
      <c r="Q164" s="1" t="s">
        <v>8956</v>
      </c>
      <c r="R164" s="1" t="s">
        <v>8959</v>
      </c>
      <c r="S164" s="1" t="s">
        <v>8975</v>
      </c>
      <c r="T164" s="1" t="s">
        <v>490</v>
      </c>
      <c r="U164" s="1" t="s">
        <v>17</v>
      </c>
      <c r="V164" s="1" t="s">
        <v>64</v>
      </c>
      <c r="W164" s="1"/>
    </row>
    <row r="165" spans="1:23" x14ac:dyDescent="0.2">
      <c r="A165" s="94" t="s">
        <v>15662</v>
      </c>
      <c r="B165" s="1" t="e">
        <v>#N/A</v>
      </c>
      <c r="C165" s="1" t="e">
        <v>#N/A</v>
      </c>
      <c r="D165" s="1" t="s">
        <v>491</v>
      </c>
      <c r="E165" s="1" t="s">
        <v>492</v>
      </c>
      <c r="F165" s="1" t="s">
        <v>9317</v>
      </c>
      <c r="G165" s="1" t="e">
        <v>#N/A</v>
      </c>
      <c r="H165" t="s">
        <v>8959</v>
      </c>
      <c r="I165" s="1" t="e">
        <v>#N/A</v>
      </c>
      <c r="J165" s="1" t="e">
        <v>#N/A</v>
      </c>
      <c r="K165" s="1" t="e">
        <v>#N/A</v>
      </c>
      <c r="L165" s="1" t="e">
        <v>#N/A</v>
      </c>
      <c r="M165" s="1" t="e">
        <v>#N/A</v>
      </c>
      <c r="N165" s="1" t="e">
        <v>#N/A</v>
      </c>
      <c r="O165" s="1" t="e">
        <v>#N/A</v>
      </c>
      <c r="P165" s="1" t="e">
        <v>#N/A</v>
      </c>
      <c r="Q165" s="1" t="e">
        <v>#N/A</v>
      </c>
      <c r="R165" s="1">
        <f t="shared" ref="R165:R167" si="48">1+LEN(T165)-LEN(SUBSTITUTE(T165,",",))</f>
        <v>4</v>
      </c>
      <c r="S165" s="1" t="str">
        <f t="shared" ref="S165:S167" si="49">IF(R165&gt;4,IF(R165&lt;8,"4-7",IF(R165&gt;7,"&gt;7")),"&lt;4")</f>
        <v>&lt;4</v>
      </c>
      <c r="T165" s="1" t="s">
        <v>18606</v>
      </c>
      <c r="U165" s="1" t="s">
        <v>7</v>
      </c>
      <c r="V165" s="1" t="s">
        <v>493</v>
      </c>
      <c r="W165" s="1"/>
    </row>
    <row r="166" spans="1:23" x14ac:dyDescent="0.2">
      <c r="A166" s="89" t="s">
        <v>15663</v>
      </c>
      <c r="B166" s="1" t="e">
        <v>#N/A</v>
      </c>
      <c r="C166" s="1" t="e">
        <v>#N/A</v>
      </c>
      <c r="D166" s="1" t="s">
        <v>494</v>
      </c>
      <c r="E166" s="1" t="s">
        <v>495</v>
      </c>
      <c r="F166" s="1" t="e">
        <v>#N/A</v>
      </c>
      <c r="G166" s="1" t="e">
        <v>#N/A</v>
      </c>
      <c r="H166" t="e">
        <v>#N/A</v>
      </c>
      <c r="I166" s="1" t="e">
        <v>#N/A</v>
      </c>
      <c r="J166" s="1" t="e">
        <v>#N/A</v>
      </c>
      <c r="K166" s="1" t="e">
        <v>#N/A</v>
      </c>
      <c r="L166" s="1" t="e">
        <v>#N/A</v>
      </c>
      <c r="M166" s="1" t="e">
        <v>#N/A</v>
      </c>
      <c r="N166" s="1" t="e">
        <v>#N/A</v>
      </c>
      <c r="O166" s="1" t="e">
        <v>#N/A</v>
      </c>
      <c r="P166" s="1" t="e">
        <v>#N/A</v>
      </c>
      <c r="Q166" s="1" t="e">
        <v>#N/A</v>
      </c>
      <c r="R166" s="1">
        <f t="shared" si="48"/>
        <v>3</v>
      </c>
      <c r="S166" s="1" t="str">
        <f t="shared" si="49"/>
        <v>&lt;4</v>
      </c>
      <c r="T166" s="1" t="s">
        <v>20546</v>
      </c>
      <c r="U166" s="1" t="s">
        <v>17</v>
      </c>
      <c r="V166" s="1" t="s">
        <v>496</v>
      </c>
      <c r="W166" s="1"/>
    </row>
    <row r="167" spans="1:23" x14ac:dyDescent="0.2">
      <c r="A167" s="89" t="s">
        <v>497</v>
      </c>
      <c r="B167" s="1" t="e">
        <v>#N/A</v>
      </c>
      <c r="C167" s="1" t="e">
        <v>#N/A</v>
      </c>
      <c r="D167" s="1" t="s">
        <v>498</v>
      </c>
      <c r="E167" s="1" t="s">
        <v>499</v>
      </c>
      <c r="F167" s="1" t="e">
        <v>#N/A</v>
      </c>
      <c r="G167" s="1" t="e">
        <v>#N/A</v>
      </c>
      <c r="H167" t="e">
        <v>#N/A</v>
      </c>
      <c r="I167" s="1" t="e">
        <v>#N/A</v>
      </c>
      <c r="J167" s="1" t="e">
        <v>#N/A</v>
      </c>
      <c r="K167" s="1" t="e">
        <v>#N/A</v>
      </c>
      <c r="L167" s="1" t="e">
        <v>#N/A</v>
      </c>
      <c r="M167" s="1" t="e">
        <v>#N/A</v>
      </c>
      <c r="N167" s="1" t="e">
        <v>#N/A</v>
      </c>
      <c r="O167" s="1" t="e">
        <v>#N/A</v>
      </c>
      <c r="P167" s="1" t="e">
        <v>#N/A</v>
      </c>
      <c r="Q167" s="1" t="e">
        <v>#N/A</v>
      </c>
      <c r="R167" s="1">
        <f t="shared" si="48"/>
        <v>4</v>
      </c>
      <c r="S167" s="1" t="str">
        <f t="shared" si="49"/>
        <v>&lt;4</v>
      </c>
      <c r="T167" s="1" t="s">
        <v>18607</v>
      </c>
      <c r="U167" s="1" t="s">
        <v>7</v>
      </c>
      <c r="V167" s="1" t="s">
        <v>500</v>
      </c>
      <c r="W167" s="1"/>
    </row>
    <row r="168" spans="1:23" x14ac:dyDescent="0.2">
      <c r="A168" s="88" t="s">
        <v>15664</v>
      </c>
      <c r="B168" s="1" t="e">
        <v>#N/A</v>
      </c>
      <c r="C168" s="1" t="s">
        <v>14415</v>
      </c>
      <c r="D168" s="1" t="s">
        <v>501</v>
      </c>
      <c r="E168" s="1" t="s">
        <v>502</v>
      </c>
      <c r="F168" s="1" t="s">
        <v>9010</v>
      </c>
      <c r="G168" s="1" t="s">
        <v>8957</v>
      </c>
      <c r="H168" t="s">
        <v>8959</v>
      </c>
      <c r="I168" s="1" t="s">
        <v>9154</v>
      </c>
      <c r="J168" s="1" t="s">
        <v>8949</v>
      </c>
      <c r="K168" s="1" t="s">
        <v>9036</v>
      </c>
      <c r="L168" s="1" t="s">
        <v>8973</v>
      </c>
      <c r="M168" s="1">
        <v>270</v>
      </c>
      <c r="N168" s="1" t="s">
        <v>8953</v>
      </c>
      <c r="O168" s="1" t="s">
        <v>8989</v>
      </c>
      <c r="P168" s="1" t="s">
        <v>8955</v>
      </c>
      <c r="Q168" s="1" t="s">
        <v>8956</v>
      </c>
      <c r="R168" s="1" t="s">
        <v>8957</v>
      </c>
      <c r="S168" s="1" t="s">
        <v>9103</v>
      </c>
      <c r="T168" s="1" t="s">
        <v>503</v>
      </c>
      <c r="U168" s="1" t="s">
        <v>242</v>
      </c>
      <c r="V168" s="1" t="s">
        <v>126</v>
      </c>
      <c r="W168" s="1"/>
    </row>
    <row r="169" spans="1:23" x14ac:dyDescent="0.2">
      <c r="A169" s="88" t="s">
        <v>15665</v>
      </c>
      <c r="B169" s="1" t="e">
        <v>#N/A</v>
      </c>
      <c r="C169" s="1" t="s">
        <v>14059</v>
      </c>
      <c r="D169" s="1" t="s">
        <v>504</v>
      </c>
      <c r="E169" s="1" t="s">
        <v>505</v>
      </c>
      <c r="F169" s="1" t="s">
        <v>9010</v>
      </c>
      <c r="G169" s="1" t="s">
        <v>8957</v>
      </c>
      <c r="H169" t="s">
        <v>9009</v>
      </c>
      <c r="I169" s="1" t="s">
        <v>9154</v>
      </c>
      <c r="J169" s="1" t="s">
        <v>8949</v>
      </c>
      <c r="K169" s="1" t="s">
        <v>21461</v>
      </c>
      <c r="L169" s="1" t="s">
        <v>8973</v>
      </c>
      <c r="M169" s="1">
        <v>251</v>
      </c>
      <c r="N169" s="1" t="s">
        <v>8953</v>
      </c>
      <c r="O169" s="1" t="s">
        <v>8989</v>
      </c>
      <c r="P169" s="1" t="s">
        <v>8955</v>
      </c>
      <c r="Q169" s="1" t="s">
        <v>8956</v>
      </c>
      <c r="R169" s="1" t="s">
        <v>8957</v>
      </c>
      <c r="S169" s="1" t="s">
        <v>9103</v>
      </c>
      <c r="T169" s="1" t="s">
        <v>503</v>
      </c>
      <c r="U169" s="1" t="s">
        <v>4</v>
      </c>
      <c r="V169" s="1" t="s">
        <v>161</v>
      </c>
      <c r="W169" s="1"/>
    </row>
    <row r="170" spans="1:23" x14ac:dyDescent="0.2">
      <c r="A170" s="94" t="s">
        <v>15666</v>
      </c>
      <c r="B170" s="1" t="e">
        <v>#N/A</v>
      </c>
      <c r="C170" s="1" t="e">
        <v>#N/A</v>
      </c>
      <c r="D170" s="1" t="s">
        <v>506</v>
      </c>
      <c r="E170" s="1" t="s">
        <v>507</v>
      </c>
      <c r="F170" s="1" t="s">
        <v>20743</v>
      </c>
      <c r="G170" s="1" t="e">
        <v>#N/A</v>
      </c>
      <c r="H170" t="s">
        <v>8959</v>
      </c>
      <c r="I170" s="1" t="e">
        <v>#N/A</v>
      </c>
      <c r="J170" s="1" t="e">
        <v>#N/A</v>
      </c>
      <c r="K170" s="1" t="e">
        <v>#N/A</v>
      </c>
      <c r="L170" s="1" t="e">
        <v>#N/A</v>
      </c>
      <c r="M170" s="1" t="e">
        <v>#N/A</v>
      </c>
      <c r="N170" s="1" t="e">
        <v>#N/A</v>
      </c>
      <c r="O170" s="1" t="e">
        <v>#N/A</v>
      </c>
      <c r="P170" s="1" t="e">
        <v>#N/A</v>
      </c>
      <c r="Q170" s="1" t="e">
        <v>#N/A</v>
      </c>
      <c r="R170" s="1">
        <f>1+LEN(T170)-LEN(SUBSTITUTE(T170,",",))</f>
        <v>4</v>
      </c>
      <c r="S170" s="1" t="str">
        <f>IF(R170&gt;4,IF(R170&lt;8,"4-7",IF(R170&gt;7,"&gt;7")),"&lt;4")</f>
        <v>&lt;4</v>
      </c>
      <c r="T170" s="1" t="s">
        <v>18608</v>
      </c>
      <c r="U170" s="1" t="s">
        <v>17</v>
      </c>
      <c r="V170" s="1" t="s">
        <v>210</v>
      </c>
      <c r="W170" s="1"/>
    </row>
    <row r="171" spans="1:23" x14ac:dyDescent="0.2">
      <c r="A171" s="88" t="s">
        <v>15667</v>
      </c>
      <c r="B171" s="1" t="e">
        <v>#N/A</v>
      </c>
      <c r="C171" s="1" t="s">
        <v>13088</v>
      </c>
      <c r="D171" s="1" t="s">
        <v>508</v>
      </c>
      <c r="E171" s="1" t="s">
        <v>509</v>
      </c>
      <c r="F171" s="1" t="s">
        <v>10873</v>
      </c>
      <c r="G171" s="1" t="s">
        <v>8959</v>
      </c>
      <c r="H171" t="s">
        <v>8959</v>
      </c>
      <c r="I171" s="1" t="s">
        <v>9154</v>
      </c>
      <c r="J171" s="1" t="s">
        <v>9121</v>
      </c>
      <c r="K171" s="1" t="s">
        <v>13541</v>
      </c>
      <c r="L171" s="1" t="s">
        <v>9464</v>
      </c>
      <c r="M171" s="1">
        <v>3389</v>
      </c>
      <c r="N171" s="1" t="s">
        <v>8953</v>
      </c>
      <c r="O171" s="1" t="s">
        <v>8954</v>
      </c>
      <c r="P171" s="1" t="s">
        <v>8955</v>
      </c>
      <c r="Q171" s="1" t="s">
        <v>8956</v>
      </c>
      <c r="R171" s="1" t="s">
        <v>8959</v>
      </c>
      <c r="S171" s="1" t="s">
        <v>9103</v>
      </c>
      <c r="T171" s="1" t="s">
        <v>510</v>
      </c>
      <c r="U171" s="1" t="s">
        <v>11</v>
      </c>
      <c r="V171" s="1" t="s">
        <v>64</v>
      </c>
      <c r="W171" s="1"/>
    </row>
    <row r="172" spans="1:23" x14ac:dyDescent="0.2">
      <c r="A172" s="88" t="s">
        <v>15668</v>
      </c>
      <c r="B172" s="1" t="e">
        <v>#N/A</v>
      </c>
      <c r="C172" s="1" t="s">
        <v>10037</v>
      </c>
      <c r="D172" s="1" t="s">
        <v>511</v>
      </c>
      <c r="E172" s="1" t="s">
        <v>512</v>
      </c>
      <c r="F172" s="1" t="s">
        <v>9010</v>
      </c>
      <c r="G172" s="1" t="s">
        <v>8974</v>
      </c>
      <c r="H172" t="s">
        <v>8959</v>
      </c>
      <c r="I172" s="1" t="s">
        <v>9605</v>
      </c>
      <c r="J172" s="1" t="s">
        <v>9101</v>
      </c>
      <c r="K172" s="1" t="s">
        <v>10040</v>
      </c>
      <c r="L172" s="1" t="s">
        <v>9157</v>
      </c>
      <c r="M172" s="1">
        <v>12671</v>
      </c>
      <c r="N172" s="1" t="s">
        <v>8953</v>
      </c>
      <c r="O172" s="1" t="s">
        <v>8989</v>
      </c>
      <c r="P172" s="1" t="s">
        <v>8955</v>
      </c>
      <c r="Q172" s="1" t="s">
        <v>8956</v>
      </c>
      <c r="R172" s="1" t="s">
        <v>8974</v>
      </c>
      <c r="S172" s="1" t="s">
        <v>8958</v>
      </c>
      <c r="T172" s="1" t="s">
        <v>513</v>
      </c>
      <c r="U172" s="1" t="s">
        <v>17</v>
      </c>
      <c r="V172" s="1" t="s">
        <v>514</v>
      </c>
      <c r="W172" s="1"/>
    </row>
    <row r="173" spans="1:23" x14ac:dyDescent="0.2">
      <c r="A173" s="94" t="s">
        <v>15669</v>
      </c>
      <c r="B173" s="1" t="e">
        <v>#N/A</v>
      </c>
      <c r="C173" s="1" t="e">
        <v>#N/A</v>
      </c>
      <c r="D173" s="5" t="s">
        <v>515</v>
      </c>
      <c r="E173" s="1" t="s">
        <v>516</v>
      </c>
      <c r="F173" s="1" t="s">
        <v>20718</v>
      </c>
      <c r="G173" s="1" t="e">
        <v>#N/A</v>
      </c>
      <c r="H173" t="s">
        <v>8959</v>
      </c>
      <c r="I173" s="1" t="s">
        <v>8984</v>
      </c>
      <c r="J173" s="1" t="e">
        <v>#N/A</v>
      </c>
      <c r="K173" s="1" t="e">
        <v>#N/A</v>
      </c>
      <c r="L173" s="1" t="e">
        <v>#N/A</v>
      </c>
      <c r="M173" s="1" t="e">
        <v>#N/A</v>
      </c>
      <c r="N173" s="1" t="e">
        <v>#N/A</v>
      </c>
      <c r="O173" s="1" t="e">
        <v>#N/A</v>
      </c>
      <c r="P173" s="1" t="e">
        <v>#N/A</v>
      </c>
      <c r="Q173" s="1" t="e">
        <v>#N/A</v>
      </c>
      <c r="R173" s="1">
        <f t="shared" ref="R173:R174" si="50">1+LEN(T173)-LEN(SUBSTITUTE(T173,",",))</f>
        <v>1</v>
      </c>
      <c r="S173" s="1" t="str">
        <f t="shared" ref="S173:S174" si="51">IF(R173&gt;4,IF(R173&lt;8,"4-7",IF(R173&gt;7,"&gt;7")),"&lt;4")</f>
        <v>&lt;4</v>
      </c>
      <c r="T173" s="1" t="s">
        <v>517</v>
      </c>
      <c r="U173" s="1" t="s">
        <v>17</v>
      </c>
      <c r="V173" s="1" t="s">
        <v>518</v>
      </c>
      <c r="W173" s="1"/>
    </row>
    <row r="174" spans="1:23" x14ac:dyDescent="0.2">
      <c r="A174" s="88" t="s">
        <v>15670</v>
      </c>
      <c r="B174" s="1" t="e">
        <v>#N/A</v>
      </c>
      <c r="C174" s="1" t="e">
        <v>#N/A</v>
      </c>
      <c r="D174" s="1" t="s">
        <v>519</v>
      </c>
      <c r="E174" s="1" t="s">
        <v>520</v>
      </c>
      <c r="F174" s="1" t="s">
        <v>10873</v>
      </c>
      <c r="G174" s="1" t="s">
        <v>8957</v>
      </c>
      <c r="H174" t="s">
        <v>8959</v>
      </c>
      <c r="I174" s="1" t="s">
        <v>8948</v>
      </c>
      <c r="J174" s="1" t="s">
        <v>8949</v>
      </c>
      <c r="K174" s="1" t="s">
        <v>9036</v>
      </c>
      <c r="L174" s="1" t="s">
        <v>9076</v>
      </c>
      <c r="M174" s="1">
        <v>4012</v>
      </c>
      <c r="N174" s="1" t="s">
        <v>8953</v>
      </c>
      <c r="O174" s="1" t="s">
        <v>8989</v>
      </c>
      <c r="P174" s="1" t="e">
        <v>#N/A</v>
      </c>
      <c r="Q174" s="1" t="e">
        <v>#N/A</v>
      </c>
      <c r="R174" s="1">
        <f t="shared" si="50"/>
        <v>4</v>
      </c>
      <c r="S174" s="1" t="str">
        <f t="shared" si="51"/>
        <v>&lt;4</v>
      </c>
      <c r="T174" s="1" t="s">
        <v>18609</v>
      </c>
      <c r="U174" s="1" t="s">
        <v>7</v>
      </c>
      <c r="V174" s="1" t="s">
        <v>46</v>
      </c>
      <c r="W174" s="1"/>
    </row>
    <row r="175" spans="1:23" x14ac:dyDescent="0.2">
      <c r="A175" s="88" t="s">
        <v>15671</v>
      </c>
      <c r="B175" s="1" t="e">
        <v>#N/A</v>
      </c>
      <c r="C175" s="1" t="s">
        <v>11923</v>
      </c>
      <c r="D175" s="1" t="s">
        <v>521</v>
      </c>
      <c r="E175" s="1" t="s">
        <v>522</v>
      </c>
      <c r="F175" s="1" t="s">
        <v>9380</v>
      </c>
      <c r="G175" s="1" t="s">
        <v>9060</v>
      </c>
      <c r="H175" t="s">
        <v>9183</v>
      </c>
      <c r="I175" s="1" t="s">
        <v>9075</v>
      </c>
      <c r="J175" s="1" t="s">
        <v>9155</v>
      </c>
      <c r="K175" s="1" t="s">
        <v>12408</v>
      </c>
      <c r="L175" s="1" t="s">
        <v>8951</v>
      </c>
      <c r="M175" s="1">
        <v>157</v>
      </c>
      <c r="N175" s="1" t="s">
        <v>8953</v>
      </c>
      <c r="O175" s="1" t="s">
        <v>8989</v>
      </c>
      <c r="P175" s="1" t="s">
        <v>8955</v>
      </c>
      <c r="Q175" s="1" t="s">
        <v>8956</v>
      </c>
      <c r="R175" s="1" t="s">
        <v>9060</v>
      </c>
      <c r="S175" s="1" t="s">
        <v>8975</v>
      </c>
      <c r="T175" s="1" t="s">
        <v>523</v>
      </c>
      <c r="U175" s="1" t="s">
        <v>11</v>
      </c>
      <c r="V175" s="1" t="s">
        <v>61</v>
      </c>
      <c r="W175" s="1"/>
    </row>
    <row r="176" spans="1:23" x14ac:dyDescent="0.2">
      <c r="A176" s="88" t="s">
        <v>15672</v>
      </c>
      <c r="B176" s="1" t="e">
        <v>#N/A</v>
      </c>
      <c r="C176" s="1" t="s">
        <v>13812</v>
      </c>
      <c r="D176" s="1" t="s">
        <v>524</v>
      </c>
      <c r="E176" s="1" t="s">
        <v>525</v>
      </c>
      <c r="F176" s="1" t="s">
        <v>9380</v>
      </c>
      <c r="G176" s="1" t="s">
        <v>8957</v>
      </c>
      <c r="H176" t="s">
        <v>8959</v>
      </c>
      <c r="I176" s="1" t="s">
        <v>9075</v>
      </c>
      <c r="J176" s="1" t="s">
        <v>8971</v>
      </c>
      <c r="K176" s="1" t="s">
        <v>12500</v>
      </c>
      <c r="L176" s="1" t="s">
        <v>8951</v>
      </c>
      <c r="M176" s="1">
        <v>132</v>
      </c>
      <c r="N176" s="1" t="s">
        <v>9059</v>
      </c>
      <c r="O176" s="1" t="s">
        <v>8989</v>
      </c>
      <c r="P176" s="1" t="s">
        <v>8955</v>
      </c>
      <c r="Q176" s="1" t="s">
        <v>8956</v>
      </c>
      <c r="R176" s="1" t="s">
        <v>8957</v>
      </c>
      <c r="S176" s="1" t="s">
        <v>8975</v>
      </c>
      <c r="T176" s="1" t="s">
        <v>526</v>
      </c>
      <c r="U176" s="1" t="s">
        <v>4</v>
      </c>
      <c r="V176" s="1" t="s">
        <v>64</v>
      </c>
      <c r="W176" s="1"/>
    </row>
    <row r="177" spans="1:23" x14ac:dyDescent="0.2">
      <c r="A177" s="88" t="s">
        <v>15673</v>
      </c>
      <c r="B177" s="1" t="e">
        <v>#N/A</v>
      </c>
      <c r="C177" s="1" t="s">
        <v>14389</v>
      </c>
      <c r="D177" s="1" t="s">
        <v>527</v>
      </c>
      <c r="E177" s="1" t="s">
        <v>528</v>
      </c>
      <c r="F177" s="1" t="s">
        <v>9380</v>
      </c>
      <c r="G177" s="1" t="s">
        <v>8957</v>
      </c>
      <c r="H177" t="s">
        <v>8959</v>
      </c>
      <c r="I177" s="1" t="s">
        <v>9075</v>
      </c>
      <c r="J177" s="1" t="s">
        <v>8971</v>
      </c>
      <c r="K177" s="1" t="s">
        <v>12500</v>
      </c>
      <c r="L177" s="1" t="s">
        <v>8951</v>
      </c>
      <c r="M177" s="1">
        <v>223</v>
      </c>
      <c r="N177" s="1" t="s">
        <v>8953</v>
      </c>
      <c r="O177" s="1" t="s">
        <v>8989</v>
      </c>
      <c r="P177" s="1" t="s">
        <v>8955</v>
      </c>
      <c r="Q177" s="1" t="s">
        <v>8956</v>
      </c>
      <c r="R177" s="1" t="s">
        <v>8957</v>
      </c>
      <c r="S177" s="1" t="s">
        <v>8975</v>
      </c>
      <c r="T177" s="1" t="s">
        <v>529</v>
      </c>
      <c r="U177" s="1" t="s">
        <v>242</v>
      </c>
      <c r="V177" s="1" t="s">
        <v>64</v>
      </c>
      <c r="W177" s="1"/>
    </row>
    <row r="178" spans="1:23" x14ac:dyDescent="0.2">
      <c r="A178" s="88" t="s">
        <v>15674</v>
      </c>
      <c r="B178" s="1" t="e">
        <v>#N/A</v>
      </c>
      <c r="C178" s="1" t="s">
        <v>13981</v>
      </c>
      <c r="D178" s="1" t="s">
        <v>530</v>
      </c>
      <c r="E178" s="1" t="s">
        <v>531</v>
      </c>
      <c r="F178" s="1" t="s">
        <v>9380</v>
      </c>
      <c r="G178" s="1" t="s">
        <v>8957</v>
      </c>
      <c r="H178" t="s">
        <v>8959</v>
      </c>
      <c r="I178" s="1" t="s">
        <v>9075</v>
      </c>
      <c r="J178" s="1" t="s">
        <v>8971</v>
      </c>
      <c r="K178" s="1" t="s">
        <v>12500</v>
      </c>
      <c r="L178" s="1" t="s">
        <v>8951</v>
      </c>
      <c r="M178" s="1">
        <v>255</v>
      </c>
      <c r="N178" s="1" t="s">
        <v>8953</v>
      </c>
      <c r="O178" s="1" t="s">
        <v>8989</v>
      </c>
      <c r="P178" s="1" t="s">
        <v>8955</v>
      </c>
      <c r="Q178" s="1" t="s">
        <v>8956</v>
      </c>
      <c r="R178" s="1" t="s">
        <v>8957</v>
      </c>
      <c r="S178" s="1" t="s">
        <v>8975</v>
      </c>
      <c r="T178" s="1" t="s">
        <v>532</v>
      </c>
      <c r="U178" s="1" t="s">
        <v>4</v>
      </c>
      <c r="V178" s="1" t="s">
        <v>64</v>
      </c>
      <c r="W178" s="1"/>
    </row>
    <row r="179" spans="1:23" x14ac:dyDescent="0.2">
      <c r="A179" s="88" t="s">
        <v>15675</v>
      </c>
      <c r="B179" s="1" t="e">
        <v>#N/A</v>
      </c>
      <c r="C179" s="1" t="s">
        <v>12710</v>
      </c>
      <c r="D179" s="1" t="s">
        <v>533</v>
      </c>
      <c r="E179" s="1" t="s">
        <v>534</v>
      </c>
      <c r="F179" s="1" t="s">
        <v>9380</v>
      </c>
      <c r="G179" s="1" t="s">
        <v>8957</v>
      </c>
      <c r="H179" t="s">
        <v>8959</v>
      </c>
      <c r="I179" s="1" t="s">
        <v>9075</v>
      </c>
      <c r="J179" s="1" t="s">
        <v>8971</v>
      </c>
      <c r="K179" s="1" t="s">
        <v>12713</v>
      </c>
      <c r="L179" s="1" t="s">
        <v>8951</v>
      </c>
      <c r="M179" s="1">
        <v>276</v>
      </c>
      <c r="N179" s="1" t="s">
        <v>8953</v>
      </c>
      <c r="O179" s="1" t="s">
        <v>8989</v>
      </c>
      <c r="P179" s="1" t="s">
        <v>8955</v>
      </c>
      <c r="Q179" s="1" t="s">
        <v>8956</v>
      </c>
      <c r="R179" s="1" t="s">
        <v>8957</v>
      </c>
      <c r="S179" s="1" t="s">
        <v>8975</v>
      </c>
      <c r="T179" s="1" t="s">
        <v>535</v>
      </c>
      <c r="U179" s="1" t="s">
        <v>11</v>
      </c>
      <c r="V179" s="1" t="s">
        <v>64</v>
      </c>
      <c r="W179" s="1"/>
    </row>
    <row r="180" spans="1:23" x14ac:dyDescent="0.2">
      <c r="A180" s="94" t="s">
        <v>15676</v>
      </c>
      <c r="B180" s="1" t="e">
        <v>#N/A</v>
      </c>
      <c r="C180" s="1" t="e">
        <v>#N/A</v>
      </c>
      <c r="D180" s="1" t="s">
        <v>536</v>
      </c>
      <c r="E180" s="1" t="s">
        <v>537</v>
      </c>
      <c r="F180" s="1" t="e">
        <v>#N/A</v>
      </c>
      <c r="G180" s="1" t="e">
        <v>#N/A</v>
      </c>
      <c r="H180" t="e">
        <v>#N/A</v>
      </c>
      <c r="I180" s="1" t="e">
        <v>#N/A</v>
      </c>
      <c r="J180" s="1" t="e">
        <v>#N/A</v>
      </c>
      <c r="K180" s="1" t="e">
        <v>#N/A</v>
      </c>
      <c r="L180" s="1" t="e">
        <v>#N/A</v>
      </c>
      <c r="M180" s="1" t="e">
        <v>#N/A</v>
      </c>
      <c r="N180" s="1" t="e">
        <v>#N/A</v>
      </c>
      <c r="O180" s="1" t="e">
        <v>#N/A</v>
      </c>
      <c r="P180" s="1" t="e">
        <v>#N/A</v>
      </c>
      <c r="Q180" s="1" t="e">
        <v>#N/A</v>
      </c>
      <c r="R180" s="1">
        <f t="shared" ref="R180:R181" si="52">1+LEN(T180)-LEN(SUBSTITUTE(T180,",",))</f>
        <v>1</v>
      </c>
      <c r="S180" s="1" t="str">
        <f t="shared" ref="S180:S181" si="53">IF(R180&gt;4,IF(R180&lt;8,"4-7",IF(R180&gt;7,"&gt;7")),"&lt;4")</f>
        <v>&lt;4</v>
      </c>
      <c r="U180" s="1" t="s">
        <v>7</v>
      </c>
      <c r="V180" s="1" t="s">
        <v>538</v>
      </c>
      <c r="W180" s="1"/>
    </row>
    <row r="181" spans="1:23" x14ac:dyDescent="0.2">
      <c r="A181" s="88" t="s">
        <v>15677</v>
      </c>
      <c r="B181" s="1" t="e">
        <v>#N/A</v>
      </c>
      <c r="C181" s="1" t="e">
        <v>#N/A</v>
      </c>
      <c r="D181" s="1" t="s">
        <v>539</v>
      </c>
      <c r="E181" s="1" t="s">
        <v>540</v>
      </c>
      <c r="F181" s="1" t="s">
        <v>9380</v>
      </c>
      <c r="G181" s="1" t="s">
        <v>8957</v>
      </c>
      <c r="H181" t="s">
        <v>8959</v>
      </c>
      <c r="I181" s="1" t="s">
        <v>8948</v>
      </c>
      <c r="J181" s="1" t="s">
        <v>8998</v>
      </c>
      <c r="K181" s="1" t="s">
        <v>18491</v>
      </c>
      <c r="L181" s="1" t="s">
        <v>9076</v>
      </c>
      <c r="M181" s="1">
        <v>16640</v>
      </c>
      <c r="N181" s="1" t="s">
        <v>8953</v>
      </c>
      <c r="O181" s="1" t="s">
        <v>8989</v>
      </c>
      <c r="P181" s="1" t="e">
        <v>#N/A</v>
      </c>
      <c r="Q181" s="1" t="e">
        <v>#N/A</v>
      </c>
      <c r="R181" s="1">
        <f t="shared" si="52"/>
        <v>5</v>
      </c>
      <c r="S181" s="1" t="str">
        <f t="shared" si="53"/>
        <v>4-7</v>
      </c>
      <c r="T181" s="1" t="s">
        <v>18610</v>
      </c>
      <c r="U181" s="1" t="s">
        <v>7</v>
      </c>
      <c r="V181" s="1" t="s">
        <v>93</v>
      </c>
      <c r="W181" s="1"/>
    </row>
    <row r="182" spans="1:23" x14ac:dyDescent="0.2">
      <c r="A182" s="88" t="s">
        <v>15678</v>
      </c>
      <c r="B182" s="1" t="e">
        <v>#N/A</v>
      </c>
      <c r="C182" s="1" t="s">
        <v>15189</v>
      </c>
      <c r="D182" s="1" t="s">
        <v>541</v>
      </c>
      <c r="E182" s="1" t="s">
        <v>542</v>
      </c>
      <c r="F182" s="1" t="s">
        <v>9176</v>
      </c>
      <c r="G182" s="1" t="s">
        <v>8959</v>
      </c>
      <c r="H182" t="s">
        <v>8959</v>
      </c>
      <c r="I182" s="1" t="s">
        <v>8948</v>
      </c>
      <c r="J182" s="1" t="s">
        <v>8949</v>
      </c>
      <c r="K182" s="1" t="s">
        <v>9679</v>
      </c>
      <c r="L182" s="1" t="s">
        <v>8987</v>
      </c>
      <c r="M182" s="1">
        <v>2201</v>
      </c>
      <c r="N182" s="1" t="s">
        <v>9059</v>
      </c>
      <c r="O182" s="1" t="s">
        <v>8954</v>
      </c>
      <c r="P182" s="1" t="s">
        <v>8955</v>
      </c>
      <c r="Q182" s="1" t="s">
        <v>8956</v>
      </c>
      <c r="R182" s="1" t="s">
        <v>8959</v>
      </c>
      <c r="S182" s="1" t="s">
        <v>8958</v>
      </c>
      <c r="T182" s="1" t="s">
        <v>543</v>
      </c>
      <c r="U182" s="1" t="s">
        <v>17</v>
      </c>
      <c r="V182" s="1" t="s">
        <v>544</v>
      </c>
      <c r="W182" s="1"/>
    </row>
    <row r="183" spans="1:23" x14ac:dyDescent="0.2">
      <c r="A183" s="88" t="s">
        <v>15679</v>
      </c>
      <c r="B183" s="1" t="e">
        <v>#N/A</v>
      </c>
      <c r="C183" s="1" t="e">
        <v>#N/A</v>
      </c>
      <c r="D183" s="1" t="s">
        <v>545</v>
      </c>
      <c r="E183" s="1" t="s">
        <v>546</v>
      </c>
      <c r="F183" s="1" t="s">
        <v>9176</v>
      </c>
      <c r="G183" s="1" t="s">
        <v>8959</v>
      </c>
      <c r="H183" t="s">
        <v>8959</v>
      </c>
      <c r="I183" s="1" t="s">
        <v>9100</v>
      </c>
      <c r="J183" s="1" t="s">
        <v>8949</v>
      </c>
      <c r="K183" s="1" t="s">
        <v>9036</v>
      </c>
      <c r="L183" s="1" t="s">
        <v>8987</v>
      </c>
      <c r="M183" s="1">
        <v>55</v>
      </c>
      <c r="N183" s="1" t="s">
        <v>9059</v>
      </c>
      <c r="O183" s="1" t="s">
        <v>8989</v>
      </c>
      <c r="P183" s="1" t="e">
        <v>#N/A</v>
      </c>
      <c r="Q183" s="1" t="e">
        <v>#N/A</v>
      </c>
      <c r="R183" s="1">
        <f t="shared" ref="R183:R184" si="54">1+LEN(T183)-LEN(SUBSTITUTE(T183,",",))</f>
        <v>8</v>
      </c>
      <c r="S183" s="1" t="str">
        <f t="shared" ref="S183:S184" si="55">IF(R183&gt;4,IF(R183&lt;8,"4-7",IF(R183&gt;7,"&gt;7")),"&lt;4")</f>
        <v>&gt;7</v>
      </c>
      <c r="T183" s="1" t="s">
        <v>18611</v>
      </c>
      <c r="U183" s="1" t="s">
        <v>17</v>
      </c>
      <c r="V183" s="1" t="s">
        <v>547</v>
      </c>
      <c r="W183" s="1"/>
    </row>
    <row r="184" spans="1:23" x14ac:dyDescent="0.2">
      <c r="A184" s="88" t="s">
        <v>15680</v>
      </c>
      <c r="B184" s="1" t="e">
        <v>#N/A</v>
      </c>
      <c r="C184" s="1" t="e">
        <v>#N/A</v>
      </c>
      <c r="D184" s="1" t="s">
        <v>548</v>
      </c>
      <c r="E184" s="1" t="s">
        <v>549</v>
      </c>
      <c r="F184" s="1" t="s">
        <v>9213</v>
      </c>
      <c r="G184" s="1" t="s">
        <v>8957</v>
      </c>
      <c r="H184" t="s">
        <v>8959</v>
      </c>
      <c r="I184" s="1" t="s">
        <v>8948</v>
      </c>
      <c r="J184" s="1" t="s">
        <v>8998</v>
      </c>
      <c r="K184" s="1" t="s">
        <v>9036</v>
      </c>
      <c r="L184" s="1" t="s">
        <v>8973</v>
      </c>
      <c r="M184" s="1">
        <f>1684+3490</f>
        <v>5174</v>
      </c>
      <c r="N184" s="1" t="s">
        <v>8953</v>
      </c>
      <c r="O184" s="1" t="s">
        <v>8954</v>
      </c>
      <c r="P184" s="1" t="e">
        <v>#N/A</v>
      </c>
      <c r="Q184" s="1" t="e">
        <v>#N/A</v>
      </c>
      <c r="R184" s="1">
        <f t="shared" si="54"/>
        <v>10</v>
      </c>
      <c r="S184" s="1" t="str">
        <f t="shared" si="55"/>
        <v>&gt;7</v>
      </c>
      <c r="T184" s="1" t="s">
        <v>18612</v>
      </c>
      <c r="U184" s="1" t="s">
        <v>7</v>
      </c>
      <c r="V184" s="1" t="s">
        <v>184</v>
      </c>
      <c r="W184" s="1"/>
    </row>
    <row r="185" spans="1:23" x14ac:dyDescent="0.2">
      <c r="A185" s="88" t="s">
        <v>15681</v>
      </c>
      <c r="B185" s="1" t="e">
        <v>#N/A</v>
      </c>
      <c r="C185" s="1" t="s">
        <v>10616</v>
      </c>
      <c r="D185" s="1" t="s">
        <v>550</v>
      </c>
      <c r="E185" s="1" t="s">
        <v>551</v>
      </c>
      <c r="F185" s="1" t="s">
        <v>9213</v>
      </c>
      <c r="G185" s="1" t="s">
        <v>9060</v>
      </c>
      <c r="H185" t="s">
        <v>9009</v>
      </c>
      <c r="I185" s="1" t="s">
        <v>9035</v>
      </c>
      <c r="J185" s="1" t="s">
        <v>8998</v>
      </c>
      <c r="K185" s="1" t="s">
        <v>9036</v>
      </c>
      <c r="L185" s="1" t="s">
        <v>8987</v>
      </c>
      <c r="M185" s="1">
        <v>106</v>
      </c>
      <c r="N185" s="1" t="s">
        <v>8953</v>
      </c>
      <c r="O185" s="1" t="s">
        <v>8989</v>
      </c>
      <c r="P185" s="1" t="s">
        <v>8955</v>
      </c>
      <c r="Q185" s="1" t="s">
        <v>8956</v>
      </c>
      <c r="R185" s="1" t="s">
        <v>9060</v>
      </c>
      <c r="S185" s="1" t="s">
        <v>8958</v>
      </c>
      <c r="T185" s="1" t="s">
        <v>552</v>
      </c>
      <c r="U185" s="1" t="s">
        <v>11</v>
      </c>
      <c r="V185" s="1" t="s">
        <v>24</v>
      </c>
      <c r="W185" s="1"/>
    </row>
    <row r="186" spans="1:23" x14ac:dyDescent="0.2">
      <c r="A186" s="88" t="s">
        <v>15682</v>
      </c>
      <c r="B186" s="1" t="e">
        <v>#N/A</v>
      </c>
      <c r="C186" s="1" t="e">
        <v>#N/A</v>
      </c>
      <c r="D186" s="1" t="s">
        <v>553</v>
      </c>
      <c r="E186" s="1" t="s">
        <v>554</v>
      </c>
      <c r="F186" s="1" t="s">
        <v>9213</v>
      </c>
      <c r="G186" s="1" t="s">
        <v>8957</v>
      </c>
      <c r="H186" t="s">
        <v>9061</v>
      </c>
      <c r="I186" s="1" t="s">
        <v>9100</v>
      </c>
      <c r="J186" s="1" t="s">
        <v>8949</v>
      </c>
      <c r="K186" s="1" t="s">
        <v>9041</v>
      </c>
      <c r="L186" s="1" t="s">
        <v>8987</v>
      </c>
      <c r="M186" s="1">
        <f>445+109+57+82</f>
        <v>693</v>
      </c>
      <c r="N186" s="1" t="s">
        <v>8953</v>
      </c>
      <c r="O186" s="1" t="s">
        <v>8989</v>
      </c>
      <c r="P186" s="1" t="e">
        <v>#N/A</v>
      </c>
      <c r="Q186" s="1" t="e">
        <v>#N/A</v>
      </c>
      <c r="R186" s="1">
        <f t="shared" ref="R186:R191" si="56">1+LEN(T186)-LEN(SUBSTITUTE(T186,",",))</f>
        <v>9</v>
      </c>
      <c r="S186" s="1" t="str">
        <f t="shared" ref="S186:S191" si="57">IF(R186&gt;4,IF(R186&lt;8,"4-7",IF(R186&gt;7,"&gt;7")),"&lt;4")</f>
        <v>&gt;7</v>
      </c>
      <c r="T186" s="1" t="s">
        <v>18613</v>
      </c>
      <c r="U186" s="1" t="s">
        <v>7</v>
      </c>
      <c r="V186" s="1" t="s">
        <v>24</v>
      </c>
      <c r="W186" s="1"/>
    </row>
    <row r="187" spans="1:23" x14ac:dyDescent="0.2">
      <c r="A187" s="88" t="s">
        <v>15683</v>
      </c>
      <c r="B187" s="1" t="e">
        <v>#N/A</v>
      </c>
      <c r="C187" s="1" t="e">
        <v>#N/A</v>
      </c>
      <c r="D187" s="1" t="s">
        <v>555</v>
      </c>
      <c r="E187" s="1" t="s">
        <v>556</v>
      </c>
      <c r="F187" s="1" t="s">
        <v>18502</v>
      </c>
      <c r="G187" s="1" t="s">
        <v>8957</v>
      </c>
      <c r="H187" t="s">
        <v>8959</v>
      </c>
      <c r="I187" s="1" t="s">
        <v>9035</v>
      </c>
      <c r="J187" s="1" t="s">
        <v>8998</v>
      </c>
      <c r="K187" s="1" t="s">
        <v>10492</v>
      </c>
      <c r="L187" s="1" t="s">
        <v>9157</v>
      </c>
      <c r="M187" s="1">
        <v>96</v>
      </c>
      <c r="N187" s="1" t="s">
        <v>9059</v>
      </c>
      <c r="O187" s="1" t="s">
        <v>8989</v>
      </c>
      <c r="P187" s="1" t="e">
        <v>#N/A</v>
      </c>
      <c r="Q187" s="1" t="e">
        <v>#N/A</v>
      </c>
      <c r="R187" s="1">
        <f t="shared" si="56"/>
        <v>16</v>
      </c>
      <c r="S187" s="1" t="str">
        <f t="shared" si="57"/>
        <v>&gt;7</v>
      </c>
      <c r="T187" s="1" t="s">
        <v>18614</v>
      </c>
      <c r="U187" s="1" t="s">
        <v>17</v>
      </c>
      <c r="V187" s="1" t="s">
        <v>24</v>
      </c>
      <c r="W187" s="1"/>
    </row>
    <row r="188" spans="1:23" x14ac:dyDescent="0.2">
      <c r="A188" s="88" t="s">
        <v>15684</v>
      </c>
      <c r="B188" s="1" t="e">
        <v>#N/A</v>
      </c>
      <c r="C188" s="1" t="e">
        <v>#N/A</v>
      </c>
      <c r="D188" s="1" t="s">
        <v>557</v>
      </c>
      <c r="E188" s="1" t="s">
        <v>558</v>
      </c>
      <c r="F188" s="1" t="s">
        <v>18502</v>
      </c>
      <c r="G188" s="1" t="s">
        <v>8959</v>
      </c>
      <c r="H188" t="s">
        <v>9183</v>
      </c>
      <c r="I188" s="1" t="s">
        <v>9075</v>
      </c>
      <c r="J188" s="1" t="s">
        <v>8998</v>
      </c>
      <c r="K188" s="1" t="s">
        <v>9036</v>
      </c>
      <c r="L188" s="1" t="s">
        <v>9133</v>
      </c>
      <c r="M188" s="1">
        <f>3055+526</f>
        <v>3581</v>
      </c>
      <c r="N188" s="1" t="s">
        <v>8953</v>
      </c>
      <c r="O188" s="1" t="s">
        <v>8989</v>
      </c>
      <c r="P188" s="1" t="e">
        <v>#N/A</v>
      </c>
      <c r="Q188" s="1" t="e">
        <v>#N/A</v>
      </c>
      <c r="R188" s="1">
        <f t="shared" si="56"/>
        <v>7</v>
      </c>
      <c r="S188" s="1" t="str">
        <f t="shared" si="57"/>
        <v>4-7</v>
      </c>
      <c r="T188" s="1" t="s">
        <v>18615</v>
      </c>
      <c r="U188" s="1" t="s">
        <v>7</v>
      </c>
      <c r="V188" s="1" t="s">
        <v>559</v>
      </c>
      <c r="W188" s="1"/>
    </row>
    <row r="189" spans="1:23" x14ac:dyDescent="0.2">
      <c r="A189" s="88" t="s">
        <v>15685</v>
      </c>
      <c r="B189" s="1" t="e">
        <v>#N/A</v>
      </c>
      <c r="C189" s="1" t="e">
        <v>#N/A</v>
      </c>
      <c r="D189" s="1" t="s">
        <v>560</v>
      </c>
      <c r="E189" s="1" t="s">
        <v>561</v>
      </c>
      <c r="F189" s="1" t="s">
        <v>18502</v>
      </c>
      <c r="G189" s="1" t="s">
        <v>8957</v>
      </c>
      <c r="H189" t="s">
        <v>9061</v>
      </c>
      <c r="I189" s="1" t="s">
        <v>8984</v>
      </c>
      <c r="J189" s="1" t="s">
        <v>8998</v>
      </c>
      <c r="K189" s="1" t="s">
        <v>10525</v>
      </c>
      <c r="L189" s="1" t="s">
        <v>8973</v>
      </c>
      <c r="M189" s="1">
        <v>82</v>
      </c>
      <c r="N189" s="1" t="s">
        <v>9059</v>
      </c>
      <c r="O189" s="1" t="s">
        <v>8989</v>
      </c>
      <c r="P189" s="1" t="e">
        <v>#N/A</v>
      </c>
      <c r="Q189" s="1" t="e">
        <v>#N/A</v>
      </c>
      <c r="R189" s="1">
        <f t="shared" si="56"/>
        <v>7</v>
      </c>
      <c r="S189" s="1" t="str">
        <f t="shared" si="57"/>
        <v>4-7</v>
      </c>
      <c r="T189" s="1" t="s">
        <v>18616</v>
      </c>
      <c r="U189" s="1" t="s">
        <v>7</v>
      </c>
      <c r="V189" s="1" t="s">
        <v>562</v>
      </c>
      <c r="W189" s="1"/>
    </row>
    <row r="190" spans="1:23" x14ac:dyDescent="0.2">
      <c r="A190" s="88" t="s">
        <v>15686</v>
      </c>
      <c r="B190" s="1" t="e">
        <v>#N/A</v>
      </c>
      <c r="C190" s="1" t="e">
        <v>#N/A</v>
      </c>
      <c r="D190" s="1" t="s">
        <v>563</v>
      </c>
      <c r="E190" s="1" t="s">
        <v>564</v>
      </c>
      <c r="F190" s="1" t="s">
        <v>18502</v>
      </c>
      <c r="G190" s="1" t="s">
        <v>8959</v>
      </c>
      <c r="H190" t="s">
        <v>9183</v>
      </c>
      <c r="I190" s="1" t="s">
        <v>9075</v>
      </c>
      <c r="J190" s="1" t="s">
        <v>8971</v>
      </c>
      <c r="K190" s="1" t="s">
        <v>9102</v>
      </c>
      <c r="L190" s="1" t="s">
        <v>9157</v>
      </c>
      <c r="M190" s="1">
        <v>32</v>
      </c>
      <c r="N190" s="1" t="s">
        <v>9059</v>
      </c>
      <c r="O190" s="1" t="s">
        <v>8989</v>
      </c>
      <c r="P190" s="1" t="e">
        <v>#N/A</v>
      </c>
      <c r="Q190" s="1" t="e">
        <v>#N/A</v>
      </c>
      <c r="R190" s="1">
        <f t="shared" si="56"/>
        <v>12</v>
      </c>
      <c r="S190" s="1" t="str">
        <f t="shared" si="57"/>
        <v>&gt;7</v>
      </c>
      <c r="T190" s="1" t="s">
        <v>20547</v>
      </c>
      <c r="U190" s="1" t="s">
        <v>17</v>
      </c>
      <c r="V190" s="1" t="s">
        <v>565</v>
      </c>
      <c r="W190" s="1"/>
    </row>
    <row r="191" spans="1:23" x14ac:dyDescent="0.2">
      <c r="A191" s="88" t="s">
        <v>15687</v>
      </c>
      <c r="B191" s="1" t="e">
        <v>#N/A</v>
      </c>
      <c r="C191" s="1" t="e">
        <v>#N/A</v>
      </c>
      <c r="D191" s="1" t="s">
        <v>566</v>
      </c>
      <c r="E191" s="1" t="s">
        <v>567</v>
      </c>
      <c r="F191" s="1" t="s">
        <v>18502</v>
      </c>
      <c r="G191" s="1" t="s">
        <v>8974</v>
      </c>
      <c r="H191" t="s">
        <v>9061</v>
      </c>
      <c r="I191" s="1" t="s">
        <v>9154</v>
      </c>
      <c r="J191" s="1" t="s">
        <v>8949</v>
      </c>
      <c r="K191" s="1" t="s">
        <v>20744</v>
      </c>
      <c r="L191" s="1" t="s">
        <v>8987</v>
      </c>
      <c r="M191" s="1">
        <v>425</v>
      </c>
      <c r="N191" s="1" t="s">
        <v>9059</v>
      </c>
      <c r="O191" s="1" t="s">
        <v>8989</v>
      </c>
      <c r="P191" s="1" t="e">
        <v>#N/A</v>
      </c>
      <c r="Q191" s="1" t="e">
        <v>#N/A</v>
      </c>
      <c r="R191" s="1">
        <f t="shared" si="56"/>
        <v>5</v>
      </c>
      <c r="S191" s="1" t="str">
        <f t="shared" si="57"/>
        <v>4-7</v>
      </c>
      <c r="T191" s="1" t="s">
        <v>18617</v>
      </c>
      <c r="U191" s="1" t="s">
        <v>17</v>
      </c>
      <c r="V191" s="1" t="s">
        <v>161</v>
      </c>
      <c r="W191" s="1"/>
    </row>
    <row r="192" spans="1:23" x14ac:dyDescent="0.2">
      <c r="A192" s="88" t="s">
        <v>15688</v>
      </c>
      <c r="B192" s="1" t="e">
        <v>#N/A</v>
      </c>
      <c r="C192" s="1" t="s">
        <v>11538</v>
      </c>
      <c r="D192" s="1" t="s">
        <v>568</v>
      </c>
      <c r="E192" s="1" t="s">
        <v>569</v>
      </c>
      <c r="F192" s="1" t="s">
        <v>10873</v>
      </c>
      <c r="G192" s="1" t="s">
        <v>8957</v>
      </c>
      <c r="H192" t="s">
        <v>9009</v>
      </c>
      <c r="I192" s="1" t="s">
        <v>9154</v>
      </c>
      <c r="J192" s="1" t="s">
        <v>8949</v>
      </c>
      <c r="K192" s="1" t="s">
        <v>9436</v>
      </c>
      <c r="L192" s="1" t="s">
        <v>9133</v>
      </c>
      <c r="M192" s="1">
        <v>600</v>
      </c>
      <c r="N192" s="1" t="s">
        <v>9059</v>
      </c>
      <c r="O192" s="1" t="s">
        <v>8989</v>
      </c>
      <c r="P192" s="1" t="s">
        <v>8955</v>
      </c>
      <c r="Q192" s="1" t="s">
        <v>8956</v>
      </c>
      <c r="R192" s="1" t="s">
        <v>8957</v>
      </c>
      <c r="S192" s="1" t="s">
        <v>8975</v>
      </c>
      <c r="T192" s="1" t="s">
        <v>570</v>
      </c>
      <c r="U192" s="1" t="s">
        <v>11</v>
      </c>
      <c r="V192" s="1" t="s">
        <v>571</v>
      </c>
      <c r="W192" s="1"/>
    </row>
    <row r="193" spans="1:23" x14ac:dyDescent="0.2">
      <c r="A193" s="89" t="s">
        <v>15689</v>
      </c>
      <c r="B193" s="1" t="e">
        <v>#N/A</v>
      </c>
      <c r="C193" s="1" t="e">
        <v>#N/A</v>
      </c>
      <c r="D193" s="5" t="s">
        <v>572</v>
      </c>
      <c r="E193" s="1" t="s">
        <v>573</v>
      </c>
      <c r="F193" s="1" t="e">
        <v>#N/A</v>
      </c>
      <c r="G193" s="1" t="e">
        <v>#N/A</v>
      </c>
      <c r="H193" t="e">
        <v>#N/A</v>
      </c>
      <c r="I193" s="1" t="e">
        <v>#N/A</v>
      </c>
      <c r="J193" s="1" t="e">
        <v>#N/A</v>
      </c>
      <c r="K193" s="1" t="e">
        <v>#N/A</v>
      </c>
      <c r="L193" s="1" t="e">
        <v>#N/A</v>
      </c>
      <c r="M193" s="1" t="e">
        <v>#N/A</v>
      </c>
      <c r="N193" s="1" t="e">
        <v>#N/A</v>
      </c>
      <c r="O193" s="1" t="e">
        <v>#N/A</v>
      </c>
      <c r="P193" s="1" t="e">
        <v>#N/A</v>
      </c>
      <c r="Q193" s="1" t="e">
        <v>#N/A</v>
      </c>
      <c r="R193" s="1">
        <f>1+LEN(T193)-LEN(SUBSTITUTE(T193,",",))</f>
        <v>5</v>
      </c>
      <c r="S193" s="1" t="str">
        <f>IF(R193&gt;4,IF(R193&lt;8,"4-7",IF(R193&gt;7,"&gt;7")),"&lt;4")</f>
        <v>4-7</v>
      </c>
      <c r="T193" s="1" t="s">
        <v>18618</v>
      </c>
      <c r="U193" s="1" t="s">
        <v>7</v>
      </c>
      <c r="V193" s="1" t="s">
        <v>107</v>
      </c>
      <c r="W193" s="1"/>
    </row>
    <row r="194" spans="1:23" x14ac:dyDescent="0.2">
      <c r="A194" s="88" t="s">
        <v>15690</v>
      </c>
      <c r="B194" s="1" t="e">
        <v>#N/A</v>
      </c>
      <c r="C194" s="1" t="s">
        <v>9397</v>
      </c>
      <c r="D194" s="1" t="s">
        <v>574</v>
      </c>
      <c r="E194" s="1" t="s">
        <v>575</v>
      </c>
      <c r="F194" s="1" t="s">
        <v>9317</v>
      </c>
      <c r="G194" s="1" t="s">
        <v>8957</v>
      </c>
      <c r="H194" t="s">
        <v>8959</v>
      </c>
      <c r="I194" s="1" t="s">
        <v>9049</v>
      </c>
      <c r="J194" s="1" t="s">
        <v>9050</v>
      </c>
      <c r="K194" s="1" t="s">
        <v>9018</v>
      </c>
      <c r="L194" s="1" t="s">
        <v>8987</v>
      </c>
      <c r="M194" s="1">
        <v>1274</v>
      </c>
      <c r="N194" s="1" t="s">
        <v>8953</v>
      </c>
      <c r="O194" s="1" t="s">
        <v>8954</v>
      </c>
      <c r="P194" s="1" t="s">
        <v>8955</v>
      </c>
      <c r="Q194" s="1" t="s">
        <v>8956</v>
      </c>
      <c r="R194" s="1" t="s">
        <v>8957</v>
      </c>
      <c r="S194" s="1" t="s">
        <v>8958</v>
      </c>
      <c r="T194" s="1" t="s">
        <v>576</v>
      </c>
      <c r="U194" s="1" t="s">
        <v>17</v>
      </c>
      <c r="V194" s="1" t="s">
        <v>577</v>
      </c>
      <c r="W194" s="1"/>
    </row>
    <row r="195" spans="1:23" x14ac:dyDescent="0.2">
      <c r="A195" s="94" t="s">
        <v>15691</v>
      </c>
      <c r="B195" s="1" t="e">
        <v>#N/A</v>
      </c>
      <c r="C195" s="1" t="e">
        <v>#N/A</v>
      </c>
      <c r="D195" s="1" t="s">
        <v>578</v>
      </c>
      <c r="E195" s="1" t="s">
        <v>579</v>
      </c>
      <c r="F195" s="1" t="e">
        <v>#N/A</v>
      </c>
      <c r="G195" s="1" t="e">
        <v>#N/A</v>
      </c>
      <c r="H195" t="e">
        <v>#N/A</v>
      </c>
      <c r="I195" s="1" t="e">
        <v>#N/A</v>
      </c>
      <c r="J195" s="1" t="e">
        <v>#N/A</v>
      </c>
      <c r="K195" s="1" t="e">
        <v>#N/A</v>
      </c>
      <c r="L195" s="1" t="e">
        <v>#N/A</v>
      </c>
      <c r="M195" s="1" t="e">
        <v>#N/A</v>
      </c>
      <c r="N195" s="1" t="e">
        <v>#N/A</v>
      </c>
      <c r="O195" s="1" t="e">
        <v>#N/A</v>
      </c>
      <c r="P195" s="1" t="e">
        <v>#N/A</v>
      </c>
      <c r="Q195" s="1" t="e">
        <v>#N/A</v>
      </c>
      <c r="R195" s="1">
        <f t="shared" ref="R195:R197" si="58">1+LEN(T195)-LEN(SUBSTITUTE(T195,",",))</f>
        <v>6</v>
      </c>
      <c r="S195" s="1" t="str">
        <f t="shared" ref="S195:S197" si="59">IF(R195&gt;4,IF(R195&lt;8,"4-7",IF(R195&gt;7,"&gt;7")),"&lt;4")</f>
        <v>4-7</v>
      </c>
      <c r="T195" s="1" t="s">
        <v>18619</v>
      </c>
      <c r="U195" s="1" t="s">
        <v>7</v>
      </c>
      <c r="V195" s="1" t="s">
        <v>580</v>
      </c>
      <c r="W195" s="1"/>
    </row>
    <row r="196" spans="1:23" x14ac:dyDescent="0.2">
      <c r="A196" s="88" t="s">
        <v>15692</v>
      </c>
      <c r="B196" s="1" t="e">
        <v>#N/A</v>
      </c>
      <c r="C196" s="1" t="e">
        <v>#N/A</v>
      </c>
      <c r="D196" s="1" t="s">
        <v>581</v>
      </c>
      <c r="E196" s="1" t="s">
        <v>582</v>
      </c>
      <c r="F196" s="1" t="s">
        <v>18502</v>
      </c>
      <c r="G196" s="1" t="s">
        <v>9060</v>
      </c>
      <c r="H196" t="s">
        <v>9061</v>
      </c>
      <c r="I196" s="1" t="s">
        <v>20712</v>
      </c>
      <c r="J196" s="1" t="s">
        <v>9155</v>
      </c>
      <c r="K196" s="1" t="s">
        <v>20735</v>
      </c>
      <c r="L196" s="1" t="s">
        <v>9292</v>
      </c>
      <c r="M196" s="1">
        <f>88702</f>
        <v>88702</v>
      </c>
      <c r="N196" s="1" t="s">
        <v>8953</v>
      </c>
      <c r="O196" s="1" t="s">
        <v>8954</v>
      </c>
      <c r="P196" s="1" t="e">
        <v>#N/A</v>
      </c>
      <c r="Q196" s="1" t="e">
        <v>#N/A</v>
      </c>
      <c r="R196" s="1">
        <f t="shared" si="58"/>
        <v>4</v>
      </c>
      <c r="S196" s="1" t="str">
        <f t="shared" si="59"/>
        <v>&lt;4</v>
      </c>
      <c r="T196" s="1" t="s">
        <v>20548</v>
      </c>
      <c r="U196" s="1" t="s">
        <v>7</v>
      </c>
      <c r="V196" s="1" t="s">
        <v>584</v>
      </c>
      <c r="W196" s="1"/>
    </row>
    <row r="197" spans="1:23" x14ac:dyDescent="0.2">
      <c r="A197" s="94" t="s">
        <v>15693</v>
      </c>
      <c r="B197" s="1" t="e">
        <v>#N/A</v>
      </c>
      <c r="C197" s="1" t="e">
        <v>#N/A</v>
      </c>
      <c r="D197" s="1" t="s">
        <v>585</v>
      </c>
      <c r="E197" s="1" t="s">
        <v>583</v>
      </c>
      <c r="F197" s="1" t="e">
        <v>#N/A</v>
      </c>
      <c r="G197" s="1" t="e">
        <v>#N/A</v>
      </c>
      <c r="H197" t="e">
        <v>#N/A</v>
      </c>
      <c r="I197" s="1" t="e">
        <v>#N/A</v>
      </c>
      <c r="J197" s="1" t="e">
        <v>#N/A</v>
      </c>
      <c r="K197" s="1" t="e">
        <v>#N/A</v>
      </c>
      <c r="L197" s="1" t="e">
        <v>#N/A</v>
      </c>
      <c r="M197" s="1" t="e">
        <v>#N/A</v>
      </c>
      <c r="N197" s="1" t="e">
        <v>#N/A</v>
      </c>
      <c r="O197" s="1" t="e">
        <v>#N/A</v>
      </c>
      <c r="P197" s="1" t="e">
        <v>#N/A</v>
      </c>
      <c r="Q197" s="1" t="e">
        <v>#N/A</v>
      </c>
      <c r="R197" s="1">
        <f t="shared" si="58"/>
        <v>1</v>
      </c>
      <c r="S197" s="1" t="str">
        <f t="shared" si="59"/>
        <v>&lt;4</v>
      </c>
      <c r="U197" s="1" t="s">
        <v>7</v>
      </c>
      <c r="V197" s="1" t="s">
        <v>584</v>
      </c>
      <c r="W197" s="1"/>
    </row>
    <row r="198" spans="1:23" x14ac:dyDescent="0.2">
      <c r="A198" s="88" t="s">
        <v>15694</v>
      </c>
      <c r="B198" s="1" t="e">
        <v>#N/A</v>
      </c>
      <c r="C198" s="1" t="s">
        <v>10598</v>
      </c>
      <c r="D198" s="1" t="s">
        <v>586</v>
      </c>
      <c r="E198" s="1" t="s">
        <v>587</v>
      </c>
      <c r="F198" s="1" t="s">
        <v>9010</v>
      </c>
      <c r="G198" s="1" t="s">
        <v>8957</v>
      </c>
      <c r="H198" t="s">
        <v>9061</v>
      </c>
      <c r="I198" s="1" t="s">
        <v>9092</v>
      </c>
      <c r="J198" s="1" t="s">
        <v>8998</v>
      </c>
      <c r="K198" s="1" t="s">
        <v>10601</v>
      </c>
      <c r="L198" s="1" t="s">
        <v>8973</v>
      </c>
      <c r="M198" s="1">
        <v>136</v>
      </c>
      <c r="N198" s="1" t="s">
        <v>8953</v>
      </c>
      <c r="O198" s="1" t="s">
        <v>8954</v>
      </c>
      <c r="P198" s="1" t="s">
        <v>8955</v>
      </c>
      <c r="Q198" s="1" t="s">
        <v>8956</v>
      </c>
      <c r="R198" s="1" t="s">
        <v>8957</v>
      </c>
      <c r="S198" s="1" t="s">
        <v>8958</v>
      </c>
      <c r="T198" s="1" t="s">
        <v>588</v>
      </c>
      <c r="U198" s="1" t="s">
        <v>11</v>
      </c>
      <c r="V198" s="1" t="s">
        <v>378</v>
      </c>
      <c r="W198" s="1"/>
    </row>
    <row r="199" spans="1:23" x14ac:dyDescent="0.2">
      <c r="A199" s="88" t="s">
        <v>15695</v>
      </c>
      <c r="B199" s="1" t="e">
        <v>#N/A</v>
      </c>
      <c r="C199" s="1" t="e">
        <v>#N/A</v>
      </c>
      <c r="D199" s="1" t="s">
        <v>589</v>
      </c>
      <c r="E199" s="1" t="s">
        <v>590</v>
      </c>
      <c r="F199" s="1" t="s">
        <v>18502</v>
      </c>
      <c r="G199" s="1" t="s">
        <v>8959</v>
      </c>
      <c r="H199" t="s">
        <v>8959</v>
      </c>
      <c r="I199" s="1" t="s">
        <v>20712</v>
      </c>
      <c r="J199" s="1" t="s">
        <v>9155</v>
      </c>
      <c r="K199" s="1" t="s">
        <v>9212</v>
      </c>
      <c r="L199" s="1" t="s">
        <v>8973</v>
      </c>
      <c r="M199" s="1">
        <v>380</v>
      </c>
      <c r="N199" s="1" t="s">
        <v>9059</v>
      </c>
      <c r="O199" s="1" t="s">
        <v>8954</v>
      </c>
      <c r="P199" s="1" t="e">
        <v>#N/A</v>
      </c>
      <c r="Q199" s="1" t="e">
        <v>#N/A</v>
      </c>
      <c r="R199" s="1">
        <f t="shared" ref="R199:R200" si="60">1+LEN(T199)-LEN(SUBSTITUTE(T199,",",))</f>
        <v>2</v>
      </c>
      <c r="S199" s="1" t="str">
        <f t="shared" ref="S199:S200" si="61">IF(R199&gt;4,IF(R199&lt;8,"4-7",IF(R199&gt;7,"&gt;7")),"&lt;4")</f>
        <v>&lt;4</v>
      </c>
      <c r="T199" s="1" t="s">
        <v>18620</v>
      </c>
      <c r="U199" s="1" t="s">
        <v>7</v>
      </c>
      <c r="V199" s="1" t="s">
        <v>342</v>
      </c>
      <c r="W199" s="1"/>
    </row>
    <row r="200" spans="1:23" x14ac:dyDescent="0.2">
      <c r="A200" s="88" t="s">
        <v>15696</v>
      </c>
      <c r="B200" s="1" t="e">
        <v>#N/A</v>
      </c>
      <c r="C200" s="1" t="e">
        <v>#N/A</v>
      </c>
      <c r="D200" s="1" t="s">
        <v>591</v>
      </c>
      <c r="E200" s="1" t="s">
        <v>592</v>
      </c>
      <c r="F200" s="1" t="s">
        <v>18502</v>
      </c>
      <c r="G200" s="1" t="s">
        <v>8957</v>
      </c>
      <c r="H200" t="s">
        <v>8959</v>
      </c>
      <c r="I200" s="1" t="s">
        <v>9154</v>
      </c>
      <c r="J200" s="1" t="s">
        <v>8959</v>
      </c>
      <c r="K200" s="1" t="s">
        <v>20742</v>
      </c>
      <c r="L200" s="1" t="s">
        <v>9076</v>
      </c>
      <c r="M200" s="1">
        <v>90941</v>
      </c>
      <c r="N200" s="1" t="s">
        <v>8953</v>
      </c>
      <c r="O200" s="1" t="s">
        <v>8989</v>
      </c>
      <c r="P200" s="1" t="e">
        <v>#N/A</v>
      </c>
      <c r="Q200" s="1" t="e">
        <v>#N/A</v>
      </c>
      <c r="R200" s="1">
        <f t="shared" si="60"/>
        <v>6</v>
      </c>
      <c r="S200" s="1" t="str">
        <f t="shared" si="61"/>
        <v>4-7</v>
      </c>
      <c r="T200" s="1" t="s">
        <v>18621</v>
      </c>
      <c r="U200" s="1" t="s">
        <v>17</v>
      </c>
      <c r="V200" s="1" t="s">
        <v>24</v>
      </c>
      <c r="W200" s="1"/>
    </row>
    <row r="201" spans="1:23" x14ac:dyDescent="0.2">
      <c r="A201" s="88" t="s">
        <v>15697</v>
      </c>
      <c r="B201" s="1" t="e">
        <v>#N/A</v>
      </c>
      <c r="C201" s="1" t="s">
        <v>12983</v>
      </c>
      <c r="D201" s="1" t="s">
        <v>593</v>
      </c>
      <c r="E201" s="1" t="s">
        <v>594</v>
      </c>
      <c r="F201" s="1" t="s">
        <v>12547</v>
      </c>
      <c r="G201" s="1" t="s">
        <v>8959</v>
      </c>
      <c r="H201" t="s">
        <v>8959</v>
      </c>
      <c r="I201" s="1" t="s">
        <v>9252</v>
      </c>
      <c r="J201" s="1" t="s">
        <v>9253</v>
      </c>
      <c r="K201" s="1" t="s">
        <v>9036</v>
      </c>
      <c r="L201" s="1" t="s">
        <v>8951</v>
      </c>
      <c r="M201" s="1">
        <v>84</v>
      </c>
      <c r="N201" s="1" t="s">
        <v>8953</v>
      </c>
      <c r="O201" s="1" t="s">
        <v>8954</v>
      </c>
      <c r="P201" s="1" t="s">
        <v>8955</v>
      </c>
      <c r="Q201" s="1" t="s">
        <v>8956</v>
      </c>
      <c r="R201" s="1" t="s">
        <v>8959</v>
      </c>
      <c r="S201" s="1" t="s">
        <v>8958</v>
      </c>
      <c r="T201" s="1" t="s">
        <v>595</v>
      </c>
      <c r="U201" s="1" t="s">
        <v>11</v>
      </c>
      <c r="V201" s="1" t="s">
        <v>184</v>
      </c>
      <c r="W201" s="1"/>
    </row>
    <row r="202" spans="1:23" x14ac:dyDescent="0.2">
      <c r="A202" s="88" t="s">
        <v>15698</v>
      </c>
      <c r="B202" s="1" t="e">
        <v>#N/A</v>
      </c>
      <c r="C202" s="1" t="e">
        <v>#N/A</v>
      </c>
      <c r="D202" s="1" t="s">
        <v>596</v>
      </c>
      <c r="E202" s="1" t="s">
        <v>597</v>
      </c>
      <c r="F202" s="1" t="s">
        <v>18502</v>
      </c>
      <c r="G202" s="1" t="s">
        <v>8957</v>
      </c>
      <c r="H202" t="s">
        <v>8959</v>
      </c>
      <c r="I202" s="1" t="s">
        <v>9252</v>
      </c>
      <c r="J202" s="1" t="s">
        <v>18504</v>
      </c>
      <c r="K202" s="1" t="s">
        <v>21412</v>
      </c>
      <c r="L202" s="1" t="s">
        <v>8987</v>
      </c>
      <c r="M202" s="1">
        <f>300000+22091</f>
        <v>322091</v>
      </c>
      <c r="N202" s="1" t="s">
        <v>8953</v>
      </c>
      <c r="O202" s="1" t="s">
        <v>8954</v>
      </c>
      <c r="P202" s="1" t="e">
        <v>#N/A</v>
      </c>
      <c r="Q202" s="1" t="e">
        <v>#N/A</v>
      </c>
      <c r="R202" s="1">
        <f>1+LEN(T202)-LEN(SUBSTITUTE(T202,",",))</f>
        <v>6</v>
      </c>
      <c r="S202" s="1" t="str">
        <f>IF(R202&gt;4,IF(R202&lt;8,"4-7",IF(R202&gt;7,"&gt;7")),"&lt;4")</f>
        <v>4-7</v>
      </c>
      <c r="T202" s="1" t="s">
        <v>18622</v>
      </c>
      <c r="U202" s="1" t="s">
        <v>17</v>
      </c>
      <c r="V202" s="1" t="s">
        <v>598</v>
      </c>
      <c r="W202" s="1"/>
    </row>
    <row r="203" spans="1:23" x14ac:dyDescent="0.2">
      <c r="A203" s="88" t="s">
        <v>15699</v>
      </c>
      <c r="B203" s="1" t="e">
        <v>#N/A</v>
      </c>
      <c r="C203" s="1" t="s">
        <v>13868</v>
      </c>
      <c r="D203" s="1" t="s">
        <v>599</v>
      </c>
      <c r="E203" s="1" t="s">
        <v>600</v>
      </c>
      <c r="F203" s="1" t="s">
        <v>9010</v>
      </c>
      <c r="G203" s="1" t="s">
        <v>8957</v>
      </c>
      <c r="H203" t="s">
        <v>9061</v>
      </c>
      <c r="I203" s="1" t="s">
        <v>9092</v>
      </c>
      <c r="J203" s="1" t="s">
        <v>8949</v>
      </c>
      <c r="K203" s="1" t="s">
        <v>9036</v>
      </c>
      <c r="L203" s="1" t="s">
        <v>8987</v>
      </c>
      <c r="M203" s="1">
        <v>21</v>
      </c>
      <c r="N203" s="1" t="s">
        <v>9059</v>
      </c>
      <c r="O203" s="1" t="s">
        <v>8989</v>
      </c>
      <c r="P203" s="1" t="s">
        <v>8955</v>
      </c>
      <c r="Q203" s="1" t="s">
        <v>8990</v>
      </c>
      <c r="R203" s="1" t="s">
        <v>8957</v>
      </c>
      <c r="S203" s="1" t="s">
        <v>8958</v>
      </c>
      <c r="T203" s="1" t="s">
        <v>601</v>
      </c>
      <c r="U203" s="1" t="s">
        <v>11</v>
      </c>
      <c r="V203" s="1" t="s">
        <v>43</v>
      </c>
      <c r="W203" s="1"/>
    </row>
    <row r="204" spans="1:23" x14ac:dyDescent="0.2">
      <c r="A204" s="88" t="s">
        <v>15700</v>
      </c>
      <c r="B204" s="1" t="e">
        <v>#N/A</v>
      </c>
      <c r="C204" s="1" t="e">
        <v>#N/A</v>
      </c>
      <c r="D204" s="1" t="s">
        <v>602</v>
      </c>
      <c r="E204" s="1" t="s">
        <v>603</v>
      </c>
      <c r="F204" s="1" t="s">
        <v>18502</v>
      </c>
      <c r="G204" s="1" t="s">
        <v>9060</v>
      </c>
      <c r="H204" t="s">
        <v>8959</v>
      </c>
      <c r="I204" s="1" t="s">
        <v>20714</v>
      </c>
      <c r="J204" s="1" t="s">
        <v>20725</v>
      </c>
      <c r="K204" s="1" t="s">
        <v>12408</v>
      </c>
      <c r="L204" s="1" t="s">
        <v>9133</v>
      </c>
      <c r="M204" s="1">
        <f>32670+12888</f>
        <v>45558</v>
      </c>
      <c r="N204" s="1" t="s">
        <v>8953</v>
      </c>
      <c r="O204" s="1" t="s">
        <v>8954</v>
      </c>
      <c r="P204" s="1" t="e">
        <v>#N/A</v>
      </c>
      <c r="Q204" s="1" t="e">
        <v>#N/A</v>
      </c>
      <c r="R204" s="1">
        <f>1+LEN(T204)-LEN(SUBSTITUTE(T204,",",))</f>
        <v>9</v>
      </c>
      <c r="S204" s="1" t="str">
        <f>IF(R204&gt;4,IF(R204&lt;8,"4-7",IF(R204&gt;7,"&gt;7")),"&lt;4")</f>
        <v>&gt;7</v>
      </c>
      <c r="T204" s="1" t="s">
        <v>18623</v>
      </c>
      <c r="U204" s="1" t="s">
        <v>7</v>
      </c>
      <c r="V204" s="1" t="s">
        <v>24</v>
      </c>
      <c r="W204" s="1"/>
    </row>
    <row r="205" spans="1:23" x14ac:dyDescent="0.2">
      <c r="A205" s="88" t="s">
        <v>15701</v>
      </c>
      <c r="B205" s="1" t="e">
        <v>#N/A</v>
      </c>
      <c r="C205" s="1" t="s">
        <v>10770</v>
      </c>
      <c r="D205" s="1" t="s">
        <v>604</v>
      </c>
      <c r="E205" s="1" t="s">
        <v>605</v>
      </c>
      <c r="F205" s="1" t="s">
        <v>9010</v>
      </c>
      <c r="G205" s="1" t="s">
        <v>8957</v>
      </c>
      <c r="H205" t="s">
        <v>8959</v>
      </c>
      <c r="I205" s="1" t="s">
        <v>9035</v>
      </c>
      <c r="J205" s="1" t="s">
        <v>8998</v>
      </c>
      <c r="K205" s="1" t="s">
        <v>10773</v>
      </c>
      <c r="L205" s="1" t="s">
        <v>8987</v>
      </c>
      <c r="M205" s="1">
        <v>369714</v>
      </c>
      <c r="N205" s="1" t="s">
        <v>8953</v>
      </c>
      <c r="O205" s="1" t="s">
        <v>8954</v>
      </c>
      <c r="P205" s="1" t="s">
        <v>8955</v>
      </c>
      <c r="Q205" s="1" t="s">
        <v>8956</v>
      </c>
      <c r="R205" s="1" t="s">
        <v>8957</v>
      </c>
      <c r="S205" s="1" t="s">
        <v>8975</v>
      </c>
      <c r="T205" s="1" t="s">
        <v>606</v>
      </c>
      <c r="U205" s="1" t="s">
        <v>17</v>
      </c>
      <c r="V205" s="1" t="s">
        <v>8</v>
      </c>
      <c r="W205" s="1"/>
    </row>
    <row r="206" spans="1:23" x14ac:dyDescent="0.2">
      <c r="A206" s="88" t="s">
        <v>15702</v>
      </c>
      <c r="B206" s="1" t="e">
        <v>#N/A</v>
      </c>
      <c r="C206" s="1" t="e">
        <v>#N/A</v>
      </c>
      <c r="D206" s="1" t="s">
        <v>607</v>
      </c>
      <c r="E206" s="1" t="s">
        <v>608</v>
      </c>
      <c r="F206" s="1" t="s">
        <v>18502</v>
      </c>
      <c r="G206" s="1" t="s">
        <v>8957</v>
      </c>
      <c r="H206" t="s">
        <v>9061</v>
      </c>
      <c r="I206" s="1" t="s">
        <v>9100</v>
      </c>
      <c r="J206" s="1" t="s">
        <v>8949</v>
      </c>
      <c r="K206" s="1" t="s">
        <v>10492</v>
      </c>
      <c r="L206" s="1" t="s">
        <v>8987</v>
      </c>
      <c r="M206" s="1">
        <v>300000</v>
      </c>
      <c r="N206" s="1" t="s">
        <v>8953</v>
      </c>
      <c r="O206" s="1" t="s">
        <v>8954</v>
      </c>
      <c r="P206" s="1" t="e">
        <v>#N/A</v>
      </c>
      <c r="Q206" s="1" t="e">
        <v>#N/A</v>
      </c>
      <c r="R206" s="1">
        <f>1+LEN(T206)-LEN(SUBSTITUTE(T206,",",))</f>
        <v>13</v>
      </c>
      <c r="S206" s="1" t="str">
        <f>IF(R206&gt;4,IF(R206&lt;8,"4-7",IF(R206&gt;7,"&gt;7")),"&lt;4")</f>
        <v>&gt;7</v>
      </c>
      <c r="T206" s="1" t="s">
        <v>20549</v>
      </c>
      <c r="U206" s="1" t="s">
        <v>7</v>
      </c>
      <c r="V206" s="1" t="s">
        <v>609</v>
      </c>
      <c r="W206" s="1"/>
    </row>
    <row r="207" spans="1:23" x14ac:dyDescent="0.2">
      <c r="A207" s="88" t="s">
        <v>15703</v>
      </c>
      <c r="B207" s="1" t="e">
        <v>#N/A</v>
      </c>
      <c r="C207" s="1" t="s">
        <v>12427</v>
      </c>
      <c r="D207" s="1" t="s">
        <v>610</v>
      </c>
      <c r="E207" s="1" t="s">
        <v>611</v>
      </c>
      <c r="F207" s="1" t="s">
        <v>9010</v>
      </c>
      <c r="G207" s="1" t="s">
        <v>8957</v>
      </c>
      <c r="H207" t="s">
        <v>9183</v>
      </c>
      <c r="I207" s="1" t="s">
        <v>9049</v>
      </c>
      <c r="J207" s="1" t="s">
        <v>8949</v>
      </c>
      <c r="K207" s="1" t="s">
        <v>12430</v>
      </c>
      <c r="L207" s="1" t="s">
        <v>8951</v>
      </c>
      <c r="M207" s="1">
        <v>20</v>
      </c>
      <c r="N207" s="1" t="s">
        <v>8953</v>
      </c>
      <c r="O207" s="1" t="s">
        <v>8989</v>
      </c>
      <c r="P207" s="1" t="s">
        <v>8955</v>
      </c>
      <c r="Q207" s="1" t="s">
        <v>8956</v>
      </c>
      <c r="R207" s="1" t="s">
        <v>8957</v>
      </c>
      <c r="S207" s="1" t="s">
        <v>8958</v>
      </c>
      <c r="T207" s="1" t="s">
        <v>612</v>
      </c>
      <c r="U207" s="1" t="s">
        <v>11</v>
      </c>
      <c r="V207" s="1" t="s">
        <v>392</v>
      </c>
      <c r="W207" s="1"/>
    </row>
    <row r="208" spans="1:23" x14ac:dyDescent="0.2">
      <c r="A208" s="88" t="s">
        <v>15704</v>
      </c>
      <c r="B208" s="1" t="e">
        <v>#N/A</v>
      </c>
      <c r="C208" s="1" t="s">
        <v>11213</v>
      </c>
      <c r="D208" s="1" t="s">
        <v>613</v>
      </c>
      <c r="E208" s="1" t="s">
        <v>614</v>
      </c>
      <c r="F208" s="1" t="s">
        <v>10049</v>
      </c>
      <c r="G208" s="1" t="s">
        <v>8957</v>
      </c>
      <c r="H208" t="s">
        <v>9183</v>
      </c>
      <c r="I208" s="1" t="s">
        <v>9100</v>
      </c>
      <c r="J208" s="1" t="s">
        <v>8949</v>
      </c>
      <c r="K208" s="1" t="s">
        <v>10135</v>
      </c>
      <c r="L208" s="1" t="s">
        <v>8987</v>
      </c>
      <c r="M208" s="1">
        <v>80</v>
      </c>
      <c r="N208" s="1" t="s">
        <v>9059</v>
      </c>
      <c r="O208" s="1" t="s">
        <v>8954</v>
      </c>
      <c r="P208" s="1" t="s">
        <v>8955</v>
      </c>
      <c r="Q208" s="1" t="s">
        <v>8956</v>
      </c>
      <c r="R208" s="1" t="s">
        <v>8957</v>
      </c>
      <c r="S208" s="1" t="s">
        <v>8958</v>
      </c>
      <c r="T208" s="1" t="s">
        <v>615</v>
      </c>
      <c r="U208" s="1" t="s">
        <v>11</v>
      </c>
      <c r="V208" s="1" t="s">
        <v>616</v>
      </c>
      <c r="W208" s="1"/>
    </row>
    <row r="209" spans="1:23" x14ac:dyDescent="0.2">
      <c r="A209" s="88" t="s">
        <v>15705</v>
      </c>
      <c r="B209" s="1" t="e">
        <v>#N/A</v>
      </c>
      <c r="C209" s="1" t="e">
        <v>#N/A</v>
      </c>
      <c r="D209" s="1" t="s">
        <v>617</v>
      </c>
      <c r="E209" s="1" t="s">
        <v>618</v>
      </c>
      <c r="F209" s="1" t="s">
        <v>10049</v>
      </c>
      <c r="G209" s="1" t="s">
        <v>8974</v>
      </c>
      <c r="H209" t="s">
        <v>8959</v>
      </c>
      <c r="I209" s="1" t="s">
        <v>8948</v>
      </c>
      <c r="J209" s="1" t="s">
        <v>8949</v>
      </c>
      <c r="K209" s="1" t="s">
        <v>20745</v>
      </c>
      <c r="L209" s="1" t="s">
        <v>8987</v>
      </c>
      <c r="M209" s="1">
        <v>117</v>
      </c>
      <c r="N209" s="1" t="s">
        <v>9059</v>
      </c>
      <c r="O209" s="1" t="s">
        <v>8954</v>
      </c>
      <c r="P209" s="1" t="e">
        <v>#N/A</v>
      </c>
      <c r="Q209" s="1" t="e">
        <v>#N/A</v>
      </c>
      <c r="R209" s="1">
        <f t="shared" ref="R209:R210" si="62">1+LEN(T209)-LEN(SUBSTITUTE(T209,",",))</f>
        <v>6</v>
      </c>
      <c r="S209" s="1" t="str">
        <f t="shared" ref="S209:S210" si="63">IF(R209&gt;4,IF(R209&lt;8,"4-7",IF(R209&gt;7,"&gt;7")),"&lt;4")</f>
        <v>4-7</v>
      </c>
      <c r="T209" s="1" t="s">
        <v>18624</v>
      </c>
      <c r="U209" s="1" t="s">
        <v>17</v>
      </c>
      <c r="V209" s="1" t="s">
        <v>619</v>
      </c>
      <c r="W209" s="1"/>
    </row>
    <row r="210" spans="1:23" x14ac:dyDescent="0.2">
      <c r="A210" s="88" t="s">
        <v>15706</v>
      </c>
      <c r="B210" s="1" t="e">
        <v>#N/A</v>
      </c>
      <c r="C210" s="1" t="e">
        <v>#N/A</v>
      </c>
      <c r="D210" s="1" t="s">
        <v>620</v>
      </c>
      <c r="E210" s="1" t="s">
        <v>621</v>
      </c>
      <c r="F210" s="1" t="s">
        <v>9310</v>
      </c>
      <c r="G210" s="1" t="s">
        <v>8957</v>
      </c>
      <c r="H210" t="s">
        <v>8959</v>
      </c>
      <c r="I210" s="1" t="s">
        <v>20712</v>
      </c>
      <c r="J210" s="1" t="s">
        <v>9155</v>
      </c>
      <c r="K210" s="1" t="s">
        <v>9036</v>
      </c>
      <c r="L210" s="1" t="s">
        <v>9076</v>
      </c>
      <c r="M210" s="1">
        <v>5936</v>
      </c>
      <c r="N210" s="1" t="s">
        <v>8953</v>
      </c>
      <c r="O210" s="1" t="s">
        <v>8954</v>
      </c>
      <c r="P210" s="1" t="e">
        <v>#N/A</v>
      </c>
      <c r="Q210" s="1" t="e">
        <v>#N/A</v>
      </c>
      <c r="R210" s="1">
        <f t="shared" si="62"/>
        <v>12</v>
      </c>
      <c r="S210" s="1" t="str">
        <f t="shared" si="63"/>
        <v>&gt;7</v>
      </c>
      <c r="T210" s="1" t="s">
        <v>18625</v>
      </c>
      <c r="U210" s="1" t="s">
        <v>17</v>
      </c>
      <c r="V210" s="1" t="s">
        <v>61</v>
      </c>
      <c r="W210" s="1"/>
    </row>
    <row r="211" spans="1:23" x14ac:dyDescent="0.2">
      <c r="A211" s="88" t="s">
        <v>15707</v>
      </c>
      <c r="B211" s="1" t="e">
        <v>#N/A</v>
      </c>
      <c r="C211" s="1" t="s">
        <v>11990</v>
      </c>
      <c r="D211" s="1" t="s">
        <v>622</v>
      </c>
      <c r="E211" s="1" t="s">
        <v>623</v>
      </c>
      <c r="F211" s="1" t="s">
        <v>9310</v>
      </c>
      <c r="G211" s="1" t="s">
        <v>8957</v>
      </c>
      <c r="H211" t="s">
        <v>9183</v>
      </c>
      <c r="I211" s="1" t="s">
        <v>8948</v>
      </c>
      <c r="J211" s="1" t="s">
        <v>8949</v>
      </c>
      <c r="K211" s="1" t="s">
        <v>9679</v>
      </c>
      <c r="L211" s="1" t="s">
        <v>8973</v>
      </c>
      <c r="M211" s="1">
        <v>49</v>
      </c>
      <c r="N211" s="1" t="s">
        <v>8953</v>
      </c>
      <c r="O211" s="1" t="s">
        <v>8989</v>
      </c>
      <c r="P211" s="1" t="s">
        <v>8955</v>
      </c>
      <c r="Q211" s="1" t="s">
        <v>8956</v>
      </c>
      <c r="R211" s="1" t="s">
        <v>8957</v>
      </c>
      <c r="S211" s="1" t="s">
        <v>9103</v>
      </c>
      <c r="T211" s="1" t="s">
        <v>624</v>
      </c>
      <c r="U211" s="1" t="s">
        <v>11</v>
      </c>
      <c r="V211" s="1" t="s">
        <v>625</v>
      </c>
      <c r="W211" s="1"/>
    </row>
    <row r="212" spans="1:23" x14ac:dyDescent="0.2">
      <c r="A212" s="88" t="s">
        <v>15708</v>
      </c>
      <c r="B212" s="1" t="e">
        <v>#N/A</v>
      </c>
      <c r="C212" s="1" t="e">
        <v>#N/A</v>
      </c>
      <c r="D212" s="1" t="s">
        <v>626</v>
      </c>
      <c r="E212" s="1" t="s">
        <v>627</v>
      </c>
      <c r="F212" s="1" t="s">
        <v>9317</v>
      </c>
      <c r="G212" s="1" t="s">
        <v>8957</v>
      </c>
      <c r="H212" t="s">
        <v>8959</v>
      </c>
      <c r="I212" s="1" t="s">
        <v>9154</v>
      </c>
      <c r="J212" s="1" t="s">
        <v>8971</v>
      </c>
      <c r="K212" s="1" t="s">
        <v>20746</v>
      </c>
      <c r="L212" s="1" t="s">
        <v>9076</v>
      </c>
      <c r="M212" s="1">
        <v>435</v>
      </c>
      <c r="N212" s="1" t="s">
        <v>8953</v>
      </c>
      <c r="O212" s="1" t="s">
        <v>8989</v>
      </c>
      <c r="P212" s="1" t="e">
        <v>#N/A</v>
      </c>
      <c r="Q212" s="1" t="e">
        <v>#N/A</v>
      </c>
      <c r="R212" s="1">
        <f>1+LEN(T212)-LEN(SUBSTITUTE(T212,",",))</f>
        <v>2</v>
      </c>
      <c r="S212" s="1" t="str">
        <f>IF(R212&gt;4,IF(R212&lt;8,"4-7",IF(R212&gt;7,"&gt;7")),"&lt;4")</f>
        <v>&lt;4</v>
      </c>
      <c r="T212" s="1" t="s">
        <v>18626</v>
      </c>
      <c r="U212" s="1" t="s">
        <v>7</v>
      </c>
      <c r="V212" s="1" t="s">
        <v>64</v>
      </c>
      <c r="W212" s="1"/>
    </row>
    <row r="213" spans="1:23" x14ac:dyDescent="0.2">
      <c r="A213" s="88" t="s">
        <v>15709</v>
      </c>
      <c r="B213" s="1" t="e">
        <v>#N/A</v>
      </c>
      <c r="C213" s="1" t="s">
        <v>10692</v>
      </c>
      <c r="D213" s="1" t="s">
        <v>628</v>
      </c>
      <c r="E213" s="1" t="s">
        <v>629</v>
      </c>
      <c r="F213" s="1" t="s">
        <v>9010</v>
      </c>
      <c r="G213" s="1" t="s">
        <v>8957</v>
      </c>
      <c r="H213" t="s">
        <v>8959</v>
      </c>
      <c r="I213" s="1" t="s">
        <v>9252</v>
      </c>
      <c r="J213" s="1" t="s">
        <v>9253</v>
      </c>
      <c r="K213" s="1" t="s">
        <v>9041</v>
      </c>
      <c r="L213" s="1" t="s">
        <v>9076</v>
      </c>
      <c r="M213" s="1">
        <v>8</v>
      </c>
      <c r="N213" s="1" t="s">
        <v>8953</v>
      </c>
      <c r="O213" s="1" t="s">
        <v>8954</v>
      </c>
      <c r="P213" s="1" t="s">
        <v>8955</v>
      </c>
      <c r="Q213" s="1" t="s">
        <v>8956</v>
      </c>
      <c r="R213" s="1" t="s">
        <v>8957</v>
      </c>
      <c r="S213" s="1" t="s">
        <v>9103</v>
      </c>
      <c r="T213" s="1" t="s">
        <v>630</v>
      </c>
      <c r="U213" s="1" t="s">
        <v>11</v>
      </c>
      <c r="V213" s="1" t="s">
        <v>631</v>
      </c>
      <c r="W213" s="1"/>
    </row>
    <row r="214" spans="1:23" x14ac:dyDescent="0.2">
      <c r="A214" s="92" t="s">
        <v>15710</v>
      </c>
      <c r="B214" s="1" t="e">
        <v>#N/A</v>
      </c>
      <c r="C214" s="1" t="e">
        <v>#N/A</v>
      </c>
      <c r="D214" s="1" t="s">
        <v>632</v>
      </c>
      <c r="E214" s="1" t="s">
        <v>633</v>
      </c>
      <c r="F214" s="1" t="e">
        <v>#N/A</v>
      </c>
      <c r="G214" s="1" t="e">
        <v>#N/A</v>
      </c>
      <c r="H214" t="e">
        <v>#N/A</v>
      </c>
      <c r="I214" s="1" t="e">
        <v>#N/A</v>
      </c>
      <c r="J214" s="1" t="e">
        <v>#N/A</v>
      </c>
      <c r="K214" s="1" t="e">
        <v>#N/A</v>
      </c>
      <c r="L214" s="1" t="e">
        <v>#N/A</v>
      </c>
      <c r="M214" s="1" t="e">
        <v>#N/A</v>
      </c>
      <c r="N214" s="1" t="e">
        <v>#N/A</v>
      </c>
      <c r="O214" s="1" t="e">
        <v>#N/A</v>
      </c>
      <c r="P214" s="1" t="e">
        <v>#N/A</v>
      </c>
      <c r="Q214" s="1" t="e">
        <v>#N/A</v>
      </c>
      <c r="R214" s="1">
        <f>1+LEN(T214)-LEN(SUBSTITUTE(T214,",",))</f>
        <v>10</v>
      </c>
      <c r="S214" s="1" t="str">
        <f>IF(R214&gt;4,IF(R214&lt;8,"4-7",IF(R214&gt;7,"&gt;7")),"&lt;4")</f>
        <v>&gt;7</v>
      </c>
      <c r="T214" s="1" t="s">
        <v>18627</v>
      </c>
      <c r="U214" s="1" t="s">
        <v>17</v>
      </c>
      <c r="V214" s="1" t="s">
        <v>634</v>
      </c>
      <c r="W214" s="1"/>
    </row>
    <row r="215" spans="1:23" x14ac:dyDescent="0.2">
      <c r="A215" s="88" t="s">
        <v>15711</v>
      </c>
      <c r="B215" s="1" t="e">
        <v>#N/A</v>
      </c>
      <c r="C215" s="1" t="s">
        <v>15219</v>
      </c>
      <c r="D215" s="1" t="s">
        <v>635</v>
      </c>
      <c r="E215" s="1" t="s">
        <v>636</v>
      </c>
      <c r="F215" s="1" t="s">
        <v>10049</v>
      </c>
      <c r="G215" s="1" t="s">
        <v>8957</v>
      </c>
      <c r="H215" t="s">
        <v>9061</v>
      </c>
      <c r="I215" s="1" t="s">
        <v>9100</v>
      </c>
      <c r="J215" s="1" t="s">
        <v>8949</v>
      </c>
      <c r="K215" s="1" t="s">
        <v>9036</v>
      </c>
      <c r="L215" s="1" t="s">
        <v>8987</v>
      </c>
      <c r="M215" s="1">
        <v>1638</v>
      </c>
      <c r="N215" s="1" t="s">
        <v>9059</v>
      </c>
      <c r="O215" s="1" t="s">
        <v>8954</v>
      </c>
      <c r="P215" s="1" t="s">
        <v>8955</v>
      </c>
      <c r="Q215" s="1" t="s">
        <v>8956</v>
      </c>
      <c r="R215" s="1" t="s">
        <v>8957</v>
      </c>
      <c r="S215" s="1" t="s">
        <v>8975</v>
      </c>
      <c r="T215" s="1" t="s">
        <v>637</v>
      </c>
      <c r="U215" s="1" t="s">
        <v>17</v>
      </c>
      <c r="V215" s="1" t="s">
        <v>57</v>
      </c>
      <c r="W215" s="1"/>
    </row>
    <row r="216" spans="1:23" x14ac:dyDescent="0.2">
      <c r="A216" s="94" t="s">
        <v>15712</v>
      </c>
      <c r="B216" s="1" t="e">
        <v>#N/A</v>
      </c>
      <c r="C216" s="1" t="e">
        <v>#N/A</v>
      </c>
      <c r="D216" s="1" t="s">
        <v>638</v>
      </c>
      <c r="E216" s="1" t="s">
        <v>639</v>
      </c>
      <c r="F216" s="1"/>
      <c r="G216" s="1" t="e">
        <v>#N/A</v>
      </c>
      <c r="I216" s="1" t="e">
        <v>#N/A</v>
      </c>
      <c r="J216" s="1" t="e">
        <v>#N/A</v>
      </c>
      <c r="K216" s="1" t="e">
        <v>#N/A</v>
      </c>
      <c r="L216" s="1" t="e">
        <v>#N/A</v>
      </c>
      <c r="M216" s="1" t="e">
        <v>#N/A</v>
      </c>
      <c r="N216" s="1" t="e">
        <v>#N/A</v>
      </c>
      <c r="O216" s="1" t="e">
        <v>#N/A</v>
      </c>
      <c r="P216" s="1" t="e">
        <v>#N/A</v>
      </c>
      <c r="Q216" s="1" t="e">
        <v>#N/A</v>
      </c>
      <c r="R216" s="1">
        <f>1+LEN(T216)-LEN(SUBSTITUTE(T216,",",))</f>
        <v>3</v>
      </c>
      <c r="S216" s="1" t="str">
        <f>IF(R216&gt;4,IF(R216&lt;8,"4-7",IF(R216&gt;7,"&gt;7")),"&lt;4")</f>
        <v>&lt;4</v>
      </c>
      <c r="T216" s="1" t="s">
        <v>18628</v>
      </c>
      <c r="U216" s="1" t="s">
        <v>7</v>
      </c>
      <c r="V216" s="1" t="s">
        <v>640</v>
      </c>
      <c r="W216" s="1"/>
    </row>
    <row r="217" spans="1:23" x14ac:dyDescent="0.2">
      <c r="A217" s="88" t="s">
        <v>15713</v>
      </c>
      <c r="B217" s="1" t="e">
        <v>#N/A</v>
      </c>
      <c r="C217" s="1" t="s">
        <v>14650</v>
      </c>
      <c r="D217" s="1" t="s">
        <v>641</v>
      </c>
      <c r="E217" s="1" t="s">
        <v>642</v>
      </c>
      <c r="F217" s="1" t="s">
        <v>9815</v>
      </c>
      <c r="G217" s="1" t="s">
        <v>8959</v>
      </c>
      <c r="H217" t="s">
        <v>8959</v>
      </c>
      <c r="I217" s="1" t="s">
        <v>9100</v>
      </c>
      <c r="J217" s="1" t="s">
        <v>8949</v>
      </c>
      <c r="K217" s="1" t="s">
        <v>9036</v>
      </c>
      <c r="L217" s="1" t="s">
        <v>8987</v>
      </c>
      <c r="M217" s="1">
        <v>18016</v>
      </c>
      <c r="N217" s="1" t="s">
        <v>8953</v>
      </c>
      <c r="O217" s="1" t="s">
        <v>8989</v>
      </c>
      <c r="P217" s="1" t="s">
        <v>8955</v>
      </c>
      <c r="Q217" s="1" t="s">
        <v>8956</v>
      </c>
      <c r="R217" s="1" t="s">
        <v>8959</v>
      </c>
      <c r="S217" s="1" t="s">
        <v>9103</v>
      </c>
      <c r="T217" s="1" t="s">
        <v>643</v>
      </c>
      <c r="U217" s="1" t="s">
        <v>17</v>
      </c>
      <c r="V217" s="1" t="s">
        <v>644</v>
      </c>
      <c r="W217" s="1"/>
    </row>
    <row r="218" spans="1:23" x14ac:dyDescent="0.2">
      <c r="A218" s="88" t="s">
        <v>15714</v>
      </c>
      <c r="B218" s="1" t="e">
        <v>#N/A</v>
      </c>
      <c r="C218" s="1" t="e">
        <v>#N/A</v>
      </c>
      <c r="D218" s="1" t="s">
        <v>645</v>
      </c>
      <c r="E218" s="1" t="s">
        <v>646</v>
      </c>
      <c r="F218" s="1" t="s">
        <v>18502</v>
      </c>
      <c r="G218" s="1" t="s">
        <v>9060</v>
      </c>
      <c r="H218" t="s">
        <v>9061</v>
      </c>
      <c r="I218" s="1" t="s">
        <v>8948</v>
      </c>
      <c r="J218" s="1" t="s">
        <v>8949</v>
      </c>
      <c r="K218" s="1" t="s">
        <v>20719</v>
      </c>
      <c r="L218" s="1" t="s">
        <v>8987</v>
      </c>
      <c r="M218" s="1">
        <v>14468</v>
      </c>
      <c r="N218" s="1" t="s">
        <v>8953</v>
      </c>
      <c r="O218" s="1" t="s">
        <v>8954</v>
      </c>
      <c r="P218" s="1" t="e">
        <v>#N/A</v>
      </c>
      <c r="Q218" s="1" t="e">
        <v>#N/A</v>
      </c>
      <c r="R218" s="1">
        <f t="shared" ref="R218:R222" si="64">1+LEN(T218)-LEN(SUBSTITUTE(T218,",",))</f>
        <v>30</v>
      </c>
      <c r="S218" s="1" t="str">
        <f t="shared" ref="S218:S222" si="65">IF(R218&gt;4,IF(R218&lt;8,"4-7",IF(R218&gt;7,"&gt;7")),"&lt;4")</f>
        <v>&gt;7</v>
      </c>
      <c r="T218" s="1" t="s">
        <v>18629</v>
      </c>
      <c r="U218" s="1" t="s">
        <v>7</v>
      </c>
      <c r="V218" s="1" t="s">
        <v>647</v>
      </c>
      <c r="W218" s="1"/>
    </row>
    <row r="219" spans="1:23" x14ac:dyDescent="0.2">
      <c r="A219" s="88" t="s">
        <v>15715</v>
      </c>
      <c r="B219" s="1" t="e">
        <v>#N/A</v>
      </c>
      <c r="C219" s="1" t="e">
        <v>#N/A</v>
      </c>
      <c r="D219" s="1" t="s">
        <v>648</v>
      </c>
      <c r="E219" s="1" t="s">
        <v>649</v>
      </c>
      <c r="F219" s="1" t="s">
        <v>18502</v>
      </c>
      <c r="G219" s="1" t="s">
        <v>9060</v>
      </c>
      <c r="H219" t="s">
        <v>9061</v>
      </c>
      <c r="I219" s="1" t="s">
        <v>9154</v>
      </c>
      <c r="J219" s="1" t="s">
        <v>8998</v>
      </c>
      <c r="K219" s="1" t="s">
        <v>10492</v>
      </c>
      <c r="L219" s="1" t="s">
        <v>8973</v>
      </c>
      <c r="M219" s="1">
        <v>19572</v>
      </c>
      <c r="N219" s="1" t="s">
        <v>8953</v>
      </c>
      <c r="O219" s="1" t="s">
        <v>8954</v>
      </c>
      <c r="P219" s="1" t="e">
        <v>#N/A</v>
      </c>
      <c r="Q219" s="1" t="e">
        <v>#N/A</v>
      </c>
      <c r="R219" s="1">
        <f t="shared" si="64"/>
        <v>37</v>
      </c>
      <c r="S219" s="1" t="str">
        <f t="shared" si="65"/>
        <v>&gt;7</v>
      </c>
      <c r="T219" s="1" t="s">
        <v>20550</v>
      </c>
      <c r="U219" s="1" t="s">
        <v>7</v>
      </c>
      <c r="V219" s="1" t="s">
        <v>110</v>
      </c>
      <c r="W219" s="1"/>
    </row>
    <row r="220" spans="1:23" x14ac:dyDescent="0.2">
      <c r="A220" s="88" t="s">
        <v>15716</v>
      </c>
      <c r="B220" s="1" t="e">
        <v>#N/A</v>
      </c>
      <c r="C220" s="1" t="e">
        <v>#N/A</v>
      </c>
      <c r="D220" s="1" t="s">
        <v>650</v>
      </c>
      <c r="E220" s="1" t="s">
        <v>651</v>
      </c>
      <c r="F220" s="1" t="s">
        <v>18502</v>
      </c>
      <c r="G220" s="1" t="s">
        <v>9060</v>
      </c>
      <c r="H220" t="s">
        <v>9061</v>
      </c>
      <c r="I220" s="1" t="s">
        <v>9154</v>
      </c>
      <c r="J220" s="1" t="s">
        <v>8998</v>
      </c>
      <c r="K220" s="1" t="s">
        <v>10492</v>
      </c>
      <c r="L220" s="1" t="s">
        <v>8973</v>
      </c>
      <c r="M220" s="1">
        <v>13224</v>
      </c>
      <c r="N220" s="1" t="s">
        <v>8953</v>
      </c>
      <c r="O220" s="1" t="s">
        <v>8954</v>
      </c>
      <c r="P220" s="1" t="e">
        <v>#N/A</v>
      </c>
      <c r="Q220" s="1" t="e">
        <v>#N/A</v>
      </c>
      <c r="R220" s="1">
        <f t="shared" si="64"/>
        <v>23</v>
      </c>
      <c r="S220" s="1" t="str">
        <f t="shared" si="65"/>
        <v>&gt;7</v>
      </c>
      <c r="T220" s="1" t="s">
        <v>20551</v>
      </c>
      <c r="U220" s="1" t="s">
        <v>7</v>
      </c>
      <c r="V220" s="1" t="s">
        <v>652</v>
      </c>
      <c r="W220" s="1"/>
    </row>
    <row r="221" spans="1:23" x14ac:dyDescent="0.2">
      <c r="A221" s="89" t="s">
        <v>653</v>
      </c>
      <c r="B221" s="1" t="e">
        <v>#N/A</v>
      </c>
      <c r="C221" s="1" t="e">
        <v>#N/A</v>
      </c>
      <c r="D221" s="1" t="s">
        <v>654</v>
      </c>
      <c r="E221" s="1" t="s">
        <v>655</v>
      </c>
      <c r="F221" s="1" t="e">
        <v>#N/A</v>
      </c>
      <c r="G221" s="1" t="e">
        <v>#N/A</v>
      </c>
      <c r="H221" t="e">
        <v>#N/A</v>
      </c>
      <c r="I221" s="1" t="e">
        <v>#N/A</v>
      </c>
      <c r="J221" s="1" t="e">
        <v>#N/A</v>
      </c>
      <c r="K221" s="1" t="e">
        <v>#N/A</v>
      </c>
      <c r="L221" s="1" t="e">
        <v>#N/A</v>
      </c>
      <c r="M221" s="1" t="e">
        <v>#N/A</v>
      </c>
      <c r="N221" s="1" t="e">
        <v>#N/A</v>
      </c>
      <c r="O221" s="1" t="e">
        <v>#N/A</v>
      </c>
      <c r="P221" s="1" t="e">
        <v>#N/A</v>
      </c>
      <c r="Q221" s="1" t="e">
        <v>#N/A</v>
      </c>
      <c r="R221" s="1">
        <f t="shared" si="64"/>
        <v>3</v>
      </c>
      <c r="S221" s="1" t="str">
        <f t="shared" si="65"/>
        <v>&lt;4</v>
      </c>
      <c r="T221" s="1" t="s">
        <v>18630</v>
      </c>
      <c r="U221" s="1" t="s">
        <v>7</v>
      </c>
      <c r="V221" s="1" t="s">
        <v>656</v>
      </c>
      <c r="W221" s="1"/>
    </row>
    <row r="222" spans="1:23" x14ac:dyDescent="0.2">
      <c r="A222" s="88" t="s">
        <v>15717</v>
      </c>
      <c r="B222" s="1" t="e">
        <v>#N/A</v>
      </c>
      <c r="C222" s="1" t="e">
        <v>#N/A</v>
      </c>
      <c r="D222" s="1" t="s">
        <v>657</v>
      </c>
      <c r="E222" s="1" t="s">
        <v>658</v>
      </c>
      <c r="F222" s="1" t="s">
        <v>14748</v>
      </c>
      <c r="G222" s="1" t="s">
        <v>8959</v>
      </c>
      <c r="H222" t="s">
        <v>8959</v>
      </c>
      <c r="I222" s="1" t="s">
        <v>9605</v>
      </c>
      <c r="J222" s="1" t="s">
        <v>9101</v>
      </c>
      <c r="K222" s="1" t="s">
        <v>9036</v>
      </c>
      <c r="L222" s="1" t="s">
        <v>8987</v>
      </c>
      <c r="M222" s="1">
        <v>263</v>
      </c>
      <c r="N222" s="1" t="s">
        <v>9059</v>
      </c>
      <c r="O222" s="1" t="s">
        <v>8989</v>
      </c>
      <c r="P222" s="1" t="e">
        <v>#N/A</v>
      </c>
      <c r="Q222" s="1" t="e">
        <v>#N/A</v>
      </c>
      <c r="R222" s="1">
        <f t="shared" si="64"/>
        <v>2</v>
      </c>
      <c r="S222" s="1" t="str">
        <f t="shared" si="65"/>
        <v>&lt;4</v>
      </c>
      <c r="T222" s="1" t="s">
        <v>18631</v>
      </c>
      <c r="U222" s="1" t="s">
        <v>7</v>
      </c>
      <c r="V222" s="1" t="s">
        <v>43</v>
      </c>
      <c r="W222" s="1"/>
    </row>
    <row r="223" spans="1:23" x14ac:dyDescent="0.2">
      <c r="A223" s="88" t="s">
        <v>15718</v>
      </c>
      <c r="B223" s="1" t="e">
        <v>#N/A</v>
      </c>
      <c r="C223" s="1" t="s">
        <v>12893</v>
      </c>
      <c r="D223" s="1" t="s">
        <v>659</v>
      </c>
      <c r="E223" s="1" t="s">
        <v>660</v>
      </c>
      <c r="F223" s="1" t="s">
        <v>9465</v>
      </c>
      <c r="G223" s="1" t="s">
        <v>8959</v>
      </c>
      <c r="H223" t="s">
        <v>9061</v>
      </c>
      <c r="I223" s="1" t="s">
        <v>9035</v>
      </c>
      <c r="J223" s="1" t="s">
        <v>9308</v>
      </c>
      <c r="K223" s="1" t="s">
        <v>9102</v>
      </c>
      <c r="L223" s="1" t="s">
        <v>8951</v>
      </c>
      <c r="M223" s="1">
        <v>138</v>
      </c>
      <c r="N223" s="1" t="s">
        <v>9059</v>
      </c>
      <c r="O223" s="1" t="s">
        <v>8989</v>
      </c>
      <c r="P223" s="1" t="s">
        <v>8955</v>
      </c>
      <c r="Q223" s="1" t="s">
        <v>8956</v>
      </c>
      <c r="R223" s="1" t="s">
        <v>8959</v>
      </c>
      <c r="S223" s="1" t="s">
        <v>8975</v>
      </c>
      <c r="T223" s="1" t="s">
        <v>661</v>
      </c>
      <c r="U223" s="1" t="s">
        <v>11</v>
      </c>
      <c r="V223" s="1" t="s">
        <v>662</v>
      </c>
      <c r="W223" s="1"/>
    </row>
    <row r="224" spans="1:23" x14ac:dyDescent="0.2">
      <c r="A224" s="88" t="s">
        <v>15719</v>
      </c>
      <c r="B224" s="1" t="e">
        <v>#N/A</v>
      </c>
      <c r="C224" s="1" t="s">
        <v>14049</v>
      </c>
      <c r="D224" s="1" t="s">
        <v>663</v>
      </c>
      <c r="E224" s="1" t="s">
        <v>664</v>
      </c>
      <c r="F224" s="1" t="s">
        <v>9465</v>
      </c>
      <c r="G224" s="1" t="s">
        <v>8959</v>
      </c>
      <c r="H224" t="s">
        <v>9061</v>
      </c>
      <c r="I224" s="1" t="s">
        <v>9252</v>
      </c>
      <c r="J224" s="1" t="s">
        <v>9253</v>
      </c>
      <c r="K224" s="1" t="s">
        <v>9102</v>
      </c>
      <c r="L224" s="1" t="s">
        <v>8951</v>
      </c>
      <c r="M224" s="1">
        <v>1146</v>
      </c>
      <c r="N224" s="1" t="s">
        <v>9059</v>
      </c>
      <c r="O224" s="1" t="s">
        <v>8989</v>
      </c>
      <c r="P224" s="1" t="s">
        <v>8955</v>
      </c>
      <c r="Q224" s="1" t="s">
        <v>8956</v>
      </c>
      <c r="R224" s="1" t="s">
        <v>8959</v>
      </c>
      <c r="S224" s="1" t="s">
        <v>8958</v>
      </c>
      <c r="T224" s="1" t="s">
        <v>665</v>
      </c>
      <c r="U224" s="1" t="s">
        <v>4</v>
      </c>
      <c r="V224" s="1" t="s">
        <v>666</v>
      </c>
      <c r="W224" s="1"/>
    </row>
    <row r="225" spans="1:23" x14ac:dyDescent="0.2">
      <c r="A225" s="88" t="s">
        <v>15720</v>
      </c>
      <c r="B225" s="1" t="e">
        <v>#N/A</v>
      </c>
      <c r="C225" s="1" t="s">
        <v>13238</v>
      </c>
      <c r="D225" s="1" t="s">
        <v>667</v>
      </c>
      <c r="E225" s="1" t="s">
        <v>668</v>
      </c>
      <c r="F225" s="1" t="s">
        <v>9465</v>
      </c>
      <c r="G225" s="1" t="s">
        <v>8959</v>
      </c>
      <c r="H225" t="s">
        <v>9061</v>
      </c>
      <c r="I225" s="1" t="s">
        <v>9252</v>
      </c>
      <c r="J225" s="1" t="s">
        <v>8971</v>
      </c>
      <c r="K225" s="1" t="s">
        <v>9102</v>
      </c>
      <c r="L225" s="1" t="s">
        <v>8987</v>
      </c>
      <c r="M225" s="1">
        <v>550</v>
      </c>
      <c r="N225" s="1" t="s">
        <v>9059</v>
      </c>
      <c r="O225" s="1" t="s">
        <v>8989</v>
      </c>
      <c r="P225" s="1" t="s">
        <v>8955</v>
      </c>
      <c r="Q225" s="1" t="s">
        <v>8956</v>
      </c>
      <c r="R225" s="1" t="s">
        <v>8959</v>
      </c>
      <c r="S225" s="1" t="s">
        <v>8958</v>
      </c>
      <c r="T225" s="1" t="s">
        <v>669</v>
      </c>
      <c r="U225" s="1" t="s">
        <v>11</v>
      </c>
      <c r="V225" s="1" t="s">
        <v>670</v>
      </c>
      <c r="W225" s="1"/>
    </row>
    <row r="226" spans="1:23" x14ac:dyDescent="0.2">
      <c r="A226" s="89" t="s">
        <v>671</v>
      </c>
      <c r="B226" s="1" t="e">
        <v>#N/A</v>
      </c>
      <c r="C226" s="1" t="e">
        <v>#N/A</v>
      </c>
      <c r="D226" s="1" t="s">
        <v>672</v>
      </c>
      <c r="E226" s="1" t="s">
        <v>673</v>
      </c>
      <c r="F226" s="1"/>
      <c r="G226" s="1"/>
      <c r="I226" s="1"/>
      <c r="J226" s="1"/>
      <c r="K226" s="1"/>
      <c r="L226" s="1"/>
      <c r="M226" s="1"/>
      <c r="N226" s="1"/>
      <c r="O226" s="1"/>
      <c r="P226" s="1" t="e">
        <v>#N/A</v>
      </c>
      <c r="Q226" s="1" t="e">
        <v>#N/A</v>
      </c>
      <c r="R226" s="1">
        <f t="shared" ref="R226:R228" si="66">1+LEN(T226)-LEN(SUBSTITUTE(T226,",",))</f>
        <v>3</v>
      </c>
      <c r="S226" s="1" t="str">
        <f t="shared" ref="S226:S228" si="67">IF(R226&gt;4,IF(R226&lt;8,"4-7",IF(R226&gt;7,"&gt;7")),"&lt;4")</f>
        <v>&lt;4</v>
      </c>
      <c r="T226" s="1" t="s">
        <v>18632</v>
      </c>
      <c r="U226" s="1" t="s">
        <v>11</v>
      </c>
      <c r="V226" s="1" t="s">
        <v>430</v>
      </c>
      <c r="W226" s="1"/>
    </row>
    <row r="227" spans="1:23" x14ac:dyDescent="0.2">
      <c r="A227" s="88" t="s">
        <v>15721</v>
      </c>
      <c r="B227" s="1" t="e">
        <v>#N/A</v>
      </c>
      <c r="C227" s="1" t="e">
        <v>#N/A</v>
      </c>
      <c r="D227" s="1" t="s">
        <v>674</v>
      </c>
      <c r="E227" s="1" t="s">
        <v>675</v>
      </c>
      <c r="F227" s="1" t="s">
        <v>9380</v>
      </c>
      <c r="G227" s="1" t="s">
        <v>8959</v>
      </c>
      <c r="H227" t="s">
        <v>8959</v>
      </c>
      <c r="I227" s="1" t="s">
        <v>9100</v>
      </c>
      <c r="J227" s="1" t="s">
        <v>8971</v>
      </c>
      <c r="K227" s="1" t="s">
        <v>10492</v>
      </c>
      <c r="L227" s="1" t="s">
        <v>8973</v>
      </c>
      <c r="M227" s="1">
        <v>423</v>
      </c>
      <c r="N227" s="1" t="s">
        <v>8953</v>
      </c>
      <c r="O227" s="1" t="s">
        <v>8989</v>
      </c>
      <c r="P227" s="1" t="e">
        <v>#N/A</v>
      </c>
      <c r="Q227" s="1" t="e">
        <v>#N/A</v>
      </c>
      <c r="R227" s="1">
        <f t="shared" si="66"/>
        <v>5</v>
      </c>
      <c r="S227" s="1" t="str">
        <f t="shared" si="67"/>
        <v>4-7</v>
      </c>
      <c r="T227" s="1" t="s">
        <v>18633</v>
      </c>
      <c r="U227" s="1" t="s">
        <v>7</v>
      </c>
      <c r="V227" s="1" t="s">
        <v>46</v>
      </c>
      <c r="W227" s="1"/>
    </row>
    <row r="228" spans="1:23" x14ac:dyDescent="0.2">
      <c r="A228" s="88" t="s">
        <v>15722</v>
      </c>
      <c r="B228" s="1" t="e">
        <v>#N/A</v>
      </c>
      <c r="C228" s="1" t="e">
        <v>#N/A</v>
      </c>
      <c r="D228" s="1" t="s">
        <v>676</v>
      </c>
      <c r="E228" s="1" t="s">
        <v>677</v>
      </c>
      <c r="F228" s="1" t="s">
        <v>9380</v>
      </c>
      <c r="G228" s="1" t="s">
        <v>8974</v>
      </c>
      <c r="H228" t="s">
        <v>8959</v>
      </c>
      <c r="I228" s="1" t="s">
        <v>20712</v>
      </c>
      <c r="J228" s="1" t="s">
        <v>8971</v>
      </c>
      <c r="K228" s="1" t="s">
        <v>10492</v>
      </c>
      <c r="L228" s="1" t="s">
        <v>8973</v>
      </c>
      <c r="M228" s="1">
        <v>700</v>
      </c>
      <c r="N228" s="1" t="s">
        <v>8953</v>
      </c>
      <c r="O228" s="1" t="s">
        <v>8989</v>
      </c>
      <c r="P228" s="1" t="e">
        <v>#N/A</v>
      </c>
      <c r="Q228" s="1" t="e">
        <v>#N/A</v>
      </c>
      <c r="R228" s="1">
        <f t="shared" si="66"/>
        <v>2</v>
      </c>
      <c r="S228" s="1" t="str">
        <f t="shared" si="67"/>
        <v>&lt;4</v>
      </c>
      <c r="T228" s="1" t="s">
        <v>18634</v>
      </c>
      <c r="U228" s="1" t="s">
        <v>17</v>
      </c>
      <c r="V228" s="1" t="s">
        <v>46</v>
      </c>
      <c r="W228" s="1"/>
    </row>
    <row r="229" spans="1:23" x14ac:dyDescent="0.2">
      <c r="A229" s="88" t="s">
        <v>15723</v>
      </c>
      <c r="B229" s="1" t="e">
        <v>#N/A</v>
      </c>
      <c r="C229" s="1" t="s">
        <v>14817</v>
      </c>
      <c r="D229" s="1" t="s">
        <v>678</v>
      </c>
      <c r="E229" s="1" t="s">
        <v>679</v>
      </c>
      <c r="F229" s="1" t="s">
        <v>9968</v>
      </c>
      <c r="G229" s="1" t="s">
        <v>8959</v>
      </c>
      <c r="H229" t="s">
        <v>8959</v>
      </c>
      <c r="I229" s="1" t="s">
        <v>9035</v>
      </c>
      <c r="J229" s="1" t="s">
        <v>9308</v>
      </c>
      <c r="K229" s="1" t="s">
        <v>21321</v>
      </c>
      <c r="L229" s="1" t="s">
        <v>8951</v>
      </c>
      <c r="M229" s="1">
        <v>6087</v>
      </c>
      <c r="N229" s="1" t="s">
        <v>8953</v>
      </c>
      <c r="O229" s="1" t="s">
        <v>8989</v>
      </c>
      <c r="P229" s="1" t="s">
        <v>8955</v>
      </c>
      <c r="Q229" s="1" t="s">
        <v>8956</v>
      </c>
      <c r="R229" s="1" t="s">
        <v>8959</v>
      </c>
      <c r="S229" s="1" t="s">
        <v>8975</v>
      </c>
      <c r="T229" s="1" t="s">
        <v>680</v>
      </c>
      <c r="U229" s="1" t="s">
        <v>7</v>
      </c>
      <c r="V229" s="1" t="s">
        <v>184</v>
      </c>
      <c r="W229" s="1"/>
    </row>
    <row r="230" spans="1:23" x14ac:dyDescent="0.2">
      <c r="A230" s="88" t="s">
        <v>15724</v>
      </c>
      <c r="B230" s="1" t="e">
        <v>#N/A</v>
      </c>
      <c r="C230" s="1" t="s">
        <v>13849</v>
      </c>
      <c r="D230" s="1" t="s">
        <v>681</v>
      </c>
      <c r="E230" s="1" t="s">
        <v>682</v>
      </c>
      <c r="F230" s="1" t="s">
        <v>10032</v>
      </c>
      <c r="G230" s="1" t="s">
        <v>8957</v>
      </c>
      <c r="H230" t="s">
        <v>8959</v>
      </c>
      <c r="I230" s="1" t="s">
        <v>9092</v>
      </c>
      <c r="J230" s="1" t="s">
        <v>8998</v>
      </c>
      <c r="K230" s="1" t="s">
        <v>9036</v>
      </c>
      <c r="L230" s="1" t="s">
        <v>8951</v>
      </c>
      <c r="M230" s="1">
        <v>642</v>
      </c>
      <c r="N230" s="1" t="s">
        <v>8953</v>
      </c>
      <c r="O230" s="1" t="s">
        <v>8989</v>
      </c>
      <c r="P230" s="1" t="s">
        <v>8955</v>
      </c>
      <c r="Q230" s="1" t="s">
        <v>8956</v>
      </c>
      <c r="R230" s="1" t="s">
        <v>8957</v>
      </c>
      <c r="S230" s="1" t="s">
        <v>8958</v>
      </c>
      <c r="T230" s="1" t="s">
        <v>683</v>
      </c>
      <c r="U230" s="1" t="s">
        <v>4</v>
      </c>
      <c r="V230" s="1" t="s">
        <v>74</v>
      </c>
      <c r="W230" s="1"/>
    </row>
    <row r="231" spans="1:23" x14ac:dyDescent="0.2">
      <c r="A231" s="88" t="s">
        <v>15725</v>
      </c>
      <c r="B231" s="1" t="e">
        <v>#N/A</v>
      </c>
      <c r="C231" s="1" t="e">
        <v>#N/A</v>
      </c>
      <c r="D231" s="1" t="s">
        <v>684</v>
      </c>
      <c r="E231" s="1" t="s">
        <v>685</v>
      </c>
      <c r="F231" s="1" t="s">
        <v>10850</v>
      </c>
      <c r="G231" s="1" t="s">
        <v>8957</v>
      </c>
      <c r="H231" t="s">
        <v>9183</v>
      </c>
      <c r="I231" s="1" t="s">
        <v>20714</v>
      </c>
      <c r="J231" s="1" t="s">
        <v>9050</v>
      </c>
      <c r="K231" s="1" t="s">
        <v>10525</v>
      </c>
      <c r="L231" s="1" t="s">
        <v>8951</v>
      </c>
      <c r="M231" s="1">
        <f>4504+76370</f>
        <v>80874</v>
      </c>
      <c r="N231" s="1" t="s">
        <v>8953</v>
      </c>
      <c r="O231" s="1" t="s">
        <v>8954</v>
      </c>
      <c r="P231" s="1" t="e">
        <v>#N/A</v>
      </c>
      <c r="Q231" s="1" t="e">
        <v>#N/A</v>
      </c>
      <c r="R231" s="1">
        <f>1+LEN(T231)-LEN(SUBSTITUTE(T231,",",))</f>
        <v>20</v>
      </c>
      <c r="S231" s="1" t="str">
        <f>IF(R231&gt;4,IF(R231&lt;8,"4-7",IF(R231&gt;7,"&gt;7")),"&lt;4")</f>
        <v>&gt;7</v>
      </c>
      <c r="T231" s="1" t="s">
        <v>20552</v>
      </c>
      <c r="U231" s="1" t="s">
        <v>17</v>
      </c>
      <c r="V231" s="1" t="s">
        <v>686</v>
      </c>
      <c r="W231" s="1"/>
    </row>
    <row r="232" spans="1:23" x14ac:dyDescent="0.2">
      <c r="A232" s="88" t="s">
        <v>15726</v>
      </c>
      <c r="B232" s="1" t="e">
        <v>#N/A</v>
      </c>
      <c r="C232" s="1" t="s">
        <v>11770</v>
      </c>
      <c r="D232" s="1" t="s">
        <v>687</v>
      </c>
      <c r="E232" s="1" t="s">
        <v>688</v>
      </c>
      <c r="F232" s="1" t="s">
        <v>9317</v>
      </c>
      <c r="G232" s="1" t="s">
        <v>8957</v>
      </c>
      <c r="H232" t="s">
        <v>8959</v>
      </c>
      <c r="I232" s="1" t="s">
        <v>9605</v>
      </c>
      <c r="J232" s="1" t="s">
        <v>9101</v>
      </c>
      <c r="K232" s="1" t="s">
        <v>9036</v>
      </c>
      <c r="L232" s="1" t="s">
        <v>8951</v>
      </c>
      <c r="M232" s="1">
        <v>36</v>
      </c>
      <c r="N232" s="1" t="s">
        <v>8953</v>
      </c>
      <c r="O232" s="1" t="s">
        <v>8954</v>
      </c>
      <c r="P232" s="1" t="s">
        <v>8955</v>
      </c>
      <c r="Q232" s="1" t="s">
        <v>8956</v>
      </c>
      <c r="R232" s="1" t="s">
        <v>8957</v>
      </c>
      <c r="S232" s="1" t="s">
        <v>8975</v>
      </c>
      <c r="T232" s="1" t="s">
        <v>689</v>
      </c>
      <c r="U232" s="1" t="s">
        <v>11</v>
      </c>
      <c r="V232" s="1" t="s">
        <v>690</v>
      </c>
      <c r="W232" s="1"/>
    </row>
    <row r="233" spans="1:23" x14ac:dyDescent="0.2">
      <c r="A233" s="88" t="s">
        <v>15727</v>
      </c>
      <c r="B233" s="1" t="e">
        <v>#N/A</v>
      </c>
      <c r="C233" s="1" t="s">
        <v>10289</v>
      </c>
      <c r="D233" s="1" t="s">
        <v>691</v>
      </c>
      <c r="E233" s="1" t="s">
        <v>692</v>
      </c>
      <c r="F233" s="1" t="s">
        <v>10873</v>
      </c>
      <c r="G233" s="1" t="s">
        <v>8957</v>
      </c>
      <c r="H233" t="s">
        <v>9009</v>
      </c>
      <c r="I233" s="1" t="s">
        <v>9154</v>
      </c>
      <c r="J233" s="1" t="s">
        <v>8949</v>
      </c>
      <c r="K233" s="1" t="s">
        <v>9036</v>
      </c>
      <c r="L233" s="1" t="s">
        <v>9157</v>
      </c>
      <c r="M233" s="1">
        <v>69820</v>
      </c>
      <c r="N233" s="1" t="s">
        <v>8953</v>
      </c>
      <c r="O233" s="1" t="s">
        <v>8954</v>
      </c>
      <c r="P233" s="1" t="s">
        <v>8955</v>
      </c>
      <c r="Q233" s="1" t="s">
        <v>8956</v>
      </c>
      <c r="R233" s="1" t="s">
        <v>8957</v>
      </c>
      <c r="S233" s="1" t="s">
        <v>8975</v>
      </c>
      <c r="T233" s="1" t="s">
        <v>693</v>
      </c>
      <c r="U233" s="1" t="s">
        <v>17</v>
      </c>
      <c r="V233" s="1" t="s">
        <v>694</v>
      </c>
      <c r="W233" s="1"/>
    </row>
    <row r="234" spans="1:23" x14ac:dyDescent="0.2">
      <c r="A234" s="88" t="s">
        <v>15728</v>
      </c>
      <c r="B234" s="1" t="e">
        <v>#N/A</v>
      </c>
      <c r="C234" s="1" t="e">
        <v>#N/A</v>
      </c>
      <c r="D234" s="1" t="s">
        <v>695</v>
      </c>
      <c r="E234" s="1" t="s">
        <v>696</v>
      </c>
      <c r="F234" s="1" t="s">
        <v>18502</v>
      </c>
      <c r="G234" s="1" t="s">
        <v>9060</v>
      </c>
      <c r="H234" t="s">
        <v>9183</v>
      </c>
      <c r="I234" s="1" t="s">
        <v>20714</v>
      </c>
      <c r="J234" s="1" t="s">
        <v>9050</v>
      </c>
      <c r="K234" s="1" t="s">
        <v>9036</v>
      </c>
      <c r="L234" s="1" t="s">
        <v>8987</v>
      </c>
      <c r="M234" s="1">
        <v>5945</v>
      </c>
      <c r="N234" s="1" t="s">
        <v>8953</v>
      </c>
      <c r="O234" s="1" t="s">
        <v>8954</v>
      </c>
      <c r="P234" s="1" t="e">
        <v>#N/A</v>
      </c>
      <c r="Q234" s="1" t="e">
        <v>#N/A</v>
      </c>
      <c r="R234" s="1">
        <f t="shared" ref="R234:R236" si="68">1+LEN(T234)-LEN(SUBSTITUTE(T234,",",))</f>
        <v>11</v>
      </c>
      <c r="S234" s="1" t="str">
        <f t="shared" ref="S234:S236" si="69">IF(R234&gt;4,IF(R234&lt;8,"4-7",IF(R234&gt;7,"&gt;7")),"&lt;4")</f>
        <v>&gt;7</v>
      </c>
      <c r="T234" s="1" t="s">
        <v>18635</v>
      </c>
      <c r="U234" s="1" t="s">
        <v>7</v>
      </c>
      <c r="V234" s="1" t="s">
        <v>447</v>
      </c>
      <c r="W234" s="1"/>
    </row>
    <row r="235" spans="1:23" x14ac:dyDescent="0.2">
      <c r="A235" s="89" t="s">
        <v>697</v>
      </c>
      <c r="B235" s="1" t="e">
        <v>#N/A</v>
      </c>
      <c r="C235" s="1" t="e">
        <v>#N/A</v>
      </c>
      <c r="D235" s="1" t="s">
        <v>698</v>
      </c>
      <c r="E235" s="1" t="s">
        <v>699</v>
      </c>
      <c r="F235" s="1" t="e">
        <v>#N/A</v>
      </c>
      <c r="G235" s="1" t="e">
        <v>#N/A</v>
      </c>
      <c r="H235" t="e">
        <v>#N/A</v>
      </c>
      <c r="I235" s="1" t="e">
        <v>#N/A</v>
      </c>
      <c r="J235" s="1" t="e">
        <v>#N/A</v>
      </c>
      <c r="K235" s="1" t="e">
        <v>#N/A</v>
      </c>
      <c r="L235" s="1" t="e">
        <v>#N/A</v>
      </c>
      <c r="M235" s="1" t="e">
        <v>#N/A</v>
      </c>
      <c r="N235" s="1" t="e">
        <v>#N/A</v>
      </c>
      <c r="O235" s="1" t="e">
        <v>#N/A</v>
      </c>
      <c r="P235" s="1" t="e">
        <v>#N/A</v>
      </c>
      <c r="Q235" s="1" t="e">
        <v>#N/A</v>
      </c>
      <c r="R235" s="1">
        <f t="shared" si="68"/>
        <v>2</v>
      </c>
      <c r="S235" s="1" t="str">
        <f t="shared" si="69"/>
        <v>&lt;4</v>
      </c>
      <c r="T235" s="1" t="s">
        <v>18636</v>
      </c>
      <c r="U235" s="1" t="s">
        <v>17</v>
      </c>
      <c r="V235" s="1" t="s">
        <v>700</v>
      </c>
      <c r="W235" s="1"/>
    </row>
    <row r="236" spans="1:23" x14ac:dyDescent="0.2">
      <c r="A236" s="89" t="s">
        <v>701</v>
      </c>
      <c r="B236" s="1" t="e">
        <v>#N/A</v>
      </c>
      <c r="C236" s="1" t="e">
        <v>#N/A</v>
      </c>
      <c r="D236" s="1" t="s">
        <v>702</v>
      </c>
      <c r="E236" s="1" t="s">
        <v>703</v>
      </c>
      <c r="F236" s="1" t="e">
        <v>#N/A</v>
      </c>
      <c r="G236" s="1" t="e">
        <v>#N/A</v>
      </c>
      <c r="H236" t="e">
        <v>#N/A</v>
      </c>
      <c r="I236" s="1" t="e">
        <v>#N/A</v>
      </c>
      <c r="J236" s="1" t="e">
        <v>#N/A</v>
      </c>
      <c r="K236" s="1" t="e">
        <v>#N/A</v>
      </c>
      <c r="L236" s="1" t="e">
        <v>#N/A</v>
      </c>
      <c r="M236" s="1" t="e">
        <v>#N/A</v>
      </c>
      <c r="N236" s="1" t="e">
        <v>#N/A</v>
      </c>
      <c r="O236" s="1" t="e">
        <v>#N/A</v>
      </c>
      <c r="P236" s="1" t="e">
        <v>#N/A</v>
      </c>
      <c r="Q236" s="1" t="e">
        <v>#N/A</v>
      </c>
      <c r="R236" s="1">
        <f t="shared" si="68"/>
        <v>6</v>
      </c>
      <c r="S236" s="1" t="str">
        <f t="shared" si="69"/>
        <v>4-7</v>
      </c>
      <c r="T236" s="1" t="s">
        <v>18637</v>
      </c>
      <c r="U236" s="1" t="s">
        <v>7</v>
      </c>
      <c r="V236" s="1" t="s">
        <v>704</v>
      </c>
      <c r="W236" s="1"/>
    </row>
    <row r="237" spans="1:23" x14ac:dyDescent="0.2">
      <c r="A237" s="88" t="s">
        <v>15729</v>
      </c>
      <c r="B237" s="1" t="e">
        <v>#N/A</v>
      </c>
      <c r="C237" s="1" t="s">
        <v>13694</v>
      </c>
      <c r="D237" s="1" t="s">
        <v>705</v>
      </c>
      <c r="E237" s="1" t="s">
        <v>706</v>
      </c>
      <c r="F237" s="1" t="s">
        <v>9387</v>
      </c>
      <c r="G237" s="1" t="s">
        <v>8974</v>
      </c>
      <c r="H237" t="s">
        <v>9009</v>
      </c>
      <c r="I237" s="1" t="s">
        <v>8984</v>
      </c>
      <c r="J237" s="1" t="s">
        <v>8998</v>
      </c>
      <c r="K237" s="1" t="s">
        <v>10135</v>
      </c>
      <c r="L237" s="1" t="s">
        <v>8987</v>
      </c>
      <c r="M237" s="1">
        <v>71</v>
      </c>
      <c r="N237" s="1" t="s">
        <v>9059</v>
      </c>
      <c r="O237" s="1" t="s">
        <v>8989</v>
      </c>
      <c r="P237" s="1" t="s">
        <v>8955</v>
      </c>
      <c r="Q237" s="1" t="s">
        <v>8956</v>
      </c>
      <c r="R237" s="1" t="s">
        <v>8974</v>
      </c>
      <c r="S237" s="1" t="s">
        <v>8975</v>
      </c>
      <c r="T237" s="1" t="s">
        <v>707</v>
      </c>
      <c r="U237" s="1" t="s">
        <v>4</v>
      </c>
      <c r="V237" s="1" t="s">
        <v>562</v>
      </c>
      <c r="W237" s="1"/>
    </row>
    <row r="238" spans="1:23" x14ac:dyDescent="0.2">
      <c r="A238" s="88" t="s">
        <v>15730</v>
      </c>
      <c r="B238" s="1" t="e">
        <v>#N/A</v>
      </c>
      <c r="C238" s="1" t="e">
        <v>#N/A</v>
      </c>
      <c r="D238" s="1" t="s">
        <v>708</v>
      </c>
      <c r="E238" s="1" t="s">
        <v>709</v>
      </c>
      <c r="F238" s="1" t="s">
        <v>9317</v>
      </c>
      <c r="G238" s="1" t="s">
        <v>8957</v>
      </c>
      <c r="H238" t="s">
        <v>8959</v>
      </c>
      <c r="I238" s="1" t="s">
        <v>9605</v>
      </c>
      <c r="J238" s="1" t="s">
        <v>20725</v>
      </c>
      <c r="K238" s="1" t="s">
        <v>20723</v>
      </c>
      <c r="L238" s="1" t="s">
        <v>9076</v>
      </c>
      <c r="M238" s="1">
        <v>40</v>
      </c>
      <c r="N238" s="1" t="s">
        <v>8953</v>
      </c>
      <c r="O238" s="1" t="s">
        <v>8989</v>
      </c>
      <c r="P238" s="1" t="e">
        <v>#N/A</v>
      </c>
      <c r="Q238" s="1" t="e">
        <v>#N/A</v>
      </c>
      <c r="R238" s="1">
        <f t="shared" ref="R238:R241" si="70">1+LEN(T238)-LEN(SUBSTITUTE(T238,",",))</f>
        <v>4</v>
      </c>
      <c r="S238" s="1" t="str">
        <f t="shared" ref="S238:S241" si="71">IF(R238&gt;4,IF(R238&lt;8,"4-7",IF(R238&gt;7,"&gt;7")),"&lt;4")</f>
        <v>&lt;4</v>
      </c>
      <c r="T238" s="1" t="s">
        <v>18638</v>
      </c>
      <c r="U238" s="1" t="s">
        <v>7</v>
      </c>
      <c r="V238" s="1" t="s">
        <v>64</v>
      </c>
      <c r="W238" s="1"/>
    </row>
    <row r="239" spans="1:23" x14ac:dyDescent="0.2">
      <c r="A239" s="89" t="s">
        <v>710</v>
      </c>
      <c r="B239" s="1" t="e">
        <v>#N/A</v>
      </c>
      <c r="C239" s="1" t="e">
        <v>#N/A</v>
      </c>
      <c r="D239" s="1" t="s">
        <v>711</v>
      </c>
      <c r="E239" s="1" t="s">
        <v>712</v>
      </c>
      <c r="F239" s="1" t="e">
        <v>#N/A</v>
      </c>
      <c r="G239" s="1" t="e">
        <v>#N/A</v>
      </c>
      <c r="H239" t="e">
        <v>#N/A</v>
      </c>
      <c r="I239" s="1" t="e">
        <v>#N/A</v>
      </c>
      <c r="J239" s="1" t="e">
        <v>#N/A</v>
      </c>
      <c r="K239" s="1" t="e">
        <v>#N/A</v>
      </c>
      <c r="L239" s="1" t="e">
        <v>#N/A</v>
      </c>
      <c r="M239" s="1" t="e">
        <v>#N/A</v>
      </c>
      <c r="N239" s="1" t="e">
        <v>#N/A</v>
      </c>
      <c r="O239" s="1" t="e">
        <v>#N/A</v>
      </c>
      <c r="P239" s="1" t="e">
        <v>#N/A</v>
      </c>
      <c r="Q239" s="1" t="e">
        <v>#N/A</v>
      </c>
      <c r="R239" s="1">
        <f t="shared" si="70"/>
        <v>2</v>
      </c>
      <c r="S239" s="1" t="str">
        <f t="shared" si="71"/>
        <v>&lt;4</v>
      </c>
      <c r="T239" s="1" t="s">
        <v>18639</v>
      </c>
      <c r="U239" s="1" t="s">
        <v>7</v>
      </c>
      <c r="V239" s="1" t="s">
        <v>713</v>
      </c>
      <c r="W239" s="1"/>
    </row>
    <row r="240" spans="1:23" x14ac:dyDescent="0.2">
      <c r="A240" s="88" t="s">
        <v>15731</v>
      </c>
      <c r="B240" s="1" t="e">
        <v>#N/A</v>
      </c>
      <c r="C240" s="1" t="e">
        <v>#N/A</v>
      </c>
      <c r="D240" s="1" t="s">
        <v>714</v>
      </c>
      <c r="E240" s="1" t="s">
        <v>715</v>
      </c>
      <c r="F240" s="1" t="s">
        <v>9465</v>
      </c>
      <c r="G240" s="1" t="e">
        <v>#N/A</v>
      </c>
      <c r="H240" t="s">
        <v>9061</v>
      </c>
      <c r="I240" s="1" t="s">
        <v>9154</v>
      </c>
      <c r="J240" s="1" t="s">
        <v>8998</v>
      </c>
      <c r="K240" s="1" t="s">
        <v>9036</v>
      </c>
      <c r="L240" s="1" t="s">
        <v>9076</v>
      </c>
      <c r="M240" s="1">
        <v>43</v>
      </c>
      <c r="N240" s="1" t="s">
        <v>9059</v>
      </c>
      <c r="O240" s="1" t="s">
        <v>8989</v>
      </c>
      <c r="P240" s="1" t="e">
        <v>#N/A</v>
      </c>
      <c r="Q240" s="1" t="e">
        <v>#N/A</v>
      </c>
      <c r="R240" s="1">
        <f t="shared" si="70"/>
        <v>13</v>
      </c>
      <c r="S240" s="1" t="str">
        <f t="shared" si="71"/>
        <v>&gt;7</v>
      </c>
      <c r="T240" s="1" t="s">
        <v>18640</v>
      </c>
      <c r="U240" s="1" t="s">
        <v>7</v>
      </c>
      <c r="V240" s="1" t="s">
        <v>716</v>
      </c>
      <c r="W240" s="1"/>
    </row>
    <row r="241" spans="1:23" x14ac:dyDescent="0.2">
      <c r="A241" s="88" t="s">
        <v>15732</v>
      </c>
      <c r="B241" s="1" t="e">
        <v>#N/A</v>
      </c>
      <c r="C241" s="1" t="e">
        <v>#N/A</v>
      </c>
      <c r="D241" s="1" t="s">
        <v>717</v>
      </c>
      <c r="E241" s="1" t="s">
        <v>718</v>
      </c>
      <c r="F241" s="1" t="s">
        <v>18502</v>
      </c>
      <c r="G241" s="1" t="s">
        <v>9060</v>
      </c>
      <c r="H241" t="s">
        <v>8959</v>
      </c>
      <c r="I241" s="1" t="s">
        <v>9605</v>
      </c>
      <c r="J241" s="1" t="s">
        <v>9101</v>
      </c>
      <c r="K241" s="1" t="s">
        <v>10492</v>
      </c>
      <c r="L241" s="1" t="s">
        <v>9464</v>
      </c>
      <c r="M241" s="1">
        <f>671+900+196+499+170+142+642+971+596+181+153+295+199+198+1461+512+397+600</f>
        <v>8783</v>
      </c>
      <c r="N241" s="1" t="s">
        <v>8953</v>
      </c>
      <c r="O241" s="1" t="s">
        <v>8954</v>
      </c>
      <c r="P241" s="1" t="e">
        <v>#N/A</v>
      </c>
      <c r="Q241" s="1" t="e">
        <v>#N/A</v>
      </c>
      <c r="R241" s="1">
        <f t="shared" si="70"/>
        <v>4</v>
      </c>
      <c r="S241" s="1" t="str">
        <f t="shared" si="71"/>
        <v>&lt;4</v>
      </c>
      <c r="T241" s="1" t="s">
        <v>18641</v>
      </c>
      <c r="U241" s="1" t="s">
        <v>7</v>
      </c>
      <c r="V241" s="1" t="s">
        <v>580</v>
      </c>
      <c r="W241" s="1"/>
    </row>
    <row r="242" spans="1:23" x14ac:dyDescent="0.2">
      <c r="A242" s="88" t="s">
        <v>15733</v>
      </c>
      <c r="B242" s="1" t="e">
        <v>#N/A</v>
      </c>
      <c r="C242" s="1" t="s">
        <v>9507</v>
      </c>
      <c r="D242" s="1" t="s">
        <v>719</v>
      </c>
      <c r="E242" s="1" t="s">
        <v>720</v>
      </c>
      <c r="F242" s="1" t="s">
        <v>9010</v>
      </c>
      <c r="G242" s="1" t="s">
        <v>8957</v>
      </c>
      <c r="H242" t="s">
        <v>8959</v>
      </c>
      <c r="I242" s="1" t="s">
        <v>8948</v>
      </c>
      <c r="J242" s="1" t="s">
        <v>9155</v>
      </c>
      <c r="K242" s="1" t="s">
        <v>9041</v>
      </c>
      <c r="L242" s="1" t="s">
        <v>9157</v>
      </c>
      <c r="M242" s="1">
        <v>6361</v>
      </c>
      <c r="N242" s="1" t="s">
        <v>8953</v>
      </c>
      <c r="O242" s="1" t="s">
        <v>8954</v>
      </c>
      <c r="P242" s="1" t="s">
        <v>8955</v>
      </c>
      <c r="Q242" s="1" t="s">
        <v>8956</v>
      </c>
      <c r="R242" s="1" t="s">
        <v>8957</v>
      </c>
      <c r="S242" s="1" t="s">
        <v>8975</v>
      </c>
      <c r="T242" s="1" t="s">
        <v>721</v>
      </c>
      <c r="U242" s="1" t="s">
        <v>17</v>
      </c>
      <c r="V242" s="1" t="s">
        <v>21</v>
      </c>
      <c r="W242" s="1"/>
    </row>
    <row r="243" spans="1:23" x14ac:dyDescent="0.2">
      <c r="A243" s="88" t="s">
        <v>15734</v>
      </c>
      <c r="B243" s="1" t="e">
        <v>#N/A</v>
      </c>
      <c r="C243" s="1" t="s">
        <v>11952</v>
      </c>
      <c r="D243" s="1" t="s">
        <v>722</v>
      </c>
      <c r="E243" s="1" t="s">
        <v>723</v>
      </c>
      <c r="F243" s="1" t="s">
        <v>10032</v>
      </c>
      <c r="G243" s="1" t="s">
        <v>8957</v>
      </c>
      <c r="H243" t="s">
        <v>9183</v>
      </c>
      <c r="I243" s="1" t="s">
        <v>9154</v>
      </c>
      <c r="J243" s="1" t="s">
        <v>8949</v>
      </c>
      <c r="K243" s="1" t="s">
        <v>11955</v>
      </c>
      <c r="L243" s="1" t="s">
        <v>18490</v>
      </c>
      <c r="M243" s="1">
        <v>45</v>
      </c>
      <c r="N243" s="1" t="s">
        <v>9059</v>
      </c>
      <c r="O243" s="1" t="s">
        <v>8989</v>
      </c>
      <c r="P243" s="1" t="s">
        <v>8955</v>
      </c>
      <c r="Q243" s="1" t="s">
        <v>8956</v>
      </c>
      <c r="R243" s="1" t="s">
        <v>8957</v>
      </c>
      <c r="S243" s="1" t="s">
        <v>8975</v>
      </c>
      <c r="T243" s="1" t="s">
        <v>724</v>
      </c>
      <c r="U243" s="1" t="s">
        <v>11</v>
      </c>
      <c r="V243" s="1" t="s">
        <v>61</v>
      </c>
      <c r="W243" s="1"/>
    </row>
    <row r="244" spans="1:23" x14ac:dyDescent="0.2">
      <c r="A244" s="94" t="s">
        <v>15735</v>
      </c>
      <c r="B244" s="1" t="e">
        <v>#N/A</v>
      </c>
      <c r="C244" s="1" t="e">
        <v>#N/A</v>
      </c>
      <c r="D244" s="1" t="s">
        <v>725</v>
      </c>
      <c r="E244" s="1" t="s">
        <v>726</v>
      </c>
      <c r="F244" s="1" t="e">
        <v>#N/A</v>
      </c>
      <c r="G244" s="1" t="e">
        <v>#N/A</v>
      </c>
      <c r="H244" t="e">
        <v>#N/A</v>
      </c>
      <c r="I244" s="1" t="e">
        <v>#N/A</v>
      </c>
      <c r="J244" s="1" t="e">
        <v>#N/A</v>
      </c>
      <c r="K244" s="1" t="e">
        <v>#N/A</v>
      </c>
      <c r="L244" s="1" t="e">
        <v>#N/A</v>
      </c>
      <c r="M244" s="1" t="e">
        <v>#N/A</v>
      </c>
      <c r="N244" s="1" t="e">
        <v>#N/A</v>
      </c>
      <c r="O244" s="1" t="e">
        <v>#N/A</v>
      </c>
      <c r="P244" s="1" t="e">
        <v>#N/A</v>
      </c>
      <c r="Q244" s="1" t="e">
        <v>#N/A</v>
      </c>
      <c r="R244" s="1">
        <f t="shared" ref="R244:R246" si="72">1+LEN(T244)-LEN(SUBSTITUTE(T244,",",))</f>
        <v>8</v>
      </c>
      <c r="S244" s="1" t="str">
        <f t="shared" ref="S244:S246" si="73">IF(R244&gt;4,IF(R244&lt;8,"4-7",IF(R244&gt;7,"&gt;7")),"&lt;4")</f>
        <v>&gt;7</v>
      </c>
      <c r="T244" s="1" t="s">
        <v>18642</v>
      </c>
      <c r="U244" s="1" t="s">
        <v>17</v>
      </c>
      <c r="V244" s="1" t="s">
        <v>727</v>
      </c>
      <c r="W244" s="1"/>
    </row>
    <row r="245" spans="1:23" x14ac:dyDescent="0.2">
      <c r="A245" s="88" t="s">
        <v>728</v>
      </c>
      <c r="B245" s="1" t="e">
        <v>#N/A</v>
      </c>
      <c r="C245" s="1" t="e">
        <v>#N/A</v>
      </c>
      <c r="D245" s="1" t="s">
        <v>729</v>
      </c>
      <c r="E245" s="1" t="s">
        <v>730</v>
      </c>
      <c r="F245" s="1" t="s">
        <v>18502</v>
      </c>
      <c r="G245" s="1" t="s">
        <v>8957</v>
      </c>
      <c r="H245" t="s">
        <v>9061</v>
      </c>
      <c r="I245" s="1" t="s">
        <v>9154</v>
      </c>
      <c r="J245" s="1" t="s">
        <v>8998</v>
      </c>
      <c r="K245" s="1" t="s">
        <v>9036</v>
      </c>
      <c r="L245" s="1" t="s">
        <v>9133</v>
      </c>
      <c r="M245" s="1">
        <v>1638</v>
      </c>
      <c r="N245" s="1" t="s">
        <v>9059</v>
      </c>
      <c r="O245" s="1" t="s">
        <v>8954</v>
      </c>
      <c r="P245" s="1" t="e">
        <v>#N/A</v>
      </c>
      <c r="Q245" s="1" t="e">
        <v>#N/A</v>
      </c>
      <c r="R245" s="1">
        <f t="shared" si="72"/>
        <v>20</v>
      </c>
      <c r="S245" s="1" t="str">
        <f t="shared" si="73"/>
        <v>&gt;7</v>
      </c>
      <c r="T245" s="1" t="s">
        <v>20553</v>
      </c>
      <c r="U245" s="1" t="s">
        <v>11</v>
      </c>
      <c r="V245" s="1" t="s">
        <v>652</v>
      </c>
      <c r="W245" s="1"/>
    </row>
    <row r="246" spans="1:23" x14ac:dyDescent="0.2">
      <c r="A246" s="88" t="s">
        <v>15736</v>
      </c>
      <c r="B246" s="1" t="e">
        <v>#N/A</v>
      </c>
      <c r="C246" s="1" t="e">
        <v>#N/A</v>
      </c>
      <c r="D246" s="1" t="s">
        <v>731</v>
      </c>
      <c r="E246" s="1" t="s">
        <v>732</v>
      </c>
      <c r="F246" s="1" t="s">
        <v>18502</v>
      </c>
      <c r="G246" s="1" t="s">
        <v>9060</v>
      </c>
      <c r="H246" t="s">
        <v>9061</v>
      </c>
      <c r="I246" s="1" t="s">
        <v>9154</v>
      </c>
      <c r="J246" s="1" t="s">
        <v>8998</v>
      </c>
      <c r="K246" s="1" t="s">
        <v>9036</v>
      </c>
      <c r="L246" s="1" t="s">
        <v>9464</v>
      </c>
      <c r="M246" s="1">
        <v>1160</v>
      </c>
      <c r="N246" s="1" t="s">
        <v>9059</v>
      </c>
      <c r="O246" s="1" t="s">
        <v>8954</v>
      </c>
      <c r="P246" s="1" t="e">
        <v>#N/A</v>
      </c>
      <c r="Q246" s="1" t="e">
        <v>#N/A</v>
      </c>
      <c r="R246" s="1">
        <f t="shared" si="72"/>
        <v>20</v>
      </c>
      <c r="S246" s="1" t="str">
        <f t="shared" si="73"/>
        <v>&gt;7</v>
      </c>
      <c r="T246" s="1" t="s">
        <v>20554</v>
      </c>
      <c r="U246" s="1" t="s">
        <v>17</v>
      </c>
      <c r="V246" s="1" t="s">
        <v>733</v>
      </c>
      <c r="W246" s="1"/>
    </row>
    <row r="247" spans="1:23" x14ac:dyDescent="0.2">
      <c r="A247" s="88" t="s">
        <v>15737</v>
      </c>
      <c r="B247" s="1" t="e">
        <v>#N/A</v>
      </c>
      <c r="C247" s="1" t="s">
        <v>14734</v>
      </c>
      <c r="D247" s="1" t="s">
        <v>734</v>
      </c>
      <c r="E247" s="1" t="s">
        <v>735</v>
      </c>
      <c r="F247" s="1" t="s">
        <v>10049</v>
      </c>
      <c r="G247" s="1" t="s">
        <v>8957</v>
      </c>
      <c r="H247" t="s">
        <v>8959</v>
      </c>
      <c r="I247" s="1" t="s">
        <v>9075</v>
      </c>
      <c r="J247" s="1" t="s">
        <v>8949</v>
      </c>
      <c r="K247" s="1" t="s">
        <v>9036</v>
      </c>
      <c r="L247" s="1" t="s">
        <v>8973</v>
      </c>
      <c r="M247" s="1">
        <v>18</v>
      </c>
      <c r="N247" s="1" t="s">
        <v>9059</v>
      </c>
      <c r="O247" s="1" t="s">
        <v>8989</v>
      </c>
      <c r="P247" s="1" t="s">
        <v>8955</v>
      </c>
      <c r="Q247" s="1" t="s">
        <v>8956</v>
      </c>
      <c r="R247" s="1" t="s">
        <v>8957</v>
      </c>
      <c r="S247" s="1" t="s">
        <v>8958</v>
      </c>
      <c r="T247" s="1" t="s">
        <v>736</v>
      </c>
      <c r="U247" s="1" t="s">
        <v>17</v>
      </c>
      <c r="V247" s="1" t="s">
        <v>577</v>
      </c>
      <c r="W247" s="1"/>
    </row>
    <row r="248" spans="1:23" x14ac:dyDescent="0.2">
      <c r="A248" s="88" t="s">
        <v>15738</v>
      </c>
      <c r="B248" s="1" t="e">
        <v>#N/A</v>
      </c>
      <c r="C248" s="1" t="s">
        <v>10462</v>
      </c>
      <c r="D248" s="1" t="s">
        <v>737</v>
      </c>
      <c r="E248" s="1" t="s">
        <v>738</v>
      </c>
      <c r="F248" s="1" t="s">
        <v>9176</v>
      </c>
      <c r="G248" s="1" t="s">
        <v>8959</v>
      </c>
      <c r="H248" t="s">
        <v>9061</v>
      </c>
      <c r="I248" s="1" t="s">
        <v>8948</v>
      </c>
      <c r="J248" s="1" t="s">
        <v>8998</v>
      </c>
      <c r="K248" s="1" t="s">
        <v>10135</v>
      </c>
      <c r="L248" s="1" t="s">
        <v>9292</v>
      </c>
      <c r="M248" s="1">
        <v>1000</v>
      </c>
      <c r="N248" s="1" t="s">
        <v>8953</v>
      </c>
      <c r="O248" s="1" t="s">
        <v>8989</v>
      </c>
      <c r="P248" s="1" t="s">
        <v>8955</v>
      </c>
      <c r="Q248" s="1" t="s">
        <v>8956</v>
      </c>
      <c r="R248" s="1" t="s">
        <v>8959</v>
      </c>
      <c r="S248" s="1" t="s">
        <v>8958</v>
      </c>
      <c r="T248" s="1" t="s">
        <v>739</v>
      </c>
      <c r="U248" s="1" t="s">
        <v>17</v>
      </c>
      <c r="V248" s="1" t="s">
        <v>740</v>
      </c>
      <c r="W248" s="1"/>
    </row>
    <row r="249" spans="1:23" x14ac:dyDescent="0.2">
      <c r="A249" s="94" t="s">
        <v>15739</v>
      </c>
      <c r="B249" s="1" t="e">
        <v>#N/A</v>
      </c>
      <c r="C249" s="1" t="e">
        <v>#N/A</v>
      </c>
      <c r="D249" s="1" t="s">
        <v>741</v>
      </c>
      <c r="E249" s="1" t="s">
        <v>742</v>
      </c>
      <c r="F249" s="1" t="e">
        <v>#N/A</v>
      </c>
      <c r="G249" s="1" t="e">
        <v>#N/A</v>
      </c>
      <c r="H249" t="e">
        <v>#N/A</v>
      </c>
      <c r="I249" s="1" t="e">
        <v>#N/A</v>
      </c>
      <c r="J249" s="1" t="e">
        <v>#N/A</v>
      </c>
      <c r="K249" s="1" t="e">
        <v>#N/A</v>
      </c>
      <c r="L249" s="1" t="e">
        <v>#N/A</v>
      </c>
      <c r="M249" s="1" t="e">
        <v>#N/A</v>
      </c>
      <c r="N249" s="1" t="e">
        <v>#N/A</v>
      </c>
      <c r="O249" s="1" t="e">
        <v>#N/A</v>
      </c>
      <c r="P249" s="1" t="e">
        <v>#N/A</v>
      </c>
      <c r="Q249" s="1" t="e">
        <v>#N/A</v>
      </c>
      <c r="R249" s="1">
        <f t="shared" ref="R249:R257" si="74">1+LEN(T249)-LEN(SUBSTITUTE(T249,",",))</f>
        <v>1</v>
      </c>
      <c r="S249" s="1" t="str">
        <f t="shared" ref="S249:S257" si="75">IF(R249&gt;4,IF(R249&lt;8,"4-7",IF(R249&gt;7,"&gt;7")),"&lt;4")</f>
        <v>&lt;4</v>
      </c>
      <c r="T249" s="1" t="s">
        <v>743</v>
      </c>
      <c r="U249" s="1" t="s">
        <v>7</v>
      </c>
      <c r="V249" s="1" t="s">
        <v>744</v>
      </c>
      <c r="W249" s="1"/>
    </row>
    <row r="250" spans="1:23" x14ac:dyDescent="0.2">
      <c r="A250" s="88" t="s">
        <v>15740</v>
      </c>
      <c r="B250" s="1" t="e">
        <v>#N/A</v>
      </c>
      <c r="C250" s="1" t="e">
        <v>#N/A</v>
      </c>
      <c r="D250" s="1" t="s">
        <v>745</v>
      </c>
      <c r="E250" s="1" t="s">
        <v>746</v>
      </c>
      <c r="F250" s="1" t="s">
        <v>14748</v>
      </c>
      <c r="G250" s="1" t="s">
        <v>8974</v>
      </c>
      <c r="H250" t="s">
        <v>9183</v>
      </c>
      <c r="I250" s="1" t="s">
        <v>9092</v>
      </c>
      <c r="J250" s="1" t="s">
        <v>9308</v>
      </c>
      <c r="K250" s="1" t="s">
        <v>9036</v>
      </c>
      <c r="L250" s="1" t="s">
        <v>8951</v>
      </c>
      <c r="M250" s="1">
        <v>2106</v>
      </c>
      <c r="N250" s="1" t="s">
        <v>8953</v>
      </c>
      <c r="O250" s="1" t="s">
        <v>8989</v>
      </c>
      <c r="P250" s="1" t="e">
        <v>#N/A</v>
      </c>
      <c r="Q250" s="1" t="e">
        <v>#N/A</v>
      </c>
      <c r="R250" s="1">
        <f t="shared" si="74"/>
        <v>3</v>
      </c>
      <c r="S250" s="1" t="str">
        <f t="shared" si="75"/>
        <v>&lt;4</v>
      </c>
      <c r="T250" s="1" t="s">
        <v>18643</v>
      </c>
      <c r="U250" s="1" t="s">
        <v>7</v>
      </c>
      <c r="V250" s="1" t="s">
        <v>744</v>
      </c>
      <c r="W250" s="1"/>
    </row>
    <row r="251" spans="1:23" x14ac:dyDescent="0.2">
      <c r="A251" s="89" t="s">
        <v>747</v>
      </c>
      <c r="B251" s="1" t="e">
        <v>#N/A</v>
      </c>
      <c r="C251" s="1" t="e">
        <v>#N/A</v>
      </c>
      <c r="D251" s="1" t="s">
        <v>748</v>
      </c>
      <c r="E251" s="1" t="s">
        <v>749</v>
      </c>
      <c r="F251" s="1" t="e">
        <v>#N/A</v>
      </c>
      <c r="G251" s="1" t="e">
        <v>#N/A</v>
      </c>
      <c r="H251" t="e">
        <v>#N/A</v>
      </c>
      <c r="I251" s="1" t="e">
        <v>#N/A</v>
      </c>
      <c r="J251" s="1" t="e">
        <v>#N/A</v>
      </c>
      <c r="K251" s="1" t="e">
        <v>#N/A</v>
      </c>
      <c r="L251" s="1" t="e">
        <v>#N/A</v>
      </c>
      <c r="M251" s="1" t="e">
        <v>#N/A</v>
      </c>
      <c r="N251" s="1" t="e">
        <v>#N/A</v>
      </c>
      <c r="O251" s="1" t="e">
        <v>#N/A</v>
      </c>
      <c r="P251" s="1" t="e">
        <v>#N/A</v>
      </c>
      <c r="Q251" s="1" t="e">
        <v>#N/A</v>
      </c>
      <c r="R251" s="1">
        <f t="shared" si="74"/>
        <v>5</v>
      </c>
      <c r="S251" s="1" t="str">
        <f t="shared" si="75"/>
        <v>4-7</v>
      </c>
      <c r="T251" s="1" t="s">
        <v>18644</v>
      </c>
      <c r="U251" s="1" t="s">
        <v>11</v>
      </c>
      <c r="V251" s="1" t="s">
        <v>74</v>
      </c>
      <c r="W251" s="1"/>
    </row>
    <row r="252" spans="1:23" x14ac:dyDescent="0.2">
      <c r="A252" s="89" t="s">
        <v>750</v>
      </c>
      <c r="B252" s="1" t="e">
        <v>#N/A</v>
      </c>
      <c r="C252" s="1" t="e">
        <v>#N/A</v>
      </c>
      <c r="D252" s="1" t="s">
        <v>15474</v>
      </c>
      <c r="E252" s="1" t="s">
        <v>751</v>
      </c>
      <c r="F252" s="1" t="e">
        <v>#N/A</v>
      </c>
      <c r="G252" s="1" t="e">
        <v>#N/A</v>
      </c>
      <c r="H252" t="e">
        <v>#N/A</v>
      </c>
      <c r="I252" s="1" t="e">
        <v>#N/A</v>
      </c>
      <c r="J252" s="1" t="e">
        <v>#N/A</v>
      </c>
      <c r="K252" s="1" t="e">
        <v>#N/A</v>
      </c>
      <c r="L252" s="1" t="e">
        <v>#N/A</v>
      </c>
      <c r="M252" s="1" t="e">
        <v>#N/A</v>
      </c>
      <c r="N252" s="1" t="e">
        <v>#N/A</v>
      </c>
      <c r="O252" s="1" t="e">
        <v>#N/A</v>
      </c>
      <c r="P252" s="1" t="e">
        <v>#N/A</v>
      </c>
      <c r="Q252" s="1" t="e">
        <v>#N/A</v>
      </c>
      <c r="R252" s="1">
        <f t="shared" si="74"/>
        <v>11</v>
      </c>
      <c r="S252" s="1" t="str">
        <f t="shared" si="75"/>
        <v>&gt;7</v>
      </c>
      <c r="T252" s="1" t="s">
        <v>18645</v>
      </c>
      <c r="U252" s="1" t="s">
        <v>17</v>
      </c>
      <c r="V252" s="1" t="s">
        <v>752</v>
      </c>
      <c r="W252" s="1"/>
    </row>
    <row r="253" spans="1:23" x14ac:dyDescent="0.2">
      <c r="A253" s="88" t="s">
        <v>15741</v>
      </c>
      <c r="B253" s="1" t="e">
        <v>#N/A</v>
      </c>
      <c r="C253" s="1" t="e">
        <v>#N/A</v>
      </c>
      <c r="D253" s="1" t="s">
        <v>753</v>
      </c>
      <c r="E253" s="1" t="s">
        <v>754</v>
      </c>
      <c r="F253" s="1" t="e">
        <v>#N/A</v>
      </c>
      <c r="G253" s="1" t="e">
        <v>#N/A</v>
      </c>
      <c r="H253" t="e">
        <v>#N/A</v>
      </c>
      <c r="I253" s="1" t="e">
        <v>#N/A</v>
      </c>
      <c r="J253" s="1" t="e">
        <v>#N/A</v>
      </c>
      <c r="K253" s="1" t="e">
        <v>#N/A</v>
      </c>
      <c r="L253" s="1" t="e">
        <v>#N/A</v>
      </c>
      <c r="M253" s="1" t="e">
        <v>#N/A</v>
      </c>
      <c r="N253" s="1" t="e">
        <v>#N/A</v>
      </c>
      <c r="O253" s="1" t="e">
        <v>#N/A</v>
      </c>
      <c r="P253" s="1" t="e">
        <v>#N/A</v>
      </c>
      <c r="Q253" s="1" t="e">
        <v>#N/A</v>
      </c>
      <c r="R253" s="1">
        <f t="shared" si="74"/>
        <v>8</v>
      </c>
      <c r="S253" s="1" t="str">
        <f t="shared" si="75"/>
        <v>&gt;7</v>
      </c>
      <c r="T253" s="1" t="s">
        <v>18646</v>
      </c>
      <c r="U253" s="1" t="s">
        <v>252</v>
      </c>
      <c r="V253" s="1" t="s">
        <v>755</v>
      </c>
      <c r="W253" s="1"/>
    </row>
    <row r="254" spans="1:23" x14ac:dyDescent="0.2">
      <c r="A254" s="89" t="s">
        <v>756</v>
      </c>
      <c r="B254" s="1" t="e">
        <v>#N/A</v>
      </c>
      <c r="C254" s="1" t="e">
        <v>#N/A</v>
      </c>
      <c r="D254" s="1" t="s">
        <v>757</v>
      </c>
      <c r="E254" s="1" t="s">
        <v>758</v>
      </c>
      <c r="F254" s="1" t="e">
        <v>#N/A</v>
      </c>
      <c r="G254" s="1" t="e">
        <v>#N/A</v>
      </c>
      <c r="H254" t="e">
        <v>#N/A</v>
      </c>
      <c r="I254" s="1" t="e">
        <v>#N/A</v>
      </c>
      <c r="J254" s="1" t="e">
        <v>#N/A</v>
      </c>
      <c r="K254" s="1" t="e">
        <v>#N/A</v>
      </c>
      <c r="L254" s="1" t="e">
        <v>#N/A</v>
      </c>
      <c r="M254" s="1" t="e">
        <v>#N/A</v>
      </c>
      <c r="N254" s="1" t="e">
        <v>#N/A</v>
      </c>
      <c r="O254" s="1" t="e">
        <v>#N/A</v>
      </c>
      <c r="P254" s="1" t="e">
        <v>#N/A</v>
      </c>
      <c r="Q254" s="1" t="e">
        <v>#N/A</v>
      </c>
      <c r="R254" s="1">
        <f t="shared" si="74"/>
        <v>19</v>
      </c>
      <c r="S254" s="1" t="str">
        <f t="shared" si="75"/>
        <v>&gt;7</v>
      </c>
      <c r="T254" s="1" t="s">
        <v>18647</v>
      </c>
      <c r="U254" s="1" t="s">
        <v>17</v>
      </c>
      <c r="V254" s="1" t="s">
        <v>759</v>
      </c>
      <c r="W254" s="1"/>
    </row>
    <row r="255" spans="1:23" x14ac:dyDescent="0.2">
      <c r="A255" s="88" t="s">
        <v>15742</v>
      </c>
      <c r="B255" s="1" t="e">
        <v>#N/A</v>
      </c>
      <c r="C255" s="1" t="e">
        <v>#N/A</v>
      </c>
      <c r="D255" s="1" t="s">
        <v>760</v>
      </c>
      <c r="E255" s="1" t="s">
        <v>761</v>
      </c>
      <c r="F255" s="1" t="s">
        <v>9310</v>
      </c>
      <c r="G255" s="1" t="s">
        <v>8957</v>
      </c>
      <c r="H255" t="s">
        <v>8959</v>
      </c>
      <c r="I255" s="1" t="s">
        <v>20712</v>
      </c>
      <c r="J255" s="1" t="s">
        <v>9155</v>
      </c>
      <c r="K255" s="1" t="s">
        <v>20747</v>
      </c>
      <c r="L255" s="1" t="s">
        <v>8951</v>
      </c>
      <c r="M255" s="1">
        <v>1200</v>
      </c>
      <c r="N255" s="1" t="s">
        <v>8953</v>
      </c>
      <c r="O255" s="1" t="s">
        <v>8954</v>
      </c>
      <c r="P255" s="1" t="e">
        <v>#N/A</v>
      </c>
      <c r="Q255" s="1" t="e">
        <v>#N/A</v>
      </c>
      <c r="R255" s="1">
        <f t="shared" si="74"/>
        <v>9</v>
      </c>
      <c r="S255" s="1" t="str">
        <f t="shared" si="75"/>
        <v>&gt;7</v>
      </c>
      <c r="T255" s="1" t="s">
        <v>18648</v>
      </c>
      <c r="U255" s="1" t="s">
        <v>7</v>
      </c>
      <c r="V255" s="1" t="s">
        <v>126</v>
      </c>
      <c r="W255" s="1"/>
    </row>
    <row r="256" spans="1:23" x14ac:dyDescent="0.2">
      <c r="A256" s="89" t="s">
        <v>762</v>
      </c>
      <c r="B256" s="1" t="e">
        <v>#N/A</v>
      </c>
      <c r="C256" s="1" t="e">
        <v>#N/A</v>
      </c>
      <c r="D256" s="1" t="s">
        <v>763</v>
      </c>
      <c r="E256" s="1" t="s">
        <v>764</v>
      </c>
      <c r="F256" s="1" t="e">
        <v>#N/A</v>
      </c>
      <c r="G256" s="1" t="e">
        <v>#N/A</v>
      </c>
      <c r="H256" t="e">
        <v>#N/A</v>
      </c>
      <c r="I256" s="1" t="e">
        <v>#N/A</v>
      </c>
      <c r="J256" s="1" t="e">
        <v>#N/A</v>
      </c>
      <c r="K256" s="1" t="e">
        <v>#N/A</v>
      </c>
      <c r="L256" s="1" t="e">
        <v>#N/A</v>
      </c>
      <c r="M256" s="1" t="e">
        <v>#N/A</v>
      </c>
      <c r="N256" s="1" t="e">
        <v>#N/A</v>
      </c>
      <c r="O256" s="1" t="e">
        <v>#N/A</v>
      </c>
      <c r="P256" s="1" t="e">
        <v>#N/A</v>
      </c>
      <c r="Q256" s="1" t="e">
        <v>#N/A</v>
      </c>
      <c r="R256" s="1">
        <f t="shared" si="74"/>
        <v>8</v>
      </c>
      <c r="S256" s="1" t="str">
        <f t="shared" si="75"/>
        <v>&gt;7</v>
      </c>
      <c r="T256" s="1" t="s">
        <v>18649</v>
      </c>
      <c r="U256" s="1" t="s">
        <v>7</v>
      </c>
      <c r="V256" s="1" t="s">
        <v>765</v>
      </c>
      <c r="W256" s="1"/>
    </row>
    <row r="257" spans="1:24" x14ac:dyDescent="0.2">
      <c r="A257" s="88" t="s">
        <v>15743</v>
      </c>
      <c r="B257" s="1" t="e">
        <v>#N/A</v>
      </c>
      <c r="C257" s="1" t="e">
        <v>#N/A</v>
      </c>
      <c r="D257" s="1" t="s">
        <v>766</v>
      </c>
      <c r="E257" s="1" t="s">
        <v>767</v>
      </c>
      <c r="F257" s="1" t="s">
        <v>9852</v>
      </c>
      <c r="G257" s="1" t="s">
        <v>8957</v>
      </c>
      <c r="H257" t="s">
        <v>8959</v>
      </c>
      <c r="I257" s="1" t="s">
        <v>9605</v>
      </c>
      <c r="J257" s="1" t="s">
        <v>9101</v>
      </c>
      <c r="K257" s="1" t="s">
        <v>20727</v>
      </c>
      <c r="L257" s="1" t="s">
        <v>8951</v>
      </c>
      <c r="M257" s="1">
        <f>1079+1194+840+1243+1280</f>
        <v>5636</v>
      </c>
      <c r="N257" s="1" t="s">
        <v>8953</v>
      </c>
      <c r="O257" s="1" t="s">
        <v>8954</v>
      </c>
      <c r="P257" s="1" t="e">
        <v>#N/A</v>
      </c>
      <c r="Q257" s="1" t="e">
        <v>#N/A</v>
      </c>
      <c r="R257" s="1">
        <f t="shared" si="74"/>
        <v>5</v>
      </c>
      <c r="S257" s="1" t="str">
        <f t="shared" si="75"/>
        <v>4-7</v>
      </c>
      <c r="T257" s="1" t="s">
        <v>20555</v>
      </c>
      <c r="U257" s="1" t="s">
        <v>7</v>
      </c>
      <c r="V257" s="1" t="s">
        <v>35</v>
      </c>
      <c r="W257" s="1"/>
    </row>
    <row r="258" spans="1:24" x14ac:dyDescent="0.2">
      <c r="A258" s="88" t="s">
        <v>15744</v>
      </c>
      <c r="B258" s="1" t="e">
        <v>#N/A</v>
      </c>
      <c r="C258" s="1" t="s">
        <v>10755</v>
      </c>
      <c r="D258" s="1" t="s">
        <v>768</v>
      </c>
      <c r="E258" s="1" t="s">
        <v>769</v>
      </c>
      <c r="F258" s="1" t="s">
        <v>9010</v>
      </c>
      <c r="G258" s="1" t="s">
        <v>8959</v>
      </c>
      <c r="H258" t="s">
        <v>8959</v>
      </c>
      <c r="I258" s="1" t="s">
        <v>9092</v>
      </c>
      <c r="J258" s="1" t="s">
        <v>8949</v>
      </c>
      <c r="K258" s="1" t="s">
        <v>9658</v>
      </c>
      <c r="L258" s="1" t="s">
        <v>9133</v>
      </c>
      <c r="M258" s="1">
        <v>1370</v>
      </c>
      <c r="N258" s="1" t="s">
        <v>8953</v>
      </c>
      <c r="O258" s="1" t="s">
        <v>8989</v>
      </c>
      <c r="P258" s="1" t="s">
        <v>8955</v>
      </c>
      <c r="Q258" s="1" t="s">
        <v>8956</v>
      </c>
      <c r="R258" s="1" t="s">
        <v>8959</v>
      </c>
      <c r="S258" s="1" t="s">
        <v>8975</v>
      </c>
      <c r="T258" s="1" t="s">
        <v>770</v>
      </c>
      <c r="U258" s="1" t="s">
        <v>11</v>
      </c>
      <c r="V258" s="1" t="s">
        <v>771</v>
      </c>
      <c r="W258" s="1"/>
    </row>
    <row r="259" spans="1:24" x14ac:dyDescent="0.2">
      <c r="A259" s="88" t="s">
        <v>15745</v>
      </c>
      <c r="B259" s="1" t="e">
        <v>#N/A</v>
      </c>
      <c r="C259" s="1" t="e">
        <v>#N/A</v>
      </c>
      <c r="D259" s="1" t="s">
        <v>772</v>
      </c>
      <c r="E259" s="1" t="s">
        <v>773</v>
      </c>
      <c r="F259" s="1" t="s">
        <v>10873</v>
      </c>
      <c r="G259" s="1" t="s">
        <v>8957</v>
      </c>
      <c r="H259" t="s">
        <v>8959</v>
      </c>
      <c r="I259" s="1" t="s">
        <v>20712</v>
      </c>
      <c r="J259" s="1" t="s">
        <v>8949</v>
      </c>
      <c r="K259" s="1" t="s">
        <v>21205</v>
      </c>
      <c r="L259" s="1" t="s">
        <v>8973</v>
      </c>
      <c r="M259" s="1">
        <f>726+737+150</f>
        <v>1613</v>
      </c>
      <c r="N259" s="1" t="s">
        <v>9059</v>
      </c>
      <c r="O259" s="1" t="s">
        <v>8954</v>
      </c>
      <c r="P259" s="1" t="e">
        <v>#N/A</v>
      </c>
      <c r="Q259" s="1" t="e">
        <v>#N/A</v>
      </c>
      <c r="R259" s="1">
        <f t="shared" ref="R259:R262" si="76">1+LEN(T259)-LEN(SUBSTITUTE(T259,",",))</f>
        <v>15</v>
      </c>
      <c r="S259" s="1" t="str">
        <f t="shared" ref="S259:S262" si="77">IF(R259&gt;4,IF(R259&lt;8,"4-7",IF(R259&gt;7,"&gt;7")),"&lt;4")</f>
        <v>&gt;7</v>
      </c>
      <c r="T259" s="1" t="s">
        <v>18650</v>
      </c>
      <c r="U259" s="1" t="s">
        <v>7</v>
      </c>
      <c r="V259" s="1" t="s">
        <v>61</v>
      </c>
      <c r="W259" s="1"/>
    </row>
    <row r="260" spans="1:24" x14ac:dyDescent="0.2">
      <c r="A260" s="88" t="s">
        <v>15746</v>
      </c>
      <c r="B260" s="1" t="e">
        <v>#N/A</v>
      </c>
      <c r="C260" s="1" t="e">
        <v>#N/A</v>
      </c>
      <c r="D260" s="1" t="s">
        <v>774</v>
      </c>
      <c r="E260" s="1" t="s">
        <v>775</v>
      </c>
      <c r="F260" s="1" t="s">
        <v>18502</v>
      </c>
      <c r="G260" s="1" t="s">
        <v>8957</v>
      </c>
      <c r="H260" t="s">
        <v>9061</v>
      </c>
      <c r="I260" s="1" t="s">
        <v>8948</v>
      </c>
      <c r="J260" s="1" t="s">
        <v>8949</v>
      </c>
      <c r="K260" s="1" t="s">
        <v>10492</v>
      </c>
      <c r="L260" s="1" t="s">
        <v>9076</v>
      </c>
      <c r="M260" s="1">
        <v>3</v>
      </c>
      <c r="N260" s="1" t="s">
        <v>9059</v>
      </c>
      <c r="O260" s="1" t="s">
        <v>8989</v>
      </c>
      <c r="P260" s="1" t="e">
        <v>#N/A</v>
      </c>
      <c r="Q260" s="1" t="e">
        <v>#N/A</v>
      </c>
      <c r="R260" s="1">
        <f t="shared" si="76"/>
        <v>11</v>
      </c>
      <c r="S260" s="1" t="str">
        <f t="shared" si="77"/>
        <v>&gt;7</v>
      </c>
      <c r="T260" s="1" t="s">
        <v>18651</v>
      </c>
      <c r="U260" s="1" t="s">
        <v>17</v>
      </c>
      <c r="V260" s="1" t="s">
        <v>161</v>
      </c>
      <c r="W260" s="1"/>
    </row>
    <row r="261" spans="1:24" x14ac:dyDescent="0.2">
      <c r="A261" s="88" t="s">
        <v>15747</v>
      </c>
      <c r="B261" s="1" t="e">
        <v>#N/A</v>
      </c>
      <c r="C261" s="1" t="e">
        <v>#N/A</v>
      </c>
      <c r="D261" s="1" t="s">
        <v>776</v>
      </c>
      <c r="E261" s="1" t="s">
        <v>777</v>
      </c>
      <c r="F261" s="1" t="s">
        <v>18502</v>
      </c>
      <c r="G261" s="1" t="s">
        <v>8957</v>
      </c>
      <c r="H261" t="s">
        <v>9183</v>
      </c>
      <c r="I261" s="1" t="s">
        <v>20714</v>
      </c>
      <c r="J261" s="1" t="s">
        <v>9050</v>
      </c>
      <c r="K261" s="1" t="s">
        <v>20748</v>
      </c>
      <c r="L261" s="1" t="s">
        <v>9133</v>
      </c>
      <c r="M261" s="1">
        <v>15141</v>
      </c>
      <c r="N261" s="1" t="s">
        <v>8953</v>
      </c>
      <c r="O261" s="1" t="s">
        <v>8954</v>
      </c>
      <c r="P261" s="1" t="e">
        <v>#N/A</v>
      </c>
      <c r="Q261" s="1" t="e">
        <v>#N/A</v>
      </c>
      <c r="R261" s="1">
        <f t="shared" si="76"/>
        <v>15</v>
      </c>
      <c r="S261" s="1" t="str">
        <f t="shared" si="77"/>
        <v>&gt;7</v>
      </c>
      <c r="T261" s="1" t="s">
        <v>18652</v>
      </c>
      <c r="U261" s="1" t="s">
        <v>7</v>
      </c>
      <c r="V261" s="1" t="s">
        <v>778</v>
      </c>
      <c r="W261" s="1"/>
    </row>
    <row r="262" spans="1:24" x14ac:dyDescent="0.2">
      <c r="A262" s="89" t="s">
        <v>779</v>
      </c>
      <c r="B262" s="1" t="e">
        <v>#N/A</v>
      </c>
      <c r="C262" s="1" t="e">
        <v>#N/A</v>
      </c>
      <c r="D262" s="1" t="s">
        <v>780</v>
      </c>
      <c r="E262" s="1" t="s">
        <v>781</v>
      </c>
      <c r="F262" s="1" t="e">
        <v>#N/A</v>
      </c>
      <c r="G262" s="1" t="e">
        <v>#N/A</v>
      </c>
      <c r="H262" t="e">
        <v>#N/A</v>
      </c>
      <c r="I262" s="1" t="e">
        <v>#N/A</v>
      </c>
      <c r="J262" s="1" t="e">
        <v>#N/A</v>
      </c>
      <c r="K262" s="1" t="e">
        <v>#N/A</v>
      </c>
      <c r="L262" s="1" t="e">
        <v>#N/A</v>
      </c>
      <c r="M262" s="1" t="e">
        <v>#N/A</v>
      </c>
      <c r="N262" s="1" t="e">
        <v>#N/A</v>
      </c>
      <c r="O262" s="1" t="e">
        <v>#N/A</v>
      </c>
      <c r="P262" s="1" t="e">
        <v>#N/A</v>
      </c>
      <c r="Q262" s="1" t="e">
        <v>#N/A</v>
      </c>
      <c r="R262" s="1">
        <f t="shared" si="76"/>
        <v>1</v>
      </c>
      <c r="S262" s="1" t="str">
        <f t="shared" si="77"/>
        <v>&lt;4</v>
      </c>
      <c r="T262" s="1" t="s">
        <v>782</v>
      </c>
      <c r="U262" s="1" t="s">
        <v>17</v>
      </c>
      <c r="V262" s="1" t="s">
        <v>783</v>
      </c>
      <c r="W262" s="1"/>
    </row>
    <row r="263" spans="1:24" x14ac:dyDescent="0.2">
      <c r="A263" s="88" t="s">
        <v>15748</v>
      </c>
      <c r="B263" s="1" t="e">
        <v>#N/A</v>
      </c>
      <c r="C263" s="1" t="s">
        <v>12422</v>
      </c>
      <c r="D263" s="1" t="s">
        <v>784</v>
      </c>
      <c r="E263" s="1" t="s">
        <v>785</v>
      </c>
      <c r="F263" s="1" t="s">
        <v>9815</v>
      </c>
      <c r="G263" s="1" t="s">
        <v>8957</v>
      </c>
      <c r="H263" t="s">
        <v>9009</v>
      </c>
      <c r="I263" s="1" t="s">
        <v>9154</v>
      </c>
      <c r="J263" s="1" t="s">
        <v>8971</v>
      </c>
      <c r="K263" s="1" t="s">
        <v>10930</v>
      </c>
      <c r="L263" s="1" t="s">
        <v>8973</v>
      </c>
      <c r="M263" s="1">
        <v>396</v>
      </c>
      <c r="N263" s="1" t="s">
        <v>8953</v>
      </c>
      <c r="O263" s="1" t="s">
        <v>8989</v>
      </c>
      <c r="P263" s="1" t="s">
        <v>8955</v>
      </c>
      <c r="Q263" s="1" t="s">
        <v>8956</v>
      </c>
      <c r="R263" s="1" t="s">
        <v>8957</v>
      </c>
      <c r="S263" s="1" t="s">
        <v>8975</v>
      </c>
      <c r="T263" s="1" t="s">
        <v>786</v>
      </c>
      <c r="U263" s="1" t="s">
        <v>11</v>
      </c>
      <c r="V263" s="1" t="s">
        <v>74</v>
      </c>
      <c r="W263" s="1"/>
    </row>
    <row r="264" spans="1:24" x14ac:dyDescent="0.2">
      <c r="A264" s="88" t="s">
        <v>15749</v>
      </c>
      <c r="B264" s="1" t="e">
        <v>#N/A</v>
      </c>
      <c r="C264" s="1" t="s">
        <v>12831</v>
      </c>
      <c r="D264" s="1" t="s">
        <v>787</v>
      </c>
      <c r="E264" s="1" t="s">
        <v>788</v>
      </c>
      <c r="F264" s="1" t="s">
        <v>9815</v>
      </c>
      <c r="G264" s="1" t="s">
        <v>8957</v>
      </c>
      <c r="H264" t="s">
        <v>8959</v>
      </c>
      <c r="I264" s="1" t="s">
        <v>8984</v>
      </c>
      <c r="J264" s="1" t="s">
        <v>8971</v>
      </c>
      <c r="K264" s="1" t="s">
        <v>9036</v>
      </c>
      <c r="L264" s="1" t="s">
        <v>8951</v>
      </c>
      <c r="M264" s="1">
        <v>63</v>
      </c>
      <c r="N264" s="1" t="s">
        <v>9059</v>
      </c>
      <c r="O264" s="1" t="s">
        <v>8989</v>
      </c>
      <c r="P264" s="1" t="s">
        <v>8955</v>
      </c>
      <c r="Q264" s="1" t="s">
        <v>8956</v>
      </c>
      <c r="R264" s="1" t="s">
        <v>8957</v>
      </c>
      <c r="S264" s="1" t="s">
        <v>8975</v>
      </c>
      <c r="T264" s="1" t="s">
        <v>789</v>
      </c>
      <c r="U264" s="1" t="s">
        <v>11</v>
      </c>
      <c r="V264" s="1" t="s">
        <v>184</v>
      </c>
      <c r="W264" s="1"/>
    </row>
    <row r="265" spans="1:24" x14ac:dyDescent="0.2">
      <c r="A265" s="94">
        <v>1</v>
      </c>
      <c r="B265" t="e">
        <v>#N/A</v>
      </c>
      <c r="C265" t="e">
        <v>#N/A</v>
      </c>
      <c r="D265" s="5" t="s">
        <v>790</v>
      </c>
      <c r="E265" s="1" t="s">
        <v>791</v>
      </c>
      <c r="F265" s="1" t="e">
        <v>#N/A</v>
      </c>
      <c r="G265" s="1" t="e">
        <v>#N/A</v>
      </c>
      <c r="H265" t="e">
        <v>#N/A</v>
      </c>
      <c r="I265" s="1" t="e">
        <v>#N/A</v>
      </c>
      <c r="J265" s="1" t="e">
        <v>#N/A</v>
      </c>
      <c r="K265" s="1" t="e">
        <v>#N/A</v>
      </c>
      <c r="L265" s="1" t="e">
        <v>#N/A</v>
      </c>
      <c r="M265" s="1" t="e">
        <v>#N/A</v>
      </c>
      <c r="N265" s="1" t="e">
        <v>#N/A</v>
      </c>
      <c r="O265" s="1" t="e">
        <v>#N/A</v>
      </c>
      <c r="P265" s="1" t="e">
        <v>#N/A</v>
      </c>
      <c r="Q265" s="1" t="e">
        <v>#N/A</v>
      </c>
      <c r="R265" s="1">
        <f>1+LEN(T265)-LEN(SUBSTITUTE(T265,",",))</f>
        <v>11</v>
      </c>
      <c r="S265" s="1" t="str">
        <f>IF(R265&gt;4,IF(R265&lt;8,"4-7",IF(R265&gt;7,"&gt;7")),"&lt;4")</f>
        <v>&gt;7</v>
      </c>
      <c r="T265" s="1" t="s">
        <v>18653</v>
      </c>
      <c r="U265" s="1" t="s">
        <v>17</v>
      </c>
      <c r="V265" s="1" t="s">
        <v>792</v>
      </c>
      <c r="W265" s="1"/>
      <c r="X265" s="1"/>
    </row>
    <row r="266" spans="1:24" x14ac:dyDescent="0.2">
      <c r="A266" s="88" t="s">
        <v>15750</v>
      </c>
      <c r="B266" s="1" t="e">
        <v>#N/A</v>
      </c>
      <c r="C266" s="1" t="s">
        <v>11446</v>
      </c>
      <c r="D266" s="1" t="s">
        <v>793</v>
      </c>
      <c r="E266" s="1" t="s">
        <v>794</v>
      </c>
      <c r="F266" s="1" t="s">
        <v>9815</v>
      </c>
      <c r="G266" s="1" t="s">
        <v>8957</v>
      </c>
      <c r="H266" t="s">
        <v>9183</v>
      </c>
      <c r="I266" s="1" t="s">
        <v>8948</v>
      </c>
      <c r="J266" s="1" t="s">
        <v>8971</v>
      </c>
      <c r="K266" s="1" t="s">
        <v>9436</v>
      </c>
      <c r="L266" s="1" t="s">
        <v>9133</v>
      </c>
      <c r="M266" s="1">
        <v>407</v>
      </c>
      <c r="N266" s="1" t="s">
        <v>8953</v>
      </c>
      <c r="O266" s="1" t="s">
        <v>8989</v>
      </c>
      <c r="P266" s="1" t="s">
        <v>8955</v>
      </c>
      <c r="Q266" s="1" t="s">
        <v>8956</v>
      </c>
      <c r="R266" s="1" t="s">
        <v>8957</v>
      </c>
      <c r="S266" s="1" t="s">
        <v>8975</v>
      </c>
      <c r="T266" s="1" t="s">
        <v>795</v>
      </c>
      <c r="U266" s="1" t="s">
        <v>17</v>
      </c>
      <c r="V266" s="1" t="s">
        <v>5</v>
      </c>
      <c r="W266" s="1"/>
    </row>
    <row r="267" spans="1:24" x14ac:dyDescent="0.2">
      <c r="A267" s="88" t="s">
        <v>15751</v>
      </c>
      <c r="B267" s="1" t="e">
        <v>#N/A</v>
      </c>
      <c r="C267" s="1" t="e">
        <v>#N/A</v>
      </c>
      <c r="D267" s="1" t="s">
        <v>796</v>
      </c>
      <c r="E267" s="1" t="s">
        <v>797</v>
      </c>
      <c r="F267" s="1" t="s">
        <v>18502</v>
      </c>
      <c r="G267" s="1" t="s">
        <v>8957</v>
      </c>
      <c r="H267" t="s">
        <v>8959</v>
      </c>
      <c r="I267" s="1" t="s">
        <v>9154</v>
      </c>
      <c r="J267" s="1" t="s">
        <v>8949</v>
      </c>
      <c r="K267" s="1" t="s">
        <v>9036</v>
      </c>
      <c r="L267" s="1" t="s">
        <v>9076</v>
      </c>
      <c r="M267" s="1">
        <v>4</v>
      </c>
      <c r="N267" s="1" t="s">
        <v>9059</v>
      </c>
      <c r="O267" s="1" t="s">
        <v>8989</v>
      </c>
      <c r="P267" s="1" t="e">
        <v>#N/A</v>
      </c>
      <c r="Q267" s="1" t="e">
        <v>#N/A</v>
      </c>
      <c r="R267" s="1">
        <f t="shared" ref="R267:R269" si="78">1+LEN(T267)-LEN(SUBSTITUTE(T267,",",))</f>
        <v>3</v>
      </c>
      <c r="S267" s="1" t="str">
        <f t="shared" ref="S267:S269" si="79">IF(R267&gt;4,IF(R267&lt;8,"4-7",IF(R267&gt;7,"&gt;7")),"&lt;4")</f>
        <v>&lt;4</v>
      </c>
      <c r="T267" s="1" t="s">
        <v>18654</v>
      </c>
      <c r="U267" s="1" t="s">
        <v>17</v>
      </c>
      <c r="V267" s="1" t="s">
        <v>161</v>
      </c>
      <c r="W267" s="1"/>
    </row>
    <row r="268" spans="1:24" x14ac:dyDescent="0.2">
      <c r="A268" s="94" t="s">
        <v>15752</v>
      </c>
      <c r="B268" s="1" t="e">
        <v>#N/A</v>
      </c>
      <c r="C268" s="1" t="e">
        <v>#N/A</v>
      </c>
      <c r="D268" s="1" t="s">
        <v>798</v>
      </c>
      <c r="E268" s="1" t="s">
        <v>799</v>
      </c>
      <c r="F268" s="1" t="e">
        <v>#N/A</v>
      </c>
      <c r="G268" s="1" t="e">
        <v>#N/A</v>
      </c>
      <c r="H268" t="e">
        <v>#N/A</v>
      </c>
      <c r="I268" s="1" t="e">
        <v>#N/A</v>
      </c>
      <c r="J268" s="1" t="e">
        <v>#N/A</v>
      </c>
      <c r="K268" s="1" t="e">
        <v>#N/A</v>
      </c>
      <c r="L268" s="1" t="e">
        <v>#N/A</v>
      </c>
      <c r="M268" s="1" t="e">
        <v>#N/A</v>
      </c>
      <c r="N268" s="1" t="e">
        <v>#N/A</v>
      </c>
      <c r="O268" s="1" t="e">
        <v>#N/A</v>
      </c>
      <c r="P268" s="1" t="e">
        <v>#N/A</v>
      </c>
      <c r="Q268" s="1" t="e">
        <v>#N/A</v>
      </c>
      <c r="R268" s="1">
        <f t="shared" si="78"/>
        <v>2</v>
      </c>
      <c r="S268" s="1" t="str">
        <f t="shared" si="79"/>
        <v>&lt;4</v>
      </c>
      <c r="T268" s="1" t="s">
        <v>18655</v>
      </c>
      <c r="U268" s="1" t="s">
        <v>7</v>
      </c>
      <c r="V268" s="1" t="s">
        <v>800</v>
      </c>
      <c r="W268" s="1"/>
    </row>
    <row r="269" spans="1:24" x14ac:dyDescent="0.2">
      <c r="A269" s="89" t="s">
        <v>801</v>
      </c>
      <c r="B269" s="1" t="e">
        <v>#N/A</v>
      </c>
      <c r="C269" s="1" t="e">
        <v>#N/A</v>
      </c>
      <c r="D269" s="5" t="s">
        <v>802</v>
      </c>
      <c r="E269" s="1" t="s">
        <v>803</v>
      </c>
      <c r="F269" s="1" t="e">
        <v>#N/A</v>
      </c>
      <c r="G269" s="1" t="e">
        <v>#N/A</v>
      </c>
      <c r="H269" t="e">
        <v>#N/A</v>
      </c>
      <c r="I269" s="1" t="e">
        <v>#N/A</v>
      </c>
      <c r="J269" s="1" t="e">
        <v>#N/A</v>
      </c>
      <c r="K269" s="1" t="e">
        <v>#N/A</v>
      </c>
      <c r="L269" s="1" t="e">
        <v>#N/A</v>
      </c>
      <c r="M269" s="1" t="e">
        <v>#N/A</v>
      </c>
      <c r="N269" s="1" t="e">
        <v>#N/A</v>
      </c>
      <c r="O269" s="1" t="e">
        <v>#N/A</v>
      </c>
      <c r="P269" s="1" t="e">
        <v>#N/A</v>
      </c>
      <c r="Q269" s="1" t="e">
        <v>#N/A</v>
      </c>
      <c r="R269" s="1">
        <f t="shared" si="78"/>
        <v>2</v>
      </c>
      <c r="S269" s="1" t="str">
        <f t="shared" si="79"/>
        <v>&lt;4</v>
      </c>
      <c r="T269" s="1" t="s">
        <v>18656</v>
      </c>
      <c r="U269" s="1" t="s">
        <v>11</v>
      </c>
      <c r="V269" s="1" t="s">
        <v>804</v>
      </c>
      <c r="W269" s="1"/>
    </row>
    <row r="270" spans="1:24" x14ac:dyDescent="0.2">
      <c r="A270" s="88" t="s">
        <v>15753</v>
      </c>
      <c r="B270" s="1" t="e">
        <v>#N/A</v>
      </c>
      <c r="C270" s="1" t="s">
        <v>10045</v>
      </c>
      <c r="D270" s="1" t="s">
        <v>805</v>
      </c>
      <c r="E270" s="1" t="s">
        <v>806</v>
      </c>
      <c r="F270" s="1" t="s">
        <v>10049</v>
      </c>
      <c r="G270" s="1" t="s">
        <v>9060</v>
      </c>
      <c r="H270" t="s">
        <v>8959</v>
      </c>
      <c r="I270" s="1" t="s">
        <v>9605</v>
      </c>
      <c r="J270" s="1" t="s">
        <v>9422</v>
      </c>
      <c r="K270" s="1" t="s">
        <v>10048</v>
      </c>
      <c r="L270" s="1" t="s">
        <v>9157</v>
      </c>
      <c r="M270" s="1">
        <v>53787</v>
      </c>
      <c r="N270" s="1" t="s">
        <v>8953</v>
      </c>
      <c r="O270" s="1" t="s">
        <v>8954</v>
      </c>
      <c r="P270" s="1" t="s">
        <v>8955</v>
      </c>
      <c r="Q270" s="1" t="s">
        <v>8956</v>
      </c>
      <c r="R270" s="1" t="s">
        <v>9060</v>
      </c>
      <c r="S270" s="1" t="s">
        <v>8975</v>
      </c>
      <c r="T270" s="1" t="s">
        <v>807</v>
      </c>
      <c r="U270" s="1" t="s">
        <v>17</v>
      </c>
      <c r="V270" s="1" t="s">
        <v>808</v>
      </c>
      <c r="W270" s="1"/>
    </row>
    <row r="271" spans="1:24" x14ac:dyDescent="0.2">
      <c r="A271" s="88" t="s">
        <v>15754</v>
      </c>
      <c r="B271" s="1" t="e">
        <v>#N/A</v>
      </c>
      <c r="C271" s="1" t="e">
        <v>#N/A</v>
      </c>
      <c r="D271" s="1" t="s">
        <v>809</v>
      </c>
      <c r="E271" s="1" t="s">
        <v>810</v>
      </c>
      <c r="F271" s="1" t="s">
        <v>18502</v>
      </c>
      <c r="G271" s="1" t="s">
        <v>8959</v>
      </c>
      <c r="H271" t="s">
        <v>9183</v>
      </c>
      <c r="I271" s="1" t="s">
        <v>9075</v>
      </c>
      <c r="J271" s="1" t="s">
        <v>8959</v>
      </c>
      <c r="K271" s="1" t="s">
        <v>18497</v>
      </c>
      <c r="L271" s="1" t="s">
        <v>9292</v>
      </c>
      <c r="M271" s="1">
        <v>63</v>
      </c>
      <c r="N271" s="1" t="s">
        <v>9059</v>
      </c>
      <c r="O271" s="1" t="s">
        <v>8989</v>
      </c>
      <c r="P271" s="1" t="e">
        <v>#N/A</v>
      </c>
      <c r="Q271" s="1" t="e">
        <v>#N/A</v>
      </c>
      <c r="R271" s="1">
        <f t="shared" ref="R271:R274" si="80">1+LEN(T271)-LEN(SUBSTITUTE(T271,",",))</f>
        <v>5</v>
      </c>
      <c r="S271" s="1" t="str">
        <f t="shared" ref="S271:S274" si="81">IF(R271&gt;4,IF(R271&lt;8,"4-7",IF(R271&gt;7,"&gt;7")),"&lt;4")</f>
        <v>4-7</v>
      </c>
      <c r="T271" s="1" t="s">
        <v>18657</v>
      </c>
      <c r="U271" s="1" t="s">
        <v>7</v>
      </c>
      <c r="V271" s="1" t="s">
        <v>559</v>
      </c>
      <c r="W271" s="1"/>
    </row>
    <row r="272" spans="1:24" x14ac:dyDescent="0.2">
      <c r="A272" s="88" t="s">
        <v>15755</v>
      </c>
      <c r="B272" s="1" t="e">
        <v>#N/A</v>
      </c>
      <c r="C272" s="1" t="e">
        <v>#N/A</v>
      </c>
      <c r="D272" s="1" t="s">
        <v>811</v>
      </c>
      <c r="E272" s="1" t="s">
        <v>812</v>
      </c>
      <c r="F272" s="1" t="e">
        <v>#N/A</v>
      </c>
      <c r="G272" s="1" t="e">
        <v>#N/A</v>
      </c>
      <c r="H272" t="e">
        <v>#N/A</v>
      </c>
      <c r="I272" s="1" t="e">
        <v>#N/A</v>
      </c>
      <c r="J272" s="1" t="e">
        <v>#N/A</v>
      </c>
      <c r="K272" s="1" t="e">
        <v>#N/A</v>
      </c>
      <c r="L272" s="1" t="e">
        <v>#N/A</v>
      </c>
      <c r="M272" s="1" t="e">
        <v>#N/A</v>
      </c>
      <c r="N272" s="1" t="e">
        <v>#N/A</v>
      </c>
      <c r="O272" s="1" t="e">
        <v>#N/A</v>
      </c>
      <c r="P272" s="1" t="e">
        <v>#N/A</v>
      </c>
      <c r="Q272" s="1" t="e">
        <v>#N/A</v>
      </c>
      <c r="R272" s="1">
        <f t="shared" si="80"/>
        <v>2</v>
      </c>
      <c r="S272" s="1" t="str">
        <f t="shared" si="81"/>
        <v>&lt;4</v>
      </c>
      <c r="T272" s="1" t="s">
        <v>18658</v>
      </c>
      <c r="U272" s="1" t="s">
        <v>252</v>
      </c>
      <c r="V272" s="1" t="s">
        <v>813</v>
      </c>
      <c r="W272" s="1"/>
    </row>
    <row r="273" spans="1:23" x14ac:dyDescent="0.2">
      <c r="A273" s="89" t="s">
        <v>814</v>
      </c>
      <c r="B273" s="1" t="e">
        <v>#N/A</v>
      </c>
      <c r="C273" s="1" t="e">
        <v>#N/A</v>
      </c>
      <c r="D273" s="1" t="s">
        <v>815</v>
      </c>
      <c r="E273" s="1" t="s">
        <v>816</v>
      </c>
      <c r="F273" s="1" t="e">
        <v>#N/A</v>
      </c>
      <c r="G273" s="1" t="e">
        <v>#N/A</v>
      </c>
      <c r="H273" t="e">
        <v>#N/A</v>
      </c>
      <c r="I273" s="1" t="e">
        <v>#N/A</v>
      </c>
      <c r="J273" s="1" t="e">
        <v>#N/A</v>
      </c>
      <c r="K273" s="1" t="e">
        <v>#N/A</v>
      </c>
      <c r="L273" s="1" t="e">
        <v>#N/A</v>
      </c>
      <c r="M273" s="1" t="e">
        <v>#N/A</v>
      </c>
      <c r="N273" s="1" t="e">
        <v>#N/A</v>
      </c>
      <c r="O273" s="1" t="e">
        <v>#N/A</v>
      </c>
      <c r="P273" s="1" t="e">
        <v>#N/A</v>
      </c>
      <c r="Q273" s="1" t="e">
        <v>#N/A</v>
      </c>
      <c r="R273" s="1">
        <f t="shared" si="80"/>
        <v>1</v>
      </c>
      <c r="S273" s="1" t="str">
        <f t="shared" si="81"/>
        <v>&lt;4</v>
      </c>
      <c r="T273" s="1" t="s">
        <v>817</v>
      </c>
      <c r="U273" s="1" t="s">
        <v>11</v>
      </c>
      <c r="V273" s="1" t="s">
        <v>818</v>
      </c>
      <c r="W273" s="1"/>
    </row>
    <row r="274" spans="1:23" x14ac:dyDescent="0.2">
      <c r="A274" s="88" t="s">
        <v>15756</v>
      </c>
      <c r="B274" s="1" t="e">
        <v>#N/A</v>
      </c>
      <c r="C274" s="1" t="e">
        <v>#N/A</v>
      </c>
      <c r="D274" s="1" t="s">
        <v>819</v>
      </c>
      <c r="E274" s="1" t="s">
        <v>820</v>
      </c>
      <c r="F274" s="1" t="s">
        <v>10032</v>
      </c>
      <c r="G274" s="1" t="s">
        <v>8959</v>
      </c>
      <c r="H274" t="s">
        <v>9061</v>
      </c>
      <c r="I274" s="1" t="s">
        <v>9035</v>
      </c>
      <c r="J274" s="1" t="s">
        <v>8998</v>
      </c>
      <c r="K274" s="1" t="s">
        <v>20749</v>
      </c>
      <c r="L274" s="1" t="s">
        <v>9157</v>
      </c>
      <c r="M274" s="1">
        <v>189</v>
      </c>
      <c r="N274" s="1" t="s">
        <v>9059</v>
      </c>
      <c r="O274" s="1" t="s">
        <v>8989</v>
      </c>
      <c r="P274" s="1" t="e">
        <v>#N/A</v>
      </c>
      <c r="Q274" s="1" t="e">
        <v>#N/A</v>
      </c>
      <c r="R274" s="1">
        <f t="shared" si="80"/>
        <v>7</v>
      </c>
      <c r="S274" s="1" t="str">
        <f t="shared" si="81"/>
        <v>4-7</v>
      </c>
      <c r="T274" s="1" t="s">
        <v>20556</v>
      </c>
      <c r="U274" s="1" t="s">
        <v>7</v>
      </c>
      <c r="V274" s="1" t="s">
        <v>147</v>
      </c>
      <c r="W274" s="1"/>
    </row>
    <row r="275" spans="1:23" x14ac:dyDescent="0.2">
      <c r="A275" s="88" t="s">
        <v>15757</v>
      </c>
      <c r="B275" s="1" t="e">
        <v>#N/A</v>
      </c>
      <c r="C275" s="1" t="s">
        <v>14802</v>
      </c>
      <c r="D275" s="1" t="s">
        <v>821</v>
      </c>
      <c r="E275" s="1" t="s">
        <v>822</v>
      </c>
      <c r="F275" s="1" t="s">
        <v>9317</v>
      </c>
      <c r="G275" s="1" t="s">
        <v>8957</v>
      </c>
      <c r="H275" t="s">
        <v>8959</v>
      </c>
      <c r="I275" s="1" t="s">
        <v>9154</v>
      </c>
      <c r="J275" s="1" t="s">
        <v>9155</v>
      </c>
      <c r="K275" s="1" t="s">
        <v>21201</v>
      </c>
      <c r="L275" s="1" t="s">
        <v>8973</v>
      </c>
      <c r="M275" s="1">
        <v>40</v>
      </c>
      <c r="N275" s="1" t="s">
        <v>8953</v>
      </c>
      <c r="O275" s="1" t="s">
        <v>8989</v>
      </c>
      <c r="P275" s="1" t="s">
        <v>8955</v>
      </c>
      <c r="Q275" s="1" t="s">
        <v>8956</v>
      </c>
      <c r="R275" s="1" t="s">
        <v>8957</v>
      </c>
      <c r="S275" s="1" t="s">
        <v>9103</v>
      </c>
      <c r="T275" s="1" t="s">
        <v>823</v>
      </c>
      <c r="U275" s="1" t="s">
        <v>7</v>
      </c>
      <c r="V275" s="1" t="s">
        <v>64</v>
      </c>
      <c r="W275" s="1"/>
    </row>
    <row r="276" spans="1:23" x14ac:dyDescent="0.2">
      <c r="A276" s="88" t="s">
        <v>15758</v>
      </c>
      <c r="B276" s="1" t="e">
        <v>#N/A</v>
      </c>
      <c r="C276" s="1" t="e">
        <v>#N/A</v>
      </c>
      <c r="D276" s="1" t="s">
        <v>824</v>
      </c>
      <c r="E276" s="1" t="s">
        <v>825</v>
      </c>
      <c r="F276" s="1" t="e">
        <v>#N/A</v>
      </c>
      <c r="G276" s="1" t="e">
        <v>#N/A</v>
      </c>
      <c r="H276" t="e">
        <v>#N/A</v>
      </c>
      <c r="I276" s="1" t="e">
        <v>#N/A</v>
      </c>
      <c r="J276" s="1" t="e">
        <v>#N/A</v>
      </c>
      <c r="K276" s="1" t="e">
        <v>#N/A</v>
      </c>
      <c r="L276" s="1" t="e">
        <v>#N/A</v>
      </c>
      <c r="M276" s="1" t="e">
        <v>#N/A</v>
      </c>
      <c r="N276" s="1" t="e">
        <v>#N/A</v>
      </c>
      <c r="O276" s="1" t="e">
        <v>#N/A</v>
      </c>
      <c r="P276" s="1" t="e">
        <v>#N/A</v>
      </c>
      <c r="Q276" s="1" t="e">
        <v>#N/A</v>
      </c>
      <c r="R276" s="1">
        <f>1+LEN(T276)-LEN(SUBSTITUTE(T276,",",))</f>
        <v>3</v>
      </c>
      <c r="S276" s="1" t="str">
        <f>IF(R276&gt;4,IF(R276&lt;8,"4-7",IF(R276&gt;7,"&gt;7")),"&lt;4")</f>
        <v>&lt;4</v>
      </c>
      <c r="T276" s="1" t="s">
        <v>18659</v>
      </c>
      <c r="U276" s="1" t="s">
        <v>252</v>
      </c>
      <c r="V276" s="1" t="s">
        <v>126</v>
      </c>
      <c r="W276" s="1"/>
    </row>
    <row r="277" spans="1:23" x14ac:dyDescent="0.2">
      <c r="A277" s="88" t="s">
        <v>15759</v>
      </c>
      <c r="B277" s="1" t="e">
        <v>#N/A</v>
      </c>
      <c r="C277" s="1" t="s">
        <v>10976</v>
      </c>
      <c r="D277" s="1" t="s">
        <v>826</v>
      </c>
      <c r="E277" s="1" t="s">
        <v>827</v>
      </c>
      <c r="F277" s="1" t="s">
        <v>9317</v>
      </c>
      <c r="G277" s="1" t="s">
        <v>8957</v>
      </c>
      <c r="H277" t="s">
        <v>9183</v>
      </c>
      <c r="I277" s="1" t="s">
        <v>9035</v>
      </c>
      <c r="J277" s="1" t="s">
        <v>8998</v>
      </c>
      <c r="K277" s="1" t="s">
        <v>10979</v>
      </c>
      <c r="L277" s="1" t="s">
        <v>8951</v>
      </c>
      <c r="M277" s="1">
        <v>220000</v>
      </c>
      <c r="N277" s="1" t="s">
        <v>8953</v>
      </c>
      <c r="O277" s="1" t="s">
        <v>8989</v>
      </c>
      <c r="P277" s="1" t="s">
        <v>8955</v>
      </c>
      <c r="Q277" s="1" t="s">
        <v>8956</v>
      </c>
      <c r="R277" s="1" t="s">
        <v>8957</v>
      </c>
      <c r="S277" s="1" t="s">
        <v>9103</v>
      </c>
      <c r="T277" s="1" t="s">
        <v>828</v>
      </c>
      <c r="U277" s="1" t="s">
        <v>17</v>
      </c>
      <c r="V277" s="1" t="s">
        <v>64</v>
      </c>
      <c r="W277" s="1"/>
    </row>
    <row r="278" spans="1:23" x14ac:dyDescent="0.2">
      <c r="A278" s="88" t="s">
        <v>15760</v>
      </c>
      <c r="B278" s="1" t="e">
        <v>#N/A</v>
      </c>
      <c r="C278" s="1" t="e">
        <v>#N/A</v>
      </c>
      <c r="D278" s="1" t="s">
        <v>829</v>
      </c>
      <c r="E278" s="1" t="s">
        <v>830</v>
      </c>
      <c r="F278" s="1" t="s">
        <v>9465</v>
      </c>
      <c r="G278" s="1" t="s">
        <v>8959</v>
      </c>
      <c r="H278" t="s">
        <v>9061</v>
      </c>
      <c r="I278" s="1" t="s">
        <v>9092</v>
      </c>
      <c r="J278" s="1" t="s">
        <v>9308</v>
      </c>
      <c r="K278" s="1" t="s">
        <v>9036</v>
      </c>
      <c r="L278" s="1" t="s">
        <v>8951</v>
      </c>
      <c r="M278" s="1">
        <v>40524</v>
      </c>
      <c r="N278" s="1" t="s">
        <v>8953</v>
      </c>
      <c r="O278" s="1" t="s">
        <v>8989</v>
      </c>
      <c r="P278" s="1" t="e">
        <v>#N/A</v>
      </c>
      <c r="Q278" s="1" t="e">
        <v>#N/A</v>
      </c>
      <c r="R278" s="1">
        <f>1+LEN(T278)-LEN(SUBSTITUTE(T278,",",))</f>
        <v>6</v>
      </c>
      <c r="S278" s="1" t="str">
        <f>IF(R278&gt;4,IF(R278&lt;8,"4-7",IF(R278&gt;7,"&gt;7")),"&lt;4")</f>
        <v>4-7</v>
      </c>
      <c r="T278" s="1" t="s">
        <v>18660</v>
      </c>
      <c r="U278" s="1" t="s">
        <v>7</v>
      </c>
      <c r="V278" s="1" t="s">
        <v>831</v>
      </c>
      <c r="W278" s="1"/>
    </row>
    <row r="279" spans="1:23" x14ac:dyDescent="0.2">
      <c r="A279" s="88" t="s">
        <v>15761</v>
      </c>
      <c r="B279" s="1" t="e">
        <v>#N/A</v>
      </c>
      <c r="C279" s="1" t="s">
        <v>11027</v>
      </c>
      <c r="D279" s="1" t="s">
        <v>832</v>
      </c>
      <c r="E279" s="1" t="s">
        <v>833</v>
      </c>
      <c r="F279" s="1" t="s">
        <v>9246</v>
      </c>
      <c r="G279" s="1" t="s">
        <v>8959</v>
      </c>
      <c r="H279" t="s">
        <v>9061</v>
      </c>
      <c r="I279" s="1" t="s">
        <v>9605</v>
      </c>
      <c r="J279" s="1" t="s">
        <v>9155</v>
      </c>
      <c r="K279" s="1" t="s">
        <v>9036</v>
      </c>
      <c r="L279" s="1" t="s">
        <v>9133</v>
      </c>
      <c r="M279" s="1">
        <v>78</v>
      </c>
      <c r="N279" s="1" t="s">
        <v>9059</v>
      </c>
      <c r="O279" s="1" t="s">
        <v>8954</v>
      </c>
      <c r="P279" s="1" t="s">
        <v>8955</v>
      </c>
      <c r="Q279" s="1" t="s">
        <v>8956</v>
      </c>
      <c r="R279" s="1" t="s">
        <v>8959</v>
      </c>
      <c r="S279" s="1" t="s">
        <v>9103</v>
      </c>
      <c r="T279" s="1" t="s">
        <v>834</v>
      </c>
      <c r="U279" s="1" t="s">
        <v>11</v>
      </c>
      <c r="V279" s="1" t="s">
        <v>835</v>
      </c>
      <c r="W279" s="1"/>
    </row>
    <row r="280" spans="1:23" x14ac:dyDescent="0.2">
      <c r="A280" s="88" t="s">
        <v>15762</v>
      </c>
      <c r="B280" s="1" t="e">
        <v>#N/A</v>
      </c>
      <c r="C280" s="1" t="e">
        <v>#N/A</v>
      </c>
      <c r="D280" s="1" t="s">
        <v>836</v>
      </c>
      <c r="E280" s="1" t="s">
        <v>837</v>
      </c>
      <c r="F280" s="1" t="s">
        <v>9246</v>
      </c>
      <c r="G280" s="1" t="s">
        <v>8959</v>
      </c>
      <c r="H280" t="s">
        <v>8959</v>
      </c>
      <c r="I280" s="1" t="s">
        <v>8984</v>
      </c>
      <c r="J280" s="1" t="s">
        <v>8998</v>
      </c>
      <c r="K280" s="1" t="s">
        <v>10492</v>
      </c>
      <c r="L280" s="1" t="s">
        <v>8973</v>
      </c>
      <c r="M280" s="1">
        <v>1995</v>
      </c>
      <c r="N280" s="1" t="s">
        <v>8953</v>
      </c>
      <c r="O280" s="1" t="s">
        <v>8954</v>
      </c>
      <c r="P280" s="1" t="e">
        <v>#N/A</v>
      </c>
      <c r="Q280" s="1" t="e">
        <v>#N/A</v>
      </c>
      <c r="R280" s="1">
        <f t="shared" ref="R280:R281" si="82">1+LEN(T280)-LEN(SUBSTITUTE(T280,",",))</f>
        <v>9</v>
      </c>
      <c r="S280" s="1" t="str">
        <f t="shared" ref="S280:S281" si="83">IF(R280&gt;4,IF(R280&lt;8,"4-7",IF(R280&gt;7,"&gt;7")),"&lt;4")</f>
        <v>&gt;7</v>
      </c>
      <c r="T280" s="1" t="s">
        <v>18661</v>
      </c>
      <c r="U280" s="1" t="s">
        <v>7</v>
      </c>
      <c r="V280" s="1" t="s">
        <v>378</v>
      </c>
      <c r="W280" s="1"/>
    </row>
    <row r="281" spans="1:23" x14ac:dyDescent="0.2">
      <c r="A281" s="94" t="s">
        <v>15763</v>
      </c>
      <c r="B281" s="1" t="e">
        <v>#N/A</v>
      </c>
      <c r="C281" s="1" t="e">
        <v>#N/A</v>
      </c>
      <c r="D281" s="1" t="s">
        <v>838</v>
      </c>
      <c r="E281" s="1" t="s">
        <v>839</v>
      </c>
      <c r="F281" s="1" t="s">
        <v>9465</v>
      </c>
      <c r="G281" s="1" t="e">
        <v>#N/A</v>
      </c>
      <c r="H281" t="s">
        <v>9061</v>
      </c>
      <c r="I281" s="1" t="s">
        <v>8948</v>
      </c>
      <c r="J281" s="1" t="s">
        <v>8998</v>
      </c>
      <c r="K281" s="1" t="e">
        <v>#N/A</v>
      </c>
      <c r="L281" s="1" t="e">
        <v>#N/A</v>
      </c>
      <c r="M281" s="1">
        <v>1174</v>
      </c>
      <c r="N281" s="1" t="e">
        <v>#N/A</v>
      </c>
      <c r="O281" s="1" t="s">
        <v>8954</v>
      </c>
      <c r="P281" s="1" t="e">
        <v>#N/A</v>
      </c>
      <c r="Q281" s="1" t="e">
        <v>#N/A</v>
      </c>
      <c r="R281" s="1">
        <f t="shared" si="82"/>
        <v>33</v>
      </c>
      <c r="S281" s="1" t="str">
        <f t="shared" si="83"/>
        <v>&gt;7</v>
      </c>
      <c r="T281" s="1" t="s">
        <v>20557</v>
      </c>
      <c r="U281" s="1" t="s">
        <v>7</v>
      </c>
      <c r="V281" s="1" t="s">
        <v>24</v>
      </c>
      <c r="W281" s="1"/>
    </row>
    <row r="282" spans="1:23" x14ac:dyDescent="0.2">
      <c r="A282" s="88" t="s">
        <v>15764</v>
      </c>
      <c r="B282" s="1" t="e">
        <v>#N/A</v>
      </c>
      <c r="C282" s="1" t="s">
        <v>10232</v>
      </c>
      <c r="D282" s="1" t="s">
        <v>840</v>
      </c>
      <c r="E282" s="1" t="s">
        <v>841</v>
      </c>
      <c r="F282" s="1" t="s">
        <v>9636</v>
      </c>
      <c r="G282" s="1" t="s">
        <v>8957</v>
      </c>
      <c r="H282" t="s">
        <v>9183</v>
      </c>
      <c r="I282" s="1" t="s">
        <v>9049</v>
      </c>
      <c r="J282" s="1" t="s">
        <v>9325</v>
      </c>
      <c r="K282" s="1" t="s">
        <v>10218</v>
      </c>
      <c r="L282" s="1" t="s">
        <v>8951</v>
      </c>
      <c r="M282" s="1">
        <v>14336</v>
      </c>
      <c r="N282" s="1" t="s">
        <v>8953</v>
      </c>
      <c r="O282" s="1" t="s">
        <v>8954</v>
      </c>
      <c r="P282" s="1" t="s">
        <v>8955</v>
      </c>
      <c r="Q282" s="1" t="s">
        <v>8956</v>
      </c>
      <c r="R282" s="1" t="s">
        <v>8957</v>
      </c>
      <c r="S282" s="1" t="s">
        <v>8975</v>
      </c>
      <c r="T282" s="1" t="s">
        <v>842</v>
      </c>
      <c r="U282" s="1" t="s">
        <v>17</v>
      </c>
      <c r="V282" s="1" t="s">
        <v>61</v>
      </c>
      <c r="W282" s="1"/>
    </row>
    <row r="283" spans="1:23" x14ac:dyDescent="0.2">
      <c r="A283" s="88" t="s">
        <v>15765</v>
      </c>
      <c r="B283" s="1" t="e">
        <v>#N/A</v>
      </c>
      <c r="C283" s="1" t="s">
        <v>9313</v>
      </c>
      <c r="D283" s="1" t="s">
        <v>843</v>
      </c>
      <c r="E283" s="1" t="s">
        <v>844</v>
      </c>
      <c r="F283" s="1" t="s">
        <v>9317</v>
      </c>
      <c r="G283" s="1" t="s">
        <v>8957</v>
      </c>
      <c r="H283" t="s">
        <v>8959</v>
      </c>
      <c r="I283" s="1" t="s">
        <v>9100</v>
      </c>
      <c r="J283" s="1" t="s">
        <v>8949</v>
      </c>
      <c r="K283" s="1" t="s">
        <v>9316</v>
      </c>
      <c r="L283" s="1" t="s">
        <v>8987</v>
      </c>
      <c r="M283" s="1">
        <v>969</v>
      </c>
      <c r="N283" s="1" t="s">
        <v>9059</v>
      </c>
      <c r="O283" s="1" t="s">
        <v>8989</v>
      </c>
      <c r="P283" s="1" t="s">
        <v>8955</v>
      </c>
      <c r="Q283" s="1" t="s">
        <v>8956</v>
      </c>
      <c r="R283" s="1" t="s">
        <v>8957</v>
      </c>
      <c r="S283" s="1" t="s">
        <v>8958</v>
      </c>
      <c r="T283" s="1" t="s">
        <v>845</v>
      </c>
      <c r="U283" s="1" t="s">
        <v>17</v>
      </c>
      <c r="V283" s="1" t="s">
        <v>846</v>
      </c>
      <c r="W283" s="1"/>
    </row>
    <row r="284" spans="1:23" x14ac:dyDescent="0.2">
      <c r="A284" s="89" t="s">
        <v>847</v>
      </c>
      <c r="B284" s="1" t="e">
        <v>#N/A</v>
      </c>
      <c r="C284" s="1" t="e">
        <v>#N/A</v>
      </c>
      <c r="D284" s="1" t="s">
        <v>848</v>
      </c>
      <c r="E284" s="1" t="s">
        <v>849</v>
      </c>
      <c r="F284" s="1" t="e">
        <v>#N/A</v>
      </c>
      <c r="G284" s="1" t="e">
        <v>#N/A</v>
      </c>
      <c r="H284" t="e">
        <v>#N/A</v>
      </c>
      <c r="I284" s="1" t="e">
        <v>#N/A</v>
      </c>
      <c r="J284" s="1" t="e">
        <v>#N/A</v>
      </c>
      <c r="K284" s="1" t="e">
        <v>#N/A</v>
      </c>
      <c r="L284" s="1" t="e">
        <v>#N/A</v>
      </c>
      <c r="M284" s="1" t="e">
        <v>#N/A</v>
      </c>
      <c r="N284" s="1" t="e">
        <v>#N/A</v>
      </c>
      <c r="O284" s="1" t="e">
        <v>#N/A</v>
      </c>
      <c r="P284" s="1" t="e">
        <v>#N/A</v>
      </c>
      <c r="Q284" s="1" t="e">
        <v>#N/A</v>
      </c>
      <c r="R284" s="1">
        <f t="shared" ref="R284:R285" si="84">1+LEN(T284)-LEN(SUBSTITUTE(T284,",",))</f>
        <v>9</v>
      </c>
      <c r="S284" s="1" t="str">
        <f t="shared" ref="S284:S285" si="85">IF(R284&gt;4,IF(R284&lt;8,"4-7",IF(R284&gt;7,"&gt;7")),"&lt;4")</f>
        <v>&gt;7</v>
      </c>
      <c r="T284" s="1" t="s">
        <v>18662</v>
      </c>
      <c r="U284" s="1" t="s">
        <v>11</v>
      </c>
      <c r="V284" s="1" t="s">
        <v>850</v>
      </c>
      <c r="W284" s="1"/>
    </row>
    <row r="285" spans="1:23" x14ac:dyDescent="0.2">
      <c r="A285" s="88" t="s">
        <v>15766</v>
      </c>
      <c r="B285" s="1" t="e">
        <v>#N/A</v>
      </c>
      <c r="C285" s="1" t="e">
        <v>#N/A</v>
      </c>
      <c r="D285" s="1" t="s">
        <v>851</v>
      </c>
      <c r="E285" s="1" t="s">
        <v>852</v>
      </c>
      <c r="F285" s="1" t="s">
        <v>10032</v>
      </c>
      <c r="G285" s="1" t="s">
        <v>8959</v>
      </c>
      <c r="H285" t="s">
        <v>8959</v>
      </c>
      <c r="I285" s="1" t="s">
        <v>9035</v>
      </c>
      <c r="J285" s="1" t="s">
        <v>9308</v>
      </c>
      <c r="K285" s="1" t="s">
        <v>20723</v>
      </c>
      <c r="L285" s="1" t="s">
        <v>8951</v>
      </c>
      <c r="M285" s="1">
        <v>22120</v>
      </c>
      <c r="N285" s="1" t="s">
        <v>8953</v>
      </c>
      <c r="O285" s="1" t="s">
        <v>8989</v>
      </c>
      <c r="P285" s="1" t="e">
        <v>#N/A</v>
      </c>
      <c r="Q285" s="1" t="e">
        <v>#N/A</v>
      </c>
      <c r="R285" s="1">
        <f t="shared" si="84"/>
        <v>4</v>
      </c>
      <c r="S285" s="1" t="str">
        <f t="shared" si="85"/>
        <v>&lt;4</v>
      </c>
      <c r="T285" s="1" t="s">
        <v>18663</v>
      </c>
      <c r="U285" s="1" t="s">
        <v>7</v>
      </c>
      <c r="V285" s="1" t="s">
        <v>853</v>
      </c>
      <c r="W285" s="1"/>
    </row>
    <row r="286" spans="1:23" x14ac:dyDescent="0.2">
      <c r="A286" s="88" t="s">
        <v>15767</v>
      </c>
      <c r="B286" s="1" t="e">
        <v>#N/A</v>
      </c>
      <c r="C286" s="1" t="s">
        <v>15132</v>
      </c>
      <c r="D286" s="1" t="s">
        <v>854</v>
      </c>
      <c r="E286" s="1" t="s">
        <v>855</v>
      </c>
      <c r="F286" s="1" t="s">
        <v>9176</v>
      </c>
      <c r="G286" s="1" t="s">
        <v>8957</v>
      </c>
      <c r="H286" t="s">
        <v>9061</v>
      </c>
      <c r="I286" s="1" t="s">
        <v>8948</v>
      </c>
      <c r="J286" s="1" t="s">
        <v>8949</v>
      </c>
      <c r="K286" s="1" t="s">
        <v>8972</v>
      </c>
      <c r="L286" s="1" t="s">
        <v>9076</v>
      </c>
      <c r="M286" s="1">
        <v>2</v>
      </c>
      <c r="N286" s="1" t="s">
        <v>9059</v>
      </c>
      <c r="O286" s="1" t="s">
        <v>8954</v>
      </c>
      <c r="P286" s="1" t="s">
        <v>8955</v>
      </c>
      <c r="Q286" s="1" t="s">
        <v>8956</v>
      </c>
      <c r="R286" s="1" t="s">
        <v>8957</v>
      </c>
      <c r="S286" s="1" t="s">
        <v>8975</v>
      </c>
      <c r="T286" s="1" t="s">
        <v>856</v>
      </c>
      <c r="U286" s="1" t="s">
        <v>17</v>
      </c>
      <c r="V286" s="1" t="s">
        <v>857</v>
      </c>
      <c r="W286" s="1"/>
    </row>
    <row r="287" spans="1:23" x14ac:dyDescent="0.2">
      <c r="A287" s="88" t="s">
        <v>15768</v>
      </c>
      <c r="B287" s="1" t="e">
        <v>#N/A</v>
      </c>
      <c r="C287" s="1" t="s">
        <v>15068</v>
      </c>
      <c r="D287" s="1" t="s">
        <v>858</v>
      </c>
      <c r="E287" s="1" t="s">
        <v>859</v>
      </c>
      <c r="F287" s="1" t="s">
        <v>9176</v>
      </c>
      <c r="G287" s="1" t="s">
        <v>9060</v>
      </c>
      <c r="H287" t="s">
        <v>9061</v>
      </c>
      <c r="I287" s="1" t="s">
        <v>8948</v>
      </c>
      <c r="J287" s="1" t="s">
        <v>8949</v>
      </c>
      <c r="K287" s="1" t="s">
        <v>9523</v>
      </c>
      <c r="L287" s="1" t="s">
        <v>9292</v>
      </c>
      <c r="M287" s="1">
        <v>27</v>
      </c>
      <c r="N287" s="1" t="s">
        <v>9059</v>
      </c>
      <c r="O287" s="1" t="s">
        <v>8989</v>
      </c>
      <c r="P287" s="1" t="s">
        <v>8955</v>
      </c>
      <c r="Q287" s="1" t="s">
        <v>8956</v>
      </c>
      <c r="R287" s="1" t="s">
        <v>9060</v>
      </c>
      <c r="S287" s="1" t="s">
        <v>8975</v>
      </c>
      <c r="T287" s="1" t="s">
        <v>860</v>
      </c>
      <c r="U287" s="1" t="s">
        <v>17</v>
      </c>
      <c r="V287" s="1" t="s">
        <v>392</v>
      </c>
      <c r="W287" s="1"/>
    </row>
    <row r="288" spans="1:23" x14ac:dyDescent="0.2">
      <c r="A288" s="88" t="s">
        <v>15769</v>
      </c>
      <c r="B288" s="1" t="e">
        <v>#N/A</v>
      </c>
      <c r="C288" s="1" t="e">
        <v>#N/A</v>
      </c>
      <c r="D288" s="1" t="s">
        <v>861</v>
      </c>
      <c r="E288" s="1" t="s">
        <v>862</v>
      </c>
      <c r="F288" s="1" t="s">
        <v>18502</v>
      </c>
      <c r="G288" s="1" t="s">
        <v>8959</v>
      </c>
      <c r="H288" t="s">
        <v>9183</v>
      </c>
      <c r="I288" s="1" t="s">
        <v>9092</v>
      </c>
      <c r="J288" s="1" t="s">
        <v>9308</v>
      </c>
      <c r="K288" s="1" t="s">
        <v>20723</v>
      </c>
      <c r="L288" s="1" t="s">
        <v>8951</v>
      </c>
      <c r="M288" s="1">
        <v>252</v>
      </c>
      <c r="N288" s="1" t="s">
        <v>8953</v>
      </c>
      <c r="O288" s="1" t="s">
        <v>8989</v>
      </c>
      <c r="P288" s="1" t="e">
        <v>#N/A</v>
      </c>
      <c r="Q288" s="1" t="e">
        <v>#N/A</v>
      </c>
      <c r="R288" s="1">
        <f t="shared" ref="R288:R293" si="86">1+LEN(T288)-LEN(SUBSTITUTE(T288,",",))</f>
        <v>5</v>
      </c>
      <c r="S288" s="1" t="str">
        <f t="shared" ref="S288:S293" si="87">IF(R288&gt;4,IF(R288&lt;8,"4-7",IF(R288&gt;7,"&gt;7")),"&lt;4")</f>
        <v>4-7</v>
      </c>
      <c r="T288" s="1" t="s">
        <v>18664</v>
      </c>
      <c r="U288" s="1" t="s">
        <v>7</v>
      </c>
      <c r="V288" s="1" t="s">
        <v>863</v>
      </c>
      <c r="W288" s="1"/>
    </row>
    <row r="289" spans="1:23" x14ac:dyDescent="0.2">
      <c r="A289" s="88" t="s">
        <v>15770</v>
      </c>
      <c r="B289" s="1" t="e">
        <v>#N/A</v>
      </c>
      <c r="C289" s="1" t="e">
        <v>#N/A</v>
      </c>
      <c r="D289" s="1" t="s">
        <v>864</v>
      </c>
      <c r="E289" s="1" t="s">
        <v>865</v>
      </c>
      <c r="F289" s="1" t="s">
        <v>18502</v>
      </c>
      <c r="G289" s="1" t="s">
        <v>9060</v>
      </c>
      <c r="H289" t="s">
        <v>9183</v>
      </c>
      <c r="I289" s="1" t="s">
        <v>9605</v>
      </c>
      <c r="J289" s="1" t="s">
        <v>8959</v>
      </c>
      <c r="K289" s="1" t="s">
        <v>9036</v>
      </c>
      <c r="L289" s="1" t="s">
        <v>8987</v>
      </c>
      <c r="M289" s="1">
        <v>3469</v>
      </c>
      <c r="N289" s="1" t="s">
        <v>8953</v>
      </c>
      <c r="O289" s="1" t="s">
        <v>8989</v>
      </c>
      <c r="P289" s="1" t="e">
        <v>#N/A</v>
      </c>
      <c r="Q289" s="1" t="e">
        <v>#N/A</v>
      </c>
      <c r="R289" s="1">
        <f t="shared" si="86"/>
        <v>1</v>
      </c>
      <c r="S289" s="1" t="str">
        <f t="shared" si="87"/>
        <v>&lt;4</v>
      </c>
      <c r="T289" s="1"/>
      <c r="U289" s="1"/>
      <c r="V289" s="1"/>
      <c r="W289" s="1"/>
    </row>
    <row r="290" spans="1:23" x14ac:dyDescent="0.2">
      <c r="A290" s="89" t="s">
        <v>866</v>
      </c>
      <c r="B290" s="1" t="e">
        <v>#N/A</v>
      </c>
      <c r="C290" s="1" t="e">
        <v>#N/A</v>
      </c>
      <c r="D290" s="1" t="s">
        <v>867</v>
      </c>
      <c r="E290" s="1" t="s">
        <v>868</v>
      </c>
      <c r="F290" s="1" t="e">
        <v>#N/A</v>
      </c>
      <c r="G290" s="1" t="e">
        <v>#N/A</v>
      </c>
      <c r="H290" t="e">
        <v>#N/A</v>
      </c>
      <c r="I290" s="1" t="e">
        <v>#N/A</v>
      </c>
      <c r="J290" s="1" t="e">
        <v>#N/A</v>
      </c>
      <c r="K290" s="1" t="e">
        <v>#N/A</v>
      </c>
      <c r="L290" s="1" t="e">
        <v>#N/A</v>
      </c>
      <c r="M290" s="1" t="e">
        <v>#N/A</v>
      </c>
      <c r="N290" s="1" t="e">
        <v>#N/A</v>
      </c>
      <c r="O290" s="1" t="e">
        <v>#N/A</v>
      </c>
      <c r="P290" s="1" t="e">
        <v>#N/A</v>
      </c>
      <c r="Q290" s="1" t="e">
        <v>#N/A</v>
      </c>
      <c r="R290" s="1">
        <f t="shared" si="86"/>
        <v>2</v>
      </c>
      <c r="S290" s="1" t="str">
        <f t="shared" si="87"/>
        <v>&lt;4</v>
      </c>
      <c r="T290" s="1" t="s">
        <v>18665</v>
      </c>
      <c r="U290" s="1" t="s">
        <v>7</v>
      </c>
      <c r="V290" s="1" t="s">
        <v>670</v>
      </c>
      <c r="W290" s="1"/>
    </row>
    <row r="291" spans="1:23" x14ac:dyDescent="0.2">
      <c r="A291" s="88" t="s">
        <v>15771</v>
      </c>
      <c r="B291" s="1" t="e">
        <v>#N/A</v>
      </c>
      <c r="C291" s="1" t="e">
        <v>#N/A</v>
      </c>
      <c r="D291" s="1" t="s">
        <v>869</v>
      </c>
      <c r="E291" s="1" t="s">
        <v>870</v>
      </c>
      <c r="F291" s="1" t="s">
        <v>9317</v>
      </c>
      <c r="G291" s="1" t="s">
        <v>8957</v>
      </c>
      <c r="H291" t="s">
        <v>9061</v>
      </c>
      <c r="I291" s="1" t="s">
        <v>9154</v>
      </c>
      <c r="J291" s="1" t="s">
        <v>8949</v>
      </c>
      <c r="K291" s="1" t="s">
        <v>10492</v>
      </c>
      <c r="L291" s="1" t="s">
        <v>8951</v>
      </c>
      <c r="M291" s="1">
        <v>50</v>
      </c>
      <c r="N291" s="1" t="s">
        <v>9059</v>
      </c>
      <c r="O291" s="1" t="s">
        <v>8989</v>
      </c>
      <c r="P291" s="1" t="e">
        <v>#N/A</v>
      </c>
      <c r="Q291" s="1" t="e">
        <v>#N/A</v>
      </c>
      <c r="R291" s="1">
        <f t="shared" si="86"/>
        <v>9</v>
      </c>
      <c r="S291" s="1" t="str">
        <f t="shared" si="87"/>
        <v>&gt;7</v>
      </c>
      <c r="T291" s="1" t="s">
        <v>18666</v>
      </c>
      <c r="U291" s="1" t="s">
        <v>7</v>
      </c>
      <c r="V291" s="1" t="s">
        <v>871</v>
      </c>
      <c r="W291" s="1"/>
    </row>
    <row r="292" spans="1:23" x14ac:dyDescent="0.2">
      <c r="A292" s="88" t="s">
        <v>15772</v>
      </c>
      <c r="B292" s="1" t="e">
        <v>#N/A</v>
      </c>
      <c r="C292" s="1" t="e">
        <v>#N/A</v>
      </c>
      <c r="D292" s="1" t="s">
        <v>872</v>
      </c>
      <c r="E292" s="1" t="s">
        <v>873</v>
      </c>
      <c r="F292" s="1" t="s">
        <v>9317</v>
      </c>
      <c r="G292" s="1" t="s">
        <v>8959</v>
      </c>
      <c r="H292" t="s">
        <v>9183</v>
      </c>
      <c r="I292" s="1" t="s">
        <v>8948</v>
      </c>
      <c r="J292" s="1" t="s">
        <v>8949</v>
      </c>
      <c r="K292" s="1" t="s">
        <v>10492</v>
      </c>
      <c r="L292" s="1" t="s">
        <v>8973</v>
      </c>
      <c r="M292" s="1">
        <v>509</v>
      </c>
      <c r="N292" s="1" t="s">
        <v>9059</v>
      </c>
      <c r="O292" s="1" t="s">
        <v>8989</v>
      </c>
      <c r="P292" s="1" t="e">
        <v>#N/A</v>
      </c>
      <c r="Q292" s="1" t="e">
        <v>#N/A</v>
      </c>
      <c r="R292" s="1">
        <f t="shared" si="86"/>
        <v>11</v>
      </c>
      <c r="S292" s="1" t="str">
        <f t="shared" si="87"/>
        <v>&gt;7</v>
      </c>
      <c r="T292" s="1" t="s">
        <v>20558</v>
      </c>
      <c r="U292" s="1" t="s">
        <v>7</v>
      </c>
      <c r="V292" s="1" t="s">
        <v>134</v>
      </c>
      <c r="W292" s="1"/>
    </row>
    <row r="293" spans="1:23" x14ac:dyDescent="0.2">
      <c r="A293" s="88" t="s">
        <v>15773</v>
      </c>
      <c r="B293" s="1" t="e">
        <v>#N/A</v>
      </c>
      <c r="C293" s="1" t="e">
        <v>#N/A</v>
      </c>
      <c r="D293" s="1" t="s">
        <v>874</v>
      </c>
      <c r="E293" s="1" t="s">
        <v>875</v>
      </c>
      <c r="F293" s="1" t="s">
        <v>18502</v>
      </c>
      <c r="G293" s="1" t="s">
        <v>8957</v>
      </c>
      <c r="H293" t="s">
        <v>9061</v>
      </c>
      <c r="I293" s="1" t="s">
        <v>9092</v>
      </c>
      <c r="J293" s="1" t="s">
        <v>9725</v>
      </c>
      <c r="K293" s="1" t="s">
        <v>10492</v>
      </c>
      <c r="L293" s="1" t="s">
        <v>8951</v>
      </c>
      <c r="M293" s="1">
        <v>78</v>
      </c>
      <c r="N293" s="1" t="s">
        <v>9059</v>
      </c>
      <c r="O293" s="1" t="s">
        <v>8989</v>
      </c>
      <c r="P293" s="1" t="e">
        <v>#N/A</v>
      </c>
      <c r="Q293" s="1" t="e">
        <v>#N/A</v>
      </c>
      <c r="R293" s="1">
        <f t="shared" si="86"/>
        <v>12</v>
      </c>
      <c r="S293" s="1" t="str">
        <f t="shared" si="87"/>
        <v>&gt;7</v>
      </c>
      <c r="T293" s="1" t="s">
        <v>18667</v>
      </c>
      <c r="U293" s="1" t="s">
        <v>17</v>
      </c>
      <c r="V293" s="1" t="s">
        <v>876</v>
      </c>
      <c r="W293" s="1"/>
    </row>
    <row r="294" spans="1:23" x14ac:dyDescent="0.2">
      <c r="A294" s="88" t="s">
        <v>15774</v>
      </c>
      <c r="B294" s="1" t="e">
        <v>#N/A</v>
      </c>
      <c r="C294" s="1" t="s">
        <v>13554</v>
      </c>
      <c r="D294" s="1" t="s">
        <v>877</v>
      </c>
      <c r="E294" s="1" t="s">
        <v>878</v>
      </c>
      <c r="F294" s="1" t="s">
        <v>10873</v>
      </c>
      <c r="G294" s="1" t="s">
        <v>9060</v>
      </c>
      <c r="H294" t="s">
        <v>9009</v>
      </c>
      <c r="I294" s="1" t="s">
        <v>9100</v>
      </c>
      <c r="J294" s="1" t="s">
        <v>9155</v>
      </c>
      <c r="K294" s="1" t="s">
        <v>9036</v>
      </c>
      <c r="L294" s="1" t="s">
        <v>8987</v>
      </c>
      <c r="M294" s="1">
        <v>250</v>
      </c>
      <c r="N294" s="1" t="s">
        <v>8953</v>
      </c>
      <c r="O294" s="1" t="s">
        <v>8989</v>
      </c>
      <c r="P294" s="1" t="s">
        <v>8955</v>
      </c>
      <c r="Q294" s="1" t="s">
        <v>8990</v>
      </c>
      <c r="R294" s="1" t="s">
        <v>9060</v>
      </c>
      <c r="S294" s="1" t="s">
        <v>8958</v>
      </c>
      <c r="T294" s="1" t="s">
        <v>879</v>
      </c>
      <c r="U294" s="1" t="s">
        <v>4</v>
      </c>
      <c r="V294" s="1" t="s">
        <v>880</v>
      </c>
      <c r="W294" s="1"/>
    </row>
    <row r="295" spans="1:23" x14ac:dyDescent="0.2">
      <c r="A295" s="88" t="s">
        <v>15775</v>
      </c>
      <c r="B295" s="1" t="e">
        <v>#N/A</v>
      </c>
      <c r="C295" s="1" t="e">
        <v>#N/A</v>
      </c>
      <c r="D295" s="1" t="s">
        <v>881</v>
      </c>
      <c r="E295" s="1" t="s">
        <v>882</v>
      </c>
      <c r="F295" s="1" t="s">
        <v>18502</v>
      </c>
      <c r="G295" s="1" t="s">
        <v>8957</v>
      </c>
      <c r="H295" t="s">
        <v>8959</v>
      </c>
      <c r="I295" s="1" t="s">
        <v>20714</v>
      </c>
      <c r="J295" s="1" t="s">
        <v>20725</v>
      </c>
      <c r="K295" s="1" t="s">
        <v>9036</v>
      </c>
      <c r="L295" s="1" t="s">
        <v>8951</v>
      </c>
      <c r="M295" s="1">
        <v>4300</v>
      </c>
      <c r="N295" s="1" t="s">
        <v>8953</v>
      </c>
      <c r="O295" s="1" t="s">
        <v>8989</v>
      </c>
      <c r="P295" s="1" t="e">
        <v>#N/A</v>
      </c>
      <c r="Q295" s="1" t="e">
        <v>#N/A</v>
      </c>
      <c r="R295" s="1">
        <f t="shared" ref="R295:R296" si="88">1+LEN(T295)-LEN(SUBSTITUTE(T295,",",))</f>
        <v>5</v>
      </c>
      <c r="S295" s="1" t="str">
        <f t="shared" ref="S295:S296" si="89">IF(R295&gt;4,IF(R295&lt;8,"4-7",IF(R295&gt;7,"&gt;7")),"&lt;4")</f>
        <v>4-7</v>
      </c>
      <c r="T295" s="1" t="s">
        <v>18668</v>
      </c>
      <c r="U295" s="1" t="s">
        <v>7</v>
      </c>
      <c r="V295" s="1" t="s">
        <v>24</v>
      </c>
      <c r="W295" s="1"/>
    </row>
    <row r="296" spans="1:23" x14ac:dyDescent="0.2">
      <c r="A296" s="94" t="s">
        <v>15776</v>
      </c>
      <c r="B296" s="1" t="e">
        <v>#N/A</v>
      </c>
      <c r="C296" s="1" t="e">
        <v>#N/A</v>
      </c>
      <c r="D296" s="1" t="s">
        <v>883</v>
      </c>
      <c r="E296" s="1" t="s">
        <v>884</v>
      </c>
      <c r="F296" s="1" t="e">
        <v>#N/A</v>
      </c>
      <c r="G296" s="1" t="e">
        <v>#N/A</v>
      </c>
      <c r="H296" t="e">
        <v>#N/A</v>
      </c>
      <c r="I296" s="1" t="e">
        <v>#N/A</v>
      </c>
      <c r="J296" s="1" t="e">
        <v>#N/A</v>
      </c>
      <c r="K296" s="1" t="e">
        <v>#N/A</v>
      </c>
      <c r="L296" s="1" t="e">
        <v>#N/A</v>
      </c>
      <c r="M296" s="1" t="e">
        <v>#N/A</v>
      </c>
      <c r="N296" s="1" t="e">
        <v>#N/A</v>
      </c>
      <c r="O296" s="1" t="e">
        <v>#N/A</v>
      </c>
      <c r="P296" s="1" t="e">
        <v>#N/A</v>
      </c>
      <c r="Q296" s="1" t="e">
        <v>#N/A</v>
      </c>
      <c r="R296" s="1">
        <f t="shared" si="88"/>
        <v>1</v>
      </c>
      <c r="S296" s="1" t="str">
        <f t="shared" si="89"/>
        <v>&lt;4</v>
      </c>
      <c r="U296" s="1" t="s">
        <v>17</v>
      </c>
      <c r="V296" s="1" t="s">
        <v>174</v>
      </c>
      <c r="W296" s="1"/>
    </row>
    <row r="297" spans="1:23" x14ac:dyDescent="0.2">
      <c r="A297" s="88" t="s">
        <v>15777</v>
      </c>
      <c r="B297" s="1" t="e">
        <v>#N/A</v>
      </c>
      <c r="C297" s="1" t="s">
        <v>15213</v>
      </c>
      <c r="D297" s="1" t="s">
        <v>885</v>
      </c>
      <c r="E297" s="1" t="s">
        <v>886</v>
      </c>
      <c r="F297" s="1" t="s">
        <v>9010</v>
      </c>
      <c r="G297" s="1" t="s">
        <v>8957</v>
      </c>
      <c r="H297" t="s">
        <v>9061</v>
      </c>
      <c r="I297" s="1" t="s">
        <v>9154</v>
      </c>
      <c r="J297" s="1" t="s">
        <v>8949</v>
      </c>
      <c r="K297" s="1" t="s">
        <v>9918</v>
      </c>
      <c r="L297" s="1" t="s">
        <v>8973</v>
      </c>
      <c r="M297" s="1">
        <v>4345</v>
      </c>
      <c r="N297" s="1" t="s">
        <v>8953</v>
      </c>
      <c r="O297" s="1" t="s">
        <v>8954</v>
      </c>
      <c r="P297" s="1" t="s">
        <v>9182</v>
      </c>
      <c r="Q297" s="1" t="s">
        <v>8956</v>
      </c>
      <c r="R297" s="1" t="s">
        <v>8957</v>
      </c>
      <c r="S297" s="1" t="s">
        <v>8975</v>
      </c>
      <c r="T297" s="1" t="s">
        <v>887</v>
      </c>
      <c r="U297" s="1" t="s">
        <v>17</v>
      </c>
      <c r="V297" s="1" t="s">
        <v>571</v>
      </c>
      <c r="W297" s="1"/>
    </row>
    <row r="298" spans="1:23" x14ac:dyDescent="0.2">
      <c r="A298" s="89" t="s">
        <v>888</v>
      </c>
      <c r="B298" s="1" t="e">
        <v>#N/A</v>
      </c>
      <c r="C298" s="1" t="e">
        <v>#N/A</v>
      </c>
      <c r="D298" s="1" t="s">
        <v>889</v>
      </c>
      <c r="E298" s="1" t="s">
        <v>890</v>
      </c>
      <c r="F298" s="1" t="e">
        <v>#N/A</v>
      </c>
      <c r="G298" s="1" t="e">
        <v>#N/A</v>
      </c>
      <c r="H298" t="e">
        <v>#N/A</v>
      </c>
      <c r="I298" s="1" t="e">
        <v>#N/A</v>
      </c>
      <c r="J298" s="1" t="e">
        <v>#N/A</v>
      </c>
      <c r="K298" s="1" t="e">
        <v>#N/A</v>
      </c>
      <c r="L298" s="1" t="e">
        <v>#N/A</v>
      </c>
      <c r="M298" s="1" t="e">
        <v>#N/A</v>
      </c>
      <c r="N298" s="1" t="e">
        <v>#N/A</v>
      </c>
      <c r="O298" s="1" t="e">
        <v>#N/A</v>
      </c>
      <c r="P298" s="1" t="e">
        <v>#N/A</v>
      </c>
      <c r="Q298" s="1" t="e">
        <v>#N/A</v>
      </c>
      <c r="R298" s="1">
        <f t="shared" ref="R298:R299" si="90">1+LEN(T298)-LEN(SUBSTITUTE(T298,",",))</f>
        <v>5</v>
      </c>
      <c r="S298" s="1" t="str">
        <f t="shared" ref="S298:S299" si="91">IF(R298&gt;4,IF(R298&lt;8,"4-7",IF(R298&gt;7,"&gt;7")),"&lt;4")</f>
        <v>4-7</v>
      </c>
      <c r="T298" s="1" t="s">
        <v>18669</v>
      </c>
      <c r="U298" s="1" t="s">
        <v>11</v>
      </c>
      <c r="V298" s="1" t="s">
        <v>891</v>
      </c>
      <c r="W298" s="1"/>
    </row>
    <row r="299" spans="1:23" x14ac:dyDescent="0.2">
      <c r="A299" s="88" t="s">
        <v>15778</v>
      </c>
      <c r="B299" s="1" t="e">
        <v>#N/A</v>
      </c>
      <c r="C299" s="1" t="e">
        <v>#N/A</v>
      </c>
      <c r="D299" s="1" t="s">
        <v>892</v>
      </c>
      <c r="E299" s="1" t="s">
        <v>893</v>
      </c>
      <c r="F299" s="1" t="s">
        <v>20750</v>
      </c>
      <c r="G299" s="1" t="s">
        <v>8957</v>
      </c>
      <c r="H299" t="s">
        <v>8959</v>
      </c>
      <c r="I299" s="1" t="s">
        <v>8984</v>
      </c>
      <c r="J299" s="1" t="s">
        <v>8971</v>
      </c>
      <c r="K299" s="1" t="s">
        <v>20751</v>
      </c>
      <c r="L299" s="1" t="s">
        <v>9292</v>
      </c>
      <c r="M299" s="1">
        <f>823+508</f>
        <v>1331</v>
      </c>
      <c r="N299" s="1" t="s">
        <v>8953</v>
      </c>
      <c r="O299" s="1" t="s">
        <v>8989</v>
      </c>
      <c r="P299" s="1" t="e">
        <v>#N/A</v>
      </c>
      <c r="Q299" s="1" t="e">
        <v>#N/A</v>
      </c>
      <c r="R299" s="1">
        <f t="shared" si="90"/>
        <v>8</v>
      </c>
      <c r="S299" s="1" t="str">
        <f t="shared" si="91"/>
        <v>&gt;7</v>
      </c>
      <c r="T299" s="1" t="s">
        <v>18670</v>
      </c>
      <c r="U299" s="1" t="s">
        <v>7</v>
      </c>
      <c r="V299" s="1" t="s">
        <v>210</v>
      </c>
      <c r="W299" s="1"/>
    </row>
    <row r="300" spans="1:23" x14ac:dyDescent="0.2">
      <c r="A300" s="88" t="s">
        <v>15779</v>
      </c>
      <c r="B300" s="1" t="e">
        <v>#N/A</v>
      </c>
      <c r="C300" s="1" t="s">
        <v>12417</v>
      </c>
      <c r="D300" s="1" t="s">
        <v>894</v>
      </c>
      <c r="E300" s="1" t="s">
        <v>895</v>
      </c>
      <c r="F300" s="1" t="s">
        <v>9317</v>
      </c>
      <c r="G300" s="1" t="s">
        <v>8957</v>
      </c>
      <c r="H300" t="s">
        <v>9183</v>
      </c>
      <c r="I300" s="1" t="s">
        <v>9100</v>
      </c>
      <c r="J300" s="1" t="s">
        <v>8998</v>
      </c>
      <c r="K300" s="1" t="s">
        <v>9041</v>
      </c>
      <c r="L300" s="1" t="s">
        <v>8973</v>
      </c>
      <c r="M300" s="1">
        <v>32</v>
      </c>
      <c r="N300" s="1" t="s">
        <v>9059</v>
      </c>
      <c r="O300" s="1" t="s">
        <v>8989</v>
      </c>
      <c r="P300" s="1" t="s">
        <v>8955</v>
      </c>
      <c r="Q300" s="1" t="s">
        <v>8956</v>
      </c>
      <c r="R300" s="1" t="s">
        <v>8957</v>
      </c>
      <c r="S300" s="1" t="s">
        <v>8958</v>
      </c>
      <c r="T300" s="1" t="s">
        <v>896</v>
      </c>
      <c r="U300" s="1" t="s">
        <v>11</v>
      </c>
      <c r="V300" s="1" t="s">
        <v>64</v>
      </c>
      <c r="W300" s="1"/>
    </row>
    <row r="301" spans="1:23" x14ac:dyDescent="0.2">
      <c r="A301" s="92" t="s">
        <v>15780</v>
      </c>
      <c r="B301" s="1" t="e">
        <v>#N/A</v>
      </c>
      <c r="C301" s="1" t="e">
        <v>#N/A</v>
      </c>
      <c r="D301" s="1" t="s">
        <v>897</v>
      </c>
      <c r="E301" s="1" t="s">
        <v>898</v>
      </c>
      <c r="F301" s="1" t="e">
        <v>#N/A</v>
      </c>
      <c r="G301" s="1" t="e">
        <v>#N/A</v>
      </c>
      <c r="H301" t="e">
        <v>#N/A</v>
      </c>
      <c r="I301" s="1" t="e">
        <v>#N/A</v>
      </c>
      <c r="J301" s="1" t="e">
        <v>#N/A</v>
      </c>
      <c r="K301" s="1" t="e">
        <v>#N/A</v>
      </c>
      <c r="L301" s="1" t="e">
        <v>#N/A</v>
      </c>
      <c r="M301" s="1" t="e">
        <v>#N/A</v>
      </c>
      <c r="N301" s="1" t="e">
        <v>#N/A</v>
      </c>
      <c r="O301" s="1" t="e">
        <v>#N/A</v>
      </c>
      <c r="P301" s="1" t="e">
        <v>#N/A</v>
      </c>
      <c r="Q301" s="1" t="e">
        <v>#N/A</v>
      </c>
      <c r="R301" s="1">
        <f t="shared" ref="R301:R309" si="92">1+LEN(T301)-LEN(SUBSTITUTE(T301,",",))</f>
        <v>2</v>
      </c>
      <c r="S301" s="1" t="str">
        <f t="shared" ref="S301:S309" si="93">IF(R301&gt;4,IF(R301&lt;8,"4-7",IF(R301&gt;7,"&gt;7")),"&lt;4")</f>
        <v>&lt;4</v>
      </c>
      <c r="T301" s="1" t="s">
        <v>18671</v>
      </c>
      <c r="U301" s="1" t="s">
        <v>11</v>
      </c>
      <c r="V301" s="1" t="s">
        <v>700</v>
      </c>
      <c r="W301" s="1"/>
    </row>
    <row r="302" spans="1:23" x14ac:dyDescent="0.2">
      <c r="A302" s="88" t="s">
        <v>15781</v>
      </c>
      <c r="B302" s="1" t="e">
        <v>#N/A</v>
      </c>
      <c r="C302" s="1" t="e">
        <v>#N/A</v>
      </c>
      <c r="D302" s="1" t="s">
        <v>899</v>
      </c>
      <c r="E302" s="1" t="s">
        <v>900</v>
      </c>
      <c r="F302" s="1" t="s">
        <v>9317</v>
      </c>
      <c r="G302" s="1" t="s">
        <v>8957</v>
      </c>
      <c r="H302" t="s">
        <v>8959</v>
      </c>
      <c r="I302" s="1" t="s">
        <v>9035</v>
      </c>
      <c r="J302" s="1" t="s">
        <v>9308</v>
      </c>
      <c r="K302" s="1" t="s">
        <v>20752</v>
      </c>
      <c r="L302" s="1" t="s">
        <v>8987</v>
      </c>
      <c r="M302" s="1">
        <f>46754+224316</f>
        <v>271070</v>
      </c>
      <c r="N302" s="1" t="s">
        <v>8953</v>
      </c>
      <c r="O302" s="1" t="s">
        <v>8954</v>
      </c>
      <c r="P302" s="1" t="e">
        <v>#N/A</v>
      </c>
      <c r="Q302" s="1" t="e">
        <v>#N/A</v>
      </c>
      <c r="R302" s="1">
        <f t="shared" si="92"/>
        <v>6</v>
      </c>
      <c r="S302" s="1" t="str">
        <f t="shared" si="93"/>
        <v>4-7</v>
      </c>
      <c r="T302" s="1" t="s">
        <v>18672</v>
      </c>
      <c r="U302" s="1" t="s">
        <v>7</v>
      </c>
      <c r="V302" s="1" t="s">
        <v>24</v>
      </c>
      <c r="W302" s="1"/>
    </row>
    <row r="303" spans="1:23" x14ac:dyDescent="0.2">
      <c r="A303" s="88" t="s">
        <v>15782</v>
      </c>
      <c r="B303" s="1" t="e">
        <v>#N/A</v>
      </c>
      <c r="C303" s="1" t="e">
        <v>#N/A</v>
      </c>
      <c r="D303" s="1" t="s">
        <v>901</v>
      </c>
      <c r="E303" s="1" t="s">
        <v>902</v>
      </c>
      <c r="F303" s="1" t="s">
        <v>10049</v>
      </c>
      <c r="G303" s="1" t="s">
        <v>8957</v>
      </c>
      <c r="H303" t="s">
        <v>8959</v>
      </c>
      <c r="I303" s="1" t="s">
        <v>20712</v>
      </c>
      <c r="J303" s="1" t="s">
        <v>9155</v>
      </c>
      <c r="K303" s="1" t="s">
        <v>10525</v>
      </c>
      <c r="L303" s="1" t="s">
        <v>8951</v>
      </c>
      <c r="M303" s="1">
        <f>410+381</f>
        <v>791</v>
      </c>
      <c r="N303" s="1" t="s">
        <v>8953</v>
      </c>
      <c r="O303" s="1" t="s">
        <v>8954</v>
      </c>
      <c r="P303" s="1" t="e">
        <v>#N/A</v>
      </c>
      <c r="Q303" s="1" t="e">
        <v>#N/A</v>
      </c>
      <c r="R303" s="1">
        <f t="shared" si="92"/>
        <v>3</v>
      </c>
      <c r="S303" s="1" t="str">
        <f t="shared" si="93"/>
        <v>&lt;4</v>
      </c>
      <c r="T303" s="1" t="s">
        <v>18673</v>
      </c>
      <c r="U303" s="1" t="s">
        <v>7</v>
      </c>
      <c r="V303" s="1" t="s">
        <v>74</v>
      </c>
      <c r="W303" s="1"/>
    </row>
    <row r="304" spans="1:23" x14ac:dyDescent="0.2">
      <c r="A304" s="88" t="s">
        <v>15783</v>
      </c>
      <c r="B304" s="1" t="e">
        <v>#N/A</v>
      </c>
      <c r="C304" s="1" t="e">
        <v>#N/A</v>
      </c>
      <c r="D304" s="1" t="s">
        <v>903</v>
      </c>
      <c r="E304" s="1" t="s">
        <v>904</v>
      </c>
      <c r="F304" s="1" t="s">
        <v>10873</v>
      </c>
      <c r="G304" s="1" t="s">
        <v>8974</v>
      </c>
      <c r="H304" t="s">
        <v>8959</v>
      </c>
      <c r="I304" s="1" t="s">
        <v>9035</v>
      </c>
      <c r="J304" s="1" t="s">
        <v>9308</v>
      </c>
      <c r="K304" s="1" t="s">
        <v>18489</v>
      </c>
      <c r="L304" s="1" t="s">
        <v>8987</v>
      </c>
      <c r="M304" s="1">
        <f>1583+944+472+4273+1919+30+169+100</f>
        <v>9490</v>
      </c>
      <c r="N304" s="1" t="s">
        <v>8953</v>
      </c>
      <c r="O304" s="1" t="s">
        <v>8954</v>
      </c>
      <c r="P304" s="1" t="e">
        <v>#N/A</v>
      </c>
      <c r="Q304" s="1" t="e">
        <v>#N/A</v>
      </c>
      <c r="R304" s="1">
        <f t="shared" si="92"/>
        <v>7</v>
      </c>
      <c r="S304" s="1" t="str">
        <f t="shared" si="93"/>
        <v>4-7</v>
      </c>
      <c r="T304" s="1" t="s">
        <v>18674</v>
      </c>
      <c r="U304" s="1" t="s">
        <v>7</v>
      </c>
      <c r="V304" s="1" t="s">
        <v>27</v>
      </c>
      <c r="W304" s="1"/>
    </row>
    <row r="305" spans="1:23" x14ac:dyDescent="0.2">
      <c r="A305" s="89" t="s">
        <v>15784</v>
      </c>
      <c r="B305" s="1" t="e">
        <v>#N/A</v>
      </c>
      <c r="C305" s="1" t="e">
        <v>#N/A</v>
      </c>
      <c r="D305" s="1" t="s">
        <v>905</v>
      </c>
      <c r="E305" s="1" t="s">
        <v>906</v>
      </c>
      <c r="F305" s="1" t="e">
        <v>#N/A</v>
      </c>
      <c r="G305" s="1" t="e">
        <v>#N/A</v>
      </c>
      <c r="H305" t="e">
        <v>#N/A</v>
      </c>
      <c r="I305" s="1" t="e">
        <v>#N/A</v>
      </c>
      <c r="J305" s="1" t="e">
        <v>#N/A</v>
      </c>
      <c r="K305" s="1" t="e">
        <v>#N/A</v>
      </c>
      <c r="L305" s="1" t="e">
        <v>#N/A</v>
      </c>
      <c r="M305" s="1" t="e">
        <v>#N/A</v>
      </c>
      <c r="N305" s="1" t="e">
        <v>#N/A</v>
      </c>
      <c r="O305" s="1" t="e">
        <v>#N/A</v>
      </c>
      <c r="P305" s="1" t="e">
        <v>#N/A</v>
      </c>
      <c r="Q305" s="1" t="e">
        <v>#N/A</v>
      </c>
      <c r="R305" s="1">
        <f t="shared" si="92"/>
        <v>2</v>
      </c>
      <c r="S305" s="1" t="str">
        <f t="shared" si="93"/>
        <v>&lt;4</v>
      </c>
      <c r="T305" s="1" t="s">
        <v>18675</v>
      </c>
      <c r="U305" s="1" t="s">
        <v>7</v>
      </c>
      <c r="V305" s="1" t="s">
        <v>907</v>
      </c>
      <c r="W305" s="1"/>
    </row>
    <row r="306" spans="1:23" x14ac:dyDescent="0.2">
      <c r="A306" s="88" t="s">
        <v>15785</v>
      </c>
      <c r="B306" s="1" t="e">
        <v>#N/A</v>
      </c>
      <c r="C306" s="1" t="e">
        <v>#N/A</v>
      </c>
      <c r="D306" s="1" t="s">
        <v>908</v>
      </c>
      <c r="E306" s="1" t="s">
        <v>909</v>
      </c>
      <c r="F306" s="1" t="s">
        <v>9317</v>
      </c>
      <c r="G306" s="1" t="s">
        <v>8957</v>
      </c>
      <c r="H306" t="s">
        <v>9009</v>
      </c>
      <c r="I306" s="1" t="s">
        <v>9173</v>
      </c>
      <c r="J306" s="1" t="s">
        <v>9174</v>
      </c>
      <c r="K306" s="1" t="s">
        <v>18497</v>
      </c>
      <c r="L306" s="1" t="s">
        <v>8987</v>
      </c>
      <c r="M306" s="1">
        <f>804+4204</f>
        <v>5008</v>
      </c>
      <c r="N306" s="1" t="s">
        <v>8953</v>
      </c>
      <c r="O306" s="1" t="s">
        <v>8989</v>
      </c>
      <c r="P306" s="1" t="e">
        <v>#N/A</v>
      </c>
      <c r="Q306" s="1" t="e">
        <v>#N/A</v>
      </c>
      <c r="R306" s="1">
        <f t="shared" si="92"/>
        <v>14</v>
      </c>
      <c r="S306" s="1" t="str">
        <f t="shared" si="93"/>
        <v>&gt;7</v>
      </c>
      <c r="T306" s="1" t="s">
        <v>20559</v>
      </c>
      <c r="U306" s="1" t="s">
        <v>17</v>
      </c>
      <c r="V306" s="1" t="s">
        <v>910</v>
      </c>
      <c r="W306" s="1"/>
    </row>
    <row r="307" spans="1:23" x14ac:dyDescent="0.2">
      <c r="A307" s="88" t="s">
        <v>15786</v>
      </c>
      <c r="B307" s="1" t="e">
        <v>#N/A</v>
      </c>
      <c r="C307" s="1" t="e">
        <v>#N/A</v>
      </c>
      <c r="D307" s="1" t="s">
        <v>911</v>
      </c>
      <c r="E307" s="1" t="s">
        <v>912</v>
      </c>
      <c r="F307" s="1" t="s">
        <v>9317</v>
      </c>
      <c r="G307" s="1" t="s">
        <v>8959</v>
      </c>
      <c r="H307" t="s">
        <v>9009</v>
      </c>
      <c r="I307" s="1" t="s">
        <v>9173</v>
      </c>
      <c r="J307" s="1" t="s">
        <v>9174</v>
      </c>
      <c r="K307" s="1" t="s">
        <v>18497</v>
      </c>
      <c r="L307" s="1" t="s">
        <v>8987</v>
      </c>
      <c r="M307" s="1">
        <v>12378</v>
      </c>
      <c r="N307" s="1" t="s">
        <v>8953</v>
      </c>
      <c r="O307" s="1" t="s">
        <v>8954</v>
      </c>
      <c r="P307" s="1" t="e">
        <v>#N/A</v>
      </c>
      <c r="Q307" s="1" t="e">
        <v>#N/A</v>
      </c>
      <c r="R307" s="1">
        <f t="shared" si="92"/>
        <v>12</v>
      </c>
      <c r="S307" s="1" t="str">
        <f t="shared" si="93"/>
        <v>&gt;7</v>
      </c>
      <c r="T307" s="1" t="s">
        <v>18676</v>
      </c>
      <c r="U307" s="1" t="s">
        <v>17</v>
      </c>
      <c r="V307" s="1" t="s">
        <v>910</v>
      </c>
      <c r="W307" s="1"/>
    </row>
    <row r="308" spans="1:23" s="79" customFormat="1" x14ac:dyDescent="0.2">
      <c r="A308" s="94" t="s">
        <v>15787</v>
      </c>
      <c r="B308" s="1" t="e">
        <v>#N/A</v>
      </c>
      <c r="C308" s="78" t="e">
        <v>#N/A</v>
      </c>
      <c r="D308" s="78" t="s">
        <v>913</v>
      </c>
      <c r="E308" s="78" t="s">
        <v>914</v>
      </c>
      <c r="F308" s="78" t="s">
        <v>9317</v>
      </c>
      <c r="G308" s="78" t="s">
        <v>8959</v>
      </c>
      <c r="H308" s="79" t="s">
        <v>9009</v>
      </c>
      <c r="I308" s="78" t="s">
        <v>9173</v>
      </c>
      <c r="J308" s="78" t="s">
        <v>9174</v>
      </c>
      <c r="K308" s="78" t="s">
        <v>18497</v>
      </c>
      <c r="L308" s="78" t="s">
        <v>8987</v>
      </c>
      <c r="M308" s="78">
        <v>12378</v>
      </c>
      <c r="N308" s="78" t="s">
        <v>8953</v>
      </c>
      <c r="O308" s="78" t="s">
        <v>8954</v>
      </c>
      <c r="P308" s="78" t="e">
        <v>#N/A</v>
      </c>
      <c r="Q308" s="78" t="e">
        <v>#N/A</v>
      </c>
      <c r="R308" s="1">
        <f t="shared" si="92"/>
        <v>12</v>
      </c>
      <c r="S308" s="78" t="str">
        <f t="shared" si="93"/>
        <v>&gt;7</v>
      </c>
      <c r="T308" s="78" t="s">
        <v>20560</v>
      </c>
      <c r="U308" s="78" t="s">
        <v>17</v>
      </c>
      <c r="V308" s="78" t="s">
        <v>910</v>
      </c>
      <c r="W308" s="78"/>
    </row>
    <row r="309" spans="1:23" x14ac:dyDescent="0.2">
      <c r="A309" s="88" t="s">
        <v>15788</v>
      </c>
      <c r="B309" s="1" t="e">
        <v>#N/A</v>
      </c>
      <c r="C309" s="1" t="e">
        <v>#N/A</v>
      </c>
      <c r="D309" s="1" t="s">
        <v>915</v>
      </c>
      <c r="E309" s="1" t="s">
        <v>916</v>
      </c>
      <c r="F309" s="80" t="s">
        <v>9317</v>
      </c>
      <c r="G309" s="80" t="s">
        <v>8959</v>
      </c>
      <c r="H309" s="81" t="s">
        <v>8959</v>
      </c>
      <c r="I309" s="80" t="s">
        <v>9173</v>
      </c>
      <c r="J309" s="80" t="s">
        <v>9174</v>
      </c>
      <c r="K309" s="80" t="s">
        <v>18497</v>
      </c>
      <c r="L309" s="80" t="s">
        <v>8987</v>
      </c>
      <c r="M309" s="80">
        <f>1888+10490+210+1049+304+75</f>
        <v>14016</v>
      </c>
      <c r="N309" s="80" t="s">
        <v>8953</v>
      </c>
      <c r="O309" s="80" t="s">
        <v>8954</v>
      </c>
      <c r="P309" s="1" t="e">
        <v>#N/A</v>
      </c>
      <c r="Q309" s="1" t="e">
        <v>#N/A</v>
      </c>
      <c r="R309" s="1">
        <f t="shared" si="92"/>
        <v>4</v>
      </c>
      <c r="S309" s="1" t="str">
        <f t="shared" si="93"/>
        <v>&lt;4</v>
      </c>
      <c r="T309" s="1" t="s">
        <v>18677</v>
      </c>
      <c r="U309" s="1" t="s">
        <v>17</v>
      </c>
      <c r="V309" s="1" t="s">
        <v>110</v>
      </c>
      <c r="W309" s="1"/>
    </row>
    <row r="310" spans="1:23" x14ac:dyDescent="0.2">
      <c r="A310" s="88" t="s">
        <v>15789</v>
      </c>
      <c r="B310" s="1" t="e">
        <v>#N/A</v>
      </c>
      <c r="C310" s="1" t="s">
        <v>14597</v>
      </c>
      <c r="D310" s="1" t="s">
        <v>917</v>
      </c>
      <c r="E310" s="1" t="s">
        <v>918</v>
      </c>
      <c r="F310" s="1" t="s">
        <v>9380</v>
      </c>
      <c r="G310" s="1" t="s">
        <v>8957</v>
      </c>
      <c r="H310" t="s">
        <v>8959</v>
      </c>
      <c r="I310" s="1" t="s">
        <v>8948</v>
      </c>
      <c r="J310" s="1" t="s">
        <v>8949</v>
      </c>
      <c r="K310" s="1" t="s">
        <v>14305</v>
      </c>
      <c r="L310" s="1" t="s">
        <v>9292</v>
      </c>
      <c r="M310" s="1">
        <v>300</v>
      </c>
      <c r="N310" s="1" t="s">
        <v>8953</v>
      </c>
      <c r="O310" s="1" t="s">
        <v>8989</v>
      </c>
      <c r="P310" s="1" t="s">
        <v>8955</v>
      </c>
      <c r="Q310" s="1" t="s">
        <v>8956</v>
      </c>
      <c r="R310" s="1" t="s">
        <v>8957</v>
      </c>
      <c r="S310" s="1" t="s">
        <v>9103</v>
      </c>
      <c r="T310" s="1" t="s">
        <v>919</v>
      </c>
      <c r="U310" s="1" t="s">
        <v>920</v>
      </c>
      <c r="V310" s="1" t="s">
        <v>921</v>
      </c>
      <c r="W310" s="1"/>
    </row>
    <row r="311" spans="1:23" x14ac:dyDescent="0.2">
      <c r="A311" s="88" t="s">
        <v>15790</v>
      </c>
      <c r="B311" s="1" t="e">
        <v>#N/A</v>
      </c>
      <c r="C311" s="1" t="s">
        <v>14569</v>
      </c>
      <c r="D311" s="1" t="s">
        <v>922</v>
      </c>
      <c r="E311" s="1" t="s">
        <v>923</v>
      </c>
      <c r="F311" s="1" t="s">
        <v>9380</v>
      </c>
      <c r="G311" s="1" t="s">
        <v>8957</v>
      </c>
      <c r="H311" t="s">
        <v>9061</v>
      </c>
      <c r="I311" s="1" t="s">
        <v>9605</v>
      </c>
      <c r="J311" s="1" t="s">
        <v>8949</v>
      </c>
      <c r="K311" s="1" t="s">
        <v>10511</v>
      </c>
      <c r="L311" s="1" t="s">
        <v>8987</v>
      </c>
      <c r="M311" s="1">
        <v>356</v>
      </c>
      <c r="N311" s="1" t="s">
        <v>8953</v>
      </c>
      <c r="O311" s="1" t="s">
        <v>8954</v>
      </c>
      <c r="P311" s="1" t="s">
        <v>8955</v>
      </c>
      <c r="Q311" s="1" t="s">
        <v>8956</v>
      </c>
      <c r="R311" s="1" t="s">
        <v>8957</v>
      </c>
      <c r="S311" s="1" t="s">
        <v>9103</v>
      </c>
      <c r="T311" s="1" t="s">
        <v>919</v>
      </c>
      <c r="U311" s="1" t="s">
        <v>924</v>
      </c>
      <c r="V311" s="1" t="s">
        <v>925</v>
      </c>
      <c r="W311" s="1"/>
    </row>
    <row r="312" spans="1:23" x14ac:dyDescent="0.2">
      <c r="A312" s="88" t="s">
        <v>15791</v>
      </c>
      <c r="B312" s="1" t="e">
        <v>#N/A</v>
      </c>
      <c r="C312" s="1" t="s">
        <v>14553</v>
      </c>
      <c r="D312" s="1" t="s">
        <v>926</v>
      </c>
      <c r="E312" s="1" t="s">
        <v>927</v>
      </c>
      <c r="F312" s="1" t="s">
        <v>9380</v>
      </c>
      <c r="G312" s="1" t="s">
        <v>8957</v>
      </c>
      <c r="H312" t="s">
        <v>8959</v>
      </c>
      <c r="I312" s="1" t="s">
        <v>8948</v>
      </c>
      <c r="J312" s="1" t="s">
        <v>8949</v>
      </c>
      <c r="K312" s="1" t="s">
        <v>12500</v>
      </c>
      <c r="L312" s="1" t="s">
        <v>9076</v>
      </c>
      <c r="M312" s="1">
        <v>1422</v>
      </c>
      <c r="N312" s="1" t="s">
        <v>8953</v>
      </c>
      <c r="O312" s="1" t="s">
        <v>8989</v>
      </c>
      <c r="P312" s="1" t="s">
        <v>8955</v>
      </c>
      <c r="Q312" s="1" t="s">
        <v>8956</v>
      </c>
      <c r="R312" s="1" t="s">
        <v>8957</v>
      </c>
      <c r="S312" s="1" t="s">
        <v>8958</v>
      </c>
      <c r="T312" s="1" t="s">
        <v>928</v>
      </c>
      <c r="U312" s="1" t="s">
        <v>929</v>
      </c>
      <c r="V312" s="1" t="s">
        <v>921</v>
      </c>
      <c r="W312" s="1"/>
    </row>
    <row r="313" spans="1:23" x14ac:dyDescent="0.2">
      <c r="A313" s="88" t="s">
        <v>15792</v>
      </c>
      <c r="B313" s="1" t="e">
        <v>#N/A</v>
      </c>
      <c r="C313" s="1" t="s">
        <v>12366</v>
      </c>
      <c r="D313" s="1" t="s">
        <v>930</v>
      </c>
      <c r="E313" s="1" t="s">
        <v>931</v>
      </c>
      <c r="F313" s="1" t="s">
        <v>9010</v>
      </c>
      <c r="G313" s="1" t="s">
        <v>8957</v>
      </c>
      <c r="H313" t="s">
        <v>9183</v>
      </c>
      <c r="I313" s="1" t="s">
        <v>9049</v>
      </c>
      <c r="J313" s="1" t="s">
        <v>9050</v>
      </c>
      <c r="K313" s="1" t="s">
        <v>9036</v>
      </c>
      <c r="L313" s="1" t="s">
        <v>9133</v>
      </c>
      <c r="M313" s="1">
        <v>100</v>
      </c>
      <c r="N313" s="1" t="s">
        <v>8953</v>
      </c>
      <c r="O313" s="1" t="s">
        <v>8954</v>
      </c>
      <c r="P313" s="1" t="s">
        <v>8955</v>
      </c>
      <c r="Q313" s="1" t="s">
        <v>8956</v>
      </c>
      <c r="R313" s="1" t="s">
        <v>8957</v>
      </c>
      <c r="S313" s="1" t="s">
        <v>8975</v>
      </c>
      <c r="T313" s="1" t="s">
        <v>932</v>
      </c>
      <c r="U313" s="1" t="s">
        <v>11</v>
      </c>
      <c r="V313" s="1" t="s">
        <v>933</v>
      </c>
      <c r="W313" s="1"/>
    </row>
    <row r="314" spans="1:23" x14ac:dyDescent="0.2">
      <c r="A314" s="88" t="s">
        <v>15793</v>
      </c>
      <c r="B314" s="1" t="e">
        <v>#N/A</v>
      </c>
      <c r="C314" s="1" t="e">
        <v>#N/A</v>
      </c>
      <c r="D314" s="1" t="s">
        <v>934</v>
      </c>
      <c r="E314" s="1" t="s">
        <v>935</v>
      </c>
      <c r="F314" s="1" t="s">
        <v>10049</v>
      </c>
      <c r="G314" s="1" t="s">
        <v>8959</v>
      </c>
      <c r="H314" t="s">
        <v>8959</v>
      </c>
      <c r="I314" s="1" t="s">
        <v>9035</v>
      </c>
      <c r="J314" s="1" t="s">
        <v>9308</v>
      </c>
      <c r="K314" s="1" t="s">
        <v>10525</v>
      </c>
      <c r="L314" s="1" t="s">
        <v>8951</v>
      </c>
      <c r="M314" s="1">
        <v>6523</v>
      </c>
      <c r="N314" s="1" t="s">
        <v>8953</v>
      </c>
      <c r="O314" s="1" t="s">
        <v>8954</v>
      </c>
      <c r="P314" s="1" t="e">
        <v>#N/A</v>
      </c>
      <c r="Q314" s="1" t="e">
        <v>#N/A</v>
      </c>
      <c r="R314" s="1">
        <f t="shared" ref="R314:R317" si="94">1+LEN(T314)-LEN(SUBSTITUTE(T314,",",))</f>
        <v>4</v>
      </c>
      <c r="S314" s="1" t="str">
        <f t="shared" ref="S314:S317" si="95">IF(R314&gt;4,IF(R314&lt;8,"4-7",IF(R314&gt;7,"&gt;7")),"&lt;4")</f>
        <v>&lt;4</v>
      </c>
      <c r="T314" s="1" t="s">
        <v>18678</v>
      </c>
      <c r="U314" s="1" t="s">
        <v>7</v>
      </c>
      <c r="V314" s="1" t="s">
        <v>184</v>
      </c>
      <c r="W314" s="1"/>
    </row>
    <row r="315" spans="1:23" x14ac:dyDescent="0.2">
      <c r="A315" s="88" t="s">
        <v>15794</v>
      </c>
      <c r="B315" s="1" t="e">
        <v>#N/A</v>
      </c>
      <c r="C315" s="1" t="e">
        <v>#N/A</v>
      </c>
      <c r="D315" s="1" t="s">
        <v>936</v>
      </c>
      <c r="E315" s="1" t="s">
        <v>937</v>
      </c>
      <c r="F315" s="1" t="s">
        <v>11671</v>
      </c>
      <c r="G315" s="1" t="s">
        <v>9060</v>
      </c>
      <c r="H315" t="s">
        <v>9061</v>
      </c>
      <c r="I315" s="1" t="s">
        <v>8948</v>
      </c>
      <c r="J315" s="1" t="s">
        <v>8949</v>
      </c>
      <c r="K315" s="1" t="s">
        <v>10492</v>
      </c>
      <c r="L315" s="1" t="s">
        <v>8973</v>
      </c>
      <c r="M315" s="1">
        <v>54</v>
      </c>
      <c r="N315" s="1" t="s">
        <v>8953</v>
      </c>
      <c r="O315" s="1" t="s">
        <v>8989</v>
      </c>
      <c r="P315" s="1" t="e">
        <v>#N/A</v>
      </c>
      <c r="Q315" s="1" t="e">
        <v>#N/A</v>
      </c>
      <c r="R315" s="1">
        <f t="shared" si="94"/>
        <v>6</v>
      </c>
      <c r="S315" s="1" t="str">
        <f t="shared" si="95"/>
        <v>4-7</v>
      </c>
      <c r="T315" s="1" t="s">
        <v>18679</v>
      </c>
      <c r="U315" s="1" t="s">
        <v>7</v>
      </c>
      <c r="V315" s="1" t="s">
        <v>938</v>
      </c>
      <c r="W315" s="1"/>
    </row>
    <row r="316" spans="1:23" x14ac:dyDescent="0.2">
      <c r="A316" s="89" t="s">
        <v>939</v>
      </c>
      <c r="B316" s="1" t="e">
        <v>#N/A</v>
      </c>
      <c r="C316" s="1" t="e">
        <v>#N/A</v>
      </c>
      <c r="D316" s="1" t="s">
        <v>940</v>
      </c>
      <c r="E316" s="1" t="s">
        <v>941</v>
      </c>
      <c r="F316" s="1" t="e">
        <v>#N/A</v>
      </c>
      <c r="G316" s="1" t="e">
        <v>#N/A</v>
      </c>
      <c r="H316" t="e">
        <v>#N/A</v>
      </c>
      <c r="I316" s="1" t="e">
        <v>#N/A</v>
      </c>
      <c r="J316" s="1" t="e">
        <v>#N/A</v>
      </c>
      <c r="K316" s="1" t="e">
        <v>#N/A</v>
      </c>
      <c r="L316" s="1" t="e">
        <v>#N/A</v>
      </c>
      <c r="M316" s="1" t="e">
        <v>#N/A</v>
      </c>
      <c r="N316" s="1" t="e">
        <v>#N/A</v>
      </c>
      <c r="O316" s="1" t="e">
        <v>#N/A</v>
      </c>
      <c r="P316" s="1" t="e">
        <v>#N/A</v>
      </c>
      <c r="Q316" s="1" t="e">
        <v>#N/A</v>
      </c>
      <c r="R316" s="1">
        <f t="shared" si="94"/>
        <v>6</v>
      </c>
      <c r="S316" s="1" t="str">
        <f t="shared" si="95"/>
        <v>4-7</v>
      </c>
      <c r="T316" s="1" t="s">
        <v>18680</v>
      </c>
      <c r="U316" s="1" t="s">
        <v>17</v>
      </c>
      <c r="V316" s="1" t="s">
        <v>942</v>
      </c>
      <c r="W316" s="1"/>
    </row>
    <row r="317" spans="1:23" x14ac:dyDescent="0.2">
      <c r="A317" s="88" t="s">
        <v>15795</v>
      </c>
      <c r="B317" s="1" t="e">
        <v>#N/A</v>
      </c>
      <c r="C317" s="1" t="e">
        <v>#N/A</v>
      </c>
      <c r="D317" s="1" t="s">
        <v>943</v>
      </c>
      <c r="E317" s="1" t="s">
        <v>944</v>
      </c>
      <c r="F317" s="1" t="s">
        <v>18502</v>
      </c>
      <c r="G317" s="1" t="s">
        <v>8974</v>
      </c>
      <c r="H317" t="s">
        <v>9061</v>
      </c>
      <c r="I317" s="1" t="s">
        <v>9943</v>
      </c>
      <c r="J317" s="1" t="s">
        <v>8971</v>
      </c>
      <c r="K317" s="1" t="s">
        <v>10381</v>
      </c>
      <c r="L317" s="1" t="s">
        <v>9133</v>
      </c>
      <c r="M317" s="1">
        <v>1377</v>
      </c>
      <c r="N317" s="1" t="s">
        <v>8953</v>
      </c>
      <c r="O317" s="1" t="s">
        <v>8989</v>
      </c>
      <c r="P317" s="1" t="e">
        <v>#N/A</v>
      </c>
      <c r="Q317" s="1" t="e">
        <v>#N/A</v>
      </c>
      <c r="R317" s="1">
        <f t="shared" si="94"/>
        <v>7</v>
      </c>
      <c r="S317" s="1" t="str">
        <f t="shared" si="95"/>
        <v>4-7</v>
      </c>
      <c r="T317" s="1" t="s">
        <v>18681</v>
      </c>
      <c r="U317" s="1" t="s">
        <v>17</v>
      </c>
      <c r="V317" s="1" t="s">
        <v>180</v>
      </c>
      <c r="W317" s="1"/>
    </row>
    <row r="318" spans="1:23" x14ac:dyDescent="0.2">
      <c r="A318" s="88" t="s">
        <v>15796</v>
      </c>
      <c r="B318" s="1" t="e">
        <v>#N/A</v>
      </c>
      <c r="C318" s="1" t="s">
        <v>8995</v>
      </c>
      <c r="D318" s="1" t="s">
        <v>945</v>
      </c>
      <c r="E318" s="1" t="s">
        <v>946</v>
      </c>
      <c r="F318" s="1" t="s">
        <v>14748</v>
      </c>
      <c r="G318" s="1" t="s">
        <v>8957</v>
      </c>
      <c r="H318" t="s">
        <v>8959</v>
      </c>
      <c r="I318" s="1" t="s">
        <v>8984</v>
      </c>
      <c r="J318" s="1" t="s">
        <v>8998</v>
      </c>
      <c r="K318" s="1" t="s">
        <v>9036</v>
      </c>
      <c r="L318" s="1" t="s">
        <v>8987</v>
      </c>
      <c r="M318" s="1">
        <v>2234</v>
      </c>
      <c r="N318" s="1" t="s">
        <v>8953</v>
      </c>
      <c r="O318" s="1" t="s">
        <v>8954</v>
      </c>
      <c r="P318" s="1" t="s">
        <v>8955</v>
      </c>
      <c r="Q318" s="1" t="s">
        <v>8990</v>
      </c>
      <c r="R318" s="1" t="s">
        <v>8957</v>
      </c>
      <c r="S318" s="1" t="s">
        <v>8958</v>
      </c>
      <c r="T318" s="1" t="s">
        <v>947</v>
      </c>
      <c r="U318" s="1" t="s">
        <v>7</v>
      </c>
      <c r="V318" s="1" t="s">
        <v>948</v>
      </c>
      <c r="W318" s="1"/>
    </row>
    <row r="319" spans="1:23" x14ac:dyDescent="0.2">
      <c r="A319" s="88" t="s">
        <v>15797</v>
      </c>
      <c r="B319" s="1" t="e">
        <v>#N/A</v>
      </c>
      <c r="C319" s="1" t="s">
        <v>14043</v>
      </c>
      <c r="D319" s="1" t="s">
        <v>949</v>
      </c>
      <c r="E319" s="1" t="s">
        <v>950</v>
      </c>
      <c r="F319" s="1" t="s">
        <v>9317</v>
      </c>
      <c r="G319" s="1" t="s">
        <v>8957</v>
      </c>
      <c r="H319" t="s">
        <v>8959</v>
      </c>
      <c r="I319" s="1" t="s">
        <v>9605</v>
      </c>
      <c r="J319" s="1" t="s">
        <v>9101</v>
      </c>
      <c r="K319" s="1" t="s">
        <v>9679</v>
      </c>
      <c r="L319" s="1" t="s">
        <v>9292</v>
      </c>
      <c r="M319" s="1">
        <v>78</v>
      </c>
      <c r="N319" s="1" t="s">
        <v>8953</v>
      </c>
      <c r="O319" s="1" t="s">
        <v>8989</v>
      </c>
      <c r="P319" s="1" t="s">
        <v>8955</v>
      </c>
      <c r="Q319" s="1" t="s">
        <v>8956</v>
      </c>
      <c r="R319" s="1" t="s">
        <v>8957</v>
      </c>
      <c r="S319" s="1" t="s">
        <v>8975</v>
      </c>
      <c r="T319" s="1" t="s">
        <v>951</v>
      </c>
      <c r="U319" s="1" t="s">
        <v>4</v>
      </c>
      <c r="V319" s="1" t="s">
        <v>700</v>
      </c>
      <c r="W319" s="1"/>
    </row>
    <row r="320" spans="1:23" x14ac:dyDescent="0.2">
      <c r="A320" s="88" t="s">
        <v>15798</v>
      </c>
      <c r="B320" s="1" t="e">
        <v>#N/A</v>
      </c>
      <c r="C320" s="1" t="e">
        <v>#N/A</v>
      </c>
      <c r="D320" s="1" t="s">
        <v>952</v>
      </c>
      <c r="E320" s="1" t="s">
        <v>953</v>
      </c>
      <c r="F320" s="1" t="s">
        <v>9213</v>
      </c>
      <c r="G320" s="1" t="s">
        <v>8957</v>
      </c>
      <c r="H320" t="s">
        <v>8959</v>
      </c>
      <c r="I320" s="1" t="s">
        <v>9092</v>
      </c>
      <c r="J320" s="1" t="s">
        <v>9308</v>
      </c>
      <c r="K320" s="1" t="s">
        <v>20753</v>
      </c>
      <c r="L320" s="1" t="s">
        <v>8987</v>
      </c>
      <c r="M320" s="1">
        <f>693+682</f>
        <v>1375</v>
      </c>
      <c r="N320" s="1" t="s">
        <v>8953</v>
      </c>
      <c r="O320" s="1" t="s">
        <v>8989</v>
      </c>
      <c r="P320" s="1" t="e">
        <v>#N/A</v>
      </c>
      <c r="Q320" s="1" t="e">
        <v>#N/A</v>
      </c>
      <c r="R320" s="1">
        <f t="shared" ref="R320:R325" si="96">1+LEN(T320)-LEN(SUBSTITUTE(T320,",",))</f>
        <v>3</v>
      </c>
      <c r="S320" s="1" t="str">
        <f t="shared" ref="S320:S325" si="97">IF(R320&gt;4,IF(R320&lt;8,"4-7",IF(R320&gt;7,"&gt;7")),"&lt;4")</f>
        <v>&lt;4</v>
      </c>
      <c r="T320" s="1" t="s">
        <v>18682</v>
      </c>
      <c r="U320" s="1" t="s">
        <v>17</v>
      </c>
      <c r="V320" s="1" t="s">
        <v>8</v>
      </c>
      <c r="W320" s="1"/>
    </row>
    <row r="321" spans="1:23" x14ac:dyDescent="0.2">
      <c r="A321" s="88" t="s">
        <v>15799</v>
      </c>
      <c r="B321" s="1" t="e">
        <v>#N/A</v>
      </c>
      <c r="C321" s="1" t="e">
        <v>#N/A</v>
      </c>
      <c r="D321" s="1" t="s">
        <v>954</v>
      </c>
      <c r="E321" s="1" t="s">
        <v>955</v>
      </c>
      <c r="F321" s="1" t="s">
        <v>9246</v>
      </c>
      <c r="G321" s="1" t="s">
        <v>8959</v>
      </c>
      <c r="H321" t="s">
        <v>8959</v>
      </c>
      <c r="I321" s="1" t="s">
        <v>9075</v>
      </c>
      <c r="J321" s="1" t="s">
        <v>9422</v>
      </c>
      <c r="K321" s="1" t="s">
        <v>18491</v>
      </c>
      <c r="L321" s="1" t="s">
        <v>9133</v>
      </c>
      <c r="M321" s="1">
        <f>5759+886</f>
        <v>6645</v>
      </c>
      <c r="N321" s="1" t="s">
        <v>8953</v>
      </c>
      <c r="O321" s="1" t="s">
        <v>8954</v>
      </c>
      <c r="P321" s="1" t="e">
        <v>#N/A</v>
      </c>
      <c r="Q321" s="1" t="e">
        <v>#N/A</v>
      </c>
      <c r="R321" s="1">
        <f t="shared" si="96"/>
        <v>9</v>
      </c>
      <c r="S321" s="1" t="str">
        <f t="shared" si="97"/>
        <v>&gt;7</v>
      </c>
      <c r="T321" s="1" t="s">
        <v>18683</v>
      </c>
      <c r="U321" s="1" t="s">
        <v>7</v>
      </c>
      <c r="V321" s="1" t="s">
        <v>956</v>
      </c>
      <c r="W321" s="1"/>
    </row>
    <row r="322" spans="1:23" x14ac:dyDescent="0.2">
      <c r="A322" s="89" t="s">
        <v>957</v>
      </c>
      <c r="B322" s="1" t="e">
        <v>#N/A</v>
      </c>
      <c r="C322" s="1" t="e">
        <v>#N/A</v>
      </c>
      <c r="D322" s="1" t="s">
        <v>958</v>
      </c>
      <c r="E322" s="1" t="s">
        <v>959</v>
      </c>
      <c r="F322" s="1" t="e">
        <v>#N/A</v>
      </c>
      <c r="G322" s="1" t="e">
        <v>#N/A</v>
      </c>
      <c r="H322" t="e">
        <v>#N/A</v>
      </c>
      <c r="I322" s="1" t="e">
        <v>#N/A</v>
      </c>
      <c r="J322" s="1" t="e">
        <v>#N/A</v>
      </c>
      <c r="K322" s="1" t="e">
        <v>#N/A</v>
      </c>
      <c r="L322" s="1" t="e">
        <v>#N/A</v>
      </c>
      <c r="M322" s="1" t="e">
        <v>#N/A</v>
      </c>
      <c r="N322" s="1" t="e">
        <v>#N/A</v>
      </c>
      <c r="O322" s="1" t="e">
        <v>#N/A</v>
      </c>
      <c r="P322" s="1" t="e">
        <v>#N/A</v>
      </c>
      <c r="Q322" s="1" t="e">
        <v>#N/A</v>
      </c>
      <c r="R322" s="1">
        <f t="shared" si="96"/>
        <v>4</v>
      </c>
      <c r="S322" s="1" t="str">
        <f t="shared" si="97"/>
        <v>&lt;4</v>
      </c>
      <c r="T322" s="1" t="s">
        <v>18684</v>
      </c>
      <c r="U322" s="1" t="s">
        <v>11</v>
      </c>
      <c r="V322" s="1" t="s">
        <v>87</v>
      </c>
      <c r="W322" s="1"/>
    </row>
    <row r="323" spans="1:23" x14ac:dyDescent="0.2">
      <c r="A323" s="92" t="s">
        <v>15800</v>
      </c>
      <c r="B323" s="1" t="e">
        <v>#N/A</v>
      </c>
      <c r="C323" s="1" t="e">
        <v>#N/A</v>
      </c>
      <c r="D323" s="1" t="s">
        <v>960</v>
      </c>
      <c r="E323" s="1" t="s">
        <v>961</v>
      </c>
      <c r="F323" s="1" t="e">
        <v>#N/A</v>
      </c>
      <c r="G323" s="1" t="e">
        <v>#N/A</v>
      </c>
      <c r="H323" t="e">
        <v>#N/A</v>
      </c>
      <c r="I323" s="1" t="e">
        <v>#N/A</v>
      </c>
      <c r="J323" s="1" t="e">
        <v>#N/A</v>
      </c>
      <c r="K323" s="1" t="e">
        <v>#N/A</v>
      </c>
      <c r="L323" s="1" t="e">
        <v>#N/A</v>
      </c>
      <c r="M323" s="1" t="e">
        <v>#N/A</v>
      </c>
      <c r="N323" s="1" t="e">
        <v>#N/A</v>
      </c>
      <c r="O323" s="1" t="e">
        <v>#N/A</v>
      </c>
      <c r="P323" s="1" t="e">
        <v>#N/A</v>
      </c>
      <c r="Q323" s="1" t="e">
        <v>#N/A</v>
      </c>
      <c r="R323" s="1">
        <f t="shared" si="96"/>
        <v>5</v>
      </c>
      <c r="S323" s="1" t="str">
        <f t="shared" si="97"/>
        <v>4-7</v>
      </c>
      <c r="T323" s="1" t="s">
        <v>18685</v>
      </c>
      <c r="U323" s="1" t="s">
        <v>7</v>
      </c>
      <c r="V323" s="1" t="s">
        <v>962</v>
      </c>
      <c r="W323" s="1"/>
    </row>
    <row r="324" spans="1:23" x14ac:dyDescent="0.2">
      <c r="A324" s="88" t="s">
        <v>15801</v>
      </c>
      <c r="B324" s="1" t="e">
        <v>#N/A</v>
      </c>
      <c r="C324" s="1" t="e">
        <v>#N/A</v>
      </c>
      <c r="D324" s="1" t="s">
        <v>963</v>
      </c>
      <c r="E324" s="1" t="s">
        <v>964</v>
      </c>
      <c r="F324" s="1" t="s">
        <v>9650</v>
      </c>
      <c r="G324" s="1" t="s">
        <v>8959</v>
      </c>
      <c r="H324" t="s">
        <v>8959</v>
      </c>
      <c r="I324" s="1" t="s">
        <v>9075</v>
      </c>
      <c r="J324" s="1" t="s">
        <v>8971</v>
      </c>
      <c r="K324" s="1" t="s">
        <v>20754</v>
      </c>
      <c r="L324" s="1" t="s">
        <v>8987</v>
      </c>
      <c r="M324" s="1">
        <v>12400</v>
      </c>
      <c r="N324" s="1" t="s">
        <v>8953</v>
      </c>
      <c r="O324" s="1" t="s">
        <v>8954</v>
      </c>
      <c r="P324" s="1" t="e">
        <v>#N/A</v>
      </c>
      <c r="Q324" s="1" t="e">
        <v>#N/A</v>
      </c>
      <c r="R324" s="1">
        <f t="shared" si="96"/>
        <v>7</v>
      </c>
      <c r="S324" s="1" t="str">
        <f t="shared" si="97"/>
        <v>4-7</v>
      </c>
      <c r="T324" s="1" t="s">
        <v>18686</v>
      </c>
      <c r="U324" s="1" t="s">
        <v>7</v>
      </c>
      <c r="V324" s="1" t="s">
        <v>24</v>
      </c>
      <c r="W324" s="1"/>
    </row>
    <row r="325" spans="1:23" x14ac:dyDescent="0.2">
      <c r="A325" s="88" t="s">
        <v>15802</v>
      </c>
      <c r="B325" s="1" t="e">
        <v>#N/A</v>
      </c>
      <c r="C325" s="1" t="e">
        <v>#N/A</v>
      </c>
      <c r="D325" s="1" t="s">
        <v>965</v>
      </c>
      <c r="E325" s="1" t="s">
        <v>966</v>
      </c>
      <c r="F325" s="1" t="s">
        <v>9650</v>
      </c>
      <c r="G325" s="1" t="s">
        <v>8959</v>
      </c>
      <c r="H325" t="s">
        <v>8959</v>
      </c>
      <c r="I325" s="1" t="s">
        <v>9035</v>
      </c>
      <c r="J325" s="1" t="s">
        <v>8971</v>
      </c>
      <c r="K325" s="1" t="s">
        <v>20755</v>
      </c>
      <c r="L325" s="1" t="s">
        <v>8987</v>
      </c>
      <c r="M325" s="1">
        <v>790</v>
      </c>
      <c r="N325" s="1" t="s">
        <v>8953</v>
      </c>
      <c r="O325" s="1" t="s">
        <v>8954</v>
      </c>
      <c r="P325" s="1" t="e">
        <v>#N/A</v>
      </c>
      <c r="Q325" s="1" t="e">
        <v>#N/A</v>
      </c>
      <c r="R325" s="1">
        <f t="shared" si="96"/>
        <v>5</v>
      </c>
      <c r="S325" s="1" t="str">
        <f t="shared" si="97"/>
        <v>4-7</v>
      </c>
      <c r="T325" s="1" t="s">
        <v>18687</v>
      </c>
      <c r="U325" s="1" t="s">
        <v>17</v>
      </c>
      <c r="V325" s="1" t="s">
        <v>24</v>
      </c>
      <c r="W325" s="1"/>
    </row>
    <row r="326" spans="1:23" x14ac:dyDescent="0.2">
      <c r="A326" s="88" t="s">
        <v>15803</v>
      </c>
      <c r="B326" s="1" t="e">
        <v>#N/A</v>
      </c>
      <c r="C326" s="1" t="s">
        <v>13610</v>
      </c>
      <c r="D326" s="1" t="s">
        <v>967</v>
      </c>
      <c r="E326" s="1" t="s">
        <v>968</v>
      </c>
      <c r="F326" s="1" t="s">
        <v>9010</v>
      </c>
      <c r="G326" s="1" t="s">
        <v>9060</v>
      </c>
      <c r="H326" t="s">
        <v>8959</v>
      </c>
      <c r="I326" s="1" t="s">
        <v>9092</v>
      </c>
      <c r="J326" s="1" t="s">
        <v>8971</v>
      </c>
      <c r="K326" s="1" t="s">
        <v>9036</v>
      </c>
      <c r="L326" s="1" t="s">
        <v>8987</v>
      </c>
      <c r="M326" s="1">
        <v>80</v>
      </c>
      <c r="N326" s="1" t="s">
        <v>9059</v>
      </c>
      <c r="O326" s="1" t="s">
        <v>8989</v>
      </c>
      <c r="P326" s="1" t="s">
        <v>8955</v>
      </c>
      <c r="Q326" s="1" t="s">
        <v>8956</v>
      </c>
      <c r="R326" s="1" t="s">
        <v>9060</v>
      </c>
      <c r="S326" s="1" t="s">
        <v>8958</v>
      </c>
      <c r="T326" s="1" t="s">
        <v>969</v>
      </c>
      <c r="U326" s="1" t="s">
        <v>4</v>
      </c>
      <c r="V326" s="1" t="s">
        <v>110</v>
      </c>
      <c r="W326" s="1"/>
    </row>
    <row r="327" spans="1:23" x14ac:dyDescent="0.2">
      <c r="A327" s="88" t="s">
        <v>15804</v>
      </c>
      <c r="B327" s="1" t="e">
        <v>#N/A</v>
      </c>
      <c r="C327" s="1" t="e">
        <v>#N/A</v>
      </c>
      <c r="D327" s="1" t="s">
        <v>970</v>
      </c>
      <c r="E327" s="1" t="s">
        <v>971</v>
      </c>
      <c r="F327" s="1" t="s">
        <v>18502</v>
      </c>
      <c r="G327" s="1" t="s">
        <v>8974</v>
      </c>
      <c r="H327" t="s">
        <v>8959</v>
      </c>
      <c r="I327" s="1" t="s">
        <v>9092</v>
      </c>
      <c r="J327" s="1" t="s">
        <v>8971</v>
      </c>
      <c r="K327" s="1" t="s">
        <v>10525</v>
      </c>
      <c r="L327" s="1" t="s">
        <v>8951</v>
      </c>
      <c r="M327" s="1">
        <v>3586</v>
      </c>
      <c r="N327" s="1" t="s">
        <v>8953</v>
      </c>
      <c r="O327" s="1" t="s">
        <v>8989</v>
      </c>
      <c r="P327" s="1" t="e">
        <v>#N/A</v>
      </c>
      <c r="Q327" s="1" t="e">
        <v>#N/A</v>
      </c>
      <c r="R327" s="1">
        <f>1+LEN(T327)-LEN(SUBSTITUTE(T327,",",))</f>
        <v>5</v>
      </c>
      <c r="S327" s="1" t="str">
        <f>IF(R327&gt;4,IF(R327&lt;8,"4-7",IF(R327&gt;7,"&gt;7")),"&lt;4")</f>
        <v>4-7</v>
      </c>
      <c r="T327" s="1" t="s">
        <v>18688</v>
      </c>
      <c r="U327" s="1" t="s">
        <v>17</v>
      </c>
      <c r="V327" s="1" t="s">
        <v>74</v>
      </c>
      <c r="W327" s="1"/>
    </row>
    <row r="328" spans="1:23" x14ac:dyDescent="0.2">
      <c r="A328" s="88" t="s">
        <v>15805</v>
      </c>
      <c r="B328" s="1" t="e">
        <v>#N/A</v>
      </c>
      <c r="C328" s="1" t="s">
        <v>14107</v>
      </c>
      <c r="D328" s="1" t="s">
        <v>972</v>
      </c>
      <c r="E328" s="1" t="s">
        <v>973</v>
      </c>
      <c r="F328" s="1" t="s">
        <v>9010</v>
      </c>
      <c r="G328" s="1" t="s">
        <v>8957</v>
      </c>
      <c r="H328" t="s">
        <v>8959</v>
      </c>
      <c r="I328" s="1" t="s">
        <v>9049</v>
      </c>
      <c r="J328" s="1" t="s">
        <v>9050</v>
      </c>
      <c r="K328" s="1" t="s">
        <v>10613</v>
      </c>
      <c r="L328" s="1" t="s">
        <v>8987</v>
      </c>
      <c r="M328" s="1">
        <v>5664</v>
      </c>
      <c r="N328" s="1" t="s">
        <v>8953</v>
      </c>
      <c r="O328" s="1" t="s">
        <v>8989</v>
      </c>
      <c r="P328" s="1" t="s">
        <v>8955</v>
      </c>
      <c r="Q328" s="1" t="s">
        <v>8956</v>
      </c>
      <c r="R328" s="1" t="s">
        <v>8957</v>
      </c>
      <c r="S328" s="1" t="s">
        <v>8958</v>
      </c>
      <c r="T328" s="1" t="s">
        <v>974</v>
      </c>
      <c r="U328" s="1" t="s">
        <v>4</v>
      </c>
      <c r="V328" s="1" t="s">
        <v>74</v>
      </c>
      <c r="W328" s="1"/>
    </row>
    <row r="329" spans="1:23" x14ac:dyDescent="0.2">
      <c r="A329" s="88" t="s">
        <v>15806</v>
      </c>
      <c r="B329" s="1" t="e">
        <v>#N/A</v>
      </c>
      <c r="C329" s="1" t="e">
        <v>#N/A</v>
      </c>
      <c r="D329" s="1" t="s">
        <v>975</v>
      </c>
      <c r="E329" s="1" t="s">
        <v>976</v>
      </c>
      <c r="F329" s="1" t="s">
        <v>18502</v>
      </c>
      <c r="G329" s="1" t="s">
        <v>8957</v>
      </c>
      <c r="H329" t="s">
        <v>9061</v>
      </c>
      <c r="I329" s="1" t="s">
        <v>8984</v>
      </c>
      <c r="J329" s="1" t="s">
        <v>8998</v>
      </c>
      <c r="K329" s="1" t="s">
        <v>10492</v>
      </c>
      <c r="L329" s="1" t="s">
        <v>8973</v>
      </c>
      <c r="M329" s="1">
        <v>102</v>
      </c>
      <c r="N329" s="1" t="s">
        <v>9059</v>
      </c>
      <c r="O329" s="1" t="s">
        <v>8989</v>
      </c>
      <c r="P329" s="1" t="e">
        <v>#N/A</v>
      </c>
      <c r="Q329" s="1" t="e">
        <v>#N/A</v>
      </c>
      <c r="R329" s="1">
        <f t="shared" ref="R329:R333" si="98">1+LEN(T329)-LEN(SUBSTITUTE(T329,",",))</f>
        <v>5</v>
      </c>
      <c r="S329" s="1" t="str">
        <f t="shared" ref="S329:S333" si="99">IF(R329&gt;4,IF(R329&lt;8,"4-7",IF(R329&gt;7,"&gt;7")),"&lt;4")</f>
        <v>4-7</v>
      </c>
      <c r="T329" s="1" t="s">
        <v>18689</v>
      </c>
      <c r="U329" s="1" t="s">
        <v>7</v>
      </c>
      <c r="V329" s="1" t="s">
        <v>562</v>
      </c>
      <c r="W329" s="1"/>
    </row>
    <row r="330" spans="1:23" x14ac:dyDescent="0.2">
      <c r="A330" s="89" t="s">
        <v>977</v>
      </c>
      <c r="B330" s="1" t="e">
        <v>#N/A</v>
      </c>
      <c r="C330" s="1" t="e">
        <v>#N/A</v>
      </c>
      <c r="D330" s="1" t="s">
        <v>978</v>
      </c>
      <c r="E330" s="1" t="s">
        <v>979</v>
      </c>
      <c r="F330" s="1" t="e">
        <v>#N/A</v>
      </c>
      <c r="G330" s="1" t="e">
        <v>#N/A</v>
      </c>
      <c r="H330" t="e">
        <v>#N/A</v>
      </c>
      <c r="I330" s="1" t="e">
        <v>#N/A</v>
      </c>
      <c r="J330" s="1" t="e">
        <v>#N/A</v>
      </c>
      <c r="K330" s="1" t="e">
        <v>#N/A</v>
      </c>
      <c r="L330" s="1" t="e">
        <v>#N/A</v>
      </c>
      <c r="M330" s="1" t="e">
        <v>#N/A</v>
      </c>
      <c r="N330" s="1" t="e">
        <v>#N/A</v>
      </c>
      <c r="O330" s="1" t="e">
        <v>#N/A</v>
      </c>
      <c r="P330" s="1" t="e">
        <v>#N/A</v>
      </c>
      <c r="Q330" s="1" t="e">
        <v>#N/A</v>
      </c>
      <c r="R330" s="1">
        <f t="shared" si="98"/>
        <v>3</v>
      </c>
      <c r="S330" s="1" t="str">
        <f t="shared" si="99"/>
        <v>&lt;4</v>
      </c>
      <c r="T330" s="1" t="s">
        <v>18690</v>
      </c>
      <c r="U330" s="1" t="s">
        <v>7</v>
      </c>
      <c r="V330" s="1" t="s">
        <v>980</v>
      </c>
      <c r="W330" s="1"/>
    </row>
    <row r="331" spans="1:23" x14ac:dyDescent="0.2">
      <c r="A331" s="89" t="s">
        <v>981</v>
      </c>
      <c r="B331" s="1" t="e">
        <v>#N/A</v>
      </c>
      <c r="C331" s="1" t="e">
        <v>#N/A</v>
      </c>
      <c r="D331" s="1" t="s">
        <v>982</v>
      </c>
      <c r="E331" s="1" t="s">
        <v>983</v>
      </c>
      <c r="F331" s="1" t="e">
        <v>#N/A</v>
      </c>
      <c r="G331" s="1" t="e">
        <v>#N/A</v>
      </c>
      <c r="H331" t="e">
        <v>#N/A</v>
      </c>
      <c r="I331" s="1" t="e">
        <v>#N/A</v>
      </c>
      <c r="J331" s="1" t="e">
        <v>#N/A</v>
      </c>
      <c r="K331" s="1" t="e">
        <v>#N/A</v>
      </c>
      <c r="L331" s="1" t="e">
        <v>#N/A</v>
      </c>
      <c r="M331" s="1" t="e">
        <v>#N/A</v>
      </c>
      <c r="N331" s="1" t="e">
        <v>#N/A</v>
      </c>
      <c r="O331" s="1" t="e">
        <v>#N/A</v>
      </c>
      <c r="P331" s="1" t="e">
        <v>#N/A</v>
      </c>
      <c r="Q331" s="1" t="e">
        <v>#N/A</v>
      </c>
      <c r="R331" s="1">
        <f t="shared" si="98"/>
        <v>8</v>
      </c>
      <c r="S331" s="1" t="str">
        <f t="shared" si="99"/>
        <v>&gt;7</v>
      </c>
      <c r="T331" s="1" t="s">
        <v>18691</v>
      </c>
      <c r="U331" s="1" t="s">
        <v>11</v>
      </c>
      <c r="V331" s="1" t="s">
        <v>670</v>
      </c>
      <c r="W331" s="1"/>
    </row>
    <row r="332" spans="1:23" x14ac:dyDescent="0.2">
      <c r="A332" s="88" t="s">
        <v>15807</v>
      </c>
      <c r="B332" s="1" t="e">
        <v>#N/A</v>
      </c>
      <c r="C332" s="1" t="e">
        <v>#N/A</v>
      </c>
      <c r="D332" s="1" t="s">
        <v>984</v>
      </c>
      <c r="E332" s="1" t="s">
        <v>985</v>
      </c>
      <c r="F332" s="1" t="s">
        <v>10049</v>
      </c>
      <c r="G332" s="1" t="s">
        <v>8957</v>
      </c>
      <c r="H332" t="s">
        <v>8959</v>
      </c>
      <c r="I332" s="1" t="s">
        <v>9154</v>
      </c>
      <c r="J332" s="1" t="s">
        <v>9308</v>
      </c>
      <c r="K332" s="1" t="s">
        <v>20719</v>
      </c>
      <c r="L332" s="1" t="s">
        <v>8951</v>
      </c>
      <c r="M332" s="1">
        <v>1465</v>
      </c>
      <c r="N332" s="1" t="s">
        <v>8953</v>
      </c>
      <c r="O332" s="1" t="s">
        <v>8989</v>
      </c>
      <c r="P332" s="1" t="e">
        <v>#N/A</v>
      </c>
      <c r="Q332" s="1" t="e">
        <v>#N/A</v>
      </c>
      <c r="R332" s="1">
        <f t="shared" si="98"/>
        <v>4</v>
      </c>
      <c r="S332" s="1" t="str">
        <f t="shared" si="99"/>
        <v>&lt;4</v>
      </c>
      <c r="T332" s="1" t="s">
        <v>18692</v>
      </c>
      <c r="U332" s="1" t="s">
        <v>7</v>
      </c>
      <c r="V332" s="1" t="s">
        <v>986</v>
      </c>
      <c r="W332" s="1"/>
    </row>
    <row r="333" spans="1:23" x14ac:dyDescent="0.2">
      <c r="A333" s="88" t="s">
        <v>15808</v>
      </c>
      <c r="B333" s="1" t="e">
        <v>#N/A</v>
      </c>
      <c r="C333" s="1" t="e">
        <v>#N/A</v>
      </c>
      <c r="D333" s="1" t="s">
        <v>987</v>
      </c>
      <c r="E333" s="1" t="s">
        <v>988</v>
      </c>
      <c r="F333" s="1" t="s">
        <v>9815</v>
      </c>
      <c r="G333" s="1" t="s">
        <v>8957</v>
      </c>
      <c r="H333" t="s">
        <v>8959</v>
      </c>
      <c r="I333" s="1" t="s">
        <v>9075</v>
      </c>
      <c r="J333" s="1" t="s">
        <v>9101</v>
      </c>
      <c r="K333" s="77" t="s">
        <v>20738</v>
      </c>
      <c r="L333" s="1" t="s">
        <v>8987</v>
      </c>
      <c r="M333" s="1">
        <v>10163</v>
      </c>
      <c r="N333" s="1" t="s">
        <v>8953</v>
      </c>
      <c r="O333" s="1" t="s">
        <v>8989</v>
      </c>
      <c r="P333" s="1" t="e">
        <v>#N/A</v>
      </c>
      <c r="Q333" s="1" t="e">
        <v>#N/A</v>
      </c>
      <c r="R333" s="1">
        <f t="shared" si="98"/>
        <v>11</v>
      </c>
      <c r="S333" s="1" t="str">
        <f t="shared" si="99"/>
        <v>&gt;7</v>
      </c>
      <c r="T333" s="1" t="s">
        <v>18693</v>
      </c>
      <c r="U333" s="1" t="s">
        <v>7</v>
      </c>
      <c r="V333" s="1" t="s">
        <v>24</v>
      </c>
      <c r="W333" s="1"/>
    </row>
    <row r="334" spans="1:23" x14ac:dyDescent="0.2">
      <c r="A334" s="88" t="s">
        <v>15809</v>
      </c>
      <c r="B334" s="1" t="e">
        <v>#N/A</v>
      </c>
      <c r="C334" s="1" t="s">
        <v>12905</v>
      </c>
      <c r="D334" s="1" t="s">
        <v>989</v>
      </c>
      <c r="E334" s="1" t="s">
        <v>990</v>
      </c>
      <c r="F334" s="1" t="s">
        <v>12908</v>
      </c>
      <c r="G334" s="1" t="s">
        <v>8957</v>
      </c>
      <c r="H334" t="s">
        <v>9009</v>
      </c>
      <c r="I334" s="1" t="s">
        <v>8984</v>
      </c>
      <c r="J334" s="1" t="s">
        <v>9422</v>
      </c>
      <c r="K334" s="1" t="s">
        <v>9018</v>
      </c>
      <c r="L334" s="1" t="s">
        <v>9464</v>
      </c>
      <c r="M334" s="1">
        <v>420</v>
      </c>
      <c r="N334" s="1" t="s">
        <v>9059</v>
      </c>
      <c r="O334" s="1" t="s">
        <v>8989</v>
      </c>
      <c r="P334" s="1" t="s">
        <v>8955</v>
      </c>
      <c r="Q334" s="1" t="s">
        <v>8956</v>
      </c>
      <c r="R334" s="1" t="s">
        <v>8957</v>
      </c>
      <c r="S334" s="1" t="s">
        <v>8975</v>
      </c>
      <c r="T334" s="1" t="s">
        <v>991</v>
      </c>
      <c r="U334" s="1" t="s">
        <v>11</v>
      </c>
      <c r="V334" s="1" t="s">
        <v>24</v>
      </c>
      <c r="W334" s="1"/>
    </row>
    <row r="335" spans="1:23" x14ac:dyDescent="0.2">
      <c r="A335" s="88" t="s">
        <v>15810</v>
      </c>
      <c r="B335" s="1" t="e">
        <v>#N/A</v>
      </c>
      <c r="C335" s="1" t="s">
        <v>10553</v>
      </c>
      <c r="D335" s="1" t="s">
        <v>992</v>
      </c>
      <c r="E335" s="1" t="s">
        <v>993</v>
      </c>
      <c r="F335" s="1" t="s">
        <v>9010</v>
      </c>
      <c r="G335" s="1" t="s">
        <v>8957</v>
      </c>
      <c r="H335" t="s">
        <v>9061</v>
      </c>
      <c r="I335" s="1" t="s">
        <v>9252</v>
      </c>
      <c r="J335" s="1" t="s">
        <v>8971</v>
      </c>
      <c r="K335" s="1" t="s">
        <v>9018</v>
      </c>
      <c r="L335" s="1" t="s">
        <v>8987</v>
      </c>
      <c r="M335" s="1">
        <v>1145</v>
      </c>
      <c r="N335" s="1" t="s">
        <v>8953</v>
      </c>
      <c r="O335" s="1" t="s">
        <v>8954</v>
      </c>
      <c r="P335" s="1" t="s">
        <v>8955</v>
      </c>
      <c r="Q335" s="1" t="s">
        <v>8956</v>
      </c>
      <c r="R335" s="1" t="s">
        <v>8957</v>
      </c>
      <c r="S335" s="1" t="s">
        <v>8958</v>
      </c>
      <c r="T335" s="1" t="s">
        <v>994</v>
      </c>
      <c r="U335" s="1" t="s">
        <v>17</v>
      </c>
      <c r="V335" s="1" t="s">
        <v>93</v>
      </c>
      <c r="W335" s="1"/>
    </row>
    <row r="336" spans="1:23" x14ac:dyDescent="0.2">
      <c r="A336" s="88" t="s">
        <v>15811</v>
      </c>
      <c r="B336" s="1" t="e">
        <v>#N/A</v>
      </c>
      <c r="C336" s="1" t="s">
        <v>11739</v>
      </c>
      <c r="D336" s="1" t="s">
        <v>995</v>
      </c>
      <c r="E336" s="1" t="s">
        <v>996</v>
      </c>
      <c r="F336" s="1" t="s">
        <v>10687</v>
      </c>
      <c r="G336" s="1" t="s">
        <v>8959</v>
      </c>
      <c r="H336" t="s">
        <v>9183</v>
      </c>
      <c r="I336" s="1" t="s">
        <v>8984</v>
      </c>
      <c r="J336" s="1" t="s">
        <v>8971</v>
      </c>
      <c r="K336" s="1" t="s">
        <v>9374</v>
      </c>
      <c r="L336" s="1" t="s">
        <v>9133</v>
      </c>
      <c r="M336" s="1">
        <v>550</v>
      </c>
      <c r="N336" s="1" t="s">
        <v>8953</v>
      </c>
      <c r="O336" s="1" t="s">
        <v>8989</v>
      </c>
      <c r="P336" s="1" t="s">
        <v>8955</v>
      </c>
      <c r="Q336" s="1" t="s">
        <v>8956</v>
      </c>
      <c r="R336" s="1" t="s">
        <v>8959</v>
      </c>
      <c r="S336" s="1" t="s">
        <v>8975</v>
      </c>
      <c r="T336" s="1" t="s">
        <v>997</v>
      </c>
      <c r="U336" s="1" t="s">
        <v>11</v>
      </c>
      <c r="V336" s="1" t="s">
        <v>64</v>
      </c>
      <c r="W336" s="1"/>
    </row>
    <row r="337" spans="1:23" x14ac:dyDescent="0.2">
      <c r="A337" s="88" t="s">
        <v>15812</v>
      </c>
      <c r="B337" s="1" t="e">
        <v>#N/A</v>
      </c>
      <c r="C337" s="1" t="s">
        <v>13387</v>
      </c>
      <c r="D337" s="1" t="s">
        <v>998</v>
      </c>
      <c r="E337" s="1" t="s">
        <v>999</v>
      </c>
      <c r="F337" s="1" t="s">
        <v>9380</v>
      </c>
      <c r="G337" s="1" t="s">
        <v>8974</v>
      </c>
      <c r="H337" t="s">
        <v>9009</v>
      </c>
      <c r="I337" s="1" t="s">
        <v>8984</v>
      </c>
      <c r="J337" s="1" t="s">
        <v>9131</v>
      </c>
      <c r="K337" s="1" t="s">
        <v>9036</v>
      </c>
      <c r="L337" s="1" t="s">
        <v>9157</v>
      </c>
      <c r="M337" s="1">
        <v>125</v>
      </c>
      <c r="N337" s="1" t="s">
        <v>8953</v>
      </c>
      <c r="O337" s="1" t="s">
        <v>8989</v>
      </c>
      <c r="P337" s="1" t="s">
        <v>8955</v>
      </c>
      <c r="Q337" s="1" t="s">
        <v>8956</v>
      </c>
      <c r="R337" s="1" t="s">
        <v>8974</v>
      </c>
      <c r="S337" s="1" t="s">
        <v>8975</v>
      </c>
      <c r="T337" s="1" t="s">
        <v>1000</v>
      </c>
      <c r="U337" s="1" t="s">
        <v>17</v>
      </c>
      <c r="V337" s="1" t="s">
        <v>1001</v>
      </c>
      <c r="W337" s="1"/>
    </row>
    <row r="338" spans="1:23" x14ac:dyDescent="0.2">
      <c r="A338" s="88" t="s">
        <v>15813</v>
      </c>
      <c r="B338" s="1" t="e">
        <v>#N/A</v>
      </c>
      <c r="C338" s="1" t="e">
        <v>#N/A</v>
      </c>
      <c r="D338" s="1" t="s">
        <v>1002</v>
      </c>
      <c r="E338" s="1" t="s">
        <v>1003</v>
      </c>
      <c r="F338" s="1" t="s">
        <v>10850</v>
      </c>
      <c r="G338" s="1" t="s">
        <v>8959</v>
      </c>
      <c r="H338" t="s">
        <v>9061</v>
      </c>
      <c r="I338" s="1" t="s">
        <v>20714</v>
      </c>
      <c r="J338" s="1" t="s">
        <v>20725</v>
      </c>
      <c r="K338" s="1" t="s">
        <v>20756</v>
      </c>
      <c r="L338" s="1" t="s">
        <v>8973</v>
      </c>
      <c r="M338" s="1">
        <f>40*256</f>
        <v>10240</v>
      </c>
      <c r="N338" s="1" t="s">
        <v>8953</v>
      </c>
      <c r="O338" s="1" t="s">
        <v>8989</v>
      </c>
      <c r="P338" s="1" t="e">
        <v>#N/A</v>
      </c>
      <c r="Q338" s="1" t="e">
        <v>#N/A</v>
      </c>
      <c r="R338" s="1">
        <f>1+LEN(T338)-LEN(SUBSTITUTE(T338,",",))</f>
        <v>5</v>
      </c>
      <c r="S338" s="1" t="str">
        <f>IF(R338&gt;4,IF(R338&lt;8,"4-7",IF(R338&gt;7,"&gt;7")),"&lt;4")</f>
        <v>4-7</v>
      </c>
      <c r="T338" s="1" t="s">
        <v>18694</v>
      </c>
      <c r="U338" s="1" t="s">
        <v>7</v>
      </c>
      <c r="V338" s="1" t="s">
        <v>46</v>
      </c>
      <c r="W338" s="1"/>
    </row>
    <row r="339" spans="1:23" x14ac:dyDescent="0.2">
      <c r="A339" s="88" t="s">
        <v>15814</v>
      </c>
      <c r="B339" s="1" t="e">
        <v>#N/A</v>
      </c>
      <c r="C339" s="1" t="s">
        <v>12584</v>
      </c>
      <c r="D339" s="1" t="s">
        <v>1004</v>
      </c>
      <c r="E339" s="1" t="s">
        <v>1005</v>
      </c>
      <c r="F339" s="1" t="s">
        <v>9310</v>
      </c>
      <c r="G339" s="1" t="s">
        <v>8957</v>
      </c>
      <c r="H339" t="s">
        <v>8959</v>
      </c>
      <c r="I339" s="1" t="s">
        <v>9100</v>
      </c>
      <c r="J339" s="1" t="s">
        <v>8949</v>
      </c>
      <c r="K339" s="1" t="s">
        <v>10258</v>
      </c>
      <c r="L339" s="1" t="s">
        <v>9464</v>
      </c>
      <c r="M339" s="1">
        <v>800</v>
      </c>
      <c r="N339" s="1" t="s">
        <v>8953</v>
      </c>
      <c r="O339" s="1" t="s">
        <v>8989</v>
      </c>
      <c r="P339" s="1" t="s">
        <v>8955</v>
      </c>
      <c r="Q339" s="1" t="s">
        <v>8956</v>
      </c>
      <c r="R339" s="1" t="s">
        <v>8957</v>
      </c>
      <c r="S339" s="1" t="s">
        <v>8975</v>
      </c>
      <c r="T339" s="1" t="s">
        <v>1006</v>
      </c>
      <c r="U339" s="1" t="s">
        <v>11</v>
      </c>
      <c r="V339" s="1" t="s">
        <v>161</v>
      </c>
      <c r="W339" s="1"/>
    </row>
    <row r="340" spans="1:23" x14ac:dyDescent="0.2">
      <c r="A340" s="88" t="s">
        <v>15815</v>
      </c>
      <c r="B340" s="1" t="e">
        <v>#N/A</v>
      </c>
      <c r="C340" s="1" t="s">
        <v>9992</v>
      </c>
      <c r="D340" s="1" t="s">
        <v>1007</v>
      </c>
      <c r="E340" s="1" t="s">
        <v>1008</v>
      </c>
      <c r="F340" s="1" t="s">
        <v>9310</v>
      </c>
      <c r="G340" s="1" t="s">
        <v>8957</v>
      </c>
      <c r="H340" t="s">
        <v>8959</v>
      </c>
      <c r="I340" s="1" t="s">
        <v>9252</v>
      </c>
      <c r="J340" s="1" t="s">
        <v>9253</v>
      </c>
      <c r="K340" s="1" t="s">
        <v>9036</v>
      </c>
      <c r="L340" s="1" t="s">
        <v>9133</v>
      </c>
      <c r="M340" s="1">
        <v>990</v>
      </c>
      <c r="N340" s="1" t="s">
        <v>8953</v>
      </c>
      <c r="O340" s="1" t="s">
        <v>8954</v>
      </c>
      <c r="P340" s="1" t="s">
        <v>8955</v>
      </c>
      <c r="Q340" s="1" t="s">
        <v>8956</v>
      </c>
      <c r="R340" s="1" t="s">
        <v>8957</v>
      </c>
      <c r="S340" s="1" t="s">
        <v>8975</v>
      </c>
      <c r="T340" s="1" t="s">
        <v>1009</v>
      </c>
      <c r="U340" s="1" t="s">
        <v>17</v>
      </c>
      <c r="V340" s="1" t="s">
        <v>1010</v>
      </c>
      <c r="W340" s="1"/>
    </row>
    <row r="341" spans="1:23" x14ac:dyDescent="0.2">
      <c r="A341" s="89" t="s">
        <v>1011</v>
      </c>
      <c r="B341" s="1" t="e">
        <v>#N/A</v>
      </c>
      <c r="C341" s="1" t="e">
        <v>#N/A</v>
      </c>
      <c r="D341" s="5" t="s">
        <v>1012</v>
      </c>
      <c r="E341" s="1" t="s">
        <v>1013</v>
      </c>
      <c r="F341" s="1" t="e">
        <v>#N/A</v>
      </c>
      <c r="G341" s="1" t="e">
        <v>#N/A</v>
      </c>
      <c r="H341" t="e">
        <v>#N/A</v>
      </c>
      <c r="I341" s="1" t="e">
        <v>#N/A</v>
      </c>
      <c r="J341" s="1" t="e">
        <v>#N/A</v>
      </c>
      <c r="K341" s="1" t="e">
        <v>#N/A</v>
      </c>
      <c r="L341" s="1" t="e">
        <v>#N/A</v>
      </c>
      <c r="M341" s="1" t="e">
        <v>#N/A</v>
      </c>
      <c r="N341" s="1" t="e">
        <v>#N/A</v>
      </c>
      <c r="O341" s="1" t="e">
        <v>#N/A</v>
      </c>
      <c r="P341" s="1" t="e">
        <v>#N/A</v>
      </c>
      <c r="Q341" s="1" t="e">
        <v>#N/A</v>
      </c>
      <c r="R341" s="1">
        <f t="shared" ref="R341:R343" si="100">1+LEN(T341)-LEN(SUBSTITUTE(T341,",",))</f>
        <v>3</v>
      </c>
      <c r="S341" s="1" t="str">
        <f t="shared" ref="S341:S343" si="101">IF(R341&gt;4,IF(R341&lt;8,"4-7",IF(R341&gt;7,"&gt;7")),"&lt;4")</f>
        <v>&lt;4</v>
      </c>
      <c r="T341" s="1" t="s">
        <v>18695</v>
      </c>
      <c r="U341" s="1" t="s">
        <v>7</v>
      </c>
      <c r="V341" s="1" t="s">
        <v>1014</v>
      </c>
      <c r="W341" s="1"/>
    </row>
    <row r="342" spans="1:23" x14ac:dyDescent="0.2">
      <c r="A342" s="88" t="s">
        <v>15816</v>
      </c>
      <c r="B342" s="1" t="e">
        <v>#N/A</v>
      </c>
      <c r="C342" s="1" t="e">
        <v>#N/A</v>
      </c>
      <c r="D342" s="1" t="s">
        <v>1015</v>
      </c>
      <c r="E342" s="1" t="s">
        <v>1016</v>
      </c>
      <c r="F342" s="1" t="s">
        <v>9310</v>
      </c>
      <c r="G342" s="1" t="s">
        <v>8957</v>
      </c>
      <c r="H342" t="s">
        <v>8959</v>
      </c>
      <c r="I342" s="1" t="s">
        <v>9035</v>
      </c>
      <c r="J342" s="1" t="s">
        <v>8998</v>
      </c>
      <c r="K342" s="1" t="s">
        <v>20755</v>
      </c>
      <c r="L342" s="1" t="s">
        <v>8973</v>
      </c>
      <c r="M342" s="1">
        <v>203</v>
      </c>
      <c r="N342" s="1" t="s">
        <v>9059</v>
      </c>
      <c r="O342" s="1" t="s">
        <v>8989</v>
      </c>
      <c r="P342" s="1" t="e">
        <v>#N/A</v>
      </c>
      <c r="Q342" s="1" t="e">
        <v>#N/A</v>
      </c>
      <c r="R342" s="1">
        <f t="shared" si="100"/>
        <v>11</v>
      </c>
      <c r="S342" s="1" t="str">
        <f t="shared" si="101"/>
        <v>&gt;7</v>
      </c>
      <c r="T342" s="1" t="s">
        <v>18696</v>
      </c>
      <c r="U342" s="1" t="s">
        <v>7</v>
      </c>
      <c r="V342" s="1" t="s">
        <v>1017</v>
      </c>
      <c r="W342" s="1"/>
    </row>
    <row r="343" spans="1:23" x14ac:dyDescent="0.2">
      <c r="A343" s="88" t="s">
        <v>15817</v>
      </c>
      <c r="B343" s="1" t="e">
        <v>#N/A</v>
      </c>
      <c r="C343" s="1" t="e">
        <v>#N/A</v>
      </c>
      <c r="D343" s="1" t="s">
        <v>1018</v>
      </c>
      <c r="E343" s="1" t="s">
        <v>1019</v>
      </c>
      <c r="F343" s="1" t="s">
        <v>9310</v>
      </c>
      <c r="G343" s="1" t="s">
        <v>8957</v>
      </c>
      <c r="H343" t="s">
        <v>9009</v>
      </c>
      <c r="I343" s="1" t="s">
        <v>9035</v>
      </c>
      <c r="J343" s="1" t="s">
        <v>9131</v>
      </c>
      <c r="K343" s="1" t="s">
        <v>9036</v>
      </c>
      <c r="L343" s="1" t="s">
        <v>8951</v>
      </c>
      <c r="M343" s="1">
        <v>2428</v>
      </c>
      <c r="N343" s="1" t="s">
        <v>8953</v>
      </c>
      <c r="O343" s="1" t="s">
        <v>8954</v>
      </c>
      <c r="P343" s="1" t="e">
        <v>#N/A</v>
      </c>
      <c r="Q343" s="1" t="e">
        <v>#N/A</v>
      </c>
      <c r="R343" s="1">
        <f t="shared" si="100"/>
        <v>9</v>
      </c>
      <c r="S343" s="1" t="str">
        <f t="shared" si="101"/>
        <v>&gt;7</v>
      </c>
      <c r="T343" s="1" t="s">
        <v>18697</v>
      </c>
      <c r="U343" s="1" t="s">
        <v>17</v>
      </c>
      <c r="V343" s="1" t="s">
        <v>1020</v>
      </c>
      <c r="W343" s="1"/>
    </row>
    <row r="344" spans="1:23" x14ac:dyDescent="0.2">
      <c r="A344" s="88" t="s">
        <v>15818</v>
      </c>
      <c r="B344" s="1" t="e">
        <v>#N/A</v>
      </c>
      <c r="C344" s="1" t="s">
        <v>12378</v>
      </c>
      <c r="D344" s="1" t="s">
        <v>1021</v>
      </c>
      <c r="E344" s="1" t="s">
        <v>1022</v>
      </c>
      <c r="F344" s="1" t="s">
        <v>9010</v>
      </c>
      <c r="G344" s="1" t="s">
        <v>9060</v>
      </c>
      <c r="H344" t="s">
        <v>9183</v>
      </c>
      <c r="I344" s="1" t="s">
        <v>8948</v>
      </c>
      <c r="J344" s="1" t="s">
        <v>8998</v>
      </c>
      <c r="K344" s="1" t="s">
        <v>10613</v>
      </c>
      <c r="L344" s="1" t="s">
        <v>8987</v>
      </c>
      <c r="M344" s="1">
        <v>58</v>
      </c>
      <c r="N344" s="1" t="s">
        <v>9059</v>
      </c>
      <c r="O344" s="1" t="s">
        <v>8989</v>
      </c>
      <c r="P344" s="1" t="s">
        <v>8955</v>
      </c>
      <c r="Q344" s="1" t="s">
        <v>8956</v>
      </c>
      <c r="R344" s="1" t="s">
        <v>9060</v>
      </c>
      <c r="S344" s="1" t="s">
        <v>8958</v>
      </c>
      <c r="T344" s="1" t="s">
        <v>1023</v>
      </c>
      <c r="U344" s="1" t="s">
        <v>11</v>
      </c>
      <c r="V344" s="1" t="s">
        <v>110</v>
      </c>
      <c r="W344" s="1"/>
    </row>
    <row r="345" spans="1:23" x14ac:dyDescent="0.2">
      <c r="A345" s="88" t="s">
        <v>15819</v>
      </c>
      <c r="B345" s="1" t="e">
        <v>#N/A</v>
      </c>
      <c r="C345" s="1" t="e">
        <v>#N/A</v>
      </c>
      <c r="D345" s="1" t="s">
        <v>1024</v>
      </c>
      <c r="E345" s="1" t="s">
        <v>1025</v>
      </c>
      <c r="F345" s="1" t="s">
        <v>18502</v>
      </c>
      <c r="G345" s="1" t="s">
        <v>8957</v>
      </c>
      <c r="H345" t="s">
        <v>8959</v>
      </c>
      <c r="I345" s="1" t="s">
        <v>20712</v>
      </c>
      <c r="J345" s="1" t="s">
        <v>9101</v>
      </c>
      <c r="K345" s="1" t="s">
        <v>20757</v>
      </c>
      <c r="L345" s="1" t="s">
        <v>9292</v>
      </c>
      <c r="M345" s="1">
        <v>3200</v>
      </c>
      <c r="N345" s="1" t="s">
        <v>8953</v>
      </c>
      <c r="O345" s="1" t="s">
        <v>8989</v>
      </c>
      <c r="P345" s="1" t="e">
        <v>#N/A</v>
      </c>
      <c r="Q345" s="1" t="e">
        <v>#N/A</v>
      </c>
      <c r="R345" s="1">
        <f t="shared" ref="R345:R350" si="102">1+LEN(T345)-LEN(SUBSTITUTE(T345,",",))</f>
        <v>13</v>
      </c>
      <c r="S345" s="1" t="str">
        <f t="shared" ref="S345:S350" si="103">IF(R345&gt;4,IF(R345&lt;8,"4-7",IF(R345&gt;7,"&gt;7")),"&lt;4")</f>
        <v>&gt;7</v>
      </c>
      <c r="T345" s="1" t="s">
        <v>18698</v>
      </c>
      <c r="U345" s="1" t="s">
        <v>17</v>
      </c>
      <c r="V345" s="1" t="s">
        <v>700</v>
      </c>
      <c r="W345" s="1"/>
    </row>
    <row r="346" spans="1:23" x14ac:dyDescent="0.2">
      <c r="A346" s="88" t="s">
        <v>15820</v>
      </c>
      <c r="B346" s="1" t="e">
        <v>#N/A</v>
      </c>
      <c r="C346" s="1" t="e">
        <v>#N/A</v>
      </c>
      <c r="D346" s="1" t="s">
        <v>1026</v>
      </c>
      <c r="E346" s="1" t="s">
        <v>1027</v>
      </c>
      <c r="F346" s="1" t="s">
        <v>18502</v>
      </c>
      <c r="G346" s="1" t="s">
        <v>8957</v>
      </c>
      <c r="H346" t="s">
        <v>8959</v>
      </c>
      <c r="I346" s="1" t="s">
        <v>9605</v>
      </c>
      <c r="J346" s="1" t="s">
        <v>9101</v>
      </c>
      <c r="K346" s="1" t="s">
        <v>10492</v>
      </c>
      <c r="L346" s="1" t="s">
        <v>8973</v>
      </c>
      <c r="M346" s="1">
        <v>23165</v>
      </c>
      <c r="N346" s="1" t="s">
        <v>8953</v>
      </c>
      <c r="O346" s="1" t="s">
        <v>8989</v>
      </c>
      <c r="P346" s="1" t="e">
        <v>#N/A</v>
      </c>
      <c r="Q346" s="1" t="e">
        <v>#N/A</v>
      </c>
      <c r="R346" s="1">
        <f t="shared" si="102"/>
        <v>11</v>
      </c>
      <c r="S346" s="1" t="str">
        <f t="shared" si="103"/>
        <v>&gt;7</v>
      </c>
      <c r="T346" s="1" t="s">
        <v>18699</v>
      </c>
      <c r="U346" s="1" t="s">
        <v>17</v>
      </c>
      <c r="V346" s="1" t="s">
        <v>1028</v>
      </c>
      <c r="W346" s="1"/>
    </row>
    <row r="347" spans="1:23" x14ac:dyDescent="0.2">
      <c r="A347" s="88" t="s">
        <v>15821</v>
      </c>
      <c r="B347" s="1" t="e">
        <v>#N/A</v>
      </c>
      <c r="C347" s="1" t="e">
        <v>#N/A</v>
      </c>
      <c r="D347" s="1" t="s">
        <v>1029</v>
      </c>
      <c r="E347" s="1" t="s">
        <v>1030</v>
      </c>
      <c r="F347" s="1" t="s">
        <v>18502</v>
      </c>
      <c r="G347" s="1" t="s">
        <v>8957</v>
      </c>
      <c r="H347" t="s">
        <v>9061</v>
      </c>
      <c r="I347" s="1" t="s">
        <v>9100</v>
      </c>
      <c r="J347" s="1" t="s">
        <v>8949</v>
      </c>
      <c r="K347" s="1" t="s">
        <v>9036</v>
      </c>
      <c r="L347" s="1" t="s">
        <v>8973</v>
      </c>
      <c r="M347" s="1">
        <v>199</v>
      </c>
      <c r="N347" s="1" t="s">
        <v>9059</v>
      </c>
      <c r="O347" s="1" t="s">
        <v>8989</v>
      </c>
      <c r="P347" s="1" t="e">
        <v>#N/A</v>
      </c>
      <c r="Q347" s="1" t="e">
        <v>#N/A</v>
      </c>
      <c r="R347" s="1">
        <f t="shared" si="102"/>
        <v>3</v>
      </c>
      <c r="S347" s="1" t="str">
        <f t="shared" si="103"/>
        <v>&lt;4</v>
      </c>
      <c r="T347" s="1" t="s">
        <v>18700</v>
      </c>
      <c r="U347" s="1" t="s">
        <v>7</v>
      </c>
      <c r="V347" s="1" t="s">
        <v>24</v>
      </c>
      <c r="W347" s="1"/>
    </row>
    <row r="348" spans="1:23" x14ac:dyDescent="0.2">
      <c r="A348" s="94" t="s">
        <v>15822</v>
      </c>
      <c r="B348" s="1" t="e">
        <v>#N/A</v>
      </c>
      <c r="C348" s="1" t="e">
        <v>#N/A</v>
      </c>
      <c r="D348" s="1" t="s">
        <v>1031</v>
      </c>
      <c r="E348" s="1" t="s">
        <v>1032</v>
      </c>
      <c r="F348" s="1" t="e">
        <v>#N/A</v>
      </c>
      <c r="G348" s="1" t="e">
        <v>#N/A</v>
      </c>
      <c r="H348" t="e">
        <v>#N/A</v>
      </c>
      <c r="I348" s="1" t="e">
        <v>#N/A</v>
      </c>
      <c r="J348" s="1" t="e">
        <v>#N/A</v>
      </c>
      <c r="K348" s="1" t="e">
        <v>#N/A</v>
      </c>
      <c r="L348" s="1" t="e">
        <v>#N/A</v>
      </c>
      <c r="M348" s="1" t="e">
        <v>#N/A</v>
      </c>
      <c r="N348" s="1" t="e">
        <v>#N/A</v>
      </c>
      <c r="O348" s="1" t="e">
        <v>#N/A</v>
      </c>
      <c r="P348" s="1" t="e">
        <v>#N/A</v>
      </c>
      <c r="Q348" s="1" t="e">
        <v>#N/A</v>
      </c>
      <c r="R348" s="1">
        <f t="shared" si="102"/>
        <v>2</v>
      </c>
      <c r="S348" s="1" t="str">
        <f t="shared" si="103"/>
        <v>&lt;4</v>
      </c>
      <c r="T348" s="1" t="s">
        <v>18701</v>
      </c>
      <c r="U348" s="1" t="s">
        <v>17</v>
      </c>
      <c r="V348" s="1" t="s">
        <v>234</v>
      </c>
      <c r="W348" s="1"/>
    </row>
    <row r="349" spans="1:23" x14ac:dyDescent="0.2">
      <c r="A349" s="94" t="s">
        <v>15823</v>
      </c>
      <c r="B349" s="1" t="e">
        <v>#N/A</v>
      </c>
      <c r="C349" s="1" t="e">
        <v>#N/A</v>
      </c>
      <c r="D349" s="1" t="s">
        <v>1033</v>
      </c>
      <c r="E349" s="1" t="s">
        <v>1034</v>
      </c>
      <c r="F349" s="1" t="e">
        <v>#N/A</v>
      </c>
      <c r="G349" s="1" t="e">
        <v>#N/A</v>
      </c>
      <c r="H349" t="e">
        <v>#N/A</v>
      </c>
      <c r="I349" s="1" t="e">
        <v>#N/A</v>
      </c>
      <c r="J349" s="1" t="e">
        <v>#N/A</v>
      </c>
      <c r="K349" s="1" t="e">
        <v>#N/A</v>
      </c>
      <c r="L349" s="1" t="e">
        <v>#N/A</v>
      </c>
      <c r="M349" s="1" t="e">
        <v>#N/A</v>
      </c>
      <c r="N349" s="1" t="e">
        <v>#N/A</v>
      </c>
      <c r="O349" s="1" t="e">
        <v>#N/A</v>
      </c>
      <c r="P349" s="1" t="e">
        <v>#N/A</v>
      </c>
      <c r="Q349" s="1" t="e">
        <v>#N/A</v>
      </c>
      <c r="R349" s="1">
        <f t="shared" si="102"/>
        <v>1</v>
      </c>
      <c r="S349" s="1" t="str">
        <f t="shared" si="103"/>
        <v>&lt;4</v>
      </c>
      <c r="T349" s="1" t="s">
        <v>1035</v>
      </c>
      <c r="U349" s="1" t="s">
        <v>924</v>
      </c>
      <c r="V349" s="1" t="s">
        <v>727</v>
      </c>
      <c r="W349" s="1"/>
    </row>
    <row r="350" spans="1:23" x14ac:dyDescent="0.2">
      <c r="A350" s="88" t="s">
        <v>15824</v>
      </c>
      <c r="B350" s="1" t="e">
        <v>#N/A</v>
      </c>
      <c r="C350" s="1" t="e">
        <v>#N/A</v>
      </c>
      <c r="D350" s="1" t="s">
        <v>1036</v>
      </c>
      <c r="E350" s="1" t="s">
        <v>1037</v>
      </c>
      <c r="F350" s="1" t="s">
        <v>18502</v>
      </c>
      <c r="G350" s="1" t="s">
        <v>8957</v>
      </c>
      <c r="H350" t="s">
        <v>8959</v>
      </c>
      <c r="I350" s="1" t="s">
        <v>8948</v>
      </c>
      <c r="J350" s="1" t="s">
        <v>9308</v>
      </c>
      <c r="K350" s="1" t="s">
        <v>9787</v>
      </c>
      <c r="L350" s="1" t="s">
        <v>8951</v>
      </c>
      <c r="M350" s="1">
        <v>500</v>
      </c>
      <c r="N350" s="1" t="s">
        <v>11658</v>
      </c>
      <c r="O350" s="1" t="s">
        <v>8989</v>
      </c>
      <c r="P350" s="1" t="e">
        <v>#N/A</v>
      </c>
      <c r="Q350" s="1" t="e">
        <v>#N/A</v>
      </c>
      <c r="R350" s="1">
        <f t="shared" si="102"/>
        <v>4</v>
      </c>
      <c r="S350" s="1" t="str">
        <f t="shared" si="103"/>
        <v>&lt;4</v>
      </c>
      <c r="T350" s="1" t="s">
        <v>18702</v>
      </c>
      <c r="U350" s="1" t="s">
        <v>7</v>
      </c>
      <c r="V350" s="1" t="s">
        <v>46</v>
      </c>
      <c r="W350" s="1"/>
    </row>
    <row r="351" spans="1:23" x14ac:dyDescent="0.2">
      <c r="A351" s="88" t="s">
        <v>15825</v>
      </c>
      <c r="B351" s="1" t="e">
        <v>#N/A</v>
      </c>
      <c r="C351" s="1" t="s">
        <v>13200</v>
      </c>
      <c r="D351" s="1" t="s">
        <v>1038</v>
      </c>
      <c r="E351" s="1" t="s">
        <v>1039</v>
      </c>
      <c r="F351" s="1" t="s">
        <v>9010</v>
      </c>
      <c r="G351" s="1" t="s">
        <v>8957</v>
      </c>
      <c r="H351" t="s">
        <v>9009</v>
      </c>
      <c r="I351" s="1" t="s">
        <v>9075</v>
      </c>
      <c r="J351" s="1" t="s">
        <v>8985</v>
      </c>
      <c r="K351" s="1" t="s">
        <v>10258</v>
      </c>
      <c r="L351" s="1" t="s">
        <v>8987</v>
      </c>
      <c r="M351" s="1">
        <v>159</v>
      </c>
      <c r="N351" s="1" t="s">
        <v>8953</v>
      </c>
      <c r="O351" s="1" t="s">
        <v>8989</v>
      </c>
      <c r="P351" s="1" t="s">
        <v>8955</v>
      </c>
      <c r="Q351" s="1" t="s">
        <v>8956</v>
      </c>
      <c r="R351" s="1" t="s">
        <v>8957</v>
      </c>
      <c r="S351" s="1" t="s">
        <v>8958</v>
      </c>
      <c r="T351" s="1" t="s">
        <v>1040</v>
      </c>
      <c r="U351" s="1" t="s">
        <v>11</v>
      </c>
      <c r="V351" s="1" t="s">
        <v>43</v>
      </c>
      <c r="W351" s="1"/>
    </row>
    <row r="352" spans="1:23" x14ac:dyDescent="0.2">
      <c r="A352" s="88" t="s">
        <v>15826</v>
      </c>
      <c r="B352" s="1" t="e">
        <v>#N/A</v>
      </c>
      <c r="C352" s="1" t="e">
        <v>#N/A</v>
      </c>
      <c r="D352" s="1" t="s">
        <v>1041</v>
      </c>
      <c r="E352" s="1" t="s">
        <v>1042</v>
      </c>
      <c r="F352" s="1" t="s">
        <v>18502</v>
      </c>
      <c r="G352" s="1" t="s">
        <v>8957</v>
      </c>
      <c r="H352" t="s">
        <v>9183</v>
      </c>
      <c r="I352" s="1" t="s">
        <v>9100</v>
      </c>
      <c r="J352" s="1" t="s">
        <v>8949</v>
      </c>
      <c r="K352" s="1" t="s">
        <v>13923</v>
      </c>
      <c r="L352" s="1" t="s">
        <v>9292</v>
      </c>
      <c r="M352" s="1">
        <v>83</v>
      </c>
      <c r="N352" s="1" t="s">
        <v>9059</v>
      </c>
      <c r="O352" s="1" t="s">
        <v>8954</v>
      </c>
      <c r="P352" s="1" t="e">
        <v>#N/A</v>
      </c>
      <c r="Q352" s="1" t="e">
        <v>#N/A</v>
      </c>
      <c r="R352" s="1">
        <f t="shared" ref="R352:R361" si="104">1+LEN(T352)-LEN(SUBSTITUTE(T352,",",))</f>
        <v>8</v>
      </c>
      <c r="S352" s="1" t="str">
        <f t="shared" ref="S352:S361" si="105">IF(R352&gt;4,IF(R352&lt;8,"4-7",IF(R352&gt;7,"&gt;7")),"&lt;4")</f>
        <v>&gt;7</v>
      </c>
      <c r="T352" s="1" t="s">
        <v>18703</v>
      </c>
      <c r="U352" s="1" t="s">
        <v>7</v>
      </c>
      <c r="V352" s="1" t="s">
        <v>392</v>
      </c>
      <c r="W352" s="1"/>
    </row>
    <row r="353" spans="1:23" x14ac:dyDescent="0.2">
      <c r="A353" s="89" t="s">
        <v>1043</v>
      </c>
      <c r="B353" s="1" t="e">
        <v>#N/A</v>
      </c>
      <c r="C353" s="1" t="e">
        <v>#N/A</v>
      </c>
      <c r="D353" s="5" t="s">
        <v>1044</v>
      </c>
      <c r="E353" s="1" t="s">
        <v>1045</v>
      </c>
      <c r="F353" s="1" t="e">
        <v>#N/A</v>
      </c>
      <c r="G353" s="1" t="e">
        <v>#N/A</v>
      </c>
      <c r="H353" t="e">
        <v>#N/A</v>
      </c>
      <c r="I353" s="1" t="e">
        <v>#N/A</v>
      </c>
      <c r="J353" s="1" t="e">
        <v>#N/A</v>
      </c>
      <c r="K353" s="1" t="e">
        <v>#N/A</v>
      </c>
      <c r="L353" s="1" t="e">
        <v>#N/A</v>
      </c>
      <c r="M353" s="1" t="e">
        <v>#N/A</v>
      </c>
      <c r="N353" s="1" t="e">
        <v>#N/A</v>
      </c>
      <c r="O353" s="1" t="e">
        <v>#N/A</v>
      </c>
      <c r="P353" s="1" t="e">
        <v>#N/A</v>
      </c>
      <c r="Q353" s="1" t="e">
        <v>#N/A</v>
      </c>
      <c r="R353" s="1">
        <f t="shared" si="104"/>
        <v>2</v>
      </c>
      <c r="S353" s="1" t="str">
        <f t="shared" si="105"/>
        <v>&lt;4</v>
      </c>
      <c r="T353" s="1" t="s">
        <v>20561</v>
      </c>
      <c r="U353" s="1" t="s">
        <v>17</v>
      </c>
      <c r="V353" s="1" t="s">
        <v>64</v>
      </c>
      <c r="W353" s="1"/>
    </row>
    <row r="354" spans="1:23" x14ac:dyDescent="0.2">
      <c r="A354" s="88" t="s">
        <v>15827</v>
      </c>
      <c r="B354" s="1" t="e">
        <v>#N/A</v>
      </c>
      <c r="C354" s="1" t="e">
        <v>#N/A</v>
      </c>
      <c r="D354" s="1" t="s">
        <v>1046</v>
      </c>
      <c r="E354" s="1" t="s">
        <v>1047</v>
      </c>
      <c r="F354" s="1" t="s">
        <v>9650</v>
      </c>
      <c r="G354" s="1" t="s">
        <v>9060</v>
      </c>
      <c r="H354" t="s">
        <v>8959</v>
      </c>
      <c r="I354" s="1" t="s">
        <v>20712</v>
      </c>
      <c r="J354" s="1" t="s">
        <v>8998</v>
      </c>
      <c r="K354" s="1" t="s">
        <v>10492</v>
      </c>
      <c r="L354" s="1" t="s">
        <v>8973</v>
      </c>
      <c r="M354" s="1">
        <v>17013</v>
      </c>
      <c r="N354" s="1" t="s">
        <v>8953</v>
      </c>
      <c r="O354" s="1" t="s">
        <v>8954</v>
      </c>
      <c r="P354" s="1" t="e">
        <v>#N/A</v>
      </c>
      <c r="Q354" s="1" t="e">
        <v>#N/A</v>
      </c>
      <c r="R354" s="1">
        <f t="shared" si="104"/>
        <v>5</v>
      </c>
      <c r="S354" s="1" t="str">
        <f t="shared" si="105"/>
        <v>4-7</v>
      </c>
      <c r="T354" s="1" t="s">
        <v>18704</v>
      </c>
      <c r="U354" s="1" t="s">
        <v>7</v>
      </c>
      <c r="V354" s="1" t="s">
        <v>61</v>
      </c>
      <c r="W354" s="1"/>
    </row>
    <row r="355" spans="1:23" x14ac:dyDescent="0.2">
      <c r="A355" s="88" t="s">
        <v>15828</v>
      </c>
      <c r="B355" s="1" t="e">
        <v>#N/A</v>
      </c>
      <c r="C355" s="1" t="e">
        <v>#N/A</v>
      </c>
      <c r="D355" s="1" t="s">
        <v>1048</v>
      </c>
      <c r="E355" s="1" t="s">
        <v>1049</v>
      </c>
      <c r="F355" s="1" t="s">
        <v>9650</v>
      </c>
      <c r="G355" s="1" t="s">
        <v>8957</v>
      </c>
      <c r="H355" t="s">
        <v>8959</v>
      </c>
      <c r="I355" s="1" t="s">
        <v>9035</v>
      </c>
      <c r="J355" s="1" t="s">
        <v>8998</v>
      </c>
      <c r="K355" s="1" t="s">
        <v>10492</v>
      </c>
      <c r="L355" s="1" t="s">
        <v>8973</v>
      </c>
      <c r="M355" s="1">
        <v>10000</v>
      </c>
      <c r="N355" s="1" t="s">
        <v>8953</v>
      </c>
      <c r="O355" s="1" t="s">
        <v>8954</v>
      </c>
      <c r="P355" s="1" t="e">
        <v>#N/A</v>
      </c>
      <c r="Q355" s="1" t="e">
        <v>#N/A</v>
      </c>
      <c r="R355" s="1">
        <f t="shared" si="104"/>
        <v>5</v>
      </c>
      <c r="S355" s="1" t="str">
        <f t="shared" si="105"/>
        <v>4-7</v>
      </c>
      <c r="T355" s="1" t="s">
        <v>18705</v>
      </c>
      <c r="U355" s="1" t="s">
        <v>17</v>
      </c>
      <c r="V355" s="1" t="s">
        <v>1050</v>
      </c>
      <c r="W355" s="1"/>
    </row>
    <row r="356" spans="1:23" x14ac:dyDescent="0.2">
      <c r="A356" s="89" t="s">
        <v>1051</v>
      </c>
      <c r="B356" s="1" t="e">
        <v>#N/A</v>
      </c>
      <c r="C356" s="1" t="e">
        <v>#N/A</v>
      </c>
      <c r="D356" s="1" t="s">
        <v>1052</v>
      </c>
      <c r="E356" s="1" t="s">
        <v>1053</v>
      </c>
      <c r="F356" s="1" t="e">
        <v>#N/A</v>
      </c>
      <c r="G356" s="1" t="e">
        <v>#N/A</v>
      </c>
      <c r="H356" t="e">
        <v>#N/A</v>
      </c>
      <c r="I356" s="1" t="e">
        <v>#N/A</v>
      </c>
      <c r="J356" s="1" t="e">
        <v>#N/A</v>
      </c>
      <c r="K356" s="1" t="e">
        <v>#N/A</v>
      </c>
      <c r="L356" s="1" t="e">
        <v>#N/A</v>
      </c>
      <c r="M356" s="1" t="e">
        <v>#N/A</v>
      </c>
      <c r="N356" s="1" t="e">
        <v>#N/A</v>
      </c>
      <c r="O356" s="1" t="e">
        <v>#N/A</v>
      </c>
      <c r="P356" s="1" t="e">
        <v>#N/A</v>
      </c>
      <c r="Q356" s="1" t="e">
        <v>#N/A</v>
      </c>
      <c r="R356" s="1">
        <f t="shared" si="104"/>
        <v>9</v>
      </c>
      <c r="S356" s="1" t="str">
        <f t="shared" si="105"/>
        <v>&gt;7</v>
      </c>
      <c r="T356" s="1" t="s">
        <v>18706</v>
      </c>
      <c r="U356" s="1" t="s">
        <v>11</v>
      </c>
      <c r="V356" s="1" t="s">
        <v>1054</v>
      </c>
      <c r="W356" s="1"/>
    </row>
    <row r="357" spans="1:23" x14ac:dyDescent="0.2">
      <c r="A357" s="94" t="s">
        <v>15829</v>
      </c>
      <c r="B357" s="1" t="e">
        <v>#N/A</v>
      </c>
      <c r="C357" s="1" t="e">
        <v>#N/A</v>
      </c>
      <c r="D357" s="1" t="s">
        <v>1055</v>
      </c>
      <c r="E357" s="1" t="s">
        <v>1056</v>
      </c>
      <c r="F357" s="1" t="s">
        <v>9310</v>
      </c>
      <c r="G357" s="1" t="e">
        <v>#N/A</v>
      </c>
      <c r="H357" t="s">
        <v>8959</v>
      </c>
      <c r="I357" s="1" t="e">
        <v>#N/A</v>
      </c>
      <c r="J357" s="1" t="e">
        <v>#N/A</v>
      </c>
      <c r="K357" s="1" t="e">
        <v>#N/A</v>
      </c>
      <c r="L357" s="1" t="e">
        <v>#N/A</v>
      </c>
      <c r="M357" s="1" t="e">
        <v>#N/A</v>
      </c>
      <c r="N357" s="1" t="e">
        <v>#N/A</v>
      </c>
      <c r="O357" s="1" t="e">
        <v>#N/A</v>
      </c>
      <c r="P357" s="1" t="e">
        <v>#N/A</v>
      </c>
      <c r="Q357" s="1" t="e">
        <v>#N/A</v>
      </c>
      <c r="R357" s="1">
        <f t="shared" si="104"/>
        <v>8</v>
      </c>
      <c r="S357" s="1" t="str">
        <f t="shared" si="105"/>
        <v>&gt;7</v>
      </c>
      <c r="T357" s="1" t="s">
        <v>18707</v>
      </c>
      <c r="U357" s="1" t="s">
        <v>7</v>
      </c>
      <c r="V357" s="1" t="s">
        <v>580</v>
      </c>
      <c r="W357" s="1"/>
    </row>
    <row r="358" spans="1:23" x14ac:dyDescent="0.2">
      <c r="A358" s="88" t="s">
        <v>15830</v>
      </c>
      <c r="B358" s="1" t="e">
        <v>#N/A</v>
      </c>
      <c r="C358" s="1" t="e">
        <v>#N/A</v>
      </c>
      <c r="D358" s="1" t="s">
        <v>1057</v>
      </c>
      <c r="E358" s="1" t="s">
        <v>1058</v>
      </c>
      <c r="F358" s="1" t="s">
        <v>9310</v>
      </c>
      <c r="G358" s="1" t="s">
        <v>8957</v>
      </c>
      <c r="H358" t="s">
        <v>9183</v>
      </c>
      <c r="I358" s="1" t="s">
        <v>9154</v>
      </c>
      <c r="J358" s="1" t="s">
        <v>8998</v>
      </c>
      <c r="K358" s="1" t="s">
        <v>10492</v>
      </c>
      <c r="L358" s="1" t="s">
        <v>8973</v>
      </c>
      <c r="M358" s="1">
        <v>276</v>
      </c>
      <c r="N358" s="1" t="s">
        <v>8953</v>
      </c>
      <c r="O358" s="1" t="s">
        <v>8954</v>
      </c>
      <c r="P358" s="1" t="e">
        <v>#N/A</v>
      </c>
      <c r="Q358" s="1" t="e">
        <v>#N/A</v>
      </c>
      <c r="R358" s="1">
        <f t="shared" si="104"/>
        <v>12</v>
      </c>
      <c r="S358" s="1" t="str">
        <f t="shared" si="105"/>
        <v>&gt;7</v>
      </c>
      <c r="T358" s="1" t="s">
        <v>18708</v>
      </c>
      <c r="U358" s="1" t="s">
        <v>17</v>
      </c>
      <c r="V358" s="1" t="s">
        <v>831</v>
      </c>
      <c r="W358" s="1"/>
    </row>
    <row r="359" spans="1:23" x14ac:dyDescent="0.2">
      <c r="A359" s="88" t="s">
        <v>15831</v>
      </c>
      <c r="B359" s="1" t="e">
        <v>#N/A</v>
      </c>
      <c r="C359" s="1" t="e">
        <v>#N/A</v>
      </c>
      <c r="D359" s="1" t="s">
        <v>1059</v>
      </c>
      <c r="E359" s="1" t="s">
        <v>1060</v>
      </c>
      <c r="F359" s="1" t="s">
        <v>9310</v>
      </c>
      <c r="G359" s="1" t="s">
        <v>8959</v>
      </c>
      <c r="H359" t="s">
        <v>9061</v>
      </c>
      <c r="I359" s="1" t="s">
        <v>20712</v>
      </c>
      <c r="J359" s="1" t="s">
        <v>8949</v>
      </c>
      <c r="K359" s="1" t="s">
        <v>13923</v>
      </c>
      <c r="L359" s="1" t="s">
        <v>9464</v>
      </c>
      <c r="M359" s="1">
        <v>46000</v>
      </c>
      <c r="N359" s="1" t="s">
        <v>8953</v>
      </c>
      <c r="O359" s="1" t="s">
        <v>8954</v>
      </c>
      <c r="P359" s="1" t="e">
        <v>#N/A</v>
      </c>
      <c r="Q359" s="1" t="e">
        <v>#N/A</v>
      </c>
      <c r="R359" s="1">
        <f t="shared" si="104"/>
        <v>4</v>
      </c>
      <c r="S359" s="1" t="str">
        <f t="shared" si="105"/>
        <v>&lt;4</v>
      </c>
      <c r="T359" s="1" t="s">
        <v>18709</v>
      </c>
      <c r="U359" s="1" t="s">
        <v>7</v>
      </c>
      <c r="V359" s="1" t="s">
        <v>21</v>
      </c>
      <c r="W359" s="1"/>
    </row>
    <row r="360" spans="1:23" x14ac:dyDescent="0.2">
      <c r="A360" s="88" t="s">
        <v>15832</v>
      </c>
      <c r="B360" s="1" t="e">
        <v>#N/A</v>
      </c>
      <c r="C360" s="1" t="e">
        <v>#N/A</v>
      </c>
      <c r="D360" s="1" t="s">
        <v>1061</v>
      </c>
      <c r="E360" s="1" t="s">
        <v>1062</v>
      </c>
      <c r="F360" s="1" t="s">
        <v>18502</v>
      </c>
      <c r="G360" s="1" t="s">
        <v>8957</v>
      </c>
      <c r="H360" t="s">
        <v>8959</v>
      </c>
      <c r="I360" s="1" t="s">
        <v>9154</v>
      </c>
      <c r="J360" s="1" t="s">
        <v>20725</v>
      </c>
      <c r="K360" s="1" t="s">
        <v>18491</v>
      </c>
      <c r="L360" s="1" t="s">
        <v>9076</v>
      </c>
      <c r="M360" s="1">
        <v>1596</v>
      </c>
      <c r="N360" s="1" t="s">
        <v>8953</v>
      </c>
      <c r="O360" s="1" t="s">
        <v>8989</v>
      </c>
      <c r="P360" s="1" t="e">
        <v>#N/A</v>
      </c>
      <c r="Q360" s="1" t="e">
        <v>#N/A</v>
      </c>
      <c r="R360" s="1">
        <f t="shared" si="104"/>
        <v>7</v>
      </c>
      <c r="S360" s="1" t="str">
        <f t="shared" si="105"/>
        <v>4-7</v>
      </c>
      <c r="T360" s="1" t="s">
        <v>18710</v>
      </c>
      <c r="U360" s="1" t="s">
        <v>7</v>
      </c>
      <c r="V360" s="1" t="s">
        <v>46</v>
      </c>
      <c r="W360" s="1"/>
    </row>
    <row r="361" spans="1:23" x14ac:dyDescent="0.2">
      <c r="A361" s="88" t="s">
        <v>15833</v>
      </c>
      <c r="B361" s="1" t="e">
        <v>#N/A</v>
      </c>
      <c r="C361" s="1" t="e">
        <v>#N/A</v>
      </c>
      <c r="D361" s="1" t="s">
        <v>1063</v>
      </c>
      <c r="E361" s="1" t="s">
        <v>1064</v>
      </c>
      <c r="F361" s="1" t="s">
        <v>9310</v>
      </c>
      <c r="G361" s="1" t="s">
        <v>8959</v>
      </c>
      <c r="H361" t="s">
        <v>9061</v>
      </c>
      <c r="I361" s="1" t="s">
        <v>8984</v>
      </c>
      <c r="J361" s="1" t="s">
        <v>8971</v>
      </c>
      <c r="K361" s="1" t="s">
        <v>9036</v>
      </c>
      <c r="L361" s="1" t="s">
        <v>9133</v>
      </c>
      <c r="M361" s="1">
        <f>2582+240</f>
        <v>2822</v>
      </c>
      <c r="N361" s="1" t="s">
        <v>8953</v>
      </c>
      <c r="O361" s="1" t="s">
        <v>8989</v>
      </c>
      <c r="P361" s="1" t="e">
        <v>#N/A</v>
      </c>
      <c r="Q361" s="1" t="e">
        <v>#N/A</v>
      </c>
      <c r="R361" s="1">
        <f t="shared" si="104"/>
        <v>6</v>
      </c>
      <c r="S361" s="1" t="str">
        <f t="shared" si="105"/>
        <v>4-7</v>
      </c>
      <c r="T361" s="1" t="s">
        <v>18711</v>
      </c>
      <c r="U361" s="1" t="s">
        <v>7</v>
      </c>
      <c r="V361" s="1" t="s">
        <v>813</v>
      </c>
      <c r="W361" s="1"/>
    </row>
    <row r="362" spans="1:23" x14ac:dyDescent="0.2">
      <c r="A362" s="88" t="s">
        <v>15834</v>
      </c>
      <c r="B362" s="1" t="e">
        <v>#N/A</v>
      </c>
      <c r="C362" s="1" t="s">
        <v>11940</v>
      </c>
      <c r="D362" s="1" t="s">
        <v>1065</v>
      </c>
      <c r="E362" s="1" t="s">
        <v>1066</v>
      </c>
      <c r="F362" s="1" t="s">
        <v>9010</v>
      </c>
      <c r="G362" s="1" t="s">
        <v>8959</v>
      </c>
      <c r="H362" t="s">
        <v>9183</v>
      </c>
      <c r="I362" s="1" t="s">
        <v>9049</v>
      </c>
      <c r="J362" s="1" t="s">
        <v>9050</v>
      </c>
      <c r="K362" s="1" t="s">
        <v>9102</v>
      </c>
      <c r="L362" s="1" t="s">
        <v>8951</v>
      </c>
      <c r="M362" s="1">
        <v>89</v>
      </c>
      <c r="N362" s="1" t="s">
        <v>9059</v>
      </c>
      <c r="O362" s="1" t="s">
        <v>8954</v>
      </c>
      <c r="P362" s="1" t="s">
        <v>8955</v>
      </c>
      <c r="Q362" s="1" t="s">
        <v>8956</v>
      </c>
      <c r="R362" s="1" t="s">
        <v>8959</v>
      </c>
      <c r="S362" s="1" t="s">
        <v>8958</v>
      </c>
      <c r="T362" s="1" t="s">
        <v>1067</v>
      </c>
      <c r="U362" s="1" t="s">
        <v>11</v>
      </c>
      <c r="V362" s="1" t="s">
        <v>1068</v>
      </c>
      <c r="W362" s="1"/>
    </row>
    <row r="363" spans="1:23" x14ac:dyDescent="0.2">
      <c r="A363" s="89" t="s">
        <v>1069</v>
      </c>
      <c r="B363" s="1" t="e">
        <v>#N/A</v>
      </c>
      <c r="C363" s="1" t="e">
        <v>#N/A</v>
      </c>
      <c r="D363" s="1" t="s">
        <v>1070</v>
      </c>
      <c r="E363" s="1" t="s">
        <v>1071</v>
      </c>
      <c r="F363" s="1" t="e">
        <v>#N/A</v>
      </c>
      <c r="G363" s="1" t="e">
        <v>#N/A</v>
      </c>
      <c r="H363" t="e">
        <v>#N/A</v>
      </c>
      <c r="I363" s="1" t="e">
        <v>#N/A</v>
      </c>
      <c r="J363" s="1" t="e">
        <v>#N/A</v>
      </c>
      <c r="K363" s="1" t="e">
        <v>#N/A</v>
      </c>
      <c r="L363" s="1" t="e">
        <v>#N/A</v>
      </c>
      <c r="M363" s="1" t="e">
        <v>#N/A</v>
      </c>
      <c r="N363" s="1" t="e">
        <v>#N/A</v>
      </c>
      <c r="O363" s="1" t="e">
        <v>#N/A</v>
      </c>
      <c r="P363" s="1" t="e">
        <v>#N/A</v>
      </c>
      <c r="Q363" s="1" t="e">
        <v>#N/A</v>
      </c>
      <c r="R363" s="1">
        <f>1+LEN(T363)-LEN(SUBSTITUTE(T363,",",))</f>
        <v>7</v>
      </c>
      <c r="S363" s="1" t="str">
        <f>IF(R363&gt;4,IF(R363&lt;8,"4-7",IF(R363&gt;7,"&gt;7")),"&lt;4")</f>
        <v>4-7</v>
      </c>
      <c r="T363" s="1" t="s">
        <v>18712</v>
      </c>
      <c r="U363" s="1" t="s">
        <v>17</v>
      </c>
      <c r="V363" s="1" t="s">
        <v>1072</v>
      </c>
      <c r="W363" s="1"/>
    </row>
    <row r="364" spans="1:23" x14ac:dyDescent="0.2">
      <c r="A364" s="88" t="s">
        <v>15835</v>
      </c>
      <c r="B364" s="1" t="e">
        <v>#N/A</v>
      </c>
      <c r="C364" s="1" t="s">
        <v>12037</v>
      </c>
      <c r="D364" s="1" t="s">
        <v>1073</v>
      </c>
      <c r="E364" s="1" t="s">
        <v>1074</v>
      </c>
      <c r="F364" s="1" t="s">
        <v>9010</v>
      </c>
      <c r="G364" s="1" t="s">
        <v>8957</v>
      </c>
      <c r="H364" t="s">
        <v>9183</v>
      </c>
      <c r="I364" s="1" t="s">
        <v>8948</v>
      </c>
      <c r="J364" s="1" t="s">
        <v>9155</v>
      </c>
      <c r="K364" s="1" t="s">
        <v>12040</v>
      </c>
      <c r="L364" s="1" t="s">
        <v>9292</v>
      </c>
      <c r="M364" s="1">
        <v>40</v>
      </c>
      <c r="N364" s="1" t="s">
        <v>8953</v>
      </c>
      <c r="O364" s="1" t="s">
        <v>8954</v>
      </c>
      <c r="P364" s="1" t="s">
        <v>8955</v>
      </c>
      <c r="Q364" s="1" t="s">
        <v>8956</v>
      </c>
      <c r="R364" s="1" t="s">
        <v>8957</v>
      </c>
      <c r="S364" s="1" t="s">
        <v>8958</v>
      </c>
      <c r="T364" s="1" t="s">
        <v>1075</v>
      </c>
      <c r="U364" s="1" t="s">
        <v>11</v>
      </c>
      <c r="V364" s="1" t="s">
        <v>1076</v>
      </c>
      <c r="W364" s="1"/>
    </row>
    <row r="365" spans="1:23" x14ac:dyDescent="0.2">
      <c r="A365" s="88" t="s">
        <v>15836</v>
      </c>
      <c r="B365" s="1" t="e">
        <v>#N/A</v>
      </c>
      <c r="C365" s="1" t="s">
        <v>14621</v>
      </c>
      <c r="D365" s="1" t="s">
        <v>1077</v>
      </c>
      <c r="E365" s="1" t="s">
        <v>1078</v>
      </c>
      <c r="F365" s="1" t="s">
        <v>9010</v>
      </c>
      <c r="G365" s="1" t="s">
        <v>8957</v>
      </c>
      <c r="H365" t="s">
        <v>8959</v>
      </c>
      <c r="I365" s="1" t="s">
        <v>9605</v>
      </c>
      <c r="J365" s="1" t="s">
        <v>9155</v>
      </c>
      <c r="K365" s="1" t="s">
        <v>12818</v>
      </c>
      <c r="L365" s="1" t="s">
        <v>9076</v>
      </c>
      <c r="M365" s="1">
        <v>74902</v>
      </c>
      <c r="N365" s="1" t="s">
        <v>8953</v>
      </c>
      <c r="O365" s="1" t="s">
        <v>8954</v>
      </c>
      <c r="P365" s="1" t="s">
        <v>8955</v>
      </c>
      <c r="Q365" s="1" t="s">
        <v>8956</v>
      </c>
      <c r="R365" s="1" t="s">
        <v>8957</v>
      </c>
      <c r="S365" s="1" t="s">
        <v>8958</v>
      </c>
      <c r="T365" s="1" t="s">
        <v>1079</v>
      </c>
      <c r="U365" s="1" t="s">
        <v>929</v>
      </c>
      <c r="V365" s="1" t="s">
        <v>1080</v>
      </c>
      <c r="W365" s="1"/>
    </row>
    <row r="366" spans="1:23" x14ac:dyDescent="0.2">
      <c r="A366" s="88" t="s">
        <v>15837</v>
      </c>
      <c r="B366" s="1" t="e">
        <v>#N/A</v>
      </c>
      <c r="C366" s="1" t="e">
        <v>#N/A</v>
      </c>
      <c r="D366" s="1" t="s">
        <v>1081</v>
      </c>
      <c r="E366" s="1" t="s">
        <v>1082</v>
      </c>
      <c r="F366" s="1" t="s">
        <v>18502</v>
      </c>
      <c r="G366" s="1" t="e">
        <v>#N/A</v>
      </c>
      <c r="H366" t="s">
        <v>9061</v>
      </c>
      <c r="I366" s="1" t="s">
        <v>8948</v>
      </c>
      <c r="J366" s="1" t="s">
        <v>8949</v>
      </c>
      <c r="K366" s="1" t="s">
        <v>10492</v>
      </c>
      <c r="L366" s="1" t="s">
        <v>20739</v>
      </c>
      <c r="M366" s="1">
        <v>1034</v>
      </c>
      <c r="N366" s="1" t="s">
        <v>8953</v>
      </c>
      <c r="O366" s="1" t="s">
        <v>8989</v>
      </c>
      <c r="P366" s="1" t="e">
        <v>#N/A</v>
      </c>
      <c r="Q366" s="1" t="e">
        <v>#N/A</v>
      </c>
      <c r="R366" s="1">
        <f t="shared" ref="R366:R373" si="106">1+LEN(T366)-LEN(SUBSTITUTE(T366,",",))</f>
        <v>14</v>
      </c>
      <c r="S366" s="1" t="str">
        <f t="shared" ref="S366:S373" si="107">IF(R366&gt;4,IF(R366&lt;8,"4-7",IF(R366&gt;7,"&gt;7")),"&lt;4")</f>
        <v>&gt;7</v>
      </c>
      <c r="T366" s="1" t="s">
        <v>18713</v>
      </c>
      <c r="U366" s="1" t="s">
        <v>7</v>
      </c>
      <c r="V366" s="1" t="s">
        <v>378</v>
      </c>
      <c r="W366" s="1"/>
    </row>
    <row r="367" spans="1:23" x14ac:dyDescent="0.2">
      <c r="A367" s="88" t="s">
        <v>15838</v>
      </c>
      <c r="B367" s="1" t="e">
        <v>#N/A</v>
      </c>
      <c r="C367" s="1" t="e">
        <v>#N/A</v>
      </c>
      <c r="D367" s="1" t="s">
        <v>1083</v>
      </c>
      <c r="E367" s="1" t="s">
        <v>1084</v>
      </c>
      <c r="F367" s="1" t="s">
        <v>9310</v>
      </c>
      <c r="G367" s="1" t="s">
        <v>8957</v>
      </c>
      <c r="H367" t="s">
        <v>8959</v>
      </c>
      <c r="I367" s="1" t="s">
        <v>9252</v>
      </c>
      <c r="J367" s="1" t="s">
        <v>8971</v>
      </c>
      <c r="K367" s="1" t="s">
        <v>21418</v>
      </c>
      <c r="L367" s="1" t="s">
        <v>20758</v>
      </c>
      <c r="M367" s="1">
        <f>579+464</f>
        <v>1043</v>
      </c>
      <c r="N367" s="1" t="s">
        <v>9059</v>
      </c>
      <c r="O367" s="1" t="s">
        <v>8989</v>
      </c>
      <c r="P367" s="1" t="e">
        <v>#N/A</v>
      </c>
      <c r="Q367" s="1" t="e">
        <v>#N/A</v>
      </c>
      <c r="R367" s="1">
        <f t="shared" si="106"/>
        <v>5</v>
      </c>
      <c r="S367" s="1" t="str">
        <f t="shared" si="107"/>
        <v>4-7</v>
      </c>
      <c r="T367" s="1" t="s">
        <v>18714</v>
      </c>
      <c r="U367" s="1" t="s">
        <v>17</v>
      </c>
      <c r="V367" s="1" t="s">
        <v>1017</v>
      </c>
      <c r="W367" s="1"/>
    </row>
    <row r="368" spans="1:23" x14ac:dyDescent="0.2">
      <c r="A368" s="88" t="s">
        <v>15839</v>
      </c>
      <c r="B368" s="1" t="e">
        <v>#N/A</v>
      </c>
      <c r="C368" s="1" t="e">
        <v>#N/A</v>
      </c>
      <c r="D368" s="1" t="s">
        <v>1085</v>
      </c>
      <c r="E368" s="1" t="s">
        <v>1086</v>
      </c>
      <c r="F368" s="1" t="s">
        <v>9310</v>
      </c>
      <c r="G368" s="1" t="s">
        <v>8957</v>
      </c>
      <c r="H368" t="s">
        <v>8959</v>
      </c>
      <c r="I368" s="1" t="s">
        <v>9252</v>
      </c>
      <c r="J368" s="1" t="s">
        <v>8971</v>
      </c>
      <c r="K368" s="1" t="s">
        <v>20736</v>
      </c>
      <c r="L368" s="1" t="s">
        <v>8987</v>
      </c>
      <c r="M368" s="1">
        <v>1976</v>
      </c>
      <c r="N368" s="1" t="s">
        <v>8953</v>
      </c>
      <c r="O368" s="1" t="s">
        <v>8989</v>
      </c>
      <c r="P368" s="1" t="e">
        <v>#N/A</v>
      </c>
      <c r="Q368" s="1" t="e">
        <v>#N/A</v>
      </c>
      <c r="R368" s="1">
        <f t="shared" si="106"/>
        <v>5</v>
      </c>
      <c r="S368" s="1" t="str">
        <f t="shared" si="107"/>
        <v>4-7</v>
      </c>
      <c r="T368" s="1" t="s">
        <v>18715</v>
      </c>
      <c r="U368" s="1" t="s">
        <v>7</v>
      </c>
      <c r="V368" s="1" t="s">
        <v>93</v>
      </c>
      <c r="W368" s="1"/>
    </row>
    <row r="369" spans="1:23" x14ac:dyDescent="0.2">
      <c r="A369" s="89" t="s">
        <v>15840</v>
      </c>
      <c r="B369" s="1" t="e">
        <v>#N/A</v>
      </c>
      <c r="C369" s="1" t="e">
        <v>#N/A</v>
      </c>
      <c r="D369" s="1" t="s">
        <v>1087</v>
      </c>
      <c r="E369" s="1" t="s">
        <v>1088</v>
      </c>
      <c r="F369" s="1" t="e">
        <v>#N/A</v>
      </c>
      <c r="G369" s="1" t="e">
        <v>#N/A</v>
      </c>
      <c r="H369" t="e">
        <v>#N/A</v>
      </c>
      <c r="I369" s="1" t="e">
        <v>#N/A</v>
      </c>
      <c r="J369" s="1" t="e">
        <v>#N/A</v>
      </c>
      <c r="K369" s="1" t="e">
        <v>#N/A</v>
      </c>
      <c r="L369" s="1" t="e">
        <v>#N/A</v>
      </c>
      <c r="M369" s="1" t="e">
        <v>#N/A</v>
      </c>
      <c r="N369" s="1" t="e">
        <v>#N/A</v>
      </c>
      <c r="O369" s="1" t="e">
        <v>#N/A</v>
      </c>
      <c r="P369" s="1" t="e">
        <v>#N/A</v>
      </c>
      <c r="Q369" s="1" t="e">
        <v>#N/A</v>
      </c>
      <c r="R369" s="1">
        <f t="shared" si="106"/>
        <v>2</v>
      </c>
      <c r="S369" s="1" t="str">
        <f t="shared" si="107"/>
        <v>&lt;4</v>
      </c>
      <c r="T369" s="1" t="s">
        <v>18716</v>
      </c>
      <c r="U369" s="1" t="s">
        <v>7</v>
      </c>
      <c r="V369" s="1" t="s">
        <v>1089</v>
      </c>
      <c r="W369" s="1"/>
    </row>
    <row r="370" spans="1:23" x14ac:dyDescent="0.2">
      <c r="A370" s="89" t="s">
        <v>1090</v>
      </c>
      <c r="B370" s="1" t="e">
        <v>#N/A</v>
      </c>
      <c r="C370" s="1" t="e">
        <v>#N/A</v>
      </c>
      <c r="D370" s="1" t="s">
        <v>1091</v>
      </c>
      <c r="E370" s="1" t="s">
        <v>1092</v>
      </c>
      <c r="F370" s="1" t="e">
        <v>#N/A</v>
      </c>
      <c r="G370" s="1" t="e">
        <v>#N/A</v>
      </c>
      <c r="H370" t="e">
        <v>#N/A</v>
      </c>
      <c r="I370" s="1" t="e">
        <v>#N/A</v>
      </c>
      <c r="J370" s="1" t="e">
        <v>#N/A</v>
      </c>
      <c r="K370" s="1" t="e">
        <v>#N/A</v>
      </c>
      <c r="L370" s="1" t="e">
        <v>#N/A</v>
      </c>
      <c r="M370" s="1" t="e">
        <v>#N/A</v>
      </c>
      <c r="N370" s="1" t="e">
        <v>#N/A</v>
      </c>
      <c r="O370" s="1" t="e">
        <v>#N/A</v>
      </c>
      <c r="P370" s="1" t="e">
        <v>#N/A</v>
      </c>
      <c r="Q370" s="1" t="e">
        <v>#N/A</v>
      </c>
      <c r="R370" s="1">
        <f t="shared" si="106"/>
        <v>5</v>
      </c>
      <c r="S370" s="1" t="str">
        <f t="shared" si="107"/>
        <v>4-7</v>
      </c>
      <c r="T370" s="1" t="s">
        <v>20562</v>
      </c>
      <c r="U370" s="1" t="s">
        <v>17</v>
      </c>
      <c r="V370" s="1" t="s">
        <v>1093</v>
      </c>
      <c r="W370" s="1"/>
    </row>
    <row r="371" spans="1:23" x14ac:dyDescent="0.2">
      <c r="A371" s="89" t="s">
        <v>1094</v>
      </c>
      <c r="B371" s="1" t="e">
        <v>#N/A</v>
      </c>
      <c r="C371" s="1" t="e">
        <v>#N/A</v>
      </c>
      <c r="D371" s="1" t="s">
        <v>1095</v>
      </c>
      <c r="E371" s="1" t="s">
        <v>1096</v>
      </c>
      <c r="F371" s="1" t="e">
        <v>#N/A</v>
      </c>
      <c r="G371" s="1" t="e">
        <v>#N/A</v>
      </c>
      <c r="H371" t="e">
        <v>#N/A</v>
      </c>
      <c r="I371" s="1" t="e">
        <v>#N/A</v>
      </c>
      <c r="J371" s="1" t="e">
        <v>#N/A</v>
      </c>
      <c r="K371" s="1" t="e">
        <v>#N/A</v>
      </c>
      <c r="L371" s="1" t="e">
        <v>#N/A</v>
      </c>
      <c r="M371" s="1" t="e">
        <v>#N/A</v>
      </c>
      <c r="N371" s="1" t="e">
        <v>#N/A</v>
      </c>
      <c r="O371" s="1" t="e">
        <v>#N/A</v>
      </c>
      <c r="P371" s="1" t="e">
        <v>#N/A</v>
      </c>
      <c r="Q371" s="1" t="e">
        <v>#N/A</v>
      </c>
      <c r="R371" s="1">
        <f t="shared" si="106"/>
        <v>3</v>
      </c>
      <c r="S371" s="1" t="str">
        <f t="shared" si="107"/>
        <v>&lt;4</v>
      </c>
      <c r="T371" s="1" t="s">
        <v>18717</v>
      </c>
      <c r="U371" s="1" t="s">
        <v>7</v>
      </c>
      <c r="V371" s="1" t="s">
        <v>1097</v>
      </c>
      <c r="W371" s="1"/>
    </row>
    <row r="372" spans="1:23" x14ac:dyDescent="0.2">
      <c r="A372" s="89" t="s">
        <v>15841</v>
      </c>
      <c r="B372" s="1" t="e">
        <v>#N/A</v>
      </c>
      <c r="C372" s="1" t="e">
        <v>#N/A</v>
      </c>
      <c r="D372" s="1" t="s">
        <v>1098</v>
      </c>
      <c r="E372" s="1" t="s">
        <v>1099</v>
      </c>
      <c r="F372" s="1" t="e">
        <v>#N/A</v>
      </c>
      <c r="G372" s="1" t="e">
        <v>#N/A</v>
      </c>
      <c r="H372" t="e">
        <v>#N/A</v>
      </c>
      <c r="I372" s="1" t="e">
        <v>#N/A</v>
      </c>
      <c r="J372" s="1" t="e">
        <v>#N/A</v>
      </c>
      <c r="K372" s="1" t="e">
        <v>#N/A</v>
      </c>
      <c r="L372" s="1" t="e">
        <v>#N/A</v>
      </c>
      <c r="M372" s="1" t="e">
        <v>#N/A</v>
      </c>
      <c r="N372" s="1" t="e">
        <v>#N/A</v>
      </c>
      <c r="O372" s="1" t="e">
        <v>#N/A</v>
      </c>
      <c r="P372" s="1" t="e">
        <v>#N/A</v>
      </c>
      <c r="Q372" s="1" t="e">
        <v>#N/A</v>
      </c>
      <c r="R372" s="1">
        <f t="shared" si="106"/>
        <v>1</v>
      </c>
      <c r="S372" s="1" t="str">
        <f t="shared" si="107"/>
        <v>&lt;4</v>
      </c>
      <c r="U372" s="1" t="s">
        <v>11</v>
      </c>
      <c r="V372" s="1" t="s">
        <v>1100</v>
      </c>
      <c r="W372" s="1"/>
    </row>
    <row r="373" spans="1:23" x14ac:dyDescent="0.2">
      <c r="A373" s="88" t="s">
        <v>15842</v>
      </c>
      <c r="B373" s="1" t="e">
        <v>#N/A</v>
      </c>
      <c r="C373" s="1" t="e">
        <v>#N/A</v>
      </c>
      <c r="D373" s="1" t="s">
        <v>1101</v>
      </c>
      <c r="E373" s="1" t="s">
        <v>1102</v>
      </c>
      <c r="F373" s="1" t="s">
        <v>18502</v>
      </c>
      <c r="G373" s="1" t="s">
        <v>8957</v>
      </c>
      <c r="H373" t="s">
        <v>8959</v>
      </c>
      <c r="I373" s="1" t="s">
        <v>9035</v>
      </c>
      <c r="J373" s="1" t="s">
        <v>9308</v>
      </c>
      <c r="K373" s="82" t="s">
        <v>10492</v>
      </c>
      <c r="L373" s="1" t="s">
        <v>9292</v>
      </c>
      <c r="M373" s="1">
        <v>1855</v>
      </c>
      <c r="N373" s="1" t="s">
        <v>8953</v>
      </c>
      <c r="O373" s="1" t="s">
        <v>8989</v>
      </c>
      <c r="P373" s="1" t="e">
        <v>#N/A</v>
      </c>
      <c r="Q373" s="1" t="e">
        <v>#N/A</v>
      </c>
      <c r="R373" s="1">
        <f t="shared" si="106"/>
        <v>6</v>
      </c>
      <c r="S373" s="1" t="str">
        <f t="shared" si="107"/>
        <v>4-7</v>
      </c>
      <c r="T373" s="1" t="s">
        <v>18718</v>
      </c>
      <c r="U373" s="1" t="s">
        <v>7</v>
      </c>
      <c r="V373" s="1" t="s">
        <v>1103</v>
      </c>
      <c r="W373" s="1"/>
    </row>
    <row r="374" spans="1:23" x14ac:dyDescent="0.2">
      <c r="A374" s="88" t="s">
        <v>15843</v>
      </c>
      <c r="B374" s="1" t="e">
        <v>#N/A</v>
      </c>
      <c r="C374" s="1" t="s">
        <v>13573</v>
      </c>
      <c r="D374" s="1" t="s">
        <v>1104</v>
      </c>
      <c r="E374" s="1" t="s">
        <v>1105</v>
      </c>
      <c r="F374" s="1" t="s">
        <v>9176</v>
      </c>
      <c r="G374" s="1" t="s">
        <v>8957</v>
      </c>
      <c r="H374" t="s">
        <v>8959</v>
      </c>
      <c r="I374" s="1" t="s">
        <v>9252</v>
      </c>
      <c r="J374" s="1" t="s">
        <v>9253</v>
      </c>
      <c r="K374" s="1" t="s">
        <v>9036</v>
      </c>
      <c r="L374" s="1" t="s">
        <v>8987</v>
      </c>
      <c r="M374" s="1">
        <v>1090</v>
      </c>
      <c r="N374" s="1" t="s">
        <v>8953</v>
      </c>
      <c r="O374" s="1" t="s">
        <v>8954</v>
      </c>
      <c r="P374" s="1" t="s">
        <v>8955</v>
      </c>
      <c r="Q374" s="1" t="s">
        <v>8956</v>
      </c>
      <c r="R374" s="1" t="s">
        <v>8957</v>
      </c>
      <c r="S374" s="1" t="s">
        <v>9103</v>
      </c>
      <c r="T374" s="1" t="s">
        <v>1106</v>
      </c>
      <c r="U374" s="1" t="s">
        <v>4</v>
      </c>
      <c r="V374" s="1" t="s">
        <v>61</v>
      </c>
      <c r="W374" s="1"/>
    </row>
    <row r="375" spans="1:23" x14ac:dyDescent="0.2">
      <c r="A375" s="88" t="s">
        <v>15844</v>
      </c>
      <c r="B375" s="1" t="e">
        <v>#N/A</v>
      </c>
      <c r="C375" s="1" t="s">
        <v>14628</v>
      </c>
      <c r="D375" s="1" t="s">
        <v>1107</v>
      </c>
      <c r="E375" s="1" t="s">
        <v>1108</v>
      </c>
      <c r="F375" s="1" t="s">
        <v>14631</v>
      </c>
      <c r="G375" s="1" t="s">
        <v>8957</v>
      </c>
      <c r="H375" t="s">
        <v>8959</v>
      </c>
      <c r="I375" s="1" t="s">
        <v>9154</v>
      </c>
      <c r="J375" s="1" t="s">
        <v>8971</v>
      </c>
      <c r="K375" s="1" t="s">
        <v>9041</v>
      </c>
      <c r="L375" s="1" t="s">
        <v>8973</v>
      </c>
      <c r="M375" s="1">
        <v>760</v>
      </c>
      <c r="N375" s="1" t="s">
        <v>8953</v>
      </c>
      <c r="O375" s="1" t="s">
        <v>8954</v>
      </c>
      <c r="P375" s="1" t="s">
        <v>8955</v>
      </c>
      <c r="Q375" s="1" t="s">
        <v>8956</v>
      </c>
      <c r="R375" s="1" t="s">
        <v>8957</v>
      </c>
      <c r="S375" s="1" t="s">
        <v>9103</v>
      </c>
      <c r="T375" s="1" t="s">
        <v>1109</v>
      </c>
      <c r="U375" s="1" t="s">
        <v>920</v>
      </c>
      <c r="V375" s="1" t="s">
        <v>1110</v>
      </c>
      <c r="W375" s="1"/>
    </row>
    <row r="376" spans="1:23" x14ac:dyDescent="0.2">
      <c r="A376" s="88" t="s">
        <v>15845</v>
      </c>
      <c r="B376" s="1" t="e">
        <v>#N/A</v>
      </c>
      <c r="C376" s="1" t="s">
        <v>14645</v>
      </c>
      <c r="D376" s="1" t="s">
        <v>1111</v>
      </c>
      <c r="E376" s="1" t="s">
        <v>1112</v>
      </c>
      <c r="F376" s="1" t="s">
        <v>9176</v>
      </c>
      <c r="G376" s="1" t="s">
        <v>8957</v>
      </c>
      <c r="H376" t="s">
        <v>8959</v>
      </c>
      <c r="I376" s="1" t="s">
        <v>9154</v>
      </c>
      <c r="J376" s="1" t="s">
        <v>8971</v>
      </c>
      <c r="K376" s="1" t="s">
        <v>12500</v>
      </c>
      <c r="L376" s="1" t="s">
        <v>8973</v>
      </c>
      <c r="M376" s="1">
        <v>820</v>
      </c>
      <c r="N376" s="1" t="s">
        <v>8953</v>
      </c>
      <c r="O376" s="1" t="s">
        <v>8954</v>
      </c>
      <c r="P376" s="1" t="s">
        <v>8955</v>
      </c>
      <c r="Q376" s="1" t="s">
        <v>8956</v>
      </c>
      <c r="R376" s="1" t="s">
        <v>8957</v>
      </c>
      <c r="S376" s="1" t="s">
        <v>9103</v>
      </c>
      <c r="T376" s="1" t="s">
        <v>1113</v>
      </c>
      <c r="U376" s="1" t="s">
        <v>1114</v>
      </c>
      <c r="V376" s="1" t="s">
        <v>625</v>
      </c>
      <c r="W376" s="1"/>
    </row>
    <row r="377" spans="1:23" x14ac:dyDescent="0.2">
      <c r="A377" s="88" t="s">
        <v>15846</v>
      </c>
      <c r="B377" s="1" t="e">
        <v>#N/A</v>
      </c>
      <c r="C377" s="1" t="e">
        <v>#N/A</v>
      </c>
      <c r="D377" s="1" t="s">
        <v>1115</v>
      </c>
      <c r="E377" s="1" t="s">
        <v>1116</v>
      </c>
      <c r="F377" s="1" t="s">
        <v>9176</v>
      </c>
      <c r="G377" s="1" t="s">
        <v>9060</v>
      </c>
      <c r="H377" t="s">
        <v>8959</v>
      </c>
      <c r="I377" s="1" t="s">
        <v>8984</v>
      </c>
      <c r="J377" s="1" t="s">
        <v>9131</v>
      </c>
      <c r="K377" s="1" t="s">
        <v>20759</v>
      </c>
      <c r="L377" s="1" t="s">
        <v>8987</v>
      </c>
      <c r="M377" s="1">
        <f>871+69</f>
        <v>940</v>
      </c>
      <c r="N377" s="1" t="s">
        <v>8953</v>
      </c>
      <c r="O377" s="1" t="s">
        <v>8954</v>
      </c>
      <c r="P377" s="1" t="e">
        <v>#N/A</v>
      </c>
      <c r="Q377" s="1" t="e">
        <v>#N/A</v>
      </c>
      <c r="R377" s="1">
        <f>1+LEN(T377)-LEN(SUBSTITUTE(T377,",",))</f>
        <v>4</v>
      </c>
      <c r="S377" s="1" t="str">
        <f>IF(R377&gt;4,IF(R377&lt;8,"4-7",IF(R377&gt;7,"&gt;7")),"&lt;4")</f>
        <v>&lt;4</v>
      </c>
      <c r="T377" s="1" t="s">
        <v>18719</v>
      </c>
      <c r="U377" s="1" t="s">
        <v>7</v>
      </c>
      <c r="V377" s="1" t="s">
        <v>126</v>
      </c>
      <c r="W377" s="1"/>
    </row>
    <row r="378" spans="1:23" x14ac:dyDescent="0.2">
      <c r="A378" s="88" t="s">
        <v>15847</v>
      </c>
      <c r="B378" s="1" t="e">
        <v>#N/A</v>
      </c>
      <c r="C378" s="1" t="s">
        <v>10536</v>
      </c>
      <c r="D378" s="1" t="s">
        <v>1117</v>
      </c>
      <c r="E378" s="1" t="s">
        <v>1118</v>
      </c>
      <c r="F378" s="1" t="s">
        <v>9010</v>
      </c>
      <c r="G378" s="1" t="s">
        <v>8957</v>
      </c>
      <c r="H378" t="s">
        <v>9061</v>
      </c>
      <c r="I378" s="1" t="s">
        <v>9605</v>
      </c>
      <c r="J378" s="1" t="s">
        <v>9155</v>
      </c>
      <c r="K378" s="1" t="s">
        <v>9245</v>
      </c>
      <c r="L378" s="1" t="s">
        <v>9292</v>
      </c>
      <c r="M378" s="1">
        <v>1000</v>
      </c>
      <c r="N378" s="1" t="s">
        <v>8953</v>
      </c>
      <c r="O378" s="1" t="s">
        <v>8954</v>
      </c>
      <c r="P378" s="1" t="s">
        <v>8955</v>
      </c>
      <c r="Q378" s="1" t="s">
        <v>8990</v>
      </c>
      <c r="R378" s="1" t="s">
        <v>8957</v>
      </c>
      <c r="S378" s="1" t="s">
        <v>8958</v>
      </c>
      <c r="T378" s="1" t="s">
        <v>1119</v>
      </c>
      <c r="U378" s="1" t="s">
        <v>17</v>
      </c>
      <c r="V378" s="1" t="s">
        <v>174</v>
      </c>
      <c r="W378" s="1"/>
    </row>
    <row r="379" spans="1:23" x14ac:dyDescent="0.2">
      <c r="A379" s="88" t="s">
        <v>15848</v>
      </c>
      <c r="B379" s="1" t="e">
        <v>#N/A</v>
      </c>
      <c r="C379" s="1" t="e">
        <v>#N/A</v>
      </c>
      <c r="D379" s="1" t="s">
        <v>1120</v>
      </c>
      <c r="E379" s="1" t="s">
        <v>1121</v>
      </c>
      <c r="F379" s="1" t="s">
        <v>18502</v>
      </c>
      <c r="G379" s="1" t="s">
        <v>8957</v>
      </c>
      <c r="H379" t="s">
        <v>8959</v>
      </c>
      <c r="I379" s="1" t="s">
        <v>9252</v>
      </c>
      <c r="J379" s="1" t="s">
        <v>8959</v>
      </c>
      <c r="K379" s="1" t="s">
        <v>9036</v>
      </c>
      <c r="L379" s="1" t="s">
        <v>8987</v>
      </c>
      <c r="M379" s="1">
        <v>24639</v>
      </c>
      <c r="N379" s="1" t="s">
        <v>8953</v>
      </c>
      <c r="O379" s="1" t="s">
        <v>8989</v>
      </c>
      <c r="P379" s="1" t="e">
        <v>#N/A</v>
      </c>
      <c r="Q379" s="1" t="e">
        <v>#N/A</v>
      </c>
      <c r="R379" s="1">
        <f t="shared" ref="R379:R385" si="108">1+LEN(T379)-LEN(SUBSTITUTE(T379,",",))</f>
        <v>9</v>
      </c>
      <c r="S379" s="1" t="str">
        <f t="shared" ref="S379:S385" si="109">IF(R379&gt;4,IF(R379&lt;8,"4-7",IF(R379&gt;7,"&gt;7")),"&lt;4")</f>
        <v>&gt;7</v>
      </c>
      <c r="T379" s="1" t="s">
        <v>18720</v>
      </c>
      <c r="U379" s="1" t="s">
        <v>17</v>
      </c>
      <c r="V379" s="1" t="s">
        <v>1122</v>
      </c>
      <c r="W379" s="1"/>
    </row>
    <row r="380" spans="1:23" x14ac:dyDescent="0.2">
      <c r="A380" s="88" t="s">
        <v>15849</v>
      </c>
      <c r="B380" s="1" t="e">
        <v>#N/A</v>
      </c>
      <c r="C380" s="1" t="e">
        <v>#N/A</v>
      </c>
      <c r="D380" s="1" t="s">
        <v>1123</v>
      </c>
      <c r="E380" s="1" t="s">
        <v>1124</v>
      </c>
      <c r="F380" s="1" t="s">
        <v>9465</v>
      </c>
      <c r="G380" s="1" t="s">
        <v>8957</v>
      </c>
      <c r="H380" t="s">
        <v>8959</v>
      </c>
      <c r="I380" s="1" t="s">
        <v>9092</v>
      </c>
      <c r="J380" s="1" t="s">
        <v>8959</v>
      </c>
      <c r="K380" s="1" t="s">
        <v>21220</v>
      </c>
      <c r="L380" s="1" t="s">
        <v>8951</v>
      </c>
      <c r="M380" s="1">
        <v>217</v>
      </c>
      <c r="N380" s="1" t="s">
        <v>8953</v>
      </c>
      <c r="O380" s="1" t="s">
        <v>8989</v>
      </c>
      <c r="P380" s="1" t="e">
        <v>#N/A</v>
      </c>
      <c r="Q380" s="1" t="e">
        <v>#N/A</v>
      </c>
      <c r="R380" s="1">
        <f t="shared" si="108"/>
        <v>8</v>
      </c>
      <c r="S380" s="1" t="str">
        <f t="shared" si="109"/>
        <v>&gt;7</v>
      </c>
      <c r="T380" s="1" t="s">
        <v>18721</v>
      </c>
      <c r="U380" s="1" t="s">
        <v>17</v>
      </c>
      <c r="V380" s="1" t="s">
        <v>1125</v>
      </c>
      <c r="W380" s="1"/>
    </row>
    <row r="381" spans="1:23" x14ac:dyDescent="0.2">
      <c r="A381" s="88" t="s">
        <v>15850</v>
      </c>
      <c r="B381" s="1" t="e">
        <v>#N/A</v>
      </c>
      <c r="C381" s="1" t="e">
        <v>#N/A</v>
      </c>
      <c r="D381" s="1" t="s">
        <v>1126</v>
      </c>
      <c r="E381" s="1" t="s">
        <v>1127</v>
      </c>
      <c r="F381" s="1" t="s">
        <v>9317</v>
      </c>
      <c r="G381" s="1" t="s">
        <v>8959</v>
      </c>
      <c r="H381" t="s">
        <v>8959</v>
      </c>
      <c r="I381" s="1" t="s">
        <v>9605</v>
      </c>
      <c r="J381" s="1" t="s">
        <v>8959</v>
      </c>
      <c r="K381" s="1" t="s">
        <v>9036</v>
      </c>
      <c r="L381" s="1" t="s">
        <v>9292</v>
      </c>
      <c r="M381" s="1">
        <v>6</v>
      </c>
      <c r="N381" s="1" t="s">
        <v>11658</v>
      </c>
      <c r="O381" s="1" t="s">
        <v>8989</v>
      </c>
      <c r="P381" s="1" t="e">
        <v>#N/A</v>
      </c>
      <c r="Q381" s="1" t="e">
        <v>#N/A</v>
      </c>
      <c r="R381" s="1">
        <f t="shared" si="108"/>
        <v>3</v>
      </c>
      <c r="S381" s="1" t="str">
        <f t="shared" si="109"/>
        <v>&lt;4</v>
      </c>
      <c r="T381" s="1" t="s">
        <v>18722</v>
      </c>
      <c r="U381" s="1" t="s">
        <v>17</v>
      </c>
      <c r="V381" s="1" t="s">
        <v>64</v>
      </c>
      <c r="W381" s="1"/>
    </row>
    <row r="382" spans="1:23" x14ac:dyDescent="0.2">
      <c r="A382" s="88" t="s">
        <v>15851</v>
      </c>
      <c r="B382" s="1" t="e">
        <v>#N/A</v>
      </c>
      <c r="C382" s="1" t="e">
        <v>#N/A</v>
      </c>
      <c r="D382" s="1" t="s">
        <v>1128</v>
      </c>
      <c r="E382" s="1" t="s">
        <v>1129</v>
      </c>
      <c r="F382" s="1" t="s">
        <v>10049</v>
      </c>
      <c r="G382" s="1" t="s">
        <v>8959</v>
      </c>
      <c r="H382" t="s">
        <v>8959</v>
      </c>
      <c r="I382" s="1" t="s">
        <v>9075</v>
      </c>
      <c r="J382" s="1" t="s">
        <v>9131</v>
      </c>
      <c r="K382" s="1" t="s">
        <v>10492</v>
      </c>
      <c r="L382" s="1" t="s">
        <v>8973</v>
      </c>
      <c r="M382" s="1">
        <v>900</v>
      </c>
      <c r="N382" s="1" t="s">
        <v>8953</v>
      </c>
      <c r="O382" s="1" t="s">
        <v>8989</v>
      </c>
      <c r="P382" s="1" t="e">
        <v>#N/A</v>
      </c>
      <c r="Q382" s="1" t="e">
        <v>#N/A</v>
      </c>
      <c r="R382" s="1">
        <f t="shared" si="108"/>
        <v>6</v>
      </c>
      <c r="S382" s="1" t="str">
        <f t="shared" si="109"/>
        <v>4-7</v>
      </c>
      <c r="T382" s="1" t="s">
        <v>18723</v>
      </c>
      <c r="U382" s="1" t="s">
        <v>7</v>
      </c>
      <c r="V382" s="1" t="s">
        <v>1130</v>
      </c>
      <c r="W382" s="1"/>
    </row>
    <row r="383" spans="1:23" x14ac:dyDescent="0.2">
      <c r="A383" s="88" t="s">
        <v>15852</v>
      </c>
      <c r="B383" s="1" t="e">
        <v>#N/A</v>
      </c>
      <c r="C383" s="1" t="e">
        <v>#N/A</v>
      </c>
      <c r="D383" s="1" t="s">
        <v>1131</v>
      </c>
      <c r="E383" s="1" t="s">
        <v>1132</v>
      </c>
      <c r="F383" s="1" t="s">
        <v>9380</v>
      </c>
      <c r="G383" s="1" t="s">
        <v>8959</v>
      </c>
      <c r="H383" t="s">
        <v>8959</v>
      </c>
      <c r="I383" s="1" t="s">
        <v>9092</v>
      </c>
      <c r="J383" s="1" t="s">
        <v>8998</v>
      </c>
      <c r="K383" s="1" t="s">
        <v>18489</v>
      </c>
      <c r="L383" s="1" t="s">
        <v>8987</v>
      </c>
      <c r="M383" s="1">
        <v>681</v>
      </c>
      <c r="N383" s="1" t="s">
        <v>8953</v>
      </c>
      <c r="O383" s="1" t="s">
        <v>8989</v>
      </c>
      <c r="P383" s="1" t="e">
        <v>#N/A</v>
      </c>
      <c r="Q383" s="1" t="e">
        <v>#N/A</v>
      </c>
      <c r="R383" s="1">
        <f t="shared" si="108"/>
        <v>5</v>
      </c>
      <c r="S383" s="1" t="str">
        <f t="shared" si="109"/>
        <v>4-7</v>
      </c>
      <c r="T383" s="1" t="s">
        <v>18724</v>
      </c>
      <c r="U383" s="1" t="s">
        <v>7</v>
      </c>
      <c r="V383" s="1" t="s">
        <v>43</v>
      </c>
      <c r="W383" s="1"/>
    </row>
    <row r="384" spans="1:23" x14ac:dyDescent="0.2">
      <c r="A384" s="89" t="s">
        <v>15853</v>
      </c>
      <c r="B384" s="1" t="e">
        <v>#N/A</v>
      </c>
      <c r="C384" s="1" t="e">
        <v>#N/A</v>
      </c>
      <c r="D384" s="1" t="s">
        <v>1133</v>
      </c>
      <c r="E384" s="1" t="s">
        <v>1134</v>
      </c>
      <c r="F384" s="1" t="e">
        <v>#N/A</v>
      </c>
      <c r="G384" s="1" t="e">
        <v>#N/A</v>
      </c>
      <c r="H384" t="e">
        <v>#N/A</v>
      </c>
      <c r="I384" s="1" t="e">
        <v>#N/A</v>
      </c>
      <c r="J384" s="1" t="e">
        <v>#N/A</v>
      </c>
      <c r="K384" s="1" t="e">
        <v>#N/A</v>
      </c>
      <c r="L384" s="1" t="e">
        <v>#N/A</v>
      </c>
      <c r="M384" s="1" t="e">
        <v>#N/A</v>
      </c>
      <c r="N384" s="1" t="e">
        <v>#N/A</v>
      </c>
      <c r="O384" s="1" t="e">
        <v>#N/A</v>
      </c>
      <c r="P384" s="1" t="e">
        <v>#N/A</v>
      </c>
      <c r="Q384" s="1" t="e">
        <v>#N/A</v>
      </c>
      <c r="R384" s="1">
        <f t="shared" si="108"/>
        <v>1</v>
      </c>
      <c r="S384" s="1" t="str">
        <f t="shared" si="109"/>
        <v>&lt;4</v>
      </c>
      <c r="U384" s="1" t="s">
        <v>17</v>
      </c>
      <c r="V384" s="1" t="s">
        <v>180</v>
      </c>
      <c r="W384" s="1"/>
    </row>
    <row r="385" spans="1:23" x14ac:dyDescent="0.2">
      <c r="A385" s="89" t="s">
        <v>15854</v>
      </c>
      <c r="B385" s="1" t="e">
        <v>#N/A</v>
      </c>
      <c r="C385" s="1" t="e">
        <v>#N/A</v>
      </c>
      <c r="D385" s="1" t="s">
        <v>1135</v>
      </c>
      <c r="E385" s="1" t="s">
        <v>1136</v>
      </c>
      <c r="F385" s="1" t="s">
        <v>18502</v>
      </c>
      <c r="G385" s="1" t="s">
        <v>8957</v>
      </c>
      <c r="H385" t="s">
        <v>9061</v>
      </c>
      <c r="I385" s="1" t="e">
        <v>#N/A</v>
      </c>
      <c r="J385" s="1" t="e">
        <v>#N/A</v>
      </c>
      <c r="K385" s="1" t="e">
        <v>#N/A</v>
      </c>
      <c r="L385" s="1" t="e">
        <v>#N/A</v>
      </c>
      <c r="M385" s="1" t="e">
        <v>#N/A</v>
      </c>
      <c r="N385" s="1" t="e">
        <v>#N/A</v>
      </c>
      <c r="O385" s="1" t="e">
        <v>#N/A</v>
      </c>
      <c r="P385" s="1" t="e">
        <v>#N/A</v>
      </c>
      <c r="Q385" s="1" t="e">
        <v>#N/A</v>
      </c>
      <c r="R385" s="1">
        <f t="shared" si="108"/>
        <v>1</v>
      </c>
      <c r="S385" s="1" t="str">
        <f t="shared" si="109"/>
        <v>&lt;4</v>
      </c>
      <c r="T385" s="1" t="s">
        <v>1134</v>
      </c>
      <c r="U385" s="1" t="s">
        <v>7</v>
      </c>
      <c r="V385" s="1" t="s">
        <v>378</v>
      </c>
      <c r="W385" s="1"/>
    </row>
    <row r="386" spans="1:23" x14ac:dyDescent="0.2">
      <c r="A386" s="88" t="s">
        <v>15855</v>
      </c>
      <c r="B386" s="1" t="e">
        <v>#N/A</v>
      </c>
      <c r="C386" s="1" t="s">
        <v>12186</v>
      </c>
      <c r="D386" s="1" t="s">
        <v>1137</v>
      </c>
      <c r="E386" s="1" t="s">
        <v>1138</v>
      </c>
      <c r="F386" s="1" t="s">
        <v>9010</v>
      </c>
      <c r="G386" s="1" t="s">
        <v>8957</v>
      </c>
      <c r="H386" t="s">
        <v>9183</v>
      </c>
      <c r="I386" s="1" t="s">
        <v>9035</v>
      </c>
      <c r="J386" s="1" t="s">
        <v>8998</v>
      </c>
      <c r="K386" s="1" t="s">
        <v>9036</v>
      </c>
      <c r="L386" s="1" t="s">
        <v>8987</v>
      </c>
      <c r="M386" s="1">
        <v>1000</v>
      </c>
      <c r="N386" s="1" t="s">
        <v>8953</v>
      </c>
      <c r="O386" s="1" t="s">
        <v>8989</v>
      </c>
      <c r="P386" s="1" t="s">
        <v>8955</v>
      </c>
      <c r="Q386" s="1" t="s">
        <v>8956</v>
      </c>
      <c r="R386" s="1" t="s">
        <v>8957</v>
      </c>
      <c r="S386" s="1" t="s">
        <v>8975</v>
      </c>
      <c r="T386" s="1" t="s">
        <v>1139</v>
      </c>
      <c r="U386" s="1" t="s">
        <v>11</v>
      </c>
      <c r="V386" s="1" t="s">
        <v>24</v>
      </c>
      <c r="W386" s="1"/>
    </row>
    <row r="387" spans="1:23" x14ac:dyDescent="0.2">
      <c r="A387" s="89" t="s">
        <v>1140</v>
      </c>
      <c r="B387" s="1" t="e">
        <v>#N/A</v>
      </c>
      <c r="C387" s="1" t="e">
        <v>#N/A</v>
      </c>
      <c r="D387" s="5" t="s">
        <v>1141</v>
      </c>
      <c r="E387" s="1" t="s">
        <v>1142</v>
      </c>
      <c r="F387" s="1" t="e">
        <v>#N/A</v>
      </c>
      <c r="G387" s="1" t="e">
        <v>#N/A</v>
      </c>
      <c r="H387" t="e">
        <v>#N/A</v>
      </c>
      <c r="I387" s="1" t="e">
        <v>#N/A</v>
      </c>
      <c r="J387" s="1" t="e">
        <v>#N/A</v>
      </c>
      <c r="K387" s="1" t="e">
        <v>#N/A</v>
      </c>
      <c r="L387" s="1" t="e">
        <v>#N/A</v>
      </c>
      <c r="M387" s="1" t="e">
        <v>#N/A</v>
      </c>
      <c r="N387" s="1" t="e">
        <v>#N/A</v>
      </c>
      <c r="O387" s="1" t="e">
        <v>#N/A</v>
      </c>
      <c r="P387" s="1" t="e">
        <v>#N/A</v>
      </c>
      <c r="Q387" s="1" t="e">
        <v>#N/A</v>
      </c>
      <c r="R387" s="1">
        <f>1+LEN(T387)-LEN(SUBSTITUTE(T387,",",))</f>
        <v>7</v>
      </c>
      <c r="S387" s="1" t="str">
        <f>IF(R387&gt;4,IF(R387&lt;8,"4-7",IF(R387&gt;7,"&gt;7")),"&lt;4")</f>
        <v>4-7</v>
      </c>
      <c r="T387" s="1" t="s">
        <v>18725</v>
      </c>
      <c r="U387" s="1" t="s">
        <v>17</v>
      </c>
      <c r="V387" s="1" t="s">
        <v>126</v>
      </c>
      <c r="W387" s="1"/>
    </row>
    <row r="388" spans="1:23" x14ac:dyDescent="0.2">
      <c r="A388" s="88" t="s">
        <v>15856</v>
      </c>
      <c r="B388" s="1" t="e">
        <v>#N/A</v>
      </c>
      <c r="C388" s="1" t="s">
        <v>11777</v>
      </c>
      <c r="D388" s="1" t="s">
        <v>1143</v>
      </c>
      <c r="E388" s="1" t="s">
        <v>1144</v>
      </c>
      <c r="F388" s="1" t="s">
        <v>10049</v>
      </c>
      <c r="G388" s="1" t="s">
        <v>8959</v>
      </c>
      <c r="H388" t="s">
        <v>9183</v>
      </c>
      <c r="I388" s="1" t="s">
        <v>9092</v>
      </c>
      <c r="J388" s="1" t="s">
        <v>8998</v>
      </c>
      <c r="K388" s="1" t="s">
        <v>21421</v>
      </c>
      <c r="L388" s="1" t="s">
        <v>9076</v>
      </c>
      <c r="M388" s="1">
        <v>720</v>
      </c>
      <c r="N388" s="1" t="s">
        <v>8953</v>
      </c>
      <c r="O388" s="1" t="s">
        <v>8954</v>
      </c>
      <c r="P388" s="1" t="s">
        <v>8955</v>
      </c>
      <c r="Q388" s="1" t="s">
        <v>8956</v>
      </c>
      <c r="R388" s="1" t="s">
        <v>8959</v>
      </c>
      <c r="S388" s="1" t="s">
        <v>8958</v>
      </c>
      <c r="T388" s="1" t="s">
        <v>1145</v>
      </c>
      <c r="U388" s="1" t="s">
        <v>11</v>
      </c>
      <c r="V388" s="1" t="s">
        <v>1146</v>
      </c>
      <c r="W388" s="1"/>
    </row>
    <row r="389" spans="1:23" x14ac:dyDescent="0.2">
      <c r="A389" s="88" t="s">
        <v>15857</v>
      </c>
      <c r="B389" s="1" t="e">
        <v>#N/A</v>
      </c>
      <c r="C389" s="1" t="s">
        <v>12390</v>
      </c>
      <c r="D389" s="1" t="s">
        <v>1147</v>
      </c>
      <c r="E389" s="1" t="s">
        <v>1148</v>
      </c>
      <c r="F389" s="1" t="s">
        <v>9010</v>
      </c>
      <c r="G389" s="1" t="s">
        <v>9060</v>
      </c>
      <c r="H389" t="s">
        <v>9183</v>
      </c>
      <c r="I389" s="1" t="s">
        <v>8948</v>
      </c>
      <c r="J389" s="1" t="s">
        <v>8949</v>
      </c>
      <c r="K389" s="1" t="s">
        <v>9036</v>
      </c>
      <c r="L389" s="1" t="s">
        <v>8951</v>
      </c>
      <c r="M389" s="1">
        <v>18</v>
      </c>
      <c r="N389" s="1" t="s">
        <v>9059</v>
      </c>
      <c r="O389" s="1" t="s">
        <v>8989</v>
      </c>
      <c r="P389" s="1" t="s">
        <v>8955</v>
      </c>
      <c r="Q389" s="1" t="s">
        <v>8956</v>
      </c>
      <c r="R389" s="1" t="s">
        <v>9060</v>
      </c>
      <c r="S389" s="1" t="s">
        <v>8975</v>
      </c>
      <c r="T389" s="1" t="s">
        <v>1149</v>
      </c>
      <c r="U389" s="1" t="s">
        <v>11</v>
      </c>
      <c r="V389" s="1" t="s">
        <v>392</v>
      </c>
      <c r="W389" s="1"/>
    </row>
    <row r="390" spans="1:23" x14ac:dyDescent="0.2">
      <c r="A390" s="88" t="s">
        <v>15858</v>
      </c>
      <c r="B390" s="1" t="e">
        <v>#N/A</v>
      </c>
      <c r="C390" s="1" t="s">
        <v>13638</v>
      </c>
      <c r="D390" s="1" t="s">
        <v>1150</v>
      </c>
      <c r="E390" s="1" t="s">
        <v>1151</v>
      </c>
      <c r="F390" s="1" t="s">
        <v>9010</v>
      </c>
      <c r="G390" s="1" t="s">
        <v>8957</v>
      </c>
      <c r="H390" t="s">
        <v>9061</v>
      </c>
      <c r="I390" s="1" t="s">
        <v>9075</v>
      </c>
      <c r="J390" s="1" t="s">
        <v>8998</v>
      </c>
      <c r="K390" s="1" t="s">
        <v>9036</v>
      </c>
      <c r="L390" s="1" t="s">
        <v>9133</v>
      </c>
      <c r="M390" s="1">
        <v>6700</v>
      </c>
      <c r="N390" s="1" t="s">
        <v>8953</v>
      </c>
      <c r="O390" s="1" t="s">
        <v>8954</v>
      </c>
      <c r="P390" s="1" t="s">
        <v>9182</v>
      </c>
      <c r="Q390" s="1" t="s">
        <v>8956</v>
      </c>
      <c r="R390" s="1" t="s">
        <v>8957</v>
      </c>
      <c r="S390" s="1" t="s">
        <v>8975</v>
      </c>
      <c r="T390" s="1" t="s">
        <v>1152</v>
      </c>
      <c r="U390" s="1" t="s">
        <v>4</v>
      </c>
      <c r="V390" s="1" t="s">
        <v>24</v>
      </c>
      <c r="W390" s="1"/>
    </row>
    <row r="391" spans="1:23" x14ac:dyDescent="0.2">
      <c r="A391" s="88" t="s">
        <v>15859</v>
      </c>
      <c r="B391" s="1" t="e">
        <v>#N/A</v>
      </c>
      <c r="C391" s="1" t="s">
        <v>14399</v>
      </c>
      <c r="D391" s="1" t="s">
        <v>1153</v>
      </c>
      <c r="E391" s="1" t="s">
        <v>1154</v>
      </c>
      <c r="F391" s="1" t="s">
        <v>9010</v>
      </c>
      <c r="G391" s="1" t="s">
        <v>8957</v>
      </c>
      <c r="H391" t="s">
        <v>9061</v>
      </c>
      <c r="I391" s="1" t="s">
        <v>9075</v>
      </c>
      <c r="J391" s="1" t="s">
        <v>8998</v>
      </c>
      <c r="K391" s="1" t="s">
        <v>9036</v>
      </c>
      <c r="L391" s="1" t="s">
        <v>8973</v>
      </c>
      <c r="M391" s="1">
        <v>8420</v>
      </c>
      <c r="N391" s="1" t="s">
        <v>8953</v>
      </c>
      <c r="O391" s="1" t="s">
        <v>8989</v>
      </c>
      <c r="P391" s="1" t="s">
        <v>8955</v>
      </c>
      <c r="Q391" s="1" t="s">
        <v>8956</v>
      </c>
      <c r="R391" s="1" t="s">
        <v>8957</v>
      </c>
      <c r="S391" s="1" t="s">
        <v>8958</v>
      </c>
      <c r="T391" s="1" t="s">
        <v>1155</v>
      </c>
      <c r="U391" s="1" t="s">
        <v>242</v>
      </c>
      <c r="V391" s="1" t="s">
        <v>93</v>
      </c>
      <c r="W391" s="1"/>
    </row>
    <row r="392" spans="1:23" x14ac:dyDescent="0.2">
      <c r="A392" s="88" t="s">
        <v>15860</v>
      </c>
      <c r="B392" s="1" t="e">
        <v>#N/A</v>
      </c>
      <c r="C392" s="1" t="e">
        <v>#N/A</v>
      </c>
      <c r="D392" s="1" t="s">
        <v>1156</v>
      </c>
      <c r="E392" s="1" t="s">
        <v>1157</v>
      </c>
      <c r="F392" s="1" t="s">
        <v>18502</v>
      </c>
      <c r="G392" s="1" t="s">
        <v>8957</v>
      </c>
      <c r="H392" t="s">
        <v>9061</v>
      </c>
      <c r="I392" s="1" t="s">
        <v>9075</v>
      </c>
      <c r="J392" s="1" t="s">
        <v>8998</v>
      </c>
      <c r="K392" s="1" t="s">
        <v>9036</v>
      </c>
      <c r="L392" s="1" t="s">
        <v>9133</v>
      </c>
      <c r="M392" s="1">
        <v>123</v>
      </c>
      <c r="N392" s="1" t="s">
        <v>9059</v>
      </c>
      <c r="O392" s="1" t="s">
        <v>8989</v>
      </c>
      <c r="P392" s="1" t="e">
        <v>#N/A</v>
      </c>
      <c r="Q392" s="1" t="e">
        <v>#N/A</v>
      </c>
      <c r="R392" s="1">
        <f>1+LEN(T392)-LEN(SUBSTITUTE(T392,",",))</f>
        <v>17</v>
      </c>
      <c r="S392" s="1" t="str">
        <f>IF(R392&gt;4,IF(R392&lt;8,"4-7",IF(R392&gt;7,"&gt;7")),"&lt;4")</f>
        <v>&gt;7</v>
      </c>
      <c r="T392" s="1" t="s">
        <v>18726</v>
      </c>
      <c r="U392" s="1" t="s">
        <v>17</v>
      </c>
      <c r="V392" s="1" t="s">
        <v>562</v>
      </c>
      <c r="W392" s="1"/>
    </row>
    <row r="393" spans="1:23" x14ac:dyDescent="0.2">
      <c r="A393" s="88" t="s">
        <v>15861</v>
      </c>
      <c r="B393" s="1" t="e">
        <v>#N/A</v>
      </c>
      <c r="C393" s="1" t="s">
        <v>15114</v>
      </c>
      <c r="D393" s="1" t="s">
        <v>1158</v>
      </c>
      <c r="E393" s="1" t="s">
        <v>1159</v>
      </c>
      <c r="F393" s="1" t="s">
        <v>9213</v>
      </c>
      <c r="G393" s="1" t="s">
        <v>8957</v>
      </c>
      <c r="H393" t="s">
        <v>9061</v>
      </c>
      <c r="I393" s="1" t="s">
        <v>9035</v>
      </c>
      <c r="J393" s="1" t="s">
        <v>9155</v>
      </c>
      <c r="K393" s="1" t="s">
        <v>10258</v>
      </c>
      <c r="L393" s="1" t="s">
        <v>8951</v>
      </c>
      <c r="M393" s="1">
        <v>17211</v>
      </c>
      <c r="N393" s="1" t="s">
        <v>8953</v>
      </c>
      <c r="O393" s="1" t="s">
        <v>8954</v>
      </c>
      <c r="P393" s="1" t="s">
        <v>8955</v>
      </c>
      <c r="Q393" s="1" t="s">
        <v>8956</v>
      </c>
      <c r="R393" s="1" t="s">
        <v>8957</v>
      </c>
      <c r="S393" s="1" t="s">
        <v>8958</v>
      </c>
      <c r="T393" s="1" t="s">
        <v>1160</v>
      </c>
      <c r="U393" s="1" t="s">
        <v>17</v>
      </c>
      <c r="V393" s="1" t="s">
        <v>1161</v>
      </c>
      <c r="W393" s="1"/>
    </row>
    <row r="394" spans="1:23" x14ac:dyDescent="0.2">
      <c r="A394" s="88" t="s">
        <v>15862</v>
      </c>
      <c r="B394" s="1" t="e">
        <v>#N/A</v>
      </c>
      <c r="C394" s="1" t="e">
        <v>#N/A</v>
      </c>
      <c r="D394" s="1" t="s">
        <v>1162</v>
      </c>
      <c r="E394" s="1" t="s">
        <v>1163</v>
      </c>
      <c r="F394" s="1" t="s">
        <v>9213</v>
      </c>
      <c r="G394" s="1" t="s">
        <v>8957</v>
      </c>
      <c r="H394" t="s">
        <v>9061</v>
      </c>
      <c r="I394" s="1" t="s">
        <v>9035</v>
      </c>
      <c r="J394" s="1" t="s">
        <v>8998</v>
      </c>
      <c r="K394" s="1" t="s">
        <v>9658</v>
      </c>
      <c r="L394" s="1" t="s">
        <v>8987</v>
      </c>
      <c r="M394" s="1">
        <v>173</v>
      </c>
      <c r="N394" s="1" t="s">
        <v>8953</v>
      </c>
      <c r="O394" s="1" t="s">
        <v>8989</v>
      </c>
      <c r="P394" s="1" t="e">
        <v>#N/A</v>
      </c>
      <c r="Q394" s="1" t="e">
        <v>#N/A</v>
      </c>
      <c r="R394" s="1">
        <f t="shared" ref="R394:R397" si="110">1+LEN(T394)-LEN(SUBSTITUTE(T394,",",))</f>
        <v>7</v>
      </c>
      <c r="S394" s="1" t="str">
        <f t="shared" ref="S394:S397" si="111">IF(R394&gt;4,IF(R394&lt;8,"4-7",IF(R394&gt;7,"&gt;7")),"&lt;4")</f>
        <v>4-7</v>
      </c>
      <c r="T394" s="1" t="s">
        <v>18727</v>
      </c>
      <c r="U394" s="1" t="s">
        <v>7</v>
      </c>
      <c r="V394" s="1" t="s">
        <v>562</v>
      </c>
      <c r="W394" s="1"/>
    </row>
    <row r="395" spans="1:23" x14ac:dyDescent="0.2">
      <c r="A395" s="88" t="s">
        <v>15863</v>
      </c>
      <c r="B395" s="1" t="e">
        <v>#N/A</v>
      </c>
      <c r="C395" s="1" t="e">
        <v>#N/A</v>
      </c>
      <c r="D395" s="1" t="s">
        <v>1164</v>
      </c>
      <c r="E395" s="1" t="s">
        <v>1165</v>
      </c>
      <c r="F395" s="1" t="e">
        <v>#N/A</v>
      </c>
      <c r="G395" s="1" t="e">
        <v>#N/A</v>
      </c>
      <c r="H395" t="e">
        <v>#N/A</v>
      </c>
      <c r="I395" s="1" t="e">
        <v>#N/A</v>
      </c>
      <c r="J395" s="1" t="e">
        <v>#N/A</v>
      </c>
      <c r="K395" s="1" t="e">
        <v>#N/A</v>
      </c>
      <c r="L395" s="1" t="e">
        <v>#N/A</v>
      </c>
      <c r="M395" s="1" t="e">
        <v>#N/A</v>
      </c>
      <c r="N395" s="1" t="e">
        <v>#N/A</v>
      </c>
      <c r="O395" s="1" t="e">
        <v>#N/A</v>
      </c>
      <c r="P395" s="1" t="e">
        <v>#N/A</v>
      </c>
      <c r="Q395" s="1" t="e">
        <v>#N/A</v>
      </c>
      <c r="R395" s="1">
        <f t="shared" si="110"/>
        <v>7</v>
      </c>
      <c r="S395" s="1" t="str">
        <f t="shared" si="111"/>
        <v>4-7</v>
      </c>
      <c r="T395" s="1" t="s">
        <v>18728</v>
      </c>
      <c r="U395" s="1" t="s">
        <v>252</v>
      </c>
      <c r="V395" s="1" t="s">
        <v>126</v>
      </c>
      <c r="W395" s="1"/>
    </row>
    <row r="396" spans="1:23" x14ac:dyDescent="0.2">
      <c r="A396" s="94" t="s">
        <v>15864</v>
      </c>
      <c r="B396" s="1" t="e">
        <v>#N/A</v>
      </c>
      <c r="C396" s="1" t="e">
        <v>#N/A</v>
      </c>
      <c r="D396" s="1" t="s">
        <v>1166</v>
      </c>
      <c r="E396" s="1" t="s">
        <v>1167</v>
      </c>
      <c r="F396" s="1" t="s">
        <v>18502</v>
      </c>
      <c r="G396" s="1" t="e">
        <v>#N/A</v>
      </c>
      <c r="H396" t="s">
        <v>8959</v>
      </c>
      <c r="I396" s="1" t="s">
        <v>9605</v>
      </c>
      <c r="J396" s="1" t="s">
        <v>8959</v>
      </c>
      <c r="K396" s="1" t="s">
        <v>20760</v>
      </c>
      <c r="L396" s="1" t="s">
        <v>20709</v>
      </c>
      <c r="M396" s="1" t="e">
        <v>#N/A</v>
      </c>
      <c r="N396" s="1" t="e">
        <v>#N/A</v>
      </c>
      <c r="O396" s="1" t="e">
        <v>#N/A</v>
      </c>
      <c r="P396" s="1" t="e">
        <v>#N/A</v>
      </c>
      <c r="Q396" s="1" t="e">
        <v>#N/A</v>
      </c>
      <c r="R396" s="1">
        <f t="shared" si="110"/>
        <v>4</v>
      </c>
      <c r="S396" s="1" t="str">
        <f t="shared" si="111"/>
        <v>&lt;4</v>
      </c>
      <c r="T396" s="1" t="s">
        <v>18729</v>
      </c>
      <c r="U396" s="1" t="s">
        <v>7</v>
      </c>
      <c r="V396" s="1" t="s">
        <v>1110</v>
      </c>
      <c r="W396" s="1"/>
    </row>
    <row r="397" spans="1:23" x14ac:dyDescent="0.2">
      <c r="A397" s="88" t="s">
        <v>15865</v>
      </c>
      <c r="B397" s="1" t="e">
        <v>#N/A</v>
      </c>
      <c r="C397" s="1" t="e">
        <v>#N/A</v>
      </c>
      <c r="D397" s="1" t="s">
        <v>1168</v>
      </c>
      <c r="E397" s="1" t="s">
        <v>1169</v>
      </c>
      <c r="F397" s="1" t="s">
        <v>9815</v>
      </c>
      <c r="G397" s="1" t="s">
        <v>8974</v>
      </c>
      <c r="H397" t="s">
        <v>8959</v>
      </c>
      <c r="I397" s="1" t="s">
        <v>20712</v>
      </c>
      <c r="J397" s="1" t="s">
        <v>9155</v>
      </c>
      <c r="K397" s="1" t="s">
        <v>20761</v>
      </c>
      <c r="L397" s="1" t="s">
        <v>8973</v>
      </c>
      <c r="M397" s="1">
        <f>159+30</f>
        <v>189</v>
      </c>
      <c r="N397" s="1" t="s">
        <v>8953</v>
      </c>
      <c r="O397" s="1" t="s">
        <v>8954</v>
      </c>
      <c r="P397" s="1" t="e">
        <v>#N/A</v>
      </c>
      <c r="Q397" s="1" t="e">
        <v>#N/A</v>
      </c>
      <c r="R397" s="1">
        <f t="shared" si="110"/>
        <v>2</v>
      </c>
      <c r="S397" s="1" t="str">
        <f t="shared" si="111"/>
        <v>&lt;4</v>
      </c>
      <c r="T397" s="1" t="s">
        <v>18730</v>
      </c>
      <c r="U397" s="1" t="s">
        <v>17</v>
      </c>
      <c r="V397" s="1" t="s">
        <v>27</v>
      </c>
      <c r="W397" s="1"/>
    </row>
    <row r="398" spans="1:23" x14ac:dyDescent="0.2">
      <c r="A398" s="88" t="s">
        <v>15866</v>
      </c>
      <c r="B398" s="1" t="e">
        <v>#N/A</v>
      </c>
      <c r="C398" s="1" t="s">
        <v>10913</v>
      </c>
      <c r="D398" s="1" t="s">
        <v>1170</v>
      </c>
      <c r="E398" s="1" t="s">
        <v>1171</v>
      </c>
      <c r="F398" s="1" t="s">
        <v>13122</v>
      </c>
      <c r="G398" s="1" t="s">
        <v>8957</v>
      </c>
      <c r="H398" t="s">
        <v>9183</v>
      </c>
      <c r="I398" s="1" t="s">
        <v>9049</v>
      </c>
      <c r="J398" s="1" t="s">
        <v>9325</v>
      </c>
      <c r="K398" s="1" t="s">
        <v>21422</v>
      </c>
      <c r="L398" s="1" t="s">
        <v>8987</v>
      </c>
      <c r="M398" s="1">
        <v>14720</v>
      </c>
      <c r="N398" s="1" t="s">
        <v>8953</v>
      </c>
      <c r="O398" s="1" t="s">
        <v>8954</v>
      </c>
      <c r="P398" s="1" t="s">
        <v>8955</v>
      </c>
      <c r="Q398" s="1" t="s">
        <v>8956</v>
      </c>
      <c r="R398" s="1" t="s">
        <v>8957</v>
      </c>
      <c r="S398" s="1" t="s">
        <v>8958</v>
      </c>
      <c r="T398" s="1" t="s">
        <v>1172</v>
      </c>
      <c r="U398" s="1" t="s">
        <v>11</v>
      </c>
      <c r="V398" s="1" t="s">
        <v>46</v>
      </c>
      <c r="W398" s="1"/>
    </row>
    <row r="399" spans="1:23" x14ac:dyDescent="0.2">
      <c r="A399" s="89" t="s">
        <v>1173</v>
      </c>
      <c r="B399" s="1" t="e">
        <v>#N/A</v>
      </c>
      <c r="C399" s="1" t="e">
        <v>#N/A</v>
      </c>
      <c r="D399" s="1" t="s">
        <v>1174</v>
      </c>
      <c r="E399" s="1" t="s">
        <v>1175</v>
      </c>
      <c r="F399" s="1" t="e">
        <v>#N/A</v>
      </c>
      <c r="G399" s="1" t="e">
        <v>#N/A</v>
      </c>
      <c r="H399" t="e">
        <v>#N/A</v>
      </c>
      <c r="I399" s="1" t="e">
        <v>#N/A</v>
      </c>
      <c r="J399" s="1" t="e">
        <v>#N/A</v>
      </c>
      <c r="K399" s="1" t="e">
        <v>#N/A</v>
      </c>
      <c r="L399" s="1" t="e">
        <v>#N/A</v>
      </c>
      <c r="M399" s="1" t="e">
        <v>#N/A</v>
      </c>
      <c r="N399" s="1" t="e">
        <v>#N/A</v>
      </c>
      <c r="O399" s="1" t="e">
        <v>#N/A</v>
      </c>
      <c r="P399" s="1" t="e">
        <v>#N/A</v>
      </c>
      <c r="Q399" s="1" t="e">
        <v>#N/A</v>
      </c>
      <c r="R399" s="1">
        <f t="shared" ref="R399:R400" si="112">1+LEN(T399)-LEN(SUBSTITUTE(T399,",",))</f>
        <v>3</v>
      </c>
      <c r="S399" s="1" t="str">
        <f t="shared" ref="S399:S400" si="113">IF(R399&gt;4,IF(R399&lt;8,"4-7",IF(R399&gt;7,"&gt;7")),"&lt;4")</f>
        <v>&lt;4</v>
      </c>
      <c r="T399" s="1" t="s">
        <v>18731</v>
      </c>
      <c r="U399" s="1" t="s">
        <v>7</v>
      </c>
      <c r="V399" s="1" t="s">
        <v>670</v>
      </c>
      <c r="W399" s="1"/>
    </row>
    <row r="400" spans="1:23" x14ac:dyDescent="0.2">
      <c r="A400" s="89" t="s">
        <v>1176</v>
      </c>
      <c r="B400" s="1" t="e">
        <v>#N/A</v>
      </c>
      <c r="C400" s="1" t="e">
        <v>#N/A</v>
      </c>
      <c r="D400" s="1" t="s">
        <v>1177</v>
      </c>
      <c r="E400" s="1" t="s">
        <v>1178</v>
      </c>
      <c r="F400" s="1" t="e">
        <v>#N/A</v>
      </c>
      <c r="G400" s="1" t="e">
        <v>#N/A</v>
      </c>
      <c r="H400" t="e">
        <v>#N/A</v>
      </c>
      <c r="I400" s="1" t="e">
        <v>#N/A</v>
      </c>
      <c r="J400" s="1" t="e">
        <v>#N/A</v>
      </c>
      <c r="K400" s="1" t="e">
        <v>#N/A</v>
      </c>
      <c r="L400" s="1" t="e">
        <v>#N/A</v>
      </c>
      <c r="M400" s="1" t="e">
        <v>#N/A</v>
      </c>
      <c r="N400" s="1" t="e">
        <v>#N/A</v>
      </c>
      <c r="O400" s="1" t="e">
        <v>#N/A</v>
      </c>
      <c r="P400" s="1" t="e">
        <v>#N/A</v>
      </c>
      <c r="Q400" s="1" t="e">
        <v>#N/A</v>
      </c>
      <c r="R400" s="1">
        <f t="shared" si="112"/>
        <v>4</v>
      </c>
      <c r="S400" s="1" t="str">
        <f t="shared" si="113"/>
        <v>&lt;4</v>
      </c>
      <c r="T400" s="1" t="s">
        <v>18732</v>
      </c>
      <c r="U400" s="1" t="s">
        <v>7</v>
      </c>
      <c r="V400" s="1" t="s">
        <v>204</v>
      </c>
      <c r="W400" s="1"/>
    </row>
    <row r="401" spans="1:23" x14ac:dyDescent="0.2">
      <c r="A401" s="88" t="s">
        <v>15867</v>
      </c>
      <c r="B401" s="1" t="e">
        <v>#N/A</v>
      </c>
      <c r="C401" s="1" t="s">
        <v>10140</v>
      </c>
      <c r="D401" s="1" t="s">
        <v>1179</v>
      </c>
      <c r="E401" s="1" t="s">
        <v>1180</v>
      </c>
      <c r="F401" s="1" t="s">
        <v>9010</v>
      </c>
      <c r="G401" s="1" t="s">
        <v>8974</v>
      </c>
      <c r="H401" t="s">
        <v>9061</v>
      </c>
      <c r="I401" s="1" t="s">
        <v>8948</v>
      </c>
      <c r="J401" s="1" t="s">
        <v>8998</v>
      </c>
      <c r="K401" s="1" t="s">
        <v>8972</v>
      </c>
      <c r="L401" s="1" t="s">
        <v>8973</v>
      </c>
      <c r="M401" s="1">
        <v>1120</v>
      </c>
      <c r="N401" s="1" t="s">
        <v>8953</v>
      </c>
      <c r="O401" s="1" t="s">
        <v>8989</v>
      </c>
      <c r="P401" s="1" t="s">
        <v>8955</v>
      </c>
      <c r="Q401" s="1" t="s">
        <v>8956</v>
      </c>
      <c r="R401" s="1" t="s">
        <v>8974</v>
      </c>
      <c r="S401" s="1" t="s">
        <v>8975</v>
      </c>
      <c r="T401" s="1" t="s">
        <v>1181</v>
      </c>
      <c r="U401" s="1" t="s">
        <v>17</v>
      </c>
      <c r="V401" s="1" t="s">
        <v>93</v>
      </c>
      <c r="W401" s="1"/>
    </row>
    <row r="402" spans="1:23" x14ac:dyDescent="0.2">
      <c r="A402" s="89" t="s">
        <v>15868</v>
      </c>
      <c r="B402" s="1" t="e">
        <v>#N/A</v>
      </c>
      <c r="C402" s="1" t="e">
        <v>#N/A</v>
      </c>
      <c r="D402" s="1" t="s">
        <v>1182</v>
      </c>
      <c r="E402" s="1" t="s">
        <v>1183</v>
      </c>
      <c r="F402" s="1" t="e">
        <v>#N/A</v>
      </c>
      <c r="G402" s="1" t="e">
        <v>#N/A</v>
      </c>
      <c r="H402" t="e">
        <v>#N/A</v>
      </c>
      <c r="I402" s="1" t="e">
        <v>#N/A</v>
      </c>
      <c r="J402" s="1" t="e">
        <v>#N/A</v>
      </c>
      <c r="K402" s="1" t="e">
        <v>#N/A</v>
      </c>
      <c r="L402" s="1" t="e">
        <v>#N/A</v>
      </c>
      <c r="M402" s="1" t="e">
        <v>#N/A</v>
      </c>
      <c r="N402" s="1" t="e">
        <v>#N/A</v>
      </c>
      <c r="O402" s="1" t="e">
        <v>#N/A</v>
      </c>
      <c r="P402" s="1" t="e">
        <v>#N/A</v>
      </c>
      <c r="Q402" s="1" t="e">
        <v>#N/A</v>
      </c>
      <c r="R402" s="1">
        <f t="shared" ref="R402:R403" si="114">1+LEN(T402)-LEN(SUBSTITUTE(T402,",",))</f>
        <v>2</v>
      </c>
      <c r="S402" s="1" t="str">
        <f t="shared" ref="S402:S403" si="115">IF(R402&gt;4,IF(R402&lt;8,"4-7",IF(R402&gt;7,"&gt;7")),"&lt;4")</f>
        <v>&lt;4</v>
      </c>
      <c r="T402" s="1" t="s">
        <v>18733</v>
      </c>
      <c r="U402" s="1" t="s">
        <v>17</v>
      </c>
      <c r="V402" s="1" t="s">
        <v>670</v>
      </c>
      <c r="W402" s="1"/>
    </row>
    <row r="403" spans="1:23" x14ac:dyDescent="0.2">
      <c r="A403" s="88" t="s">
        <v>15869</v>
      </c>
      <c r="B403" s="1" t="e">
        <v>#N/A</v>
      </c>
      <c r="C403" s="1" t="e">
        <v>#N/A</v>
      </c>
      <c r="D403" s="1" t="s">
        <v>1184</v>
      </c>
      <c r="E403" s="1" t="s">
        <v>1185</v>
      </c>
      <c r="F403" s="1" t="s">
        <v>18502</v>
      </c>
      <c r="G403" s="1" t="s">
        <v>8957</v>
      </c>
      <c r="H403" t="s">
        <v>8959</v>
      </c>
      <c r="I403" s="1" t="s">
        <v>9092</v>
      </c>
      <c r="J403" s="1" t="s">
        <v>8949</v>
      </c>
      <c r="K403" s="1" t="s">
        <v>9036</v>
      </c>
      <c r="L403" s="1" t="s">
        <v>8987</v>
      </c>
      <c r="M403" s="1">
        <v>1505</v>
      </c>
      <c r="N403" s="1" t="s">
        <v>9059</v>
      </c>
      <c r="O403" s="1" t="s">
        <v>8954</v>
      </c>
      <c r="P403" s="1" t="e">
        <v>#N/A</v>
      </c>
      <c r="Q403" s="1" t="e">
        <v>#N/A</v>
      </c>
      <c r="R403" s="1">
        <f t="shared" si="114"/>
        <v>6</v>
      </c>
      <c r="S403" s="1" t="str">
        <f t="shared" si="115"/>
        <v>4-7</v>
      </c>
      <c r="T403" s="1" t="s">
        <v>18734</v>
      </c>
      <c r="U403" s="1" t="s">
        <v>7</v>
      </c>
      <c r="V403" s="1" t="s">
        <v>147</v>
      </c>
      <c r="W403" s="1"/>
    </row>
    <row r="404" spans="1:23" x14ac:dyDescent="0.2">
      <c r="A404" s="88" t="s">
        <v>15870</v>
      </c>
      <c r="B404" s="1" t="e">
        <v>#N/A</v>
      </c>
      <c r="C404" s="1" t="s">
        <v>14127</v>
      </c>
      <c r="D404" s="1" t="s">
        <v>1186</v>
      </c>
      <c r="E404" s="1" t="s">
        <v>1187</v>
      </c>
      <c r="F404" s="1" t="s">
        <v>9010</v>
      </c>
      <c r="G404" s="1" t="s">
        <v>8957</v>
      </c>
      <c r="H404" t="s">
        <v>9009</v>
      </c>
      <c r="I404" s="1" t="s">
        <v>9605</v>
      </c>
      <c r="J404" s="1" t="s">
        <v>8985</v>
      </c>
      <c r="K404" s="1" t="s">
        <v>9018</v>
      </c>
      <c r="L404" s="1" t="s">
        <v>8987</v>
      </c>
      <c r="M404" s="1">
        <v>3528</v>
      </c>
      <c r="N404" s="1" t="s">
        <v>8953</v>
      </c>
      <c r="O404" s="1" t="s">
        <v>8954</v>
      </c>
      <c r="P404" s="1" t="s">
        <v>8955</v>
      </c>
      <c r="Q404" s="1" t="s">
        <v>8956</v>
      </c>
      <c r="R404" s="1" t="s">
        <v>8957</v>
      </c>
      <c r="S404" s="1" t="s">
        <v>8958</v>
      </c>
      <c r="T404" s="1" t="s">
        <v>1188</v>
      </c>
      <c r="U404" s="1" t="s">
        <v>11</v>
      </c>
      <c r="V404" s="1" t="s">
        <v>1110</v>
      </c>
      <c r="W404" s="1"/>
    </row>
    <row r="405" spans="1:23" x14ac:dyDescent="0.2">
      <c r="A405" s="88" t="s">
        <v>15871</v>
      </c>
      <c r="B405" s="1" t="e">
        <v>#N/A</v>
      </c>
      <c r="C405" s="1" t="e">
        <v>#N/A</v>
      </c>
      <c r="D405" s="1" t="s">
        <v>1189</v>
      </c>
      <c r="E405" s="1" t="s">
        <v>1190</v>
      </c>
      <c r="F405" s="1" t="s">
        <v>9213</v>
      </c>
      <c r="G405" s="1" t="s">
        <v>8957</v>
      </c>
      <c r="H405" t="s">
        <v>8959</v>
      </c>
      <c r="I405" s="1" t="s">
        <v>20714</v>
      </c>
      <c r="J405" s="1" t="s">
        <v>9050</v>
      </c>
      <c r="K405" s="1" t="s">
        <v>20762</v>
      </c>
      <c r="L405" s="1" t="s">
        <v>9133</v>
      </c>
      <c r="M405" s="1">
        <v>15408</v>
      </c>
      <c r="N405" s="1" t="s">
        <v>8953</v>
      </c>
      <c r="O405" s="1" t="s">
        <v>8989</v>
      </c>
      <c r="P405" s="1" t="e">
        <v>#N/A</v>
      </c>
      <c r="Q405" s="1" t="e">
        <v>#N/A</v>
      </c>
      <c r="R405" s="1">
        <f>1+LEN(T405)-LEN(SUBSTITUTE(T405,",",))</f>
        <v>14</v>
      </c>
      <c r="S405" s="1" t="str">
        <f>IF(R405&gt;4,IF(R405&lt;8,"4-7",IF(R405&gt;7,"&gt;7")),"&lt;4")</f>
        <v>&gt;7</v>
      </c>
      <c r="T405" s="1" t="s">
        <v>18735</v>
      </c>
      <c r="U405" s="1" t="s">
        <v>7</v>
      </c>
      <c r="V405" s="1" t="s">
        <v>443</v>
      </c>
      <c r="W405" s="1"/>
    </row>
    <row r="406" spans="1:23" x14ac:dyDescent="0.2">
      <c r="A406" s="88" t="s">
        <v>15872</v>
      </c>
      <c r="B406" s="1" t="e">
        <v>#N/A</v>
      </c>
      <c r="C406" s="1" t="s">
        <v>13283</v>
      </c>
      <c r="D406" s="1" t="s">
        <v>1191</v>
      </c>
      <c r="E406" s="1" t="s">
        <v>1192</v>
      </c>
      <c r="F406" s="1" t="s">
        <v>9010</v>
      </c>
      <c r="G406" s="1" t="s">
        <v>8957</v>
      </c>
      <c r="H406" t="s">
        <v>9009</v>
      </c>
      <c r="I406" s="1" t="s">
        <v>8948</v>
      </c>
      <c r="J406" s="1" t="s">
        <v>8949</v>
      </c>
      <c r="K406" s="1" t="s">
        <v>12408</v>
      </c>
      <c r="L406" s="1" t="s">
        <v>8973</v>
      </c>
      <c r="M406" s="1">
        <v>496</v>
      </c>
      <c r="N406" s="1" t="s">
        <v>9059</v>
      </c>
      <c r="O406" s="1" t="s">
        <v>8954</v>
      </c>
      <c r="P406" s="1" t="s">
        <v>8955</v>
      </c>
      <c r="Q406" s="1" t="s">
        <v>8956</v>
      </c>
      <c r="R406" s="1" t="s">
        <v>8957</v>
      </c>
      <c r="S406" s="1" t="s">
        <v>8975</v>
      </c>
      <c r="T406" s="1" t="s">
        <v>1193</v>
      </c>
      <c r="U406" s="1" t="s">
        <v>11</v>
      </c>
      <c r="V406" s="1" t="s">
        <v>39</v>
      </c>
      <c r="W406" s="1"/>
    </row>
    <row r="407" spans="1:23" x14ac:dyDescent="0.2">
      <c r="A407" s="88" t="s">
        <v>15873</v>
      </c>
      <c r="B407" s="1" t="e">
        <v>#N/A</v>
      </c>
      <c r="C407" s="1" t="s">
        <v>12675</v>
      </c>
      <c r="D407" s="1" t="s">
        <v>1194</v>
      </c>
      <c r="E407" s="1" t="s">
        <v>1195</v>
      </c>
      <c r="F407" s="1" t="s">
        <v>9010</v>
      </c>
      <c r="G407" s="1" t="s">
        <v>8957</v>
      </c>
      <c r="H407" t="s">
        <v>9061</v>
      </c>
      <c r="I407" s="1" t="s">
        <v>12678</v>
      </c>
      <c r="J407" s="1" t="s">
        <v>9155</v>
      </c>
      <c r="K407" s="1" t="s">
        <v>10258</v>
      </c>
      <c r="L407" s="1" t="s">
        <v>9133</v>
      </c>
      <c r="M407" s="1">
        <v>35126</v>
      </c>
      <c r="N407" s="1" t="s">
        <v>8953</v>
      </c>
      <c r="O407" s="1" t="s">
        <v>8954</v>
      </c>
      <c r="P407" s="1" t="s">
        <v>8955</v>
      </c>
      <c r="Q407" s="1" t="s">
        <v>8956</v>
      </c>
      <c r="R407" s="1" t="s">
        <v>8957</v>
      </c>
      <c r="S407" s="1" t="s">
        <v>8975</v>
      </c>
      <c r="T407" s="1" t="s">
        <v>1196</v>
      </c>
      <c r="U407" s="1" t="s">
        <v>11</v>
      </c>
      <c r="V407" s="1" t="s">
        <v>584</v>
      </c>
      <c r="W407" s="1"/>
    </row>
    <row r="408" spans="1:23" x14ac:dyDescent="0.2">
      <c r="A408" s="88" t="s">
        <v>15874</v>
      </c>
      <c r="B408" s="1" t="e">
        <v>#N/A</v>
      </c>
      <c r="C408" s="1" t="e">
        <v>#N/A</v>
      </c>
      <c r="D408" s="1" t="s">
        <v>1197</v>
      </c>
      <c r="E408" s="1" t="s">
        <v>1198</v>
      </c>
      <c r="F408" s="1" t="s">
        <v>18502</v>
      </c>
      <c r="G408" s="1" t="s">
        <v>8957</v>
      </c>
      <c r="H408" t="s">
        <v>9061</v>
      </c>
      <c r="I408" s="1" t="s">
        <v>9100</v>
      </c>
      <c r="J408" s="1" t="s">
        <v>8949</v>
      </c>
      <c r="K408" s="1" t="s">
        <v>10492</v>
      </c>
      <c r="L408" s="1" t="s">
        <v>8973</v>
      </c>
      <c r="M408" s="1">
        <v>843</v>
      </c>
      <c r="N408" s="1" t="s">
        <v>8953</v>
      </c>
      <c r="O408" s="1" t="s">
        <v>8954</v>
      </c>
      <c r="P408" s="1" t="e">
        <v>#N/A</v>
      </c>
      <c r="Q408" s="1" t="e">
        <v>#N/A</v>
      </c>
      <c r="R408" s="1">
        <f>1+LEN(T408)-LEN(SUBSTITUTE(T408,",",))</f>
        <v>28</v>
      </c>
      <c r="S408" s="1" t="str">
        <f>IF(R408&gt;4,IF(R408&lt;8,"4-7",IF(R408&gt;7,"&gt;7")),"&lt;4")</f>
        <v>&gt;7</v>
      </c>
      <c r="T408" s="1" t="s">
        <v>18736</v>
      </c>
      <c r="U408" s="1" t="s">
        <v>17</v>
      </c>
      <c r="V408" s="1" t="s">
        <v>609</v>
      </c>
      <c r="W408" s="1"/>
    </row>
    <row r="409" spans="1:23" x14ac:dyDescent="0.2">
      <c r="A409" s="88" t="s">
        <v>15875</v>
      </c>
      <c r="B409" s="1" t="e">
        <v>#N/A</v>
      </c>
      <c r="C409" s="1" t="s">
        <v>11831</v>
      </c>
      <c r="D409" s="1" t="s">
        <v>1199</v>
      </c>
      <c r="E409" s="1" t="s">
        <v>1200</v>
      </c>
      <c r="F409" s="1" t="s">
        <v>9010</v>
      </c>
      <c r="G409" s="1" t="s">
        <v>9060</v>
      </c>
      <c r="H409" t="s">
        <v>9183</v>
      </c>
      <c r="I409" s="1" t="s">
        <v>8948</v>
      </c>
      <c r="J409" s="1" t="s">
        <v>8998</v>
      </c>
      <c r="K409" s="1" t="s">
        <v>9036</v>
      </c>
      <c r="L409" s="1" t="s">
        <v>9133</v>
      </c>
      <c r="M409" s="1">
        <v>10159</v>
      </c>
      <c r="N409" s="1" t="s">
        <v>8953</v>
      </c>
      <c r="O409" s="1" t="s">
        <v>8989</v>
      </c>
      <c r="P409" s="1" t="s">
        <v>8955</v>
      </c>
      <c r="Q409" s="1" t="s">
        <v>8956</v>
      </c>
      <c r="R409" s="1" t="s">
        <v>9060</v>
      </c>
      <c r="S409" s="1" t="s">
        <v>8975</v>
      </c>
      <c r="T409" s="1" t="s">
        <v>1201</v>
      </c>
      <c r="U409" s="1" t="s">
        <v>11</v>
      </c>
      <c r="V409" s="1" t="s">
        <v>1202</v>
      </c>
      <c r="W409" s="1"/>
    </row>
    <row r="410" spans="1:23" x14ac:dyDescent="0.2">
      <c r="A410" s="89" t="s">
        <v>15876</v>
      </c>
      <c r="B410" s="1" t="e">
        <v>#N/A</v>
      </c>
      <c r="C410" s="1" t="e">
        <v>#N/A</v>
      </c>
      <c r="D410" s="1" t="s">
        <v>1203</v>
      </c>
      <c r="E410" s="1" t="s">
        <v>1204</v>
      </c>
      <c r="F410" s="1" t="e">
        <v>#N/A</v>
      </c>
      <c r="G410" s="1" t="e">
        <v>#N/A</v>
      </c>
      <c r="H410" t="e">
        <v>#N/A</v>
      </c>
      <c r="I410" s="1" t="e">
        <v>#N/A</v>
      </c>
      <c r="J410" s="1" t="e">
        <v>#N/A</v>
      </c>
      <c r="K410" s="1" t="e">
        <v>#N/A</v>
      </c>
      <c r="L410" s="1" t="e">
        <v>#N/A</v>
      </c>
      <c r="M410" s="1" t="e">
        <v>#N/A</v>
      </c>
      <c r="N410" s="1" t="e">
        <v>#N/A</v>
      </c>
      <c r="O410" s="1" t="e">
        <v>#N/A</v>
      </c>
      <c r="P410" s="1" t="e">
        <v>#N/A</v>
      </c>
      <c r="Q410" s="1" t="e">
        <v>#N/A</v>
      </c>
      <c r="R410" s="1">
        <f t="shared" ref="R410:R412" si="116">1+LEN(T410)-LEN(SUBSTITUTE(T410,",",))</f>
        <v>1</v>
      </c>
      <c r="S410" s="1" t="str">
        <f t="shared" ref="S410:S412" si="117">IF(R410&gt;4,IF(R410&lt;8,"4-7",IF(R410&gt;7,"&gt;7")),"&lt;4")</f>
        <v>&lt;4</v>
      </c>
      <c r="U410" s="1" t="s">
        <v>17</v>
      </c>
      <c r="V410" s="1" t="s">
        <v>180</v>
      </c>
      <c r="W410" s="1"/>
    </row>
    <row r="411" spans="1:23" x14ac:dyDescent="0.2">
      <c r="A411" s="89" t="s">
        <v>1205</v>
      </c>
      <c r="B411" s="1" t="e">
        <v>#N/A</v>
      </c>
      <c r="C411" s="1" t="e">
        <v>#N/A</v>
      </c>
      <c r="D411" s="1" t="s">
        <v>1206</v>
      </c>
      <c r="E411" s="1" t="s">
        <v>1207</v>
      </c>
      <c r="F411" s="1" t="e">
        <v>#N/A</v>
      </c>
      <c r="G411" s="1" t="e">
        <v>#N/A</v>
      </c>
      <c r="H411" t="e">
        <v>#N/A</v>
      </c>
      <c r="I411" s="1" t="e">
        <v>#N/A</v>
      </c>
      <c r="J411" s="1" t="e">
        <v>#N/A</v>
      </c>
      <c r="K411" s="1" t="e">
        <v>#N/A</v>
      </c>
      <c r="L411" s="1" t="e">
        <v>#N/A</v>
      </c>
      <c r="M411" s="1" t="e">
        <v>#N/A</v>
      </c>
      <c r="N411" s="1" t="e">
        <v>#N/A</v>
      </c>
      <c r="O411" s="1" t="e">
        <v>#N/A</v>
      </c>
      <c r="P411" s="1" t="e">
        <v>#N/A</v>
      </c>
      <c r="Q411" s="1" t="e">
        <v>#N/A</v>
      </c>
      <c r="R411" s="1">
        <f t="shared" si="116"/>
        <v>6</v>
      </c>
      <c r="S411" s="1" t="str">
        <f t="shared" si="117"/>
        <v>4-7</v>
      </c>
      <c r="T411" s="1" t="s">
        <v>18737</v>
      </c>
      <c r="U411" s="1" t="s">
        <v>252</v>
      </c>
      <c r="V411" s="1" t="s">
        <v>1208</v>
      </c>
      <c r="W411" s="1"/>
    </row>
    <row r="412" spans="1:23" x14ac:dyDescent="0.2">
      <c r="A412" s="89" t="s">
        <v>15877</v>
      </c>
      <c r="B412" s="1" t="e">
        <v>#N/A</v>
      </c>
      <c r="C412" s="1" t="e">
        <v>#N/A</v>
      </c>
      <c r="D412" s="1" t="s">
        <v>1209</v>
      </c>
      <c r="E412" s="1" t="s">
        <v>1210</v>
      </c>
      <c r="F412" s="1" t="e">
        <v>#N/A</v>
      </c>
      <c r="G412" s="1" t="e">
        <v>#N/A</v>
      </c>
      <c r="H412" t="e">
        <v>#N/A</v>
      </c>
      <c r="I412" s="1" t="e">
        <v>#N/A</v>
      </c>
      <c r="J412" s="1" t="e">
        <v>#N/A</v>
      </c>
      <c r="K412" s="1" t="e">
        <v>#N/A</v>
      </c>
      <c r="L412" s="1" t="e">
        <v>#N/A</v>
      </c>
      <c r="M412" s="1" t="e">
        <v>#N/A</v>
      </c>
      <c r="N412" s="1" t="e">
        <v>#N/A</v>
      </c>
      <c r="O412" s="1" t="e">
        <v>#N/A</v>
      </c>
      <c r="P412" s="1" t="e">
        <v>#N/A</v>
      </c>
      <c r="Q412" s="1" t="e">
        <v>#N/A</v>
      </c>
      <c r="R412" s="1">
        <f t="shared" si="116"/>
        <v>1</v>
      </c>
      <c r="S412" s="1" t="str">
        <f t="shared" si="117"/>
        <v>&lt;4</v>
      </c>
      <c r="U412" s="1" t="s">
        <v>17</v>
      </c>
      <c r="V412" s="1" t="s">
        <v>180</v>
      </c>
      <c r="W412" s="1"/>
    </row>
    <row r="413" spans="1:23" x14ac:dyDescent="0.2">
      <c r="A413" s="88" t="s">
        <v>15878</v>
      </c>
      <c r="B413" s="1" t="e">
        <v>#N/A</v>
      </c>
      <c r="C413" s="1" t="s">
        <v>12911</v>
      </c>
      <c r="D413" s="1" t="s">
        <v>1211</v>
      </c>
      <c r="E413" s="1" t="s">
        <v>1212</v>
      </c>
      <c r="F413" s="1" t="s">
        <v>10032</v>
      </c>
      <c r="G413" s="1" t="s">
        <v>8974</v>
      </c>
      <c r="H413" t="s">
        <v>9009</v>
      </c>
      <c r="I413" s="1" t="s">
        <v>9605</v>
      </c>
      <c r="J413" s="1" t="s">
        <v>8998</v>
      </c>
      <c r="K413" s="1" t="s">
        <v>9041</v>
      </c>
      <c r="L413" s="1" t="s">
        <v>9076</v>
      </c>
      <c r="M413" s="1">
        <v>8139</v>
      </c>
      <c r="N413" s="1" t="s">
        <v>8953</v>
      </c>
      <c r="O413" s="1" t="s">
        <v>8989</v>
      </c>
      <c r="P413" s="1" t="s">
        <v>8955</v>
      </c>
      <c r="Q413" s="1" t="s">
        <v>8956</v>
      </c>
      <c r="R413" s="1" t="s">
        <v>8974</v>
      </c>
      <c r="S413" s="1" t="s">
        <v>8958</v>
      </c>
      <c r="T413" s="1" t="s">
        <v>1213</v>
      </c>
      <c r="U413" s="1" t="s">
        <v>11</v>
      </c>
      <c r="V413" s="1" t="s">
        <v>1214</v>
      </c>
      <c r="W413" s="1"/>
    </row>
    <row r="414" spans="1:23" x14ac:dyDescent="0.2">
      <c r="A414" s="88" t="s">
        <v>15879</v>
      </c>
      <c r="B414" s="1" t="e">
        <v>#N/A</v>
      </c>
      <c r="C414" s="1" t="e">
        <v>#N/A</v>
      </c>
      <c r="D414" s="1" t="s">
        <v>1215</v>
      </c>
      <c r="E414" s="1" t="s">
        <v>1216</v>
      </c>
      <c r="F414" s="1" t="s">
        <v>9176</v>
      </c>
      <c r="G414" s="1" t="s">
        <v>9060</v>
      </c>
      <c r="H414" t="s">
        <v>9183</v>
      </c>
      <c r="I414" s="1" t="s">
        <v>20714</v>
      </c>
      <c r="J414" s="1" t="s">
        <v>8959</v>
      </c>
      <c r="K414" s="1" t="s">
        <v>20763</v>
      </c>
      <c r="L414" s="1" t="s">
        <v>8973</v>
      </c>
      <c r="M414" s="1">
        <v>82</v>
      </c>
      <c r="N414" s="1" t="s">
        <v>8953</v>
      </c>
      <c r="O414" s="1" t="s">
        <v>8989</v>
      </c>
      <c r="P414" s="1" t="e">
        <v>#N/A</v>
      </c>
      <c r="Q414" s="1" t="e">
        <v>#N/A</v>
      </c>
      <c r="R414" s="1">
        <f>1+LEN(T414)-LEN(SUBSTITUTE(T414,",",))</f>
        <v>12</v>
      </c>
      <c r="S414" s="1" t="str">
        <f>IF(R414&gt;4,IF(R414&lt;8,"4-7",IF(R414&gt;7,"&gt;7")),"&lt;4")</f>
        <v>&gt;7</v>
      </c>
      <c r="T414" s="1" t="s">
        <v>18738</v>
      </c>
      <c r="U414" s="1" t="s">
        <v>7</v>
      </c>
      <c r="V414" s="1" t="s">
        <v>24</v>
      </c>
      <c r="W414" s="1"/>
    </row>
    <row r="415" spans="1:23" x14ac:dyDescent="0.2">
      <c r="A415" s="88" t="s">
        <v>15880</v>
      </c>
      <c r="B415" s="1" t="e">
        <v>#N/A</v>
      </c>
      <c r="C415" s="1" t="s">
        <v>12927</v>
      </c>
      <c r="D415" s="1" t="s">
        <v>1217</v>
      </c>
      <c r="E415" s="1" t="s">
        <v>1218</v>
      </c>
      <c r="F415" s="1" t="s">
        <v>10032</v>
      </c>
      <c r="G415" s="1" t="s">
        <v>8959</v>
      </c>
      <c r="H415" t="s">
        <v>9009</v>
      </c>
      <c r="I415" s="1" t="s">
        <v>8948</v>
      </c>
      <c r="J415" s="1" t="s">
        <v>8949</v>
      </c>
      <c r="K415" s="1" t="s">
        <v>21195</v>
      </c>
      <c r="L415" s="1" t="s">
        <v>8951</v>
      </c>
      <c r="M415" s="1">
        <v>1200</v>
      </c>
      <c r="N415" s="1" t="s">
        <v>8953</v>
      </c>
      <c r="O415" s="1" t="s">
        <v>8989</v>
      </c>
      <c r="P415" s="1" t="s">
        <v>8955</v>
      </c>
      <c r="Q415" s="1" t="s">
        <v>8956</v>
      </c>
      <c r="R415" s="1" t="s">
        <v>8959</v>
      </c>
      <c r="S415" s="1" t="s">
        <v>8958</v>
      </c>
      <c r="T415" s="1" t="s">
        <v>1219</v>
      </c>
      <c r="U415" s="1" t="s">
        <v>11</v>
      </c>
      <c r="V415" s="1" t="s">
        <v>74</v>
      </c>
      <c r="W415" s="1"/>
    </row>
    <row r="416" spans="1:23" x14ac:dyDescent="0.2">
      <c r="A416" s="89" t="s">
        <v>1220</v>
      </c>
      <c r="B416" s="1" t="e">
        <v>#N/A</v>
      </c>
      <c r="C416" s="1" t="e">
        <v>#N/A</v>
      </c>
      <c r="D416" s="1" t="s">
        <v>1221</v>
      </c>
      <c r="E416" s="1" t="s">
        <v>1222</v>
      </c>
      <c r="F416" s="1" t="e">
        <v>#N/A</v>
      </c>
      <c r="G416" s="1" t="e">
        <v>#N/A</v>
      </c>
      <c r="H416" t="e">
        <v>#N/A</v>
      </c>
      <c r="I416" s="1" t="e">
        <v>#N/A</v>
      </c>
      <c r="J416" s="1" t="e">
        <v>#N/A</v>
      </c>
      <c r="K416" s="1" t="e">
        <v>#N/A</v>
      </c>
      <c r="L416" s="1" t="e">
        <v>#N/A</v>
      </c>
      <c r="M416" s="1" t="e">
        <v>#N/A</v>
      </c>
      <c r="N416" s="1" t="e">
        <v>#N/A</v>
      </c>
      <c r="O416" s="1" t="e">
        <v>#N/A</v>
      </c>
      <c r="P416" s="1" t="e">
        <v>#N/A</v>
      </c>
      <c r="Q416" s="1" t="e">
        <v>#N/A</v>
      </c>
      <c r="R416" s="1">
        <f t="shared" ref="R416:R419" si="118">1+LEN(T416)-LEN(SUBSTITUTE(T416,",",))</f>
        <v>8</v>
      </c>
      <c r="S416" s="1" t="str">
        <f t="shared" ref="S416:S419" si="119">IF(R416&gt;4,IF(R416&lt;8,"4-7",IF(R416&gt;7,"&gt;7")),"&lt;4")</f>
        <v>&gt;7</v>
      </c>
      <c r="T416" s="1" t="s">
        <v>20563</v>
      </c>
      <c r="U416" s="1" t="s">
        <v>4</v>
      </c>
      <c r="V416" s="1" t="s">
        <v>1223</v>
      </c>
      <c r="W416" s="1"/>
    </row>
    <row r="417" spans="1:23" x14ac:dyDescent="0.2">
      <c r="A417" s="89" t="s">
        <v>1224</v>
      </c>
      <c r="B417" s="1" t="e">
        <v>#N/A</v>
      </c>
      <c r="C417" s="1" t="e">
        <v>#N/A</v>
      </c>
      <c r="D417" s="1" t="s">
        <v>1225</v>
      </c>
      <c r="E417" s="1" t="s">
        <v>1226</v>
      </c>
      <c r="F417" s="1" t="e">
        <v>#N/A</v>
      </c>
      <c r="G417" s="1" t="e">
        <v>#N/A</v>
      </c>
      <c r="H417" t="e">
        <v>#N/A</v>
      </c>
      <c r="I417" s="1" t="e">
        <v>#N/A</v>
      </c>
      <c r="J417" s="1" t="e">
        <v>#N/A</v>
      </c>
      <c r="K417" s="1" t="e">
        <v>#N/A</v>
      </c>
      <c r="L417" s="1" t="e">
        <v>#N/A</v>
      </c>
      <c r="M417" s="1" t="e">
        <v>#N/A</v>
      </c>
      <c r="N417" s="1" t="e">
        <v>#N/A</v>
      </c>
      <c r="O417" s="1" t="e">
        <v>#N/A</v>
      </c>
      <c r="P417" s="1" t="e">
        <v>#N/A</v>
      </c>
      <c r="Q417" s="1" t="e">
        <v>#N/A</v>
      </c>
      <c r="R417" s="1">
        <f t="shared" si="118"/>
        <v>4</v>
      </c>
      <c r="S417" s="1" t="str">
        <f t="shared" si="119"/>
        <v>&lt;4</v>
      </c>
      <c r="T417" s="1" t="s">
        <v>18739</v>
      </c>
      <c r="U417" s="1" t="s">
        <v>7</v>
      </c>
      <c r="V417" s="1" t="s">
        <v>147</v>
      </c>
      <c r="W417" s="1"/>
    </row>
    <row r="418" spans="1:23" x14ac:dyDescent="0.2">
      <c r="A418" s="88" t="s">
        <v>15881</v>
      </c>
      <c r="B418" s="1" t="e">
        <v>#N/A</v>
      </c>
      <c r="C418" s="1" t="e">
        <v>#N/A</v>
      </c>
      <c r="D418" s="1" t="s">
        <v>1227</v>
      </c>
      <c r="E418" s="1" t="s">
        <v>1228</v>
      </c>
      <c r="F418" s="1" t="e">
        <v>#N/A</v>
      </c>
      <c r="G418" s="1" t="e">
        <v>#N/A</v>
      </c>
      <c r="H418" t="e">
        <v>#N/A</v>
      </c>
      <c r="I418" s="1" t="e">
        <v>#N/A</v>
      </c>
      <c r="J418" s="1" t="e">
        <v>#N/A</v>
      </c>
      <c r="K418" s="1" t="e">
        <v>#N/A</v>
      </c>
      <c r="L418" s="1" t="e">
        <v>#N/A</v>
      </c>
      <c r="M418" s="1" t="e">
        <v>#N/A</v>
      </c>
      <c r="N418" s="1" t="e">
        <v>#N/A</v>
      </c>
      <c r="O418" s="1" t="e">
        <v>#N/A</v>
      </c>
      <c r="P418" s="1" t="e">
        <v>#N/A</v>
      </c>
      <c r="Q418" s="1" t="e">
        <v>#N/A</v>
      </c>
      <c r="R418" s="1">
        <f t="shared" si="118"/>
        <v>35</v>
      </c>
      <c r="S418" s="1" t="str">
        <f t="shared" si="119"/>
        <v>&gt;7</v>
      </c>
      <c r="T418" s="1" t="s">
        <v>20564</v>
      </c>
      <c r="U418" s="1" t="s">
        <v>252</v>
      </c>
      <c r="V418" s="1" t="s">
        <v>126</v>
      </c>
      <c r="W418" s="1"/>
    </row>
    <row r="419" spans="1:23" x14ac:dyDescent="0.2">
      <c r="A419" s="89" t="s">
        <v>1229</v>
      </c>
      <c r="B419" s="1" t="e">
        <v>#N/A</v>
      </c>
      <c r="C419" s="1" t="e">
        <v>#N/A</v>
      </c>
      <c r="D419" s="1" t="s">
        <v>1230</v>
      </c>
      <c r="E419" s="1" t="s">
        <v>1231</v>
      </c>
      <c r="F419" s="1" t="e">
        <v>#N/A</v>
      </c>
      <c r="G419" s="1" t="e">
        <v>#N/A</v>
      </c>
      <c r="H419" t="e">
        <v>#N/A</v>
      </c>
      <c r="I419" s="1" t="e">
        <v>#N/A</v>
      </c>
      <c r="J419" s="1" t="e">
        <v>#N/A</v>
      </c>
      <c r="K419" s="1" t="e">
        <v>#N/A</v>
      </c>
      <c r="L419" s="1" t="e">
        <v>#N/A</v>
      </c>
      <c r="M419" s="1" t="e">
        <v>#N/A</v>
      </c>
      <c r="N419" s="1" t="e">
        <v>#N/A</v>
      </c>
      <c r="O419" s="1" t="e">
        <v>#N/A</v>
      </c>
      <c r="P419" s="1" t="e">
        <v>#N/A</v>
      </c>
      <c r="Q419" s="1" t="e">
        <v>#N/A</v>
      </c>
      <c r="R419" s="1">
        <f t="shared" si="118"/>
        <v>4</v>
      </c>
      <c r="S419" s="1" t="str">
        <f t="shared" si="119"/>
        <v>&lt;4</v>
      </c>
      <c r="T419" s="1" t="s">
        <v>18740</v>
      </c>
      <c r="U419" s="1" t="s">
        <v>7</v>
      </c>
      <c r="V419" s="1" t="s">
        <v>831</v>
      </c>
      <c r="W419" s="1"/>
    </row>
    <row r="420" spans="1:23" x14ac:dyDescent="0.2">
      <c r="A420" s="88" t="s">
        <v>15882</v>
      </c>
      <c r="B420" s="1" t="e">
        <v>#N/A</v>
      </c>
      <c r="C420" s="1" t="s">
        <v>12721</v>
      </c>
      <c r="D420" s="1" t="s">
        <v>1232</v>
      </c>
      <c r="E420" s="1" t="s">
        <v>1233</v>
      </c>
      <c r="F420" s="1" t="s">
        <v>9010</v>
      </c>
      <c r="G420" s="1" t="s">
        <v>8957</v>
      </c>
      <c r="H420" t="s">
        <v>9061</v>
      </c>
      <c r="I420" s="1" t="s">
        <v>9092</v>
      </c>
      <c r="J420" s="1" t="s">
        <v>8949</v>
      </c>
      <c r="K420" s="1" t="s">
        <v>9036</v>
      </c>
      <c r="L420" s="1" t="s">
        <v>9133</v>
      </c>
      <c r="M420" s="1">
        <v>124</v>
      </c>
      <c r="N420" s="1" t="s">
        <v>8953</v>
      </c>
      <c r="O420" s="1" t="s">
        <v>8954</v>
      </c>
      <c r="P420" s="1" t="s">
        <v>8955</v>
      </c>
      <c r="Q420" s="1" t="s">
        <v>8956</v>
      </c>
      <c r="R420" s="1" t="s">
        <v>8957</v>
      </c>
      <c r="S420" s="1" t="s">
        <v>8975</v>
      </c>
      <c r="T420" s="1" t="s">
        <v>1234</v>
      </c>
      <c r="U420" s="1" t="s">
        <v>11</v>
      </c>
      <c r="V420" s="1" t="s">
        <v>161</v>
      </c>
      <c r="W420" s="1"/>
    </row>
    <row r="421" spans="1:23" x14ac:dyDescent="0.2">
      <c r="A421" s="89" t="s">
        <v>1235</v>
      </c>
      <c r="B421" s="1" t="e">
        <v>#N/A</v>
      </c>
      <c r="C421" s="1" t="e">
        <v>#N/A</v>
      </c>
      <c r="D421" s="1" t="s">
        <v>1236</v>
      </c>
      <c r="E421" s="1" t="s">
        <v>1237</v>
      </c>
      <c r="F421" s="1" t="e">
        <v>#N/A</v>
      </c>
      <c r="G421" s="1" t="e">
        <v>#N/A</v>
      </c>
      <c r="H421" t="e">
        <v>#N/A</v>
      </c>
      <c r="I421" s="1" t="e">
        <v>#N/A</v>
      </c>
      <c r="J421" s="1" t="e">
        <v>#N/A</v>
      </c>
      <c r="K421" s="1" t="e">
        <v>#N/A</v>
      </c>
      <c r="L421" s="1" t="e">
        <v>#N/A</v>
      </c>
      <c r="M421" s="1" t="e">
        <v>#N/A</v>
      </c>
      <c r="N421" s="1" t="e">
        <v>#N/A</v>
      </c>
      <c r="O421" s="1" t="e">
        <v>#N/A</v>
      </c>
      <c r="P421" s="1" t="e">
        <v>#N/A</v>
      </c>
      <c r="Q421" s="1" t="e">
        <v>#N/A</v>
      </c>
      <c r="R421" s="1">
        <f t="shared" ref="R421:R424" si="120">1+LEN(T421)-LEN(SUBSTITUTE(T421,",",))</f>
        <v>2</v>
      </c>
      <c r="S421" s="1" t="str">
        <f t="shared" ref="S421:S424" si="121">IF(R421&gt;4,IF(R421&lt;8,"4-7",IF(R421&gt;7,"&gt;7")),"&lt;4")</f>
        <v>&lt;4</v>
      </c>
      <c r="T421" s="1" t="s">
        <v>20565</v>
      </c>
      <c r="U421" s="1" t="s">
        <v>7</v>
      </c>
      <c r="V421" s="1" t="s">
        <v>1238</v>
      </c>
      <c r="W421" s="1"/>
    </row>
    <row r="422" spans="1:23" x14ac:dyDescent="0.2">
      <c r="A422" s="94" t="s">
        <v>15883</v>
      </c>
      <c r="B422" s="1" t="e">
        <v>#N/A</v>
      </c>
      <c r="C422" s="1" t="e">
        <v>#N/A</v>
      </c>
      <c r="D422" s="1" t="s">
        <v>1239</v>
      </c>
      <c r="E422" s="1" t="s">
        <v>1240</v>
      </c>
      <c r="F422" s="1" t="s">
        <v>9310</v>
      </c>
      <c r="G422" s="1" t="e">
        <v>#N/A</v>
      </c>
      <c r="H422" t="s">
        <v>8959</v>
      </c>
      <c r="I422" s="1" t="s">
        <v>8984</v>
      </c>
      <c r="J422" s="1" t="s">
        <v>8971</v>
      </c>
      <c r="K422" s="1" t="e">
        <v>#N/A</v>
      </c>
      <c r="L422" s="1" t="s">
        <v>8987</v>
      </c>
      <c r="M422" s="1">
        <v>114</v>
      </c>
      <c r="N422" s="1" t="s">
        <v>9059</v>
      </c>
      <c r="O422" s="1" t="s">
        <v>8989</v>
      </c>
      <c r="P422" s="1" t="e">
        <v>#N/A</v>
      </c>
      <c r="Q422" s="1" t="e">
        <v>#N/A</v>
      </c>
      <c r="R422" s="1">
        <f t="shared" si="120"/>
        <v>9</v>
      </c>
      <c r="S422" s="1" t="str">
        <f t="shared" si="121"/>
        <v>&gt;7</v>
      </c>
      <c r="T422" s="1" t="s">
        <v>18741</v>
      </c>
      <c r="U422" s="1" t="s">
        <v>17</v>
      </c>
      <c r="V422" s="1" t="s">
        <v>1241</v>
      </c>
      <c r="W422" s="1"/>
    </row>
    <row r="423" spans="1:23" x14ac:dyDescent="0.2">
      <c r="A423" s="89" t="s">
        <v>1242</v>
      </c>
      <c r="B423" s="1" t="e">
        <v>#N/A</v>
      </c>
      <c r="C423" s="1" t="e">
        <v>#N/A</v>
      </c>
      <c r="D423" s="5" t="s">
        <v>1243</v>
      </c>
      <c r="E423" s="1" t="s">
        <v>1244</v>
      </c>
      <c r="F423" s="1" t="e">
        <v>#N/A</v>
      </c>
      <c r="G423" s="1" t="e">
        <v>#N/A</v>
      </c>
      <c r="H423" t="e">
        <v>#N/A</v>
      </c>
      <c r="I423" s="1" t="e">
        <v>#N/A</v>
      </c>
      <c r="J423" s="1" t="e">
        <v>#N/A</v>
      </c>
      <c r="K423" s="1" t="e">
        <v>#N/A</v>
      </c>
      <c r="L423" s="1" t="e">
        <v>#N/A</v>
      </c>
      <c r="M423" s="1" t="e">
        <v>#N/A</v>
      </c>
      <c r="N423" s="1" t="e">
        <v>#N/A</v>
      </c>
      <c r="O423" s="1" t="e">
        <v>#N/A</v>
      </c>
      <c r="P423" s="1" t="e">
        <v>#N/A</v>
      </c>
      <c r="Q423" s="1" t="e">
        <v>#N/A</v>
      </c>
      <c r="R423" s="1">
        <f t="shared" si="120"/>
        <v>5</v>
      </c>
      <c r="S423" s="1" t="str">
        <f t="shared" si="121"/>
        <v>4-7</v>
      </c>
      <c r="T423" s="1" t="s">
        <v>18742</v>
      </c>
      <c r="U423" s="1" t="s">
        <v>7</v>
      </c>
      <c r="V423" s="1" t="s">
        <v>1245</v>
      </c>
      <c r="W423" s="1"/>
    </row>
    <row r="424" spans="1:23" x14ac:dyDescent="0.2">
      <c r="A424" s="88" t="s">
        <v>15884</v>
      </c>
      <c r="B424" s="1" t="e">
        <v>#N/A</v>
      </c>
      <c r="C424" s="1" t="e">
        <v>#N/A</v>
      </c>
      <c r="D424" s="1" t="s">
        <v>1246</v>
      </c>
      <c r="E424" s="1" t="s">
        <v>1247</v>
      </c>
      <c r="F424" s="1" t="s">
        <v>18502</v>
      </c>
      <c r="G424" s="1" t="s">
        <v>8974</v>
      </c>
      <c r="H424" t="s">
        <v>9061</v>
      </c>
      <c r="I424" s="1" t="s">
        <v>8948</v>
      </c>
      <c r="J424" s="1" t="s">
        <v>9155</v>
      </c>
      <c r="K424" s="1" t="s">
        <v>10492</v>
      </c>
      <c r="L424" s="1" t="s">
        <v>9133</v>
      </c>
      <c r="M424" s="1">
        <v>36</v>
      </c>
      <c r="N424" s="1" t="s">
        <v>9059</v>
      </c>
      <c r="O424" s="1" t="s">
        <v>8989</v>
      </c>
      <c r="P424" s="1" t="e">
        <v>#N/A</v>
      </c>
      <c r="Q424" s="1" t="e">
        <v>#N/A</v>
      </c>
      <c r="R424" s="1">
        <f t="shared" si="120"/>
        <v>7</v>
      </c>
      <c r="S424" s="1" t="str">
        <f t="shared" si="121"/>
        <v>4-7</v>
      </c>
      <c r="T424" s="1" t="s">
        <v>18743</v>
      </c>
      <c r="U424" s="1" t="s">
        <v>7</v>
      </c>
      <c r="V424" s="1" t="s">
        <v>180</v>
      </c>
      <c r="W424" s="1"/>
    </row>
    <row r="425" spans="1:23" x14ac:dyDescent="0.2">
      <c r="A425" s="88" t="s">
        <v>15885</v>
      </c>
      <c r="B425" s="1" t="e">
        <v>#N/A</v>
      </c>
      <c r="C425" s="1" t="s">
        <v>12065</v>
      </c>
      <c r="D425" s="1" t="s">
        <v>1248</v>
      </c>
      <c r="E425" s="1" t="s">
        <v>1249</v>
      </c>
      <c r="F425" s="1" t="s">
        <v>9310</v>
      </c>
      <c r="G425" s="1" t="s">
        <v>8957</v>
      </c>
      <c r="H425" t="s">
        <v>9183</v>
      </c>
      <c r="I425" s="1" t="s">
        <v>9092</v>
      </c>
      <c r="J425" s="1" t="s">
        <v>8998</v>
      </c>
      <c r="K425" s="1" t="s">
        <v>9523</v>
      </c>
      <c r="L425" s="1" t="s">
        <v>8973</v>
      </c>
      <c r="M425" s="1">
        <v>300</v>
      </c>
      <c r="N425" s="1" t="s">
        <v>8953</v>
      </c>
      <c r="O425" s="1" t="s">
        <v>8954</v>
      </c>
      <c r="P425" s="1" t="s">
        <v>8955</v>
      </c>
      <c r="Q425" s="1" t="s">
        <v>8956</v>
      </c>
      <c r="R425" s="1" t="s">
        <v>8957</v>
      </c>
      <c r="S425" s="1" t="s">
        <v>8958</v>
      </c>
      <c r="T425" s="1" t="s">
        <v>1250</v>
      </c>
      <c r="U425" s="1" t="s">
        <v>17</v>
      </c>
      <c r="V425" s="1" t="s">
        <v>27</v>
      </c>
      <c r="W425" s="1"/>
    </row>
    <row r="426" spans="1:23" x14ac:dyDescent="0.2">
      <c r="A426" s="88" t="s">
        <v>15886</v>
      </c>
      <c r="B426" s="1" t="e">
        <v>#N/A</v>
      </c>
      <c r="C426" s="1" t="s">
        <v>11836</v>
      </c>
      <c r="D426" s="1" t="s">
        <v>1251</v>
      </c>
      <c r="E426" s="1" t="s">
        <v>1252</v>
      </c>
      <c r="F426" s="1" t="s">
        <v>9010</v>
      </c>
      <c r="G426" s="1" t="s">
        <v>8974</v>
      </c>
      <c r="H426" t="s">
        <v>9061</v>
      </c>
      <c r="I426" s="1" t="s">
        <v>8984</v>
      </c>
      <c r="J426" s="1" t="s">
        <v>8949</v>
      </c>
      <c r="K426" s="1" t="s">
        <v>21195</v>
      </c>
      <c r="L426" s="1" t="s">
        <v>9076</v>
      </c>
      <c r="M426" s="1">
        <v>157</v>
      </c>
      <c r="N426" s="1" t="s">
        <v>9059</v>
      </c>
      <c r="O426" s="1" t="s">
        <v>8989</v>
      </c>
      <c r="P426" s="1" t="s">
        <v>8955</v>
      </c>
      <c r="Q426" s="1" t="s">
        <v>8956</v>
      </c>
      <c r="R426" s="1" t="s">
        <v>8974</v>
      </c>
      <c r="S426" s="1" t="s">
        <v>8975</v>
      </c>
      <c r="T426" s="1" t="s">
        <v>1253</v>
      </c>
      <c r="U426" s="1" t="s">
        <v>11</v>
      </c>
      <c r="V426" s="1" t="s">
        <v>180</v>
      </c>
      <c r="W426" s="1"/>
    </row>
    <row r="427" spans="1:23" x14ac:dyDescent="0.2">
      <c r="A427" s="88" t="s">
        <v>15887</v>
      </c>
      <c r="B427" s="1" t="e">
        <v>#N/A</v>
      </c>
      <c r="C427" s="1" t="e">
        <v>#N/A</v>
      </c>
      <c r="D427" s="1" t="s">
        <v>1254</v>
      </c>
      <c r="E427" s="1" t="s">
        <v>1255</v>
      </c>
      <c r="F427" s="1" t="s">
        <v>9310</v>
      </c>
      <c r="G427" s="1" t="s">
        <v>8957</v>
      </c>
      <c r="H427" t="s">
        <v>8959</v>
      </c>
      <c r="I427" s="1" t="s">
        <v>9035</v>
      </c>
      <c r="J427" s="1" t="s">
        <v>8998</v>
      </c>
      <c r="K427" s="1" t="s">
        <v>10492</v>
      </c>
      <c r="L427" s="1" t="s">
        <v>9292</v>
      </c>
      <c r="M427" s="1">
        <v>1018</v>
      </c>
      <c r="N427" s="1" t="s">
        <v>9059</v>
      </c>
      <c r="O427" s="1" t="s">
        <v>8954</v>
      </c>
      <c r="P427" s="1" t="e">
        <v>#N/A</v>
      </c>
      <c r="Q427" s="1" t="e">
        <v>#N/A</v>
      </c>
      <c r="R427" s="1">
        <f t="shared" ref="R427:R432" si="122">1+LEN(T427)-LEN(SUBSTITUTE(T427,",",))</f>
        <v>5</v>
      </c>
      <c r="S427" s="1" t="str">
        <f t="shared" ref="S427:S432" si="123">IF(R427&gt;4,IF(R427&lt;8,"4-7",IF(R427&gt;7,"&gt;7")),"&lt;4")</f>
        <v>4-7</v>
      </c>
      <c r="T427" s="1" t="s">
        <v>18744</v>
      </c>
      <c r="U427" s="1" t="s">
        <v>17</v>
      </c>
      <c r="V427" s="1" t="s">
        <v>5</v>
      </c>
      <c r="W427" s="1"/>
    </row>
    <row r="428" spans="1:23" x14ac:dyDescent="0.2">
      <c r="A428" s="88" t="s">
        <v>15888</v>
      </c>
      <c r="B428" s="1" t="e">
        <v>#N/A</v>
      </c>
      <c r="C428" s="1" t="e">
        <v>#N/A</v>
      </c>
      <c r="D428" s="1" t="s">
        <v>1256</v>
      </c>
      <c r="E428" s="1" t="s">
        <v>1257</v>
      </c>
      <c r="F428" s="1" t="s">
        <v>9310</v>
      </c>
      <c r="G428" s="1" t="s">
        <v>8959</v>
      </c>
      <c r="H428" t="s">
        <v>9061</v>
      </c>
      <c r="I428" s="1" t="s">
        <v>9035</v>
      </c>
      <c r="J428" s="1" t="s">
        <v>8998</v>
      </c>
      <c r="K428" s="1" t="s">
        <v>21434</v>
      </c>
      <c r="L428" s="1" t="s">
        <v>9076</v>
      </c>
      <c r="M428" s="1">
        <v>396</v>
      </c>
      <c r="N428" s="1" t="s">
        <v>8953</v>
      </c>
      <c r="O428" s="1" t="s">
        <v>8989</v>
      </c>
      <c r="P428" s="1" t="e">
        <v>#N/A</v>
      </c>
      <c r="Q428" s="1" t="e">
        <v>#N/A</v>
      </c>
      <c r="R428" s="1">
        <f t="shared" si="122"/>
        <v>4</v>
      </c>
      <c r="S428" s="1" t="str">
        <f t="shared" si="123"/>
        <v>&lt;4</v>
      </c>
      <c r="T428" s="1" t="s">
        <v>18745</v>
      </c>
      <c r="U428" s="1" t="s">
        <v>7</v>
      </c>
      <c r="V428" s="1" t="s">
        <v>378</v>
      </c>
      <c r="W428" s="1"/>
    </row>
    <row r="429" spans="1:23" x14ac:dyDescent="0.2">
      <c r="A429" s="94" t="s">
        <v>15889</v>
      </c>
      <c r="B429" s="1" t="e">
        <v>#N/A</v>
      </c>
      <c r="C429" s="1" t="e">
        <v>#N/A</v>
      </c>
      <c r="D429" s="1" t="s">
        <v>1258</v>
      </c>
      <c r="E429" s="1" t="s">
        <v>1259</v>
      </c>
      <c r="F429" s="1" t="s">
        <v>9310</v>
      </c>
      <c r="G429" s="1" t="s">
        <v>9060</v>
      </c>
      <c r="H429" t="s">
        <v>8959</v>
      </c>
      <c r="I429" s="1" t="s">
        <v>8948</v>
      </c>
      <c r="J429" s="1" t="s">
        <v>8949</v>
      </c>
      <c r="K429" s="1" t="s">
        <v>9036</v>
      </c>
      <c r="L429" s="1" t="s">
        <v>8987</v>
      </c>
      <c r="M429" s="1">
        <f>180*38</f>
        <v>6840</v>
      </c>
      <c r="N429" s="1" t="s">
        <v>9059</v>
      </c>
      <c r="O429" s="1" t="s">
        <v>8989</v>
      </c>
      <c r="P429" s="1" t="e">
        <v>#N/A</v>
      </c>
      <c r="Q429" s="1" t="e">
        <v>#N/A</v>
      </c>
      <c r="R429" s="1">
        <f t="shared" si="122"/>
        <v>7</v>
      </c>
      <c r="S429" s="1" t="str">
        <f t="shared" si="123"/>
        <v>4-7</v>
      </c>
      <c r="T429" s="1" t="s">
        <v>18746</v>
      </c>
      <c r="U429" s="1" t="s">
        <v>7</v>
      </c>
      <c r="V429" s="1" t="s">
        <v>46</v>
      </c>
      <c r="W429" s="1"/>
    </row>
    <row r="430" spans="1:23" x14ac:dyDescent="0.2">
      <c r="A430" s="89" t="s">
        <v>1260</v>
      </c>
      <c r="B430" s="1" t="e">
        <v>#N/A</v>
      </c>
      <c r="C430" s="1" t="e">
        <v>#N/A</v>
      </c>
      <c r="D430" s="1" t="s">
        <v>1261</v>
      </c>
      <c r="E430" s="1" t="s">
        <v>1262</v>
      </c>
      <c r="F430" s="1" t="e">
        <v>#N/A</v>
      </c>
      <c r="G430" s="1" t="e">
        <v>#N/A</v>
      </c>
      <c r="H430" t="e">
        <v>#N/A</v>
      </c>
      <c r="I430" s="1" t="e">
        <v>#N/A</v>
      </c>
      <c r="J430" s="1" t="e">
        <v>#N/A</v>
      </c>
      <c r="K430" s="1" t="e">
        <v>#N/A</v>
      </c>
      <c r="L430" s="1" t="e">
        <v>#N/A</v>
      </c>
      <c r="M430" s="1" t="e">
        <v>#N/A</v>
      </c>
      <c r="N430" s="1" t="e">
        <v>#N/A</v>
      </c>
      <c r="O430" s="1" t="e">
        <v>#N/A</v>
      </c>
      <c r="P430" s="1" t="e">
        <v>#N/A</v>
      </c>
      <c r="Q430" s="1" t="e">
        <v>#N/A</v>
      </c>
      <c r="R430" s="1">
        <f t="shared" si="122"/>
        <v>5</v>
      </c>
      <c r="S430" s="1" t="str">
        <f t="shared" si="123"/>
        <v>4-7</v>
      </c>
      <c r="T430" s="1" t="s">
        <v>18747</v>
      </c>
      <c r="U430" s="1" t="s">
        <v>11</v>
      </c>
      <c r="V430" s="1" t="s">
        <v>392</v>
      </c>
      <c r="W430" s="1"/>
    </row>
    <row r="431" spans="1:23" x14ac:dyDescent="0.2">
      <c r="A431" s="89" t="s">
        <v>1263</v>
      </c>
      <c r="B431" s="1" t="e">
        <v>#N/A</v>
      </c>
      <c r="C431" s="1" t="e">
        <v>#N/A</v>
      </c>
      <c r="D431" s="1" t="s">
        <v>1264</v>
      </c>
      <c r="E431" s="1" t="s">
        <v>1265</v>
      </c>
      <c r="F431" s="1" t="e">
        <v>#N/A</v>
      </c>
      <c r="G431" s="1" t="e">
        <v>#N/A</v>
      </c>
      <c r="H431" t="e">
        <v>#N/A</v>
      </c>
      <c r="I431" s="1" t="e">
        <v>#N/A</v>
      </c>
      <c r="J431" s="1" t="e">
        <v>#N/A</v>
      </c>
      <c r="K431" s="1" t="e">
        <v>#N/A</v>
      </c>
      <c r="L431" s="1" t="e">
        <v>#N/A</v>
      </c>
      <c r="M431" s="1" t="e">
        <v>#N/A</v>
      </c>
      <c r="N431" s="1" t="e">
        <v>#N/A</v>
      </c>
      <c r="O431" s="1" t="e">
        <v>#N/A</v>
      </c>
      <c r="P431" s="1" t="e">
        <v>#N/A</v>
      </c>
      <c r="Q431" s="1" t="e">
        <v>#N/A</v>
      </c>
      <c r="R431" s="1">
        <f t="shared" si="122"/>
        <v>5</v>
      </c>
      <c r="S431" s="1" t="str">
        <f t="shared" si="123"/>
        <v>4-7</v>
      </c>
      <c r="T431" s="1" t="s">
        <v>18748</v>
      </c>
      <c r="U431" s="1" t="s">
        <v>11</v>
      </c>
      <c r="V431" s="1" t="s">
        <v>1266</v>
      </c>
      <c r="W431" s="1"/>
    </row>
    <row r="432" spans="1:23" x14ac:dyDescent="0.2">
      <c r="A432" s="88" t="s">
        <v>15890</v>
      </c>
      <c r="B432" s="1" t="e">
        <v>#N/A</v>
      </c>
      <c r="C432" s="1" t="e">
        <v>#N/A</v>
      </c>
      <c r="D432" s="1" t="s">
        <v>1267</v>
      </c>
      <c r="E432" s="1" t="s">
        <v>1268</v>
      </c>
      <c r="F432" s="1" t="s">
        <v>9310</v>
      </c>
      <c r="G432" s="1" t="s">
        <v>8957</v>
      </c>
      <c r="H432" t="s">
        <v>8959</v>
      </c>
      <c r="I432" s="1" t="s">
        <v>9092</v>
      </c>
      <c r="J432" s="1" t="s">
        <v>9308</v>
      </c>
      <c r="K432" s="1" t="s">
        <v>10381</v>
      </c>
      <c r="L432" s="1" t="s">
        <v>8951</v>
      </c>
      <c r="M432" s="1">
        <v>1250</v>
      </c>
      <c r="N432" s="1" t="s">
        <v>8953</v>
      </c>
      <c r="O432" s="1" t="s">
        <v>8989</v>
      </c>
      <c r="P432" s="1" t="e">
        <v>#N/A</v>
      </c>
      <c r="Q432" s="1" t="e">
        <v>#N/A</v>
      </c>
      <c r="R432" s="1">
        <f t="shared" si="122"/>
        <v>7</v>
      </c>
      <c r="S432" s="1" t="str">
        <f t="shared" si="123"/>
        <v>4-7</v>
      </c>
      <c r="T432" s="1" t="s">
        <v>18749</v>
      </c>
      <c r="U432" s="1" t="s">
        <v>17</v>
      </c>
      <c r="V432" s="1" t="s">
        <v>24</v>
      </c>
      <c r="W432" s="1"/>
    </row>
    <row r="433" spans="1:23" x14ac:dyDescent="0.2">
      <c r="A433" s="88" t="s">
        <v>15891</v>
      </c>
      <c r="B433" s="1" t="e">
        <v>#N/A</v>
      </c>
      <c r="C433" s="1" t="s">
        <v>12313</v>
      </c>
      <c r="D433" s="1" t="s">
        <v>1269</v>
      </c>
      <c r="E433" s="1" t="s">
        <v>1270</v>
      </c>
      <c r="F433" s="1" t="s">
        <v>9310</v>
      </c>
      <c r="G433" s="1" t="s">
        <v>8957</v>
      </c>
      <c r="H433" t="s">
        <v>9183</v>
      </c>
      <c r="I433" s="1" t="s">
        <v>9100</v>
      </c>
      <c r="J433" s="1" t="s">
        <v>8998</v>
      </c>
      <c r="K433" s="1" t="s">
        <v>8972</v>
      </c>
      <c r="L433" s="1" t="s">
        <v>9076</v>
      </c>
      <c r="M433" s="1">
        <v>5936</v>
      </c>
      <c r="N433" s="1" t="s">
        <v>8953</v>
      </c>
      <c r="O433" s="1" t="s">
        <v>8989</v>
      </c>
      <c r="P433" s="1" t="s">
        <v>8955</v>
      </c>
      <c r="Q433" s="1" t="s">
        <v>8956</v>
      </c>
      <c r="R433" s="1" t="s">
        <v>8957</v>
      </c>
      <c r="S433" s="1" t="s">
        <v>8975</v>
      </c>
      <c r="T433" s="1" t="s">
        <v>1271</v>
      </c>
      <c r="U433" s="1" t="s">
        <v>11</v>
      </c>
      <c r="V433" s="1" t="s">
        <v>61</v>
      </c>
      <c r="W433" s="1"/>
    </row>
    <row r="434" spans="1:23" x14ac:dyDescent="0.2">
      <c r="A434" s="88" t="s">
        <v>15892</v>
      </c>
      <c r="B434" s="1" t="e">
        <v>#N/A</v>
      </c>
      <c r="C434" s="1" t="s">
        <v>13817</v>
      </c>
      <c r="D434" s="1" t="s">
        <v>1272</v>
      </c>
      <c r="E434" s="1" t="s">
        <v>1273</v>
      </c>
      <c r="F434" s="1" t="s">
        <v>9310</v>
      </c>
      <c r="G434" s="1" t="s">
        <v>8957</v>
      </c>
      <c r="H434" t="s">
        <v>8959</v>
      </c>
      <c r="I434" s="1" t="s">
        <v>9605</v>
      </c>
      <c r="J434" s="1" t="s">
        <v>8998</v>
      </c>
      <c r="K434" s="1" t="s">
        <v>21206</v>
      </c>
      <c r="L434" s="1" t="s">
        <v>9076</v>
      </c>
      <c r="M434" s="1">
        <v>7015</v>
      </c>
      <c r="N434" s="1" t="s">
        <v>8953</v>
      </c>
      <c r="O434" s="1" t="s">
        <v>8989</v>
      </c>
      <c r="P434" s="1" t="s">
        <v>8955</v>
      </c>
      <c r="Q434" s="1" t="s">
        <v>8956</v>
      </c>
      <c r="R434" s="1" t="s">
        <v>8957</v>
      </c>
      <c r="S434" s="1" t="s">
        <v>8975</v>
      </c>
      <c r="T434" s="1" t="s">
        <v>1274</v>
      </c>
      <c r="U434" s="1" t="s">
        <v>4</v>
      </c>
      <c r="V434" s="1" t="s">
        <v>61</v>
      </c>
      <c r="W434" s="1"/>
    </row>
    <row r="435" spans="1:23" x14ac:dyDescent="0.2">
      <c r="A435" s="88" t="s">
        <v>15893</v>
      </c>
      <c r="B435" s="1" t="e">
        <v>#N/A</v>
      </c>
      <c r="C435" s="1" t="e">
        <v>#N/A</v>
      </c>
      <c r="D435" s="1" t="s">
        <v>1275</v>
      </c>
      <c r="E435" s="1" t="s">
        <v>1276</v>
      </c>
      <c r="F435" s="1" t="s">
        <v>18502</v>
      </c>
      <c r="G435" s="1" t="s">
        <v>8957</v>
      </c>
      <c r="H435" t="s">
        <v>8959</v>
      </c>
      <c r="I435" s="1" t="s">
        <v>20712</v>
      </c>
      <c r="J435" s="1" t="s">
        <v>8998</v>
      </c>
      <c r="K435" s="1" t="s">
        <v>10492</v>
      </c>
      <c r="L435" s="1" t="s">
        <v>9076</v>
      </c>
      <c r="M435" s="1">
        <v>1153</v>
      </c>
      <c r="N435" s="1" t="s">
        <v>8953</v>
      </c>
      <c r="O435" s="1" t="s">
        <v>8989</v>
      </c>
      <c r="P435" s="1" t="e">
        <v>#N/A</v>
      </c>
      <c r="Q435" s="1" t="e">
        <v>#N/A</v>
      </c>
      <c r="R435" s="1">
        <f t="shared" ref="R435:R438" si="124">1+LEN(T435)-LEN(SUBSTITUTE(T435,",",))</f>
        <v>4</v>
      </c>
      <c r="S435" s="1" t="str">
        <f t="shared" ref="S435:S438" si="125">IF(R435&gt;4,IF(R435&lt;8,"4-7",IF(R435&gt;7,"&gt;7")),"&lt;4")</f>
        <v>&lt;4</v>
      </c>
      <c r="T435" s="1" t="s">
        <v>18750</v>
      </c>
      <c r="U435" s="1" t="s">
        <v>7</v>
      </c>
      <c r="V435" s="1" t="s">
        <v>93</v>
      </c>
      <c r="W435" s="1"/>
    </row>
    <row r="436" spans="1:23" x14ac:dyDescent="0.2">
      <c r="A436" s="88" t="s">
        <v>15894</v>
      </c>
      <c r="B436" s="1" t="e">
        <v>#N/A</v>
      </c>
      <c r="C436" s="1" t="e">
        <v>#N/A</v>
      </c>
      <c r="D436" s="1" t="s">
        <v>1277</v>
      </c>
      <c r="E436" s="1" t="s">
        <v>1278</v>
      </c>
      <c r="F436" s="1" t="s">
        <v>9310</v>
      </c>
      <c r="G436" s="1" t="s">
        <v>8959</v>
      </c>
      <c r="H436" t="s">
        <v>9183</v>
      </c>
      <c r="I436" s="1" t="s">
        <v>9075</v>
      </c>
      <c r="J436" s="1" t="s">
        <v>8949</v>
      </c>
      <c r="K436" s="1" t="s">
        <v>20764</v>
      </c>
      <c r="L436" s="1" t="s">
        <v>8973</v>
      </c>
      <c r="M436" s="1">
        <v>500</v>
      </c>
      <c r="N436" s="1" t="s">
        <v>8953</v>
      </c>
      <c r="O436" s="1" t="s">
        <v>8989</v>
      </c>
      <c r="P436" s="1" t="e">
        <v>#N/A</v>
      </c>
      <c r="Q436" s="1" t="e">
        <v>#N/A</v>
      </c>
      <c r="R436" s="1">
        <f t="shared" si="124"/>
        <v>7</v>
      </c>
      <c r="S436" s="1" t="str">
        <f t="shared" si="125"/>
        <v>4-7</v>
      </c>
      <c r="T436" s="1" t="s">
        <v>18751</v>
      </c>
      <c r="U436" s="1" t="s">
        <v>7</v>
      </c>
      <c r="V436" s="1" t="s">
        <v>184</v>
      </c>
      <c r="W436" s="1"/>
    </row>
    <row r="437" spans="1:23" x14ac:dyDescent="0.2">
      <c r="A437" s="88" t="s">
        <v>15895</v>
      </c>
      <c r="B437" s="1" t="e">
        <v>#N/A</v>
      </c>
      <c r="C437" s="1" t="e">
        <v>#N/A</v>
      </c>
      <c r="D437" s="1" t="s">
        <v>1279</v>
      </c>
      <c r="E437" s="1" t="s">
        <v>1280</v>
      </c>
      <c r="F437" s="1" t="s">
        <v>9310</v>
      </c>
      <c r="G437" s="1" t="s">
        <v>8957</v>
      </c>
      <c r="H437" t="s">
        <v>9061</v>
      </c>
      <c r="I437" s="1" t="s">
        <v>9035</v>
      </c>
      <c r="J437" s="1" t="s">
        <v>8998</v>
      </c>
      <c r="K437" s="1" t="s">
        <v>20768</v>
      </c>
      <c r="L437" s="1" t="s">
        <v>9133</v>
      </c>
      <c r="M437" s="1">
        <f>46096+13734+17030</f>
        <v>76860</v>
      </c>
      <c r="N437" s="1" t="s">
        <v>8953</v>
      </c>
      <c r="O437" s="1" t="s">
        <v>8954</v>
      </c>
      <c r="P437" s="1" t="e">
        <v>#N/A</v>
      </c>
      <c r="Q437" s="1" t="e">
        <v>#N/A</v>
      </c>
      <c r="R437" s="1">
        <f t="shared" si="124"/>
        <v>24</v>
      </c>
      <c r="S437" s="1" t="str">
        <f t="shared" si="125"/>
        <v>&gt;7</v>
      </c>
      <c r="T437" s="1" t="s">
        <v>18752</v>
      </c>
      <c r="U437" s="1" t="s">
        <v>7</v>
      </c>
      <c r="V437" s="1" t="s">
        <v>24</v>
      </c>
      <c r="W437" s="1"/>
    </row>
    <row r="438" spans="1:23" x14ac:dyDescent="0.2">
      <c r="A438" s="89" t="s">
        <v>1281</v>
      </c>
      <c r="B438" s="1" t="e">
        <v>#N/A</v>
      </c>
      <c r="C438" s="1" t="e">
        <v>#N/A</v>
      </c>
      <c r="D438" s="5" t="s">
        <v>1282</v>
      </c>
      <c r="E438" s="1" t="s">
        <v>1283</v>
      </c>
      <c r="F438" s="1" t="e">
        <v>#N/A</v>
      </c>
      <c r="G438" s="1" t="e">
        <v>#N/A</v>
      </c>
      <c r="H438" t="e">
        <v>#N/A</v>
      </c>
      <c r="I438" s="1" t="e">
        <v>#N/A</v>
      </c>
      <c r="J438" s="1" t="e">
        <v>#N/A</v>
      </c>
      <c r="K438" s="1" t="e">
        <v>#N/A</v>
      </c>
      <c r="L438" s="1" t="e">
        <v>#N/A</v>
      </c>
      <c r="M438" s="1" t="e">
        <v>#N/A</v>
      </c>
      <c r="N438" s="1" t="e">
        <v>#N/A</v>
      </c>
      <c r="O438" s="1" t="e">
        <v>#N/A</v>
      </c>
      <c r="P438" s="1" t="e">
        <v>#N/A</v>
      </c>
      <c r="Q438" s="1" t="e">
        <v>#N/A</v>
      </c>
      <c r="R438" s="1">
        <f t="shared" si="124"/>
        <v>3</v>
      </c>
      <c r="S438" s="1" t="str">
        <f t="shared" si="125"/>
        <v>&lt;4</v>
      </c>
      <c r="T438" s="1" t="s">
        <v>18753</v>
      </c>
      <c r="U438" s="1" t="s">
        <v>7</v>
      </c>
      <c r="V438" s="1" t="s">
        <v>184</v>
      </c>
      <c r="W438" s="1"/>
    </row>
    <row r="439" spans="1:23" x14ac:dyDescent="0.2">
      <c r="A439" s="88" t="s">
        <v>15896</v>
      </c>
      <c r="B439" s="1" t="e">
        <v>#N/A</v>
      </c>
      <c r="C439" s="1" t="s">
        <v>15257</v>
      </c>
      <c r="D439" s="1" t="s">
        <v>1284</v>
      </c>
      <c r="E439" s="1" t="s">
        <v>1285</v>
      </c>
      <c r="F439" s="1" t="s">
        <v>9010</v>
      </c>
      <c r="G439" s="1" t="s">
        <v>8957</v>
      </c>
      <c r="H439" t="s">
        <v>9061</v>
      </c>
      <c r="I439" s="1" t="s">
        <v>8948</v>
      </c>
      <c r="J439" s="1" t="s">
        <v>9155</v>
      </c>
      <c r="K439" s="1" t="s">
        <v>8972</v>
      </c>
      <c r="L439" s="1" t="s">
        <v>9464</v>
      </c>
      <c r="M439" s="1">
        <v>142</v>
      </c>
      <c r="N439" s="1" t="s">
        <v>8953</v>
      </c>
      <c r="O439" s="1" t="s">
        <v>8954</v>
      </c>
      <c r="P439" s="1" t="s">
        <v>8955</v>
      </c>
      <c r="Q439" s="1" t="s">
        <v>8956</v>
      </c>
      <c r="R439" s="1" t="s">
        <v>8957</v>
      </c>
      <c r="S439" s="1" t="s">
        <v>8975</v>
      </c>
      <c r="T439" s="1" t="s">
        <v>1286</v>
      </c>
      <c r="U439" s="1" t="s">
        <v>17</v>
      </c>
      <c r="V439" s="1" t="s">
        <v>180</v>
      </c>
      <c r="W439" s="1"/>
    </row>
    <row r="440" spans="1:23" x14ac:dyDescent="0.2">
      <c r="A440" s="88" t="s">
        <v>15897</v>
      </c>
      <c r="B440" s="1" t="e">
        <v>#N/A</v>
      </c>
      <c r="C440" s="1" t="e">
        <v>#N/A</v>
      </c>
      <c r="D440" s="1" t="s">
        <v>1287</v>
      </c>
      <c r="E440" s="1" t="s">
        <v>1288</v>
      </c>
      <c r="F440" s="1" t="s">
        <v>9310</v>
      </c>
      <c r="G440" s="1" t="s">
        <v>8957</v>
      </c>
      <c r="H440" t="s">
        <v>8959</v>
      </c>
      <c r="I440" s="1" t="s">
        <v>20712</v>
      </c>
      <c r="J440" s="1" t="s">
        <v>8959</v>
      </c>
      <c r="K440" s="1" t="s">
        <v>9036</v>
      </c>
      <c r="L440" s="1" t="s">
        <v>8951</v>
      </c>
      <c r="M440" s="1">
        <v>8000</v>
      </c>
      <c r="N440" s="1" t="s">
        <v>8953</v>
      </c>
      <c r="O440" s="1" t="s">
        <v>8989</v>
      </c>
      <c r="P440" s="1" t="e">
        <v>#N/A</v>
      </c>
      <c r="Q440" s="1" t="e">
        <v>#N/A</v>
      </c>
      <c r="R440" s="1">
        <f t="shared" ref="R440:R441" si="126">1+LEN(T440)-LEN(SUBSTITUTE(T440,",",))</f>
        <v>6</v>
      </c>
      <c r="S440" s="1" t="str">
        <f t="shared" ref="S440:S441" si="127">IF(R440&gt;4,IF(R440&lt;8,"4-7",IF(R440&gt;7,"&gt;7")),"&lt;4")</f>
        <v>4-7</v>
      </c>
      <c r="T440" s="1" t="s">
        <v>18754</v>
      </c>
      <c r="U440" s="1" t="s">
        <v>7</v>
      </c>
      <c r="V440" s="1" t="s">
        <v>46</v>
      </c>
      <c r="W440" s="1"/>
    </row>
    <row r="441" spans="1:23" x14ac:dyDescent="0.2">
      <c r="A441" s="88" t="s">
        <v>15898</v>
      </c>
      <c r="B441" s="1" t="e">
        <v>#N/A</v>
      </c>
      <c r="C441" s="1" t="e">
        <v>#N/A</v>
      </c>
      <c r="D441" s="1" t="s">
        <v>1289</v>
      </c>
      <c r="E441" s="1" t="s">
        <v>1290</v>
      </c>
      <c r="F441" s="1" t="s">
        <v>10873</v>
      </c>
      <c r="G441" s="1" t="s">
        <v>8974</v>
      </c>
      <c r="H441" t="s">
        <v>8959</v>
      </c>
      <c r="I441" s="1" t="s">
        <v>20712</v>
      </c>
      <c r="J441" s="1" t="s">
        <v>9155</v>
      </c>
      <c r="K441" s="1" t="s">
        <v>20765</v>
      </c>
      <c r="L441" s="1" t="s">
        <v>8987</v>
      </c>
      <c r="M441" s="1">
        <f>2694+150</f>
        <v>2844</v>
      </c>
      <c r="N441" s="1" t="s">
        <v>8953</v>
      </c>
      <c r="O441" s="1" t="s">
        <v>8954</v>
      </c>
      <c r="P441" s="1" t="e">
        <v>#N/A</v>
      </c>
      <c r="Q441" s="1" t="e">
        <v>#N/A</v>
      </c>
      <c r="R441" s="1">
        <f t="shared" si="126"/>
        <v>6</v>
      </c>
      <c r="S441" s="1" t="str">
        <f t="shared" si="127"/>
        <v>4-7</v>
      </c>
      <c r="T441" s="1" t="s">
        <v>18755</v>
      </c>
      <c r="U441" s="1" t="s">
        <v>17</v>
      </c>
      <c r="V441" s="1" t="s">
        <v>126</v>
      </c>
      <c r="W441" s="1"/>
    </row>
    <row r="442" spans="1:23" x14ac:dyDescent="0.2">
      <c r="A442" s="88" t="s">
        <v>15899</v>
      </c>
      <c r="B442" s="1" t="e">
        <v>#N/A</v>
      </c>
      <c r="C442" s="1" t="s">
        <v>13778</v>
      </c>
      <c r="D442" s="1" t="s">
        <v>1291</v>
      </c>
      <c r="E442" s="1" t="s">
        <v>1292</v>
      </c>
      <c r="F442" s="1" t="s">
        <v>10873</v>
      </c>
      <c r="G442" s="1" t="s">
        <v>8957</v>
      </c>
      <c r="H442" t="s">
        <v>8959</v>
      </c>
      <c r="I442" s="1" t="s">
        <v>8948</v>
      </c>
      <c r="J442" s="1" t="s">
        <v>8949</v>
      </c>
      <c r="K442" s="1" t="s">
        <v>9036</v>
      </c>
      <c r="L442" s="1" t="s">
        <v>8973</v>
      </c>
      <c r="M442" s="1">
        <v>741</v>
      </c>
      <c r="N442" s="1" t="s">
        <v>9059</v>
      </c>
      <c r="O442" s="1" t="s">
        <v>8954</v>
      </c>
      <c r="P442" s="1" t="s">
        <v>8955</v>
      </c>
      <c r="Q442" s="1" t="s">
        <v>8956</v>
      </c>
      <c r="R442" s="1" t="s">
        <v>8957</v>
      </c>
      <c r="S442" s="1" t="s">
        <v>9103</v>
      </c>
      <c r="T442" s="1" t="s">
        <v>1293</v>
      </c>
      <c r="U442" s="1" t="s">
        <v>4</v>
      </c>
      <c r="V442" s="1" t="s">
        <v>57</v>
      </c>
      <c r="W442" s="1"/>
    </row>
    <row r="443" spans="1:23" x14ac:dyDescent="0.2">
      <c r="A443" s="88" t="s">
        <v>15900</v>
      </c>
      <c r="B443" s="1" t="e">
        <v>#N/A</v>
      </c>
      <c r="C443" s="1" t="s">
        <v>14689</v>
      </c>
      <c r="D443" s="1" t="s">
        <v>1294</v>
      </c>
      <c r="E443" s="1" t="s">
        <v>1295</v>
      </c>
      <c r="F443" s="1" t="s">
        <v>9010</v>
      </c>
      <c r="G443" s="1" t="s">
        <v>8957</v>
      </c>
      <c r="H443" t="s">
        <v>9009</v>
      </c>
      <c r="I443" s="1" t="s">
        <v>9075</v>
      </c>
      <c r="J443" s="1" t="s">
        <v>8998</v>
      </c>
      <c r="K443" s="1" t="s">
        <v>10492</v>
      </c>
      <c r="L443" s="1" t="s">
        <v>9076</v>
      </c>
      <c r="M443" s="1">
        <v>2960</v>
      </c>
      <c r="N443" s="1" t="s">
        <v>8953</v>
      </c>
      <c r="O443" s="1" t="s">
        <v>8989</v>
      </c>
      <c r="P443" s="1" t="s">
        <v>8955</v>
      </c>
      <c r="Q443" s="1" t="s">
        <v>8956</v>
      </c>
      <c r="R443" s="1" t="s">
        <v>8957</v>
      </c>
      <c r="S443" s="1" t="s">
        <v>8958</v>
      </c>
      <c r="T443" s="1" t="s">
        <v>1296</v>
      </c>
      <c r="U443" s="1" t="s">
        <v>7</v>
      </c>
      <c r="V443" s="1" t="s">
        <v>93</v>
      </c>
      <c r="W443" s="1"/>
    </row>
    <row r="444" spans="1:23" x14ac:dyDescent="0.2">
      <c r="A444" s="88" t="s">
        <v>15901</v>
      </c>
      <c r="B444" s="1" t="e">
        <v>#N/A</v>
      </c>
      <c r="C444" s="1" t="e">
        <v>#N/A</v>
      </c>
      <c r="D444" s="1" t="s">
        <v>1297</v>
      </c>
      <c r="E444" s="1" t="s">
        <v>1298</v>
      </c>
      <c r="F444" s="1" t="s">
        <v>18502</v>
      </c>
      <c r="G444" s="1" t="s">
        <v>8957</v>
      </c>
      <c r="H444" t="s">
        <v>9061</v>
      </c>
      <c r="I444" s="1" t="s">
        <v>9075</v>
      </c>
      <c r="J444" s="1" t="s">
        <v>9725</v>
      </c>
      <c r="K444" s="1" t="s">
        <v>10492</v>
      </c>
      <c r="L444" s="1" t="s">
        <v>8973</v>
      </c>
      <c r="M444" s="1">
        <v>1176</v>
      </c>
      <c r="N444" s="1" t="s">
        <v>8953</v>
      </c>
      <c r="O444" s="1" t="s">
        <v>8989</v>
      </c>
      <c r="P444" s="1" t="e">
        <v>#N/A</v>
      </c>
      <c r="Q444" s="1" t="e">
        <v>#N/A</v>
      </c>
      <c r="R444" s="1">
        <f t="shared" ref="R444:R448" si="128">1+LEN(T444)-LEN(SUBSTITUTE(T444,",",))</f>
        <v>7</v>
      </c>
      <c r="S444" s="1" t="str">
        <f t="shared" ref="S444:S448" si="129">IF(R444&gt;4,IF(R444&lt;8,"4-7",IF(R444&gt;7,"&gt;7")),"&lt;4")</f>
        <v>4-7</v>
      </c>
      <c r="T444" s="1" t="s">
        <v>18756</v>
      </c>
      <c r="U444" s="1" t="s">
        <v>17</v>
      </c>
      <c r="V444" s="1" t="s">
        <v>378</v>
      </c>
      <c r="W444" s="1"/>
    </row>
    <row r="445" spans="1:23" x14ac:dyDescent="0.2">
      <c r="A445" s="88" t="s">
        <v>15902</v>
      </c>
      <c r="B445" s="1" t="e">
        <v>#N/A</v>
      </c>
      <c r="C445" s="1" t="e">
        <v>#N/A</v>
      </c>
      <c r="D445" s="1" t="s">
        <v>1299</v>
      </c>
      <c r="E445" s="1" t="s">
        <v>1300</v>
      </c>
      <c r="F445" s="1" t="s">
        <v>9310</v>
      </c>
      <c r="G445" s="1" t="s">
        <v>8957</v>
      </c>
      <c r="H445" t="s">
        <v>8959</v>
      </c>
      <c r="I445" s="1" t="s">
        <v>20712</v>
      </c>
      <c r="J445" s="1" t="s">
        <v>9155</v>
      </c>
      <c r="K445" s="1" t="s">
        <v>20766</v>
      </c>
      <c r="L445" s="1" t="s">
        <v>9076</v>
      </c>
      <c r="M445" s="1">
        <f>150+250+100+200+200+400</f>
        <v>1300</v>
      </c>
      <c r="N445" s="1" t="s">
        <v>8953</v>
      </c>
      <c r="O445" s="1" t="s">
        <v>8954</v>
      </c>
      <c r="P445" s="1" t="e">
        <v>#N/A</v>
      </c>
      <c r="Q445" s="1" t="e">
        <v>#N/A</v>
      </c>
      <c r="R445" s="1">
        <f t="shared" si="128"/>
        <v>5</v>
      </c>
      <c r="S445" s="1" t="str">
        <f t="shared" si="129"/>
        <v>4-7</v>
      </c>
      <c r="T445" s="1" t="s">
        <v>18757</v>
      </c>
      <c r="U445" s="1" t="s">
        <v>7</v>
      </c>
      <c r="V445" s="1" t="s">
        <v>8</v>
      </c>
      <c r="W445" s="1"/>
    </row>
    <row r="446" spans="1:23" x14ac:dyDescent="0.2">
      <c r="A446" s="92" t="s">
        <v>15903</v>
      </c>
      <c r="B446" s="1" t="e">
        <v>#N/A</v>
      </c>
      <c r="C446" s="1" t="e">
        <v>#N/A</v>
      </c>
      <c r="D446" s="1" t="s">
        <v>1301</v>
      </c>
      <c r="E446" s="1" t="s">
        <v>1302</v>
      </c>
      <c r="F446" s="1" t="s">
        <v>9310</v>
      </c>
      <c r="G446" s="1" t="e">
        <v>#N/A</v>
      </c>
      <c r="H446" t="s">
        <v>9009</v>
      </c>
      <c r="I446" s="1" t="s">
        <v>9100</v>
      </c>
      <c r="J446" s="1" t="s">
        <v>8949</v>
      </c>
      <c r="K446" s="1" t="e">
        <v>#N/A</v>
      </c>
      <c r="L446" s="1" t="s">
        <v>8987</v>
      </c>
      <c r="M446" s="1" t="e">
        <v>#N/A</v>
      </c>
      <c r="N446" s="1" t="e">
        <v>#N/A</v>
      </c>
      <c r="O446" s="1" t="e">
        <v>#N/A</v>
      </c>
      <c r="P446" s="1" t="e">
        <v>#N/A</v>
      </c>
      <c r="Q446" s="1" t="e">
        <v>#N/A</v>
      </c>
      <c r="R446" s="1">
        <f t="shared" si="128"/>
        <v>4</v>
      </c>
      <c r="S446" s="1" t="str">
        <f t="shared" si="129"/>
        <v>&lt;4</v>
      </c>
      <c r="T446" s="1" t="s">
        <v>18758</v>
      </c>
      <c r="U446" s="1" t="s">
        <v>17</v>
      </c>
      <c r="V446" s="1" t="s">
        <v>1303</v>
      </c>
      <c r="W446" s="1"/>
    </row>
    <row r="447" spans="1:23" x14ac:dyDescent="0.2">
      <c r="A447" s="88" t="s">
        <v>15904</v>
      </c>
      <c r="B447" s="1" t="e">
        <v>#N/A</v>
      </c>
      <c r="C447" s="1" t="e">
        <v>#N/A</v>
      </c>
      <c r="D447" s="1" t="s">
        <v>1304</v>
      </c>
      <c r="E447" s="1" t="s">
        <v>1305</v>
      </c>
      <c r="F447" s="1" t="s">
        <v>18502</v>
      </c>
      <c r="G447" s="1" t="s">
        <v>8957</v>
      </c>
      <c r="H447" t="s">
        <v>9061</v>
      </c>
      <c r="I447" s="1" t="s">
        <v>8948</v>
      </c>
      <c r="J447" s="1" t="s">
        <v>9155</v>
      </c>
      <c r="K447" s="1" t="s">
        <v>9036</v>
      </c>
      <c r="L447" s="1" t="s">
        <v>8987</v>
      </c>
      <c r="M447" s="1">
        <v>236</v>
      </c>
      <c r="N447" s="1" t="s">
        <v>8953</v>
      </c>
      <c r="O447" s="1" t="s">
        <v>8989</v>
      </c>
      <c r="P447" s="1" t="e">
        <v>#N/A</v>
      </c>
      <c r="Q447" s="1" t="e">
        <v>#N/A</v>
      </c>
      <c r="R447" s="1">
        <f t="shared" si="128"/>
        <v>8</v>
      </c>
      <c r="S447" s="1" t="str">
        <f t="shared" si="129"/>
        <v>&gt;7</v>
      </c>
      <c r="T447" s="1" t="s">
        <v>18759</v>
      </c>
      <c r="U447" s="1" t="s">
        <v>17</v>
      </c>
      <c r="V447" s="1" t="s">
        <v>378</v>
      </c>
      <c r="W447" s="1"/>
    </row>
    <row r="448" spans="1:23" x14ac:dyDescent="0.2">
      <c r="A448" s="88" t="s">
        <v>15905</v>
      </c>
      <c r="B448" s="1" t="e">
        <v>#N/A</v>
      </c>
      <c r="C448" s="1" t="e">
        <v>#N/A</v>
      </c>
      <c r="D448" s="1" t="s">
        <v>1306</v>
      </c>
      <c r="E448" s="1" t="s">
        <v>1307</v>
      </c>
      <c r="F448" s="1" t="s">
        <v>9310</v>
      </c>
      <c r="G448" s="1" t="s">
        <v>8957</v>
      </c>
      <c r="H448" t="s">
        <v>9061</v>
      </c>
      <c r="I448" s="1" t="s">
        <v>9154</v>
      </c>
      <c r="J448" s="1" t="s">
        <v>8998</v>
      </c>
      <c r="K448" s="1" t="s">
        <v>10492</v>
      </c>
      <c r="L448" s="1" t="s">
        <v>9133</v>
      </c>
      <c r="M448" s="1">
        <v>124</v>
      </c>
      <c r="N448" s="1" t="s">
        <v>9059</v>
      </c>
      <c r="O448" s="1" t="s">
        <v>8989</v>
      </c>
      <c r="P448" s="1" t="e">
        <v>#N/A</v>
      </c>
      <c r="Q448" s="1" t="e">
        <v>#N/A</v>
      </c>
      <c r="R448" s="1">
        <f t="shared" si="128"/>
        <v>10</v>
      </c>
      <c r="S448" s="1" t="str">
        <f t="shared" si="129"/>
        <v>&gt;7</v>
      </c>
      <c r="T448" s="1" t="s">
        <v>18760</v>
      </c>
      <c r="U448" s="1" t="s">
        <v>7</v>
      </c>
      <c r="V448" s="1" t="s">
        <v>670</v>
      </c>
      <c r="W448" s="1"/>
    </row>
    <row r="449" spans="1:23" x14ac:dyDescent="0.2">
      <c r="A449" s="88" t="s">
        <v>15906</v>
      </c>
      <c r="B449" s="1" t="e">
        <v>#N/A</v>
      </c>
      <c r="C449" s="1" t="s">
        <v>13319</v>
      </c>
      <c r="D449" s="1" t="s">
        <v>1308</v>
      </c>
      <c r="E449" s="1" t="s">
        <v>1309</v>
      </c>
      <c r="F449" s="1" t="s">
        <v>9010</v>
      </c>
      <c r="G449" s="1" t="s">
        <v>8974</v>
      </c>
      <c r="H449" t="s">
        <v>9061</v>
      </c>
      <c r="I449" s="1" t="s">
        <v>9035</v>
      </c>
      <c r="J449" s="1" t="s">
        <v>8998</v>
      </c>
      <c r="K449" s="1" t="s">
        <v>9036</v>
      </c>
      <c r="L449" s="1" t="s">
        <v>8987</v>
      </c>
      <c r="M449" s="1">
        <v>2500</v>
      </c>
      <c r="N449" s="1" t="s">
        <v>8953</v>
      </c>
      <c r="O449" s="1" t="s">
        <v>8989</v>
      </c>
      <c r="P449" s="1" t="s">
        <v>8955</v>
      </c>
      <c r="Q449" s="1" t="s">
        <v>8956</v>
      </c>
      <c r="R449" s="1" t="s">
        <v>8974</v>
      </c>
      <c r="S449" s="1" t="s">
        <v>8975</v>
      </c>
      <c r="T449" s="1" t="s">
        <v>1310</v>
      </c>
      <c r="U449" s="1" t="s">
        <v>11</v>
      </c>
      <c r="V449" s="1" t="s">
        <v>180</v>
      </c>
      <c r="W449" s="1"/>
    </row>
    <row r="450" spans="1:23" x14ac:dyDescent="0.2">
      <c r="A450" s="89" t="s">
        <v>1311</v>
      </c>
      <c r="B450" s="1" t="e">
        <v>#N/A</v>
      </c>
      <c r="C450" s="1" t="e">
        <v>#N/A</v>
      </c>
      <c r="D450" s="1" t="s">
        <v>1312</v>
      </c>
      <c r="E450" s="1" t="s">
        <v>1313</v>
      </c>
      <c r="F450" s="1" t="e">
        <v>#N/A</v>
      </c>
      <c r="G450" s="1" t="e">
        <v>#N/A</v>
      </c>
      <c r="H450" t="e">
        <v>#N/A</v>
      </c>
      <c r="I450" s="1" t="e">
        <v>#N/A</v>
      </c>
      <c r="J450" s="1" t="e">
        <v>#N/A</v>
      </c>
      <c r="K450" s="1" t="e">
        <v>#N/A</v>
      </c>
      <c r="L450" s="1" t="e">
        <v>#N/A</v>
      </c>
      <c r="M450" s="1" t="e">
        <v>#N/A</v>
      </c>
      <c r="N450" s="1" t="e">
        <v>#N/A</v>
      </c>
      <c r="O450" s="1" t="e">
        <v>#N/A</v>
      </c>
      <c r="P450" s="1" t="e">
        <v>#N/A</v>
      </c>
      <c r="Q450" s="1" t="e">
        <v>#N/A</v>
      </c>
      <c r="R450" s="1">
        <f>1+LEN(T450)-LEN(SUBSTITUTE(T450,",",))</f>
        <v>1</v>
      </c>
      <c r="S450" s="1" t="str">
        <f>IF(R450&gt;4,IF(R450&lt;8,"4-7",IF(R450&gt;7,"&gt;7")),"&lt;4")</f>
        <v>&lt;4</v>
      </c>
      <c r="T450" s="1" t="s">
        <v>1314</v>
      </c>
      <c r="U450" s="1" t="s">
        <v>7</v>
      </c>
      <c r="V450" s="1" t="s">
        <v>562</v>
      </c>
      <c r="W450" s="1"/>
    </row>
    <row r="451" spans="1:23" x14ac:dyDescent="0.2">
      <c r="A451" s="88" t="s">
        <v>15907</v>
      </c>
      <c r="B451" s="1" t="e">
        <v>#N/A</v>
      </c>
      <c r="C451" s="1" t="s">
        <v>13469</v>
      </c>
      <c r="D451" s="1" t="s">
        <v>1315</v>
      </c>
      <c r="E451" s="1" t="s">
        <v>1316</v>
      </c>
      <c r="F451" s="1" t="s">
        <v>10446</v>
      </c>
      <c r="G451" s="1" t="s">
        <v>8957</v>
      </c>
      <c r="H451" t="s">
        <v>9009</v>
      </c>
      <c r="I451" s="1" t="s">
        <v>8984</v>
      </c>
      <c r="J451" s="1" t="s">
        <v>9131</v>
      </c>
      <c r="K451" s="1" t="s">
        <v>13472</v>
      </c>
      <c r="L451" s="1" t="s">
        <v>8987</v>
      </c>
      <c r="M451" s="1">
        <v>1476</v>
      </c>
      <c r="N451" s="1" t="s">
        <v>8953</v>
      </c>
      <c r="O451" s="1" t="s">
        <v>8989</v>
      </c>
      <c r="P451" s="1" t="s">
        <v>9182</v>
      </c>
      <c r="Q451" s="1" t="s">
        <v>8956</v>
      </c>
      <c r="R451" s="1" t="s">
        <v>8957</v>
      </c>
      <c r="S451" s="1" t="s">
        <v>8958</v>
      </c>
      <c r="T451" s="1" t="s">
        <v>1317</v>
      </c>
      <c r="U451" s="1" t="s">
        <v>11</v>
      </c>
      <c r="V451" s="1" t="s">
        <v>1318</v>
      </c>
      <c r="W451" s="1"/>
    </row>
    <row r="452" spans="1:23" x14ac:dyDescent="0.2">
      <c r="A452" s="88" t="s">
        <v>15908</v>
      </c>
      <c r="B452" s="1" t="e">
        <v>#N/A</v>
      </c>
      <c r="C452" s="1" t="s">
        <v>9554</v>
      </c>
      <c r="D452" s="1" t="s">
        <v>1319</v>
      </c>
      <c r="E452" s="1" t="s">
        <v>1320</v>
      </c>
      <c r="F452" s="1" t="s">
        <v>9010</v>
      </c>
      <c r="G452" s="1" t="s">
        <v>8974</v>
      </c>
      <c r="H452" t="s">
        <v>9061</v>
      </c>
      <c r="I452" s="1" t="s">
        <v>9075</v>
      </c>
      <c r="J452" s="1" t="s">
        <v>8949</v>
      </c>
      <c r="K452" s="1" t="s">
        <v>9557</v>
      </c>
      <c r="L452" s="1" t="s">
        <v>8951</v>
      </c>
      <c r="M452" s="1">
        <v>330</v>
      </c>
      <c r="N452" s="1" t="s">
        <v>8953</v>
      </c>
      <c r="O452" s="1" t="s">
        <v>8989</v>
      </c>
      <c r="P452" s="1" t="s">
        <v>8955</v>
      </c>
      <c r="Q452" s="1" t="s">
        <v>8990</v>
      </c>
      <c r="R452" s="1" t="s">
        <v>8974</v>
      </c>
      <c r="S452" s="1" t="s">
        <v>8958</v>
      </c>
      <c r="T452" s="1" t="s">
        <v>1321</v>
      </c>
      <c r="U452" s="1" t="s">
        <v>17</v>
      </c>
      <c r="V452" s="1" t="s">
        <v>1322</v>
      </c>
      <c r="W452" s="1"/>
    </row>
    <row r="453" spans="1:23" x14ac:dyDescent="0.2">
      <c r="A453" s="88" t="s">
        <v>15909</v>
      </c>
      <c r="B453" s="1" t="e">
        <v>#N/A</v>
      </c>
      <c r="C453" s="1" t="e">
        <v>#N/A</v>
      </c>
      <c r="D453" s="1" t="s">
        <v>1323</v>
      </c>
      <c r="E453" s="1" t="s">
        <v>1324</v>
      </c>
      <c r="F453" s="1" t="s">
        <v>9310</v>
      </c>
      <c r="G453" s="1" t="s">
        <v>8957</v>
      </c>
      <c r="H453" t="s">
        <v>8959</v>
      </c>
      <c r="I453" s="1" t="s">
        <v>9100</v>
      </c>
      <c r="J453" s="1" t="s">
        <v>8949</v>
      </c>
      <c r="K453" s="1" t="s">
        <v>18497</v>
      </c>
      <c r="L453" s="1" t="s">
        <v>8987</v>
      </c>
      <c r="M453" s="1">
        <v>242</v>
      </c>
      <c r="N453" s="1" t="s">
        <v>9059</v>
      </c>
      <c r="O453" s="1" t="s">
        <v>8989</v>
      </c>
      <c r="P453" s="1" t="e">
        <v>#N/A</v>
      </c>
      <c r="Q453" s="1" t="e">
        <v>#N/A</v>
      </c>
      <c r="R453" s="1">
        <f t="shared" ref="R453:R454" si="130">1+LEN(T453)-LEN(SUBSTITUTE(T453,",",))</f>
        <v>6</v>
      </c>
      <c r="S453" s="1" t="str">
        <f t="shared" ref="S453:S454" si="131">IF(R453&gt;4,IF(R453&lt;8,"4-7",IF(R453&gt;7,"&gt;7")),"&lt;4")</f>
        <v>4-7</v>
      </c>
      <c r="T453" s="1" t="s">
        <v>18761</v>
      </c>
      <c r="U453" s="1" t="s">
        <v>7</v>
      </c>
      <c r="V453" s="1" t="s">
        <v>938</v>
      </c>
      <c r="W453" s="1"/>
    </row>
    <row r="454" spans="1:23" x14ac:dyDescent="0.2">
      <c r="A454" s="89" t="s">
        <v>1325</v>
      </c>
      <c r="B454" s="1" t="e">
        <v>#N/A</v>
      </c>
      <c r="C454" s="1" t="e">
        <v>#N/A</v>
      </c>
      <c r="D454" s="1" t="s">
        <v>1326</v>
      </c>
      <c r="E454" s="1" t="s">
        <v>1327</v>
      </c>
      <c r="F454" s="1" t="e">
        <v>#N/A</v>
      </c>
      <c r="G454" s="1" t="e">
        <v>#N/A</v>
      </c>
      <c r="H454" t="e">
        <v>#N/A</v>
      </c>
      <c r="I454" s="1" t="e">
        <v>#N/A</v>
      </c>
      <c r="J454" s="1" t="e">
        <v>#N/A</v>
      </c>
      <c r="K454" s="1" t="e">
        <v>#N/A</v>
      </c>
      <c r="L454" s="1" t="e">
        <v>#N/A</v>
      </c>
      <c r="M454" s="1" t="e">
        <v>#N/A</v>
      </c>
      <c r="N454" s="1" t="e">
        <v>#N/A</v>
      </c>
      <c r="O454" s="1" t="e">
        <v>#N/A</v>
      </c>
      <c r="P454" s="1" t="e">
        <v>#N/A</v>
      </c>
      <c r="Q454" s="1" t="e">
        <v>#N/A</v>
      </c>
      <c r="R454" s="1">
        <f t="shared" si="130"/>
        <v>8</v>
      </c>
      <c r="S454" s="1" t="str">
        <f t="shared" si="131"/>
        <v>&gt;7</v>
      </c>
      <c r="T454" s="1" t="s">
        <v>18762</v>
      </c>
      <c r="U454" s="1" t="s">
        <v>4</v>
      </c>
      <c r="V454" s="1" t="s">
        <v>1328</v>
      </c>
      <c r="W454" s="1"/>
    </row>
    <row r="455" spans="1:23" x14ac:dyDescent="0.2">
      <c r="A455" s="88" t="s">
        <v>15910</v>
      </c>
      <c r="B455" s="1" t="e">
        <v>#N/A</v>
      </c>
      <c r="C455" s="1" t="s">
        <v>11244</v>
      </c>
      <c r="D455" s="1" t="s">
        <v>1329</v>
      </c>
      <c r="E455" s="1" t="s">
        <v>1330</v>
      </c>
      <c r="F455" s="1" t="s">
        <v>9010</v>
      </c>
      <c r="G455" s="1" t="s">
        <v>9060</v>
      </c>
      <c r="H455" t="s">
        <v>9183</v>
      </c>
      <c r="I455" s="1" t="s">
        <v>9075</v>
      </c>
      <c r="J455" s="1" t="s">
        <v>8998</v>
      </c>
      <c r="K455" s="1" t="s">
        <v>8972</v>
      </c>
      <c r="L455" s="1" t="s">
        <v>9133</v>
      </c>
      <c r="M455" s="1">
        <v>51</v>
      </c>
      <c r="N455" s="1" t="s">
        <v>9059</v>
      </c>
      <c r="O455" s="1" t="s">
        <v>8989</v>
      </c>
      <c r="P455" s="1" t="s">
        <v>8955</v>
      </c>
      <c r="Q455" s="1" t="s">
        <v>8956</v>
      </c>
      <c r="R455" s="1" t="s">
        <v>9060</v>
      </c>
      <c r="S455" s="1" t="s">
        <v>8958</v>
      </c>
      <c r="T455" s="1" t="s">
        <v>1331</v>
      </c>
      <c r="U455" s="1" t="s">
        <v>11</v>
      </c>
      <c r="V455" s="1" t="s">
        <v>93</v>
      </c>
      <c r="W455" s="1"/>
    </row>
    <row r="456" spans="1:23" x14ac:dyDescent="0.2">
      <c r="A456" s="88" t="s">
        <v>15911</v>
      </c>
      <c r="B456" s="1" t="e">
        <v>#N/A</v>
      </c>
      <c r="C456" s="1" t="e">
        <v>#N/A</v>
      </c>
      <c r="D456" s="1" t="s">
        <v>1332</v>
      </c>
      <c r="E456" s="1" t="s">
        <v>1333</v>
      </c>
      <c r="F456" s="1" t="s">
        <v>9317</v>
      </c>
      <c r="G456" s="1" t="s">
        <v>8957</v>
      </c>
      <c r="H456" t="s">
        <v>9061</v>
      </c>
      <c r="I456" s="1" t="s">
        <v>20712</v>
      </c>
      <c r="J456" s="1" t="s">
        <v>8998</v>
      </c>
      <c r="K456" s="1" t="s">
        <v>10492</v>
      </c>
      <c r="L456" s="1" t="s">
        <v>8973</v>
      </c>
      <c r="M456" s="1">
        <v>45</v>
      </c>
      <c r="N456" s="1" t="s">
        <v>8953</v>
      </c>
      <c r="O456" s="1" t="s">
        <v>8989</v>
      </c>
      <c r="P456" s="1" t="e">
        <v>#N/A</v>
      </c>
      <c r="Q456" s="1" t="e">
        <v>#N/A</v>
      </c>
      <c r="R456" s="1">
        <f t="shared" ref="R456:R468" si="132">1+LEN(T456)-LEN(SUBSTITUTE(T456,",",))</f>
        <v>7</v>
      </c>
      <c r="S456" s="1" t="str">
        <f t="shared" ref="S456:S468" si="133">IF(R456&gt;4,IF(R456&lt;8,"4-7",IF(R456&gt;7,"&gt;7")),"&lt;4")</f>
        <v>4-7</v>
      </c>
      <c r="T456" s="1" t="s">
        <v>18763</v>
      </c>
      <c r="U456" s="1" t="s">
        <v>7</v>
      </c>
      <c r="V456" s="1" t="s">
        <v>93</v>
      </c>
      <c r="W456" s="1"/>
    </row>
    <row r="457" spans="1:23" x14ac:dyDescent="0.2">
      <c r="A457" s="89" t="s">
        <v>1334</v>
      </c>
      <c r="B457" s="1" t="e">
        <v>#N/A</v>
      </c>
      <c r="C457" s="1" t="e">
        <v>#N/A</v>
      </c>
      <c r="D457" s="1" t="s">
        <v>1335</v>
      </c>
      <c r="E457" s="1" t="s">
        <v>1336</v>
      </c>
      <c r="F457" s="1" t="e">
        <v>#N/A</v>
      </c>
      <c r="G457" s="1" t="e">
        <v>#N/A</v>
      </c>
      <c r="H457" t="e">
        <v>#N/A</v>
      </c>
      <c r="I457" s="1" t="e">
        <v>#N/A</v>
      </c>
      <c r="J457" s="1" t="e">
        <v>#N/A</v>
      </c>
      <c r="K457" s="1" t="e">
        <v>#N/A</v>
      </c>
      <c r="L457" s="1" t="e">
        <v>#N/A</v>
      </c>
      <c r="M457" s="1" t="e">
        <v>#N/A</v>
      </c>
      <c r="N457" s="1" t="e">
        <v>#N/A</v>
      </c>
      <c r="O457" s="1" t="e">
        <v>#N/A</v>
      </c>
      <c r="P457" s="1" t="e">
        <v>#N/A</v>
      </c>
      <c r="Q457" s="1" t="e">
        <v>#N/A</v>
      </c>
      <c r="R457" s="1">
        <f t="shared" si="132"/>
        <v>2</v>
      </c>
      <c r="S457" s="1" t="str">
        <f t="shared" si="133"/>
        <v>&lt;4</v>
      </c>
      <c r="T457" s="1" t="s">
        <v>18764</v>
      </c>
      <c r="U457" s="1" t="s">
        <v>11</v>
      </c>
      <c r="V457" s="1" t="s">
        <v>114</v>
      </c>
      <c r="W457" s="1"/>
    </row>
    <row r="458" spans="1:23" x14ac:dyDescent="0.2">
      <c r="A458" s="88" t="s">
        <v>15912</v>
      </c>
      <c r="B458" s="1" t="e">
        <v>#N/A</v>
      </c>
      <c r="C458" s="1" t="e">
        <v>#N/A</v>
      </c>
      <c r="D458" s="1" t="s">
        <v>1337</v>
      </c>
      <c r="E458" s="1" t="s">
        <v>1338</v>
      </c>
      <c r="F458" s="1" t="s">
        <v>9310</v>
      </c>
      <c r="G458" s="1" t="s">
        <v>8957</v>
      </c>
      <c r="H458" t="s">
        <v>9183</v>
      </c>
      <c r="I458" s="1" t="s">
        <v>9075</v>
      </c>
      <c r="J458" s="1" t="s">
        <v>8949</v>
      </c>
      <c r="K458" s="1" t="s">
        <v>20724</v>
      </c>
      <c r="L458" s="1" t="s">
        <v>9292</v>
      </c>
      <c r="M458" s="1">
        <v>530</v>
      </c>
      <c r="N458" s="1" t="s">
        <v>9059</v>
      </c>
      <c r="O458" s="1" t="s">
        <v>8989</v>
      </c>
      <c r="P458" s="1" t="e">
        <v>#N/A</v>
      </c>
      <c r="Q458" s="1" t="e">
        <v>#N/A</v>
      </c>
      <c r="R458" s="1">
        <f t="shared" si="132"/>
        <v>10</v>
      </c>
      <c r="S458" s="1" t="str">
        <f t="shared" si="133"/>
        <v>&gt;7</v>
      </c>
      <c r="T458" s="1" t="s">
        <v>18765</v>
      </c>
      <c r="U458" s="1" t="s">
        <v>7</v>
      </c>
      <c r="V458" s="1" t="s">
        <v>147</v>
      </c>
      <c r="W458" s="1"/>
    </row>
    <row r="459" spans="1:23" x14ac:dyDescent="0.2">
      <c r="A459" s="88" t="s">
        <v>15913</v>
      </c>
      <c r="B459" s="1" t="e">
        <v>#N/A</v>
      </c>
      <c r="C459" s="1" t="e">
        <v>#N/A</v>
      </c>
      <c r="D459" s="1" t="s">
        <v>1339</v>
      </c>
      <c r="E459" s="1" t="s">
        <v>1340</v>
      </c>
      <c r="F459" s="1" t="s">
        <v>9310</v>
      </c>
      <c r="G459" s="1" t="s">
        <v>8957</v>
      </c>
      <c r="H459" t="s">
        <v>9061</v>
      </c>
      <c r="I459" s="1" t="s">
        <v>9092</v>
      </c>
      <c r="J459" s="1" t="s">
        <v>8971</v>
      </c>
      <c r="K459" s="1" t="s">
        <v>9036</v>
      </c>
      <c r="L459" s="1" t="s">
        <v>8973</v>
      </c>
      <c r="M459" s="1">
        <v>81600</v>
      </c>
      <c r="N459" s="1" t="s">
        <v>8953</v>
      </c>
      <c r="O459" s="1" t="s">
        <v>8989</v>
      </c>
      <c r="P459" s="1" t="e">
        <v>#N/A</v>
      </c>
      <c r="Q459" s="1" t="e">
        <v>#N/A</v>
      </c>
      <c r="R459" s="1">
        <f t="shared" si="132"/>
        <v>4</v>
      </c>
      <c r="S459" s="1" t="str">
        <f t="shared" si="133"/>
        <v>&lt;4</v>
      </c>
      <c r="T459" s="1" t="s">
        <v>18766</v>
      </c>
      <c r="U459" s="1" t="s">
        <v>17</v>
      </c>
      <c r="V459" s="1" t="s">
        <v>813</v>
      </c>
      <c r="W459" s="1"/>
    </row>
    <row r="460" spans="1:23" x14ac:dyDescent="0.2">
      <c r="A460" s="88" t="s">
        <v>15914</v>
      </c>
      <c r="B460" s="1" t="e">
        <v>#N/A</v>
      </c>
      <c r="C460" s="1" t="e">
        <v>#N/A</v>
      </c>
      <c r="D460" s="1" t="s">
        <v>1341</v>
      </c>
      <c r="E460" s="1" t="s">
        <v>1342</v>
      </c>
      <c r="F460" s="1" t="s">
        <v>9310</v>
      </c>
      <c r="G460" s="1" t="s">
        <v>8957</v>
      </c>
      <c r="H460" t="s">
        <v>9061</v>
      </c>
      <c r="I460" s="1" t="s">
        <v>9100</v>
      </c>
      <c r="J460" s="1" t="s">
        <v>8949</v>
      </c>
      <c r="K460" s="1" t="s">
        <v>18497</v>
      </c>
      <c r="L460" s="1" t="s">
        <v>20767</v>
      </c>
      <c r="M460" s="1">
        <v>1428</v>
      </c>
      <c r="N460" s="1" t="s">
        <v>8953</v>
      </c>
      <c r="O460" s="1" t="s">
        <v>8954</v>
      </c>
      <c r="P460" s="1" t="e">
        <v>#N/A</v>
      </c>
      <c r="Q460" s="1" t="e">
        <v>#N/A</v>
      </c>
      <c r="R460" s="1">
        <f t="shared" si="132"/>
        <v>13</v>
      </c>
      <c r="S460" s="1" t="str">
        <f t="shared" si="133"/>
        <v>&gt;7</v>
      </c>
      <c r="T460" s="1" t="s">
        <v>18767</v>
      </c>
      <c r="U460" s="1" t="s">
        <v>7</v>
      </c>
      <c r="V460" s="1" t="s">
        <v>1343</v>
      </c>
      <c r="W460" s="1"/>
    </row>
    <row r="461" spans="1:23" x14ac:dyDescent="0.2">
      <c r="A461" s="88" t="s">
        <v>15915</v>
      </c>
      <c r="B461" s="1" t="e">
        <v>#N/A</v>
      </c>
      <c r="C461" s="1" t="e">
        <v>#N/A</v>
      </c>
      <c r="D461" s="1" t="s">
        <v>1344</v>
      </c>
      <c r="E461" s="1" t="s">
        <v>1345</v>
      </c>
      <c r="F461" s="1" t="s">
        <v>18502</v>
      </c>
      <c r="G461" s="1" t="s">
        <v>8957</v>
      </c>
      <c r="H461" t="s">
        <v>9061</v>
      </c>
      <c r="I461" s="1" t="s">
        <v>8948</v>
      </c>
      <c r="J461" s="1" t="s">
        <v>8949</v>
      </c>
      <c r="K461" s="1" t="s">
        <v>10492</v>
      </c>
      <c r="L461" s="1" t="s">
        <v>9464</v>
      </c>
      <c r="M461" s="1">
        <v>768</v>
      </c>
      <c r="N461" s="1" t="s">
        <v>8953</v>
      </c>
      <c r="O461" s="1" t="s">
        <v>8989</v>
      </c>
      <c r="P461" s="1" t="e">
        <v>#N/A</v>
      </c>
      <c r="Q461" s="1" t="e">
        <v>#N/A</v>
      </c>
      <c r="R461" s="1">
        <f t="shared" si="132"/>
        <v>6</v>
      </c>
      <c r="S461" s="1" t="str">
        <f t="shared" si="133"/>
        <v>4-7</v>
      </c>
      <c r="T461" s="1" t="s">
        <v>18768</v>
      </c>
      <c r="U461" s="1" t="s">
        <v>7</v>
      </c>
      <c r="V461" s="1" t="s">
        <v>392</v>
      </c>
      <c r="W461" s="1"/>
    </row>
    <row r="462" spans="1:23" x14ac:dyDescent="0.2">
      <c r="A462" s="88" t="s">
        <v>15916</v>
      </c>
      <c r="B462" s="1" t="e">
        <v>#N/A</v>
      </c>
      <c r="C462" s="1" t="e">
        <v>#N/A</v>
      </c>
      <c r="D462" s="1" t="s">
        <v>1346</v>
      </c>
      <c r="E462" s="1" t="s">
        <v>1347</v>
      </c>
      <c r="F462" s="1" t="s">
        <v>9310</v>
      </c>
      <c r="G462" s="1" t="s">
        <v>8959</v>
      </c>
      <c r="H462" t="s">
        <v>8959</v>
      </c>
      <c r="I462" s="1" t="s">
        <v>9092</v>
      </c>
      <c r="J462" s="1" t="s">
        <v>8998</v>
      </c>
      <c r="K462" s="1" t="s">
        <v>10492</v>
      </c>
      <c r="L462" s="1" t="s">
        <v>9292</v>
      </c>
      <c r="M462" s="1">
        <v>302</v>
      </c>
      <c r="N462" s="1" t="s">
        <v>8953</v>
      </c>
      <c r="O462" s="1" t="s">
        <v>8989</v>
      </c>
      <c r="P462" s="1" t="e">
        <v>#N/A</v>
      </c>
      <c r="Q462" s="1" t="e">
        <v>#N/A</v>
      </c>
      <c r="R462" s="1">
        <f t="shared" si="132"/>
        <v>5</v>
      </c>
      <c r="S462" s="1" t="str">
        <f t="shared" si="133"/>
        <v>4-7</v>
      </c>
      <c r="T462" s="1" t="s">
        <v>18769</v>
      </c>
      <c r="U462" s="1" t="s">
        <v>7</v>
      </c>
      <c r="V462" s="1" t="s">
        <v>61</v>
      </c>
      <c r="W462" s="1"/>
    </row>
    <row r="463" spans="1:23" x14ac:dyDescent="0.2">
      <c r="A463" s="88" t="s">
        <v>15917</v>
      </c>
      <c r="B463" s="1" t="e">
        <v>#N/A</v>
      </c>
      <c r="C463" s="1" t="e">
        <v>#N/A</v>
      </c>
      <c r="D463" s="1" t="s">
        <v>1348</v>
      </c>
      <c r="E463" s="1" t="s">
        <v>1349</v>
      </c>
      <c r="F463" s="1" t="s">
        <v>18502</v>
      </c>
      <c r="G463" s="1" t="s">
        <v>9060</v>
      </c>
      <c r="H463" t="s">
        <v>8959</v>
      </c>
      <c r="I463" s="1" t="s">
        <v>9605</v>
      </c>
      <c r="J463" s="1" t="s">
        <v>8985</v>
      </c>
      <c r="K463" s="1" t="s">
        <v>20736</v>
      </c>
      <c r="L463" s="1" t="s">
        <v>20720</v>
      </c>
      <c r="M463" s="1">
        <f>137+380+100</f>
        <v>617</v>
      </c>
      <c r="N463" s="1" t="s">
        <v>8953</v>
      </c>
      <c r="O463" s="1" t="s">
        <v>8954</v>
      </c>
      <c r="P463" s="1" t="e">
        <v>#N/A</v>
      </c>
      <c r="Q463" s="1" t="e">
        <v>#N/A</v>
      </c>
      <c r="R463" s="1">
        <f t="shared" si="132"/>
        <v>3</v>
      </c>
      <c r="S463" s="1" t="str">
        <f t="shared" si="133"/>
        <v>&lt;4</v>
      </c>
      <c r="T463" s="1" t="s">
        <v>18770</v>
      </c>
      <c r="U463" s="1" t="s">
        <v>7</v>
      </c>
      <c r="V463" s="1" t="s">
        <v>1122</v>
      </c>
      <c r="W463" s="1"/>
    </row>
    <row r="464" spans="1:23" x14ac:dyDescent="0.2">
      <c r="A464" s="88" t="s">
        <v>15918</v>
      </c>
      <c r="B464" s="1" t="e">
        <v>#N/A</v>
      </c>
      <c r="C464" s="1" t="e">
        <v>#N/A</v>
      </c>
      <c r="D464" s="1" t="s">
        <v>1350</v>
      </c>
      <c r="E464" s="1" t="s">
        <v>1351</v>
      </c>
      <c r="F464" s="1" t="e">
        <v>#N/A</v>
      </c>
      <c r="G464" s="1" t="e">
        <v>#N/A</v>
      </c>
      <c r="H464" t="e">
        <v>#N/A</v>
      </c>
      <c r="I464" s="1" t="e">
        <v>#N/A</v>
      </c>
      <c r="J464" s="1" t="e">
        <v>#N/A</v>
      </c>
      <c r="K464" s="1" t="e">
        <v>#N/A</v>
      </c>
      <c r="L464" s="1" t="e">
        <v>#N/A</v>
      </c>
      <c r="M464" s="1" t="e">
        <v>#N/A</v>
      </c>
      <c r="N464" s="1" t="e">
        <v>#N/A</v>
      </c>
      <c r="O464" s="1" t="e">
        <v>#N/A</v>
      </c>
      <c r="P464" s="1" t="e">
        <v>#N/A</v>
      </c>
      <c r="Q464" s="1" t="e">
        <v>#N/A</v>
      </c>
      <c r="R464" s="1">
        <f t="shared" si="132"/>
        <v>5</v>
      </c>
      <c r="S464" s="1" t="str">
        <f t="shared" si="133"/>
        <v>4-7</v>
      </c>
      <c r="T464" s="1" t="s">
        <v>18771</v>
      </c>
      <c r="U464" s="1" t="s">
        <v>252</v>
      </c>
      <c r="V464" s="1" t="s">
        <v>126</v>
      </c>
      <c r="W464" s="1"/>
    </row>
    <row r="465" spans="1:23" x14ac:dyDescent="0.2">
      <c r="A465" s="88" t="s">
        <v>15919</v>
      </c>
      <c r="B465" s="1" t="e">
        <v>#N/A</v>
      </c>
      <c r="C465" s="1" t="e">
        <v>#N/A</v>
      </c>
      <c r="D465" s="1" t="s">
        <v>1352</v>
      </c>
      <c r="E465" s="1" t="s">
        <v>1353</v>
      </c>
      <c r="F465" s="1" t="s">
        <v>9310</v>
      </c>
      <c r="G465" s="1" t="s">
        <v>8957</v>
      </c>
      <c r="H465" t="s">
        <v>8959</v>
      </c>
      <c r="I465" s="1" t="s">
        <v>9100</v>
      </c>
      <c r="J465" s="1" t="s">
        <v>8949</v>
      </c>
      <c r="K465" s="1" t="s">
        <v>9036</v>
      </c>
      <c r="L465" s="1" t="s">
        <v>8987</v>
      </c>
      <c r="M465" s="1">
        <f>222+83+48+194+86</f>
        <v>633</v>
      </c>
      <c r="N465" s="1" t="s">
        <v>9059</v>
      </c>
      <c r="O465" s="1" t="s">
        <v>8954</v>
      </c>
      <c r="P465" s="1" t="e">
        <v>#N/A</v>
      </c>
      <c r="Q465" s="1" t="e">
        <v>#N/A</v>
      </c>
      <c r="R465" s="1">
        <f t="shared" si="132"/>
        <v>6</v>
      </c>
      <c r="S465" s="1" t="str">
        <f t="shared" si="133"/>
        <v>4-7</v>
      </c>
      <c r="T465" s="1" t="s">
        <v>18772</v>
      </c>
      <c r="U465" s="1" t="s">
        <v>7</v>
      </c>
      <c r="V465" s="1" t="s">
        <v>8</v>
      </c>
      <c r="W465" s="1"/>
    </row>
    <row r="466" spans="1:23" x14ac:dyDescent="0.2">
      <c r="A466" s="88" t="s">
        <v>15920</v>
      </c>
      <c r="B466" s="1" t="e">
        <v>#N/A</v>
      </c>
      <c r="C466" s="1" t="e">
        <v>#N/A</v>
      </c>
      <c r="D466" s="1" t="s">
        <v>1354</v>
      </c>
      <c r="E466" s="1" t="s">
        <v>1355</v>
      </c>
      <c r="F466" s="1" t="s">
        <v>18502</v>
      </c>
      <c r="G466" s="1" t="s">
        <v>8957</v>
      </c>
      <c r="H466" t="s">
        <v>8959</v>
      </c>
      <c r="I466" s="1" t="s">
        <v>9100</v>
      </c>
      <c r="J466" s="1" t="s">
        <v>8959</v>
      </c>
      <c r="K466" s="1" t="s">
        <v>9036</v>
      </c>
      <c r="L466" s="1" t="s">
        <v>8951</v>
      </c>
      <c r="M466" s="1">
        <v>91</v>
      </c>
      <c r="N466" s="1" t="s">
        <v>8953</v>
      </c>
      <c r="O466" s="1" t="s">
        <v>8989</v>
      </c>
      <c r="P466" s="1" t="e">
        <v>#N/A</v>
      </c>
      <c r="Q466" s="1" t="e">
        <v>#N/A</v>
      </c>
      <c r="R466" s="1">
        <f t="shared" si="132"/>
        <v>4</v>
      </c>
      <c r="S466" s="1" t="str">
        <f t="shared" si="133"/>
        <v>&lt;4</v>
      </c>
      <c r="T466" s="1" t="s">
        <v>18773</v>
      </c>
      <c r="U466" s="1" t="s">
        <v>17</v>
      </c>
      <c r="V466" s="1" t="s">
        <v>87</v>
      </c>
      <c r="W466" s="1"/>
    </row>
    <row r="467" spans="1:23" x14ac:dyDescent="0.2">
      <c r="A467" s="88" t="s">
        <v>15921</v>
      </c>
      <c r="B467" s="1" t="e">
        <v>#N/A</v>
      </c>
      <c r="C467" s="1" t="e">
        <v>#N/A</v>
      </c>
      <c r="D467" s="1" t="s">
        <v>1356</v>
      </c>
      <c r="E467" s="1" t="s">
        <v>1357</v>
      </c>
      <c r="F467" s="1" t="s">
        <v>9310</v>
      </c>
      <c r="G467" s="1" t="s">
        <v>8959</v>
      </c>
      <c r="H467" t="s">
        <v>8959</v>
      </c>
      <c r="I467" s="1" t="s">
        <v>8984</v>
      </c>
      <c r="J467" s="1" t="s">
        <v>8998</v>
      </c>
      <c r="K467" s="1" t="s">
        <v>20768</v>
      </c>
      <c r="L467" s="1" t="s">
        <v>8973</v>
      </c>
      <c r="M467" s="1">
        <v>82</v>
      </c>
      <c r="N467" s="1" t="s">
        <v>8953</v>
      </c>
      <c r="O467" s="1" t="s">
        <v>8989</v>
      </c>
      <c r="P467" s="1" t="e">
        <v>#N/A</v>
      </c>
      <c r="Q467" s="1" t="e">
        <v>#N/A</v>
      </c>
      <c r="R467" s="1">
        <f t="shared" si="132"/>
        <v>4</v>
      </c>
      <c r="S467" s="1" t="str">
        <f t="shared" si="133"/>
        <v>&lt;4</v>
      </c>
      <c r="T467" s="1" t="s">
        <v>18774</v>
      </c>
      <c r="U467" s="1" t="s">
        <v>7</v>
      </c>
      <c r="V467" s="1" t="s">
        <v>64</v>
      </c>
      <c r="W467" s="1"/>
    </row>
    <row r="468" spans="1:23" x14ac:dyDescent="0.2">
      <c r="A468" s="88" t="s">
        <v>15922</v>
      </c>
      <c r="B468" s="1" t="e">
        <v>#N/A</v>
      </c>
      <c r="C468" s="1" t="e">
        <v>#N/A</v>
      </c>
      <c r="D468" s="1" t="s">
        <v>1358</v>
      </c>
      <c r="E468" s="1" t="s">
        <v>1359</v>
      </c>
      <c r="F468" s="1" t="s">
        <v>9310</v>
      </c>
      <c r="G468" s="1" t="s">
        <v>8957</v>
      </c>
      <c r="H468" t="s">
        <v>9183</v>
      </c>
      <c r="I468" s="1" t="s">
        <v>9092</v>
      </c>
      <c r="J468" s="1" t="s">
        <v>9308</v>
      </c>
      <c r="K468" s="1" t="s">
        <v>20723</v>
      </c>
      <c r="L468" s="1" t="s">
        <v>8951</v>
      </c>
      <c r="M468" s="1">
        <v>3705</v>
      </c>
      <c r="N468" s="1" t="s">
        <v>8953</v>
      </c>
      <c r="O468" s="1" t="s">
        <v>8989</v>
      </c>
      <c r="P468" s="1" t="e">
        <v>#N/A</v>
      </c>
      <c r="Q468" s="1" t="e">
        <v>#N/A</v>
      </c>
      <c r="R468" s="1">
        <f t="shared" si="132"/>
        <v>11</v>
      </c>
      <c r="S468" s="1" t="str">
        <f t="shared" si="133"/>
        <v>&gt;7</v>
      </c>
      <c r="T468" s="1" t="s">
        <v>18775</v>
      </c>
      <c r="U468" s="1" t="s">
        <v>7</v>
      </c>
      <c r="V468" s="1" t="s">
        <v>835</v>
      </c>
      <c r="W468" s="1"/>
    </row>
    <row r="469" spans="1:23" x14ac:dyDescent="0.2">
      <c r="A469" s="88" t="s">
        <v>15923</v>
      </c>
      <c r="B469" s="1" t="e">
        <v>#N/A</v>
      </c>
      <c r="C469" s="1" t="s">
        <v>15063</v>
      </c>
      <c r="D469" s="1" t="s">
        <v>1360</v>
      </c>
      <c r="E469" s="1" t="s">
        <v>1361</v>
      </c>
      <c r="F469" s="1" t="s">
        <v>10446</v>
      </c>
      <c r="G469" s="1" t="s">
        <v>8959</v>
      </c>
      <c r="H469" t="s">
        <v>9183</v>
      </c>
      <c r="I469" s="1" t="s">
        <v>9092</v>
      </c>
      <c r="J469" s="1" t="s">
        <v>9121</v>
      </c>
      <c r="K469" s="1" t="s">
        <v>9036</v>
      </c>
      <c r="L469" s="1" t="s">
        <v>8951</v>
      </c>
      <c r="M469" s="1">
        <v>25505</v>
      </c>
      <c r="N469" s="1" t="s">
        <v>8953</v>
      </c>
      <c r="O469" s="1" t="s">
        <v>8989</v>
      </c>
      <c r="P469" s="1" t="s">
        <v>8955</v>
      </c>
      <c r="Q469" s="1" t="s">
        <v>8956</v>
      </c>
      <c r="R469" s="1" t="s">
        <v>8959</v>
      </c>
      <c r="S469" s="1" t="s">
        <v>8975</v>
      </c>
      <c r="T469" s="1" t="s">
        <v>1362</v>
      </c>
      <c r="U469" s="1" t="s">
        <v>17</v>
      </c>
      <c r="V469" s="1" t="s">
        <v>147</v>
      </c>
      <c r="W469" s="1"/>
    </row>
    <row r="470" spans="1:23" x14ac:dyDescent="0.2">
      <c r="A470" s="88" t="s">
        <v>15924</v>
      </c>
      <c r="B470" s="1" t="e">
        <v>#N/A</v>
      </c>
      <c r="C470" s="1" t="s">
        <v>11918</v>
      </c>
      <c r="D470" s="1" t="s">
        <v>1363</v>
      </c>
      <c r="E470" s="1" t="s">
        <v>1364</v>
      </c>
      <c r="F470" s="1" t="s">
        <v>9310</v>
      </c>
      <c r="G470" s="1" t="s">
        <v>9060</v>
      </c>
      <c r="H470" t="s">
        <v>9183</v>
      </c>
      <c r="I470" s="1" t="s">
        <v>9049</v>
      </c>
      <c r="J470" s="1" t="s">
        <v>9050</v>
      </c>
      <c r="K470" s="1" t="s">
        <v>8972</v>
      </c>
      <c r="L470" s="1" t="s">
        <v>8951</v>
      </c>
      <c r="M470" s="1">
        <v>650</v>
      </c>
      <c r="N470" s="1" t="s">
        <v>8953</v>
      </c>
      <c r="O470" s="1" t="s">
        <v>8989</v>
      </c>
      <c r="P470" s="1" t="s">
        <v>8955</v>
      </c>
      <c r="Q470" s="1" t="s">
        <v>8956</v>
      </c>
      <c r="R470" s="1" t="s">
        <v>9060</v>
      </c>
      <c r="S470" s="1" t="s">
        <v>8958</v>
      </c>
      <c r="T470" s="1" t="s">
        <v>1365</v>
      </c>
      <c r="U470" s="1" t="s">
        <v>11</v>
      </c>
      <c r="V470" s="1" t="s">
        <v>61</v>
      </c>
      <c r="W470" s="1"/>
    </row>
    <row r="471" spans="1:23" x14ac:dyDescent="0.2">
      <c r="A471" s="88" t="s">
        <v>15925</v>
      </c>
      <c r="B471" s="1" t="e">
        <v>#N/A</v>
      </c>
      <c r="C471" s="1" t="s">
        <v>14378</v>
      </c>
      <c r="D471" s="1" t="s">
        <v>1366</v>
      </c>
      <c r="E471" s="1" t="s">
        <v>1367</v>
      </c>
      <c r="F471" s="1" t="s">
        <v>9310</v>
      </c>
      <c r="G471" s="1" t="s">
        <v>8957</v>
      </c>
      <c r="H471" t="s">
        <v>9061</v>
      </c>
      <c r="I471" s="1" t="s">
        <v>14381</v>
      </c>
      <c r="J471" s="1" t="s">
        <v>9155</v>
      </c>
      <c r="K471" s="1" t="s">
        <v>21462</v>
      </c>
      <c r="L471" s="1" t="s">
        <v>9133</v>
      </c>
      <c r="M471" s="1">
        <v>10133</v>
      </c>
      <c r="N471" s="1" t="s">
        <v>8953</v>
      </c>
      <c r="O471" s="1" t="s">
        <v>8954</v>
      </c>
      <c r="P471" s="1" t="s">
        <v>8955</v>
      </c>
      <c r="Q471" s="1" t="s">
        <v>8956</v>
      </c>
      <c r="R471" s="1" t="s">
        <v>8957</v>
      </c>
      <c r="S471" s="1" t="s">
        <v>8975</v>
      </c>
      <c r="T471" s="1" t="s">
        <v>1368</v>
      </c>
      <c r="U471" s="1" t="s">
        <v>242</v>
      </c>
      <c r="V471" s="1" t="s">
        <v>24</v>
      </c>
      <c r="W471" s="1"/>
    </row>
    <row r="472" spans="1:23" x14ac:dyDescent="0.2">
      <c r="A472" s="88" t="s">
        <v>15926</v>
      </c>
      <c r="B472" s="1" t="e">
        <v>#N/A</v>
      </c>
      <c r="C472" s="1" t="s">
        <v>14215</v>
      </c>
      <c r="D472" s="1" t="s">
        <v>1369</v>
      </c>
      <c r="E472" s="1" t="s">
        <v>1370</v>
      </c>
      <c r="F472" s="1" t="s">
        <v>9010</v>
      </c>
      <c r="G472" s="1" t="s">
        <v>8959</v>
      </c>
      <c r="H472" t="s">
        <v>9061</v>
      </c>
      <c r="I472" s="1" t="s">
        <v>8984</v>
      </c>
      <c r="J472" s="1" t="s">
        <v>8971</v>
      </c>
      <c r="K472" s="1" t="s">
        <v>21247</v>
      </c>
      <c r="L472" s="1" t="s">
        <v>8987</v>
      </c>
      <c r="M472" s="1">
        <v>9298</v>
      </c>
      <c r="N472" s="1" t="s">
        <v>8953</v>
      </c>
      <c r="O472" s="1" t="s">
        <v>8954</v>
      </c>
      <c r="P472" s="1" t="s">
        <v>8955</v>
      </c>
      <c r="Q472" s="1" t="s">
        <v>8956</v>
      </c>
      <c r="R472" s="1" t="s">
        <v>8959</v>
      </c>
      <c r="S472" s="1" t="s">
        <v>9103</v>
      </c>
      <c r="T472" s="1" t="s">
        <v>1371</v>
      </c>
      <c r="U472" s="1" t="s">
        <v>4</v>
      </c>
      <c r="V472" s="1" t="s">
        <v>87</v>
      </c>
      <c r="W472" s="1"/>
    </row>
    <row r="473" spans="1:23" x14ac:dyDescent="0.2">
      <c r="A473" s="88" t="s">
        <v>15927</v>
      </c>
      <c r="B473" s="1" t="e">
        <v>#N/A</v>
      </c>
      <c r="C473" s="1" t="s">
        <v>13633</v>
      </c>
      <c r="D473" s="1" t="s">
        <v>1372</v>
      </c>
      <c r="E473" s="1" t="s">
        <v>1373</v>
      </c>
      <c r="F473" s="1" t="s">
        <v>9010</v>
      </c>
      <c r="G473" s="1" t="s">
        <v>8959</v>
      </c>
      <c r="H473" t="s">
        <v>9061</v>
      </c>
      <c r="I473" s="1" t="s">
        <v>8984</v>
      </c>
      <c r="J473" s="1" t="s">
        <v>8998</v>
      </c>
      <c r="K473" s="1" t="s">
        <v>9036</v>
      </c>
      <c r="L473" s="1" t="s">
        <v>8951</v>
      </c>
      <c r="M473" s="1">
        <v>2210</v>
      </c>
      <c r="N473" s="1" t="s">
        <v>8953</v>
      </c>
      <c r="O473" s="1" t="s">
        <v>8989</v>
      </c>
      <c r="P473" s="1" t="s">
        <v>8955</v>
      </c>
      <c r="Q473" s="1" t="s">
        <v>8956</v>
      </c>
      <c r="R473" s="1" t="s">
        <v>8959</v>
      </c>
      <c r="S473" s="1" t="s">
        <v>8958</v>
      </c>
      <c r="T473" s="1" t="s">
        <v>1374</v>
      </c>
      <c r="U473" s="1" t="s">
        <v>11</v>
      </c>
      <c r="V473" s="1" t="s">
        <v>891</v>
      </c>
      <c r="W473" s="1"/>
    </row>
    <row r="474" spans="1:23" x14ac:dyDescent="0.2">
      <c r="A474" s="88" t="s">
        <v>15928</v>
      </c>
      <c r="B474" s="1" t="e">
        <v>#N/A</v>
      </c>
      <c r="C474" s="1" t="s">
        <v>15262</v>
      </c>
      <c r="D474" s="1" t="s">
        <v>1375</v>
      </c>
      <c r="E474" s="1" t="s">
        <v>1376</v>
      </c>
      <c r="F474" s="1" t="s">
        <v>9010</v>
      </c>
      <c r="G474" s="1" t="s">
        <v>8959</v>
      </c>
      <c r="H474" t="s">
        <v>9061</v>
      </c>
      <c r="I474" s="1" t="s">
        <v>8984</v>
      </c>
      <c r="J474" s="1" t="s">
        <v>9308</v>
      </c>
      <c r="K474" s="1" t="s">
        <v>21352</v>
      </c>
      <c r="L474" s="1" t="s">
        <v>8951</v>
      </c>
      <c r="M474" s="1">
        <v>7768</v>
      </c>
      <c r="N474" s="1" t="s">
        <v>8953</v>
      </c>
      <c r="O474" s="1" t="s">
        <v>8989</v>
      </c>
      <c r="P474" s="1" t="s">
        <v>8955</v>
      </c>
      <c r="Q474" s="1" t="s">
        <v>8956</v>
      </c>
      <c r="R474" s="1" t="s">
        <v>8959</v>
      </c>
      <c r="S474" s="1" t="s">
        <v>8958</v>
      </c>
      <c r="T474" s="1" t="s">
        <v>1377</v>
      </c>
      <c r="U474" s="1" t="s">
        <v>17</v>
      </c>
      <c r="V474" s="1" t="s">
        <v>496</v>
      </c>
      <c r="W474" s="1"/>
    </row>
    <row r="475" spans="1:23" x14ac:dyDescent="0.2">
      <c r="A475" s="88" t="s">
        <v>15929</v>
      </c>
      <c r="B475" s="1" t="e">
        <v>#N/A</v>
      </c>
      <c r="C475" s="1" t="s">
        <v>9682</v>
      </c>
      <c r="D475" s="1" t="s">
        <v>1378</v>
      </c>
      <c r="E475" s="1" t="s">
        <v>1379</v>
      </c>
      <c r="F475" s="1" t="s">
        <v>9213</v>
      </c>
      <c r="G475" s="1" t="s">
        <v>8957</v>
      </c>
      <c r="H475" t="s">
        <v>8959</v>
      </c>
      <c r="I475" s="1" t="s">
        <v>8948</v>
      </c>
      <c r="J475" s="1" t="s">
        <v>9121</v>
      </c>
      <c r="K475" s="1" t="s">
        <v>9041</v>
      </c>
      <c r="L475" s="1" t="s">
        <v>8951</v>
      </c>
      <c r="M475" s="1">
        <v>15099</v>
      </c>
      <c r="N475" s="1" t="s">
        <v>9059</v>
      </c>
      <c r="O475" s="1" t="s">
        <v>8989</v>
      </c>
      <c r="P475" s="1" t="s">
        <v>8955</v>
      </c>
      <c r="Q475" s="1" t="s">
        <v>8956</v>
      </c>
      <c r="R475" s="1" t="s">
        <v>8957</v>
      </c>
      <c r="S475" s="1" t="s">
        <v>9103</v>
      </c>
      <c r="T475" s="1" t="s">
        <v>1380</v>
      </c>
      <c r="U475" s="1" t="s">
        <v>17</v>
      </c>
      <c r="V475" s="1" t="s">
        <v>1381</v>
      </c>
      <c r="W475" s="1"/>
    </row>
    <row r="476" spans="1:23" x14ac:dyDescent="0.2">
      <c r="A476" s="88" t="s">
        <v>15930</v>
      </c>
      <c r="B476" s="1" t="e">
        <v>#N/A</v>
      </c>
      <c r="C476" s="1" t="s">
        <v>9869</v>
      </c>
      <c r="D476" s="1" t="s">
        <v>1382</v>
      </c>
      <c r="E476" s="1" t="s">
        <v>1383</v>
      </c>
      <c r="F476" s="1" t="s">
        <v>9310</v>
      </c>
      <c r="G476" s="1" t="s">
        <v>8957</v>
      </c>
      <c r="H476" t="s">
        <v>9183</v>
      </c>
      <c r="I476" s="1" t="s">
        <v>9049</v>
      </c>
      <c r="J476" s="1" t="s">
        <v>9155</v>
      </c>
      <c r="K476" s="1" t="s">
        <v>9872</v>
      </c>
      <c r="L476" s="1" t="s">
        <v>8951</v>
      </c>
      <c r="M476" s="1">
        <v>165722</v>
      </c>
      <c r="N476" s="1" t="s">
        <v>8953</v>
      </c>
      <c r="O476" s="1" t="s">
        <v>8954</v>
      </c>
      <c r="P476" s="1" t="s">
        <v>8955</v>
      </c>
      <c r="Q476" s="1" t="s">
        <v>8956</v>
      </c>
      <c r="R476" s="1" t="s">
        <v>8957</v>
      </c>
      <c r="S476" s="1" t="s">
        <v>8958</v>
      </c>
      <c r="T476" s="1" t="s">
        <v>1384</v>
      </c>
      <c r="U476" s="1" t="s">
        <v>17</v>
      </c>
      <c r="V476" s="1" t="s">
        <v>1385</v>
      </c>
      <c r="W476" s="1"/>
    </row>
    <row r="477" spans="1:23" x14ac:dyDescent="0.2">
      <c r="A477" s="88" t="s">
        <v>15931</v>
      </c>
      <c r="B477" s="1" t="e">
        <v>#N/A</v>
      </c>
      <c r="C477" s="1" t="s">
        <v>13753</v>
      </c>
      <c r="D477" s="1" t="s">
        <v>1386</v>
      </c>
      <c r="E477" s="1" t="s">
        <v>1387</v>
      </c>
      <c r="F477" s="1" t="s">
        <v>9380</v>
      </c>
      <c r="G477" s="1" t="s">
        <v>8957</v>
      </c>
      <c r="H477" t="s">
        <v>8959</v>
      </c>
      <c r="I477" s="1" t="s">
        <v>9943</v>
      </c>
      <c r="J477" s="1" t="s">
        <v>8971</v>
      </c>
      <c r="K477" s="1" t="s">
        <v>10135</v>
      </c>
      <c r="L477" s="1" t="s">
        <v>8987</v>
      </c>
      <c r="M477" s="1">
        <v>428</v>
      </c>
      <c r="N477" s="1" t="s">
        <v>8953</v>
      </c>
      <c r="O477" s="1" t="s">
        <v>8989</v>
      </c>
      <c r="P477" s="1" t="s">
        <v>8955</v>
      </c>
      <c r="Q477" s="1" t="s">
        <v>8956</v>
      </c>
      <c r="R477" s="1" t="s">
        <v>8957</v>
      </c>
      <c r="S477" s="1" t="s">
        <v>8958</v>
      </c>
      <c r="T477" s="1" t="s">
        <v>1388</v>
      </c>
      <c r="U477" s="1" t="s">
        <v>4</v>
      </c>
      <c r="V477" s="1" t="s">
        <v>87</v>
      </c>
      <c r="W477" s="1"/>
    </row>
    <row r="478" spans="1:23" x14ac:dyDescent="0.2">
      <c r="A478" s="88" t="s">
        <v>15932</v>
      </c>
      <c r="B478" s="1" t="e">
        <v>#N/A</v>
      </c>
      <c r="C478" s="1" t="e">
        <v>#N/A</v>
      </c>
      <c r="D478" s="1" t="s">
        <v>1389</v>
      </c>
      <c r="E478" s="1" t="s">
        <v>1390</v>
      </c>
      <c r="F478" s="1" t="s">
        <v>18502</v>
      </c>
      <c r="G478" s="1" t="s">
        <v>8957</v>
      </c>
      <c r="H478" t="s">
        <v>9061</v>
      </c>
      <c r="I478" s="1" t="s">
        <v>8948</v>
      </c>
      <c r="J478" s="1" t="s">
        <v>8998</v>
      </c>
      <c r="K478" s="1" t="e">
        <v>#N/A</v>
      </c>
      <c r="L478" s="1" t="s">
        <v>8973</v>
      </c>
      <c r="M478" s="1">
        <v>60</v>
      </c>
      <c r="N478" s="1" t="s">
        <v>8953</v>
      </c>
      <c r="O478" s="1" t="s">
        <v>8989</v>
      </c>
      <c r="P478" s="1" t="e">
        <v>#N/A</v>
      </c>
      <c r="Q478" s="1" t="e">
        <v>#N/A</v>
      </c>
      <c r="R478" s="1">
        <f>1+LEN(T478)-LEN(SUBSTITUTE(T478,",",))</f>
        <v>6</v>
      </c>
      <c r="S478" s="1" t="str">
        <f>IF(R478&gt;4,IF(R478&lt;8,"4-7",IF(R478&gt;7,"&gt;7")),"&lt;4")</f>
        <v>4-7</v>
      </c>
      <c r="T478" s="1" t="s">
        <v>18776</v>
      </c>
      <c r="U478" s="1" t="s">
        <v>7</v>
      </c>
      <c r="V478" s="1" t="s">
        <v>378</v>
      </c>
      <c r="W478" s="1"/>
    </row>
    <row r="479" spans="1:23" x14ac:dyDescent="0.2">
      <c r="A479" s="88" t="s">
        <v>15933</v>
      </c>
      <c r="B479" s="1" t="e">
        <v>#N/A</v>
      </c>
      <c r="C479" s="1" t="s">
        <v>9784</v>
      </c>
      <c r="D479" s="1" t="s">
        <v>1391</v>
      </c>
      <c r="E479" s="1" t="s">
        <v>1392</v>
      </c>
      <c r="F479" s="1" t="s">
        <v>9310</v>
      </c>
      <c r="G479" s="1" t="s">
        <v>8957</v>
      </c>
      <c r="H479" t="s">
        <v>9061</v>
      </c>
      <c r="I479" s="1" t="s">
        <v>9252</v>
      </c>
      <c r="J479" s="1" t="s">
        <v>8971</v>
      </c>
      <c r="K479" s="1" t="s">
        <v>9787</v>
      </c>
      <c r="L479" s="1" t="s">
        <v>8951</v>
      </c>
      <c r="M479" s="1">
        <v>307</v>
      </c>
      <c r="N479" s="1" t="s">
        <v>8953</v>
      </c>
      <c r="O479" s="1" t="s">
        <v>8989</v>
      </c>
      <c r="P479" s="1" t="s">
        <v>8955</v>
      </c>
      <c r="Q479" s="1" t="s">
        <v>8956</v>
      </c>
      <c r="R479" s="1" t="s">
        <v>8957</v>
      </c>
      <c r="S479" s="1" t="s">
        <v>8958</v>
      </c>
      <c r="T479" s="1" t="s">
        <v>1393</v>
      </c>
      <c r="U479" s="1" t="s">
        <v>17</v>
      </c>
      <c r="V479" s="1" t="s">
        <v>267</v>
      </c>
      <c r="W479" s="1"/>
    </row>
    <row r="480" spans="1:23" x14ac:dyDescent="0.2">
      <c r="A480" s="88" t="s">
        <v>15934</v>
      </c>
      <c r="B480" s="1" t="e">
        <v>#N/A</v>
      </c>
      <c r="C480" s="1" t="s">
        <v>12944</v>
      </c>
      <c r="D480" s="1" t="s">
        <v>1394</v>
      </c>
      <c r="E480" s="1" t="s">
        <v>1395</v>
      </c>
      <c r="F480" s="1" t="s">
        <v>10049</v>
      </c>
      <c r="G480" s="1" t="s">
        <v>8957</v>
      </c>
      <c r="H480" t="s">
        <v>9009</v>
      </c>
      <c r="I480" s="1" t="s">
        <v>8948</v>
      </c>
      <c r="J480" s="1" t="s">
        <v>12453</v>
      </c>
      <c r="K480" s="1" t="s">
        <v>9041</v>
      </c>
      <c r="L480" s="1" t="s">
        <v>8987</v>
      </c>
      <c r="M480" s="1">
        <v>278</v>
      </c>
      <c r="N480" s="1" t="s">
        <v>8953</v>
      </c>
      <c r="O480" s="1" t="s">
        <v>8954</v>
      </c>
      <c r="P480" s="1" t="s">
        <v>8955</v>
      </c>
      <c r="Q480" s="1" t="s">
        <v>8956</v>
      </c>
      <c r="R480" s="1" t="s">
        <v>8957</v>
      </c>
      <c r="S480" s="1" t="s">
        <v>8958</v>
      </c>
      <c r="T480" s="1" t="s">
        <v>1396</v>
      </c>
      <c r="U480" s="1" t="s">
        <v>11</v>
      </c>
      <c r="V480" s="1" t="s">
        <v>1397</v>
      </c>
      <c r="W480" s="1"/>
    </row>
    <row r="481" spans="1:23" x14ac:dyDescent="0.2">
      <c r="A481" s="88" t="s">
        <v>15935</v>
      </c>
      <c r="B481" s="1" t="e">
        <v>#N/A</v>
      </c>
      <c r="C481" s="1" t="s">
        <v>11323</v>
      </c>
      <c r="D481" s="1" t="s">
        <v>1398</v>
      </c>
      <c r="E481" s="1" t="s">
        <v>1399</v>
      </c>
      <c r="F481" s="1" t="s">
        <v>9815</v>
      </c>
      <c r="G481" s="1" t="s">
        <v>8974</v>
      </c>
      <c r="H481" t="s">
        <v>9061</v>
      </c>
      <c r="I481" s="1" t="s">
        <v>8948</v>
      </c>
      <c r="J481" s="1" t="s">
        <v>8998</v>
      </c>
      <c r="K481" s="1" t="s">
        <v>9036</v>
      </c>
      <c r="L481" s="1" t="s">
        <v>8951</v>
      </c>
      <c r="M481" s="1">
        <v>313318</v>
      </c>
      <c r="N481" s="1" t="s">
        <v>8953</v>
      </c>
      <c r="O481" s="1" t="s">
        <v>8954</v>
      </c>
      <c r="P481" s="1" t="s">
        <v>8955</v>
      </c>
      <c r="Q481" s="1" t="s">
        <v>8956</v>
      </c>
      <c r="R481" s="1" t="s">
        <v>8974</v>
      </c>
      <c r="S481" s="1" t="s">
        <v>8975</v>
      </c>
      <c r="T481" s="1" t="s">
        <v>1400</v>
      </c>
      <c r="U481" s="1" t="s">
        <v>11</v>
      </c>
      <c r="V481" s="1" t="s">
        <v>1401</v>
      </c>
      <c r="W481" s="1"/>
    </row>
    <row r="482" spans="1:23" x14ac:dyDescent="0.2">
      <c r="A482" s="94" t="s">
        <v>15936</v>
      </c>
      <c r="B482" s="1" t="e">
        <v>#N/A</v>
      </c>
      <c r="C482" s="1" t="e">
        <v>#N/A</v>
      </c>
      <c r="D482" s="1" t="s">
        <v>1402</v>
      </c>
      <c r="E482" s="1" t="s">
        <v>1403</v>
      </c>
      <c r="F482" s="1" t="e">
        <v>#N/A</v>
      </c>
      <c r="G482" s="1" t="e">
        <v>#N/A</v>
      </c>
      <c r="H482" t="e">
        <v>#N/A</v>
      </c>
      <c r="I482" s="1" t="e">
        <v>#N/A</v>
      </c>
      <c r="J482" s="1" t="e">
        <v>#N/A</v>
      </c>
      <c r="K482" s="1" t="e">
        <v>#N/A</v>
      </c>
      <c r="L482" s="1" t="e">
        <v>#N/A</v>
      </c>
      <c r="M482" s="1" t="e">
        <v>#N/A</v>
      </c>
      <c r="N482" s="1" t="e">
        <v>#N/A</v>
      </c>
      <c r="O482" s="1" t="e">
        <v>#N/A</v>
      </c>
      <c r="P482" s="1" t="e">
        <v>#N/A</v>
      </c>
      <c r="Q482" s="1" t="e">
        <v>#N/A</v>
      </c>
      <c r="R482" s="1">
        <f t="shared" ref="R482:R487" si="134">1+LEN(T482)-LEN(SUBSTITUTE(T482,",",))</f>
        <v>2</v>
      </c>
      <c r="S482" s="1" t="str">
        <f t="shared" ref="S482:S487" si="135">IF(R482&gt;4,IF(R482&lt;8,"4-7",IF(R482&gt;7,"&gt;7")),"&lt;4")</f>
        <v>&lt;4</v>
      </c>
      <c r="T482" s="1" t="s">
        <v>18777</v>
      </c>
      <c r="U482" s="1" t="s">
        <v>11</v>
      </c>
      <c r="V482" s="1" t="s">
        <v>210</v>
      </c>
      <c r="W482" s="1"/>
    </row>
    <row r="483" spans="1:23" x14ac:dyDescent="0.2">
      <c r="A483" s="88" t="s">
        <v>15937</v>
      </c>
      <c r="B483" s="1" t="e">
        <v>#N/A</v>
      </c>
      <c r="C483" s="1" t="e">
        <v>#N/A</v>
      </c>
      <c r="D483" s="1" t="s">
        <v>1404</v>
      </c>
      <c r="E483" s="1" t="s">
        <v>1405</v>
      </c>
      <c r="F483" s="1" t="s">
        <v>18502</v>
      </c>
      <c r="G483" s="1" t="s">
        <v>8959</v>
      </c>
      <c r="H483" t="s">
        <v>8959</v>
      </c>
      <c r="I483" s="1" t="s">
        <v>8948</v>
      </c>
      <c r="J483" s="1" t="s">
        <v>8998</v>
      </c>
      <c r="K483" s="1" t="s">
        <v>21419</v>
      </c>
      <c r="L483" s="1" t="s">
        <v>8973</v>
      </c>
      <c r="M483" s="1">
        <v>135974</v>
      </c>
      <c r="N483" s="1" t="s">
        <v>8953</v>
      </c>
      <c r="O483" s="1" t="s">
        <v>8954</v>
      </c>
      <c r="P483" s="1" t="e">
        <v>#N/A</v>
      </c>
      <c r="Q483" s="1" t="e">
        <v>#N/A</v>
      </c>
      <c r="R483" s="1">
        <f t="shared" si="134"/>
        <v>14</v>
      </c>
      <c r="S483" s="1" t="str">
        <f t="shared" si="135"/>
        <v>&gt;7</v>
      </c>
      <c r="T483" s="1" t="s">
        <v>18778</v>
      </c>
      <c r="U483" s="1" t="s">
        <v>17</v>
      </c>
      <c r="V483" s="1" t="s">
        <v>87</v>
      </c>
      <c r="W483" s="1"/>
    </row>
    <row r="484" spans="1:23" x14ac:dyDescent="0.2">
      <c r="A484" s="89" t="s">
        <v>15938</v>
      </c>
      <c r="B484" s="1" t="e">
        <v>#N/A</v>
      </c>
      <c r="C484" s="1" t="e">
        <v>#N/A</v>
      </c>
      <c r="D484" s="5" t="s">
        <v>1406</v>
      </c>
      <c r="E484" s="1" t="s">
        <v>1407</v>
      </c>
      <c r="F484" s="1" t="e">
        <v>#N/A</v>
      </c>
      <c r="G484" s="1" t="e">
        <v>#N/A</v>
      </c>
      <c r="H484" t="e">
        <v>#N/A</v>
      </c>
      <c r="I484" s="1" t="e">
        <v>#N/A</v>
      </c>
      <c r="J484" s="1" t="e">
        <v>#N/A</v>
      </c>
      <c r="K484" s="1" t="e">
        <v>#N/A</v>
      </c>
      <c r="L484" s="1" t="e">
        <v>#N/A</v>
      </c>
      <c r="M484" s="1" t="e">
        <v>#N/A</v>
      </c>
      <c r="N484" s="1" t="e">
        <v>#N/A</v>
      </c>
      <c r="O484" s="1" t="e">
        <v>#N/A</v>
      </c>
      <c r="P484" s="1" t="e">
        <v>#N/A</v>
      </c>
      <c r="Q484" s="1" t="e">
        <v>#N/A</v>
      </c>
      <c r="R484" s="1">
        <f t="shared" si="134"/>
        <v>6</v>
      </c>
      <c r="S484" s="1" t="str">
        <f t="shared" si="135"/>
        <v>4-7</v>
      </c>
      <c r="T484" s="1" t="s">
        <v>18779</v>
      </c>
      <c r="U484" s="1" t="s">
        <v>7</v>
      </c>
      <c r="V484" s="1" t="s">
        <v>609</v>
      </c>
      <c r="W484" s="1"/>
    </row>
    <row r="485" spans="1:23" x14ac:dyDescent="0.2">
      <c r="A485" s="88" t="s">
        <v>15939</v>
      </c>
      <c r="B485" s="1" t="e">
        <v>#N/A</v>
      </c>
      <c r="C485" s="1" t="e">
        <v>#N/A</v>
      </c>
      <c r="D485" s="1" t="s">
        <v>1408</v>
      </c>
      <c r="E485" s="1" t="s">
        <v>1409</v>
      </c>
      <c r="F485" s="1" t="s">
        <v>9213</v>
      </c>
      <c r="G485" s="1" t="s">
        <v>8957</v>
      </c>
      <c r="H485" t="s">
        <v>9183</v>
      </c>
      <c r="I485" s="1" t="s">
        <v>8948</v>
      </c>
      <c r="J485" s="1" t="s">
        <v>9131</v>
      </c>
      <c r="K485" s="1" t="s">
        <v>20769</v>
      </c>
      <c r="L485" s="1" t="s">
        <v>9133</v>
      </c>
      <c r="M485" s="1">
        <v>2216</v>
      </c>
      <c r="N485" s="1" t="s">
        <v>8953</v>
      </c>
      <c r="O485" s="1" t="s">
        <v>8989</v>
      </c>
      <c r="P485" s="1" t="e">
        <v>#N/A</v>
      </c>
      <c r="Q485" s="1" t="e">
        <v>#N/A</v>
      </c>
      <c r="R485" s="1">
        <f t="shared" si="134"/>
        <v>2</v>
      </c>
      <c r="S485" s="1" t="str">
        <f t="shared" si="135"/>
        <v>&lt;4</v>
      </c>
      <c r="T485" s="1" t="s">
        <v>18780</v>
      </c>
      <c r="U485" s="1" t="s">
        <v>7</v>
      </c>
      <c r="V485" s="1" t="s">
        <v>1410</v>
      </c>
      <c r="W485" s="1"/>
    </row>
    <row r="486" spans="1:23" x14ac:dyDescent="0.2">
      <c r="A486" s="88" t="s">
        <v>15940</v>
      </c>
      <c r="B486" s="1" t="e">
        <v>#N/A</v>
      </c>
      <c r="C486" s="1" t="e">
        <v>#N/A</v>
      </c>
      <c r="D486" s="1" t="s">
        <v>1411</v>
      </c>
      <c r="E486" s="1" t="s">
        <v>1412</v>
      </c>
      <c r="F486" s="1" t="s">
        <v>9213</v>
      </c>
      <c r="G486" s="1" t="s">
        <v>9060</v>
      </c>
      <c r="H486" t="s">
        <v>9183</v>
      </c>
      <c r="I486" s="1" t="s">
        <v>8948</v>
      </c>
      <c r="J486" s="1" t="s">
        <v>8949</v>
      </c>
      <c r="K486" s="1" t="s">
        <v>10525</v>
      </c>
      <c r="L486" s="1" t="s">
        <v>8973</v>
      </c>
      <c r="M486" s="1">
        <f>262+110+372</f>
        <v>744</v>
      </c>
      <c r="N486" s="1" t="s">
        <v>8953</v>
      </c>
      <c r="O486" s="1" t="s">
        <v>8954</v>
      </c>
      <c r="P486" s="1" t="e">
        <v>#N/A</v>
      </c>
      <c r="Q486" s="1" t="e">
        <v>#N/A</v>
      </c>
      <c r="R486" s="1">
        <f t="shared" si="134"/>
        <v>11</v>
      </c>
      <c r="S486" s="1" t="str">
        <f t="shared" si="135"/>
        <v>&gt;7</v>
      </c>
      <c r="T486" s="1" t="s">
        <v>18781</v>
      </c>
      <c r="U486" s="1" t="s">
        <v>7</v>
      </c>
      <c r="V486" s="1" t="s">
        <v>24</v>
      </c>
      <c r="W486" s="1"/>
    </row>
    <row r="487" spans="1:23" x14ac:dyDescent="0.2">
      <c r="A487" s="88" t="s">
        <v>15941</v>
      </c>
      <c r="B487" s="1" t="e">
        <v>#N/A</v>
      </c>
      <c r="C487" s="1" t="e">
        <v>#N/A</v>
      </c>
      <c r="D487" s="1" t="s">
        <v>1413</v>
      </c>
      <c r="E487" s="1" t="s">
        <v>1414</v>
      </c>
      <c r="F487" s="1" t="s">
        <v>9213</v>
      </c>
      <c r="G487" s="1" t="s">
        <v>8957</v>
      </c>
      <c r="H487" t="s">
        <v>9061</v>
      </c>
      <c r="I487" s="1" t="s">
        <v>9035</v>
      </c>
      <c r="J487" s="1" t="s">
        <v>8998</v>
      </c>
      <c r="K487" s="1" t="s">
        <v>9036</v>
      </c>
      <c r="L487" s="1" t="s">
        <v>9076</v>
      </c>
      <c r="M487" s="1">
        <v>104</v>
      </c>
      <c r="N487" s="1" t="s">
        <v>8953</v>
      </c>
      <c r="O487" s="1" t="s">
        <v>8989</v>
      </c>
      <c r="P487" s="1" t="e">
        <v>#N/A</v>
      </c>
      <c r="Q487" s="1" t="e">
        <v>#N/A</v>
      </c>
      <c r="R487" s="1">
        <f t="shared" si="134"/>
        <v>7</v>
      </c>
      <c r="S487" s="1" t="str">
        <f t="shared" si="135"/>
        <v>4-7</v>
      </c>
      <c r="T487" s="1" t="s">
        <v>18782</v>
      </c>
      <c r="U487" s="1" t="s">
        <v>17</v>
      </c>
      <c r="V487" s="1" t="s">
        <v>180</v>
      </c>
      <c r="W487" s="1"/>
    </row>
    <row r="488" spans="1:23" x14ac:dyDescent="0.2">
      <c r="A488" s="88" t="s">
        <v>15942</v>
      </c>
      <c r="B488" s="1" t="e">
        <v>#N/A</v>
      </c>
      <c r="C488" s="1" t="s">
        <v>13506</v>
      </c>
      <c r="D488" s="1" t="s">
        <v>1415</v>
      </c>
      <c r="E488" s="1" t="s">
        <v>1416</v>
      </c>
      <c r="F488" s="1" t="s">
        <v>9213</v>
      </c>
      <c r="G488" s="1" t="s">
        <v>9060</v>
      </c>
      <c r="H488" t="s">
        <v>9009</v>
      </c>
      <c r="I488" s="1" t="s">
        <v>8948</v>
      </c>
      <c r="J488" s="1" t="s">
        <v>8998</v>
      </c>
      <c r="K488" s="1" t="s">
        <v>9036</v>
      </c>
      <c r="L488" s="1" t="s">
        <v>9133</v>
      </c>
      <c r="M488" s="1">
        <v>431</v>
      </c>
      <c r="N488" s="1" t="s">
        <v>9059</v>
      </c>
      <c r="O488" s="1" t="s">
        <v>8954</v>
      </c>
      <c r="P488" s="1" t="s">
        <v>9182</v>
      </c>
      <c r="Q488" s="1" t="s">
        <v>8956</v>
      </c>
      <c r="R488" s="1" t="s">
        <v>9060</v>
      </c>
      <c r="S488" s="1" t="s">
        <v>8958</v>
      </c>
      <c r="T488" s="1" t="s">
        <v>1417</v>
      </c>
      <c r="U488" s="1" t="s">
        <v>4</v>
      </c>
      <c r="V488" s="1" t="s">
        <v>57</v>
      </c>
      <c r="W488" s="1"/>
    </row>
    <row r="489" spans="1:23" x14ac:dyDescent="0.2">
      <c r="A489" s="88" t="s">
        <v>15943</v>
      </c>
      <c r="B489" s="1" t="e">
        <v>#N/A</v>
      </c>
      <c r="C489" s="1" t="s">
        <v>15027</v>
      </c>
      <c r="D489" s="1" t="s">
        <v>1418</v>
      </c>
      <c r="E489" s="1" t="s">
        <v>1419</v>
      </c>
      <c r="F489" s="1" t="s">
        <v>9213</v>
      </c>
      <c r="G489" s="1" t="s">
        <v>8957</v>
      </c>
      <c r="H489" t="s">
        <v>9009</v>
      </c>
      <c r="I489" s="1" t="s">
        <v>8948</v>
      </c>
      <c r="J489" s="1" t="s">
        <v>9725</v>
      </c>
      <c r="K489" s="1" t="s">
        <v>21205</v>
      </c>
      <c r="L489" s="1" t="s">
        <v>9292</v>
      </c>
      <c r="M489" s="1">
        <v>1303</v>
      </c>
      <c r="N489" s="1" t="s">
        <v>9059</v>
      </c>
      <c r="O489" s="1" t="s">
        <v>8954</v>
      </c>
      <c r="P489" s="1" t="s">
        <v>8955</v>
      </c>
      <c r="Q489" s="1" t="s">
        <v>8956</v>
      </c>
      <c r="R489" s="1" t="s">
        <v>8957</v>
      </c>
      <c r="S489" s="1" t="s">
        <v>8958</v>
      </c>
      <c r="T489" s="1" t="s">
        <v>1420</v>
      </c>
      <c r="U489" s="1" t="s">
        <v>17</v>
      </c>
      <c r="V489" s="1" t="s">
        <v>1421</v>
      </c>
      <c r="W489" s="1"/>
    </row>
    <row r="490" spans="1:23" x14ac:dyDescent="0.2">
      <c r="A490" s="88" t="s">
        <v>15944</v>
      </c>
      <c r="B490" s="1" t="e">
        <v>#N/A</v>
      </c>
      <c r="C490" s="1" t="s">
        <v>14259</v>
      </c>
      <c r="D490" s="1" t="s">
        <v>1422</v>
      </c>
      <c r="E490" s="1" t="s">
        <v>1423</v>
      </c>
      <c r="F490" s="1" t="s">
        <v>9213</v>
      </c>
      <c r="G490" s="1" t="s">
        <v>8959</v>
      </c>
      <c r="H490" t="s">
        <v>9009</v>
      </c>
      <c r="I490" s="1" t="s">
        <v>8948</v>
      </c>
      <c r="J490" s="1" t="s">
        <v>8949</v>
      </c>
      <c r="K490" s="1" t="s">
        <v>9036</v>
      </c>
      <c r="L490" s="1" t="s">
        <v>8973</v>
      </c>
      <c r="M490" s="1">
        <v>38</v>
      </c>
      <c r="N490" s="1" t="s">
        <v>9059</v>
      </c>
      <c r="O490" s="1" t="s">
        <v>8954</v>
      </c>
      <c r="P490" s="1" t="s">
        <v>8955</v>
      </c>
      <c r="Q490" s="1" t="s">
        <v>8956</v>
      </c>
      <c r="R490" s="1" t="s">
        <v>8959</v>
      </c>
      <c r="S490" s="1" t="s">
        <v>9103</v>
      </c>
      <c r="T490" s="1" t="s">
        <v>1424</v>
      </c>
      <c r="U490" s="1" t="s">
        <v>242</v>
      </c>
      <c r="V490" s="1" t="s">
        <v>322</v>
      </c>
      <c r="W490" s="1"/>
    </row>
    <row r="491" spans="1:23" x14ac:dyDescent="0.2">
      <c r="A491" s="88" t="s">
        <v>15945</v>
      </c>
      <c r="B491" s="1" t="e">
        <v>#N/A</v>
      </c>
      <c r="C491" s="1" t="s">
        <v>12932</v>
      </c>
      <c r="D491" s="1" t="s">
        <v>1425</v>
      </c>
      <c r="E491" s="1" t="s">
        <v>1426</v>
      </c>
      <c r="F491" s="1" t="s">
        <v>9213</v>
      </c>
      <c r="G491" s="1" t="s">
        <v>8957</v>
      </c>
      <c r="H491" t="s">
        <v>9009</v>
      </c>
      <c r="I491" s="1" t="s">
        <v>8948</v>
      </c>
      <c r="J491" s="1" t="s">
        <v>9725</v>
      </c>
      <c r="K491" s="1" t="s">
        <v>9599</v>
      </c>
      <c r="L491" s="1" t="s">
        <v>9464</v>
      </c>
      <c r="M491" s="1">
        <v>492</v>
      </c>
      <c r="N491" s="1" t="s">
        <v>9059</v>
      </c>
      <c r="O491" s="1" t="s">
        <v>8954</v>
      </c>
      <c r="P491" s="1" t="s">
        <v>8955</v>
      </c>
      <c r="Q491" s="1" t="s">
        <v>8956</v>
      </c>
      <c r="R491" s="1" t="s">
        <v>8957</v>
      </c>
      <c r="S491" s="1" t="s">
        <v>9103</v>
      </c>
      <c r="T491" s="1" t="s">
        <v>1424</v>
      </c>
      <c r="U491" s="1" t="s">
        <v>11</v>
      </c>
      <c r="V491" s="1" t="s">
        <v>1427</v>
      </c>
      <c r="W491" s="1"/>
    </row>
    <row r="492" spans="1:23" x14ac:dyDescent="0.2">
      <c r="A492" s="88" t="s">
        <v>15946</v>
      </c>
      <c r="B492" s="1" t="e">
        <v>#N/A</v>
      </c>
      <c r="C492" s="1" t="s">
        <v>13233</v>
      </c>
      <c r="D492" s="1" t="s">
        <v>1428</v>
      </c>
      <c r="E492" s="1" t="s">
        <v>1429</v>
      </c>
      <c r="F492" s="1" t="s">
        <v>9213</v>
      </c>
      <c r="G492" s="1" t="s">
        <v>8957</v>
      </c>
      <c r="H492" t="s">
        <v>9009</v>
      </c>
      <c r="I492" s="1" t="s">
        <v>8948</v>
      </c>
      <c r="J492" s="1" t="s">
        <v>9155</v>
      </c>
      <c r="K492" s="1" t="s">
        <v>9051</v>
      </c>
      <c r="L492" s="1" t="s">
        <v>8973</v>
      </c>
      <c r="M492" s="1">
        <v>163</v>
      </c>
      <c r="N492" s="1" t="s">
        <v>8953</v>
      </c>
      <c r="O492" s="1" t="s">
        <v>8989</v>
      </c>
      <c r="P492" s="1" t="s">
        <v>8955</v>
      </c>
      <c r="Q492" s="1" t="s">
        <v>8956</v>
      </c>
      <c r="R492" s="1" t="s">
        <v>8957</v>
      </c>
      <c r="S492" s="1" t="s">
        <v>9103</v>
      </c>
      <c r="T492" s="1" t="s">
        <v>1430</v>
      </c>
      <c r="U492" s="1" t="s">
        <v>11</v>
      </c>
      <c r="V492" s="1" t="s">
        <v>733</v>
      </c>
      <c r="W492" s="1"/>
    </row>
    <row r="493" spans="1:23" x14ac:dyDescent="0.2">
      <c r="A493" s="88" t="s">
        <v>15947</v>
      </c>
      <c r="B493" s="1" t="e">
        <v>#N/A</v>
      </c>
      <c r="C493" s="1" t="e">
        <v>#N/A</v>
      </c>
      <c r="D493" s="1" t="s">
        <v>1431</v>
      </c>
      <c r="E493" s="1" t="s">
        <v>1432</v>
      </c>
      <c r="F493" s="1" t="s">
        <v>9213</v>
      </c>
      <c r="G493" s="1" t="s">
        <v>8957</v>
      </c>
      <c r="H493" t="s">
        <v>9061</v>
      </c>
      <c r="I493" s="1" t="s">
        <v>20712</v>
      </c>
      <c r="J493" s="1" t="s">
        <v>9725</v>
      </c>
      <c r="K493" s="1" t="s">
        <v>9036</v>
      </c>
      <c r="L493" s="1" t="s">
        <v>8951</v>
      </c>
      <c r="M493" s="1">
        <v>0</v>
      </c>
      <c r="N493" s="1" t="e">
        <v>#N/A</v>
      </c>
      <c r="O493" s="1" t="e">
        <v>#N/A</v>
      </c>
      <c r="P493" s="1" t="e">
        <v>#N/A</v>
      </c>
      <c r="Q493" s="1" t="e">
        <v>#N/A</v>
      </c>
      <c r="R493" s="1">
        <f t="shared" ref="R493:R495" si="136">1+LEN(T493)-LEN(SUBSTITUTE(T493,",",))</f>
        <v>6</v>
      </c>
      <c r="S493" s="1" t="str">
        <f t="shared" ref="S493:S495" si="137">IF(R493&gt;4,IF(R493&lt;8,"4-7",IF(R493&gt;7,"&gt;7")),"&lt;4")</f>
        <v>4-7</v>
      </c>
      <c r="T493" s="1" t="s">
        <v>18783</v>
      </c>
      <c r="U493" s="1" t="s">
        <v>7</v>
      </c>
      <c r="V493" s="1" t="s">
        <v>378</v>
      </c>
      <c r="W493" s="1"/>
    </row>
    <row r="494" spans="1:23" x14ac:dyDescent="0.2">
      <c r="A494" s="88" t="s">
        <v>15948</v>
      </c>
      <c r="B494" s="1" t="e">
        <v>#N/A</v>
      </c>
      <c r="C494" s="1" t="e">
        <v>#N/A</v>
      </c>
      <c r="D494" s="1" t="s">
        <v>1433</v>
      </c>
      <c r="E494" s="1" t="s">
        <v>1434</v>
      </c>
      <c r="F494" s="1" t="s">
        <v>9213</v>
      </c>
      <c r="G494" s="1" t="s">
        <v>8974</v>
      </c>
      <c r="H494" t="s">
        <v>9061</v>
      </c>
      <c r="I494" s="1" t="s">
        <v>9252</v>
      </c>
      <c r="J494" s="1" t="s">
        <v>8971</v>
      </c>
      <c r="K494" s="1" t="s">
        <v>20735</v>
      </c>
      <c r="L494" s="1" t="s">
        <v>9133</v>
      </c>
      <c r="M494" s="1">
        <v>1043</v>
      </c>
      <c r="N494" s="1" t="s">
        <v>8953</v>
      </c>
      <c r="O494" s="1" t="s">
        <v>8989</v>
      </c>
      <c r="P494" s="1" t="e">
        <v>#N/A</v>
      </c>
      <c r="Q494" s="1" t="e">
        <v>#N/A</v>
      </c>
      <c r="R494" s="1">
        <f t="shared" si="136"/>
        <v>9</v>
      </c>
      <c r="S494" s="1" t="str">
        <f t="shared" si="137"/>
        <v>&gt;7</v>
      </c>
      <c r="T494" s="1" t="s">
        <v>18784</v>
      </c>
      <c r="U494" s="1" t="s">
        <v>17</v>
      </c>
      <c r="V494" s="1" t="s">
        <v>138</v>
      </c>
      <c r="W494" s="1"/>
    </row>
    <row r="495" spans="1:23" x14ac:dyDescent="0.2">
      <c r="A495" s="88" t="s">
        <v>15949</v>
      </c>
      <c r="B495" s="1" t="e">
        <v>#N/A</v>
      </c>
      <c r="C495" s="1" t="e">
        <v>#N/A</v>
      </c>
      <c r="D495" s="1" t="s">
        <v>1435</v>
      </c>
      <c r="E495" s="1" t="s">
        <v>1436</v>
      </c>
      <c r="F495" s="1" t="s">
        <v>9213</v>
      </c>
      <c r="G495" s="1" t="s">
        <v>8959</v>
      </c>
      <c r="H495" t="s">
        <v>9061</v>
      </c>
      <c r="I495" s="1" t="s">
        <v>9092</v>
      </c>
      <c r="J495" s="1" t="s">
        <v>9308</v>
      </c>
      <c r="K495" s="1" t="s">
        <v>18497</v>
      </c>
      <c r="L495" s="1" t="s">
        <v>8951</v>
      </c>
      <c r="M495" s="1">
        <v>1266</v>
      </c>
      <c r="N495" s="1" t="s">
        <v>8953</v>
      </c>
      <c r="O495" s="1" t="s">
        <v>8989</v>
      </c>
      <c r="P495" s="1" t="e">
        <v>#N/A</v>
      </c>
      <c r="Q495" s="1" t="e">
        <v>#N/A</v>
      </c>
      <c r="R495" s="1">
        <f t="shared" si="136"/>
        <v>8</v>
      </c>
      <c r="S495" s="1" t="str">
        <f t="shared" si="137"/>
        <v>&gt;7</v>
      </c>
      <c r="T495" s="1" t="s">
        <v>18785</v>
      </c>
      <c r="U495" s="1" t="s">
        <v>7</v>
      </c>
      <c r="V495" s="1" t="s">
        <v>666</v>
      </c>
      <c r="W495" s="1"/>
    </row>
    <row r="496" spans="1:23" x14ac:dyDescent="0.2">
      <c r="A496" s="88" t="s">
        <v>15950</v>
      </c>
      <c r="B496" s="1" t="e">
        <v>#N/A</v>
      </c>
      <c r="C496" s="1" t="s">
        <v>13346</v>
      </c>
      <c r="D496" s="1" t="s">
        <v>1437</v>
      </c>
      <c r="E496" s="1" t="s">
        <v>1438</v>
      </c>
      <c r="F496" s="1" t="s">
        <v>9213</v>
      </c>
      <c r="G496" s="1" t="s">
        <v>8974</v>
      </c>
      <c r="H496" t="s">
        <v>8959</v>
      </c>
      <c r="I496" s="1" t="s">
        <v>9049</v>
      </c>
      <c r="J496" s="1" t="s">
        <v>9050</v>
      </c>
      <c r="K496" s="1" t="s">
        <v>13349</v>
      </c>
      <c r="L496" s="1" t="s">
        <v>8987</v>
      </c>
      <c r="M496" s="1">
        <v>397</v>
      </c>
      <c r="N496" s="1" t="s">
        <v>8953</v>
      </c>
      <c r="O496" s="1" t="s">
        <v>8989</v>
      </c>
      <c r="P496" s="1" t="s">
        <v>8955</v>
      </c>
      <c r="Q496" s="1" t="s">
        <v>8956</v>
      </c>
      <c r="R496" s="1" t="s">
        <v>8974</v>
      </c>
      <c r="S496" s="1" t="s">
        <v>8958</v>
      </c>
      <c r="T496" s="1" t="s">
        <v>1439</v>
      </c>
      <c r="U496" s="1" t="s">
        <v>4</v>
      </c>
      <c r="V496" s="1" t="s">
        <v>110</v>
      </c>
      <c r="W496" s="1"/>
    </row>
    <row r="497" spans="1:23" x14ac:dyDescent="0.2">
      <c r="A497" s="88" t="s">
        <v>15951</v>
      </c>
      <c r="B497" s="1" t="e">
        <v>#N/A</v>
      </c>
      <c r="C497" s="1" t="e">
        <v>#N/A</v>
      </c>
      <c r="D497" s="1" t="s">
        <v>1440</v>
      </c>
      <c r="E497" s="1" t="s">
        <v>1441</v>
      </c>
      <c r="F497" s="1" t="s">
        <v>9213</v>
      </c>
      <c r="G497" s="1" t="s">
        <v>8957</v>
      </c>
      <c r="H497" t="s">
        <v>8959</v>
      </c>
      <c r="I497" s="1" t="s">
        <v>8984</v>
      </c>
      <c r="J497" s="1" t="s">
        <v>8998</v>
      </c>
      <c r="K497" s="1" t="s">
        <v>21460</v>
      </c>
      <c r="L497" s="1" t="s">
        <v>9464</v>
      </c>
      <c r="M497" s="1">
        <v>5936</v>
      </c>
      <c r="N497" s="1" t="s">
        <v>8953</v>
      </c>
      <c r="O497" s="1" t="s">
        <v>8989</v>
      </c>
      <c r="P497" s="1" t="e">
        <v>#N/A</v>
      </c>
      <c r="Q497" s="1" t="e">
        <v>#N/A</v>
      </c>
      <c r="R497" s="1">
        <f t="shared" ref="R497:R498" si="138">1+LEN(T497)-LEN(SUBSTITUTE(T497,",",))</f>
        <v>2</v>
      </c>
      <c r="S497" s="1" t="str">
        <f t="shared" ref="S497:S498" si="139">IF(R497&gt;4,IF(R497&lt;8,"4-7",IF(R497&gt;7,"&gt;7")),"&lt;4")</f>
        <v>&lt;4</v>
      </c>
      <c r="T497" s="1" t="s">
        <v>18786</v>
      </c>
      <c r="U497" s="1" t="s">
        <v>7</v>
      </c>
      <c r="V497" s="1" t="s">
        <v>46</v>
      </c>
      <c r="W497" s="1"/>
    </row>
    <row r="498" spans="1:23" x14ac:dyDescent="0.2">
      <c r="A498" s="88" t="s">
        <v>15952</v>
      </c>
      <c r="B498" s="1" t="e">
        <v>#N/A</v>
      </c>
      <c r="C498" s="1" t="e">
        <v>#N/A</v>
      </c>
      <c r="D498" s="1" t="s">
        <v>1442</v>
      </c>
      <c r="E498" s="1" t="s">
        <v>1443</v>
      </c>
      <c r="F498" s="1" t="s">
        <v>9213</v>
      </c>
      <c r="G498" s="1" t="s">
        <v>8957</v>
      </c>
      <c r="H498" t="s">
        <v>8959</v>
      </c>
      <c r="I498" s="1" t="s">
        <v>20712</v>
      </c>
      <c r="J498" s="1" t="s">
        <v>8998</v>
      </c>
      <c r="K498" s="1" t="s">
        <v>18491</v>
      </c>
      <c r="L498" s="1" t="s">
        <v>9464</v>
      </c>
      <c r="M498" s="1">
        <v>468120</v>
      </c>
      <c r="N498" s="1" t="s">
        <v>8953</v>
      </c>
      <c r="O498" s="1" t="s">
        <v>8989</v>
      </c>
      <c r="P498" s="1" t="e">
        <v>#N/A</v>
      </c>
      <c r="Q498" s="1" t="e">
        <v>#N/A</v>
      </c>
      <c r="R498" s="1">
        <f t="shared" si="138"/>
        <v>3</v>
      </c>
      <c r="S498" s="1" t="str">
        <f t="shared" si="139"/>
        <v>&lt;4</v>
      </c>
      <c r="T498" s="1" t="s">
        <v>18787</v>
      </c>
      <c r="U498" s="1" t="s">
        <v>17</v>
      </c>
      <c r="V498" s="1" t="s">
        <v>46</v>
      </c>
      <c r="W498" s="1"/>
    </row>
    <row r="499" spans="1:23" x14ac:dyDescent="0.2">
      <c r="A499" s="88" t="s">
        <v>15953</v>
      </c>
      <c r="B499" s="1" t="e">
        <v>#N/A</v>
      </c>
      <c r="C499" s="1" t="s">
        <v>11582</v>
      </c>
      <c r="D499" s="1" t="s">
        <v>1444</v>
      </c>
      <c r="E499" s="1" t="s">
        <v>1445</v>
      </c>
      <c r="F499" s="1" t="s">
        <v>9213</v>
      </c>
      <c r="G499" s="1" t="s">
        <v>8957</v>
      </c>
      <c r="H499" t="s">
        <v>9183</v>
      </c>
      <c r="I499" s="1" t="s">
        <v>9035</v>
      </c>
      <c r="J499" s="1" t="s">
        <v>8998</v>
      </c>
      <c r="K499" s="1" t="s">
        <v>9036</v>
      </c>
      <c r="L499" s="1" t="s">
        <v>9133</v>
      </c>
      <c r="M499" s="1">
        <v>7461</v>
      </c>
      <c r="N499" s="1" t="s">
        <v>8953</v>
      </c>
      <c r="O499" s="1" t="s">
        <v>8989</v>
      </c>
      <c r="P499" s="1" t="s">
        <v>8955</v>
      </c>
      <c r="Q499" s="1" t="s">
        <v>8956</v>
      </c>
      <c r="R499" s="1" t="s">
        <v>8957</v>
      </c>
      <c r="S499" s="1" t="s">
        <v>8975</v>
      </c>
      <c r="T499" s="1" t="s">
        <v>1446</v>
      </c>
      <c r="U499" s="1" t="s">
        <v>11</v>
      </c>
      <c r="V499" s="1" t="s">
        <v>180</v>
      </c>
      <c r="W499" s="1"/>
    </row>
    <row r="500" spans="1:23" x14ac:dyDescent="0.2">
      <c r="A500" s="88" t="s">
        <v>15954</v>
      </c>
      <c r="B500" s="1" t="e">
        <v>#N/A</v>
      </c>
      <c r="C500" s="1" t="e">
        <v>#N/A</v>
      </c>
      <c r="D500" s="1" t="s">
        <v>1447</v>
      </c>
      <c r="E500" s="1" t="s">
        <v>1448</v>
      </c>
      <c r="F500" s="1" t="s">
        <v>9213</v>
      </c>
      <c r="G500" s="1" t="s">
        <v>8957</v>
      </c>
      <c r="H500" t="s">
        <v>8959</v>
      </c>
      <c r="I500" s="1" t="s">
        <v>9100</v>
      </c>
      <c r="J500" s="1" t="s">
        <v>8949</v>
      </c>
      <c r="K500" s="1" t="s">
        <v>20770</v>
      </c>
      <c r="L500" s="1" t="s">
        <v>9133</v>
      </c>
      <c r="M500" s="1">
        <v>3704</v>
      </c>
      <c r="N500" s="1" t="s">
        <v>8953</v>
      </c>
      <c r="O500" s="1" t="s">
        <v>8989</v>
      </c>
      <c r="P500" s="1" t="e">
        <v>#N/A</v>
      </c>
      <c r="Q500" s="1" t="e">
        <v>#N/A</v>
      </c>
      <c r="R500" s="1">
        <f t="shared" ref="R500:R503" si="140">1+LEN(T500)-LEN(SUBSTITUTE(T500,",",))</f>
        <v>3</v>
      </c>
      <c r="S500" s="1" t="str">
        <f t="shared" ref="S500:S503" si="141">IF(R500&gt;4,IF(R500&lt;8,"4-7",IF(R500&gt;7,"&gt;7")),"&lt;4")</f>
        <v>&lt;4</v>
      </c>
      <c r="T500" s="1" t="s">
        <v>18788</v>
      </c>
      <c r="U500" s="1" t="s">
        <v>17</v>
      </c>
      <c r="V500" s="1" t="s">
        <v>609</v>
      </c>
      <c r="W500" s="1"/>
    </row>
    <row r="501" spans="1:23" x14ac:dyDescent="0.2">
      <c r="A501" s="88" t="s">
        <v>15955</v>
      </c>
      <c r="B501" s="1" t="e">
        <v>#N/A</v>
      </c>
      <c r="C501" s="1" t="e">
        <v>#N/A</v>
      </c>
      <c r="D501" s="1" t="s">
        <v>1449</v>
      </c>
      <c r="E501" s="1" t="s">
        <v>1450</v>
      </c>
      <c r="F501" s="1" t="s">
        <v>9213</v>
      </c>
      <c r="G501" s="1" t="s">
        <v>8957</v>
      </c>
      <c r="H501" t="s">
        <v>8959</v>
      </c>
      <c r="I501" s="1" t="s">
        <v>9100</v>
      </c>
      <c r="J501" s="1" t="s">
        <v>8949</v>
      </c>
      <c r="K501" s="1" t="s">
        <v>18491</v>
      </c>
      <c r="L501" s="1" t="s">
        <v>8987</v>
      </c>
      <c r="M501" s="1">
        <v>386</v>
      </c>
      <c r="N501" s="1" t="s">
        <v>9059</v>
      </c>
      <c r="O501" s="1" t="s">
        <v>8989</v>
      </c>
      <c r="P501" s="1" t="e">
        <v>#N/A</v>
      </c>
      <c r="Q501" s="1" t="e">
        <v>#N/A</v>
      </c>
      <c r="R501" s="1">
        <f t="shared" si="140"/>
        <v>6</v>
      </c>
      <c r="S501" s="1" t="str">
        <f t="shared" si="141"/>
        <v>4-7</v>
      </c>
      <c r="T501" s="1" t="s">
        <v>18789</v>
      </c>
      <c r="U501" s="1" t="s">
        <v>7</v>
      </c>
      <c r="V501" s="1" t="s">
        <v>180</v>
      </c>
      <c r="W501" s="1"/>
    </row>
    <row r="502" spans="1:23" x14ac:dyDescent="0.2">
      <c r="A502" s="88" t="s">
        <v>15956</v>
      </c>
      <c r="B502" s="1" t="e">
        <v>#N/A</v>
      </c>
      <c r="C502" s="1" t="e">
        <v>#N/A</v>
      </c>
      <c r="D502" s="1" t="s">
        <v>1451</v>
      </c>
      <c r="E502" s="1" t="s">
        <v>1452</v>
      </c>
      <c r="F502" s="1" t="s">
        <v>9213</v>
      </c>
      <c r="G502" s="1" t="s">
        <v>8959</v>
      </c>
      <c r="H502" t="s">
        <v>9061</v>
      </c>
      <c r="I502" s="1" t="s">
        <v>9100</v>
      </c>
      <c r="J502" s="1" t="s">
        <v>8949</v>
      </c>
      <c r="K502" s="1" t="s">
        <v>20771</v>
      </c>
      <c r="L502" s="1" t="s">
        <v>8973</v>
      </c>
      <c r="M502" s="1">
        <v>182</v>
      </c>
      <c r="N502" s="1" t="s">
        <v>9059</v>
      </c>
      <c r="O502" s="1" t="s">
        <v>8954</v>
      </c>
      <c r="P502" s="1" t="e">
        <v>#N/A</v>
      </c>
      <c r="Q502" s="1" t="e">
        <v>#N/A</v>
      </c>
      <c r="R502" s="1">
        <f t="shared" si="140"/>
        <v>9</v>
      </c>
      <c r="S502" s="1" t="str">
        <f t="shared" si="141"/>
        <v>&gt;7</v>
      </c>
      <c r="T502" s="1" t="s">
        <v>18790</v>
      </c>
      <c r="U502" s="1" t="s">
        <v>7</v>
      </c>
      <c r="V502" s="1" t="s">
        <v>831</v>
      </c>
      <c r="W502" s="1"/>
    </row>
    <row r="503" spans="1:23" x14ac:dyDescent="0.2">
      <c r="A503" s="89" t="s">
        <v>15957</v>
      </c>
      <c r="B503" s="1" t="e">
        <v>#N/A</v>
      </c>
      <c r="C503" s="1" t="e">
        <v>#N/A</v>
      </c>
      <c r="D503" s="1" t="s">
        <v>1453</v>
      </c>
      <c r="E503" s="1" t="s">
        <v>1454</v>
      </c>
      <c r="F503" s="1" t="e">
        <v>#N/A</v>
      </c>
      <c r="G503" s="1" t="e">
        <v>#N/A</v>
      </c>
      <c r="H503" t="e">
        <v>#N/A</v>
      </c>
      <c r="I503" s="1" t="e">
        <v>#N/A</v>
      </c>
      <c r="J503" s="1" t="e">
        <v>#N/A</v>
      </c>
      <c r="K503" s="1" t="e">
        <v>#N/A</v>
      </c>
      <c r="L503" s="1" t="e">
        <v>#N/A</v>
      </c>
      <c r="M503" s="1" t="e">
        <v>#N/A</v>
      </c>
      <c r="N503" s="1" t="e">
        <v>#N/A</v>
      </c>
      <c r="O503" s="1" t="e">
        <v>#N/A</v>
      </c>
      <c r="P503" s="1" t="e">
        <v>#N/A</v>
      </c>
      <c r="Q503" s="1" t="e">
        <v>#N/A</v>
      </c>
      <c r="R503" s="1">
        <f t="shared" si="140"/>
        <v>4</v>
      </c>
      <c r="S503" s="1" t="str">
        <f t="shared" si="141"/>
        <v>&lt;4</v>
      </c>
      <c r="T503" s="1" t="s">
        <v>18791</v>
      </c>
      <c r="U503" s="1" t="s">
        <v>7</v>
      </c>
      <c r="V503" s="1" t="s">
        <v>355</v>
      </c>
      <c r="W503" s="1"/>
    </row>
    <row r="504" spans="1:23" x14ac:dyDescent="0.2">
      <c r="A504" s="88" t="s">
        <v>15958</v>
      </c>
      <c r="B504" s="1" t="e">
        <v>#N/A</v>
      </c>
      <c r="C504" s="1" t="s">
        <v>12870</v>
      </c>
      <c r="D504" s="1" t="s">
        <v>1455</v>
      </c>
      <c r="E504" s="1" t="s">
        <v>1456</v>
      </c>
      <c r="F504" s="1" t="s">
        <v>12873</v>
      </c>
      <c r="G504" s="1" t="s">
        <v>8959</v>
      </c>
      <c r="H504" t="s">
        <v>9183</v>
      </c>
      <c r="I504" s="1" t="s">
        <v>9252</v>
      </c>
      <c r="J504" s="1" t="s">
        <v>9253</v>
      </c>
      <c r="K504" s="1" t="s">
        <v>9018</v>
      </c>
      <c r="L504" s="1" t="s">
        <v>8987</v>
      </c>
      <c r="M504" s="1">
        <v>1200</v>
      </c>
      <c r="N504" s="1" t="s">
        <v>8953</v>
      </c>
      <c r="O504" s="1" t="s">
        <v>8954</v>
      </c>
      <c r="P504" s="1" t="s">
        <v>8955</v>
      </c>
      <c r="Q504" s="1" t="s">
        <v>8956</v>
      </c>
      <c r="R504" s="1" t="s">
        <v>8959</v>
      </c>
      <c r="S504" s="1" t="s">
        <v>9103</v>
      </c>
      <c r="T504" s="1" t="s">
        <v>1457</v>
      </c>
      <c r="U504" s="1" t="s">
        <v>11</v>
      </c>
      <c r="V504" s="1" t="s">
        <v>184</v>
      </c>
      <c r="W504" s="1"/>
    </row>
    <row r="505" spans="1:23" x14ac:dyDescent="0.2">
      <c r="A505" s="88" t="s">
        <v>15959</v>
      </c>
      <c r="B505" s="1" t="e">
        <v>#N/A</v>
      </c>
      <c r="C505" s="1" t="e">
        <v>#N/A</v>
      </c>
      <c r="D505" s="1" t="s">
        <v>1458</v>
      </c>
      <c r="E505" s="1" t="s">
        <v>1459</v>
      </c>
      <c r="F505" s="1" t="s">
        <v>9465</v>
      </c>
      <c r="G505" s="1" t="s">
        <v>9060</v>
      </c>
      <c r="H505" t="s">
        <v>9061</v>
      </c>
      <c r="I505" s="1" t="s">
        <v>9035</v>
      </c>
      <c r="J505" s="1" t="s">
        <v>8998</v>
      </c>
      <c r="K505" s="1" t="s">
        <v>9036</v>
      </c>
      <c r="L505" s="1" t="s">
        <v>8987</v>
      </c>
      <c r="M505" s="1">
        <v>105</v>
      </c>
      <c r="N505" s="1" t="s">
        <v>9059</v>
      </c>
      <c r="O505" s="1" t="s">
        <v>8954</v>
      </c>
      <c r="P505" s="1" t="e">
        <v>#N/A</v>
      </c>
      <c r="Q505" s="1" t="e">
        <v>#N/A</v>
      </c>
      <c r="R505" s="1">
        <f t="shared" ref="R505:R509" si="142">1+LEN(T505)-LEN(SUBSTITUTE(T505,",",))</f>
        <v>10</v>
      </c>
      <c r="S505" s="1" t="str">
        <f t="shared" ref="S505:S509" si="143">IF(R505&gt;4,IF(R505&lt;8,"4-7",IF(R505&gt;7,"&gt;7")),"&lt;4")</f>
        <v>&gt;7</v>
      </c>
      <c r="T505" s="1" t="s">
        <v>18792</v>
      </c>
      <c r="U505" s="1" t="s">
        <v>17</v>
      </c>
      <c r="V505" s="1" t="s">
        <v>666</v>
      </c>
      <c r="W505" s="1"/>
    </row>
    <row r="506" spans="1:23" x14ac:dyDescent="0.2">
      <c r="A506" s="88" t="s">
        <v>15960</v>
      </c>
      <c r="B506" s="1" t="e">
        <v>#N/A</v>
      </c>
      <c r="C506" s="1" t="e">
        <v>#N/A</v>
      </c>
      <c r="D506" s="1" t="s">
        <v>1460</v>
      </c>
      <c r="E506" s="1" t="s">
        <v>1461</v>
      </c>
      <c r="F506" s="1" t="s">
        <v>18502</v>
      </c>
      <c r="G506" s="1" t="s">
        <v>9060</v>
      </c>
      <c r="H506" t="s">
        <v>8959</v>
      </c>
      <c r="I506" s="1" t="s">
        <v>9605</v>
      </c>
      <c r="J506" s="1" t="s">
        <v>9101</v>
      </c>
      <c r="K506" s="1" t="s">
        <v>10492</v>
      </c>
      <c r="L506" s="1" t="s">
        <v>8951</v>
      </c>
      <c r="M506" s="1">
        <v>11</v>
      </c>
      <c r="N506" s="1" t="s">
        <v>9059</v>
      </c>
      <c r="O506" s="1" t="s">
        <v>8954</v>
      </c>
      <c r="P506" s="1" t="e">
        <v>#N/A</v>
      </c>
      <c r="Q506" s="1" t="e">
        <v>#N/A</v>
      </c>
      <c r="R506" s="1">
        <f t="shared" si="142"/>
        <v>18</v>
      </c>
      <c r="S506" s="1" t="str">
        <f t="shared" si="143"/>
        <v>&gt;7</v>
      </c>
      <c r="T506" s="1" t="s">
        <v>20566</v>
      </c>
      <c r="U506" s="1" t="s">
        <v>11</v>
      </c>
      <c r="V506" s="1" t="s">
        <v>1462</v>
      </c>
      <c r="W506" s="1"/>
    </row>
    <row r="507" spans="1:23" x14ac:dyDescent="0.2">
      <c r="A507" s="89" t="s">
        <v>15961</v>
      </c>
      <c r="B507" s="1" t="e">
        <v>#N/A</v>
      </c>
      <c r="C507" s="1" t="e">
        <v>#N/A</v>
      </c>
      <c r="D507" s="1" t="s">
        <v>1463</v>
      </c>
      <c r="E507" s="1" t="s">
        <v>1464</v>
      </c>
      <c r="F507" s="1" t="e">
        <v>#N/A</v>
      </c>
      <c r="G507" s="1" t="e">
        <v>#N/A</v>
      </c>
      <c r="H507" t="e">
        <v>#N/A</v>
      </c>
      <c r="I507" s="1" t="e">
        <v>#N/A</v>
      </c>
      <c r="J507" s="1" t="e">
        <v>#N/A</v>
      </c>
      <c r="K507" s="1" t="e">
        <v>#N/A</v>
      </c>
      <c r="L507" s="1" t="e">
        <v>#N/A</v>
      </c>
      <c r="M507" s="1" t="e">
        <v>#N/A</v>
      </c>
      <c r="N507" s="1" t="e">
        <v>#N/A</v>
      </c>
      <c r="O507" s="1" t="e">
        <v>#N/A</v>
      </c>
      <c r="P507" s="1" t="e">
        <v>#N/A</v>
      </c>
      <c r="Q507" s="1" t="e">
        <v>#N/A</v>
      </c>
      <c r="R507" s="1">
        <f t="shared" si="142"/>
        <v>1</v>
      </c>
      <c r="S507" s="1" t="str">
        <f t="shared" si="143"/>
        <v>&lt;4</v>
      </c>
      <c r="U507" s="1" t="s">
        <v>17</v>
      </c>
      <c r="V507" s="1" t="s">
        <v>174</v>
      </c>
      <c r="W507" s="1"/>
    </row>
    <row r="508" spans="1:23" x14ac:dyDescent="0.2">
      <c r="A508" s="95" t="s">
        <v>15962</v>
      </c>
      <c r="B508" s="1" t="e">
        <v>#N/A</v>
      </c>
      <c r="C508" s="1" t="e">
        <v>#N/A</v>
      </c>
      <c r="D508" s="1" t="s">
        <v>1465</v>
      </c>
      <c r="E508" s="1" t="s">
        <v>1466</v>
      </c>
      <c r="F508" s="1" t="s">
        <v>18502</v>
      </c>
      <c r="G508" s="1" t="s">
        <v>8957</v>
      </c>
      <c r="H508" t="s">
        <v>9061</v>
      </c>
      <c r="I508" s="1" t="s">
        <v>9605</v>
      </c>
      <c r="J508" s="1" t="s">
        <v>8949</v>
      </c>
      <c r="K508" s="1" t="s">
        <v>20772</v>
      </c>
      <c r="L508" s="1" t="s">
        <v>9076</v>
      </c>
      <c r="M508" s="1">
        <v>4475</v>
      </c>
      <c r="N508" s="1" t="s">
        <v>8953</v>
      </c>
      <c r="O508" s="1" t="s">
        <v>8989</v>
      </c>
      <c r="P508" s="1" t="e">
        <v>#N/A</v>
      </c>
      <c r="Q508" s="1" t="e">
        <v>#N/A</v>
      </c>
      <c r="R508" s="1">
        <f t="shared" si="142"/>
        <v>11</v>
      </c>
      <c r="S508" s="1" t="str">
        <f t="shared" si="143"/>
        <v>&gt;7</v>
      </c>
      <c r="T508" s="1" t="s">
        <v>18793</v>
      </c>
      <c r="U508" s="1" t="s">
        <v>17</v>
      </c>
      <c r="V508" s="1" t="s">
        <v>93</v>
      </c>
      <c r="W508" s="1"/>
    </row>
    <row r="509" spans="1:23" x14ac:dyDescent="0.2">
      <c r="A509" s="94" t="s">
        <v>15963</v>
      </c>
      <c r="B509" s="1" t="e">
        <v>#N/A</v>
      </c>
      <c r="C509" s="1" t="e">
        <v>#N/A</v>
      </c>
      <c r="D509" s="1" t="s">
        <v>1467</v>
      </c>
      <c r="E509" s="1" t="s">
        <v>1468</v>
      </c>
      <c r="F509" s="1" t="e">
        <v>#N/A</v>
      </c>
      <c r="G509" s="1" t="e">
        <v>#N/A</v>
      </c>
      <c r="H509" t="e">
        <v>#N/A</v>
      </c>
      <c r="I509" s="1" t="e">
        <v>#N/A</v>
      </c>
      <c r="J509" s="1" t="e">
        <v>#N/A</v>
      </c>
      <c r="K509" s="1" t="e">
        <v>#N/A</v>
      </c>
      <c r="L509" s="1" t="e">
        <v>#N/A</v>
      </c>
      <c r="M509" s="1" t="e">
        <v>#N/A</v>
      </c>
      <c r="N509" s="1" t="e">
        <v>#N/A</v>
      </c>
      <c r="O509" s="1" t="e">
        <v>#N/A</v>
      </c>
      <c r="P509" s="1" t="e">
        <v>#N/A</v>
      </c>
      <c r="Q509" s="1" t="e">
        <v>#N/A</v>
      </c>
      <c r="R509" s="1">
        <f t="shared" si="142"/>
        <v>5</v>
      </c>
      <c r="S509" s="1" t="str">
        <f t="shared" si="143"/>
        <v>4-7</v>
      </c>
      <c r="T509" s="1" t="s">
        <v>18794</v>
      </c>
      <c r="U509" s="1" t="s">
        <v>17</v>
      </c>
      <c r="V509" s="1" t="s">
        <v>210</v>
      </c>
      <c r="W509" s="1"/>
    </row>
    <row r="510" spans="1:23" x14ac:dyDescent="0.2">
      <c r="A510" s="88" t="s">
        <v>15964</v>
      </c>
      <c r="B510" s="1" t="e">
        <v>#N/A</v>
      </c>
      <c r="C510" s="1" t="s">
        <v>12726</v>
      </c>
      <c r="D510" s="1" t="s">
        <v>1469</v>
      </c>
      <c r="E510" s="1" t="s">
        <v>1470</v>
      </c>
      <c r="F510" s="1" t="s">
        <v>9213</v>
      </c>
      <c r="G510" s="1" t="s">
        <v>9060</v>
      </c>
      <c r="H510" t="s">
        <v>9183</v>
      </c>
      <c r="I510" s="1" t="s">
        <v>9092</v>
      </c>
      <c r="J510" s="1" t="s">
        <v>8998</v>
      </c>
      <c r="K510" s="1" t="s">
        <v>9036</v>
      </c>
      <c r="L510" s="1" t="s">
        <v>8987</v>
      </c>
      <c r="M510" s="1">
        <v>1891</v>
      </c>
      <c r="N510" s="1" t="s">
        <v>8953</v>
      </c>
      <c r="O510" s="1" t="s">
        <v>8954</v>
      </c>
      <c r="P510" s="1" t="s">
        <v>8955</v>
      </c>
      <c r="Q510" s="1" t="s">
        <v>8956</v>
      </c>
      <c r="R510" s="1" t="s">
        <v>9060</v>
      </c>
      <c r="S510" s="1" t="s">
        <v>8975</v>
      </c>
      <c r="T510" s="1" t="s">
        <v>1471</v>
      </c>
      <c r="U510" s="1" t="s">
        <v>11</v>
      </c>
      <c r="V510" s="1" t="s">
        <v>1472</v>
      </c>
      <c r="W510" s="1"/>
    </row>
    <row r="511" spans="1:23" x14ac:dyDescent="0.2">
      <c r="A511" s="88" t="s">
        <v>15965</v>
      </c>
      <c r="B511" s="1" t="e">
        <v>#N/A</v>
      </c>
      <c r="C511" s="1" t="s">
        <v>13926</v>
      </c>
      <c r="D511" s="1" t="s">
        <v>1473</v>
      </c>
      <c r="E511" s="1" t="s">
        <v>1474</v>
      </c>
      <c r="F511" s="1" t="s">
        <v>9246</v>
      </c>
      <c r="G511" s="1" t="s">
        <v>8957</v>
      </c>
      <c r="H511" t="s">
        <v>9061</v>
      </c>
      <c r="I511" s="1" t="s">
        <v>9035</v>
      </c>
      <c r="J511" s="1" t="s">
        <v>8998</v>
      </c>
      <c r="K511" s="1" t="s">
        <v>9036</v>
      </c>
      <c r="L511" s="1" t="s">
        <v>8987</v>
      </c>
      <c r="M511" s="1">
        <v>2153</v>
      </c>
      <c r="N511" s="1" t="s">
        <v>9059</v>
      </c>
      <c r="O511" s="1" t="s">
        <v>8954</v>
      </c>
      <c r="P511" s="1" t="s">
        <v>8955</v>
      </c>
      <c r="Q511" s="1" t="s">
        <v>8956</v>
      </c>
      <c r="R511" s="1" t="s">
        <v>8957</v>
      </c>
      <c r="S511" s="1" t="s">
        <v>8975</v>
      </c>
      <c r="T511" s="1" t="s">
        <v>1475</v>
      </c>
      <c r="U511" s="1" t="s">
        <v>4</v>
      </c>
      <c r="V511" s="1" t="s">
        <v>24</v>
      </c>
      <c r="W511" s="1"/>
    </row>
    <row r="512" spans="1:23" x14ac:dyDescent="0.2">
      <c r="A512" s="88" t="s">
        <v>15966</v>
      </c>
      <c r="B512" s="1" t="e">
        <v>#N/A</v>
      </c>
      <c r="C512" s="1" t="s">
        <v>14497</v>
      </c>
      <c r="D512" s="1" t="s">
        <v>1476</v>
      </c>
      <c r="E512" s="1" t="s">
        <v>1477</v>
      </c>
      <c r="F512" s="1" t="s">
        <v>9246</v>
      </c>
      <c r="G512" s="1" t="s">
        <v>8957</v>
      </c>
      <c r="H512" t="s">
        <v>9061</v>
      </c>
      <c r="I512" s="1" t="s">
        <v>9035</v>
      </c>
      <c r="J512" s="1" t="s">
        <v>8998</v>
      </c>
      <c r="K512" s="1" t="s">
        <v>9036</v>
      </c>
      <c r="L512" s="1" t="s">
        <v>8987</v>
      </c>
      <c r="M512" s="1">
        <v>4026</v>
      </c>
      <c r="N512" s="1" t="s">
        <v>8953</v>
      </c>
      <c r="O512" s="1" t="s">
        <v>8989</v>
      </c>
      <c r="P512" s="1" t="s">
        <v>8955</v>
      </c>
      <c r="Q512" s="1" t="s">
        <v>8956</v>
      </c>
      <c r="R512" s="1" t="s">
        <v>8957</v>
      </c>
      <c r="S512" s="1" t="s">
        <v>8975</v>
      </c>
      <c r="T512" s="1" t="s">
        <v>1478</v>
      </c>
      <c r="U512" s="1" t="s">
        <v>924</v>
      </c>
      <c r="V512" s="1" t="s">
        <v>126</v>
      </c>
      <c r="W512" s="1"/>
    </row>
    <row r="513" spans="1:23" x14ac:dyDescent="0.2">
      <c r="A513" s="88" t="s">
        <v>15967</v>
      </c>
      <c r="B513" s="1" t="e">
        <v>#N/A</v>
      </c>
      <c r="C513" s="1" t="e">
        <v>#N/A</v>
      </c>
      <c r="D513" s="1" t="s">
        <v>1479</v>
      </c>
      <c r="E513" s="1" t="s">
        <v>1480</v>
      </c>
      <c r="F513" s="1" t="s">
        <v>9465</v>
      </c>
      <c r="G513" s="1" t="s">
        <v>8959</v>
      </c>
      <c r="H513" t="s">
        <v>9061</v>
      </c>
      <c r="I513" s="1" t="s">
        <v>9252</v>
      </c>
      <c r="J513" s="1" t="s">
        <v>18504</v>
      </c>
      <c r="K513" s="1" t="s">
        <v>9036</v>
      </c>
      <c r="L513" s="1" t="s">
        <v>8987</v>
      </c>
      <c r="M513" s="1">
        <v>20578</v>
      </c>
      <c r="N513" s="1" t="s">
        <v>8953</v>
      </c>
      <c r="O513" s="1" t="s">
        <v>8989</v>
      </c>
      <c r="P513" s="1" t="e">
        <v>#N/A</v>
      </c>
      <c r="Q513" s="1" t="e">
        <v>#N/A</v>
      </c>
      <c r="R513" s="1">
        <f t="shared" ref="R513:R515" si="144">1+LEN(T513)-LEN(SUBSTITUTE(T513,",",))</f>
        <v>8</v>
      </c>
      <c r="S513" s="1" t="str">
        <f t="shared" ref="S513:S515" si="145">IF(R513&gt;4,IF(R513&lt;8,"4-7",IF(R513&gt;7,"&gt;7")),"&lt;4")</f>
        <v>&gt;7</v>
      </c>
      <c r="T513" s="1" t="s">
        <v>18795</v>
      </c>
      <c r="U513" s="1" t="s">
        <v>17</v>
      </c>
      <c r="V513" s="1" t="s">
        <v>670</v>
      </c>
      <c r="W513" s="1"/>
    </row>
    <row r="514" spans="1:23" x14ac:dyDescent="0.2">
      <c r="A514" s="88" t="s">
        <v>15968</v>
      </c>
      <c r="B514" s="1" t="e">
        <v>#N/A</v>
      </c>
      <c r="C514" s="1" t="e">
        <v>#N/A</v>
      </c>
      <c r="D514" s="1" t="s">
        <v>1481</v>
      </c>
      <c r="E514" s="1" t="s">
        <v>1482</v>
      </c>
      <c r="F514" s="1" t="s">
        <v>18502</v>
      </c>
      <c r="G514" s="1" t="s">
        <v>9060</v>
      </c>
      <c r="H514" t="s">
        <v>8959</v>
      </c>
      <c r="I514" s="1" t="s">
        <v>9252</v>
      </c>
      <c r="J514" s="1" t="s">
        <v>18504</v>
      </c>
      <c r="K514" s="1" t="s">
        <v>21248</v>
      </c>
      <c r="L514" s="1" t="s">
        <v>8987</v>
      </c>
      <c r="M514" s="1">
        <v>4935</v>
      </c>
      <c r="N514" s="1" t="s">
        <v>8953</v>
      </c>
      <c r="O514" s="1" t="s">
        <v>8954</v>
      </c>
      <c r="P514" s="1" t="e">
        <v>#N/A</v>
      </c>
      <c r="Q514" s="1" t="e">
        <v>#N/A</v>
      </c>
      <c r="R514" s="1">
        <f t="shared" si="144"/>
        <v>5</v>
      </c>
      <c r="S514" s="1" t="str">
        <f t="shared" si="145"/>
        <v>4-7</v>
      </c>
      <c r="T514" s="1" t="s">
        <v>18796</v>
      </c>
      <c r="U514" s="1" t="s">
        <v>7</v>
      </c>
      <c r="V514" s="1" t="s">
        <v>87</v>
      </c>
      <c r="W514" s="1"/>
    </row>
    <row r="515" spans="1:23" x14ac:dyDescent="0.2">
      <c r="A515" s="88" t="s">
        <v>15969</v>
      </c>
      <c r="B515" s="1" t="e">
        <v>#N/A</v>
      </c>
      <c r="C515" s="1" t="e">
        <v>#N/A</v>
      </c>
      <c r="D515" s="1" t="s">
        <v>1483</v>
      </c>
      <c r="E515" s="1" t="s">
        <v>1484</v>
      </c>
      <c r="F515" s="1" t="s">
        <v>9650</v>
      </c>
      <c r="G515" s="1" t="s">
        <v>8957</v>
      </c>
      <c r="H515" t="s">
        <v>8959</v>
      </c>
      <c r="I515" s="1" t="s">
        <v>8948</v>
      </c>
      <c r="J515" s="1" t="s">
        <v>8998</v>
      </c>
      <c r="K515" s="1" t="s">
        <v>9036</v>
      </c>
      <c r="L515" s="1" t="s">
        <v>8973</v>
      </c>
      <c r="M515" s="1">
        <v>376000</v>
      </c>
      <c r="N515" s="1" t="s">
        <v>8953</v>
      </c>
      <c r="O515" s="1" t="s">
        <v>8989</v>
      </c>
      <c r="P515" s="1" t="e">
        <v>#N/A</v>
      </c>
      <c r="Q515" s="1" t="e">
        <v>#N/A</v>
      </c>
      <c r="R515" s="1">
        <f t="shared" si="144"/>
        <v>6</v>
      </c>
      <c r="S515" s="1" t="str">
        <f t="shared" si="145"/>
        <v>4-7</v>
      </c>
      <c r="T515" s="1" t="s">
        <v>18797</v>
      </c>
      <c r="U515" s="1" t="s">
        <v>17</v>
      </c>
      <c r="V515" s="1" t="s">
        <v>74</v>
      </c>
      <c r="W515" s="1"/>
    </row>
    <row r="516" spans="1:23" x14ac:dyDescent="0.2">
      <c r="A516" s="88" t="s">
        <v>15970</v>
      </c>
      <c r="B516" s="1" t="e">
        <v>#N/A</v>
      </c>
      <c r="C516" s="1" t="s">
        <v>12191</v>
      </c>
      <c r="D516" s="1" t="s">
        <v>1485</v>
      </c>
      <c r="E516" s="1" t="s">
        <v>1486</v>
      </c>
      <c r="F516" s="1" t="s">
        <v>9010</v>
      </c>
      <c r="G516" s="1" t="s">
        <v>8957</v>
      </c>
      <c r="H516" t="s">
        <v>9009</v>
      </c>
      <c r="I516" s="1" t="s">
        <v>9154</v>
      </c>
      <c r="J516" s="1" t="s">
        <v>8998</v>
      </c>
      <c r="K516" s="1" t="s">
        <v>9102</v>
      </c>
      <c r="L516" s="1" t="s">
        <v>9133</v>
      </c>
      <c r="M516" s="1">
        <v>351</v>
      </c>
      <c r="N516" s="1" t="s">
        <v>8953</v>
      </c>
      <c r="O516" s="1" t="s">
        <v>8954</v>
      </c>
      <c r="P516" s="1" t="s">
        <v>8955</v>
      </c>
      <c r="Q516" s="1" t="s">
        <v>8956</v>
      </c>
      <c r="R516" s="1" t="s">
        <v>8957</v>
      </c>
      <c r="S516" s="1" t="s">
        <v>8975</v>
      </c>
      <c r="T516" s="1" t="s">
        <v>1487</v>
      </c>
      <c r="U516" s="1" t="s">
        <v>11</v>
      </c>
      <c r="V516" s="1" t="s">
        <v>876</v>
      </c>
      <c r="W516" s="1"/>
    </row>
    <row r="517" spans="1:23" x14ac:dyDescent="0.2">
      <c r="A517" s="88" t="s">
        <v>15971</v>
      </c>
      <c r="B517" s="1" t="e">
        <v>#N/A</v>
      </c>
      <c r="C517" s="1" t="s">
        <v>9371</v>
      </c>
      <c r="D517" s="1" t="s">
        <v>1488</v>
      </c>
      <c r="E517" s="1" t="s">
        <v>1489</v>
      </c>
      <c r="F517" s="1" t="s">
        <v>9010</v>
      </c>
      <c r="G517" s="1" t="s">
        <v>8957</v>
      </c>
      <c r="H517" t="s">
        <v>8959</v>
      </c>
      <c r="I517" s="1" t="s">
        <v>8984</v>
      </c>
      <c r="J517" s="1" t="s">
        <v>9121</v>
      </c>
      <c r="K517" s="1" t="s">
        <v>9374</v>
      </c>
      <c r="L517" s="1" t="s">
        <v>9292</v>
      </c>
      <c r="M517" s="1">
        <v>8000</v>
      </c>
      <c r="N517" s="1" t="s">
        <v>8953</v>
      </c>
      <c r="O517" s="1" t="s">
        <v>8989</v>
      </c>
      <c r="P517" s="1" t="s">
        <v>8955</v>
      </c>
      <c r="Q517" s="1" t="s">
        <v>8956</v>
      </c>
      <c r="R517" s="1" t="s">
        <v>8957</v>
      </c>
      <c r="S517" s="1" t="s">
        <v>9103</v>
      </c>
      <c r="T517" s="1" t="s">
        <v>1490</v>
      </c>
      <c r="U517" s="1" t="s">
        <v>17</v>
      </c>
      <c r="V517" s="1" t="s">
        <v>74</v>
      </c>
      <c r="W517" s="1"/>
    </row>
    <row r="518" spans="1:23" x14ac:dyDescent="0.2">
      <c r="A518" s="88" t="s">
        <v>15972</v>
      </c>
      <c r="B518" s="1" t="e">
        <v>#N/A</v>
      </c>
      <c r="C518" s="1" t="e">
        <v>#N/A</v>
      </c>
      <c r="D518" s="1" t="s">
        <v>1491</v>
      </c>
      <c r="E518" s="1" t="s">
        <v>1492</v>
      </c>
      <c r="F518" s="1" t="s">
        <v>18502</v>
      </c>
      <c r="G518" s="1" t="s">
        <v>8959</v>
      </c>
      <c r="H518" t="s">
        <v>8959</v>
      </c>
      <c r="I518" s="1" t="s">
        <v>9252</v>
      </c>
      <c r="J518" s="1" t="s">
        <v>18504</v>
      </c>
      <c r="K518" s="1" t="s">
        <v>21353</v>
      </c>
      <c r="L518" s="1" t="s">
        <v>20773</v>
      </c>
      <c r="M518" s="1">
        <f>2812+1640</f>
        <v>4452</v>
      </c>
      <c r="N518" s="1" t="s">
        <v>8953</v>
      </c>
      <c r="O518" s="1" t="s">
        <v>8954</v>
      </c>
      <c r="P518" s="1" t="e">
        <v>#N/A</v>
      </c>
      <c r="Q518" s="1" t="e">
        <v>#N/A</v>
      </c>
      <c r="R518" s="1">
        <f t="shared" ref="R518:R519" si="146">1+LEN(T518)-LEN(SUBSTITUTE(T518,",",))</f>
        <v>3</v>
      </c>
      <c r="S518" s="1" t="str">
        <f t="shared" ref="S518:S519" si="147">IF(R518&gt;4,IF(R518&lt;8,"4-7",IF(R518&gt;7,"&gt;7")),"&lt;4")</f>
        <v>&lt;4</v>
      </c>
      <c r="T518" s="1" t="s">
        <v>18798</v>
      </c>
      <c r="U518" s="1" t="s">
        <v>17</v>
      </c>
      <c r="V518" s="1" t="s">
        <v>74</v>
      </c>
      <c r="W518" s="1"/>
    </row>
    <row r="519" spans="1:23" x14ac:dyDescent="0.2">
      <c r="A519" s="89" t="s">
        <v>15973</v>
      </c>
      <c r="B519" s="1" t="e">
        <v>#N/A</v>
      </c>
      <c r="C519" s="1" t="e">
        <v>#N/A</v>
      </c>
      <c r="D519" s="1" t="s">
        <v>1493</v>
      </c>
      <c r="E519" s="1" t="s">
        <v>1494</v>
      </c>
      <c r="F519" s="1" t="e">
        <v>#N/A</v>
      </c>
      <c r="G519" s="1" t="e">
        <v>#N/A</v>
      </c>
      <c r="H519" t="e">
        <v>#N/A</v>
      </c>
      <c r="I519" s="1" t="e">
        <v>#N/A</v>
      </c>
      <c r="J519" s="1" t="e">
        <v>#N/A</v>
      </c>
      <c r="K519" s="1" t="e">
        <v>#N/A</v>
      </c>
      <c r="L519" s="1" t="e">
        <v>#N/A</v>
      </c>
      <c r="M519" s="1" t="e">
        <v>#N/A</v>
      </c>
      <c r="N519" s="1" t="e">
        <v>#N/A</v>
      </c>
      <c r="O519" s="1" t="e">
        <v>#N/A</v>
      </c>
      <c r="P519" s="1" t="e">
        <v>#N/A</v>
      </c>
      <c r="Q519" s="1" t="e">
        <v>#N/A</v>
      </c>
      <c r="R519" s="1">
        <f t="shared" si="146"/>
        <v>2</v>
      </c>
      <c r="S519" s="1" t="str">
        <f t="shared" si="147"/>
        <v>&lt;4</v>
      </c>
      <c r="T519" s="1" t="s">
        <v>18799</v>
      </c>
      <c r="U519" s="1" t="s">
        <v>7</v>
      </c>
      <c r="V519" s="1" t="s">
        <v>46</v>
      </c>
      <c r="W519" s="1"/>
    </row>
    <row r="520" spans="1:23" x14ac:dyDescent="0.2">
      <c r="A520" s="88" t="s">
        <v>15974</v>
      </c>
      <c r="B520" s="1" t="e">
        <v>#N/A</v>
      </c>
      <c r="C520" s="1" t="s">
        <v>12661</v>
      </c>
      <c r="D520" s="1" t="s">
        <v>1495</v>
      </c>
      <c r="E520" s="1" t="s">
        <v>1496</v>
      </c>
      <c r="F520" s="1" t="s">
        <v>9010</v>
      </c>
      <c r="G520" s="1" t="s">
        <v>9060</v>
      </c>
      <c r="H520" t="s">
        <v>9061</v>
      </c>
      <c r="I520" s="1" t="s">
        <v>9100</v>
      </c>
      <c r="J520" s="1" t="s">
        <v>8949</v>
      </c>
      <c r="K520" s="1" t="s">
        <v>9102</v>
      </c>
      <c r="L520" s="1" t="s">
        <v>9076</v>
      </c>
      <c r="M520" s="1">
        <v>15000</v>
      </c>
      <c r="N520" s="1" t="s">
        <v>8953</v>
      </c>
      <c r="O520" s="1" t="s">
        <v>8989</v>
      </c>
      <c r="P520" s="1" t="s">
        <v>8955</v>
      </c>
      <c r="Q520" s="1" t="s">
        <v>8956</v>
      </c>
      <c r="R520" s="1" t="s">
        <v>9060</v>
      </c>
      <c r="S520" s="1" t="s">
        <v>9103</v>
      </c>
      <c r="T520" s="1" t="s">
        <v>1497</v>
      </c>
      <c r="U520" s="1" t="s">
        <v>11</v>
      </c>
      <c r="V520" s="1" t="s">
        <v>161</v>
      </c>
      <c r="W520" s="1"/>
    </row>
    <row r="521" spans="1:23" x14ac:dyDescent="0.2">
      <c r="A521" s="94" t="s">
        <v>15975</v>
      </c>
      <c r="B521" s="1" t="e">
        <v>#N/A</v>
      </c>
      <c r="C521" s="1" t="e">
        <v>#N/A</v>
      </c>
      <c r="D521" s="1" t="s">
        <v>1498</v>
      </c>
      <c r="E521" s="1" t="s">
        <v>1499</v>
      </c>
      <c r="F521" s="1" t="e">
        <v>#N/A</v>
      </c>
      <c r="G521" s="1" t="e">
        <v>#N/A</v>
      </c>
      <c r="H521" t="e">
        <v>#N/A</v>
      </c>
      <c r="I521" s="1" t="e">
        <v>#N/A</v>
      </c>
      <c r="J521" s="1" t="e">
        <v>#N/A</v>
      </c>
      <c r="K521" s="1" t="e">
        <v>#N/A</v>
      </c>
      <c r="L521" s="1" t="e">
        <v>#N/A</v>
      </c>
      <c r="M521" s="1" t="e">
        <v>#N/A</v>
      </c>
      <c r="N521" s="1" t="e">
        <v>#N/A</v>
      </c>
      <c r="O521" s="1" t="e">
        <v>#N/A</v>
      </c>
      <c r="P521" s="1" t="e">
        <v>#N/A</v>
      </c>
      <c r="Q521" s="1" t="e">
        <v>#N/A</v>
      </c>
      <c r="R521" s="1">
        <f t="shared" ref="R521:R522" si="148">1+LEN(T521)-LEN(SUBSTITUTE(T521,",",))</f>
        <v>1</v>
      </c>
      <c r="S521" s="1" t="str">
        <f t="shared" ref="S521:S522" si="149">IF(R521&gt;4,IF(R521&lt;8,"4-7",IF(R521&gt;7,"&gt;7")),"&lt;4")</f>
        <v>&lt;4</v>
      </c>
      <c r="U521" s="1" t="s">
        <v>11</v>
      </c>
      <c r="V521" s="1" t="s">
        <v>1401</v>
      </c>
      <c r="W521" s="1"/>
    </row>
    <row r="522" spans="1:23" x14ac:dyDescent="0.2">
      <c r="A522" s="89" t="s">
        <v>1500</v>
      </c>
      <c r="B522" s="1" t="e">
        <v>#N/A</v>
      </c>
      <c r="C522" s="1" t="e">
        <v>#N/A</v>
      </c>
      <c r="D522" s="1" t="s">
        <v>1501</v>
      </c>
      <c r="E522" s="1" t="s">
        <v>1502</v>
      </c>
      <c r="F522" s="1" t="e">
        <v>#N/A</v>
      </c>
      <c r="G522" s="1" t="e">
        <v>#N/A</v>
      </c>
      <c r="H522" t="e">
        <v>#N/A</v>
      </c>
      <c r="I522" s="1" t="e">
        <v>#N/A</v>
      </c>
      <c r="J522" s="1" t="e">
        <v>#N/A</v>
      </c>
      <c r="K522" s="1" t="e">
        <v>#N/A</v>
      </c>
      <c r="L522" s="1" t="e">
        <v>#N/A</v>
      </c>
      <c r="M522" s="1" t="e">
        <v>#N/A</v>
      </c>
      <c r="N522" s="1" t="e">
        <v>#N/A</v>
      </c>
      <c r="O522" s="1" t="e">
        <v>#N/A</v>
      </c>
      <c r="P522" s="1" t="e">
        <v>#N/A</v>
      </c>
      <c r="Q522" s="1" t="e">
        <v>#N/A</v>
      </c>
      <c r="R522" s="1">
        <f t="shared" si="148"/>
        <v>2</v>
      </c>
      <c r="S522" s="1" t="str">
        <f t="shared" si="149"/>
        <v>&lt;4</v>
      </c>
      <c r="T522" s="1" t="s">
        <v>18800</v>
      </c>
      <c r="U522" s="1" t="s">
        <v>4</v>
      </c>
      <c r="V522" s="1" t="s">
        <v>1503</v>
      </c>
      <c r="W522" s="1"/>
    </row>
    <row r="523" spans="1:23" x14ac:dyDescent="0.2">
      <c r="A523" s="88" t="s">
        <v>15976</v>
      </c>
      <c r="B523" s="1" t="e">
        <v>#N/A</v>
      </c>
      <c r="C523" s="1" t="s">
        <v>13701</v>
      </c>
      <c r="D523" s="1" t="s">
        <v>1504</v>
      </c>
      <c r="E523" s="1" t="s">
        <v>1505</v>
      </c>
      <c r="F523" s="1" t="s">
        <v>10873</v>
      </c>
      <c r="G523" s="1" t="s">
        <v>8957</v>
      </c>
      <c r="H523" t="s">
        <v>9009</v>
      </c>
      <c r="I523" s="1" t="s">
        <v>8948</v>
      </c>
      <c r="J523" s="1" t="s">
        <v>8949</v>
      </c>
      <c r="K523" s="1" t="s">
        <v>9036</v>
      </c>
      <c r="L523" s="1" t="s">
        <v>9133</v>
      </c>
      <c r="M523" s="1">
        <v>1601</v>
      </c>
      <c r="N523" s="1" t="s">
        <v>8953</v>
      </c>
      <c r="O523" s="1" t="s">
        <v>8954</v>
      </c>
      <c r="P523" s="1" t="s">
        <v>8955</v>
      </c>
      <c r="Q523" s="1" t="s">
        <v>8956</v>
      </c>
      <c r="R523" s="1" t="s">
        <v>8957</v>
      </c>
      <c r="S523" s="1" t="s">
        <v>8958</v>
      </c>
      <c r="T523" s="1" t="s">
        <v>1506</v>
      </c>
      <c r="U523" s="1" t="s">
        <v>4</v>
      </c>
      <c r="V523" s="1" t="s">
        <v>392</v>
      </c>
      <c r="W523" s="1"/>
    </row>
    <row r="524" spans="1:23" x14ac:dyDescent="0.2">
      <c r="A524" s="88" t="s">
        <v>15977</v>
      </c>
      <c r="B524" s="1" t="e">
        <v>#N/A</v>
      </c>
      <c r="C524" s="1" t="s">
        <v>11934</v>
      </c>
      <c r="D524" s="1" t="s">
        <v>1507</v>
      </c>
      <c r="E524" s="1" t="s">
        <v>1508</v>
      </c>
      <c r="F524" s="1" t="s">
        <v>9010</v>
      </c>
      <c r="G524" s="1" t="s">
        <v>8959</v>
      </c>
      <c r="H524" t="s">
        <v>9183</v>
      </c>
      <c r="I524" s="1" t="s">
        <v>9154</v>
      </c>
      <c r="J524" s="1" t="s">
        <v>8998</v>
      </c>
      <c r="K524" s="1" t="s">
        <v>9436</v>
      </c>
      <c r="L524" s="1" t="s">
        <v>12146</v>
      </c>
      <c r="M524" s="1">
        <v>250</v>
      </c>
      <c r="N524" s="1" t="s">
        <v>8953</v>
      </c>
      <c r="O524" s="1" t="s">
        <v>8954</v>
      </c>
      <c r="P524" s="1" t="s">
        <v>8955</v>
      </c>
      <c r="Q524" s="1" t="s">
        <v>8956</v>
      </c>
      <c r="R524" s="1" t="s">
        <v>8959</v>
      </c>
      <c r="S524" s="1" t="s">
        <v>8975</v>
      </c>
      <c r="T524" s="1" t="s">
        <v>1509</v>
      </c>
      <c r="U524" s="1" t="s">
        <v>11</v>
      </c>
      <c r="V524" s="1" t="s">
        <v>61</v>
      </c>
      <c r="W524" s="1"/>
    </row>
    <row r="525" spans="1:23" x14ac:dyDescent="0.2">
      <c r="A525" s="88" t="s">
        <v>15978</v>
      </c>
      <c r="B525" s="1" t="e">
        <v>#N/A</v>
      </c>
      <c r="C525" s="1" t="s">
        <v>11553</v>
      </c>
      <c r="D525" s="1" t="s">
        <v>1510</v>
      </c>
      <c r="E525" s="1" t="s">
        <v>1511</v>
      </c>
      <c r="F525" s="1" t="s">
        <v>10032</v>
      </c>
      <c r="G525" s="1" t="s">
        <v>9060</v>
      </c>
      <c r="H525" t="s">
        <v>9183</v>
      </c>
      <c r="I525" s="1" t="s">
        <v>9100</v>
      </c>
      <c r="J525" s="1" t="s">
        <v>8949</v>
      </c>
      <c r="K525" s="1" t="s">
        <v>9036</v>
      </c>
      <c r="L525" s="1" t="s">
        <v>8973</v>
      </c>
      <c r="M525" s="1">
        <v>53</v>
      </c>
      <c r="N525" s="1" t="s">
        <v>8953</v>
      </c>
      <c r="O525" s="1" t="s">
        <v>8954</v>
      </c>
      <c r="P525" s="1" t="s">
        <v>8955</v>
      </c>
      <c r="Q525" s="1" t="s">
        <v>8956</v>
      </c>
      <c r="R525" s="1" t="s">
        <v>9060</v>
      </c>
      <c r="S525" s="1" t="s">
        <v>8975</v>
      </c>
      <c r="T525" s="1" t="s">
        <v>1512</v>
      </c>
      <c r="U525" s="1" t="s">
        <v>11</v>
      </c>
      <c r="V525" s="1" t="s">
        <v>24</v>
      </c>
      <c r="W525" s="1"/>
    </row>
    <row r="526" spans="1:23" x14ac:dyDescent="0.2">
      <c r="A526" s="89" t="s">
        <v>1513</v>
      </c>
      <c r="B526" s="1" t="e">
        <v>#N/A</v>
      </c>
      <c r="C526" s="1" t="e">
        <v>#N/A</v>
      </c>
      <c r="D526" s="1" t="s">
        <v>1514</v>
      </c>
      <c r="E526" s="1" t="s">
        <v>1515</v>
      </c>
      <c r="F526" s="1" t="e">
        <v>#N/A</v>
      </c>
      <c r="G526" s="1" t="e">
        <v>#N/A</v>
      </c>
      <c r="H526" t="e">
        <v>#N/A</v>
      </c>
      <c r="I526" s="1" t="e">
        <v>#N/A</v>
      </c>
      <c r="J526" s="1" t="e">
        <v>#N/A</v>
      </c>
      <c r="K526" s="1" t="e">
        <v>#N/A</v>
      </c>
      <c r="L526" s="1" t="e">
        <v>#N/A</v>
      </c>
      <c r="M526" s="1" t="e">
        <v>#N/A</v>
      </c>
      <c r="N526" s="1" t="e">
        <v>#N/A</v>
      </c>
      <c r="O526" s="1" t="e">
        <v>#N/A</v>
      </c>
      <c r="P526" s="1" t="e">
        <v>#N/A</v>
      </c>
      <c r="Q526" s="1" t="e">
        <v>#N/A</v>
      </c>
      <c r="R526" s="1">
        <f t="shared" ref="R526:R530" si="150">1+LEN(T526)-LEN(SUBSTITUTE(T526,",",))</f>
        <v>2</v>
      </c>
      <c r="S526" s="1" t="str">
        <f t="shared" ref="S526:S530" si="151">IF(R526&gt;4,IF(R526&lt;8,"4-7",IF(R526&gt;7,"&gt;7")),"&lt;4")</f>
        <v>&lt;4</v>
      </c>
      <c r="T526" s="1" t="s">
        <v>18801</v>
      </c>
      <c r="U526" s="1" t="s">
        <v>17</v>
      </c>
      <c r="V526" s="1" t="s">
        <v>382</v>
      </c>
      <c r="W526" s="1"/>
    </row>
    <row r="527" spans="1:23" x14ac:dyDescent="0.2">
      <c r="A527" s="89" t="s">
        <v>1516</v>
      </c>
      <c r="B527" s="1" t="e">
        <v>#N/A</v>
      </c>
      <c r="C527" s="1" t="e">
        <v>#N/A</v>
      </c>
      <c r="D527" s="1" t="s">
        <v>1517</v>
      </c>
      <c r="E527" s="1" t="s">
        <v>1518</v>
      </c>
      <c r="F527" s="1" t="e">
        <v>#N/A</v>
      </c>
      <c r="G527" s="1" t="e">
        <v>#N/A</v>
      </c>
      <c r="H527" t="e">
        <v>#N/A</v>
      </c>
      <c r="I527" s="1" t="e">
        <v>#N/A</v>
      </c>
      <c r="J527" s="1" t="e">
        <v>#N/A</v>
      </c>
      <c r="K527" s="1" t="e">
        <v>#N/A</v>
      </c>
      <c r="L527" s="1" t="e">
        <v>#N/A</v>
      </c>
      <c r="M527" s="1" t="e">
        <v>#N/A</v>
      </c>
      <c r="N527" s="1" t="e">
        <v>#N/A</v>
      </c>
      <c r="O527" s="1" t="e">
        <v>#N/A</v>
      </c>
      <c r="P527" s="1" t="e">
        <v>#N/A</v>
      </c>
      <c r="Q527" s="1" t="e">
        <v>#N/A</v>
      </c>
      <c r="R527" s="1">
        <f t="shared" si="150"/>
        <v>2</v>
      </c>
      <c r="S527" s="1" t="str">
        <f t="shared" si="151"/>
        <v>&lt;4</v>
      </c>
      <c r="T527" s="1" t="s">
        <v>18801</v>
      </c>
      <c r="U527" s="1" t="s">
        <v>7</v>
      </c>
      <c r="V527" s="1" t="s">
        <v>1519</v>
      </c>
      <c r="W527" s="1"/>
    </row>
    <row r="528" spans="1:23" x14ac:dyDescent="0.2">
      <c r="A528" s="88" t="s">
        <v>15979</v>
      </c>
      <c r="B528" s="1" t="e">
        <v>#N/A</v>
      </c>
      <c r="C528" s="1" t="e">
        <v>#N/A</v>
      </c>
      <c r="D528" s="1" t="s">
        <v>1520</v>
      </c>
      <c r="E528" s="1" t="s">
        <v>1521</v>
      </c>
      <c r="F528" s="1" t="s">
        <v>10032</v>
      </c>
      <c r="G528" s="1" t="s">
        <v>9060</v>
      </c>
      <c r="H528" t="s">
        <v>8959</v>
      </c>
      <c r="I528" s="1" t="s">
        <v>9075</v>
      </c>
      <c r="J528" s="1" t="s">
        <v>8998</v>
      </c>
      <c r="K528" s="1" t="s">
        <v>20774</v>
      </c>
      <c r="L528" s="1" t="s">
        <v>8973</v>
      </c>
      <c r="M528" s="1">
        <v>1344</v>
      </c>
      <c r="N528" s="1" t="s">
        <v>8953</v>
      </c>
      <c r="O528" s="1" t="s">
        <v>8989</v>
      </c>
      <c r="P528" s="1" t="e">
        <v>#N/A</v>
      </c>
      <c r="Q528" s="1" t="e">
        <v>#N/A</v>
      </c>
      <c r="R528" s="1">
        <f t="shared" si="150"/>
        <v>4</v>
      </c>
      <c r="S528" s="1" t="str">
        <f t="shared" si="151"/>
        <v>&lt;4</v>
      </c>
      <c r="T528" s="1" t="s">
        <v>18802</v>
      </c>
      <c r="U528" s="1" t="s">
        <v>7</v>
      </c>
      <c r="V528" s="1" t="s">
        <v>74</v>
      </c>
      <c r="W528" s="1"/>
    </row>
    <row r="529" spans="1:23" x14ac:dyDescent="0.2">
      <c r="A529" s="88" t="s">
        <v>15980</v>
      </c>
      <c r="B529" s="1" t="e">
        <v>#N/A</v>
      </c>
      <c r="C529" s="1" t="e">
        <v>#N/A</v>
      </c>
      <c r="D529" s="1" t="s">
        <v>1522</v>
      </c>
      <c r="E529" s="1" t="s">
        <v>1523</v>
      </c>
      <c r="F529" s="1" t="s">
        <v>9650</v>
      </c>
      <c r="G529" s="1" t="s">
        <v>8959</v>
      </c>
      <c r="H529" t="s">
        <v>9009</v>
      </c>
      <c r="I529" s="1" t="s">
        <v>9252</v>
      </c>
      <c r="J529" s="1" t="s">
        <v>8971</v>
      </c>
      <c r="K529" s="1" t="s">
        <v>10525</v>
      </c>
      <c r="L529" s="1" t="s">
        <v>9133</v>
      </c>
      <c r="M529" s="1">
        <v>118</v>
      </c>
      <c r="N529" s="1" t="s">
        <v>8953</v>
      </c>
      <c r="O529" s="1" t="s">
        <v>8954</v>
      </c>
      <c r="P529" s="1" t="e">
        <v>#N/A</v>
      </c>
      <c r="Q529" s="1" t="e">
        <v>#N/A</v>
      </c>
      <c r="R529" s="1">
        <f t="shared" si="150"/>
        <v>8</v>
      </c>
      <c r="S529" s="1" t="str">
        <f t="shared" si="151"/>
        <v>&gt;7</v>
      </c>
      <c r="T529" s="1" t="s">
        <v>20567</v>
      </c>
      <c r="U529" s="1" t="s">
        <v>17</v>
      </c>
      <c r="V529" s="1" t="s">
        <v>1524</v>
      </c>
      <c r="W529" s="1"/>
    </row>
    <row r="530" spans="1:23" x14ac:dyDescent="0.2">
      <c r="A530" s="88" t="s">
        <v>15981</v>
      </c>
      <c r="B530" s="1" t="e">
        <v>#N/A</v>
      </c>
      <c r="C530" s="1" t="e">
        <v>#N/A</v>
      </c>
      <c r="D530" s="1" t="s">
        <v>1525</v>
      </c>
      <c r="E530" s="1" t="s">
        <v>1526</v>
      </c>
      <c r="F530" s="1" t="s">
        <v>18502</v>
      </c>
      <c r="G530" s="1" t="s">
        <v>8959</v>
      </c>
      <c r="H530" t="s">
        <v>8959</v>
      </c>
      <c r="I530" s="1" t="s">
        <v>8984</v>
      </c>
      <c r="J530" s="1" t="s">
        <v>8949</v>
      </c>
      <c r="K530" s="1" t="s">
        <v>9036</v>
      </c>
      <c r="L530" s="1" t="s">
        <v>8987</v>
      </c>
      <c r="M530" s="1">
        <v>171</v>
      </c>
      <c r="N530" s="1" t="s">
        <v>8953</v>
      </c>
      <c r="O530" s="1" t="s">
        <v>8989</v>
      </c>
      <c r="P530" s="1" t="e">
        <v>#N/A</v>
      </c>
      <c r="Q530" s="1" t="e">
        <v>#N/A</v>
      </c>
      <c r="R530" s="1">
        <f t="shared" si="150"/>
        <v>6</v>
      </c>
      <c r="S530" s="1" t="str">
        <f t="shared" si="151"/>
        <v>4-7</v>
      </c>
      <c r="T530" s="1" t="s">
        <v>20568</v>
      </c>
      <c r="U530" s="1" t="s">
        <v>17</v>
      </c>
      <c r="V530" s="1" t="s">
        <v>1527</v>
      </c>
      <c r="W530" s="1"/>
    </row>
    <row r="531" spans="1:23" x14ac:dyDescent="0.2">
      <c r="A531" s="88" t="s">
        <v>15982</v>
      </c>
      <c r="B531" s="1" t="e">
        <v>#N/A</v>
      </c>
      <c r="C531" s="1" t="s">
        <v>10338</v>
      </c>
      <c r="D531" s="1" t="s">
        <v>1528</v>
      </c>
      <c r="E531" s="1" t="s">
        <v>1529</v>
      </c>
      <c r="F531" s="1" t="s">
        <v>9010</v>
      </c>
      <c r="G531" s="1" t="s">
        <v>8959</v>
      </c>
      <c r="H531" t="s">
        <v>9061</v>
      </c>
      <c r="I531" s="1" t="s">
        <v>9075</v>
      </c>
      <c r="J531" s="1" t="s">
        <v>8998</v>
      </c>
      <c r="K531" s="1" t="s">
        <v>9112</v>
      </c>
      <c r="L531" s="1" t="s">
        <v>8987</v>
      </c>
      <c r="M531" s="1">
        <v>179</v>
      </c>
      <c r="N531" s="1" t="s">
        <v>8953</v>
      </c>
      <c r="O531" s="1" t="s">
        <v>8989</v>
      </c>
      <c r="P531" s="1" t="s">
        <v>8955</v>
      </c>
      <c r="Q531" s="1" t="s">
        <v>8956</v>
      </c>
      <c r="R531" s="1" t="s">
        <v>8959</v>
      </c>
      <c r="S531" s="1" t="s">
        <v>8975</v>
      </c>
      <c r="T531" s="1" t="s">
        <v>1530</v>
      </c>
      <c r="U531" s="1" t="s">
        <v>17</v>
      </c>
      <c r="V531" s="1" t="s">
        <v>891</v>
      </c>
      <c r="W531" s="1"/>
    </row>
    <row r="532" spans="1:23" x14ac:dyDescent="0.2">
      <c r="A532" s="88" t="s">
        <v>15983</v>
      </c>
      <c r="B532" s="1" t="e">
        <v>#N/A</v>
      </c>
      <c r="C532" s="1" t="e">
        <v>#N/A</v>
      </c>
      <c r="D532" s="1" t="s">
        <v>1531</v>
      </c>
      <c r="E532" s="1" t="s">
        <v>1532</v>
      </c>
      <c r="F532" s="1" t="s">
        <v>10873</v>
      </c>
      <c r="G532" s="1" t="s">
        <v>8959</v>
      </c>
      <c r="H532" t="s">
        <v>9009</v>
      </c>
      <c r="I532" s="1" t="s">
        <v>9092</v>
      </c>
      <c r="J532" s="1" t="s">
        <v>8971</v>
      </c>
      <c r="K532" s="1" t="s">
        <v>18491</v>
      </c>
      <c r="L532" s="1" t="s">
        <v>9076</v>
      </c>
      <c r="M532" s="1">
        <v>100</v>
      </c>
      <c r="N532" s="1" t="s">
        <v>8953</v>
      </c>
      <c r="O532" s="1" t="s">
        <v>8989</v>
      </c>
      <c r="P532" s="1" t="e">
        <v>#N/A</v>
      </c>
      <c r="Q532" s="1" t="e">
        <v>#N/A</v>
      </c>
      <c r="R532" s="1">
        <f t="shared" ref="R532:R533" si="152">1+LEN(T532)-LEN(SUBSTITUTE(T532,",",))</f>
        <v>3</v>
      </c>
      <c r="S532" s="1" t="str">
        <f t="shared" ref="S532:S533" si="153">IF(R532&gt;4,IF(R532&lt;8,"4-7",IF(R532&gt;7,"&gt;7")),"&lt;4")</f>
        <v>&lt;4</v>
      </c>
      <c r="T532" s="1" t="s">
        <v>18803</v>
      </c>
      <c r="U532" s="1" t="s">
        <v>7</v>
      </c>
      <c r="V532" s="1" t="s">
        <v>184</v>
      </c>
      <c r="W532" s="1"/>
    </row>
    <row r="533" spans="1:23" x14ac:dyDescent="0.2">
      <c r="A533" s="88" t="s">
        <v>15984</v>
      </c>
      <c r="B533" s="1" t="e">
        <v>#N/A</v>
      </c>
      <c r="C533" s="1" t="e">
        <v>#N/A</v>
      </c>
      <c r="D533" s="1" t="s">
        <v>1533</v>
      </c>
      <c r="E533" s="1" t="s">
        <v>1534</v>
      </c>
      <c r="F533" s="1" t="s">
        <v>18502</v>
      </c>
      <c r="G533" s="1" t="s">
        <v>8957</v>
      </c>
      <c r="H533" t="s">
        <v>9061</v>
      </c>
      <c r="I533" s="1" t="s">
        <v>9035</v>
      </c>
      <c r="J533" s="1" t="s">
        <v>9308</v>
      </c>
      <c r="K533" s="1" t="s">
        <v>20736</v>
      </c>
      <c r="L533" s="1" t="s">
        <v>8987</v>
      </c>
      <c r="M533" s="1">
        <f>1910+3757</f>
        <v>5667</v>
      </c>
      <c r="N533" s="1" t="s">
        <v>8953</v>
      </c>
      <c r="O533" s="1" t="s">
        <v>8954</v>
      </c>
      <c r="P533" s="1" t="e">
        <v>#N/A</v>
      </c>
      <c r="Q533" s="1" t="e">
        <v>#N/A</v>
      </c>
      <c r="R533" s="1">
        <f t="shared" si="152"/>
        <v>5</v>
      </c>
      <c r="S533" s="1" t="str">
        <f t="shared" si="153"/>
        <v>4-7</v>
      </c>
      <c r="T533" s="1" t="s">
        <v>18804</v>
      </c>
      <c r="U533" s="1" t="s">
        <v>7</v>
      </c>
      <c r="V533" s="1" t="s">
        <v>286</v>
      </c>
      <c r="W533" s="1"/>
    </row>
    <row r="534" spans="1:23" x14ac:dyDescent="0.2">
      <c r="A534" s="88" t="s">
        <v>15985</v>
      </c>
      <c r="B534" s="1" t="e">
        <v>#N/A</v>
      </c>
      <c r="C534" s="1" t="s">
        <v>13937</v>
      </c>
      <c r="D534" s="1" t="s">
        <v>1535</v>
      </c>
      <c r="E534" s="1" t="s">
        <v>1536</v>
      </c>
      <c r="F534" s="1" t="s">
        <v>9327</v>
      </c>
      <c r="G534" s="1" t="s">
        <v>8957</v>
      </c>
      <c r="H534" t="s">
        <v>8959</v>
      </c>
      <c r="I534" s="1" t="s">
        <v>9252</v>
      </c>
      <c r="J534" s="1" t="s">
        <v>8985</v>
      </c>
      <c r="K534" s="1" t="s">
        <v>9036</v>
      </c>
      <c r="L534" s="1" t="s">
        <v>8951</v>
      </c>
      <c r="M534" s="1">
        <v>600</v>
      </c>
      <c r="N534" s="1" t="s">
        <v>8953</v>
      </c>
      <c r="O534" s="1" t="s">
        <v>8954</v>
      </c>
      <c r="P534" s="1" t="s">
        <v>8955</v>
      </c>
      <c r="Q534" s="1" t="s">
        <v>8990</v>
      </c>
      <c r="R534" s="1" t="s">
        <v>8957</v>
      </c>
      <c r="S534" s="1" t="s">
        <v>8975</v>
      </c>
      <c r="T534" s="1" t="s">
        <v>1537</v>
      </c>
      <c r="U534" s="1" t="s">
        <v>4</v>
      </c>
      <c r="V534" s="1" t="s">
        <v>24</v>
      </c>
      <c r="W534" s="1"/>
    </row>
    <row r="535" spans="1:23" x14ac:dyDescent="0.2">
      <c r="A535" s="88" t="s">
        <v>15986</v>
      </c>
      <c r="B535" s="1" t="e">
        <v>#N/A</v>
      </c>
      <c r="C535" s="1" t="s">
        <v>14607</v>
      </c>
      <c r="D535" s="1" t="s">
        <v>1538</v>
      </c>
      <c r="E535" s="1" t="s">
        <v>1539</v>
      </c>
      <c r="F535" s="1" t="s">
        <v>9327</v>
      </c>
      <c r="G535" s="1" t="s">
        <v>8957</v>
      </c>
      <c r="H535" t="s">
        <v>8959</v>
      </c>
      <c r="I535" s="1" t="s">
        <v>9173</v>
      </c>
      <c r="J535" s="1" t="s">
        <v>9269</v>
      </c>
      <c r="K535" s="1" t="s">
        <v>21461</v>
      </c>
      <c r="L535" s="1" t="s">
        <v>8951</v>
      </c>
      <c r="M535" s="1">
        <v>308</v>
      </c>
      <c r="N535" s="1" t="s">
        <v>8953</v>
      </c>
      <c r="O535" s="1" t="s">
        <v>8954</v>
      </c>
      <c r="P535" s="1" t="s">
        <v>8955</v>
      </c>
      <c r="Q535" s="1" t="s">
        <v>8956</v>
      </c>
      <c r="R535" s="1" t="s">
        <v>8957</v>
      </c>
      <c r="S535" s="1" t="s">
        <v>8958</v>
      </c>
      <c r="T535" s="1" t="s">
        <v>1540</v>
      </c>
      <c r="U535" s="1" t="s">
        <v>920</v>
      </c>
      <c r="V535" s="1" t="s">
        <v>921</v>
      </c>
      <c r="W535" s="1"/>
    </row>
    <row r="536" spans="1:23" x14ac:dyDescent="0.2">
      <c r="A536" s="88" t="s">
        <v>15987</v>
      </c>
      <c r="B536" s="1" t="e">
        <v>#N/A</v>
      </c>
      <c r="C536" s="1" t="e">
        <v>#N/A</v>
      </c>
      <c r="D536" s="1" t="s">
        <v>1541</v>
      </c>
      <c r="E536" s="1" t="s">
        <v>1542</v>
      </c>
      <c r="F536" s="1" t="s">
        <v>20743</v>
      </c>
      <c r="G536" s="1" t="s">
        <v>8959</v>
      </c>
      <c r="H536" t="s">
        <v>8959</v>
      </c>
      <c r="I536" s="1" t="s">
        <v>8984</v>
      </c>
      <c r="J536" s="1" t="s">
        <v>8959</v>
      </c>
      <c r="K536" s="1" t="s">
        <v>20775</v>
      </c>
      <c r="L536" s="1" t="s">
        <v>8951</v>
      </c>
      <c r="M536" s="1">
        <v>110</v>
      </c>
      <c r="N536" s="1" t="s">
        <v>8953</v>
      </c>
      <c r="O536" s="1" t="s">
        <v>8989</v>
      </c>
      <c r="P536" s="1" t="e">
        <v>#N/A</v>
      </c>
      <c r="Q536" s="1" t="e">
        <v>#N/A</v>
      </c>
      <c r="R536" s="1">
        <f t="shared" ref="R536:R537" si="154">1+LEN(T536)-LEN(SUBSTITUTE(T536,",",))</f>
        <v>5</v>
      </c>
      <c r="S536" s="1" t="str">
        <f t="shared" ref="S536:S537" si="155">IF(R536&gt;4,IF(R536&lt;8,"4-7",IF(R536&gt;7,"&gt;7")),"&lt;4")</f>
        <v>4-7</v>
      </c>
      <c r="T536" s="1" t="s">
        <v>20569</v>
      </c>
      <c r="U536" s="1" t="s">
        <v>7</v>
      </c>
      <c r="V536" s="1" t="s">
        <v>210</v>
      </c>
      <c r="W536" s="1"/>
    </row>
    <row r="537" spans="1:23" x14ac:dyDescent="0.2">
      <c r="A537" s="88" t="s">
        <v>15988</v>
      </c>
      <c r="B537" s="1" t="e">
        <v>#N/A</v>
      </c>
      <c r="C537" s="1" t="e">
        <v>#N/A</v>
      </c>
      <c r="D537" s="1" t="s">
        <v>1543</v>
      </c>
      <c r="E537" s="1" t="s">
        <v>1544</v>
      </c>
      <c r="F537" s="1" t="s">
        <v>18502</v>
      </c>
      <c r="G537" s="1" t="s">
        <v>8957</v>
      </c>
      <c r="H537" t="s">
        <v>8959</v>
      </c>
      <c r="I537" s="1" t="s">
        <v>9035</v>
      </c>
      <c r="J537" s="1" t="s">
        <v>9725</v>
      </c>
      <c r="K537" s="1" t="s">
        <v>20776</v>
      </c>
      <c r="L537" s="1" t="s">
        <v>9464</v>
      </c>
      <c r="M537" s="1">
        <v>40</v>
      </c>
      <c r="N537" s="1" t="s">
        <v>8953</v>
      </c>
      <c r="O537" s="1" t="s">
        <v>8989</v>
      </c>
      <c r="P537" s="1" t="e">
        <v>#N/A</v>
      </c>
      <c r="Q537" s="1" t="e">
        <v>#N/A</v>
      </c>
      <c r="R537" s="1">
        <f t="shared" si="154"/>
        <v>14</v>
      </c>
      <c r="S537" s="1" t="str">
        <f t="shared" si="155"/>
        <v>&gt;7</v>
      </c>
      <c r="T537" s="1" t="s">
        <v>18805</v>
      </c>
      <c r="U537" s="1" t="s">
        <v>17</v>
      </c>
      <c r="V537" s="1" t="s">
        <v>382</v>
      </c>
      <c r="W537" s="1"/>
    </row>
    <row r="538" spans="1:23" x14ac:dyDescent="0.2">
      <c r="A538" s="88" t="s">
        <v>15989</v>
      </c>
      <c r="B538" s="1" t="e">
        <v>#N/A</v>
      </c>
      <c r="C538" s="1" t="s">
        <v>13538</v>
      </c>
      <c r="D538" s="1" t="s">
        <v>1545</v>
      </c>
      <c r="E538" s="1" t="s">
        <v>1546</v>
      </c>
      <c r="F538" s="1" t="s">
        <v>9310</v>
      </c>
      <c r="G538" s="1" t="s">
        <v>8957</v>
      </c>
      <c r="H538" t="s">
        <v>8959</v>
      </c>
      <c r="I538" s="1" t="s">
        <v>8948</v>
      </c>
      <c r="J538" s="1" t="s">
        <v>9725</v>
      </c>
      <c r="K538" s="1" t="s">
        <v>13541</v>
      </c>
      <c r="L538" s="1" t="s">
        <v>9076</v>
      </c>
      <c r="M538" s="1">
        <v>20000</v>
      </c>
      <c r="N538" s="1" t="s">
        <v>8953</v>
      </c>
      <c r="O538" s="1" t="s">
        <v>8989</v>
      </c>
      <c r="P538" s="1" t="s">
        <v>8955</v>
      </c>
      <c r="Q538" s="1" t="s">
        <v>8956</v>
      </c>
      <c r="R538" s="1" t="s">
        <v>8957</v>
      </c>
      <c r="S538" s="1" t="s">
        <v>8958</v>
      </c>
      <c r="T538" s="1" t="s">
        <v>1547</v>
      </c>
      <c r="U538" s="1" t="s">
        <v>4</v>
      </c>
      <c r="V538" s="1" t="s">
        <v>110</v>
      </c>
      <c r="W538" s="1"/>
    </row>
    <row r="539" spans="1:23" x14ac:dyDescent="0.2">
      <c r="A539" s="88" t="s">
        <v>15990</v>
      </c>
      <c r="B539" s="1" t="e">
        <v>#N/A</v>
      </c>
      <c r="C539" s="1" t="e">
        <v>#N/A</v>
      </c>
      <c r="D539" s="1" t="s">
        <v>1548</v>
      </c>
      <c r="E539" s="1" t="s">
        <v>1549</v>
      </c>
      <c r="F539" s="1" t="s">
        <v>9310</v>
      </c>
      <c r="G539" s="1" t="s">
        <v>8957</v>
      </c>
      <c r="H539" t="s">
        <v>8959</v>
      </c>
      <c r="I539" s="1" t="s">
        <v>9100</v>
      </c>
      <c r="J539" s="1" t="s">
        <v>8949</v>
      </c>
      <c r="K539" s="1" t="s">
        <v>20723</v>
      </c>
      <c r="L539" s="1" t="s">
        <v>8987</v>
      </c>
      <c r="M539" s="1">
        <v>811</v>
      </c>
      <c r="N539" s="1" t="s">
        <v>9059</v>
      </c>
      <c r="O539" s="1" t="s">
        <v>8989</v>
      </c>
      <c r="P539" s="1" t="e">
        <v>#N/A</v>
      </c>
      <c r="Q539" s="1" t="e">
        <v>#N/A</v>
      </c>
      <c r="R539" s="1">
        <f t="shared" ref="R539:R544" si="156">1+LEN(T539)-LEN(SUBSTITUTE(T539,",",))</f>
        <v>2</v>
      </c>
      <c r="S539" s="1" t="str">
        <f t="shared" ref="S539:S544" si="157">IF(R539&gt;4,IF(R539&lt;8,"4-7",IF(R539&gt;7,"&gt;7")),"&lt;4")</f>
        <v>&lt;4</v>
      </c>
      <c r="T539" s="1" t="s">
        <v>18806</v>
      </c>
      <c r="U539" s="1" t="s">
        <v>17</v>
      </c>
      <c r="V539" s="1" t="s">
        <v>27</v>
      </c>
      <c r="W539" s="1"/>
    </row>
    <row r="540" spans="1:23" x14ac:dyDescent="0.2">
      <c r="A540" s="88" t="s">
        <v>1550</v>
      </c>
      <c r="B540" s="1" t="e">
        <v>#N/A</v>
      </c>
      <c r="C540" s="1" t="e">
        <v>#N/A</v>
      </c>
      <c r="D540" s="1" t="s">
        <v>1551</v>
      </c>
      <c r="E540" s="1" t="s">
        <v>1552</v>
      </c>
      <c r="F540" s="1" t="s">
        <v>9310</v>
      </c>
      <c r="G540" s="1" t="s">
        <v>8957</v>
      </c>
      <c r="H540" t="s">
        <v>8959</v>
      </c>
      <c r="I540" s="1" t="s">
        <v>9100</v>
      </c>
      <c r="J540" s="1" t="s">
        <v>8949</v>
      </c>
      <c r="K540" s="1" t="s">
        <v>9212</v>
      </c>
      <c r="L540" s="1" t="s">
        <v>8973</v>
      </c>
      <c r="M540" s="1">
        <v>274</v>
      </c>
      <c r="N540" s="1" t="s">
        <v>9059</v>
      </c>
      <c r="O540" s="1" t="s">
        <v>8989</v>
      </c>
      <c r="P540" s="1" t="e">
        <v>#N/A</v>
      </c>
      <c r="Q540" s="1" t="e">
        <v>#N/A</v>
      </c>
      <c r="R540" s="1">
        <f t="shared" si="156"/>
        <v>5</v>
      </c>
      <c r="S540" s="1" t="str">
        <f t="shared" si="157"/>
        <v>4-7</v>
      </c>
      <c r="T540" s="1" t="s">
        <v>18807</v>
      </c>
      <c r="U540" s="1" t="s">
        <v>11</v>
      </c>
      <c r="V540" s="1" t="s">
        <v>35</v>
      </c>
      <c r="W540" s="1"/>
    </row>
    <row r="541" spans="1:23" x14ac:dyDescent="0.2">
      <c r="A541" s="88" t="s">
        <v>15991</v>
      </c>
      <c r="B541" s="1" t="e">
        <v>#N/A</v>
      </c>
      <c r="C541" s="1" t="e">
        <v>#N/A</v>
      </c>
      <c r="D541" s="1" t="s">
        <v>1553</v>
      </c>
      <c r="E541" s="1" t="s">
        <v>1554</v>
      </c>
      <c r="F541" s="1" t="s">
        <v>9310</v>
      </c>
      <c r="G541" s="1" t="s">
        <v>8959</v>
      </c>
      <c r="H541" t="s">
        <v>9061</v>
      </c>
      <c r="I541" s="1" t="s">
        <v>9035</v>
      </c>
      <c r="J541" s="1" t="s">
        <v>8998</v>
      </c>
      <c r="K541" s="1" t="s">
        <v>18497</v>
      </c>
      <c r="L541" s="1" t="s">
        <v>8951</v>
      </c>
      <c r="M541" s="1">
        <v>39014</v>
      </c>
      <c r="N541" s="1" t="s">
        <v>8953</v>
      </c>
      <c r="O541" s="1" t="s">
        <v>8954</v>
      </c>
      <c r="P541" s="1" t="e">
        <v>#N/A</v>
      </c>
      <c r="Q541" s="1" t="e">
        <v>#N/A</v>
      </c>
      <c r="R541" s="1">
        <f t="shared" si="156"/>
        <v>9</v>
      </c>
      <c r="S541" s="1" t="str">
        <f t="shared" si="157"/>
        <v>&gt;7</v>
      </c>
      <c r="T541" s="1" t="s">
        <v>18808</v>
      </c>
      <c r="U541" s="1" t="s">
        <v>7</v>
      </c>
      <c r="V541" s="1" t="s">
        <v>24</v>
      </c>
      <c r="W541" s="1"/>
    </row>
    <row r="542" spans="1:23" x14ac:dyDescent="0.2">
      <c r="A542" s="89" t="s">
        <v>1555</v>
      </c>
      <c r="B542" s="1" t="e">
        <v>#N/A</v>
      </c>
      <c r="C542" s="1" t="e">
        <v>#N/A</v>
      </c>
      <c r="D542" s="5" t="s">
        <v>1556</v>
      </c>
      <c r="E542" s="1" t="s">
        <v>1557</v>
      </c>
      <c r="F542" s="1" t="e">
        <v>#N/A</v>
      </c>
      <c r="G542" s="1" t="e">
        <v>#N/A</v>
      </c>
      <c r="H542" t="e">
        <v>#N/A</v>
      </c>
      <c r="I542" s="1" t="e">
        <v>#N/A</v>
      </c>
      <c r="J542" s="1" t="e">
        <v>#N/A</v>
      </c>
      <c r="K542" s="1" t="e">
        <v>#N/A</v>
      </c>
      <c r="L542" s="1" t="e">
        <v>#N/A</v>
      </c>
      <c r="M542" s="1" t="e">
        <v>#N/A</v>
      </c>
      <c r="N542" s="1" t="e">
        <v>#N/A</v>
      </c>
      <c r="O542" s="1" t="e">
        <v>#N/A</v>
      </c>
      <c r="P542" s="1" t="e">
        <v>#N/A</v>
      </c>
      <c r="Q542" s="1" t="e">
        <v>#N/A</v>
      </c>
      <c r="R542" s="1">
        <f t="shared" si="156"/>
        <v>13</v>
      </c>
      <c r="S542" s="1" t="str">
        <f t="shared" si="157"/>
        <v>&gt;7</v>
      </c>
      <c r="T542" s="1" t="s">
        <v>18809</v>
      </c>
      <c r="U542" s="1" t="s">
        <v>17</v>
      </c>
      <c r="V542" s="1" t="s">
        <v>1558</v>
      </c>
      <c r="W542" s="1"/>
    </row>
    <row r="543" spans="1:23" x14ac:dyDescent="0.2">
      <c r="A543" s="89" t="s">
        <v>1559</v>
      </c>
      <c r="B543" s="1" t="e">
        <v>#N/A</v>
      </c>
      <c r="C543" s="1" t="e">
        <v>#N/A</v>
      </c>
      <c r="D543" s="1" t="s">
        <v>1560</v>
      </c>
      <c r="E543" s="1" t="s">
        <v>1561</v>
      </c>
      <c r="F543" s="1" t="e">
        <v>#N/A</v>
      </c>
      <c r="G543" s="1" t="e">
        <v>#N/A</v>
      </c>
      <c r="H543" t="e">
        <v>#N/A</v>
      </c>
      <c r="I543" s="1" t="e">
        <v>#N/A</v>
      </c>
      <c r="J543" s="1" t="e">
        <v>#N/A</v>
      </c>
      <c r="K543" s="1" t="e">
        <v>#N/A</v>
      </c>
      <c r="L543" s="1" t="e">
        <v>#N/A</v>
      </c>
      <c r="M543" s="1" t="e">
        <v>#N/A</v>
      </c>
      <c r="N543" s="1" t="e">
        <v>#N/A</v>
      </c>
      <c r="O543" s="1" t="e">
        <v>#N/A</v>
      </c>
      <c r="P543" s="1" t="e">
        <v>#N/A</v>
      </c>
      <c r="Q543" s="1" t="e">
        <v>#N/A</v>
      </c>
      <c r="R543" s="1">
        <f t="shared" si="156"/>
        <v>5</v>
      </c>
      <c r="S543" s="1" t="str">
        <f t="shared" si="157"/>
        <v>4-7</v>
      </c>
      <c r="T543" s="1" t="s">
        <v>18810</v>
      </c>
      <c r="U543" s="1" t="s">
        <v>7</v>
      </c>
      <c r="V543" s="1" t="s">
        <v>1562</v>
      </c>
      <c r="W543" s="1"/>
    </row>
    <row r="544" spans="1:23" x14ac:dyDescent="0.2">
      <c r="A544" s="89" t="s">
        <v>1563</v>
      </c>
      <c r="B544" s="1" t="e">
        <v>#N/A</v>
      </c>
      <c r="C544" s="1" t="e">
        <v>#N/A</v>
      </c>
      <c r="D544" s="1" t="s">
        <v>1564</v>
      </c>
      <c r="E544" s="1" t="s">
        <v>1565</v>
      </c>
      <c r="F544" s="1" t="e">
        <v>#N/A</v>
      </c>
      <c r="G544" s="1" t="e">
        <v>#N/A</v>
      </c>
      <c r="H544" t="e">
        <v>#N/A</v>
      </c>
      <c r="I544" s="1" t="e">
        <v>#N/A</v>
      </c>
      <c r="J544" s="1" t="e">
        <v>#N/A</v>
      </c>
      <c r="K544" s="1" t="e">
        <v>#N/A</v>
      </c>
      <c r="L544" s="1" t="e">
        <v>#N/A</v>
      </c>
      <c r="M544" s="1" t="e">
        <v>#N/A</v>
      </c>
      <c r="N544" s="1" t="e">
        <v>#N/A</v>
      </c>
      <c r="O544" s="1" t="e">
        <v>#N/A</v>
      </c>
      <c r="P544" s="1" t="e">
        <v>#N/A</v>
      </c>
      <c r="Q544" s="1" t="e">
        <v>#N/A</v>
      </c>
      <c r="R544" s="1">
        <f t="shared" si="156"/>
        <v>8</v>
      </c>
      <c r="S544" s="1" t="str">
        <f t="shared" si="157"/>
        <v>&gt;7</v>
      </c>
      <c r="T544" s="1" t="s">
        <v>18811</v>
      </c>
      <c r="U544" s="1" t="s">
        <v>17</v>
      </c>
      <c r="V544" s="1" t="s">
        <v>640</v>
      </c>
      <c r="W544" s="1"/>
    </row>
    <row r="545" spans="1:23" x14ac:dyDescent="0.2">
      <c r="A545" s="88" t="s">
        <v>15992</v>
      </c>
      <c r="B545" s="1" t="e">
        <v>#N/A</v>
      </c>
      <c r="C545" s="1" t="s">
        <v>10469</v>
      </c>
      <c r="D545" s="1" t="s">
        <v>1566</v>
      </c>
      <c r="E545" s="1" t="s">
        <v>1567</v>
      </c>
      <c r="F545" s="1" t="s">
        <v>13311</v>
      </c>
      <c r="G545" s="1" t="s">
        <v>8957</v>
      </c>
      <c r="H545" t="s">
        <v>8959</v>
      </c>
      <c r="I545" s="1" t="s">
        <v>9154</v>
      </c>
      <c r="J545" s="1" t="s">
        <v>8949</v>
      </c>
      <c r="K545" s="1" t="s">
        <v>8972</v>
      </c>
      <c r="L545" s="1" t="s">
        <v>8951</v>
      </c>
      <c r="M545" s="1">
        <v>140</v>
      </c>
      <c r="N545" s="1" t="s">
        <v>9059</v>
      </c>
      <c r="O545" s="1" t="s">
        <v>8954</v>
      </c>
      <c r="P545" s="1" t="s">
        <v>8955</v>
      </c>
      <c r="Q545" s="1" t="s">
        <v>8956</v>
      </c>
      <c r="R545" s="1" t="s">
        <v>8957</v>
      </c>
      <c r="S545" s="1" t="s">
        <v>9103</v>
      </c>
      <c r="T545" s="1" t="s">
        <v>1568</v>
      </c>
      <c r="U545" s="1" t="s">
        <v>17</v>
      </c>
      <c r="V545" s="1" t="s">
        <v>184</v>
      </c>
      <c r="W545" s="1"/>
    </row>
    <row r="546" spans="1:23" x14ac:dyDescent="0.2">
      <c r="A546" s="89" t="s">
        <v>1569</v>
      </c>
      <c r="B546" s="1" t="e">
        <v>#N/A</v>
      </c>
      <c r="C546" s="1" t="e">
        <v>#N/A</v>
      </c>
      <c r="D546" s="1" t="s">
        <v>1570</v>
      </c>
      <c r="E546" s="1" t="s">
        <v>1571</v>
      </c>
      <c r="F546" s="1" t="e">
        <v>#N/A</v>
      </c>
      <c r="G546" s="1" t="e">
        <v>#N/A</v>
      </c>
      <c r="H546" t="e">
        <v>#N/A</v>
      </c>
      <c r="I546" s="1" t="e">
        <v>#N/A</v>
      </c>
      <c r="J546" s="1" t="e">
        <v>#N/A</v>
      </c>
      <c r="K546" s="1" t="e">
        <v>#N/A</v>
      </c>
      <c r="L546" s="1" t="e">
        <v>#N/A</v>
      </c>
      <c r="M546" s="1" t="e">
        <v>#N/A</v>
      </c>
      <c r="N546" s="1" t="e">
        <v>#N/A</v>
      </c>
      <c r="O546" s="1" t="e">
        <v>#N/A</v>
      </c>
      <c r="P546" s="1" t="e">
        <v>#N/A</v>
      </c>
      <c r="Q546" s="1" t="e">
        <v>#N/A</v>
      </c>
      <c r="R546" s="1">
        <f t="shared" ref="R546:R552" si="158">1+LEN(T546)-LEN(SUBSTITUTE(T546,",",))</f>
        <v>1</v>
      </c>
      <c r="S546" s="1" t="str">
        <f t="shared" ref="S546:S552" si="159">IF(R546&gt;4,IF(R546&lt;8,"4-7",IF(R546&gt;7,"&gt;7")),"&lt;4")</f>
        <v>&lt;4</v>
      </c>
      <c r="T546" s="1" t="s">
        <v>1572</v>
      </c>
      <c r="U546" s="1" t="s">
        <v>17</v>
      </c>
      <c r="V546" s="1" t="s">
        <v>1573</v>
      </c>
      <c r="W546" s="1"/>
    </row>
    <row r="547" spans="1:23" x14ac:dyDescent="0.2">
      <c r="A547" s="89" t="s">
        <v>1574</v>
      </c>
      <c r="B547" s="1" t="e">
        <v>#N/A</v>
      </c>
      <c r="C547" s="1" t="e">
        <v>#N/A</v>
      </c>
      <c r="D547" s="1" t="s">
        <v>1575</v>
      </c>
      <c r="E547" s="1" t="s">
        <v>1576</v>
      </c>
      <c r="F547" s="1" t="e">
        <v>#N/A</v>
      </c>
      <c r="G547" s="1" t="e">
        <v>#N/A</v>
      </c>
      <c r="H547" t="e">
        <v>#N/A</v>
      </c>
      <c r="I547" s="1" t="e">
        <v>#N/A</v>
      </c>
      <c r="J547" s="1" t="e">
        <v>#N/A</v>
      </c>
      <c r="K547" s="1" t="e">
        <v>#N/A</v>
      </c>
      <c r="L547" s="1" t="e">
        <v>#N/A</v>
      </c>
      <c r="M547" s="1" t="e">
        <v>#N/A</v>
      </c>
      <c r="N547" s="1" t="e">
        <v>#N/A</v>
      </c>
      <c r="O547" s="1" t="e">
        <v>#N/A</v>
      </c>
      <c r="P547" s="1" t="e">
        <v>#N/A</v>
      </c>
      <c r="Q547" s="1" t="e">
        <v>#N/A</v>
      </c>
      <c r="R547" s="1">
        <f t="shared" si="158"/>
        <v>2</v>
      </c>
      <c r="S547" s="1" t="str">
        <f t="shared" si="159"/>
        <v>&lt;4</v>
      </c>
      <c r="T547" s="1" t="s">
        <v>18812</v>
      </c>
      <c r="U547" s="1" t="s">
        <v>252</v>
      </c>
      <c r="V547" s="1" t="s">
        <v>1519</v>
      </c>
      <c r="W547" s="1"/>
    </row>
    <row r="548" spans="1:23" x14ac:dyDescent="0.2">
      <c r="A548" s="89" t="s">
        <v>1577</v>
      </c>
      <c r="B548" s="1" t="e">
        <v>#N/A</v>
      </c>
      <c r="C548" s="1" t="e">
        <v>#N/A</v>
      </c>
      <c r="D548" s="1" t="s">
        <v>1578</v>
      </c>
      <c r="E548" s="1" t="s">
        <v>1579</v>
      </c>
      <c r="F548" s="1" t="e">
        <v>#N/A</v>
      </c>
      <c r="G548" s="1" t="e">
        <v>#N/A</v>
      </c>
      <c r="H548" t="e">
        <v>#N/A</v>
      </c>
      <c r="I548" s="1" t="e">
        <v>#N/A</v>
      </c>
      <c r="J548" s="1" t="e">
        <v>#N/A</v>
      </c>
      <c r="K548" s="1" t="e">
        <v>#N/A</v>
      </c>
      <c r="L548" s="1" t="e">
        <v>#N/A</v>
      </c>
      <c r="M548" s="1" t="e">
        <v>#N/A</v>
      </c>
      <c r="N548" s="1" t="e">
        <v>#N/A</v>
      </c>
      <c r="O548" s="1" t="e">
        <v>#N/A</v>
      </c>
      <c r="P548" s="1" t="e">
        <v>#N/A</v>
      </c>
      <c r="Q548" s="1" t="e">
        <v>#N/A</v>
      </c>
      <c r="R548" s="1">
        <f t="shared" si="158"/>
        <v>5</v>
      </c>
      <c r="S548" s="1" t="str">
        <f t="shared" si="159"/>
        <v>4-7</v>
      </c>
      <c r="T548" s="1" t="s">
        <v>18813</v>
      </c>
      <c r="U548" s="1" t="s">
        <v>17</v>
      </c>
      <c r="V548" s="1" t="s">
        <v>1580</v>
      </c>
      <c r="W548" s="1"/>
    </row>
    <row r="549" spans="1:23" x14ac:dyDescent="0.2">
      <c r="A549" s="89" t="s">
        <v>1581</v>
      </c>
      <c r="B549" s="1" t="e">
        <v>#N/A</v>
      </c>
      <c r="C549" s="1" t="e">
        <v>#N/A</v>
      </c>
      <c r="D549" s="1" t="s">
        <v>1582</v>
      </c>
      <c r="E549" s="1" t="s">
        <v>1583</v>
      </c>
      <c r="F549" s="1" t="e">
        <v>#N/A</v>
      </c>
      <c r="G549" s="1" t="e">
        <v>#N/A</v>
      </c>
      <c r="H549" t="e">
        <v>#N/A</v>
      </c>
      <c r="I549" s="1" t="e">
        <v>#N/A</v>
      </c>
      <c r="J549" s="1" t="e">
        <v>#N/A</v>
      </c>
      <c r="K549" s="1" t="e">
        <v>#N/A</v>
      </c>
      <c r="L549" s="1" t="e">
        <v>#N/A</v>
      </c>
      <c r="M549" s="1" t="e">
        <v>#N/A</v>
      </c>
      <c r="N549" s="1" t="e">
        <v>#N/A</v>
      </c>
      <c r="O549" s="1" t="e">
        <v>#N/A</v>
      </c>
      <c r="P549" s="1" t="e">
        <v>#N/A</v>
      </c>
      <c r="Q549" s="1" t="e">
        <v>#N/A</v>
      </c>
      <c r="R549" s="1">
        <f t="shared" si="158"/>
        <v>1</v>
      </c>
      <c r="S549" s="1" t="str">
        <f t="shared" si="159"/>
        <v>&lt;4</v>
      </c>
      <c r="T549" s="1" t="s">
        <v>1584</v>
      </c>
      <c r="U549" s="1" t="s">
        <v>17</v>
      </c>
      <c r="V549" s="1" t="s">
        <v>1573</v>
      </c>
      <c r="W549" s="1"/>
    </row>
    <row r="550" spans="1:23" x14ac:dyDescent="0.2">
      <c r="A550" s="88" t="s">
        <v>15993</v>
      </c>
      <c r="B550" s="1" t="e">
        <v>#N/A</v>
      </c>
      <c r="C550" s="1" t="e">
        <v>#N/A</v>
      </c>
      <c r="D550" s="1" t="s">
        <v>1585</v>
      </c>
      <c r="E550" s="1" t="s">
        <v>1586</v>
      </c>
      <c r="F550" s="1" t="s">
        <v>18502</v>
      </c>
      <c r="G550" s="1" t="s">
        <v>8957</v>
      </c>
      <c r="H550" t="s">
        <v>9009</v>
      </c>
      <c r="I550" s="1" t="s">
        <v>9605</v>
      </c>
      <c r="J550" s="1" t="s">
        <v>9101</v>
      </c>
      <c r="K550" s="1" t="s">
        <v>9036</v>
      </c>
      <c r="L550" s="1" t="s">
        <v>8973</v>
      </c>
      <c r="M550" s="1">
        <v>25</v>
      </c>
      <c r="N550" s="1" t="s">
        <v>8953</v>
      </c>
      <c r="O550" s="1" t="s">
        <v>8989</v>
      </c>
      <c r="P550" s="1" t="e">
        <v>#N/A</v>
      </c>
      <c r="Q550" s="1" t="e">
        <v>#N/A</v>
      </c>
      <c r="R550" s="1">
        <f t="shared" si="158"/>
        <v>4</v>
      </c>
      <c r="S550" s="1" t="str">
        <f t="shared" si="159"/>
        <v>&lt;4</v>
      </c>
      <c r="T550" s="1" t="s">
        <v>18814</v>
      </c>
      <c r="U550" s="1" t="s">
        <v>17</v>
      </c>
      <c r="V550" s="1" t="s">
        <v>15</v>
      </c>
      <c r="W550" s="1"/>
    </row>
    <row r="551" spans="1:23" x14ac:dyDescent="0.2">
      <c r="A551" s="89" t="s">
        <v>20777</v>
      </c>
      <c r="B551" s="1" t="e">
        <v>#N/A</v>
      </c>
      <c r="C551" s="1" t="e">
        <v>#N/A</v>
      </c>
      <c r="D551" s="1" t="s">
        <v>1587</v>
      </c>
      <c r="E551" s="1" t="s">
        <v>1588</v>
      </c>
      <c r="F551" s="1" t="e">
        <v>#N/A</v>
      </c>
      <c r="G551" s="1" t="e">
        <v>#N/A</v>
      </c>
      <c r="H551" t="e">
        <v>#N/A</v>
      </c>
      <c r="I551" s="1" t="e">
        <v>#N/A</v>
      </c>
      <c r="J551" s="1" t="e">
        <v>#N/A</v>
      </c>
      <c r="K551" s="1" t="e">
        <v>#N/A</v>
      </c>
      <c r="L551" s="1" t="e">
        <v>#N/A</v>
      </c>
      <c r="M551" s="1" t="e">
        <v>#N/A</v>
      </c>
      <c r="N551" s="1" t="e">
        <v>#N/A</v>
      </c>
      <c r="O551" s="1" t="e">
        <v>#N/A</v>
      </c>
      <c r="P551" s="1" t="e">
        <v>#N/A</v>
      </c>
      <c r="Q551" s="1" t="e">
        <v>#N/A</v>
      </c>
      <c r="R551" s="1">
        <f t="shared" si="158"/>
        <v>1</v>
      </c>
      <c r="S551" s="1" t="str">
        <f t="shared" si="159"/>
        <v>&lt;4</v>
      </c>
      <c r="U551" s="1" t="s">
        <v>7</v>
      </c>
      <c r="V551" s="1" t="s">
        <v>174</v>
      </c>
      <c r="W551" s="1"/>
    </row>
    <row r="552" spans="1:23" x14ac:dyDescent="0.2">
      <c r="A552" s="88" t="s">
        <v>20778</v>
      </c>
      <c r="B552" s="1" t="e">
        <v>#N/A</v>
      </c>
      <c r="C552" s="1" t="e">
        <v>#N/A</v>
      </c>
      <c r="D552" s="1" t="s">
        <v>1589</v>
      </c>
      <c r="E552" s="1" t="s">
        <v>1590</v>
      </c>
      <c r="F552" s="1" t="s">
        <v>12547</v>
      </c>
      <c r="G552" s="1" t="s">
        <v>8957</v>
      </c>
      <c r="H552" t="s">
        <v>8959</v>
      </c>
      <c r="I552" s="1" t="s">
        <v>9075</v>
      </c>
      <c r="J552" s="1" t="s">
        <v>8949</v>
      </c>
      <c r="K552" s="1" t="s">
        <v>20779</v>
      </c>
      <c r="L552" s="1" t="s">
        <v>8973</v>
      </c>
      <c r="M552" s="1">
        <v>56</v>
      </c>
      <c r="N552" s="1" t="s">
        <v>9059</v>
      </c>
      <c r="O552" s="1" t="s">
        <v>8954</v>
      </c>
      <c r="P552" s="1" t="e">
        <v>#N/A</v>
      </c>
      <c r="Q552" s="1" t="e">
        <v>#N/A</v>
      </c>
      <c r="R552" s="1">
        <f t="shared" si="158"/>
        <v>7</v>
      </c>
      <c r="S552" s="1" t="str">
        <f t="shared" si="159"/>
        <v>4-7</v>
      </c>
      <c r="T552" s="1" t="s">
        <v>18815</v>
      </c>
      <c r="U552" s="1" t="s">
        <v>7</v>
      </c>
      <c r="V552" s="1" t="s">
        <v>5</v>
      </c>
      <c r="W552" s="1"/>
    </row>
    <row r="553" spans="1:23" x14ac:dyDescent="0.2">
      <c r="A553" s="88" t="s">
        <v>15994</v>
      </c>
      <c r="B553" s="1" t="e">
        <v>#N/A</v>
      </c>
      <c r="C553" s="1" t="s">
        <v>12210</v>
      </c>
      <c r="D553" s="1" t="s">
        <v>1591</v>
      </c>
      <c r="E553" s="1" t="s">
        <v>1592</v>
      </c>
      <c r="F553" s="1" t="s">
        <v>9010</v>
      </c>
      <c r="G553" s="1" t="s">
        <v>8959</v>
      </c>
      <c r="H553" t="s">
        <v>9183</v>
      </c>
      <c r="I553" s="1" t="s">
        <v>9035</v>
      </c>
      <c r="J553" s="1" t="s">
        <v>8998</v>
      </c>
      <c r="K553" s="1" t="s">
        <v>10613</v>
      </c>
      <c r="L553" s="1" t="s">
        <v>8951</v>
      </c>
      <c r="M553" s="1">
        <v>12157</v>
      </c>
      <c r="N553" s="1" t="s">
        <v>8953</v>
      </c>
      <c r="O553" s="1" t="s">
        <v>8954</v>
      </c>
      <c r="P553" s="1" t="s">
        <v>8955</v>
      </c>
      <c r="Q553" s="1" t="s">
        <v>8956</v>
      </c>
      <c r="R553" s="1" t="s">
        <v>8959</v>
      </c>
      <c r="S553" s="1" t="s">
        <v>8958</v>
      </c>
      <c r="T553" s="1" t="s">
        <v>1593</v>
      </c>
      <c r="U553" s="1" t="s">
        <v>11</v>
      </c>
      <c r="V553" s="1" t="s">
        <v>184</v>
      </c>
      <c r="W553" s="1"/>
    </row>
    <row r="554" spans="1:23" x14ac:dyDescent="0.2">
      <c r="A554" s="88" t="s">
        <v>20780</v>
      </c>
      <c r="B554" s="1" t="e">
        <v>#N/A</v>
      </c>
      <c r="C554" s="1" t="e">
        <v>#N/A</v>
      </c>
      <c r="D554" s="1" t="s">
        <v>1594</v>
      </c>
      <c r="E554" s="1" t="s">
        <v>1595</v>
      </c>
      <c r="F554" s="1" t="s">
        <v>9310</v>
      </c>
      <c r="G554" s="1" t="s">
        <v>8957</v>
      </c>
      <c r="H554" t="s">
        <v>8959</v>
      </c>
      <c r="I554" s="1" t="s">
        <v>20714</v>
      </c>
      <c r="J554" s="1" t="s">
        <v>9050</v>
      </c>
      <c r="K554" s="1" t="s">
        <v>21148</v>
      </c>
      <c r="L554" s="1" t="s">
        <v>8951</v>
      </c>
      <c r="M554" s="1">
        <f>646+89</f>
        <v>735</v>
      </c>
      <c r="N554" s="1" t="s">
        <v>8953</v>
      </c>
      <c r="O554" s="1" t="s">
        <v>8954</v>
      </c>
      <c r="P554" s="1" t="e">
        <v>#N/A</v>
      </c>
      <c r="Q554" s="1" t="e">
        <v>#N/A</v>
      </c>
      <c r="R554" s="1">
        <f t="shared" ref="R554:R559" si="160">1+LEN(T554)-LEN(SUBSTITUTE(T554,",",))</f>
        <v>7</v>
      </c>
      <c r="S554" s="1" t="str">
        <f t="shared" ref="S554:S559" si="161">IF(R554&gt;4,IF(R554&lt;8,"4-7",IF(R554&gt;7,"&gt;7")),"&lt;4")</f>
        <v>4-7</v>
      </c>
      <c r="T554" s="1" t="s">
        <v>18816</v>
      </c>
      <c r="U554" s="1" t="s">
        <v>11</v>
      </c>
      <c r="V554" s="1" t="s">
        <v>61</v>
      </c>
      <c r="W554" s="1"/>
    </row>
    <row r="555" spans="1:23" x14ac:dyDescent="0.2">
      <c r="A555" s="88" t="s">
        <v>20781</v>
      </c>
      <c r="B555" s="1" t="e">
        <v>#N/A</v>
      </c>
      <c r="C555" s="1" t="e">
        <v>#N/A</v>
      </c>
      <c r="D555" s="1" t="s">
        <v>1596</v>
      </c>
      <c r="E555" s="1" t="s">
        <v>1597</v>
      </c>
      <c r="F555" s="1" t="s">
        <v>9310</v>
      </c>
      <c r="G555" s="1" t="s">
        <v>8957</v>
      </c>
      <c r="H555" t="s">
        <v>8959</v>
      </c>
      <c r="I555" s="1" t="s">
        <v>9605</v>
      </c>
      <c r="J555" s="1" t="s">
        <v>8971</v>
      </c>
      <c r="K555" s="1" t="s">
        <v>10492</v>
      </c>
      <c r="L555" s="1" t="s">
        <v>9076</v>
      </c>
      <c r="M555" s="1" t="e">
        <v>#N/A</v>
      </c>
      <c r="N555" s="1" t="e">
        <v>#N/A</v>
      </c>
      <c r="O555" s="1" t="e">
        <v>#N/A</v>
      </c>
      <c r="P555" s="1" t="e">
        <v>#N/A</v>
      </c>
      <c r="Q555" s="1" t="e">
        <v>#N/A</v>
      </c>
      <c r="R555" s="1">
        <f t="shared" si="160"/>
        <v>5</v>
      </c>
      <c r="S555" s="1" t="str">
        <f t="shared" si="161"/>
        <v>4-7</v>
      </c>
      <c r="T555" s="1" t="s">
        <v>18817</v>
      </c>
      <c r="U555" s="1" t="s">
        <v>17</v>
      </c>
      <c r="V555" s="1" t="s">
        <v>1598</v>
      </c>
      <c r="W555" s="1"/>
    </row>
    <row r="556" spans="1:23" x14ac:dyDescent="0.2">
      <c r="A556" s="88" t="s">
        <v>20782</v>
      </c>
      <c r="B556" s="1" t="e">
        <v>#N/A</v>
      </c>
      <c r="C556" s="1" t="e">
        <v>#N/A</v>
      </c>
      <c r="D556" s="1" t="s">
        <v>1599</v>
      </c>
      <c r="E556" s="1" t="s">
        <v>1600</v>
      </c>
      <c r="F556" s="1" t="s">
        <v>9176</v>
      </c>
      <c r="G556" s="1" t="s">
        <v>8959</v>
      </c>
      <c r="H556" t="s">
        <v>9009</v>
      </c>
      <c r="I556" s="1" t="s">
        <v>8948</v>
      </c>
      <c r="J556" s="1" t="s">
        <v>8998</v>
      </c>
      <c r="K556" s="1" t="s">
        <v>20783</v>
      </c>
      <c r="L556" s="1" t="s">
        <v>8951</v>
      </c>
      <c r="M556" s="1">
        <v>311</v>
      </c>
      <c r="N556" s="1" t="s">
        <v>9059</v>
      </c>
      <c r="O556" s="1" t="s">
        <v>8954</v>
      </c>
      <c r="P556" s="1" t="e">
        <v>#N/A</v>
      </c>
      <c r="Q556" s="1" t="e">
        <v>#N/A</v>
      </c>
      <c r="R556" s="1">
        <f t="shared" si="160"/>
        <v>9</v>
      </c>
      <c r="S556" s="1" t="str">
        <f t="shared" si="161"/>
        <v>&gt;7</v>
      </c>
      <c r="T556" s="1" t="s">
        <v>18818</v>
      </c>
      <c r="U556" s="1" t="s">
        <v>7</v>
      </c>
      <c r="V556" s="1" t="s">
        <v>64</v>
      </c>
      <c r="W556" s="1"/>
    </row>
    <row r="557" spans="1:23" x14ac:dyDescent="0.2">
      <c r="A557" s="88" t="s">
        <v>20784</v>
      </c>
      <c r="B557" s="1" t="e">
        <v>#N/A</v>
      </c>
      <c r="C557" s="1" t="e">
        <v>#N/A</v>
      </c>
      <c r="D557" s="1" t="s">
        <v>1601</v>
      </c>
      <c r="E557" s="1" t="s">
        <v>1602</v>
      </c>
      <c r="F557" s="1" t="s">
        <v>18502</v>
      </c>
      <c r="G557" s="1" t="s">
        <v>8957</v>
      </c>
      <c r="H557" t="s">
        <v>9061</v>
      </c>
      <c r="I557" s="1" t="s">
        <v>9100</v>
      </c>
      <c r="J557" s="1" t="s">
        <v>8949</v>
      </c>
      <c r="K557" s="1" t="s">
        <v>20785</v>
      </c>
      <c r="L557" s="1" t="s">
        <v>9076</v>
      </c>
      <c r="M557" s="1">
        <v>274</v>
      </c>
      <c r="N557" s="1" t="s">
        <v>9059</v>
      </c>
      <c r="O557" s="1" t="s">
        <v>8989</v>
      </c>
      <c r="P557" s="1" t="e">
        <v>#N/A</v>
      </c>
      <c r="Q557" s="1" t="e">
        <v>#N/A</v>
      </c>
      <c r="R557" s="1">
        <f t="shared" si="160"/>
        <v>7</v>
      </c>
      <c r="S557" s="1" t="str">
        <f t="shared" si="161"/>
        <v>4-7</v>
      </c>
      <c r="T557" s="1" t="s">
        <v>18819</v>
      </c>
      <c r="U557" s="1" t="s">
        <v>7</v>
      </c>
      <c r="V557" s="1" t="s">
        <v>93</v>
      </c>
      <c r="W557" s="1"/>
    </row>
    <row r="558" spans="1:23" x14ac:dyDescent="0.2">
      <c r="A558" s="88" t="s">
        <v>20786</v>
      </c>
      <c r="B558" s="1" t="e">
        <v>#N/A</v>
      </c>
      <c r="C558" s="1" t="e">
        <v>#N/A</v>
      </c>
      <c r="D558" s="1" t="s">
        <v>1603</v>
      </c>
      <c r="E558" s="1" t="s">
        <v>1604</v>
      </c>
      <c r="F558" s="1" t="s">
        <v>18502</v>
      </c>
      <c r="G558" s="1" t="s">
        <v>8957</v>
      </c>
      <c r="H558" t="s">
        <v>9061</v>
      </c>
      <c r="I558" s="1" t="s">
        <v>8984</v>
      </c>
      <c r="J558" s="1" t="s">
        <v>8949</v>
      </c>
      <c r="K558" s="1" t="s">
        <v>21435</v>
      </c>
      <c r="L558" s="1" t="s">
        <v>9076</v>
      </c>
      <c r="M558" s="1">
        <v>55</v>
      </c>
      <c r="N558" s="1" t="s">
        <v>9059</v>
      </c>
      <c r="O558" s="1" t="s">
        <v>8954</v>
      </c>
      <c r="P558" s="1" t="e">
        <v>#N/A</v>
      </c>
      <c r="Q558" s="1" t="e">
        <v>#N/A</v>
      </c>
      <c r="R558" s="1">
        <f t="shared" si="160"/>
        <v>9</v>
      </c>
      <c r="S558" s="1" t="str">
        <f t="shared" si="161"/>
        <v>&gt;7</v>
      </c>
      <c r="T558" s="1" t="s">
        <v>18820</v>
      </c>
      <c r="U558" s="1" t="s">
        <v>7</v>
      </c>
      <c r="V558" s="1" t="s">
        <v>378</v>
      </c>
      <c r="W558" s="1"/>
    </row>
    <row r="559" spans="1:23" x14ac:dyDescent="0.2">
      <c r="A559" s="88" t="s">
        <v>20787</v>
      </c>
      <c r="B559" s="1" t="e">
        <v>#N/A</v>
      </c>
      <c r="C559" s="1" t="e">
        <v>#N/A</v>
      </c>
      <c r="D559" s="1" t="s">
        <v>1605</v>
      </c>
      <c r="E559" s="1" t="s">
        <v>1606</v>
      </c>
      <c r="F559" s="1" t="s">
        <v>9310</v>
      </c>
      <c r="G559" s="1" t="s">
        <v>8959</v>
      </c>
      <c r="H559" t="s">
        <v>9061</v>
      </c>
      <c r="I559" s="1" t="s">
        <v>8948</v>
      </c>
      <c r="J559" s="1" t="s">
        <v>8998</v>
      </c>
      <c r="K559" s="1" t="s">
        <v>10492</v>
      </c>
      <c r="L559" s="1" t="s">
        <v>8973</v>
      </c>
      <c r="M559" s="1">
        <v>496</v>
      </c>
      <c r="N559" s="1" t="s">
        <v>9059</v>
      </c>
      <c r="O559" s="1" t="s">
        <v>8989</v>
      </c>
      <c r="P559" s="1" t="e">
        <v>#N/A</v>
      </c>
      <c r="Q559" s="1" t="e">
        <v>#N/A</v>
      </c>
      <c r="R559" s="1">
        <f t="shared" si="160"/>
        <v>9</v>
      </c>
      <c r="S559" s="1" t="str">
        <f t="shared" si="161"/>
        <v>&gt;7</v>
      </c>
      <c r="T559" s="1" t="s">
        <v>18821</v>
      </c>
      <c r="U559" s="1" t="s">
        <v>7</v>
      </c>
      <c r="V559" s="1" t="s">
        <v>1328</v>
      </c>
      <c r="W559" s="1"/>
    </row>
    <row r="560" spans="1:23" x14ac:dyDescent="0.2">
      <c r="A560" s="88" t="s">
        <v>15995</v>
      </c>
      <c r="B560" s="1" t="e">
        <v>#N/A</v>
      </c>
      <c r="C560" s="1" t="s">
        <v>10593</v>
      </c>
      <c r="D560" s="1" t="s">
        <v>1607</v>
      </c>
      <c r="E560" s="1" t="s">
        <v>1608</v>
      </c>
      <c r="F560" s="1" t="s">
        <v>9310</v>
      </c>
      <c r="G560" s="1" t="s">
        <v>8959</v>
      </c>
      <c r="H560" t="s">
        <v>8959</v>
      </c>
      <c r="I560" s="1" t="s">
        <v>9035</v>
      </c>
      <c r="J560" s="1" t="s">
        <v>8998</v>
      </c>
      <c r="K560" s="1" t="s">
        <v>10031</v>
      </c>
      <c r="L560" s="1" t="s">
        <v>8987</v>
      </c>
      <c r="M560" s="1">
        <v>1018</v>
      </c>
      <c r="N560" s="1" t="s">
        <v>8953</v>
      </c>
      <c r="O560" s="1" t="s">
        <v>8989</v>
      </c>
      <c r="P560" s="1" t="s">
        <v>8955</v>
      </c>
      <c r="Q560" s="1" t="s">
        <v>8990</v>
      </c>
      <c r="R560" s="1" t="s">
        <v>8959</v>
      </c>
      <c r="S560" s="1" t="s">
        <v>8958</v>
      </c>
      <c r="T560" s="1" t="s">
        <v>1609</v>
      </c>
      <c r="U560" s="1" t="s">
        <v>11</v>
      </c>
      <c r="V560" s="1" t="s">
        <v>378</v>
      </c>
      <c r="W560" s="1"/>
    </row>
    <row r="561" spans="1:23" x14ac:dyDescent="0.2">
      <c r="A561" s="88" t="s">
        <v>20788</v>
      </c>
      <c r="B561" s="1" t="e">
        <v>#N/A</v>
      </c>
      <c r="C561" s="1" t="e">
        <v>#N/A</v>
      </c>
      <c r="D561" s="1" t="s">
        <v>1610</v>
      </c>
      <c r="E561" s="1" t="s">
        <v>1611</v>
      </c>
      <c r="F561" s="1" t="s">
        <v>9310</v>
      </c>
      <c r="G561" s="1" t="s">
        <v>8957</v>
      </c>
      <c r="H561" t="s">
        <v>8959</v>
      </c>
      <c r="I561" s="1" t="s">
        <v>20712</v>
      </c>
      <c r="J561" s="1" t="s">
        <v>8949</v>
      </c>
      <c r="K561" s="1" t="s">
        <v>20779</v>
      </c>
      <c r="L561" s="1" t="s">
        <v>9076</v>
      </c>
      <c r="M561" s="1">
        <f>1534+50+800+80</f>
        <v>2464</v>
      </c>
      <c r="N561" s="1" t="s">
        <v>8953</v>
      </c>
      <c r="O561" s="1" t="s">
        <v>8989</v>
      </c>
      <c r="P561" s="1" t="e">
        <v>#N/A</v>
      </c>
      <c r="Q561" s="1" t="e">
        <v>#N/A</v>
      </c>
      <c r="R561" s="1">
        <f t="shared" ref="R561:R562" si="162">1+LEN(T561)-LEN(SUBSTITUTE(T561,",",))</f>
        <v>2</v>
      </c>
      <c r="S561" s="1" t="str">
        <f t="shared" ref="S561:S562" si="163">IF(R561&gt;4,IF(R561&lt;8,"4-7",IF(R561&gt;7,"&gt;7")),"&lt;4")</f>
        <v>&lt;4</v>
      </c>
      <c r="T561" s="1" t="s">
        <v>18822</v>
      </c>
      <c r="U561" s="1" t="s">
        <v>17</v>
      </c>
      <c r="V561" s="1" t="s">
        <v>21</v>
      </c>
      <c r="W561" s="1"/>
    </row>
    <row r="562" spans="1:23" x14ac:dyDescent="0.2">
      <c r="A562" s="88" t="s">
        <v>20789</v>
      </c>
      <c r="B562" s="1" t="e">
        <v>#N/A</v>
      </c>
      <c r="C562" s="1" t="e">
        <v>#N/A</v>
      </c>
      <c r="D562" s="1" t="s">
        <v>1612</v>
      </c>
      <c r="E562" s="1" t="s">
        <v>1613</v>
      </c>
      <c r="F562" s="1" t="s">
        <v>11671</v>
      </c>
      <c r="G562" s="1" t="s">
        <v>8957</v>
      </c>
      <c r="H562" t="s">
        <v>8959</v>
      </c>
      <c r="I562" s="1" t="s">
        <v>9092</v>
      </c>
      <c r="J562" s="1" t="s">
        <v>8949</v>
      </c>
      <c r="K562" s="1" t="s">
        <v>20735</v>
      </c>
      <c r="L562" s="1" t="s">
        <v>8987</v>
      </c>
      <c r="M562" s="1">
        <v>402</v>
      </c>
      <c r="N562" s="1" t="s">
        <v>9059</v>
      </c>
      <c r="O562" s="1" t="s">
        <v>8989</v>
      </c>
      <c r="P562" s="1" t="e">
        <v>#N/A</v>
      </c>
      <c r="Q562" s="1" t="e">
        <v>#N/A</v>
      </c>
      <c r="R562" s="1">
        <f t="shared" si="162"/>
        <v>7</v>
      </c>
      <c r="S562" s="1" t="str">
        <f t="shared" si="163"/>
        <v>4-7</v>
      </c>
      <c r="T562" s="1" t="s">
        <v>20570</v>
      </c>
      <c r="U562" s="1" t="s">
        <v>17</v>
      </c>
      <c r="V562" s="1" t="s">
        <v>1614</v>
      </c>
      <c r="W562" s="1"/>
    </row>
    <row r="563" spans="1:23" x14ac:dyDescent="0.2">
      <c r="A563" s="88" t="s">
        <v>15996</v>
      </c>
      <c r="B563" s="1" t="e">
        <v>#N/A</v>
      </c>
      <c r="C563" s="1" t="s">
        <v>15194</v>
      </c>
      <c r="D563" s="1" t="s">
        <v>1615</v>
      </c>
      <c r="E563" s="1" t="s">
        <v>1616</v>
      </c>
      <c r="F563" s="1" t="s">
        <v>9176</v>
      </c>
      <c r="G563" s="1" t="s">
        <v>8957</v>
      </c>
      <c r="H563" t="s">
        <v>9009</v>
      </c>
      <c r="I563" s="1" t="s">
        <v>9252</v>
      </c>
      <c r="J563" s="1" t="s">
        <v>8949</v>
      </c>
      <c r="K563" s="1" t="s">
        <v>9270</v>
      </c>
      <c r="L563" s="1" t="s">
        <v>8987</v>
      </c>
      <c r="M563" s="1">
        <v>492</v>
      </c>
      <c r="N563" s="1" t="s">
        <v>8953</v>
      </c>
      <c r="O563" s="1" t="s">
        <v>8989</v>
      </c>
      <c r="P563" s="1" t="s">
        <v>8955</v>
      </c>
      <c r="Q563" s="1" t="s">
        <v>8956</v>
      </c>
      <c r="R563" s="1" t="s">
        <v>8957</v>
      </c>
      <c r="S563" s="1" t="s">
        <v>8958</v>
      </c>
      <c r="T563" s="1" t="s">
        <v>1617</v>
      </c>
      <c r="U563" s="1" t="s">
        <v>17</v>
      </c>
      <c r="V563" s="1" t="s">
        <v>666</v>
      </c>
      <c r="W563" s="1"/>
    </row>
    <row r="564" spans="1:23" x14ac:dyDescent="0.2">
      <c r="A564" s="88" t="s">
        <v>15997</v>
      </c>
      <c r="B564" s="1" t="e">
        <v>#N/A</v>
      </c>
      <c r="C564" s="1" t="s">
        <v>14192</v>
      </c>
      <c r="D564" s="1" t="s">
        <v>1618</v>
      </c>
      <c r="E564" s="1" t="s">
        <v>1619</v>
      </c>
      <c r="F564" s="1" t="s">
        <v>9246</v>
      </c>
      <c r="G564" s="1" t="s">
        <v>8957</v>
      </c>
      <c r="H564" t="s">
        <v>9009</v>
      </c>
      <c r="I564" s="1" t="s">
        <v>9252</v>
      </c>
      <c r="J564" s="1" t="s">
        <v>8949</v>
      </c>
      <c r="K564" s="1" t="s">
        <v>10492</v>
      </c>
      <c r="L564" s="1" t="s">
        <v>8973</v>
      </c>
      <c r="M564" s="1">
        <v>21120</v>
      </c>
      <c r="N564" s="1" t="s">
        <v>8953</v>
      </c>
      <c r="O564" s="1" t="s">
        <v>8989</v>
      </c>
      <c r="P564" s="1" t="s">
        <v>8955</v>
      </c>
      <c r="Q564" s="1" t="s">
        <v>8956</v>
      </c>
      <c r="R564" s="1" t="s">
        <v>8957</v>
      </c>
      <c r="S564" s="1" t="s">
        <v>8958</v>
      </c>
      <c r="T564" s="1" t="s">
        <v>1620</v>
      </c>
      <c r="U564" s="1" t="s">
        <v>4</v>
      </c>
      <c r="V564" s="1" t="s">
        <v>93</v>
      </c>
      <c r="W564" s="1"/>
    </row>
    <row r="565" spans="1:23" x14ac:dyDescent="0.2">
      <c r="A565" s="88" t="s">
        <v>15998</v>
      </c>
      <c r="B565" s="1" t="e">
        <v>#N/A</v>
      </c>
      <c r="C565" s="1" t="s">
        <v>10920</v>
      </c>
      <c r="D565" s="1" t="s">
        <v>1621</v>
      </c>
      <c r="E565" s="1" t="s">
        <v>1622</v>
      </c>
      <c r="F565" s="1" t="s">
        <v>9380</v>
      </c>
      <c r="G565" s="1" t="s">
        <v>8957</v>
      </c>
      <c r="H565" t="s">
        <v>9009</v>
      </c>
      <c r="I565" s="1" t="s">
        <v>9154</v>
      </c>
      <c r="J565" s="1" t="s">
        <v>9101</v>
      </c>
      <c r="K565" s="1" t="s">
        <v>10923</v>
      </c>
      <c r="L565" s="1" t="s">
        <v>8987</v>
      </c>
      <c r="M565" s="1">
        <v>8</v>
      </c>
      <c r="N565" s="1" t="s">
        <v>8953</v>
      </c>
      <c r="O565" s="1" t="s">
        <v>8989</v>
      </c>
      <c r="P565" s="1" t="s">
        <v>8955</v>
      </c>
      <c r="Q565" s="1" t="s">
        <v>8956</v>
      </c>
      <c r="R565" s="1" t="s">
        <v>8957</v>
      </c>
      <c r="S565" s="1" t="s">
        <v>9103</v>
      </c>
      <c r="T565" s="1" t="s">
        <v>1623</v>
      </c>
      <c r="U565" s="1" t="s">
        <v>11</v>
      </c>
      <c r="V565" s="1" t="s">
        <v>46</v>
      </c>
      <c r="W565" s="1"/>
    </row>
    <row r="566" spans="1:23" x14ac:dyDescent="0.2">
      <c r="A566" s="88" t="s">
        <v>20790</v>
      </c>
      <c r="B566" s="1" t="e">
        <v>#N/A</v>
      </c>
      <c r="C566" s="1" t="e">
        <v>#N/A</v>
      </c>
      <c r="D566" s="1" t="s">
        <v>1624</v>
      </c>
      <c r="E566" s="1" t="s">
        <v>1625</v>
      </c>
      <c r="F566" s="1" t="s">
        <v>9380</v>
      </c>
      <c r="G566" s="1" t="s">
        <v>8957</v>
      </c>
      <c r="H566" t="s">
        <v>8959</v>
      </c>
      <c r="I566" s="1" t="s">
        <v>8948</v>
      </c>
      <c r="J566" s="1" t="s">
        <v>9101</v>
      </c>
      <c r="K566" s="1" t="s">
        <v>20723</v>
      </c>
      <c r="L566" s="1" t="s">
        <v>8973</v>
      </c>
      <c r="M566" s="1">
        <v>8</v>
      </c>
      <c r="N566" s="1" t="s">
        <v>8953</v>
      </c>
      <c r="O566" s="1" t="s">
        <v>8989</v>
      </c>
      <c r="P566" s="1" t="e">
        <v>#N/A</v>
      </c>
      <c r="Q566" s="1" t="e">
        <v>#N/A</v>
      </c>
      <c r="R566" s="1">
        <f t="shared" ref="R566:R572" si="164">1+LEN(T566)-LEN(SUBSTITUTE(T566,",",))</f>
        <v>7</v>
      </c>
      <c r="S566" s="1" t="str">
        <f t="shared" ref="S566:S572" si="165">IF(R566&gt;4,IF(R566&lt;8,"4-7",IF(R566&gt;7,"&gt;7")),"&lt;4")</f>
        <v>4-7</v>
      </c>
      <c r="T566" s="1" t="s">
        <v>18823</v>
      </c>
      <c r="U566" s="1" t="s">
        <v>17</v>
      </c>
      <c r="V566" s="1" t="s">
        <v>27</v>
      </c>
      <c r="W566" s="1"/>
    </row>
    <row r="567" spans="1:23" x14ac:dyDescent="0.2">
      <c r="A567" s="89" t="s">
        <v>1626</v>
      </c>
      <c r="B567" s="1" t="e">
        <v>#N/A</v>
      </c>
      <c r="C567" s="1" t="e">
        <v>#N/A</v>
      </c>
      <c r="D567" s="1" t="s">
        <v>1627</v>
      </c>
      <c r="E567" s="1" t="s">
        <v>1628</v>
      </c>
      <c r="F567" s="1" t="e">
        <v>#N/A</v>
      </c>
      <c r="G567" s="1" t="e">
        <v>#N/A</v>
      </c>
      <c r="H567" t="e">
        <v>#N/A</v>
      </c>
      <c r="I567" s="1" t="e">
        <v>#N/A</v>
      </c>
      <c r="J567" s="1" t="e">
        <v>#N/A</v>
      </c>
      <c r="K567" s="1" t="e">
        <v>#N/A</v>
      </c>
      <c r="L567" s="1" t="e">
        <v>#N/A</v>
      </c>
      <c r="M567" s="1" t="e">
        <v>#N/A</v>
      </c>
      <c r="N567" s="1" t="e">
        <v>#N/A</v>
      </c>
      <c r="O567" s="1" t="e">
        <v>#N/A</v>
      </c>
      <c r="P567" s="1" t="e">
        <v>#N/A</v>
      </c>
      <c r="Q567" s="1" t="e">
        <v>#N/A</v>
      </c>
      <c r="R567" s="1">
        <f t="shared" si="164"/>
        <v>4</v>
      </c>
      <c r="S567" s="1" t="str">
        <f t="shared" si="165"/>
        <v>&lt;4</v>
      </c>
      <c r="T567" s="1" t="s">
        <v>18824</v>
      </c>
      <c r="U567" s="1" t="s">
        <v>7</v>
      </c>
      <c r="V567" s="1" t="s">
        <v>1519</v>
      </c>
      <c r="W567" s="1"/>
    </row>
    <row r="568" spans="1:23" x14ac:dyDescent="0.2">
      <c r="A568" s="88" t="s">
        <v>20791</v>
      </c>
      <c r="B568" s="1" t="e">
        <v>#N/A</v>
      </c>
      <c r="C568" s="1" t="e">
        <v>#N/A</v>
      </c>
      <c r="D568" s="1" t="s">
        <v>1629</v>
      </c>
      <c r="E568" s="1" t="s">
        <v>1630</v>
      </c>
      <c r="F568" s="1" t="s">
        <v>9815</v>
      </c>
      <c r="G568" s="1" t="s">
        <v>8959</v>
      </c>
      <c r="H568" t="s">
        <v>8959</v>
      </c>
      <c r="I568" s="1" t="s">
        <v>8948</v>
      </c>
      <c r="J568" s="1" t="s">
        <v>8949</v>
      </c>
      <c r="K568" s="1" t="s">
        <v>20792</v>
      </c>
      <c r="L568" s="1" t="s">
        <v>8987</v>
      </c>
      <c r="M568" s="1">
        <v>2400</v>
      </c>
      <c r="N568" s="1" t="s">
        <v>8953</v>
      </c>
      <c r="O568" s="1" t="s">
        <v>8989</v>
      </c>
      <c r="P568" s="1" t="e">
        <v>#N/A</v>
      </c>
      <c r="Q568" s="1" t="e">
        <v>#N/A</v>
      </c>
      <c r="R568" s="1">
        <f t="shared" si="164"/>
        <v>2</v>
      </c>
      <c r="S568" s="1" t="str">
        <f t="shared" si="165"/>
        <v>&lt;4</v>
      </c>
      <c r="T568" s="1" t="s">
        <v>18825</v>
      </c>
      <c r="U568" s="1" t="s">
        <v>17</v>
      </c>
      <c r="V568" s="1" t="s">
        <v>322</v>
      </c>
      <c r="W568" s="1"/>
    </row>
    <row r="569" spans="1:23" x14ac:dyDescent="0.2">
      <c r="A569" s="88" t="s">
        <v>20793</v>
      </c>
      <c r="B569" s="1" t="e">
        <v>#N/A</v>
      </c>
      <c r="C569" s="1" t="e">
        <v>#N/A</v>
      </c>
      <c r="D569" s="1" t="s">
        <v>1631</v>
      </c>
      <c r="E569" s="1" t="s">
        <v>1632</v>
      </c>
      <c r="F569" s="1" t="s">
        <v>20794</v>
      </c>
      <c r="G569" s="1" t="s">
        <v>8959</v>
      </c>
      <c r="H569" t="s">
        <v>9183</v>
      </c>
      <c r="I569" s="1" t="s">
        <v>8948</v>
      </c>
      <c r="J569" s="1" t="s">
        <v>8998</v>
      </c>
      <c r="K569" s="1" t="s">
        <v>18497</v>
      </c>
      <c r="L569" s="1" t="s">
        <v>8987</v>
      </c>
      <c r="M569" s="1">
        <v>401</v>
      </c>
      <c r="N569" s="1" t="s">
        <v>8953</v>
      </c>
      <c r="O569" s="1" t="s">
        <v>8989</v>
      </c>
      <c r="P569" s="1" t="e">
        <v>#N/A</v>
      </c>
      <c r="Q569" s="1" t="e">
        <v>#N/A</v>
      </c>
      <c r="R569" s="1">
        <f t="shared" si="164"/>
        <v>9</v>
      </c>
      <c r="S569" s="1" t="str">
        <f t="shared" si="165"/>
        <v>&gt;7</v>
      </c>
      <c r="T569" s="1" t="s">
        <v>18826</v>
      </c>
      <c r="U569" s="1" t="s">
        <v>7</v>
      </c>
      <c r="V569" s="1" t="s">
        <v>308</v>
      </c>
      <c r="W569" s="1"/>
    </row>
    <row r="570" spans="1:23" x14ac:dyDescent="0.2">
      <c r="A570" s="88" t="s">
        <v>15999</v>
      </c>
      <c r="B570" s="1" t="e">
        <v>#N/A</v>
      </c>
      <c r="C570" s="1" t="e">
        <v>#N/A</v>
      </c>
      <c r="D570" s="1" t="s">
        <v>1633</v>
      </c>
      <c r="E570" s="1" t="s">
        <v>1634</v>
      </c>
      <c r="F570" s="1" t="s">
        <v>9333</v>
      </c>
      <c r="G570" s="1" t="s">
        <v>8959</v>
      </c>
      <c r="H570" t="s">
        <v>8959</v>
      </c>
      <c r="I570" s="1" t="s">
        <v>8948</v>
      </c>
      <c r="J570" s="1" t="s">
        <v>8998</v>
      </c>
      <c r="K570" s="1" t="s">
        <v>21436</v>
      </c>
      <c r="L570" s="1" t="s">
        <v>8973</v>
      </c>
      <c r="M570" s="1">
        <v>70</v>
      </c>
      <c r="N570" s="1" t="s">
        <v>9059</v>
      </c>
      <c r="O570" s="1" t="s">
        <v>8989</v>
      </c>
      <c r="P570" s="1" t="e">
        <v>#N/A</v>
      </c>
      <c r="Q570" s="1" t="e">
        <v>#N/A</v>
      </c>
      <c r="R570" s="1">
        <f t="shared" si="164"/>
        <v>6</v>
      </c>
      <c r="S570" s="1" t="str">
        <f t="shared" si="165"/>
        <v>4-7</v>
      </c>
      <c r="T570" s="1" t="s">
        <v>18827</v>
      </c>
      <c r="U570" s="1" t="s">
        <v>17</v>
      </c>
      <c r="V570" s="1" t="s">
        <v>43</v>
      </c>
      <c r="W570" s="1"/>
    </row>
    <row r="571" spans="1:23" x14ac:dyDescent="0.2">
      <c r="A571" s="88" t="s">
        <v>16000</v>
      </c>
      <c r="B571" s="1" t="e">
        <v>#N/A</v>
      </c>
      <c r="C571" s="1" t="e">
        <v>#N/A</v>
      </c>
      <c r="D571" s="1" t="s">
        <v>1635</v>
      </c>
      <c r="E571" s="1" t="s">
        <v>1636</v>
      </c>
      <c r="F571" s="1" t="s">
        <v>9815</v>
      </c>
      <c r="G571" s="1" t="s">
        <v>8959</v>
      </c>
      <c r="H571" t="s">
        <v>8959</v>
      </c>
      <c r="I571" s="1" t="s">
        <v>9035</v>
      </c>
      <c r="J571" s="1" t="s">
        <v>9308</v>
      </c>
      <c r="K571" s="1" t="s">
        <v>18489</v>
      </c>
      <c r="L571" s="1" t="s">
        <v>8987</v>
      </c>
      <c r="M571" s="1">
        <f>340+80+1583+162+2003+4280+6683</f>
        <v>15131</v>
      </c>
      <c r="N571" s="1" t="s">
        <v>9059</v>
      </c>
      <c r="O571" s="1" t="s">
        <v>8954</v>
      </c>
      <c r="P571" s="1" t="e">
        <v>#N/A</v>
      </c>
      <c r="Q571" s="1" t="e">
        <v>#N/A</v>
      </c>
      <c r="R571" s="1">
        <f t="shared" si="164"/>
        <v>3</v>
      </c>
      <c r="S571" s="1" t="str">
        <f t="shared" si="165"/>
        <v>&lt;4</v>
      </c>
      <c r="T571" s="1" t="s">
        <v>18828</v>
      </c>
      <c r="U571" s="1" t="s">
        <v>7</v>
      </c>
      <c r="V571" s="1" t="s">
        <v>372</v>
      </c>
      <c r="W571" s="1"/>
    </row>
    <row r="572" spans="1:23" x14ac:dyDescent="0.2">
      <c r="A572" s="89" t="s">
        <v>1637</v>
      </c>
      <c r="B572" s="1" t="e">
        <v>#N/A</v>
      </c>
      <c r="C572" s="1" t="e">
        <v>#N/A</v>
      </c>
      <c r="D572" s="1" t="s">
        <v>1638</v>
      </c>
      <c r="E572" s="1" t="s">
        <v>1639</v>
      </c>
      <c r="F572" s="1" t="e">
        <v>#N/A</v>
      </c>
      <c r="G572" s="1" t="e">
        <v>#N/A</v>
      </c>
      <c r="H572" t="e">
        <v>#N/A</v>
      </c>
      <c r="I572" s="1" t="e">
        <v>#N/A</v>
      </c>
      <c r="J572" s="1" t="e">
        <v>#N/A</v>
      </c>
      <c r="K572" s="1" t="e">
        <v>#N/A</v>
      </c>
      <c r="L572" s="1" t="e">
        <v>#N/A</v>
      </c>
      <c r="M572" s="1" t="e">
        <v>#N/A</v>
      </c>
      <c r="N572" s="1" t="e">
        <v>#N/A</v>
      </c>
      <c r="O572" s="1" t="e">
        <v>#N/A</v>
      </c>
      <c r="P572" s="1" t="e">
        <v>#N/A</v>
      </c>
      <c r="Q572" s="1" t="e">
        <v>#N/A</v>
      </c>
      <c r="R572" s="1">
        <f t="shared" si="164"/>
        <v>3</v>
      </c>
      <c r="S572" s="1" t="str">
        <f t="shared" si="165"/>
        <v>&lt;4</v>
      </c>
      <c r="T572" s="1" t="s">
        <v>18829</v>
      </c>
      <c r="U572" s="1" t="s">
        <v>11</v>
      </c>
      <c r="V572" s="1" t="s">
        <v>1640</v>
      </c>
      <c r="W572" s="1"/>
    </row>
    <row r="573" spans="1:23" x14ac:dyDescent="0.2">
      <c r="A573" s="88" t="s">
        <v>16001</v>
      </c>
      <c r="B573" s="1" t="e">
        <v>#N/A</v>
      </c>
      <c r="C573" s="1" t="s">
        <v>14962</v>
      </c>
      <c r="D573" s="1" t="s">
        <v>1641</v>
      </c>
      <c r="E573" s="1" t="s">
        <v>1642</v>
      </c>
      <c r="F573" s="1" t="s">
        <v>9387</v>
      </c>
      <c r="G573" s="1" t="s">
        <v>8959</v>
      </c>
      <c r="H573" t="s">
        <v>9009</v>
      </c>
      <c r="I573" s="1" t="s">
        <v>9173</v>
      </c>
      <c r="J573" s="1" t="s">
        <v>8971</v>
      </c>
      <c r="K573" s="1" t="s">
        <v>9036</v>
      </c>
      <c r="L573" s="1" t="s">
        <v>8951</v>
      </c>
      <c r="M573" s="1">
        <v>73</v>
      </c>
      <c r="N573" s="1" t="s">
        <v>8953</v>
      </c>
      <c r="O573" s="1" t="s">
        <v>8989</v>
      </c>
      <c r="P573" s="1" t="s">
        <v>9182</v>
      </c>
      <c r="Q573" s="1" t="s">
        <v>8956</v>
      </c>
      <c r="R573" s="1" t="s">
        <v>8959</v>
      </c>
      <c r="S573" s="1" t="s">
        <v>9103</v>
      </c>
      <c r="T573" s="1" t="s">
        <v>1643</v>
      </c>
      <c r="U573" s="1" t="s">
        <v>17</v>
      </c>
      <c r="V573" s="1" t="s">
        <v>1421</v>
      </c>
      <c r="W573" s="1"/>
    </row>
    <row r="574" spans="1:23" x14ac:dyDescent="0.2">
      <c r="A574" s="89" t="s">
        <v>1644</v>
      </c>
      <c r="B574" s="1" t="e">
        <v>#N/A</v>
      </c>
      <c r="C574" s="1" t="e">
        <v>#N/A</v>
      </c>
      <c r="D574" s="1" t="s">
        <v>1645</v>
      </c>
      <c r="E574" s="1" t="s">
        <v>1646</v>
      </c>
      <c r="F574" s="1" t="e">
        <v>#N/A</v>
      </c>
      <c r="G574" s="1" t="e">
        <v>#N/A</v>
      </c>
      <c r="H574" t="e">
        <v>#N/A</v>
      </c>
      <c r="I574" s="1" t="e">
        <v>#N/A</v>
      </c>
      <c r="J574" s="1" t="e">
        <v>#N/A</v>
      </c>
      <c r="K574" s="1" t="e">
        <v>#N/A</v>
      </c>
      <c r="L574" s="1" t="e">
        <v>#N/A</v>
      </c>
      <c r="M574" s="1" t="e">
        <v>#N/A</v>
      </c>
      <c r="N574" s="1" t="e">
        <v>#N/A</v>
      </c>
      <c r="O574" s="1" t="e">
        <v>#N/A</v>
      </c>
      <c r="P574" s="1" t="e">
        <v>#N/A</v>
      </c>
      <c r="Q574" s="1" t="e">
        <v>#N/A</v>
      </c>
      <c r="R574" s="1">
        <f>1+LEN(T574)-LEN(SUBSTITUTE(T574,",",))</f>
        <v>9</v>
      </c>
      <c r="S574" s="1" t="str">
        <f>IF(R574&gt;4,IF(R574&lt;8,"4-7",IF(R574&gt;7,"&gt;7")),"&lt;4")</f>
        <v>&gt;7</v>
      </c>
      <c r="T574" s="1" t="s">
        <v>18830</v>
      </c>
      <c r="U574" s="1" t="s">
        <v>7</v>
      </c>
      <c r="V574" s="1" t="s">
        <v>1647</v>
      </c>
      <c r="W574" s="1"/>
    </row>
    <row r="575" spans="1:23" x14ac:dyDescent="0.2">
      <c r="A575" s="88" t="s">
        <v>16002</v>
      </c>
      <c r="B575" s="1" t="e">
        <v>#N/A</v>
      </c>
      <c r="C575" s="1" t="s">
        <v>9452</v>
      </c>
      <c r="D575" s="1" t="s">
        <v>1648</v>
      </c>
      <c r="E575" s="1" t="s">
        <v>1649</v>
      </c>
      <c r="F575" s="1" t="s">
        <v>9456</v>
      </c>
      <c r="G575" s="1" t="s">
        <v>8959</v>
      </c>
      <c r="H575" t="s">
        <v>8959</v>
      </c>
      <c r="I575" s="1" t="s">
        <v>8948</v>
      </c>
      <c r="J575" s="1" t="s">
        <v>8998</v>
      </c>
      <c r="K575" s="1" t="s">
        <v>9658</v>
      </c>
      <c r="L575" s="1" t="s">
        <v>8987</v>
      </c>
      <c r="M575" s="1">
        <v>12635</v>
      </c>
      <c r="N575" s="1" t="s">
        <v>8953</v>
      </c>
      <c r="O575" s="1" t="s">
        <v>8989</v>
      </c>
      <c r="P575" s="1" t="s">
        <v>8955</v>
      </c>
      <c r="Q575" s="1" t="s">
        <v>8990</v>
      </c>
      <c r="R575" s="1" t="s">
        <v>8959</v>
      </c>
      <c r="S575" s="1" t="s">
        <v>9103</v>
      </c>
      <c r="T575" s="1" t="s">
        <v>1650</v>
      </c>
      <c r="U575" s="1" t="s">
        <v>17</v>
      </c>
      <c r="V575" s="1" t="s">
        <v>1651</v>
      </c>
      <c r="W575" s="1"/>
    </row>
    <row r="576" spans="1:23" x14ac:dyDescent="0.2">
      <c r="A576" s="88" t="s">
        <v>16003</v>
      </c>
      <c r="B576" s="1" t="e">
        <v>#N/A</v>
      </c>
      <c r="C576" s="1" t="e">
        <v>#N/A</v>
      </c>
      <c r="D576" s="1" t="s">
        <v>1652</v>
      </c>
      <c r="E576" s="1" t="s">
        <v>1653</v>
      </c>
      <c r="F576" s="1" t="e">
        <v>#N/A</v>
      </c>
      <c r="G576" s="1" t="e">
        <v>#N/A</v>
      </c>
      <c r="H576" t="e">
        <v>#N/A</v>
      </c>
      <c r="I576" s="1" t="e">
        <v>#N/A</v>
      </c>
      <c r="J576" s="1" t="e">
        <v>#N/A</v>
      </c>
      <c r="K576" s="1" t="e">
        <v>#N/A</v>
      </c>
      <c r="L576" s="1" t="e">
        <v>#N/A</v>
      </c>
      <c r="M576" s="1" t="e">
        <v>#N/A</v>
      </c>
      <c r="N576" s="1" t="e">
        <v>#N/A</v>
      </c>
      <c r="O576" s="1" t="e">
        <v>#N/A</v>
      </c>
      <c r="P576" s="1" t="e">
        <v>#N/A</v>
      </c>
      <c r="Q576" s="1" t="e">
        <v>#N/A</v>
      </c>
      <c r="R576" s="1">
        <f>1+LEN(T576)-LEN(SUBSTITUTE(T576,",",))</f>
        <v>3</v>
      </c>
      <c r="S576" s="1" t="str">
        <f>IF(R576&gt;4,IF(R576&lt;8,"4-7",IF(R576&gt;7,"&gt;7")),"&lt;4")</f>
        <v>&lt;4</v>
      </c>
      <c r="T576" s="1" t="s">
        <v>18831</v>
      </c>
      <c r="U576" s="1" t="s">
        <v>252</v>
      </c>
      <c r="V576" s="1" t="s">
        <v>8</v>
      </c>
      <c r="W576" s="1"/>
    </row>
    <row r="577" spans="1:24" x14ac:dyDescent="0.2">
      <c r="A577" s="88" t="s">
        <v>16004</v>
      </c>
      <c r="B577" s="1" t="e">
        <v>#N/A</v>
      </c>
      <c r="C577" s="1" t="s">
        <v>11718</v>
      </c>
      <c r="D577" s="1" t="s">
        <v>1654</v>
      </c>
      <c r="E577" s="1" t="s">
        <v>1655</v>
      </c>
      <c r="F577" s="1" t="s">
        <v>10873</v>
      </c>
      <c r="G577" s="1" t="s">
        <v>8957</v>
      </c>
      <c r="H577" t="s">
        <v>9183</v>
      </c>
      <c r="I577" s="1" t="s">
        <v>9049</v>
      </c>
      <c r="J577" s="1" t="s">
        <v>9325</v>
      </c>
      <c r="K577" s="1" t="s">
        <v>9036</v>
      </c>
      <c r="L577" s="1" t="s">
        <v>9133</v>
      </c>
      <c r="M577" s="1">
        <v>14884</v>
      </c>
      <c r="N577" s="1" t="s">
        <v>8953</v>
      </c>
      <c r="O577" s="1" t="s">
        <v>8954</v>
      </c>
      <c r="P577" s="1" t="s">
        <v>8955</v>
      </c>
      <c r="Q577" s="1" t="s">
        <v>8956</v>
      </c>
      <c r="R577" s="1" t="s">
        <v>8957</v>
      </c>
      <c r="S577" s="1" t="s">
        <v>8975</v>
      </c>
      <c r="T577" s="1" t="s">
        <v>1656</v>
      </c>
      <c r="U577" s="1" t="s">
        <v>11</v>
      </c>
      <c r="V577" s="1" t="s">
        <v>402</v>
      </c>
      <c r="W577" s="1"/>
    </row>
    <row r="578" spans="1:24" x14ac:dyDescent="0.2">
      <c r="A578" s="88" t="s">
        <v>20795</v>
      </c>
      <c r="B578" s="1" t="e">
        <v>#N/A</v>
      </c>
      <c r="C578" s="1" t="e">
        <v>#N/A</v>
      </c>
      <c r="D578" s="1" t="s">
        <v>1657</v>
      </c>
      <c r="E578" s="1" t="s">
        <v>1658</v>
      </c>
      <c r="F578" s="1" t="s">
        <v>9246</v>
      </c>
      <c r="G578" s="1" t="s">
        <v>8959</v>
      </c>
      <c r="H578" t="s">
        <v>9183</v>
      </c>
      <c r="I578" s="1" t="s">
        <v>9092</v>
      </c>
      <c r="J578" s="1" t="s">
        <v>8998</v>
      </c>
      <c r="K578" s="1" t="s">
        <v>20785</v>
      </c>
      <c r="L578" s="1" t="s">
        <v>9133</v>
      </c>
      <c r="M578" s="1">
        <f>76+40+27+53</f>
        <v>196</v>
      </c>
      <c r="N578" s="1" t="s">
        <v>9059</v>
      </c>
      <c r="O578" s="1" t="s">
        <v>8989</v>
      </c>
      <c r="P578" s="1" t="e">
        <v>#N/A</v>
      </c>
      <c r="Q578" s="1" t="e">
        <v>#N/A</v>
      </c>
      <c r="R578" s="1">
        <f t="shared" ref="R578:R580" si="166">1+LEN(T578)-LEN(SUBSTITUTE(T578,",",))</f>
        <v>8</v>
      </c>
      <c r="S578" s="1" t="str">
        <f t="shared" ref="S578:S580" si="167">IF(R578&gt;4,IF(R578&lt;8,"4-7",IF(R578&gt;7,"&gt;7")),"&lt;4")</f>
        <v>&gt;7</v>
      </c>
      <c r="T578" s="1" t="s">
        <v>18832</v>
      </c>
      <c r="U578" s="1" t="s">
        <v>7</v>
      </c>
      <c r="V578" s="1" t="s">
        <v>24</v>
      </c>
      <c r="W578" s="1"/>
    </row>
    <row r="579" spans="1:24" x14ac:dyDescent="0.2">
      <c r="A579" s="88" t="s">
        <v>20796</v>
      </c>
      <c r="B579" s="1" t="e">
        <v>#N/A</v>
      </c>
      <c r="C579" s="1" t="e">
        <v>#N/A</v>
      </c>
      <c r="D579" s="1" t="s">
        <v>1659</v>
      </c>
      <c r="E579" s="1" t="s">
        <v>1660</v>
      </c>
      <c r="F579" s="1" t="s">
        <v>18502</v>
      </c>
      <c r="G579" s="1" t="s">
        <v>8959</v>
      </c>
      <c r="H579" t="s">
        <v>8959</v>
      </c>
      <c r="I579" s="1" t="s">
        <v>9154</v>
      </c>
      <c r="J579" s="1" t="s">
        <v>8998</v>
      </c>
      <c r="K579" s="1" t="s">
        <v>21459</v>
      </c>
      <c r="L579" s="1" t="s">
        <v>9076</v>
      </c>
      <c r="M579" s="1">
        <v>10369</v>
      </c>
      <c r="N579" s="1" t="s">
        <v>8953</v>
      </c>
      <c r="O579" s="1" t="s">
        <v>8989</v>
      </c>
      <c r="P579" s="1" t="e">
        <v>#N/A</v>
      </c>
      <c r="Q579" s="1" t="e">
        <v>#N/A</v>
      </c>
      <c r="R579" s="1">
        <f t="shared" si="166"/>
        <v>10</v>
      </c>
      <c r="S579" s="1" t="str">
        <f t="shared" si="167"/>
        <v>&gt;7</v>
      </c>
      <c r="T579" s="1" t="s">
        <v>18833</v>
      </c>
      <c r="U579" s="1" t="s">
        <v>17</v>
      </c>
      <c r="V579" s="1" t="s">
        <v>93</v>
      </c>
      <c r="W579" s="1"/>
    </row>
    <row r="580" spans="1:24" x14ac:dyDescent="0.2">
      <c r="A580" s="88">
        <v>1</v>
      </c>
      <c r="B580" t="e">
        <v>#N/A</v>
      </c>
      <c r="C580" t="e">
        <v>#N/A</v>
      </c>
      <c r="D580" s="1" t="s">
        <v>20797</v>
      </c>
      <c r="E580" s="1" t="s">
        <v>1661</v>
      </c>
      <c r="F580" s="1" t="s">
        <v>9642</v>
      </c>
      <c r="G580" s="1" t="s">
        <v>8957</v>
      </c>
      <c r="H580" t="s">
        <v>9183</v>
      </c>
      <c r="I580" s="1" t="s">
        <v>9092</v>
      </c>
      <c r="J580" s="1" t="s">
        <v>9308</v>
      </c>
      <c r="K580" s="1" t="s">
        <v>20736</v>
      </c>
      <c r="L580" s="1" t="s">
        <v>8987</v>
      </c>
      <c r="M580" s="1">
        <v>400</v>
      </c>
      <c r="N580" s="1" t="s">
        <v>8953</v>
      </c>
      <c r="O580" s="1" t="s">
        <v>8989</v>
      </c>
      <c r="P580" s="1" t="e">
        <v>#N/A</v>
      </c>
      <c r="Q580" s="1" t="e">
        <v>#N/A</v>
      </c>
      <c r="R580" s="1">
        <f t="shared" si="166"/>
        <v>4</v>
      </c>
      <c r="S580" s="1" t="str">
        <f t="shared" si="167"/>
        <v>&lt;4</v>
      </c>
      <c r="T580" s="1" t="s">
        <v>20571</v>
      </c>
      <c r="U580" s="1" t="s">
        <v>4</v>
      </c>
      <c r="V580" s="1" t="s">
        <v>1662</v>
      </c>
      <c r="W580" s="1"/>
      <c r="X580" s="1"/>
    </row>
    <row r="581" spans="1:24" x14ac:dyDescent="0.2">
      <c r="A581" s="88" t="s">
        <v>16005</v>
      </c>
      <c r="B581" s="1" t="e">
        <v>#N/A</v>
      </c>
      <c r="C581" s="1" t="s">
        <v>10565</v>
      </c>
      <c r="D581" s="1" t="s">
        <v>1663</v>
      </c>
      <c r="E581" s="1" t="s">
        <v>1664</v>
      </c>
      <c r="F581" s="1" t="s">
        <v>9246</v>
      </c>
      <c r="G581" s="1" t="s">
        <v>8957</v>
      </c>
      <c r="H581" t="s">
        <v>9009</v>
      </c>
      <c r="I581" s="1" t="s">
        <v>9605</v>
      </c>
      <c r="J581" s="1" t="s">
        <v>9155</v>
      </c>
      <c r="K581" s="1" t="s">
        <v>9036</v>
      </c>
      <c r="L581" s="1" t="s">
        <v>9464</v>
      </c>
      <c r="M581" s="1">
        <v>2060</v>
      </c>
      <c r="N581" s="1" t="s">
        <v>8953</v>
      </c>
      <c r="O581" s="1" t="s">
        <v>8954</v>
      </c>
      <c r="P581" s="1" t="s">
        <v>8955</v>
      </c>
      <c r="Q581" s="1" t="s">
        <v>8956</v>
      </c>
      <c r="R581" s="1" t="s">
        <v>8957</v>
      </c>
      <c r="S581" s="1" t="s">
        <v>8958</v>
      </c>
      <c r="T581" s="1" t="s">
        <v>1665</v>
      </c>
      <c r="U581" s="1" t="s">
        <v>17</v>
      </c>
      <c r="V581" s="1" t="s">
        <v>126</v>
      </c>
      <c r="W581" s="1"/>
    </row>
    <row r="582" spans="1:24" x14ac:dyDescent="0.2">
      <c r="A582" s="88" t="s">
        <v>20798</v>
      </c>
      <c r="B582" s="1" t="e">
        <v>#N/A</v>
      </c>
      <c r="C582" s="1" t="e">
        <v>#N/A</v>
      </c>
      <c r="D582" s="1" t="s">
        <v>1666</v>
      </c>
      <c r="E582" s="1" t="s">
        <v>1667</v>
      </c>
      <c r="F582" s="1" t="s">
        <v>9246</v>
      </c>
      <c r="G582" s="1" t="s">
        <v>8959</v>
      </c>
      <c r="H582" t="s">
        <v>9061</v>
      </c>
      <c r="I582" s="1" t="s">
        <v>20712</v>
      </c>
      <c r="J582" s="1" t="s">
        <v>8998</v>
      </c>
      <c r="K582" s="1" t="s">
        <v>20779</v>
      </c>
      <c r="L582" s="1" t="s">
        <v>8987</v>
      </c>
      <c r="M582" s="1">
        <f>903+1687</f>
        <v>2590</v>
      </c>
      <c r="N582" s="1" t="s">
        <v>8953</v>
      </c>
      <c r="O582" s="1" t="s">
        <v>8954</v>
      </c>
      <c r="P582" s="1" t="e">
        <v>#N/A</v>
      </c>
      <c r="Q582" s="1" t="e">
        <v>#N/A</v>
      </c>
      <c r="R582" s="1">
        <f t="shared" ref="R582:R587" si="168">1+LEN(T582)-LEN(SUBSTITUTE(T582,",",))</f>
        <v>6</v>
      </c>
      <c r="S582" s="1" t="str">
        <f t="shared" ref="S582:S587" si="169">IF(R582&gt;4,IF(R582&lt;8,"4-7",IF(R582&gt;7,"&gt;7")),"&lt;4")</f>
        <v>4-7</v>
      </c>
      <c r="T582" s="1" t="s">
        <v>18834</v>
      </c>
      <c r="U582" s="1" t="s">
        <v>17</v>
      </c>
      <c r="V582" s="1" t="s">
        <v>61</v>
      </c>
      <c r="W582" s="1"/>
    </row>
    <row r="583" spans="1:24" x14ac:dyDescent="0.2">
      <c r="A583" s="88" t="s">
        <v>16006</v>
      </c>
      <c r="B583" s="1" t="e">
        <v>#N/A</v>
      </c>
      <c r="C583" s="1" t="e">
        <v>#N/A</v>
      </c>
      <c r="D583" s="1" t="s">
        <v>1668</v>
      </c>
      <c r="E583" s="1" t="s">
        <v>1669</v>
      </c>
      <c r="F583" s="1" t="s">
        <v>9815</v>
      </c>
      <c r="G583" s="1" t="s">
        <v>8959</v>
      </c>
      <c r="H583" t="s">
        <v>8959</v>
      </c>
      <c r="I583" s="1" t="s">
        <v>8948</v>
      </c>
      <c r="J583" s="1" t="s">
        <v>8949</v>
      </c>
      <c r="K583" s="1" t="s">
        <v>20735</v>
      </c>
      <c r="L583" s="1" t="s">
        <v>8987</v>
      </c>
      <c r="M583" s="1">
        <v>3064</v>
      </c>
      <c r="N583" s="1" t="s">
        <v>8953</v>
      </c>
      <c r="O583" s="1" t="s">
        <v>8954</v>
      </c>
      <c r="P583" s="1" t="e">
        <v>#N/A</v>
      </c>
      <c r="Q583" s="1" t="e">
        <v>#N/A</v>
      </c>
      <c r="R583" s="1">
        <f t="shared" si="168"/>
        <v>2</v>
      </c>
      <c r="S583" s="1" t="str">
        <f t="shared" si="169"/>
        <v>&lt;4</v>
      </c>
      <c r="T583" s="1" t="s">
        <v>18835</v>
      </c>
      <c r="U583" s="1" t="s">
        <v>17</v>
      </c>
      <c r="V583" s="1" t="s">
        <v>74</v>
      </c>
      <c r="W583" s="1"/>
    </row>
    <row r="584" spans="1:24" x14ac:dyDescent="0.2">
      <c r="A584" s="88" t="s">
        <v>20799</v>
      </c>
      <c r="B584" s="1" t="e">
        <v>#N/A</v>
      </c>
      <c r="C584" s="1" t="e">
        <v>#N/A</v>
      </c>
      <c r="D584" s="1" t="s">
        <v>1670</v>
      </c>
      <c r="E584" s="1" t="s">
        <v>1671</v>
      </c>
      <c r="F584" s="1" t="s">
        <v>10049</v>
      </c>
      <c r="G584" s="1" t="s">
        <v>8959</v>
      </c>
      <c r="H584" t="s">
        <v>8959</v>
      </c>
      <c r="I584" s="1" t="s">
        <v>9252</v>
      </c>
      <c r="J584" s="1" t="s">
        <v>20800</v>
      </c>
      <c r="K584" s="1" t="s">
        <v>18497</v>
      </c>
      <c r="L584" s="1" t="s">
        <v>8987</v>
      </c>
      <c r="M584" s="1">
        <v>400</v>
      </c>
      <c r="N584" s="1" t="s">
        <v>8953</v>
      </c>
      <c r="O584" s="1" t="s">
        <v>8989</v>
      </c>
      <c r="P584" s="1" t="e">
        <v>#N/A</v>
      </c>
      <c r="Q584" s="1" t="e">
        <v>#N/A</v>
      </c>
      <c r="R584" s="1">
        <f t="shared" si="168"/>
        <v>2</v>
      </c>
      <c r="S584" s="1" t="str">
        <f t="shared" si="169"/>
        <v>&lt;4</v>
      </c>
      <c r="T584" s="1" t="s">
        <v>18836</v>
      </c>
      <c r="U584" s="1" t="s">
        <v>7</v>
      </c>
      <c r="V584" s="1" t="s">
        <v>308</v>
      </c>
      <c r="W584" s="1"/>
    </row>
    <row r="585" spans="1:24" x14ac:dyDescent="0.2">
      <c r="A585" s="88" t="s">
        <v>16007</v>
      </c>
      <c r="B585" s="1" t="e">
        <v>#N/A</v>
      </c>
      <c r="C585" s="1" t="e">
        <v>#N/A</v>
      </c>
      <c r="D585" s="1" t="s">
        <v>1672</v>
      </c>
      <c r="E585" s="1" t="s">
        <v>1673</v>
      </c>
      <c r="F585" s="1" t="s">
        <v>11671</v>
      </c>
      <c r="G585" s="1" t="s">
        <v>8957</v>
      </c>
      <c r="H585" t="s">
        <v>9009</v>
      </c>
      <c r="I585" s="1" t="s">
        <v>9252</v>
      </c>
      <c r="J585" s="1" t="s">
        <v>18504</v>
      </c>
      <c r="K585" s="1" t="s">
        <v>21265</v>
      </c>
      <c r="L585" s="1" t="s">
        <v>8951</v>
      </c>
      <c r="M585" s="1">
        <v>2283</v>
      </c>
      <c r="N585" s="1" t="s">
        <v>9059</v>
      </c>
      <c r="O585" s="1" t="s">
        <v>8989</v>
      </c>
      <c r="P585" s="1" t="e">
        <v>#N/A</v>
      </c>
      <c r="Q585" s="1" t="e">
        <v>#N/A</v>
      </c>
      <c r="R585" s="1">
        <f t="shared" si="168"/>
        <v>7</v>
      </c>
      <c r="S585" s="1" t="str">
        <f t="shared" si="169"/>
        <v>4-7</v>
      </c>
      <c r="T585" s="1" t="s">
        <v>20572</v>
      </c>
      <c r="U585" s="1" t="s">
        <v>7</v>
      </c>
      <c r="V585" s="1" t="s">
        <v>180</v>
      </c>
      <c r="W585" s="1"/>
    </row>
    <row r="586" spans="1:24" x14ac:dyDescent="0.2">
      <c r="A586" s="89" t="s">
        <v>1674</v>
      </c>
      <c r="B586" s="1" t="e">
        <v>#N/A</v>
      </c>
      <c r="C586" s="1" t="e">
        <v>#N/A</v>
      </c>
      <c r="D586" s="1" t="s">
        <v>1675</v>
      </c>
      <c r="E586" s="1" t="s">
        <v>1676</v>
      </c>
      <c r="F586" s="1" t="e">
        <v>#N/A</v>
      </c>
      <c r="G586" s="1" t="e">
        <v>#N/A</v>
      </c>
      <c r="H586" t="e">
        <v>#N/A</v>
      </c>
      <c r="I586" s="1" t="e">
        <v>#N/A</v>
      </c>
      <c r="J586" s="1"/>
      <c r="K586" s="1" t="e">
        <v>#N/A</v>
      </c>
      <c r="L586" s="1" t="e">
        <v>#N/A</v>
      </c>
      <c r="M586" s="1" t="e">
        <v>#N/A</v>
      </c>
      <c r="N586" s="1" t="e">
        <v>#N/A</v>
      </c>
      <c r="O586" s="1" t="e">
        <v>#N/A</v>
      </c>
      <c r="P586" s="1" t="e">
        <v>#N/A</v>
      </c>
      <c r="Q586" s="1" t="e">
        <v>#N/A</v>
      </c>
      <c r="R586" s="1">
        <f t="shared" si="168"/>
        <v>1</v>
      </c>
      <c r="S586" s="1" t="str">
        <f t="shared" si="169"/>
        <v>&lt;4</v>
      </c>
      <c r="T586" s="1" t="s">
        <v>1677</v>
      </c>
      <c r="U586" s="1" t="s">
        <v>17</v>
      </c>
      <c r="V586" s="1" t="s">
        <v>1678</v>
      </c>
      <c r="W586" s="1"/>
    </row>
    <row r="587" spans="1:24" x14ac:dyDescent="0.2">
      <c r="A587" s="88" t="s">
        <v>16008</v>
      </c>
      <c r="B587" s="1" t="e">
        <v>#N/A</v>
      </c>
      <c r="C587" s="1" t="e">
        <v>#N/A</v>
      </c>
      <c r="D587" s="1" t="s">
        <v>1679</v>
      </c>
      <c r="E587" s="1" t="s">
        <v>1680</v>
      </c>
      <c r="F587" s="1" t="s">
        <v>9310</v>
      </c>
      <c r="G587" s="1" t="s">
        <v>8957</v>
      </c>
      <c r="H587" t="s">
        <v>8959</v>
      </c>
      <c r="I587" s="1" t="s">
        <v>9605</v>
      </c>
      <c r="J587" s="1" t="s">
        <v>8959</v>
      </c>
      <c r="K587" s="1" t="s">
        <v>10525</v>
      </c>
      <c r="L587" s="1" t="s">
        <v>8973</v>
      </c>
      <c r="M587" s="1">
        <v>3600</v>
      </c>
      <c r="N587" s="1" t="s">
        <v>8953</v>
      </c>
      <c r="O587" s="1" t="s">
        <v>8989</v>
      </c>
      <c r="P587" s="1" t="e">
        <v>#N/A</v>
      </c>
      <c r="Q587" s="1" t="e">
        <v>#N/A</v>
      </c>
      <c r="R587" s="1">
        <f t="shared" si="168"/>
        <v>4</v>
      </c>
      <c r="S587" s="1" t="str">
        <f t="shared" si="169"/>
        <v>&lt;4</v>
      </c>
      <c r="T587" s="1" t="s">
        <v>18837</v>
      </c>
      <c r="U587" s="1" t="s">
        <v>7</v>
      </c>
      <c r="V587" s="1" t="s">
        <v>210</v>
      </c>
      <c r="W587" s="1"/>
    </row>
    <row r="588" spans="1:24" x14ac:dyDescent="0.2">
      <c r="A588" s="88" t="s">
        <v>16009</v>
      </c>
      <c r="B588" s="1" t="e">
        <v>#N/A</v>
      </c>
      <c r="C588" s="1" t="s">
        <v>15017</v>
      </c>
      <c r="D588" s="1" t="s">
        <v>1681</v>
      </c>
      <c r="E588" s="1" t="s">
        <v>1682</v>
      </c>
      <c r="F588" s="1" t="s">
        <v>9310</v>
      </c>
      <c r="G588" s="1" t="s">
        <v>8959</v>
      </c>
      <c r="H588" t="s">
        <v>8959</v>
      </c>
      <c r="I588" s="1" t="s">
        <v>8948</v>
      </c>
      <c r="J588" s="1" t="s">
        <v>8949</v>
      </c>
      <c r="K588" s="1" t="s">
        <v>9036</v>
      </c>
      <c r="L588" s="1" t="s">
        <v>8973</v>
      </c>
      <c r="M588" s="1">
        <v>51000</v>
      </c>
      <c r="N588" s="1" t="s">
        <v>8953</v>
      </c>
      <c r="O588" s="1" t="s">
        <v>8989</v>
      </c>
      <c r="P588" s="1" t="s">
        <v>8955</v>
      </c>
      <c r="Q588" s="1" t="s">
        <v>8956</v>
      </c>
      <c r="R588" s="1" t="s">
        <v>8959</v>
      </c>
      <c r="S588" s="1" t="s">
        <v>8958</v>
      </c>
      <c r="T588" s="1" t="s">
        <v>1683</v>
      </c>
      <c r="U588" s="1" t="s">
        <v>17</v>
      </c>
      <c r="V588" s="1" t="s">
        <v>97</v>
      </c>
      <c r="W588" s="1"/>
    </row>
    <row r="589" spans="1:24" x14ac:dyDescent="0.2">
      <c r="A589" s="88" t="s">
        <v>16010</v>
      </c>
      <c r="B589" s="1" t="e">
        <v>#N/A</v>
      </c>
      <c r="C589" s="1" t="s">
        <v>10145</v>
      </c>
      <c r="D589" s="1" t="s">
        <v>1684</v>
      </c>
      <c r="E589" s="1" t="s">
        <v>1685</v>
      </c>
      <c r="F589" s="1" t="s">
        <v>9010</v>
      </c>
      <c r="G589" s="1" t="s">
        <v>8957</v>
      </c>
      <c r="H589" t="s">
        <v>8959</v>
      </c>
      <c r="I589" s="1" t="s">
        <v>9605</v>
      </c>
      <c r="J589" s="1" t="s">
        <v>9121</v>
      </c>
      <c r="K589" s="1" t="s">
        <v>21205</v>
      </c>
      <c r="L589" s="1" t="s">
        <v>9292</v>
      </c>
      <c r="M589" s="1">
        <v>608424</v>
      </c>
      <c r="N589" s="1" t="s">
        <v>8953</v>
      </c>
      <c r="O589" s="1" t="s">
        <v>8954</v>
      </c>
      <c r="P589" s="1" t="s">
        <v>8955</v>
      </c>
      <c r="Q589" s="1" t="s">
        <v>8956</v>
      </c>
      <c r="R589" s="1" t="s">
        <v>8957</v>
      </c>
      <c r="S589" s="1" t="s">
        <v>8958</v>
      </c>
      <c r="T589" s="1" t="s">
        <v>1686</v>
      </c>
      <c r="U589" s="1" t="s">
        <v>17</v>
      </c>
      <c r="V589" s="1" t="s">
        <v>700</v>
      </c>
      <c r="W589" s="1"/>
    </row>
    <row r="590" spans="1:24" x14ac:dyDescent="0.2">
      <c r="A590" s="89" t="s">
        <v>16011</v>
      </c>
      <c r="B590" s="1" t="e">
        <v>#N/A</v>
      </c>
      <c r="C590" s="1" t="e">
        <v>#N/A</v>
      </c>
      <c r="D590" s="1" t="s">
        <v>1687</v>
      </c>
      <c r="E590" s="1" t="s">
        <v>1688</v>
      </c>
      <c r="F590" s="1" t="e">
        <v>#N/A</v>
      </c>
      <c r="G590" s="1" t="e">
        <v>#N/A</v>
      </c>
      <c r="H590" t="e">
        <v>#N/A</v>
      </c>
      <c r="I590" s="1" t="e">
        <v>#N/A</v>
      </c>
      <c r="J590" s="1" t="e">
        <v>#N/A</v>
      </c>
      <c r="K590" s="1" t="e">
        <v>#N/A</v>
      </c>
      <c r="L590" s="1" t="e">
        <v>#N/A</v>
      </c>
      <c r="M590" s="1" t="e">
        <v>#N/A</v>
      </c>
      <c r="N590" s="1" t="e">
        <v>#N/A</v>
      </c>
      <c r="O590" s="1" t="e">
        <v>#N/A</v>
      </c>
      <c r="P590" s="1" t="e">
        <v>#N/A</v>
      </c>
      <c r="Q590" s="1" t="e">
        <v>#N/A</v>
      </c>
      <c r="R590" s="1">
        <f t="shared" ref="R590:R591" si="170">1+LEN(T590)-LEN(SUBSTITUTE(T590,",",))</f>
        <v>3</v>
      </c>
      <c r="S590" s="1" t="str">
        <f t="shared" ref="S590:S591" si="171">IF(R590&gt;4,IF(R590&lt;8,"4-7",IF(R590&gt;7,"&gt;7")),"&lt;4")</f>
        <v>&lt;4</v>
      </c>
      <c r="T590" s="1" t="s">
        <v>18838</v>
      </c>
      <c r="U590" s="1" t="s">
        <v>7</v>
      </c>
      <c r="V590" s="1" t="s">
        <v>1689</v>
      </c>
      <c r="W590" s="1"/>
    </row>
    <row r="591" spans="1:24" x14ac:dyDescent="0.2">
      <c r="A591" s="89" t="s">
        <v>1690</v>
      </c>
      <c r="B591" s="1" t="e">
        <v>#N/A</v>
      </c>
      <c r="C591" s="1" t="e">
        <v>#N/A</v>
      </c>
      <c r="D591" s="1" t="s">
        <v>1691</v>
      </c>
      <c r="E591" s="1" t="s">
        <v>1692</v>
      </c>
      <c r="F591" s="1" t="e">
        <v>#N/A</v>
      </c>
      <c r="G591" s="1" t="e">
        <v>#N/A</v>
      </c>
      <c r="H591" t="e">
        <v>#N/A</v>
      </c>
      <c r="I591" s="1" t="e">
        <v>#N/A</v>
      </c>
      <c r="J591" s="1" t="e">
        <v>#N/A</v>
      </c>
      <c r="K591" s="1" t="e">
        <v>#N/A</v>
      </c>
      <c r="L591" s="1" t="e">
        <v>#N/A</v>
      </c>
      <c r="M591" s="1" t="e">
        <v>#N/A</v>
      </c>
      <c r="N591" s="1" t="e">
        <v>#N/A</v>
      </c>
      <c r="O591" s="1" t="e">
        <v>#N/A</v>
      </c>
      <c r="P591" s="1" t="e">
        <v>#N/A</v>
      </c>
      <c r="Q591" s="1" t="e">
        <v>#N/A</v>
      </c>
      <c r="R591" s="1">
        <f t="shared" si="170"/>
        <v>3</v>
      </c>
      <c r="S591" s="1" t="str">
        <f t="shared" si="171"/>
        <v>&lt;4</v>
      </c>
      <c r="T591" s="1" t="s">
        <v>18839</v>
      </c>
      <c r="U591" s="1" t="s">
        <v>7</v>
      </c>
      <c r="V591" s="1" t="s">
        <v>496</v>
      </c>
      <c r="W591" s="1"/>
    </row>
    <row r="592" spans="1:24" x14ac:dyDescent="0.2">
      <c r="A592" s="88" t="s">
        <v>16012</v>
      </c>
      <c r="B592" s="1" t="e">
        <v>#N/A</v>
      </c>
      <c r="C592" s="1" t="s">
        <v>13125</v>
      </c>
      <c r="D592" s="1" t="s">
        <v>1693</v>
      </c>
      <c r="E592" s="1" t="s">
        <v>1694</v>
      </c>
      <c r="F592" s="1" t="s">
        <v>10850</v>
      </c>
      <c r="G592" s="1" t="s">
        <v>8957</v>
      </c>
      <c r="H592" t="s">
        <v>8959</v>
      </c>
      <c r="I592" s="1" t="s">
        <v>9049</v>
      </c>
      <c r="J592" s="1" t="s">
        <v>9325</v>
      </c>
      <c r="K592" s="1" t="s">
        <v>9036</v>
      </c>
      <c r="L592" s="1" t="s">
        <v>9133</v>
      </c>
      <c r="M592" s="1">
        <v>100</v>
      </c>
      <c r="N592" s="1" t="s">
        <v>8953</v>
      </c>
      <c r="O592" s="1" t="s">
        <v>8954</v>
      </c>
      <c r="P592" s="1" t="s">
        <v>8955</v>
      </c>
      <c r="Q592" s="1" t="s">
        <v>8956</v>
      </c>
      <c r="R592" s="1" t="s">
        <v>8957</v>
      </c>
      <c r="S592" s="1" t="s">
        <v>8975</v>
      </c>
      <c r="T592" s="1" t="s">
        <v>1695</v>
      </c>
      <c r="U592" s="1" t="s">
        <v>11</v>
      </c>
      <c r="V592" s="1" t="s">
        <v>396</v>
      </c>
      <c r="W592" s="1"/>
    </row>
    <row r="593" spans="1:23" x14ac:dyDescent="0.2">
      <c r="A593" s="88" t="s">
        <v>16013</v>
      </c>
      <c r="B593" s="1" t="e">
        <v>#N/A</v>
      </c>
      <c r="C593" s="1" t="e">
        <v>#N/A</v>
      </c>
      <c r="D593" s="1" t="s">
        <v>1696</v>
      </c>
      <c r="E593" s="1" t="s">
        <v>1697</v>
      </c>
      <c r="F593" s="1" t="s">
        <v>10850</v>
      </c>
      <c r="G593" s="1" t="s">
        <v>8957</v>
      </c>
      <c r="H593" t="s">
        <v>9009</v>
      </c>
      <c r="I593" s="1" t="s">
        <v>20714</v>
      </c>
      <c r="J593" s="1" t="s">
        <v>20725</v>
      </c>
      <c r="K593" s="1" t="s">
        <v>10492</v>
      </c>
      <c r="L593" s="1" t="s">
        <v>9464</v>
      </c>
      <c r="M593" s="1">
        <v>23280</v>
      </c>
      <c r="N593" s="1" t="s">
        <v>8953</v>
      </c>
      <c r="O593" s="1" t="s">
        <v>8989</v>
      </c>
      <c r="P593" s="1" t="e">
        <v>#N/A</v>
      </c>
      <c r="Q593" s="1" t="e">
        <v>#N/A</v>
      </c>
      <c r="R593" s="1">
        <f t="shared" ref="R593:R594" si="172">1+LEN(T593)-LEN(SUBSTITUTE(T593,",",))</f>
        <v>10</v>
      </c>
      <c r="S593" s="1" t="str">
        <f t="shared" ref="S593:S594" si="173">IF(R593&gt;4,IF(R593&lt;8,"4-7",IF(R593&gt;7,"&gt;7")),"&lt;4")</f>
        <v>&gt;7</v>
      </c>
      <c r="T593" s="1" t="s">
        <v>18840</v>
      </c>
      <c r="U593" s="1" t="s">
        <v>17</v>
      </c>
      <c r="V593" s="1" t="s">
        <v>24</v>
      </c>
      <c r="W593" s="1"/>
    </row>
    <row r="594" spans="1:23" x14ac:dyDescent="0.2">
      <c r="A594" s="88" t="s">
        <v>16014</v>
      </c>
      <c r="B594" s="1" t="e">
        <v>#N/A</v>
      </c>
      <c r="C594" s="1" t="e">
        <v>#N/A</v>
      </c>
      <c r="D594" s="1" t="s">
        <v>1698</v>
      </c>
      <c r="E594" s="1" t="s">
        <v>1699</v>
      </c>
      <c r="F594" s="1" t="e">
        <v>#N/A</v>
      </c>
      <c r="G594" s="1" t="e">
        <v>#N/A</v>
      </c>
      <c r="H594" t="e">
        <v>#N/A</v>
      </c>
      <c r="I594" s="1" t="e">
        <v>#N/A</v>
      </c>
      <c r="J594" s="1" t="e">
        <v>#N/A</v>
      </c>
      <c r="K594" s="1" t="e">
        <v>#N/A</v>
      </c>
      <c r="L594" s="1" t="e">
        <v>#N/A</v>
      </c>
      <c r="M594" s="1" t="e">
        <v>#N/A</v>
      </c>
      <c r="N594" s="1" t="e">
        <v>#N/A</v>
      </c>
      <c r="O594" s="1" t="e">
        <v>#N/A</v>
      </c>
      <c r="P594" s="1" t="e">
        <v>#N/A</v>
      </c>
      <c r="Q594" s="1" t="e">
        <v>#N/A</v>
      </c>
      <c r="R594" s="1">
        <f t="shared" si="172"/>
        <v>4</v>
      </c>
      <c r="S594" s="1" t="str">
        <f t="shared" si="173"/>
        <v>&lt;4</v>
      </c>
      <c r="T594" s="1" t="s">
        <v>18841</v>
      </c>
      <c r="U594" s="1" t="s">
        <v>252</v>
      </c>
      <c r="V594" s="1" t="s">
        <v>74</v>
      </c>
      <c r="W594" s="1"/>
    </row>
    <row r="595" spans="1:23" x14ac:dyDescent="0.2">
      <c r="A595" s="88" t="s">
        <v>16015</v>
      </c>
      <c r="B595" s="1" t="e">
        <v>#N/A</v>
      </c>
      <c r="C595" s="1" t="s">
        <v>9439</v>
      </c>
      <c r="D595" s="1" t="s">
        <v>1700</v>
      </c>
      <c r="E595" s="1" t="s">
        <v>1701</v>
      </c>
      <c r="F595" s="1" t="s">
        <v>9010</v>
      </c>
      <c r="G595" s="1" t="s">
        <v>8957</v>
      </c>
      <c r="H595" t="s">
        <v>8959</v>
      </c>
      <c r="I595" s="1" t="s">
        <v>8948</v>
      </c>
      <c r="J595" s="1" t="s">
        <v>8949</v>
      </c>
      <c r="K595" s="1" t="s">
        <v>8972</v>
      </c>
      <c r="L595" s="1" t="s">
        <v>8973</v>
      </c>
      <c r="M595" s="1">
        <v>135</v>
      </c>
      <c r="N595" s="1" t="s">
        <v>8953</v>
      </c>
      <c r="O595" s="1" t="s">
        <v>8989</v>
      </c>
      <c r="P595" s="1" t="s">
        <v>8955</v>
      </c>
      <c r="Q595" s="1" t="s">
        <v>8956</v>
      </c>
      <c r="R595" s="1" t="s">
        <v>8957</v>
      </c>
      <c r="S595" s="1" t="s">
        <v>8975</v>
      </c>
      <c r="T595" s="1" t="s">
        <v>1702</v>
      </c>
      <c r="U595" s="1" t="s">
        <v>17</v>
      </c>
      <c r="V595" s="1" t="s">
        <v>21</v>
      </c>
      <c r="W595" s="1"/>
    </row>
    <row r="596" spans="1:23" x14ac:dyDescent="0.2">
      <c r="A596" s="89" t="s">
        <v>1703</v>
      </c>
      <c r="B596" s="1" t="e">
        <v>#N/A</v>
      </c>
      <c r="C596" s="1" t="e">
        <v>#N/A</v>
      </c>
      <c r="D596" s="5" t="s">
        <v>1704</v>
      </c>
      <c r="E596" s="1" t="s">
        <v>1705</v>
      </c>
      <c r="F596" s="1" t="e">
        <v>#N/A</v>
      </c>
      <c r="G596" s="1" t="e">
        <v>#N/A</v>
      </c>
      <c r="H596" t="e">
        <v>#N/A</v>
      </c>
      <c r="I596" s="1" t="e">
        <v>#N/A</v>
      </c>
      <c r="J596" s="1" t="e">
        <v>#N/A</v>
      </c>
      <c r="K596" s="1" t="e">
        <v>#N/A</v>
      </c>
      <c r="L596" s="1" t="e">
        <v>#N/A</v>
      </c>
      <c r="M596" s="1" t="e">
        <v>#N/A</v>
      </c>
      <c r="N596" s="1" t="e">
        <v>#N/A</v>
      </c>
      <c r="O596" s="1" t="e">
        <v>#N/A</v>
      </c>
      <c r="P596" s="1" t="e">
        <v>#N/A</v>
      </c>
      <c r="Q596" s="1" t="e">
        <v>#N/A</v>
      </c>
      <c r="R596" s="1">
        <f t="shared" ref="R596:R597" si="174">1+LEN(T596)-LEN(SUBSTITUTE(T596,",",))</f>
        <v>7</v>
      </c>
      <c r="S596" s="1" t="str">
        <f t="shared" ref="S596:S597" si="175">IF(R596&gt;4,IF(R596&lt;8,"4-7",IF(R596&gt;7,"&gt;7")),"&lt;4")</f>
        <v>4-7</v>
      </c>
      <c r="T596" s="1" t="s">
        <v>18842</v>
      </c>
      <c r="U596" s="1" t="s">
        <v>17</v>
      </c>
      <c r="V596" s="1" t="s">
        <v>1706</v>
      </c>
      <c r="W596" s="1"/>
    </row>
    <row r="597" spans="1:23" x14ac:dyDescent="0.2">
      <c r="A597" s="95" t="s">
        <v>16016</v>
      </c>
      <c r="B597" s="1" t="e">
        <v>#N/A</v>
      </c>
      <c r="C597" s="1" t="e">
        <v>#N/A</v>
      </c>
      <c r="D597" s="1" t="s">
        <v>1707</v>
      </c>
      <c r="E597" s="1" t="s">
        <v>1708</v>
      </c>
      <c r="F597" s="1" t="s">
        <v>18502</v>
      </c>
      <c r="G597" s="1" t="s">
        <v>8957</v>
      </c>
      <c r="H597" t="s">
        <v>9061</v>
      </c>
      <c r="I597" s="1" t="s">
        <v>9075</v>
      </c>
      <c r="J597" s="1" t="s">
        <v>8949</v>
      </c>
      <c r="K597" s="1" t="s">
        <v>10525</v>
      </c>
      <c r="L597" s="1" t="s">
        <v>8987</v>
      </c>
      <c r="M597" s="1">
        <v>617</v>
      </c>
      <c r="N597" s="1" t="s">
        <v>9059</v>
      </c>
      <c r="O597" s="1" t="s">
        <v>8989</v>
      </c>
      <c r="P597" s="1" t="e">
        <v>#N/A</v>
      </c>
      <c r="Q597" s="1" t="e">
        <v>#N/A</v>
      </c>
      <c r="R597" s="1">
        <f t="shared" si="174"/>
        <v>8</v>
      </c>
      <c r="S597" s="1" t="str">
        <f t="shared" si="175"/>
        <v>&gt;7</v>
      </c>
      <c r="T597" s="1" t="s">
        <v>18843</v>
      </c>
      <c r="U597" s="1" t="s">
        <v>7</v>
      </c>
      <c r="V597" s="1" t="s">
        <v>286</v>
      </c>
      <c r="W597" s="1"/>
    </row>
    <row r="598" spans="1:23" x14ac:dyDescent="0.2">
      <c r="A598" s="88" t="s">
        <v>16017</v>
      </c>
      <c r="B598" s="1" t="e">
        <v>#N/A</v>
      </c>
      <c r="C598" s="1" t="s">
        <v>14094</v>
      </c>
      <c r="D598" s="1" t="s">
        <v>1709</v>
      </c>
      <c r="E598" s="1" t="s">
        <v>1710</v>
      </c>
      <c r="F598" s="1" t="s">
        <v>9380</v>
      </c>
      <c r="G598" s="1" t="s">
        <v>8957</v>
      </c>
      <c r="H598" t="s">
        <v>8959</v>
      </c>
      <c r="I598" s="1" t="s">
        <v>9252</v>
      </c>
      <c r="J598" s="1" t="s">
        <v>9253</v>
      </c>
      <c r="K598" s="1" t="s">
        <v>14097</v>
      </c>
      <c r="L598" s="1" t="s">
        <v>8987</v>
      </c>
      <c r="M598" s="1">
        <v>410</v>
      </c>
      <c r="N598" s="1" t="s">
        <v>8953</v>
      </c>
      <c r="O598" s="1" t="s">
        <v>8989</v>
      </c>
      <c r="P598" s="1" t="s">
        <v>8955</v>
      </c>
      <c r="Q598" s="1" t="s">
        <v>8956</v>
      </c>
      <c r="R598" s="1" t="s">
        <v>8957</v>
      </c>
      <c r="S598" s="1" t="s">
        <v>9103</v>
      </c>
      <c r="T598" s="1" t="s">
        <v>1711</v>
      </c>
      <c r="U598" s="1" t="s">
        <v>4</v>
      </c>
      <c r="V598" s="1" t="s">
        <v>126</v>
      </c>
      <c r="W598" s="1"/>
    </row>
    <row r="599" spans="1:23" x14ac:dyDescent="0.2">
      <c r="A599" s="88" t="s">
        <v>16018</v>
      </c>
      <c r="B599" s="1" t="e">
        <v>#N/A</v>
      </c>
      <c r="C599" s="1" t="s">
        <v>10272</v>
      </c>
      <c r="D599" s="1" t="s">
        <v>1712</v>
      </c>
      <c r="E599" s="1" t="s">
        <v>1713</v>
      </c>
      <c r="F599" s="1" t="s">
        <v>9380</v>
      </c>
      <c r="G599" s="1" t="s">
        <v>8957</v>
      </c>
      <c r="H599" t="s">
        <v>9009</v>
      </c>
      <c r="I599" s="1" t="s">
        <v>8948</v>
      </c>
      <c r="J599" s="1" t="s">
        <v>8998</v>
      </c>
      <c r="K599" s="1" t="s">
        <v>9036</v>
      </c>
      <c r="L599" s="1" t="s">
        <v>9157</v>
      </c>
      <c r="M599" s="1">
        <v>300</v>
      </c>
      <c r="N599" s="1" t="s">
        <v>8953</v>
      </c>
      <c r="O599" s="1" t="s">
        <v>8954</v>
      </c>
      <c r="P599" s="1" t="s">
        <v>8955</v>
      </c>
      <c r="Q599" s="1" t="s">
        <v>8956</v>
      </c>
      <c r="R599" s="1" t="s">
        <v>8957</v>
      </c>
      <c r="S599" s="1" t="s">
        <v>8958</v>
      </c>
      <c r="T599" s="1" t="s">
        <v>1714</v>
      </c>
      <c r="U599" s="1" t="s">
        <v>17</v>
      </c>
      <c r="V599" s="1" t="s">
        <v>24</v>
      </c>
      <c r="W599" s="1"/>
    </row>
    <row r="600" spans="1:23" x14ac:dyDescent="0.2">
      <c r="A600" s="88" t="s">
        <v>16019</v>
      </c>
      <c r="B600" s="1" t="e">
        <v>#N/A</v>
      </c>
      <c r="C600" s="1" t="e">
        <v>#N/A</v>
      </c>
      <c r="D600" s="1" t="s">
        <v>1715</v>
      </c>
      <c r="E600" s="1" t="s">
        <v>1716</v>
      </c>
      <c r="F600" s="1" t="s">
        <v>10873</v>
      </c>
      <c r="G600" s="1" t="s">
        <v>8957</v>
      </c>
      <c r="H600" t="s">
        <v>9009</v>
      </c>
      <c r="I600" s="1" t="s">
        <v>9154</v>
      </c>
      <c r="J600" s="1" t="s">
        <v>8971</v>
      </c>
      <c r="K600" s="1" t="s">
        <v>10492</v>
      </c>
      <c r="L600" s="1" t="s">
        <v>8951</v>
      </c>
      <c r="M600" s="1">
        <v>194</v>
      </c>
      <c r="N600" s="1" t="s">
        <v>9059</v>
      </c>
      <c r="O600" s="1" t="s">
        <v>8954</v>
      </c>
      <c r="P600" s="1" t="e">
        <v>#N/A</v>
      </c>
      <c r="Q600" s="1" t="e">
        <v>#N/A</v>
      </c>
      <c r="R600" s="1">
        <f t="shared" ref="R600:R602" si="176">1+LEN(T600)-LEN(SUBSTITUTE(T600,",",))</f>
        <v>10</v>
      </c>
      <c r="S600" s="1" t="str">
        <f t="shared" ref="S600:S602" si="177">IF(R600&gt;4,IF(R600&lt;8,"4-7",IF(R600&gt;7,"&gt;7")),"&lt;4")</f>
        <v>&gt;7</v>
      </c>
      <c r="T600" s="1" t="s">
        <v>18844</v>
      </c>
      <c r="U600" s="1" t="s">
        <v>17</v>
      </c>
      <c r="V600" s="1" t="s">
        <v>1717</v>
      </c>
      <c r="W600" s="1"/>
    </row>
    <row r="601" spans="1:23" x14ac:dyDescent="0.2">
      <c r="A601" s="88" t="s">
        <v>16020</v>
      </c>
      <c r="B601" s="1" t="e">
        <v>#N/A</v>
      </c>
      <c r="C601" s="1" t="e">
        <v>#N/A</v>
      </c>
      <c r="D601" s="1" t="s">
        <v>1718</v>
      </c>
      <c r="E601" s="1" t="s">
        <v>1719</v>
      </c>
      <c r="F601" s="1" t="s">
        <v>9317</v>
      </c>
      <c r="G601" s="1" t="s">
        <v>8957</v>
      </c>
      <c r="H601" t="s">
        <v>9009</v>
      </c>
      <c r="I601" s="1" t="s">
        <v>9154</v>
      </c>
      <c r="J601" s="1" t="s">
        <v>8971</v>
      </c>
      <c r="K601" s="1" t="s">
        <v>21205</v>
      </c>
      <c r="L601" s="1" t="s">
        <v>9464</v>
      </c>
      <c r="M601" s="1">
        <v>267</v>
      </c>
      <c r="N601" s="1" t="s">
        <v>9059</v>
      </c>
      <c r="O601" s="1" t="s">
        <v>8954</v>
      </c>
      <c r="P601" s="1" t="e">
        <v>#N/A</v>
      </c>
      <c r="Q601" s="1" t="e">
        <v>#N/A</v>
      </c>
      <c r="R601" s="1">
        <f t="shared" si="176"/>
        <v>8</v>
      </c>
      <c r="S601" s="1" t="str">
        <f t="shared" si="177"/>
        <v>&gt;7</v>
      </c>
      <c r="T601" s="1" t="s">
        <v>18845</v>
      </c>
      <c r="U601" s="1" t="s">
        <v>17</v>
      </c>
      <c r="V601" s="1" t="s">
        <v>871</v>
      </c>
      <c r="W601" s="1"/>
    </row>
    <row r="602" spans="1:23" x14ac:dyDescent="0.2">
      <c r="A602" s="88" t="s">
        <v>16021</v>
      </c>
      <c r="B602" s="1" t="e">
        <v>#N/A</v>
      </c>
      <c r="C602" s="1" t="e">
        <v>#N/A</v>
      </c>
      <c r="D602" s="1" t="s">
        <v>1720</v>
      </c>
      <c r="E602" s="1" t="s">
        <v>1721</v>
      </c>
      <c r="F602" s="1" t="s">
        <v>9317</v>
      </c>
      <c r="G602" s="1" t="s">
        <v>8957</v>
      </c>
      <c r="H602" t="s">
        <v>9009</v>
      </c>
      <c r="I602" s="1" t="s">
        <v>9154</v>
      </c>
      <c r="J602" s="1" t="s">
        <v>8949</v>
      </c>
      <c r="K602" s="1" t="s">
        <v>10629</v>
      </c>
      <c r="L602" s="1" t="s">
        <v>9076</v>
      </c>
      <c r="M602" s="1">
        <v>100000</v>
      </c>
      <c r="N602" s="1" t="s">
        <v>8953</v>
      </c>
      <c r="O602" s="1" t="s">
        <v>8989</v>
      </c>
      <c r="P602" s="1" t="e">
        <v>#N/A</v>
      </c>
      <c r="Q602" s="1" t="e">
        <v>#N/A</v>
      </c>
      <c r="R602" s="1">
        <f t="shared" si="176"/>
        <v>11</v>
      </c>
      <c r="S602" s="1" t="str">
        <f t="shared" si="177"/>
        <v>&gt;7</v>
      </c>
      <c r="T602" s="1" t="s">
        <v>18846</v>
      </c>
      <c r="U602" s="1" t="s">
        <v>7</v>
      </c>
      <c r="V602" s="1" t="s">
        <v>1017</v>
      </c>
      <c r="W602" s="1"/>
    </row>
    <row r="603" spans="1:23" x14ac:dyDescent="0.2">
      <c r="A603" s="89" t="s">
        <v>1722</v>
      </c>
      <c r="B603" s="1" t="e">
        <v>#N/A</v>
      </c>
      <c r="C603" s="1" t="s">
        <v>11271</v>
      </c>
      <c r="D603" s="1" t="s">
        <v>1723</v>
      </c>
      <c r="E603" s="1" t="s">
        <v>1724</v>
      </c>
      <c r="F603" s="1" t="s">
        <v>9010</v>
      </c>
      <c r="G603" s="1" t="s">
        <v>8959</v>
      </c>
      <c r="H603" t="s">
        <v>9183</v>
      </c>
      <c r="I603" s="1" t="s">
        <v>9154</v>
      </c>
      <c r="J603" s="1" t="s">
        <v>9121</v>
      </c>
      <c r="K603" s="1" t="s">
        <v>9036</v>
      </c>
      <c r="L603" s="1" t="s">
        <v>9133</v>
      </c>
      <c r="M603" s="1">
        <v>682</v>
      </c>
      <c r="N603" s="1" t="s">
        <v>9059</v>
      </c>
      <c r="O603" s="1" t="s">
        <v>8954</v>
      </c>
      <c r="P603" s="1" t="s">
        <v>8955</v>
      </c>
      <c r="Q603" s="1" t="s">
        <v>8956</v>
      </c>
      <c r="R603" s="1" t="s">
        <v>8959</v>
      </c>
      <c r="S603" s="1" t="s">
        <v>9103</v>
      </c>
      <c r="T603" s="1" t="s">
        <v>1725</v>
      </c>
      <c r="U603" s="1" t="s">
        <v>11</v>
      </c>
      <c r="V603" s="1" t="s">
        <v>1726</v>
      </c>
      <c r="W603" s="1"/>
    </row>
    <row r="604" spans="1:23" x14ac:dyDescent="0.2">
      <c r="A604" s="88" t="s">
        <v>16022</v>
      </c>
      <c r="B604" s="1" t="e">
        <v>#N/A</v>
      </c>
      <c r="C604" s="1" t="e">
        <v>#N/A</v>
      </c>
      <c r="D604" s="1" t="s">
        <v>1727</v>
      </c>
      <c r="E604" s="1" t="s">
        <v>1728</v>
      </c>
      <c r="F604" s="1" t="s">
        <v>10049</v>
      </c>
      <c r="G604" s="1" t="s">
        <v>8957</v>
      </c>
      <c r="H604" t="s">
        <v>8959</v>
      </c>
      <c r="I604" s="1" t="s">
        <v>9100</v>
      </c>
      <c r="J604" s="1" t="s">
        <v>8949</v>
      </c>
      <c r="K604" s="1" t="s">
        <v>10492</v>
      </c>
      <c r="L604" s="1" t="s">
        <v>8987</v>
      </c>
      <c r="M604" s="1">
        <v>1003</v>
      </c>
      <c r="N604" s="1" t="s">
        <v>8953</v>
      </c>
      <c r="O604" s="1" t="s">
        <v>8989</v>
      </c>
      <c r="P604" s="1" t="e">
        <v>#N/A</v>
      </c>
      <c r="Q604" s="1" t="e">
        <v>#N/A</v>
      </c>
      <c r="R604" s="1">
        <f t="shared" ref="R604:R605" si="178">1+LEN(T604)-LEN(SUBSTITUTE(T604,",",))</f>
        <v>6</v>
      </c>
      <c r="S604" s="1" t="str">
        <f t="shared" ref="S604:S605" si="179">IF(R604&gt;4,IF(R604&lt;8,"4-7",IF(R604&gt;7,"&gt;7")),"&lt;4")</f>
        <v>4-7</v>
      </c>
      <c r="T604" s="1" t="s">
        <v>18847</v>
      </c>
      <c r="U604" s="1" t="s">
        <v>7</v>
      </c>
      <c r="V604" s="1" t="s">
        <v>46</v>
      </c>
      <c r="W604" s="1"/>
    </row>
    <row r="605" spans="1:23" x14ac:dyDescent="0.2">
      <c r="A605" s="88" t="s">
        <v>16023</v>
      </c>
      <c r="B605" s="1" t="e">
        <v>#N/A</v>
      </c>
      <c r="C605" s="1" t="e">
        <v>#N/A</v>
      </c>
      <c r="D605" s="1" t="s">
        <v>1729</v>
      </c>
      <c r="E605" s="1" t="s">
        <v>1730</v>
      </c>
      <c r="F605" s="1" t="s">
        <v>10850</v>
      </c>
      <c r="G605" s="1" t="s">
        <v>8959</v>
      </c>
      <c r="H605" t="s">
        <v>8959</v>
      </c>
      <c r="I605" s="1" t="s">
        <v>9075</v>
      </c>
      <c r="J605" s="1" t="s">
        <v>8998</v>
      </c>
      <c r="K605" s="1" t="s">
        <v>10492</v>
      </c>
      <c r="L605" s="1" t="s">
        <v>9076</v>
      </c>
      <c r="M605" s="1">
        <v>6400</v>
      </c>
      <c r="N605" s="1" t="s">
        <v>8953</v>
      </c>
      <c r="O605" s="1" t="s">
        <v>8989</v>
      </c>
      <c r="P605" s="1" t="e">
        <v>#N/A</v>
      </c>
      <c r="Q605" s="1" t="e">
        <v>#N/A</v>
      </c>
      <c r="R605" s="1">
        <f t="shared" si="178"/>
        <v>6</v>
      </c>
      <c r="S605" s="1" t="str">
        <f t="shared" si="179"/>
        <v>4-7</v>
      </c>
      <c r="T605" s="1" t="s">
        <v>18848</v>
      </c>
      <c r="U605" s="1" t="s">
        <v>7</v>
      </c>
      <c r="V605" s="1" t="s">
        <v>378</v>
      </c>
      <c r="W605" s="1"/>
    </row>
    <row r="606" spans="1:23" x14ac:dyDescent="0.2">
      <c r="A606" s="88" t="s">
        <v>16024</v>
      </c>
      <c r="B606" s="1" t="e">
        <v>#N/A</v>
      </c>
      <c r="C606" s="1" t="s">
        <v>15292</v>
      </c>
      <c r="D606" s="1" t="s">
        <v>1731</v>
      </c>
      <c r="E606" s="1" t="s">
        <v>1732</v>
      </c>
      <c r="F606" s="1" t="s">
        <v>9010</v>
      </c>
      <c r="G606" s="1" t="s">
        <v>8957</v>
      </c>
      <c r="H606" t="s">
        <v>9061</v>
      </c>
      <c r="I606" s="1" t="s">
        <v>8948</v>
      </c>
      <c r="J606" s="1" t="s">
        <v>9725</v>
      </c>
      <c r="K606" s="1" t="s">
        <v>9112</v>
      </c>
      <c r="L606" s="1" t="s">
        <v>9133</v>
      </c>
      <c r="M606" s="1">
        <v>2109</v>
      </c>
      <c r="N606" s="1" t="s">
        <v>8953</v>
      </c>
      <c r="O606" s="1" t="s">
        <v>8954</v>
      </c>
      <c r="P606" s="1" t="s">
        <v>8955</v>
      </c>
      <c r="Q606" s="1" t="s">
        <v>8956</v>
      </c>
      <c r="R606" s="1" t="s">
        <v>8957</v>
      </c>
      <c r="S606" s="1" t="s">
        <v>8975</v>
      </c>
      <c r="T606" s="1" t="s">
        <v>1733</v>
      </c>
      <c r="U606" s="1" t="s">
        <v>17</v>
      </c>
      <c r="V606" s="1" t="s">
        <v>180</v>
      </c>
      <c r="W606" s="1"/>
    </row>
    <row r="607" spans="1:23" x14ac:dyDescent="0.2">
      <c r="A607" s="88" t="s">
        <v>16025</v>
      </c>
      <c r="B607" s="1" t="e">
        <v>#N/A</v>
      </c>
      <c r="C607" s="1" t="s">
        <v>9500</v>
      </c>
      <c r="D607" s="1" t="s">
        <v>1734</v>
      </c>
      <c r="E607" s="1" t="s">
        <v>1735</v>
      </c>
      <c r="F607" s="1" t="s">
        <v>9310</v>
      </c>
      <c r="G607" s="1" t="s">
        <v>8957</v>
      </c>
      <c r="H607" t="s">
        <v>9009</v>
      </c>
      <c r="I607" s="1" t="s">
        <v>8984</v>
      </c>
      <c r="J607" s="1" t="s">
        <v>9131</v>
      </c>
      <c r="K607" s="1" t="s">
        <v>9036</v>
      </c>
      <c r="L607" s="1" t="s">
        <v>9292</v>
      </c>
      <c r="M607" s="1">
        <v>113426569</v>
      </c>
      <c r="N607" s="1" t="s">
        <v>8953</v>
      </c>
      <c r="O607" s="1" t="s">
        <v>8954</v>
      </c>
      <c r="P607" s="1" t="s">
        <v>8955</v>
      </c>
      <c r="Q607" s="1" t="s">
        <v>8956</v>
      </c>
      <c r="R607" s="1" t="s">
        <v>8957</v>
      </c>
      <c r="S607" s="1" t="s">
        <v>8975</v>
      </c>
      <c r="T607" s="1" t="s">
        <v>1736</v>
      </c>
      <c r="U607" s="1" t="s">
        <v>17</v>
      </c>
      <c r="V607" s="1" t="s">
        <v>1318</v>
      </c>
      <c r="W607" s="1"/>
    </row>
    <row r="608" spans="1:23" x14ac:dyDescent="0.2">
      <c r="A608" s="88" t="s">
        <v>16026</v>
      </c>
      <c r="B608" s="1" t="e">
        <v>#N/A</v>
      </c>
      <c r="C608" s="1" t="e">
        <v>#N/A</v>
      </c>
      <c r="D608" s="1" t="s">
        <v>1737</v>
      </c>
      <c r="E608" s="1" t="s">
        <v>1738</v>
      </c>
      <c r="F608" s="1" t="s">
        <v>12547</v>
      </c>
      <c r="G608" s="1" t="s">
        <v>8959</v>
      </c>
      <c r="H608" t="s">
        <v>8959</v>
      </c>
      <c r="I608" s="1" t="s">
        <v>9605</v>
      </c>
      <c r="J608" s="1" t="s">
        <v>8998</v>
      </c>
      <c r="K608" s="1" t="s">
        <v>10492</v>
      </c>
      <c r="L608" s="1" t="s">
        <v>8973</v>
      </c>
      <c r="M608" s="1">
        <v>7200</v>
      </c>
      <c r="N608" s="1" t="s">
        <v>8953</v>
      </c>
      <c r="O608" s="1" t="s">
        <v>8954</v>
      </c>
      <c r="P608" s="1" t="e">
        <v>#N/A</v>
      </c>
      <c r="Q608" s="1" t="e">
        <v>#N/A</v>
      </c>
      <c r="R608" s="1">
        <f>1+LEN(T608)-LEN(SUBSTITUTE(T608,",",))</f>
        <v>5</v>
      </c>
      <c r="S608" s="1" t="str">
        <f>IF(R608&gt;4,IF(R608&lt;8,"4-7",IF(R608&gt;7,"&gt;7")),"&lt;4")</f>
        <v>4-7</v>
      </c>
      <c r="T608" s="1" t="s">
        <v>18849</v>
      </c>
      <c r="U608" s="1" t="s">
        <v>7</v>
      </c>
      <c r="V608" s="1" t="s">
        <v>184</v>
      </c>
      <c r="W608" s="1"/>
    </row>
    <row r="609" spans="1:23" x14ac:dyDescent="0.2">
      <c r="A609" s="88" t="s">
        <v>16027</v>
      </c>
      <c r="B609" s="1" t="e">
        <v>#N/A</v>
      </c>
      <c r="C609" s="1" t="s">
        <v>12544</v>
      </c>
      <c r="D609" s="1" t="s">
        <v>1739</v>
      </c>
      <c r="E609" s="1" t="s">
        <v>1740</v>
      </c>
      <c r="F609" s="1" t="s">
        <v>12547</v>
      </c>
      <c r="G609" s="1" t="s">
        <v>8959</v>
      </c>
      <c r="H609" t="s">
        <v>8959</v>
      </c>
      <c r="I609" s="1" t="s">
        <v>8948</v>
      </c>
      <c r="J609" s="1" t="s">
        <v>8949</v>
      </c>
      <c r="K609" s="1" t="s">
        <v>9036</v>
      </c>
      <c r="L609" s="1" t="s">
        <v>8973</v>
      </c>
      <c r="M609" s="1">
        <v>91</v>
      </c>
      <c r="N609" s="1" t="s">
        <v>8953</v>
      </c>
      <c r="O609" s="1" t="s">
        <v>8989</v>
      </c>
      <c r="P609" s="1" t="s">
        <v>8955</v>
      </c>
      <c r="Q609" s="1" t="s">
        <v>8956</v>
      </c>
      <c r="R609" s="1" t="s">
        <v>8959</v>
      </c>
      <c r="S609" s="1" t="s">
        <v>8975</v>
      </c>
      <c r="T609" s="1" t="s">
        <v>1741</v>
      </c>
      <c r="U609" s="1" t="s">
        <v>11</v>
      </c>
      <c r="V609" s="1" t="s">
        <v>184</v>
      </c>
      <c r="W609" s="1"/>
    </row>
    <row r="610" spans="1:23" x14ac:dyDescent="0.2">
      <c r="A610" s="89">
        <v>1</v>
      </c>
      <c r="B610" t="e">
        <v>#N/A</v>
      </c>
      <c r="C610" t="e">
        <v>#N/A</v>
      </c>
      <c r="D610" s="1" t="s">
        <v>1742</v>
      </c>
      <c r="E610" s="1" t="s">
        <v>1743</v>
      </c>
      <c r="F610" s="1" t="e">
        <v>#N/A</v>
      </c>
      <c r="G610" s="1" t="e">
        <v>#N/A</v>
      </c>
      <c r="H610" t="e">
        <v>#N/A</v>
      </c>
      <c r="I610" s="1" t="e">
        <v>#N/A</v>
      </c>
      <c r="J610" s="1" t="e">
        <v>#N/A</v>
      </c>
      <c r="K610" s="1" t="e">
        <v>#N/A</v>
      </c>
      <c r="L610" s="1" t="e">
        <v>#N/A</v>
      </c>
      <c r="M610" s="1" t="e">
        <v>#N/A</v>
      </c>
      <c r="N610" s="1" t="e">
        <v>#N/A</v>
      </c>
      <c r="O610" s="1" t="e">
        <v>#N/A</v>
      </c>
      <c r="P610" s="1" t="e">
        <v>#N/A</v>
      </c>
      <c r="Q610" s="1" t="e">
        <v>#N/A</v>
      </c>
      <c r="R610" s="1">
        <f t="shared" ref="R610:R615" si="180">1+LEN(T610)-LEN(SUBSTITUTE(T610,",",))</f>
        <v>3</v>
      </c>
      <c r="S610" s="1" t="str">
        <f t="shared" ref="S610:S615" si="181">IF(R610&gt;4,IF(R610&lt;8,"4-7",IF(R610&gt;7,"&gt;7")),"&lt;4")</f>
        <v>&lt;4</v>
      </c>
      <c r="T610" s="1" t="s">
        <v>18850</v>
      </c>
      <c r="U610" s="1" t="s">
        <v>7</v>
      </c>
      <c r="V610" s="1" t="s">
        <v>1744</v>
      </c>
      <c r="W610" s="1"/>
    </row>
    <row r="611" spans="1:23" x14ac:dyDescent="0.2">
      <c r="A611" s="88" t="s">
        <v>16028</v>
      </c>
      <c r="B611" s="1" t="e">
        <v>#N/A</v>
      </c>
      <c r="C611" s="1" t="e">
        <v>#N/A</v>
      </c>
      <c r="D611" s="1" t="s">
        <v>1745</v>
      </c>
      <c r="E611" s="1" t="s">
        <v>1746</v>
      </c>
      <c r="F611" s="1" t="s">
        <v>9246</v>
      </c>
      <c r="G611" s="1" t="s">
        <v>8974</v>
      </c>
      <c r="H611" t="s">
        <v>9061</v>
      </c>
      <c r="I611" s="1" t="s">
        <v>8948</v>
      </c>
      <c r="J611" s="1" t="s">
        <v>9155</v>
      </c>
      <c r="K611" s="1" t="s">
        <v>10492</v>
      </c>
      <c r="L611" s="1" t="s">
        <v>9076</v>
      </c>
      <c r="M611" s="1">
        <v>34</v>
      </c>
      <c r="N611" s="1" t="s">
        <v>9059</v>
      </c>
      <c r="O611" s="1" t="s">
        <v>8989</v>
      </c>
      <c r="P611" s="1" t="e">
        <v>#N/A</v>
      </c>
      <c r="Q611" s="1" t="e">
        <v>#N/A</v>
      </c>
      <c r="R611" s="1">
        <f t="shared" si="180"/>
        <v>10</v>
      </c>
      <c r="S611" s="1" t="str">
        <f t="shared" si="181"/>
        <v>&gt;7</v>
      </c>
      <c r="T611" s="1" t="s">
        <v>18851</v>
      </c>
      <c r="U611" s="1" t="s">
        <v>17</v>
      </c>
      <c r="V611" s="1" t="s">
        <v>93</v>
      </c>
      <c r="W611" s="1"/>
    </row>
    <row r="612" spans="1:23" x14ac:dyDescent="0.2">
      <c r="A612" s="89" t="s">
        <v>1747</v>
      </c>
      <c r="B612" s="1" t="e">
        <v>#N/A</v>
      </c>
      <c r="C612" s="1" t="e">
        <v>#N/A</v>
      </c>
      <c r="D612" s="1" t="s">
        <v>1748</v>
      </c>
      <c r="E612" s="1" t="s">
        <v>1749</v>
      </c>
      <c r="F612" s="1" t="e">
        <v>#N/A</v>
      </c>
      <c r="G612" s="1" t="e">
        <v>#N/A</v>
      </c>
      <c r="H612" t="e">
        <v>#N/A</v>
      </c>
      <c r="I612" s="1" t="e">
        <v>#N/A</v>
      </c>
      <c r="J612" s="1" t="e">
        <v>#N/A</v>
      </c>
      <c r="K612" s="1" t="e">
        <v>#N/A</v>
      </c>
      <c r="L612" s="1" t="e">
        <v>#N/A</v>
      </c>
      <c r="M612" s="1" t="e">
        <v>#N/A</v>
      </c>
      <c r="N612" s="1" t="e">
        <v>#N/A</v>
      </c>
      <c r="O612" s="1" t="e">
        <v>#N/A</v>
      </c>
      <c r="P612" s="1" t="e">
        <v>#N/A</v>
      </c>
      <c r="Q612" s="1" t="e">
        <v>#N/A</v>
      </c>
      <c r="R612" s="1">
        <f t="shared" si="180"/>
        <v>4</v>
      </c>
      <c r="S612" s="1" t="str">
        <f t="shared" si="181"/>
        <v>&lt;4</v>
      </c>
      <c r="T612" s="1" t="s">
        <v>18852</v>
      </c>
      <c r="U612" s="1" t="s">
        <v>7</v>
      </c>
      <c r="V612" s="1" t="s">
        <v>1750</v>
      </c>
      <c r="W612" s="1"/>
    </row>
    <row r="613" spans="1:23" x14ac:dyDescent="0.2">
      <c r="A613" s="89" t="s">
        <v>1751</v>
      </c>
      <c r="B613" s="1" t="e">
        <v>#N/A</v>
      </c>
      <c r="C613" s="1" t="e">
        <v>#N/A</v>
      </c>
      <c r="D613" s="1" t="s">
        <v>1752</v>
      </c>
      <c r="E613" s="1" t="s">
        <v>1753</v>
      </c>
      <c r="F613" s="1" t="e">
        <v>#N/A</v>
      </c>
      <c r="G613" s="1" t="e">
        <v>#N/A</v>
      </c>
      <c r="H613" t="e">
        <v>#N/A</v>
      </c>
      <c r="I613" s="1" t="e">
        <v>#N/A</v>
      </c>
      <c r="J613" s="1" t="e">
        <v>#N/A</v>
      </c>
      <c r="K613" s="1" t="e">
        <v>#N/A</v>
      </c>
      <c r="L613" s="1" t="e">
        <v>#N/A</v>
      </c>
      <c r="M613" s="1" t="e">
        <v>#N/A</v>
      </c>
      <c r="N613" s="1" t="e">
        <v>#N/A</v>
      </c>
      <c r="O613" s="1" t="e">
        <v>#N/A</v>
      </c>
      <c r="P613" s="1" t="e">
        <v>#N/A</v>
      </c>
      <c r="Q613" s="1" t="e">
        <v>#N/A</v>
      </c>
      <c r="R613" s="1">
        <f t="shared" si="180"/>
        <v>3</v>
      </c>
      <c r="S613" s="1" t="str">
        <f t="shared" si="181"/>
        <v>&lt;4</v>
      </c>
      <c r="T613" s="1" t="s">
        <v>18853</v>
      </c>
      <c r="U613" s="1" t="s">
        <v>7</v>
      </c>
      <c r="V613" s="1" t="s">
        <v>138</v>
      </c>
      <c r="W613" s="1"/>
    </row>
    <row r="614" spans="1:23" x14ac:dyDescent="0.2">
      <c r="A614" s="88" t="s">
        <v>16029</v>
      </c>
      <c r="B614" s="1" t="e">
        <v>#N/A</v>
      </c>
      <c r="C614" s="1" t="e">
        <v>#N/A</v>
      </c>
      <c r="D614" s="1" t="s">
        <v>1754</v>
      </c>
      <c r="E614" s="1" t="s">
        <v>1755</v>
      </c>
      <c r="F614" s="1" t="s">
        <v>9213</v>
      </c>
      <c r="G614" s="1" t="s">
        <v>8957</v>
      </c>
      <c r="H614" t="s">
        <v>8959</v>
      </c>
      <c r="I614" s="1" t="s">
        <v>8948</v>
      </c>
      <c r="J614" s="1" t="s">
        <v>8949</v>
      </c>
      <c r="K614" s="1" t="s">
        <v>20776</v>
      </c>
      <c r="L614" s="1" t="s">
        <v>9076</v>
      </c>
      <c r="M614" s="1">
        <v>37</v>
      </c>
      <c r="N614" s="1" t="s">
        <v>9059</v>
      </c>
      <c r="O614" s="1" t="s">
        <v>8989</v>
      </c>
      <c r="P614" s="1" t="e">
        <v>#N/A</v>
      </c>
      <c r="Q614" s="1" t="e">
        <v>#N/A</v>
      </c>
      <c r="R614" s="1">
        <f t="shared" si="180"/>
        <v>6</v>
      </c>
      <c r="S614" s="1" t="str">
        <f t="shared" si="181"/>
        <v>4-7</v>
      </c>
      <c r="T614" s="1" t="s">
        <v>18854</v>
      </c>
      <c r="U614" s="1" t="s">
        <v>7</v>
      </c>
      <c r="V614" s="1" t="s">
        <v>93</v>
      </c>
      <c r="W614" s="1"/>
    </row>
    <row r="615" spans="1:23" x14ac:dyDescent="0.2">
      <c r="A615" s="89" t="s">
        <v>16030</v>
      </c>
      <c r="B615" s="1" t="e">
        <v>#N/A</v>
      </c>
      <c r="C615" s="1" t="e">
        <v>#N/A</v>
      </c>
      <c r="D615" s="1" t="s">
        <v>1756</v>
      </c>
      <c r="E615" s="1" t="s">
        <v>1757</v>
      </c>
      <c r="F615" s="80" t="e">
        <v>#N/A</v>
      </c>
      <c r="G615" s="1" t="e">
        <v>#N/A</v>
      </c>
      <c r="H615" t="e">
        <v>#N/A</v>
      </c>
      <c r="I615" s="1" t="e">
        <v>#N/A</v>
      </c>
      <c r="J615" s="1" t="e">
        <v>#N/A</v>
      </c>
      <c r="K615" s="1" t="e">
        <v>#N/A</v>
      </c>
      <c r="L615" s="1" t="e">
        <v>#N/A</v>
      </c>
      <c r="M615" s="1" t="e">
        <v>#N/A</v>
      </c>
      <c r="N615" s="1" t="e">
        <v>#N/A</v>
      </c>
      <c r="O615" s="1" t="e">
        <v>#N/A</v>
      </c>
      <c r="P615" s="1" t="e">
        <v>#N/A</v>
      </c>
      <c r="Q615" s="1" t="e">
        <v>#N/A</v>
      </c>
      <c r="R615" s="1">
        <f t="shared" si="180"/>
        <v>10</v>
      </c>
      <c r="S615" s="1" t="str">
        <f t="shared" si="181"/>
        <v>&gt;7</v>
      </c>
      <c r="T615" s="1" t="s">
        <v>18855</v>
      </c>
      <c r="U615" s="1" t="s">
        <v>11</v>
      </c>
      <c r="V615" s="1" t="s">
        <v>1758</v>
      </c>
      <c r="W615" s="1"/>
    </row>
    <row r="616" spans="1:23" x14ac:dyDescent="0.2">
      <c r="A616" s="88" t="s">
        <v>16031</v>
      </c>
      <c r="B616" s="1" t="e">
        <v>#N/A</v>
      </c>
      <c r="C616" s="1" t="s">
        <v>14366</v>
      </c>
      <c r="D616" s="1" t="s">
        <v>1759</v>
      </c>
      <c r="E616" s="1" t="s">
        <v>1760</v>
      </c>
      <c r="F616" s="1" t="s">
        <v>10032</v>
      </c>
      <c r="G616" s="1" t="s">
        <v>8957</v>
      </c>
      <c r="H616" t="s">
        <v>9009</v>
      </c>
      <c r="I616" s="1" t="s">
        <v>8948</v>
      </c>
      <c r="J616" s="1" t="s">
        <v>8949</v>
      </c>
      <c r="K616" s="1" t="s">
        <v>21462</v>
      </c>
      <c r="L616" s="1" t="s">
        <v>8973</v>
      </c>
      <c r="M616" s="1">
        <v>9</v>
      </c>
      <c r="N616" s="1" t="s">
        <v>9059</v>
      </c>
      <c r="O616" s="1" t="s">
        <v>8989</v>
      </c>
      <c r="P616" s="1" t="s">
        <v>8955</v>
      </c>
      <c r="Q616" s="1" t="s">
        <v>8956</v>
      </c>
      <c r="R616" s="1" t="s">
        <v>8957</v>
      </c>
      <c r="S616" s="1" t="s">
        <v>8975</v>
      </c>
      <c r="T616" s="1" t="s">
        <v>1761</v>
      </c>
      <c r="U616" s="1" t="s">
        <v>242</v>
      </c>
      <c r="V616" s="1" t="s">
        <v>43</v>
      </c>
      <c r="W616" s="1"/>
    </row>
    <row r="617" spans="1:23" x14ac:dyDescent="0.2">
      <c r="A617" s="89" t="s">
        <v>1762</v>
      </c>
      <c r="B617" s="1" t="e">
        <v>#N/A</v>
      </c>
      <c r="C617" s="1" t="e">
        <v>#N/A</v>
      </c>
      <c r="D617" s="1" t="s">
        <v>1763</v>
      </c>
      <c r="E617" s="1" t="s">
        <v>1764</v>
      </c>
      <c r="F617" s="1" t="e">
        <v>#N/A</v>
      </c>
      <c r="G617" s="1" t="e">
        <v>#N/A</v>
      </c>
      <c r="H617" t="e">
        <v>#N/A</v>
      </c>
      <c r="I617" s="1" t="e">
        <v>#N/A</v>
      </c>
      <c r="J617" s="1" t="e">
        <v>#N/A</v>
      </c>
      <c r="K617" s="1" t="e">
        <v>#N/A</v>
      </c>
      <c r="L617" s="1" t="e">
        <v>#N/A</v>
      </c>
      <c r="M617" s="1" t="e">
        <v>#N/A</v>
      </c>
      <c r="N617" s="1" t="e">
        <v>#N/A</v>
      </c>
      <c r="O617" s="1" t="e">
        <v>#N/A</v>
      </c>
      <c r="P617" s="1" t="e">
        <v>#N/A</v>
      </c>
      <c r="Q617" s="1" t="e">
        <v>#N/A</v>
      </c>
      <c r="R617" s="1">
        <f>1+LEN(T617)-LEN(SUBSTITUTE(T617,",",))</f>
        <v>3</v>
      </c>
      <c r="S617" s="1" t="str">
        <f>IF(R617&gt;4,IF(R617&lt;8,"4-7",IF(R617&gt;7,"&gt;7")),"&lt;4")</f>
        <v>&lt;4</v>
      </c>
      <c r="T617" s="1" t="s">
        <v>18856</v>
      </c>
      <c r="U617" s="1" t="s">
        <v>11</v>
      </c>
      <c r="V617" s="1" t="s">
        <v>392</v>
      </c>
      <c r="W617" s="1"/>
    </row>
    <row r="618" spans="1:23" x14ac:dyDescent="0.2">
      <c r="A618" s="88" t="s">
        <v>16032</v>
      </c>
      <c r="B618" s="1" t="e">
        <v>#N/A</v>
      </c>
      <c r="C618" s="1" t="s">
        <v>14777</v>
      </c>
      <c r="D618" s="1" t="s">
        <v>1765</v>
      </c>
      <c r="E618" s="1" t="s">
        <v>1766</v>
      </c>
      <c r="F618" s="1" t="s">
        <v>9380</v>
      </c>
      <c r="G618" s="1" t="s">
        <v>8957</v>
      </c>
      <c r="H618" t="s">
        <v>8959</v>
      </c>
      <c r="I618" s="1" t="s">
        <v>8948</v>
      </c>
      <c r="J618" s="1" t="s">
        <v>8949</v>
      </c>
      <c r="K618" s="1" t="s">
        <v>8972</v>
      </c>
      <c r="L618" s="1" t="s">
        <v>8973</v>
      </c>
      <c r="M618" s="1">
        <v>208</v>
      </c>
      <c r="N618" s="1" t="s">
        <v>8953</v>
      </c>
      <c r="O618" s="1" t="s">
        <v>8989</v>
      </c>
      <c r="P618" s="1" t="s">
        <v>8955</v>
      </c>
      <c r="Q618" s="1" t="s">
        <v>8956</v>
      </c>
      <c r="R618" s="1" t="s">
        <v>8957</v>
      </c>
      <c r="S618" s="1" t="s">
        <v>8958</v>
      </c>
      <c r="T618" s="1" t="s">
        <v>1767</v>
      </c>
      <c r="U618" s="1" t="s">
        <v>7</v>
      </c>
      <c r="V618" s="1" t="s">
        <v>43</v>
      </c>
      <c r="W618" s="1"/>
    </row>
    <row r="619" spans="1:23" x14ac:dyDescent="0.2">
      <c r="A619" s="88" t="s">
        <v>16033</v>
      </c>
      <c r="B619" s="1" t="e">
        <v>#N/A</v>
      </c>
      <c r="C619" s="1" t="s">
        <v>11283</v>
      </c>
      <c r="D619" s="1" t="s">
        <v>1768</v>
      </c>
      <c r="E619" s="1" t="s">
        <v>1769</v>
      </c>
      <c r="F619" s="1" t="s">
        <v>9380</v>
      </c>
      <c r="G619" s="1" t="s">
        <v>8957</v>
      </c>
      <c r="H619" t="s">
        <v>9183</v>
      </c>
      <c r="I619" s="1" t="s">
        <v>9075</v>
      </c>
      <c r="J619" s="1" t="s">
        <v>8949</v>
      </c>
      <c r="K619" s="1" t="s">
        <v>9918</v>
      </c>
      <c r="L619" s="1" t="s">
        <v>8973</v>
      </c>
      <c r="M619" s="1">
        <v>60</v>
      </c>
      <c r="N619" s="1" t="s">
        <v>9059</v>
      </c>
      <c r="O619" s="1" t="s">
        <v>8989</v>
      </c>
      <c r="P619" s="1" t="s">
        <v>8955</v>
      </c>
      <c r="Q619" s="1" t="s">
        <v>8956</v>
      </c>
      <c r="R619" s="1" t="s">
        <v>8957</v>
      </c>
      <c r="S619" s="1" t="s">
        <v>8975</v>
      </c>
      <c r="T619" s="1" t="s">
        <v>1770</v>
      </c>
      <c r="U619" s="1" t="s">
        <v>11</v>
      </c>
      <c r="V619" s="1" t="s">
        <v>93</v>
      </c>
      <c r="W619" s="1"/>
    </row>
    <row r="620" spans="1:23" x14ac:dyDescent="0.2">
      <c r="A620" s="89" t="s">
        <v>1771</v>
      </c>
      <c r="B620" s="1" t="e">
        <v>#N/A</v>
      </c>
      <c r="C620" s="1" t="e">
        <v>#N/A</v>
      </c>
      <c r="D620" s="1" t="s">
        <v>1772</v>
      </c>
      <c r="E620" s="1" t="s">
        <v>1773</v>
      </c>
      <c r="F620" s="1" t="e">
        <v>#N/A</v>
      </c>
      <c r="G620" s="1" t="e">
        <v>#N/A</v>
      </c>
      <c r="H620" t="e">
        <v>#N/A</v>
      </c>
      <c r="I620" s="1" t="e">
        <v>#N/A</v>
      </c>
      <c r="J620" s="1" t="e">
        <v>#N/A</v>
      </c>
      <c r="K620" s="1" t="e">
        <v>#N/A</v>
      </c>
      <c r="L620" s="1" t="e">
        <v>#N/A</v>
      </c>
      <c r="M620" s="1" t="e">
        <v>#N/A</v>
      </c>
      <c r="N620" s="1" t="e">
        <v>#N/A</v>
      </c>
      <c r="O620" s="1" t="e">
        <v>#N/A</v>
      </c>
      <c r="P620" s="1" t="e">
        <v>#N/A</v>
      </c>
      <c r="Q620" s="1" t="e">
        <v>#N/A</v>
      </c>
      <c r="R620" s="1">
        <f t="shared" ref="R620:R624" si="182">1+LEN(T620)-LEN(SUBSTITUTE(T620,",",))</f>
        <v>3</v>
      </c>
      <c r="S620" s="1" t="str">
        <f t="shared" ref="S620:S624" si="183">IF(R620&gt;4,IF(R620&lt;8,"4-7",IF(R620&gt;7,"&gt;7")),"&lt;4")</f>
        <v>&lt;4</v>
      </c>
      <c r="T620" s="1" t="s">
        <v>18857</v>
      </c>
      <c r="U620" s="1" t="s">
        <v>7</v>
      </c>
      <c r="V620" s="1" t="s">
        <v>204</v>
      </c>
      <c r="W620" s="1"/>
    </row>
    <row r="621" spans="1:23" x14ac:dyDescent="0.2">
      <c r="A621" s="88" t="s">
        <v>20801</v>
      </c>
      <c r="B621" s="1" t="e">
        <v>#N/A</v>
      </c>
      <c r="C621" s="1" t="e">
        <v>#N/A</v>
      </c>
      <c r="D621" s="1" t="s">
        <v>1774</v>
      </c>
      <c r="E621" s="1" t="s">
        <v>1775</v>
      </c>
      <c r="F621" s="1" t="s">
        <v>9310</v>
      </c>
      <c r="G621" s="1" t="s">
        <v>8957</v>
      </c>
      <c r="H621" t="s">
        <v>9183</v>
      </c>
      <c r="I621" s="1" t="s">
        <v>9075</v>
      </c>
      <c r="J621" s="1" t="s">
        <v>8949</v>
      </c>
      <c r="K621" s="1" t="s">
        <v>21354</v>
      </c>
      <c r="L621" s="1" t="s">
        <v>9292</v>
      </c>
      <c r="M621" s="1">
        <v>4896</v>
      </c>
      <c r="N621" s="1" t="s">
        <v>8953</v>
      </c>
      <c r="O621" s="1" t="s">
        <v>8989</v>
      </c>
      <c r="P621" s="1" t="e">
        <v>#N/A</v>
      </c>
      <c r="Q621" s="1" t="e">
        <v>#N/A</v>
      </c>
      <c r="R621" s="1">
        <f t="shared" si="182"/>
        <v>5</v>
      </c>
      <c r="S621" s="1" t="str">
        <f t="shared" si="183"/>
        <v>4-7</v>
      </c>
      <c r="T621" s="1" t="s">
        <v>18858</v>
      </c>
      <c r="U621" s="1" t="s">
        <v>7</v>
      </c>
      <c r="V621" s="1" t="s">
        <v>1381</v>
      </c>
      <c r="W621" s="1"/>
    </row>
    <row r="622" spans="1:23" x14ac:dyDescent="0.2">
      <c r="A622" s="88" t="s">
        <v>16034</v>
      </c>
      <c r="B622" s="1" t="e">
        <v>#N/A</v>
      </c>
      <c r="C622" s="1" t="e">
        <v>#N/A</v>
      </c>
      <c r="D622" s="1" t="s">
        <v>1776</v>
      </c>
      <c r="E622" s="1" t="s">
        <v>1777</v>
      </c>
      <c r="F622" s="1" t="s">
        <v>9310</v>
      </c>
      <c r="G622" s="1" t="s">
        <v>8957</v>
      </c>
      <c r="H622" t="s">
        <v>9061</v>
      </c>
      <c r="I622" s="1" t="s">
        <v>8948</v>
      </c>
      <c r="J622" s="1" t="s">
        <v>8998</v>
      </c>
      <c r="K622" s="1" t="s">
        <v>20779</v>
      </c>
      <c r="L622" s="1" t="s">
        <v>9076</v>
      </c>
      <c r="M622" s="1">
        <v>300</v>
      </c>
      <c r="N622" s="1" t="s">
        <v>8953</v>
      </c>
      <c r="O622" s="1" t="s">
        <v>8989</v>
      </c>
      <c r="P622" s="1" t="e">
        <v>#N/A</v>
      </c>
      <c r="Q622" s="1" t="e">
        <v>#N/A</v>
      </c>
      <c r="R622" s="1">
        <f t="shared" si="182"/>
        <v>3</v>
      </c>
      <c r="S622" s="1" t="str">
        <f t="shared" si="183"/>
        <v>&lt;4</v>
      </c>
      <c r="T622" s="1" t="s">
        <v>18859</v>
      </c>
      <c r="U622" s="1" t="s">
        <v>17</v>
      </c>
      <c r="V622" s="1" t="s">
        <v>110</v>
      </c>
      <c r="W622" s="1"/>
    </row>
    <row r="623" spans="1:23" x14ac:dyDescent="0.2">
      <c r="A623" s="88" t="s">
        <v>16035</v>
      </c>
      <c r="B623" s="1" t="e">
        <v>#N/A</v>
      </c>
      <c r="C623" s="1" t="e">
        <v>#N/A</v>
      </c>
      <c r="D623" s="1" t="s">
        <v>1778</v>
      </c>
      <c r="E623" s="1" t="s">
        <v>1779</v>
      </c>
      <c r="F623" s="1" t="s">
        <v>18502</v>
      </c>
      <c r="G623" s="1" t="s">
        <v>8957</v>
      </c>
      <c r="H623" t="s">
        <v>9061</v>
      </c>
      <c r="I623" s="1" t="s">
        <v>9092</v>
      </c>
      <c r="J623" s="1" t="s">
        <v>9155</v>
      </c>
      <c r="K623" s="1" t="s">
        <v>10629</v>
      </c>
      <c r="L623" s="1" t="s">
        <v>8973</v>
      </c>
      <c r="M623" s="1">
        <v>140</v>
      </c>
      <c r="N623" s="1" t="s">
        <v>9059</v>
      </c>
      <c r="O623" s="1" t="s">
        <v>8989</v>
      </c>
      <c r="P623" s="1" t="e">
        <v>#N/A</v>
      </c>
      <c r="Q623" s="1" t="e">
        <v>#N/A</v>
      </c>
      <c r="R623" s="1">
        <f t="shared" si="182"/>
        <v>9</v>
      </c>
      <c r="S623" s="1" t="str">
        <f t="shared" si="183"/>
        <v>&gt;7</v>
      </c>
      <c r="T623" s="1" t="s">
        <v>18860</v>
      </c>
      <c r="U623" s="1" t="s">
        <v>17</v>
      </c>
      <c r="V623" s="1" t="s">
        <v>1780</v>
      </c>
      <c r="W623" s="1"/>
    </row>
    <row r="624" spans="1:23" x14ac:dyDescent="0.2">
      <c r="A624" s="88" t="s">
        <v>16036</v>
      </c>
      <c r="B624" s="1" t="e">
        <v>#N/A</v>
      </c>
      <c r="C624" s="1" t="e">
        <v>#N/A</v>
      </c>
      <c r="D624" s="1" t="s">
        <v>1781</v>
      </c>
      <c r="E624" s="1" t="s">
        <v>1782</v>
      </c>
      <c r="F624" s="1" t="s">
        <v>18502</v>
      </c>
      <c r="G624" s="1" t="s">
        <v>8957</v>
      </c>
      <c r="H624" t="s">
        <v>9061</v>
      </c>
      <c r="I624" s="1" t="s">
        <v>20712</v>
      </c>
      <c r="J624" s="1" t="s">
        <v>9725</v>
      </c>
      <c r="K624" s="1" t="s">
        <v>10629</v>
      </c>
      <c r="L624" s="1" t="s">
        <v>9076</v>
      </c>
      <c r="M624" s="1">
        <v>25</v>
      </c>
      <c r="N624" s="1" t="s">
        <v>9059</v>
      </c>
      <c r="O624" s="1" t="s">
        <v>8989</v>
      </c>
      <c r="P624" s="1" t="e">
        <v>#N/A</v>
      </c>
      <c r="Q624" s="1" t="e">
        <v>#N/A</v>
      </c>
      <c r="R624" s="1">
        <f t="shared" si="182"/>
        <v>9</v>
      </c>
      <c r="S624" s="1" t="str">
        <f t="shared" si="183"/>
        <v>&gt;7</v>
      </c>
      <c r="T624" s="1" t="s">
        <v>18861</v>
      </c>
      <c r="U624" s="1" t="s">
        <v>7</v>
      </c>
      <c r="V624" s="1" t="s">
        <v>378</v>
      </c>
      <c r="W624" s="1"/>
    </row>
    <row r="625" spans="1:23" x14ac:dyDescent="0.2">
      <c r="A625" s="88" t="s">
        <v>16037</v>
      </c>
      <c r="B625" s="1" t="e">
        <v>#N/A</v>
      </c>
      <c r="C625" s="1" t="s">
        <v>10266</v>
      </c>
      <c r="D625" s="1" t="s">
        <v>1783</v>
      </c>
      <c r="E625" s="1" t="s">
        <v>1784</v>
      </c>
      <c r="F625" s="1" t="s">
        <v>9010</v>
      </c>
      <c r="G625" s="1" t="s">
        <v>8957</v>
      </c>
      <c r="H625" t="s">
        <v>9061</v>
      </c>
      <c r="I625" s="1" t="s">
        <v>9035</v>
      </c>
      <c r="J625" s="1" t="s">
        <v>8998</v>
      </c>
      <c r="K625" s="1" t="s">
        <v>10269</v>
      </c>
      <c r="L625" s="1" t="s">
        <v>8973</v>
      </c>
      <c r="M625" s="1">
        <v>35</v>
      </c>
      <c r="N625" s="1" t="s">
        <v>9059</v>
      </c>
      <c r="O625" s="1" t="s">
        <v>8989</v>
      </c>
      <c r="P625" s="1" t="s">
        <v>8955</v>
      </c>
      <c r="Q625" s="1" t="s">
        <v>8956</v>
      </c>
      <c r="R625" s="1" t="s">
        <v>8957</v>
      </c>
      <c r="S625" s="1" t="s">
        <v>8975</v>
      </c>
      <c r="T625" s="1" t="s">
        <v>1785</v>
      </c>
      <c r="U625" s="1" t="s">
        <v>17</v>
      </c>
      <c r="V625" s="1" t="s">
        <v>93</v>
      </c>
      <c r="W625" s="1"/>
    </row>
    <row r="626" spans="1:23" x14ac:dyDescent="0.2">
      <c r="A626" s="88" t="s">
        <v>16038</v>
      </c>
      <c r="B626" s="1" t="e">
        <v>#N/A</v>
      </c>
      <c r="C626" s="1" t="e">
        <v>#N/A</v>
      </c>
      <c r="D626" s="1" t="s">
        <v>1786</v>
      </c>
      <c r="E626" s="1" t="s">
        <v>1787</v>
      </c>
      <c r="F626" s="1" t="s">
        <v>18502</v>
      </c>
      <c r="G626" s="1" t="s">
        <v>8957</v>
      </c>
      <c r="H626" t="s">
        <v>9061</v>
      </c>
      <c r="I626" s="1" t="s">
        <v>20712</v>
      </c>
      <c r="J626" s="1" t="s">
        <v>9725</v>
      </c>
      <c r="K626" s="1" t="s">
        <v>20785</v>
      </c>
      <c r="L626" s="1" t="s">
        <v>9076</v>
      </c>
      <c r="M626" s="1">
        <v>119</v>
      </c>
      <c r="N626" s="1" t="s">
        <v>9059</v>
      </c>
      <c r="O626" s="1" t="s">
        <v>8989</v>
      </c>
      <c r="P626" s="1" t="e">
        <v>#N/A</v>
      </c>
      <c r="Q626" s="1" t="e">
        <v>#N/A</v>
      </c>
      <c r="R626" s="1">
        <f t="shared" ref="R626:R628" si="184">1+LEN(T626)-LEN(SUBSTITUTE(T626,",",))</f>
        <v>9</v>
      </c>
      <c r="S626" s="1" t="str">
        <f t="shared" ref="S626:S628" si="185">IF(R626&gt;4,IF(R626&lt;8,"4-7",IF(R626&gt;7,"&gt;7")),"&lt;4")</f>
        <v>&gt;7</v>
      </c>
      <c r="T626" s="1" t="s">
        <v>18862</v>
      </c>
      <c r="U626" s="1" t="s">
        <v>17</v>
      </c>
      <c r="V626" s="1" t="s">
        <v>378</v>
      </c>
      <c r="W626" s="1"/>
    </row>
    <row r="627" spans="1:23" x14ac:dyDescent="0.2">
      <c r="A627" s="88" t="s">
        <v>16039</v>
      </c>
      <c r="B627" s="1" t="e">
        <v>#N/A</v>
      </c>
      <c r="C627" s="1" t="e">
        <v>#N/A</v>
      </c>
      <c r="D627" s="1" t="s">
        <v>1788</v>
      </c>
      <c r="E627" s="1" t="s">
        <v>1789</v>
      </c>
      <c r="F627" s="1" t="s">
        <v>9310</v>
      </c>
      <c r="G627" s="1" t="s">
        <v>8957</v>
      </c>
      <c r="H627" t="s">
        <v>8959</v>
      </c>
      <c r="I627" s="1" t="s">
        <v>9035</v>
      </c>
      <c r="J627" s="1" t="s">
        <v>8998</v>
      </c>
      <c r="K627" s="1" t="s">
        <v>10492</v>
      </c>
      <c r="L627" s="1" t="s">
        <v>8973</v>
      </c>
      <c r="M627" s="1">
        <v>1018</v>
      </c>
      <c r="N627" s="1" t="s">
        <v>8953</v>
      </c>
      <c r="O627" s="1" t="s">
        <v>8954</v>
      </c>
      <c r="P627" s="1" t="e">
        <v>#N/A</v>
      </c>
      <c r="Q627" s="1" t="e">
        <v>#N/A</v>
      </c>
      <c r="R627" s="1">
        <f t="shared" si="184"/>
        <v>8</v>
      </c>
      <c r="S627" s="1" t="str">
        <f t="shared" si="185"/>
        <v>&gt;7</v>
      </c>
      <c r="T627" s="1" t="s">
        <v>18863</v>
      </c>
      <c r="U627" s="1" t="s">
        <v>7</v>
      </c>
      <c r="V627" s="1" t="s">
        <v>1790</v>
      </c>
      <c r="W627" s="1"/>
    </row>
    <row r="628" spans="1:23" x14ac:dyDescent="0.2">
      <c r="A628" s="89" t="s">
        <v>1791</v>
      </c>
      <c r="B628" s="1" t="e">
        <v>#N/A</v>
      </c>
      <c r="C628" s="1" t="e">
        <v>#N/A</v>
      </c>
      <c r="D628" s="1" t="s">
        <v>15475</v>
      </c>
      <c r="E628" s="1" t="s">
        <v>1792</v>
      </c>
      <c r="F628" s="1" t="e">
        <v>#N/A</v>
      </c>
      <c r="G628" s="1" t="e">
        <v>#N/A</v>
      </c>
      <c r="H628" t="e">
        <v>#N/A</v>
      </c>
      <c r="I628" s="1" t="e">
        <v>#N/A</v>
      </c>
      <c r="J628" s="1" t="e">
        <v>#N/A</v>
      </c>
      <c r="K628" s="1" t="e">
        <v>#N/A</v>
      </c>
      <c r="L628" s="1" t="e">
        <v>#N/A</v>
      </c>
      <c r="M628" s="1" t="e">
        <v>#N/A</v>
      </c>
      <c r="N628" s="1" t="e">
        <v>#N/A</v>
      </c>
      <c r="O628" s="1" t="e">
        <v>#N/A</v>
      </c>
      <c r="P628" s="1" t="e">
        <v>#N/A</v>
      </c>
      <c r="Q628" s="1" t="e">
        <v>#N/A</v>
      </c>
      <c r="R628" s="1">
        <f t="shared" si="184"/>
        <v>4</v>
      </c>
      <c r="S628" s="1" t="str">
        <f t="shared" si="185"/>
        <v>&lt;4</v>
      </c>
      <c r="T628" s="1" t="s">
        <v>18864</v>
      </c>
      <c r="U628" s="1" t="s">
        <v>17</v>
      </c>
      <c r="V628" s="1" t="s">
        <v>1793</v>
      </c>
      <c r="W628" s="1"/>
    </row>
    <row r="629" spans="1:23" x14ac:dyDescent="0.2">
      <c r="A629" s="88" t="s">
        <v>16040</v>
      </c>
      <c r="B629" s="1" t="e">
        <v>#N/A</v>
      </c>
      <c r="C629" s="1" t="s">
        <v>10296</v>
      </c>
      <c r="D629" s="1" t="s">
        <v>1794</v>
      </c>
      <c r="E629" s="1" t="s">
        <v>1795</v>
      </c>
      <c r="F629" s="1" t="s">
        <v>9636</v>
      </c>
      <c r="G629" s="1" t="s">
        <v>8957</v>
      </c>
      <c r="H629" t="s">
        <v>8959</v>
      </c>
      <c r="I629" s="1" t="s">
        <v>9049</v>
      </c>
      <c r="J629" s="1" t="s">
        <v>9325</v>
      </c>
      <c r="K629" s="1" t="s">
        <v>10040</v>
      </c>
      <c r="L629" s="1" t="s">
        <v>8973</v>
      </c>
      <c r="M629" s="1">
        <v>20160</v>
      </c>
      <c r="N629" s="1" t="s">
        <v>8953</v>
      </c>
      <c r="O629" s="1" t="s">
        <v>8954</v>
      </c>
      <c r="P629" s="1" t="s">
        <v>8955</v>
      </c>
      <c r="Q629" s="1" t="s">
        <v>8956</v>
      </c>
      <c r="R629" s="1" t="s">
        <v>8957</v>
      </c>
      <c r="S629" s="1" t="s">
        <v>8975</v>
      </c>
      <c r="T629" s="1" t="s">
        <v>1796</v>
      </c>
      <c r="U629" s="1" t="s">
        <v>17</v>
      </c>
      <c r="V629" s="1" t="s">
        <v>1797</v>
      </c>
      <c r="W629" s="1"/>
    </row>
    <row r="630" spans="1:23" x14ac:dyDescent="0.2">
      <c r="A630" s="89" t="s">
        <v>1798</v>
      </c>
      <c r="B630" s="1" t="e">
        <v>#N/A</v>
      </c>
      <c r="C630" s="1" t="e">
        <v>#N/A</v>
      </c>
      <c r="D630" s="1" t="s">
        <v>1799</v>
      </c>
      <c r="E630" s="1" t="s">
        <v>1800</v>
      </c>
      <c r="F630" s="1" t="e">
        <v>#N/A</v>
      </c>
      <c r="G630" s="1" t="e">
        <v>#N/A</v>
      </c>
      <c r="H630" t="e">
        <v>#N/A</v>
      </c>
      <c r="I630" s="1" t="e">
        <v>#N/A</v>
      </c>
      <c r="J630" s="1" t="e">
        <v>#N/A</v>
      </c>
      <c r="K630" s="1" t="e">
        <v>#N/A</v>
      </c>
      <c r="L630" s="1" t="e">
        <v>#N/A</v>
      </c>
      <c r="M630" s="1" t="e">
        <v>#N/A</v>
      </c>
      <c r="N630" s="1" t="e">
        <v>#N/A</v>
      </c>
      <c r="O630" s="1" t="e">
        <v>#N/A</v>
      </c>
      <c r="P630" s="1" t="e">
        <v>#N/A</v>
      </c>
      <c r="Q630" s="1" t="e">
        <v>#N/A</v>
      </c>
      <c r="R630" s="1">
        <f>1+LEN(T630)-LEN(SUBSTITUTE(T630,",",))</f>
        <v>6</v>
      </c>
      <c r="S630" s="1" t="str">
        <f>IF(R630&gt;4,IF(R630&lt;8,"4-7",IF(R630&gt;7,"&gt;7")),"&lt;4")</f>
        <v>4-7</v>
      </c>
      <c r="T630" s="1" t="s">
        <v>18865</v>
      </c>
      <c r="U630" s="1" t="s">
        <v>7</v>
      </c>
      <c r="V630" s="1" t="s">
        <v>1801</v>
      </c>
      <c r="W630" s="1"/>
    </row>
    <row r="631" spans="1:23" x14ac:dyDescent="0.2">
      <c r="A631" s="88" t="s">
        <v>16041</v>
      </c>
      <c r="B631" s="1" t="e">
        <v>#N/A</v>
      </c>
      <c r="C631" s="1" t="s">
        <v>13859</v>
      </c>
      <c r="D631" s="1" t="s">
        <v>1802</v>
      </c>
      <c r="E631" s="1" t="s">
        <v>1803</v>
      </c>
      <c r="F631" s="1" t="s">
        <v>9310</v>
      </c>
      <c r="G631" s="1" t="s">
        <v>8957</v>
      </c>
      <c r="H631" t="s">
        <v>8959</v>
      </c>
      <c r="I631" s="1" t="s">
        <v>9154</v>
      </c>
      <c r="J631" s="1" t="s">
        <v>9155</v>
      </c>
      <c r="K631" s="1" t="s">
        <v>9436</v>
      </c>
      <c r="L631" s="1" t="s">
        <v>8973</v>
      </c>
      <c r="M631" s="1">
        <v>30</v>
      </c>
      <c r="N631" s="1" t="s">
        <v>8953</v>
      </c>
      <c r="O631" s="1" t="s">
        <v>8954</v>
      </c>
      <c r="P631" s="1" t="s">
        <v>8955</v>
      </c>
      <c r="Q631" s="1" t="s">
        <v>8956</v>
      </c>
      <c r="R631" s="1" t="s">
        <v>8957</v>
      </c>
      <c r="S631" s="1" t="s">
        <v>8958</v>
      </c>
      <c r="T631" s="1" t="s">
        <v>1804</v>
      </c>
      <c r="U631" s="1" t="s">
        <v>4</v>
      </c>
      <c r="V631" s="1" t="s">
        <v>126</v>
      </c>
      <c r="W631" s="1"/>
    </row>
    <row r="632" spans="1:23" x14ac:dyDescent="0.2">
      <c r="A632" s="88" t="s">
        <v>16042</v>
      </c>
      <c r="B632" s="1" t="e">
        <v>#N/A</v>
      </c>
      <c r="C632" s="1" t="e">
        <v>#N/A</v>
      </c>
      <c r="D632" s="1" t="s">
        <v>1805</v>
      </c>
      <c r="E632" s="1" t="s">
        <v>1806</v>
      </c>
      <c r="F632" s="1" t="e">
        <v>#N/A</v>
      </c>
      <c r="G632" s="1" t="e">
        <v>#N/A</v>
      </c>
      <c r="H632" t="e">
        <v>#N/A</v>
      </c>
      <c r="I632" s="1" t="e">
        <v>#N/A</v>
      </c>
      <c r="J632" s="1" t="e">
        <v>#N/A</v>
      </c>
      <c r="K632" s="1" t="e">
        <v>#N/A</v>
      </c>
      <c r="L632" s="1" t="e">
        <v>#N/A</v>
      </c>
      <c r="M632" s="1" t="e">
        <v>#N/A</v>
      </c>
      <c r="N632" s="1" t="e">
        <v>#N/A</v>
      </c>
      <c r="O632" s="1" t="e">
        <v>#N/A</v>
      </c>
      <c r="P632" s="1" t="e">
        <v>#N/A</v>
      </c>
      <c r="Q632" s="1" t="e">
        <v>#N/A</v>
      </c>
      <c r="R632" s="1">
        <f t="shared" ref="R632:R643" si="186">1+LEN(T632)-LEN(SUBSTITUTE(T632,",",))</f>
        <v>8</v>
      </c>
      <c r="S632" s="1" t="str">
        <f t="shared" ref="S632:S643" si="187">IF(R632&gt;4,IF(R632&lt;8,"4-7",IF(R632&gt;7,"&gt;7")),"&lt;4")</f>
        <v>&gt;7</v>
      </c>
      <c r="T632" s="1" t="s">
        <v>18866</v>
      </c>
      <c r="U632" s="1" t="s">
        <v>252</v>
      </c>
      <c r="V632" s="1" t="s">
        <v>126</v>
      </c>
      <c r="W632" s="1"/>
    </row>
    <row r="633" spans="1:23" x14ac:dyDescent="0.2">
      <c r="A633" s="88" t="s">
        <v>16043</v>
      </c>
      <c r="B633" s="1" t="e">
        <v>#N/A</v>
      </c>
      <c r="C633" s="1" t="e">
        <v>#N/A</v>
      </c>
      <c r="D633" s="1" t="s">
        <v>1807</v>
      </c>
      <c r="E633" s="1" t="s">
        <v>1808</v>
      </c>
      <c r="F633" s="1" t="e">
        <v>#N/A</v>
      </c>
      <c r="G633" s="1" t="e">
        <v>#N/A</v>
      </c>
      <c r="H633" t="e">
        <v>#N/A</v>
      </c>
      <c r="I633" s="1" t="e">
        <v>#N/A</v>
      </c>
      <c r="J633" s="1" t="e">
        <v>#N/A</v>
      </c>
      <c r="K633" s="1" t="e">
        <v>#N/A</v>
      </c>
      <c r="L633" s="1" t="e">
        <v>#N/A</v>
      </c>
      <c r="M633" s="1" t="e">
        <v>#N/A</v>
      </c>
      <c r="N633" s="1" t="e">
        <v>#N/A</v>
      </c>
      <c r="O633" s="1" t="e">
        <v>#N/A</v>
      </c>
      <c r="P633" s="1" t="e">
        <v>#N/A</v>
      </c>
      <c r="Q633" s="1" t="e">
        <v>#N/A</v>
      </c>
      <c r="R633" s="1">
        <f t="shared" si="186"/>
        <v>7</v>
      </c>
      <c r="S633" s="1" t="str">
        <f t="shared" si="187"/>
        <v>4-7</v>
      </c>
      <c r="T633" s="1" t="s">
        <v>18867</v>
      </c>
      <c r="U633" s="1" t="s">
        <v>252</v>
      </c>
      <c r="V633" s="1" t="s">
        <v>126</v>
      </c>
      <c r="W633" s="1"/>
    </row>
    <row r="634" spans="1:23" x14ac:dyDescent="0.2">
      <c r="A634" s="88" t="s">
        <v>16044</v>
      </c>
      <c r="B634" s="1" t="e">
        <v>#N/A</v>
      </c>
      <c r="C634" s="1" t="e">
        <v>#N/A</v>
      </c>
      <c r="D634" s="1" t="s">
        <v>1809</v>
      </c>
      <c r="E634" s="1" t="s">
        <v>1810</v>
      </c>
      <c r="F634" s="1" t="s">
        <v>9317</v>
      </c>
      <c r="G634" s="1" t="s">
        <v>8957</v>
      </c>
      <c r="H634" t="s">
        <v>9061</v>
      </c>
      <c r="I634" s="1" t="s">
        <v>20712</v>
      </c>
      <c r="J634" s="1" t="s">
        <v>9308</v>
      </c>
      <c r="K634" s="1" t="s">
        <v>20802</v>
      </c>
      <c r="L634" s="1" t="s">
        <v>8987</v>
      </c>
      <c r="M634" s="1">
        <v>71274</v>
      </c>
      <c r="N634" s="1" t="s">
        <v>8953</v>
      </c>
      <c r="O634" s="1" t="s">
        <v>8954</v>
      </c>
      <c r="P634" s="1" t="e">
        <v>#N/A</v>
      </c>
      <c r="Q634" s="1" t="e">
        <v>#N/A</v>
      </c>
      <c r="R634" s="1">
        <f t="shared" si="186"/>
        <v>9</v>
      </c>
      <c r="S634" s="1" t="str">
        <f t="shared" si="187"/>
        <v>&gt;7</v>
      </c>
      <c r="T634" s="1" t="s">
        <v>18868</v>
      </c>
      <c r="U634" s="1" t="s">
        <v>7</v>
      </c>
      <c r="V634" s="1" t="s">
        <v>147</v>
      </c>
      <c r="W634" s="1"/>
    </row>
    <row r="635" spans="1:23" x14ac:dyDescent="0.2">
      <c r="A635" s="89" t="s">
        <v>1811</v>
      </c>
      <c r="B635" s="1" t="e">
        <v>#N/A</v>
      </c>
      <c r="C635" s="1" t="e">
        <v>#N/A</v>
      </c>
      <c r="D635" s="1" t="s">
        <v>1812</v>
      </c>
      <c r="E635" s="1" t="s">
        <v>1813</v>
      </c>
      <c r="F635" s="1" t="e">
        <v>#N/A</v>
      </c>
      <c r="G635" s="1" t="e">
        <v>#N/A</v>
      </c>
      <c r="H635" t="e">
        <v>#N/A</v>
      </c>
      <c r="I635" s="1" t="e">
        <v>#N/A</v>
      </c>
      <c r="J635" s="1" t="e">
        <v>#N/A</v>
      </c>
      <c r="K635" s="1" t="e">
        <v>#N/A</v>
      </c>
      <c r="L635" s="1" t="e">
        <v>#N/A</v>
      </c>
      <c r="M635" s="1" t="e">
        <v>#N/A</v>
      </c>
      <c r="N635" s="1" t="e">
        <v>#N/A</v>
      </c>
      <c r="O635" s="1" t="e">
        <v>#N/A</v>
      </c>
      <c r="P635" s="1" t="e">
        <v>#N/A</v>
      </c>
      <c r="Q635" s="1" t="e">
        <v>#N/A</v>
      </c>
      <c r="R635" s="1">
        <f t="shared" si="186"/>
        <v>2</v>
      </c>
      <c r="S635" s="1" t="str">
        <f t="shared" si="187"/>
        <v>&lt;4</v>
      </c>
      <c r="T635" s="1" t="s">
        <v>18869</v>
      </c>
      <c r="U635" s="1" t="s">
        <v>4</v>
      </c>
      <c r="V635" s="1" t="s">
        <v>180</v>
      </c>
      <c r="W635" s="1"/>
    </row>
    <row r="636" spans="1:23" x14ac:dyDescent="0.2">
      <c r="A636" s="89" t="s">
        <v>16045</v>
      </c>
      <c r="B636" s="1" t="e">
        <v>#N/A</v>
      </c>
      <c r="C636" s="1" t="e">
        <v>#N/A</v>
      </c>
      <c r="D636" s="1" t="s">
        <v>1814</v>
      </c>
      <c r="E636" s="1" t="s">
        <v>1815</v>
      </c>
      <c r="F636" s="1" t="e">
        <v>#N/A</v>
      </c>
      <c r="G636" s="1" t="e">
        <v>#N/A</v>
      </c>
      <c r="H636" t="e">
        <v>#N/A</v>
      </c>
      <c r="I636" s="1" t="e">
        <v>#N/A</v>
      </c>
      <c r="J636" s="1" t="e">
        <v>#N/A</v>
      </c>
      <c r="K636" s="1" t="e">
        <v>#N/A</v>
      </c>
      <c r="L636" s="1" t="e">
        <v>#N/A</v>
      </c>
      <c r="M636" s="1" t="e">
        <v>#N/A</v>
      </c>
      <c r="N636" s="1" t="e">
        <v>#N/A</v>
      </c>
      <c r="O636" s="1" t="e">
        <v>#N/A</v>
      </c>
      <c r="P636" s="1" t="e">
        <v>#N/A</v>
      </c>
      <c r="Q636" s="1" t="e">
        <v>#N/A</v>
      </c>
      <c r="R636" s="1">
        <f t="shared" si="186"/>
        <v>3</v>
      </c>
      <c r="S636" s="1" t="str">
        <f t="shared" si="187"/>
        <v>&lt;4</v>
      </c>
      <c r="T636" s="1" t="s">
        <v>18870</v>
      </c>
      <c r="U636" s="1" t="s">
        <v>7</v>
      </c>
      <c r="V636" s="1" t="s">
        <v>565</v>
      </c>
      <c r="W636" s="1"/>
    </row>
    <row r="637" spans="1:23" x14ac:dyDescent="0.2">
      <c r="A637" s="94" t="s">
        <v>16046</v>
      </c>
      <c r="B637" s="1" t="e">
        <v>#N/A</v>
      </c>
      <c r="C637" s="1" t="e">
        <v>#N/A</v>
      </c>
      <c r="D637" s="1" t="s">
        <v>1816</v>
      </c>
      <c r="E637" s="1" t="s">
        <v>1817</v>
      </c>
      <c r="F637" s="1" t="e">
        <v>#N/A</v>
      </c>
      <c r="G637" s="1" t="e">
        <v>#N/A</v>
      </c>
      <c r="H637" t="e">
        <v>#N/A</v>
      </c>
      <c r="I637" s="1" t="e">
        <v>#N/A</v>
      </c>
      <c r="J637" s="1" t="e">
        <v>#N/A</v>
      </c>
      <c r="K637" s="1" t="e">
        <v>#N/A</v>
      </c>
      <c r="L637" s="1" t="e">
        <v>#N/A</v>
      </c>
      <c r="M637" s="1" t="e">
        <v>#N/A</v>
      </c>
      <c r="N637" s="1" t="e">
        <v>#N/A</v>
      </c>
      <c r="O637" s="1" t="e">
        <v>#N/A</v>
      </c>
      <c r="P637" s="1" t="e">
        <v>#N/A</v>
      </c>
      <c r="Q637" s="1" t="e">
        <v>#N/A</v>
      </c>
      <c r="R637" s="1">
        <f t="shared" si="186"/>
        <v>3</v>
      </c>
      <c r="S637" s="1" t="str">
        <f t="shared" si="187"/>
        <v>&lt;4</v>
      </c>
      <c r="T637" s="1" t="s">
        <v>18871</v>
      </c>
      <c r="U637" s="1" t="s">
        <v>7</v>
      </c>
      <c r="V637" s="1" t="s">
        <v>24</v>
      </c>
      <c r="W637" s="1"/>
    </row>
    <row r="638" spans="1:23" x14ac:dyDescent="0.2">
      <c r="A638" s="88" t="s">
        <v>16047</v>
      </c>
      <c r="B638" s="1" t="e">
        <v>#N/A</v>
      </c>
      <c r="C638" s="1" t="e">
        <v>#N/A</v>
      </c>
      <c r="D638" s="1" t="s">
        <v>1818</v>
      </c>
      <c r="E638" s="1" t="s">
        <v>1819</v>
      </c>
      <c r="F638" s="1" t="s">
        <v>9310</v>
      </c>
      <c r="G638" s="1" t="s">
        <v>8957</v>
      </c>
      <c r="H638" t="s">
        <v>9061</v>
      </c>
      <c r="I638" s="1" t="s">
        <v>8948</v>
      </c>
      <c r="J638" s="1" t="s">
        <v>8971</v>
      </c>
      <c r="K638" s="1" t="s">
        <v>21423</v>
      </c>
      <c r="L638" s="1" t="s">
        <v>9076</v>
      </c>
      <c r="M638" s="1">
        <v>20000</v>
      </c>
      <c r="N638" s="1" t="s">
        <v>8953</v>
      </c>
      <c r="O638" s="1" t="s">
        <v>8989</v>
      </c>
      <c r="P638" s="1" t="e">
        <v>#N/A</v>
      </c>
      <c r="Q638" s="1" t="e">
        <v>#N/A</v>
      </c>
      <c r="R638" s="1">
        <f t="shared" si="186"/>
        <v>7</v>
      </c>
      <c r="S638" s="1" t="str">
        <f t="shared" si="187"/>
        <v>4-7</v>
      </c>
      <c r="T638" s="1" t="s">
        <v>18872</v>
      </c>
      <c r="U638" s="1" t="s">
        <v>7</v>
      </c>
      <c r="V638" s="1" t="s">
        <v>184</v>
      </c>
      <c r="W638" s="1"/>
    </row>
    <row r="639" spans="1:23" x14ac:dyDescent="0.2">
      <c r="A639" s="88" t="s">
        <v>16048</v>
      </c>
      <c r="B639" s="1" t="e">
        <v>#N/A</v>
      </c>
      <c r="C639" s="1" t="e">
        <v>#N/A</v>
      </c>
      <c r="D639" s="1" t="s">
        <v>1820</v>
      </c>
      <c r="E639" s="1" t="s">
        <v>1821</v>
      </c>
      <c r="F639" s="1" t="s">
        <v>9310</v>
      </c>
      <c r="G639" s="1" t="s">
        <v>8959</v>
      </c>
      <c r="H639" t="s">
        <v>8959</v>
      </c>
      <c r="I639" s="1" t="s">
        <v>20803</v>
      </c>
      <c r="J639" s="1" t="s">
        <v>8949</v>
      </c>
      <c r="K639" s="1" t="s">
        <v>10492</v>
      </c>
      <c r="L639" s="1" t="s">
        <v>9076</v>
      </c>
      <c r="M639" s="1">
        <v>20</v>
      </c>
      <c r="N639" s="1" t="s">
        <v>9059</v>
      </c>
      <c r="O639" s="1" t="s">
        <v>8989</v>
      </c>
      <c r="P639" s="1" t="e">
        <v>#N/A</v>
      </c>
      <c r="Q639" s="1" t="e">
        <v>#N/A</v>
      </c>
      <c r="R639" s="1">
        <f t="shared" si="186"/>
        <v>4</v>
      </c>
      <c r="S639" s="1" t="str">
        <f t="shared" si="187"/>
        <v>&lt;4</v>
      </c>
      <c r="T639" s="1" t="s">
        <v>18873</v>
      </c>
      <c r="U639" s="1" t="s">
        <v>7</v>
      </c>
      <c r="V639" s="1" t="s">
        <v>46</v>
      </c>
      <c r="W639" s="1"/>
    </row>
    <row r="640" spans="1:23" x14ac:dyDescent="0.2">
      <c r="A640" s="88" t="s">
        <v>16049</v>
      </c>
      <c r="B640" s="1" t="e">
        <v>#N/A</v>
      </c>
      <c r="C640" s="1" t="e">
        <v>#N/A</v>
      </c>
      <c r="D640" s="1" t="s">
        <v>1822</v>
      </c>
      <c r="E640" s="1" t="s">
        <v>1823</v>
      </c>
      <c r="F640" s="1" t="s">
        <v>9310</v>
      </c>
      <c r="G640" s="1" t="s">
        <v>8957</v>
      </c>
      <c r="H640" t="s">
        <v>8959</v>
      </c>
      <c r="I640" s="1" t="s">
        <v>9154</v>
      </c>
      <c r="J640" s="1" t="s">
        <v>8949</v>
      </c>
      <c r="K640" s="1" t="s">
        <v>20804</v>
      </c>
      <c r="L640" s="1" t="s">
        <v>8973</v>
      </c>
      <c r="M640" s="1">
        <v>2900</v>
      </c>
      <c r="N640" s="1" t="s">
        <v>8953</v>
      </c>
      <c r="O640" s="1" t="s">
        <v>8954</v>
      </c>
      <c r="P640" s="1" t="e">
        <v>#N/A</v>
      </c>
      <c r="Q640" s="1" t="e">
        <v>#N/A</v>
      </c>
      <c r="R640" s="1">
        <f t="shared" si="186"/>
        <v>5</v>
      </c>
      <c r="S640" s="1" t="str">
        <f t="shared" si="187"/>
        <v>4-7</v>
      </c>
      <c r="T640" s="1" t="s">
        <v>18874</v>
      </c>
      <c r="U640" s="1" t="s">
        <v>17</v>
      </c>
      <c r="V640" s="1" t="s">
        <v>27</v>
      </c>
      <c r="W640" s="1"/>
    </row>
    <row r="641" spans="1:23" x14ac:dyDescent="0.2">
      <c r="A641" s="88" t="s">
        <v>16050</v>
      </c>
      <c r="B641" s="1" t="e">
        <v>#N/A</v>
      </c>
      <c r="C641" s="1" t="e">
        <v>#N/A</v>
      </c>
      <c r="D641" s="1" t="s">
        <v>1824</v>
      </c>
      <c r="E641" s="1" t="s">
        <v>1825</v>
      </c>
      <c r="F641" s="1" t="s">
        <v>9310</v>
      </c>
      <c r="G641" s="1" t="s">
        <v>8957</v>
      </c>
      <c r="H641" t="s">
        <v>8959</v>
      </c>
      <c r="I641" s="1" t="s">
        <v>9154</v>
      </c>
      <c r="J641" s="1" t="s">
        <v>8949</v>
      </c>
      <c r="K641" s="1" t="s">
        <v>20805</v>
      </c>
      <c r="L641" s="1" t="s">
        <v>8973</v>
      </c>
      <c r="M641" s="1">
        <v>100</v>
      </c>
      <c r="N641" s="1" t="s">
        <v>9059</v>
      </c>
      <c r="O641" s="1" t="s">
        <v>8954</v>
      </c>
      <c r="P641" s="1" t="e">
        <v>#N/A</v>
      </c>
      <c r="Q641" s="1" t="e">
        <v>#N/A</v>
      </c>
      <c r="R641" s="1">
        <f t="shared" si="186"/>
        <v>8</v>
      </c>
      <c r="S641" s="1" t="str">
        <f t="shared" si="187"/>
        <v>&gt;7</v>
      </c>
      <c r="T641" s="1" t="s">
        <v>18875</v>
      </c>
      <c r="U641" s="1" t="s">
        <v>7</v>
      </c>
      <c r="V641" s="1" t="s">
        <v>64</v>
      </c>
      <c r="W641" s="1"/>
    </row>
    <row r="642" spans="1:23" x14ac:dyDescent="0.2">
      <c r="A642" s="88" t="s">
        <v>16051</v>
      </c>
      <c r="B642" s="1" t="e">
        <v>#N/A</v>
      </c>
      <c r="C642" s="1" t="e">
        <v>#N/A</v>
      </c>
      <c r="D642" s="1" t="s">
        <v>1826</v>
      </c>
      <c r="E642" s="1" t="s">
        <v>1827</v>
      </c>
      <c r="F642" s="1" t="s">
        <v>9310</v>
      </c>
      <c r="G642" s="1" t="s">
        <v>8957</v>
      </c>
      <c r="H642" t="s">
        <v>9061</v>
      </c>
      <c r="I642" s="1" t="s">
        <v>9035</v>
      </c>
      <c r="J642" s="1" t="s">
        <v>8949</v>
      </c>
      <c r="K642" s="1" t="s">
        <v>10492</v>
      </c>
      <c r="L642" s="1" t="s">
        <v>9076</v>
      </c>
      <c r="M642" s="1">
        <v>871</v>
      </c>
      <c r="N642" s="1" t="s">
        <v>8953</v>
      </c>
      <c r="O642" s="1" t="s">
        <v>8989</v>
      </c>
      <c r="P642" s="1" t="e">
        <v>#N/A</v>
      </c>
      <c r="Q642" s="1" t="e">
        <v>#N/A</v>
      </c>
      <c r="R642" s="1">
        <f t="shared" si="186"/>
        <v>10</v>
      </c>
      <c r="S642" s="1" t="str">
        <f t="shared" si="187"/>
        <v>&gt;7</v>
      </c>
      <c r="T642" s="1" t="s">
        <v>18876</v>
      </c>
      <c r="U642" s="1" t="s">
        <v>17</v>
      </c>
      <c r="V642" s="1" t="s">
        <v>161</v>
      </c>
      <c r="W642" s="1"/>
    </row>
    <row r="643" spans="1:23" x14ac:dyDescent="0.2">
      <c r="A643" s="88" t="s">
        <v>16052</v>
      </c>
      <c r="B643" s="1" t="e">
        <v>#N/A</v>
      </c>
      <c r="C643" s="1" t="e">
        <v>#N/A</v>
      </c>
      <c r="D643" s="1" t="s">
        <v>1828</v>
      </c>
      <c r="E643" s="1" t="s">
        <v>1829</v>
      </c>
      <c r="F643" s="1" t="s">
        <v>10873</v>
      </c>
      <c r="G643" s="1" t="s">
        <v>8957</v>
      </c>
      <c r="H643" t="s">
        <v>9061</v>
      </c>
      <c r="I643" s="1" t="s">
        <v>9154</v>
      </c>
      <c r="J643" s="1" t="s">
        <v>8949</v>
      </c>
      <c r="K643" s="1" t="s">
        <v>20805</v>
      </c>
      <c r="L643" s="1" t="s">
        <v>8973</v>
      </c>
      <c r="M643" s="1">
        <f>1831+629</f>
        <v>2460</v>
      </c>
      <c r="N643" s="1" t="s">
        <v>8953</v>
      </c>
      <c r="O643" s="1" t="s">
        <v>8954</v>
      </c>
      <c r="P643" s="1" t="e">
        <v>#N/A</v>
      </c>
      <c r="Q643" s="1" t="e">
        <v>#N/A</v>
      </c>
      <c r="R643" s="1">
        <f t="shared" si="186"/>
        <v>10</v>
      </c>
      <c r="S643" s="1" t="str">
        <f t="shared" si="187"/>
        <v>&gt;7</v>
      </c>
      <c r="T643" s="1" t="s">
        <v>18877</v>
      </c>
      <c r="U643" s="1" t="s">
        <v>17</v>
      </c>
      <c r="V643" s="1" t="s">
        <v>61</v>
      </c>
      <c r="W643" s="1"/>
    </row>
    <row r="644" spans="1:23" x14ac:dyDescent="0.2">
      <c r="A644" s="88" t="s">
        <v>16053</v>
      </c>
      <c r="B644" s="1" t="e">
        <v>#N/A</v>
      </c>
      <c r="C644" s="1" t="s">
        <v>12048</v>
      </c>
      <c r="D644" s="1" t="s">
        <v>1830</v>
      </c>
      <c r="E644" s="1" t="s">
        <v>1831</v>
      </c>
      <c r="F644" s="1" t="s">
        <v>9010</v>
      </c>
      <c r="G644" s="1" t="s">
        <v>8957</v>
      </c>
      <c r="H644" t="s">
        <v>9183</v>
      </c>
      <c r="I644" s="1" t="s">
        <v>9154</v>
      </c>
      <c r="J644" s="1" t="s">
        <v>9325</v>
      </c>
      <c r="K644" s="1" t="s">
        <v>8972</v>
      </c>
      <c r="L644" s="1" t="s">
        <v>8973</v>
      </c>
      <c r="M644" s="1">
        <v>25000</v>
      </c>
      <c r="N644" s="1" t="s">
        <v>8953</v>
      </c>
      <c r="O644" s="1" t="s">
        <v>8989</v>
      </c>
      <c r="P644" s="1" t="s">
        <v>8955</v>
      </c>
      <c r="Q644" s="1" t="s">
        <v>8956</v>
      </c>
      <c r="R644" s="1" t="s">
        <v>8957</v>
      </c>
      <c r="S644" s="1" t="s">
        <v>8975</v>
      </c>
      <c r="T644" s="1" t="s">
        <v>1832</v>
      </c>
      <c r="U644" s="1" t="s">
        <v>11</v>
      </c>
      <c r="V644" s="1" t="s">
        <v>1833</v>
      </c>
      <c r="W644" s="1"/>
    </row>
    <row r="645" spans="1:23" x14ac:dyDescent="0.2">
      <c r="A645" s="94" t="s">
        <v>16054</v>
      </c>
      <c r="B645" s="1" t="e">
        <v>#N/A</v>
      </c>
      <c r="C645" s="1" t="e">
        <v>#N/A</v>
      </c>
      <c r="D645" s="1" t="s">
        <v>1834</v>
      </c>
      <c r="E645" s="1" t="s">
        <v>1835</v>
      </c>
      <c r="F645" s="1"/>
      <c r="G645" s="1" t="e">
        <v>#N/A</v>
      </c>
      <c r="I645" s="1" t="e">
        <v>#N/A</v>
      </c>
      <c r="J645" s="1" t="e">
        <v>#N/A</v>
      </c>
      <c r="K645" s="1" t="e">
        <v>#N/A</v>
      </c>
      <c r="L645" s="1" t="e">
        <v>#N/A</v>
      </c>
      <c r="M645" s="1" t="e">
        <v>#N/A</v>
      </c>
      <c r="N645" s="1" t="e">
        <v>#N/A</v>
      </c>
      <c r="O645" s="1" t="e">
        <v>#N/A</v>
      </c>
      <c r="P645" s="1" t="e">
        <v>#N/A</v>
      </c>
      <c r="Q645" s="1" t="e">
        <v>#N/A</v>
      </c>
      <c r="R645" s="1">
        <f>1+LEN(T645)-LEN(SUBSTITUTE(T645,",",))</f>
        <v>3</v>
      </c>
      <c r="S645" s="1" t="str">
        <f>IF(R645&gt;4,IF(R645&lt;8,"4-7",IF(R645&gt;7,"&gt;7")),"&lt;4")</f>
        <v>&lt;4</v>
      </c>
      <c r="T645" s="1" t="s">
        <v>20573</v>
      </c>
      <c r="U645" s="1" t="s">
        <v>17</v>
      </c>
      <c r="V645" s="1" t="s">
        <v>24</v>
      </c>
      <c r="W645" s="1"/>
    </row>
    <row r="646" spans="1:23" x14ac:dyDescent="0.2">
      <c r="A646" s="88" t="s">
        <v>16055</v>
      </c>
      <c r="B646" s="1" t="e">
        <v>#N/A</v>
      </c>
      <c r="C646" s="1" t="s">
        <v>15297</v>
      </c>
      <c r="D646" s="1" t="s">
        <v>1836</v>
      </c>
      <c r="E646" s="1" t="s">
        <v>1837</v>
      </c>
      <c r="F646" s="1" t="s">
        <v>9246</v>
      </c>
      <c r="G646" s="1" t="s">
        <v>8957</v>
      </c>
      <c r="H646" t="s">
        <v>9009</v>
      </c>
      <c r="I646" s="1" t="s">
        <v>8948</v>
      </c>
      <c r="J646" s="1" t="s">
        <v>8949</v>
      </c>
      <c r="K646" s="1" t="s">
        <v>9036</v>
      </c>
      <c r="L646" s="1" t="s">
        <v>8951</v>
      </c>
      <c r="M646" s="1">
        <v>3200</v>
      </c>
      <c r="N646" s="1" t="s">
        <v>8953</v>
      </c>
      <c r="O646" s="1" t="s">
        <v>8954</v>
      </c>
      <c r="P646" s="1" t="s">
        <v>8955</v>
      </c>
      <c r="Q646" s="1" t="s">
        <v>8956</v>
      </c>
      <c r="R646" s="1" t="s">
        <v>8957</v>
      </c>
      <c r="S646" s="1" t="s">
        <v>8958</v>
      </c>
      <c r="T646" s="1" t="s">
        <v>1838</v>
      </c>
      <c r="U646" s="1" t="s">
        <v>17</v>
      </c>
      <c r="V646" s="1" t="s">
        <v>126</v>
      </c>
      <c r="W646" s="1"/>
    </row>
    <row r="647" spans="1:23" x14ac:dyDescent="0.2">
      <c r="A647" s="88" t="s">
        <v>16056</v>
      </c>
      <c r="B647" s="1" t="e">
        <v>#N/A</v>
      </c>
      <c r="C647" s="1" t="e">
        <v>#N/A</v>
      </c>
      <c r="D647" s="1" t="s">
        <v>1839</v>
      </c>
      <c r="E647" s="1" t="s">
        <v>1840</v>
      </c>
      <c r="F647" s="1" t="s">
        <v>9246</v>
      </c>
      <c r="G647" s="1" t="s">
        <v>8957</v>
      </c>
      <c r="H647" t="s">
        <v>9061</v>
      </c>
      <c r="I647" s="1" t="s">
        <v>8948</v>
      </c>
      <c r="J647" s="1" t="s">
        <v>8949</v>
      </c>
      <c r="K647" s="1" t="s">
        <v>10492</v>
      </c>
      <c r="L647" s="1" t="s">
        <v>8951</v>
      </c>
      <c r="M647" s="1">
        <v>1702</v>
      </c>
      <c r="N647" s="1" t="s">
        <v>8953</v>
      </c>
      <c r="O647" s="1" t="s">
        <v>8954</v>
      </c>
      <c r="P647" s="1" t="e">
        <v>#N/A</v>
      </c>
      <c r="Q647" s="1" t="e">
        <v>#N/A</v>
      </c>
      <c r="R647" s="1">
        <f>1+LEN(T647)-LEN(SUBSTITUTE(T647,",",))</f>
        <v>9</v>
      </c>
      <c r="S647" s="1" t="str">
        <f>IF(R647&gt;4,IF(R647&lt;8,"4-7",IF(R647&gt;7,"&gt;7")),"&lt;4")</f>
        <v>&gt;7</v>
      </c>
      <c r="T647" s="1" t="s">
        <v>18878</v>
      </c>
      <c r="U647" s="1" t="s">
        <v>7</v>
      </c>
      <c r="V647" s="1" t="s">
        <v>126</v>
      </c>
      <c r="W647" s="1"/>
    </row>
    <row r="648" spans="1:23" x14ac:dyDescent="0.2">
      <c r="A648" s="88" t="s">
        <v>16057</v>
      </c>
      <c r="B648" s="1" t="e">
        <v>#N/A</v>
      </c>
      <c r="C648" s="1" t="s">
        <v>11293</v>
      </c>
      <c r="D648" s="1" t="s">
        <v>1841</v>
      </c>
      <c r="E648" s="1" t="s">
        <v>1842</v>
      </c>
      <c r="F648" s="1" t="s">
        <v>9246</v>
      </c>
      <c r="G648" s="1" t="s">
        <v>8957</v>
      </c>
      <c r="H648" t="s">
        <v>9183</v>
      </c>
      <c r="I648" s="1" t="s">
        <v>8948</v>
      </c>
      <c r="J648" s="1" t="s">
        <v>8949</v>
      </c>
      <c r="K648" s="1" t="s">
        <v>10258</v>
      </c>
      <c r="L648" s="1" t="s">
        <v>9133</v>
      </c>
      <c r="M648" s="1">
        <v>2115</v>
      </c>
      <c r="N648" s="1" t="s">
        <v>9059</v>
      </c>
      <c r="O648" s="1" t="s">
        <v>8989</v>
      </c>
      <c r="P648" s="1" t="s">
        <v>8955</v>
      </c>
      <c r="Q648" s="1" t="s">
        <v>8956</v>
      </c>
      <c r="R648" s="1" t="s">
        <v>8957</v>
      </c>
      <c r="S648" s="1" t="s">
        <v>8975</v>
      </c>
      <c r="T648" s="1" t="s">
        <v>1843</v>
      </c>
      <c r="U648" s="1" t="s">
        <v>17</v>
      </c>
      <c r="V648" s="1" t="s">
        <v>392</v>
      </c>
      <c r="W648" s="1"/>
    </row>
    <row r="649" spans="1:23" x14ac:dyDescent="0.2">
      <c r="A649" s="88" t="s">
        <v>16058</v>
      </c>
      <c r="B649" s="1" t="e">
        <v>#N/A</v>
      </c>
      <c r="C649" s="1" t="e">
        <v>#N/A</v>
      </c>
      <c r="D649" s="1" t="s">
        <v>1844</v>
      </c>
      <c r="E649" s="1" t="s">
        <v>1845</v>
      </c>
      <c r="F649" s="1" t="s">
        <v>9213</v>
      </c>
      <c r="G649" s="1" t="s">
        <v>8957</v>
      </c>
      <c r="H649" t="s">
        <v>8959</v>
      </c>
      <c r="I649" s="1" t="s">
        <v>9100</v>
      </c>
      <c r="J649" s="1" t="s">
        <v>8949</v>
      </c>
      <c r="K649" s="1" t="s">
        <v>20779</v>
      </c>
      <c r="L649" s="1" t="s">
        <v>9133</v>
      </c>
      <c r="M649" s="1">
        <v>331</v>
      </c>
      <c r="N649" s="1" t="s">
        <v>9059</v>
      </c>
      <c r="O649" s="1" t="s">
        <v>8989</v>
      </c>
      <c r="P649" s="1" t="e">
        <v>#N/A</v>
      </c>
      <c r="Q649" s="1" t="e">
        <v>#N/A</v>
      </c>
      <c r="R649" s="1">
        <f t="shared" ref="R649:R657" si="188">1+LEN(T649)-LEN(SUBSTITUTE(T649,",",))</f>
        <v>6</v>
      </c>
      <c r="S649" s="1" t="str">
        <f t="shared" ref="S649:S657" si="189">IF(R649&gt;4,IF(R649&lt;8,"4-7",IF(R649&gt;7,"&gt;7")),"&lt;4")</f>
        <v>4-7</v>
      </c>
      <c r="T649" s="1" t="s">
        <v>18879</v>
      </c>
      <c r="U649" s="1" t="s">
        <v>7</v>
      </c>
      <c r="V649" s="1" t="s">
        <v>467</v>
      </c>
      <c r="W649" s="1"/>
    </row>
    <row r="650" spans="1:23" x14ac:dyDescent="0.2">
      <c r="A650" s="88" t="s">
        <v>16059</v>
      </c>
      <c r="B650" s="1" t="e">
        <v>#N/A</v>
      </c>
      <c r="C650" s="1" t="e">
        <v>#N/A</v>
      </c>
      <c r="D650" s="1" t="s">
        <v>1846</v>
      </c>
      <c r="E650" s="1" t="s">
        <v>1847</v>
      </c>
      <c r="F650" s="1" t="s">
        <v>10049</v>
      </c>
      <c r="G650" s="1" t="s">
        <v>8959</v>
      </c>
      <c r="H650" t="s">
        <v>8959</v>
      </c>
      <c r="I650" s="1" t="s">
        <v>9252</v>
      </c>
      <c r="J650" s="1" t="s">
        <v>18504</v>
      </c>
      <c r="K650" s="1" t="s">
        <v>20779</v>
      </c>
      <c r="L650" s="1" t="s">
        <v>8987</v>
      </c>
      <c r="M650" s="1">
        <f>1158+160+378</f>
        <v>1696</v>
      </c>
      <c r="N650" s="1" t="s">
        <v>8953</v>
      </c>
      <c r="O650" s="1" t="s">
        <v>8954</v>
      </c>
      <c r="P650" s="1" t="e">
        <v>#N/A</v>
      </c>
      <c r="Q650" s="1" t="e">
        <v>#N/A</v>
      </c>
      <c r="R650" s="1">
        <f t="shared" si="188"/>
        <v>8</v>
      </c>
      <c r="S650" s="1" t="str">
        <f t="shared" si="189"/>
        <v>&gt;7</v>
      </c>
      <c r="T650" s="1" t="s">
        <v>18880</v>
      </c>
      <c r="U650" s="1" t="s">
        <v>17</v>
      </c>
      <c r="V650" s="1" t="s">
        <v>1848</v>
      </c>
      <c r="W650" s="1"/>
    </row>
    <row r="651" spans="1:23" x14ac:dyDescent="0.2">
      <c r="A651" s="89" t="s">
        <v>1849</v>
      </c>
      <c r="B651" s="1" t="e">
        <v>#N/A</v>
      </c>
      <c r="C651" s="1" t="e">
        <v>#N/A</v>
      </c>
      <c r="D651" s="1" t="s">
        <v>1850</v>
      </c>
      <c r="E651" s="1" t="s">
        <v>1851</v>
      </c>
      <c r="F651" s="1" t="e">
        <v>#N/A</v>
      </c>
      <c r="G651" s="1" t="e">
        <v>#N/A</v>
      </c>
      <c r="H651" t="e">
        <v>#N/A</v>
      </c>
      <c r="I651" s="1" t="e">
        <v>#N/A</v>
      </c>
      <c r="J651" s="1" t="e">
        <v>#N/A</v>
      </c>
      <c r="K651" s="1" t="e">
        <v>#N/A</v>
      </c>
      <c r="L651" s="1" t="e">
        <v>#N/A</v>
      </c>
      <c r="M651" s="1" t="e">
        <v>#N/A</v>
      </c>
      <c r="N651" s="1" t="e">
        <v>#N/A</v>
      </c>
      <c r="O651" s="1" t="e">
        <v>#N/A</v>
      </c>
      <c r="P651" s="1" t="e">
        <v>#N/A</v>
      </c>
      <c r="Q651" s="1" t="e">
        <v>#N/A</v>
      </c>
      <c r="R651" s="1">
        <f t="shared" si="188"/>
        <v>5</v>
      </c>
      <c r="S651" s="1" t="str">
        <f t="shared" si="189"/>
        <v>4-7</v>
      </c>
      <c r="T651" s="1" t="s">
        <v>18881</v>
      </c>
      <c r="U651" s="1" t="s">
        <v>7</v>
      </c>
      <c r="V651" s="1" t="s">
        <v>1852</v>
      </c>
      <c r="W651" s="1"/>
    </row>
    <row r="652" spans="1:23" x14ac:dyDescent="0.2">
      <c r="A652" s="89" t="s">
        <v>1853</v>
      </c>
      <c r="B652" s="1" t="e">
        <v>#N/A</v>
      </c>
      <c r="C652" s="1" t="e">
        <v>#N/A</v>
      </c>
      <c r="D652" s="1" t="s">
        <v>1854</v>
      </c>
      <c r="E652" s="1" t="s">
        <v>1855</v>
      </c>
      <c r="F652" s="1" t="e">
        <v>#N/A</v>
      </c>
      <c r="G652" s="1" t="e">
        <v>#N/A</v>
      </c>
      <c r="H652" t="e">
        <v>#N/A</v>
      </c>
      <c r="I652" s="1" t="e">
        <v>#N/A</v>
      </c>
      <c r="J652" s="1" t="e">
        <v>#N/A</v>
      </c>
      <c r="K652" s="1" t="e">
        <v>#N/A</v>
      </c>
      <c r="L652" s="1" t="e">
        <v>#N/A</v>
      </c>
      <c r="M652" s="1" t="e">
        <v>#N/A</v>
      </c>
      <c r="N652" s="1" t="e">
        <v>#N/A</v>
      </c>
      <c r="O652" s="1" t="e">
        <v>#N/A</v>
      </c>
      <c r="P652" s="1" t="e">
        <v>#N/A</v>
      </c>
      <c r="Q652" s="1" t="e">
        <v>#N/A</v>
      </c>
      <c r="R652" s="1">
        <f t="shared" si="188"/>
        <v>2</v>
      </c>
      <c r="S652" s="1" t="str">
        <f t="shared" si="189"/>
        <v>&lt;4</v>
      </c>
      <c r="T652" s="1" t="s">
        <v>18882</v>
      </c>
      <c r="U652" s="1" t="s">
        <v>7</v>
      </c>
      <c r="V652" s="1" t="s">
        <v>430</v>
      </c>
      <c r="W652" s="1"/>
    </row>
    <row r="653" spans="1:23" x14ac:dyDescent="0.2">
      <c r="A653" s="89" t="s">
        <v>1856</v>
      </c>
      <c r="B653" s="1" t="e">
        <v>#N/A</v>
      </c>
      <c r="C653" s="1" t="e">
        <v>#N/A</v>
      </c>
      <c r="D653" s="1" t="s">
        <v>1857</v>
      </c>
      <c r="E653" s="1" t="s">
        <v>1858</v>
      </c>
      <c r="F653" s="1" t="e">
        <v>#N/A</v>
      </c>
      <c r="G653" s="1" t="e">
        <v>#N/A</v>
      </c>
      <c r="H653" t="e">
        <v>#N/A</v>
      </c>
      <c r="I653" s="1" t="e">
        <v>#N/A</v>
      </c>
      <c r="J653" s="1" t="e">
        <v>#N/A</v>
      </c>
      <c r="K653" s="1" t="e">
        <v>#N/A</v>
      </c>
      <c r="L653" s="1" t="e">
        <v>#N/A</v>
      </c>
      <c r="M653" s="1" t="e">
        <v>#N/A</v>
      </c>
      <c r="N653" s="1" t="e">
        <v>#N/A</v>
      </c>
      <c r="O653" s="1" t="e">
        <v>#N/A</v>
      </c>
      <c r="P653" s="1" t="e">
        <v>#N/A</v>
      </c>
      <c r="Q653" s="1" t="e">
        <v>#N/A</v>
      </c>
      <c r="R653" s="1">
        <f t="shared" si="188"/>
        <v>9</v>
      </c>
      <c r="S653" s="1" t="str">
        <f t="shared" si="189"/>
        <v>&gt;7</v>
      </c>
      <c r="T653" s="1" t="s">
        <v>20574</v>
      </c>
      <c r="U653" s="1" t="s">
        <v>17</v>
      </c>
      <c r="V653" s="1" t="s">
        <v>1859</v>
      </c>
      <c r="W653" s="1"/>
    </row>
    <row r="654" spans="1:23" x14ac:dyDescent="0.2">
      <c r="A654" s="88" t="s">
        <v>16060</v>
      </c>
      <c r="B654" s="1" t="e">
        <v>#N/A</v>
      </c>
      <c r="C654" s="1" t="e">
        <v>#N/A</v>
      </c>
      <c r="D654" s="1" t="s">
        <v>1860</v>
      </c>
      <c r="E654" s="1" t="s">
        <v>1861</v>
      </c>
      <c r="F654" s="1" t="s">
        <v>18502</v>
      </c>
      <c r="G654" s="1" t="s">
        <v>8957</v>
      </c>
      <c r="H654" t="s">
        <v>9009</v>
      </c>
      <c r="I654" s="1" t="s">
        <v>9075</v>
      </c>
      <c r="J654" s="1" t="s">
        <v>9101</v>
      </c>
      <c r="K654" s="1" t="s">
        <v>21437</v>
      </c>
      <c r="L654" s="1" t="s">
        <v>8973</v>
      </c>
      <c r="M654" s="1">
        <v>350</v>
      </c>
      <c r="N654" s="1" t="s">
        <v>8953</v>
      </c>
      <c r="O654" s="1" t="s">
        <v>8989</v>
      </c>
      <c r="P654" s="1" t="e">
        <v>#N/A</v>
      </c>
      <c r="Q654" s="1" t="e">
        <v>#N/A</v>
      </c>
      <c r="R654" s="1">
        <f t="shared" si="188"/>
        <v>7</v>
      </c>
      <c r="S654" s="1" t="str">
        <f t="shared" si="189"/>
        <v>4-7</v>
      </c>
      <c r="T654" s="1" t="s">
        <v>18883</v>
      </c>
      <c r="U654" s="1" t="s">
        <v>17</v>
      </c>
      <c r="V654" s="1" t="s">
        <v>24</v>
      </c>
      <c r="W654" s="1"/>
    </row>
    <row r="655" spans="1:23" x14ac:dyDescent="0.2">
      <c r="A655" s="88" t="s">
        <v>16061</v>
      </c>
      <c r="B655" s="1" t="e">
        <v>#N/A</v>
      </c>
      <c r="C655" s="1" t="e">
        <v>#N/A</v>
      </c>
      <c r="D655" s="1" t="s">
        <v>1862</v>
      </c>
      <c r="E655" s="1" t="s">
        <v>1863</v>
      </c>
      <c r="F655" s="1" t="s">
        <v>18502</v>
      </c>
      <c r="G655" s="1" t="s">
        <v>8957</v>
      </c>
      <c r="H655" t="s">
        <v>9061</v>
      </c>
      <c r="I655" s="1" t="s">
        <v>8948</v>
      </c>
      <c r="J655" s="1" t="s">
        <v>8949</v>
      </c>
      <c r="K655" s="1" t="s">
        <v>10492</v>
      </c>
      <c r="L655" s="1" t="s">
        <v>8973</v>
      </c>
      <c r="M655" s="1">
        <v>387</v>
      </c>
      <c r="N655" s="1" t="s">
        <v>8953</v>
      </c>
      <c r="O655" s="1" t="s">
        <v>8989</v>
      </c>
      <c r="P655" s="1" t="e">
        <v>#N/A</v>
      </c>
      <c r="Q655" s="1" t="e">
        <v>#N/A</v>
      </c>
      <c r="R655" s="1">
        <f t="shared" si="188"/>
        <v>7</v>
      </c>
      <c r="S655" s="1" t="str">
        <f t="shared" si="189"/>
        <v>4-7</v>
      </c>
      <c r="T655" s="1" t="s">
        <v>18884</v>
      </c>
      <c r="U655" s="1" t="s">
        <v>17</v>
      </c>
      <c r="V655" s="1" t="s">
        <v>1202</v>
      </c>
      <c r="W655" s="1"/>
    </row>
    <row r="656" spans="1:23" x14ac:dyDescent="0.2">
      <c r="A656" s="88" t="s">
        <v>16062</v>
      </c>
      <c r="B656" s="1" t="e">
        <v>#N/A</v>
      </c>
      <c r="C656" s="1" t="e">
        <v>#N/A</v>
      </c>
      <c r="D656" s="1" t="s">
        <v>1864</v>
      </c>
      <c r="E656" s="1" t="s">
        <v>1865</v>
      </c>
      <c r="F656" s="1" t="s">
        <v>9176</v>
      </c>
      <c r="G656" s="1" t="s">
        <v>8957</v>
      </c>
      <c r="H656" t="s">
        <v>8959</v>
      </c>
      <c r="I656" s="1" t="s">
        <v>8948</v>
      </c>
      <c r="J656" s="1" t="s">
        <v>8949</v>
      </c>
      <c r="K656" s="1" t="s">
        <v>10492</v>
      </c>
      <c r="L656" s="1" t="s">
        <v>9464</v>
      </c>
      <c r="M656" s="1">
        <v>365</v>
      </c>
      <c r="N656" s="1" t="s">
        <v>9059</v>
      </c>
      <c r="O656" s="1" t="s">
        <v>8954</v>
      </c>
      <c r="P656" s="1" t="e">
        <v>#N/A</v>
      </c>
      <c r="Q656" s="1" t="e">
        <v>#N/A</v>
      </c>
      <c r="R656" s="1">
        <f t="shared" si="188"/>
        <v>4</v>
      </c>
      <c r="S656" s="1" t="str">
        <f t="shared" si="189"/>
        <v>&lt;4</v>
      </c>
      <c r="T656" s="1" t="s">
        <v>18885</v>
      </c>
      <c r="U656" s="1" t="s">
        <v>7</v>
      </c>
      <c r="V656" s="1" t="s">
        <v>21</v>
      </c>
      <c r="W656" s="1"/>
    </row>
    <row r="657" spans="1:23" x14ac:dyDescent="0.2">
      <c r="A657" s="88" t="s">
        <v>16063</v>
      </c>
      <c r="B657" s="1" t="e">
        <v>#N/A</v>
      </c>
      <c r="C657" s="1" t="e">
        <v>#N/A</v>
      </c>
      <c r="D657" s="1" t="s">
        <v>1866</v>
      </c>
      <c r="E657" s="1" t="s">
        <v>1867</v>
      </c>
      <c r="F657" s="1" t="s">
        <v>14748</v>
      </c>
      <c r="G657" s="1" t="s">
        <v>8959</v>
      </c>
      <c r="H657" t="s">
        <v>9061</v>
      </c>
      <c r="I657" s="1" t="s">
        <v>9035</v>
      </c>
      <c r="J657" s="1" t="s">
        <v>8998</v>
      </c>
      <c r="K657" s="1" t="s">
        <v>20779</v>
      </c>
      <c r="L657" s="1" t="s">
        <v>8973</v>
      </c>
      <c r="M657" s="1">
        <v>90</v>
      </c>
      <c r="N657" s="1" t="s">
        <v>9059</v>
      </c>
      <c r="O657" s="1" t="s">
        <v>8989</v>
      </c>
      <c r="P657" s="1" t="e">
        <v>#N/A</v>
      </c>
      <c r="Q657" s="1" t="e">
        <v>#N/A</v>
      </c>
      <c r="R657" s="1">
        <f t="shared" si="188"/>
        <v>11</v>
      </c>
      <c r="S657" s="1" t="str">
        <f t="shared" si="189"/>
        <v>&gt;7</v>
      </c>
      <c r="T657" s="1" t="s">
        <v>18886</v>
      </c>
      <c r="U657" s="1" t="s">
        <v>7</v>
      </c>
      <c r="V657" s="1" t="s">
        <v>1868</v>
      </c>
      <c r="W657" s="1"/>
    </row>
    <row r="658" spans="1:23" x14ac:dyDescent="0.2">
      <c r="A658" s="88" t="s">
        <v>16064</v>
      </c>
      <c r="B658" s="1" t="e">
        <v>#N/A</v>
      </c>
      <c r="C658" s="1" t="s">
        <v>11288</v>
      </c>
      <c r="D658" s="1" t="s">
        <v>1869</v>
      </c>
      <c r="E658" s="1" t="s">
        <v>1870</v>
      </c>
      <c r="F658" s="1" t="s">
        <v>9380</v>
      </c>
      <c r="G658" s="1" t="s">
        <v>8959</v>
      </c>
      <c r="H658" t="s">
        <v>9183</v>
      </c>
      <c r="I658" s="1" t="s">
        <v>9092</v>
      </c>
      <c r="J658" s="1" t="s">
        <v>8949</v>
      </c>
      <c r="K658" s="1" t="s">
        <v>9036</v>
      </c>
      <c r="L658" s="1" t="s">
        <v>9133</v>
      </c>
      <c r="M658" s="1">
        <v>24</v>
      </c>
      <c r="N658" s="1" t="s">
        <v>8953</v>
      </c>
      <c r="O658" s="1" t="s">
        <v>8989</v>
      </c>
      <c r="P658" s="1" t="s">
        <v>8955</v>
      </c>
      <c r="Q658" s="1" t="s">
        <v>8956</v>
      </c>
      <c r="R658" s="1" t="s">
        <v>8959</v>
      </c>
      <c r="S658" s="1" t="s">
        <v>8958</v>
      </c>
      <c r="T658" s="1" t="s">
        <v>1871</v>
      </c>
      <c r="U658" s="1" t="s">
        <v>17</v>
      </c>
      <c r="V658" s="1" t="s">
        <v>392</v>
      </c>
      <c r="W658" s="1"/>
    </row>
    <row r="659" spans="1:23" x14ac:dyDescent="0.2">
      <c r="A659" s="88" t="s">
        <v>16065</v>
      </c>
      <c r="B659" s="1" t="e">
        <v>#N/A</v>
      </c>
      <c r="C659" s="1" t="s">
        <v>10152</v>
      </c>
      <c r="D659" s="1" t="s">
        <v>1872</v>
      </c>
      <c r="E659" s="1" t="s">
        <v>1873</v>
      </c>
      <c r="F659" s="1" t="s">
        <v>9010</v>
      </c>
      <c r="G659" s="1" t="s">
        <v>8957</v>
      </c>
      <c r="H659" t="s">
        <v>9061</v>
      </c>
      <c r="I659" s="1" t="s">
        <v>8948</v>
      </c>
      <c r="J659" s="1" t="s">
        <v>8949</v>
      </c>
      <c r="K659" s="1" t="s">
        <v>9245</v>
      </c>
      <c r="L659" s="1" t="s">
        <v>8987</v>
      </c>
      <c r="M659" s="1">
        <v>1050</v>
      </c>
      <c r="N659" s="1" t="s">
        <v>8953</v>
      </c>
      <c r="O659" s="1" t="s">
        <v>8954</v>
      </c>
      <c r="P659" s="1" t="s">
        <v>8955</v>
      </c>
      <c r="Q659" s="1" t="s">
        <v>8990</v>
      </c>
      <c r="R659" s="1" t="s">
        <v>8957</v>
      </c>
      <c r="S659" s="1" t="s">
        <v>8958</v>
      </c>
      <c r="T659" s="1" t="s">
        <v>1874</v>
      </c>
      <c r="U659" s="1" t="s">
        <v>11</v>
      </c>
      <c r="V659" s="1" t="s">
        <v>921</v>
      </c>
      <c r="W659" s="1"/>
    </row>
    <row r="660" spans="1:23" x14ac:dyDescent="0.2">
      <c r="A660" s="88" t="s">
        <v>16066</v>
      </c>
      <c r="B660" s="1" t="e">
        <v>#N/A</v>
      </c>
      <c r="C660" s="1" t="e">
        <v>#N/A</v>
      </c>
      <c r="D660" s="1" t="s">
        <v>1875</v>
      </c>
      <c r="E660" s="1" t="s">
        <v>1876</v>
      </c>
      <c r="F660" s="1" t="s">
        <v>9310</v>
      </c>
      <c r="G660" s="1" t="s">
        <v>8957</v>
      </c>
      <c r="H660" t="s">
        <v>9009</v>
      </c>
      <c r="I660" s="1" t="s">
        <v>9035</v>
      </c>
      <c r="J660" s="1" t="s">
        <v>9308</v>
      </c>
      <c r="K660" s="1" t="s">
        <v>21355</v>
      </c>
      <c r="L660" s="1" t="s">
        <v>8973</v>
      </c>
      <c r="M660" s="1">
        <f>1351+247+138+5504</f>
        <v>7240</v>
      </c>
      <c r="N660" s="1" t="s">
        <v>20806</v>
      </c>
      <c r="O660" s="1" t="s">
        <v>8954</v>
      </c>
      <c r="P660" s="1" t="e">
        <v>#N/A</v>
      </c>
      <c r="Q660" s="1" t="e">
        <v>#N/A</v>
      </c>
      <c r="R660" s="1">
        <f>1+LEN(T660)-LEN(SUBSTITUTE(T660,",",))</f>
        <v>10</v>
      </c>
      <c r="S660" s="1" t="str">
        <f>IF(R660&gt;4,IF(R660&lt;8,"4-7",IF(R660&gt;7,"&gt;7")),"&lt;4")</f>
        <v>&gt;7</v>
      </c>
      <c r="T660" s="1" t="s">
        <v>18887</v>
      </c>
      <c r="U660" s="1" t="s">
        <v>17</v>
      </c>
      <c r="V660" s="1" t="s">
        <v>1877</v>
      </c>
      <c r="W660" s="1"/>
    </row>
    <row r="661" spans="1:23" x14ac:dyDescent="0.2">
      <c r="A661" s="88" t="s">
        <v>16067</v>
      </c>
      <c r="B661" s="1" t="e">
        <v>#N/A</v>
      </c>
      <c r="C661" s="1" t="s">
        <v>13643</v>
      </c>
      <c r="D661" s="1" t="s">
        <v>1878</v>
      </c>
      <c r="E661" s="1" t="s">
        <v>1879</v>
      </c>
      <c r="F661" s="1" t="s">
        <v>9465</v>
      </c>
      <c r="G661" s="1" t="s">
        <v>8974</v>
      </c>
      <c r="H661" t="s">
        <v>9009</v>
      </c>
      <c r="I661" s="1" t="s">
        <v>9154</v>
      </c>
      <c r="J661" s="1" t="s">
        <v>8998</v>
      </c>
      <c r="K661" s="1" t="s">
        <v>9041</v>
      </c>
      <c r="L661" s="1" t="s">
        <v>8951</v>
      </c>
      <c r="M661" s="1">
        <v>28</v>
      </c>
      <c r="N661" s="1" t="s">
        <v>9059</v>
      </c>
      <c r="O661" s="1" t="s">
        <v>8989</v>
      </c>
      <c r="P661" s="1" t="s">
        <v>8955</v>
      </c>
      <c r="Q661" s="1" t="s">
        <v>8956</v>
      </c>
      <c r="R661" s="1" t="s">
        <v>8974</v>
      </c>
      <c r="S661" s="1" t="s">
        <v>8958</v>
      </c>
      <c r="T661" s="1" t="s">
        <v>1880</v>
      </c>
      <c r="U661" s="1" t="s">
        <v>4</v>
      </c>
      <c r="V661" s="1" t="s">
        <v>1881</v>
      </c>
      <c r="W661" s="1"/>
    </row>
    <row r="662" spans="1:23" x14ac:dyDescent="0.2">
      <c r="A662" s="88" t="s">
        <v>16068</v>
      </c>
      <c r="B662" s="1" t="e">
        <v>#N/A</v>
      </c>
      <c r="C662" s="1" t="e">
        <v>#N/A</v>
      </c>
      <c r="D662" s="1" t="s">
        <v>1882</v>
      </c>
      <c r="E662" s="1" t="s">
        <v>1883</v>
      </c>
      <c r="F662" s="1" t="s">
        <v>10873</v>
      </c>
      <c r="G662" s="1" t="s">
        <v>8957</v>
      </c>
      <c r="H662" t="s">
        <v>9183</v>
      </c>
      <c r="I662" s="1" t="s">
        <v>8948</v>
      </c>
      <c r="J662" s="1" t="s">
        <v>8949</v>
      </c>
      <c r="K662" s="1" t="s">
        <v>21311</v>
      </c>
      <c r="L662" s="1" t="s">
        <v>8973</v>
      </c>
      <c r="M662" s="1">
        <v>37</v>
      </c>
      <c r="N662" s="1" t="s">
        <v>9059</v>
      </c>
      <c r="O662" s="1" t="s">
        <v>8989</v>
      </c>
      <c r="P662" s="1" t="e">
        <v>#N/A</v>
      </c>
      <c r="Q662" s="1" t="e">
        <v>#N/A</v>
      </c>
      <c r="R662" s="1">
        <f t="shared" ref="R662:R665" si="190">1+LEN(T662)-LEN(SUBSTITUTE(T662,",",))</f>
        <v>14</v>
      </c>
      <c r="S662" s="1" t="str">
        <f t="shared" ref="S662:S665" si="191">IF(R662&gt;4,IF(R662&lt;8,"4-7",IF(R662&gt;7,"&gt;7")),"&lt;4")</f>
        <v>&gt;7</v>
      </c>
      <c r="T662" s="1" t="s">
        <v>18888</v>
      </c>
      <c r="U662" s="1" t="s">
        <v>7</v>
      </c>
      <c r="V662" s="1" t="s">
        <v>392</v>
      </c>
      <c r="W662" s="1"/>
    </row>
    <row r="663" spans="1:23" x14ac:dyDescent="0.2">
      <c r="A663" s="89" t="s">
        <v>1884</v>
      </c>
      <c r="B663" s="1" t="e">
        <v>#N/A</v>
      </c>
      <c r="C663" s="1" t="e">
        <v>#N/A</v>
      </c>
      <c r="D663" s="5" t="s">
        <v>1885</v>
      </c>
      <c r="E663" s="1" t="s">
        <v>1886</v>
      </c>
      <c r="F663" s="1" t="e">
        <v>#N/A</v>
      </c>
      <c r="G663" s="1" t="e">
        <v>#N/A</v>
      </c>
      <c r="H663" t="e">
        <v>#N/A</v>
      </c>
      <c r="I663" s="1" t="e">
        <v>#N/A</v>
      </c>
      <c r="J663" s="1" t="e">
        <v>#N/A</v>
      </c>
      <c r="K663" s="1" t="e">
        <v>#N/A</v>
      </c>
      <c r="L663" s="1" t="e">
        <v>#N/A</v>
      </c>
      <c r="M663" s="1" t="e">
        <v>#N/A</v>
      </c>
      <c r="N663" s="1" t="e">
        <v>#N/A</v>
      </c>
      <c r="O663" s="1" t="e">
        <v>#N/A</v>
      </c>
      <c r="P663" s="1" t="e">
        <v>#N/A</v>
      </c>
      <c r="Q663" s="1" t="e">
        <v>#N/A</v>
      </c>
      <c r="R663" s="1">
        <f t="shared" si="190"/>
        <v>6</v>
      </c>
      <c r="S663" s="1" t="str">
        <f t="shared" si="191"/>
        <v>4-7</v>
      </c>
      <c r="T663" s="1" t="s">
        <v>18889</v>
      </c>
      <c r="U663" s="1" t="s">
        <v>7</v>
      </c>
      <c r="V663" s="1" t="s">
        <v>8</v>
      </c>
      <c r="W663" s="1"/>
    </row>
    <row r="664" spans="1:23" x14ac:dyDescent="0.2">
      <c r="A664" s="88" t="s">
        <v>16069</v>
      </c>
      <c r="B664" s="1" t="e">
        <v>#N/A</v>
      </c>
      <c r="C664" s="1" t="e">
        <v>#N/A</v>
      </c>
      <c r="D664" s="1" t="s">
        <v>1887</v>
      </c>
      <c r="E664" s="1" t="s">
        <v>1888</v>
      </c>
      <c r="F664" s="1" t="s">
        <v>20807</v>
      </c>
      <c r="G664" s="1" t="s">
        <v>8959</v>
      </c>
      <c r="H664" t="s">
        <v>8959</v>
      </c>
      <c r="I664" s="1" t="s">
        <v>9035</v>
      </c>
      <c r="J664" s="1" t="s">
        <v>8998</v>
      </c>
      <c r="K664" s="1" t="s">
        <v>20779</v>
      </c>
      <c r="L664" s="1" t="s">
        <v>8951</v>
      </c>
      <c r="M664" s="1">
        <v>1500</v>
      </c>
      <c r="N664" s="1" t="s">
        <v>8953</v>
      </c>
      <c r="O664" s="1" t="s">
        <v>8954</v>
      </c>
      <c r="P664" s="1" t="e">
        <v>#N/A</v>
      </c>
      <c r="Q664" s="1" t="e">
        <v>#N/A</v>
      </c>
      <c r="R664" s="1">
        <f t="shared" si="190"/>
        <v>5</v>
      </c>
      <c r="S664" s="1" t="str">
        <f t="shared" si="191"/>
        <v>4-7</v>
      </c>
      <c r="T664" s="1" t="s">
        <v>18890</v>
      </c>
      <c r="U664" s="1" t="s">
        <v>7</v>
      </c>
      <c r="V664" s="1" t="s">
        <v>1889</v>
      </c>
      <c r="W664" s="1"/>
    </row>
    <row r="665" spans="1:23" x14ac:dyDescent="0.2">
      <c r="A665" s="89" t="s">
        <v>1890</v>
      </c>
      <c r="B665" s="1" t="e">
        <v>#N/A</v>
      </c>
      <c r="C665" s="1" t="e">
        <v>#N/A</v>
      </c>
      <c r="D665" s="5" t="s">
        <v>1891</v>
      </c>
      <c r="E665" s="1" t="s">
        <v>1892</v>
      </c>
      <c r="F665" s="1" t="e">
        <v>#N/A</v>
      </c>
      <c r="G665" s="1" t="e">
        <v>#N/A</v>
      </c>
      <c r="H665" t="e">
        <v>#N/A</v>
      </c>
      <c r="I665" s="1" t="e">
        <v>#N/A</v>
      </c>
      <c r="J665" s="1" t="e">
        <v>#N/A</v>
      </c>
      <c r="K665" s="1" t="e">
        <v>#N/A</v>
      </c>
      <c r="L665" s="1" t="e">
        <v>#N/A</v>
      </c>
      <c r="M665" s="1" t="e">
        <v>#N/A</v>
      </c>
      <c r="N665" s="1" t="e">
        <v>#N/A</v>
      </c>
      <c r="O665" s="1" t="e">
        <v>#N/A</v>
      </c>
      <c r="P665" s="1" t="e">
        <v>#N/A</v>
      </c>
      <c r="Q665" s="1" t="e">
        <v>#N/A</v>
      </c>
      <c r="R665" s="1">
        <f t="shared" si="190"/>
        <v>3</v>
      </c>
      <c r="S665" s="1" t="str">
        <f t="shared" si="191"/>
        <v>&lt;4</v>
      </c>
      <c r="T665" s="1" t="s">
        <v>18891</v>
      </c>
      <c r="U665" s="1" t="s">
        <v>7</v>
      </c>
      <c r="V665" s="1" t="s">
        <v>15</v>
      </c>
      <c r="W665" s="1"/>
    </row>
    <row r="666" spans="1:23" x14ac:dyDescent="0.2">
      <c r="A666" s="88" t="s">
        <v>16070</v>
      </c>
      <c r="B666" s="1" t="e">
        <v>#N/A</v>
      </c>
      <c r="C666" s="1" t="s">
        <v>14919</v>
      </c>
      <c r="D666" s="1" t="s">
        <v>1893</v>
      </c>
      <c r="E666" s="1" t="s">
        <v>1894</v>
      </c>
      <c r="F666" s="1" t="s">
        <v>9968</v>
      </c>
      <c r="G666" s="1" t="s">
        <v>8959</v>
      </c>
      <c r="H666" t="s">
        <v>8959</v>
      </c>
      <c r="I666" s="1" t="s">
        <v>9049</v>
      </c>
      <c r="J666" s="1" t="s">
        <v>9050</v>
      </c>
      <c r="K666" s="1" t="s">
        <v>9036</v>
      </c>
      <c r="L666" s="1" t="s">
        <v>8951</v>
      </c>
      <c r="M666" s="1">
        <v>248</v>
      </c>
      <c r="N666" s="1" t="s">
        <v>8953</v>
      </c>
      <c r="O666" s="1" t="s">
        <v>8954</v>
      </c>
      <c r="P666" s="1" t="s">
        <v>8955</v>
      </c>
      <c r="Q666" s="1" t="s">
        <v>8956</v>
      </c>
      <c r="R666" s="1" t="s">
        <v>8959</v>
      </c>
      <c r="S666" s="1" t="s">
        <v>8958</v>
      </c>
      <c r="T666" s="1" t="s">
        <v>1895</v>
      </c>
      <c r="U666" s="1" t="s">
        <v>17</v>
      </c>
      <c r="V666" s="1" t="s">
        <v>1598</v>
      </c>
      <c r="W666" s="1"/>
    </row>
    <row r="667" spans="1:23" x14ac:dyDescent="0.2">
      <c r="A667" s="88" t="s">
        <v>16071</v>
      </c>
      <c r="B667" s="1" t="e">
        <v>#N/A</v>
      </c>
      <c r="C667" s="1" t="s">
        <v>10927</v>
      </c>
      <c r="D667" s="1" t="s">
        <v>1896</v>
      </c>
      <c r="E667" s="1" t="s">
        <v>1897</v>
      </c>
      <c r="F667" s="1" t="s">
        <v>9636</v>
      </c>
      <c r="G667" s="1" t="s">
        <v>9060</v>
      </c>
      <c r="H667" t="s">
        <v>9183</v>
      </c>
      <c r="I667" s="1" t="s">
        <v>9092</v>
      </c>
      <c r="J667" s="1" t="s">
        <v>8998</v>
      </c>
      <c r="K667" s="1" t="s">
        <v>10930</v>
      </c>
      <c r="L667" s="1" t="s">
        <v>8973</v>
      </c>
      <c r="M667" s="1">
        <v>45</v>
      </c>
      <c r="N667" s="1" t="s">
        <v>8953</v>
      </c>
      <c r="O667" s="1" t="s">
        <v>8989</v>
      </c>
      <c r="P667" s="1" t="s">
        <v>8955</v>
      </c>
      <c r="Q667" s="1" t="s">
        <v>8956</v>
      </c>
      <c r="R667" s="1" t="s">
        <v>9060</v>
      </c>
      <c r="S667" s="1" t="s">
        <v>8958</v>
      </c>
      <c r="T667" s="1" t="s">
        <v>1898</v>
      </c>
      <c r="U667" s="1" t="s">
        <v>11</v>
      </c>
      <c r="V667" s="1" t="s">
        <v>46</v>
      </c>
      <c r="W667" s="1"/>
    </row>
    <row r="668" spans="1:23" x14ac:dyDescent="0.2">
      <c r="A668" s="88" t="s">
        <v>16072</v>
      </c>
      <c r="B668" s="1" t="e">
        <v>#N/A</v>
      </c>
      <c r="C668" s="1" t="e">
        <v>#N/A</v>
      </c>
      <c r="D668" s="1" t="s">
        <v>1899</v>
      </c>
      <c r="E668" s="1" t="s">
        <v>1900</v>
      </c>
      <c r="F668" s="1" t="s">
        <v>18502</v>
      </c>
      <c r="G668" s="1" t="s">
        <v>8957</v>
      </c>
      <c r="H668" t="s">
        <v>9061</v>
      </c>
      <c r="I668" s="1" t="s">
        <v>9154</v>
      </c>
      <c r="J668" s="1" t="s">
        <v>8998</v>
      </c>
      <c r="K668" s="1" t="e">
        <v>#N/A</v>
      </c>
      <c r="L668" s="1" t="s">
        <v>9157</v>
      </c>
      <c r="M668" s="1">
        <v>2068</v>
      </c>
      <c r="N668" s="1" t="s">
        <v>9059</v>
      </c>
      <c r="O668" s="1" t="s">
        <v>8989</v>
      </c>
      <c r="P668" s="1" t="e">
        <v>#N/A</v>
      </c>
      <c r="Q668" s="1" t="e">
        <v>#N/A</v>
      </c>
      <c r="R668" s="1">
        <f t="shared" ref="R668:R672" si="192">1+LEN(T668)-LEN(SUBSTITUTE(T668,",",))</f>
        <v>17</v>
      </c>
      <c r="S668" s="1" t="str">
        <f t="shared" ref="S668:S672" si="193">IF(R668&gt;4,IF(R668&lt;8,"4-7",IF(R668&gt;7,"&gt;7")),"&lt;4")</f>
        <v>&gt;7</v>
      </c>
      <c r="T668" s="1" t="s">
        <v>20575</v>
      </c>
      <c r="U668" s="1" t="s">
        <v>7</v>
      </c>
      <c r="V668" s="1" t="s">
        <v>876</v>
      </c>
      <c r="W668" s="1"/>
    </row>
    <row r="669" spans="1:23" x14ac:dyDescent="0.2">
      <c r="A669" s="88" t="s">
        <v>16073</v>
      </c>
      <c r="B669" s="1" t="e">
        <v>#N/A</v>
      </c>
      <c r="C669" s="1" t="e">
        <v>#N/A</v>
      </c>
      <c r="D669" s="1" t="s">
        <v>1901</v>
      </c>
      <c r="E669" s="1" t="s">
        <v>1902</v>
      </c>
      <c r="F669" s="1" t="s">
        <v>9317</v>
      </c>
      <c r="G669" s="1" t="s">
        <v>8957</v>
      </c>
      <c r="H669" t="s">
        <v>9009</v>
      </c>
      <c r="I669" s="1" t="s">
        <v>9100</v>
      </c>
      <c r="J669" s="1" t="s">
        <v>8949</v>
      </c>
      <c r="K669" s="1" t="s">
        <v>20779</v>
      </c>
      <c r="L669" s="1" t="s">
        <v>9133</v>
      </c>
      <c r="M669" s="1">
        <v>1041</v>
      </c>
      <c r="N669" s="1" t="s">
        <v>8953</v>
      </c>
      <c r="O669" s="1" t="s">
        <v>8989</v>
      </c>
      <c r="P669" s="1" t="e">
        <v>#N/A</v>
      </c>
      <c r="Q669" s="1" t="e">
        <v>#N/A</v>
      </c>
      <c r="R669" s="1">
        <f t="shared" si="192"/>
        <v>13</v>
      </c>
      <c r="S669" s="1" t="str">
        <f t="shared" si="193"/>
        <v>&gt;7</v>
      </c>
      <c r="T669" s="1" t="s">
        <v>20576</v>
      </c>
      <c r="U669" s="1" t="s">
        <v>17</v>
      </c>
      <c r="V669" s="1" t="s">
        <v>57</v>
      </c>
      <c r="W669" s="1"/>
    </row>
    <row r="670" spans="1:23" x14ac:dyDescent="0.2">
      <c r="A670" s="88" t="s">
        <v>16074</v>
      </c>
      <c r="B670" s="1" t="e">
        <v>#N/A</v>
      </c>
      <c r="C670" s="1" t="e">
        <v>#N/A</v>
      </c>
      <c r="D670" s="1" t="s">
        <v>1903</v>
      </c>
      <c r="E670" s="1" t="s">
        <v>1904</v>
      </c>
      <c r="F670" s="1" t="s">
        <v>9642</v>
      </c>
      <c r="G670" s="1" t="s">
        <v>8957</v>
      </c>
      <c r="H670" t="s">
        <v>8959</v>
      </c>
      <c r="I670" s="1" t="s">
        <v>9252</v>
      </c>
      <c r="J670" s="1" t="s">
        <v>8949</v>
      </c>
      <c r="K670" s="1" t="s">
        <v>20779</v>
      </c>
      <c r="L670" s="1" t="s">
        <v>8987</v>
      </c>
      <c r="M670" s="1">
        <v>723</v>
      </c>
      <c r="N670" s="1" t="s">
        <v>8953</v>
      </c>
      <c r="O670" s="1" t="s">
        <v>8954</v>
      </c>
      <c r="P670" s="1" t="e">
        <v>#N/A</v>
      </c>
      <c r="Q670" s="1" t="e">
        <v>#N/A</v>
      </c>
      <c r="R670" s="1">
        <f t="shared" si="192"/>
        <v>3</v>
      </c>
      <c r="S670" s="1" t="str">
        <f t="shared" si="193"/>
        <v>&lt;4</v>
      </c>
      <c r="T670" s="1" t="s">
        <v>18892</v>
      </c>
      <c r="U670" s="1" t="s">
        <v>7</v>
      </c>
      <c r="V670" s="1" t="s">
        <v>64</v>
      </c>
      <c r="W670" s="1"/>
    </row>
    <row r="671" spans="1:23" x14ac:dyDescent="0.2">
      <c r="A671" s="88" t="s">
        <v>16075</v>
      </c>
      <c r="B671" s="1" t="e">
        <v>#N/A</v>
      </c>
      <c r="C671" s="1" t="e">
        <v>#N/A</v>
      </c>
      <c r="D671" s="1" t="s">
        <v>1905</v>
      </c>
      <c r="E671" s="1" t="s">
        <v>1906</v>
      </c>
      <c r="F671" s="1" t="s">
        <v>20808</v>
      </c>
      <c r="G671" s="1" t="s">
        <v>8959</v>
      </c>
      <c r="H671" t="s">
        <v>8959</v>
      </c>
      <c r="I671" s="1" t="s">
        <v>9035</v>
      </c>
      <c r="J671" s="1" t="s">
        <v>9155</v>
      </c>
      <c r="K671" s="1" t="s">
        <v>21266</v>
      </c>
      <c r="L671" s="1" t="s">
        <v>8987</v>
      </c>
      <c r="M671" s="1">
        <v>6087</v>
      </c>
      <c r="N671" s="1" t="s">
        <v>8953</v>
      </c>
      <c r="O671" s="1" t="s">
        <v>8954</v>
      </c>
      <c r="P671" s="1" t="e">
        <v>#N/A</v>
      </c>
      <c r="Q671" s="1" t="e">
        <v>#N/A</v>
      </c>
      <c r="R671" s="1">
        <f t="shared" si="192"/>
        <v>2</v>
      </c>
      <c r="S671" s="1" t="str">
        <f t="shared" si="193"/>
        <v>&lt;4</v>
      </c>
      <c r="T671" s="1" t="s">
        <v>18893</v>
      </c>
      <c r="U671" s="1" t="s">
        <v>7</v>
      </c>
      <c r="V671" s="1" t="s">
        <v>1907</v>
      </c>
      <c r="W671" s="1"/>
    </row>
    <row r="672" spans="1:23" x14ac:dyDescent="0.2">
      <c r="A672" s="88" t="s">
        <v>16076</v>
      </c>
      <c r="B672" s="1" t="e">
        <v>#N/A</v>
      </c>
      <c r="C672" s="1" t="e">
        <v>#N/A</v>
      </c>
      <c r="D672" s="1" t="s">
        <v>1908</v>
      </c>
      <c r="E672" s="1" t="s">
        <v>1909</v>
      </c>
      <c r="F672" s="1" t="s">
        <v>18502</v>
      </c>
      <c r="G672" s="1" t="s">
        <v>8959</v>
      </c>
      <c r="H672" t="s">
        <v>9061</v>
      </c>
      <c r="I672" s="1" t="s">
        <v>8948</v>
      </c>
      <c r="J672" s="1" t="s">
        <v>8949</v>
      </c>
      <c r="K672" s="1" t="s">
        <v>20779</v>
      </c>
      <c r="L672" s="1" t="s">
        <v>9076</v>
      </c>
      <c r="M672" s="1">
        <v>3</v>
      </c>
      <c r="N672" s="1" t="s">
        <v>9059</v>
      </c>
      <c r="O672" s="1" t="s">
        <v>8989</v>
      </c>
      <c r="P672" s="1" t="e">
        <v>#N/A</v>
      </c>
      <c r="Q672" s="1" t="e">
        <v>#N/A</v>
      </c>
      <c r="R672" s="1">
        <f t="shared" si="192"/>
        <v>2</v>
      </c>
      <c r="S672" s="1" t="str">
        <f t="shared" si="193"/>
        <v>&lt;4</v>
      </c>
      <c r="T672" s="1" t="s">
        <v>18894</v>
      </c>
      <c r="U672" s="1" t="s">
        <v>17</v>
      </c>
      <c r="V672" s="1" t="s">
        <v>46</v>
      </c>
      <c r="W672" s="1"/>
    </row>
    <row r="673" spans="1:23" x14ac:dyDescent="0.2">
      <c r="A673" s="88" t="s">
        <v>16077</v>
      </c>
      <c r="B673" s="1" t="e">
        <v>#N/A</v>
      </c>
      <c r="C673" s="1" t="s">
        <v>14472</v>
      </c>
      <c r="D673" s="1" t="s">
        <v>1910</v>
      </c>
      <c r="E673" s="1" t="s">
        <v>1911</v>
      </c>
      <c r="F673" s="1" t="s">
        <v>12363</v>
      </c>
      <c r="G673" s="1" t="s">
        <v>8957</v>
      </c>
      <c r="H673" t="s">
        <v>9009</v>
      </c>
      <c r="I673" s="1" t="s">
        <v>9154</v>
      </c>
      <c r="J673" s="1" t="s">
        <v>8949</v>
      </c>
      <c r="K673" s="1" t="s">
        <v>9036</v>
      </c>
      <c r="L673" s="1" t="s">
        <v>8973</v>
      </c>
      <c r="M673" s="1">
        <v>264</v>
      </c>
      <c r="N673" s="1" t="s">
        <v>8953</v>
      </c>
      <c r="O673" s="1" t="s">
        <v>8989</v>
      </c>
      <c r="P673" s="1" t="s">
        <v>8955</v>
      </c>
      <c r="Q673" s="1" t="s">
        <v>8956</v>
      </c>
      <c r="R673" s="1" t="s">
        <v>8957</v>
      </c>
      <c r="S673" s="1" t="s">
        <v>9103</v>
      </c>
      <c r="T673" s="1" t="s">
        <v>1912</v>
      </c>
      <c r="U673" s="1" t="s">
        <v>924</v>
      </c>
      <c r="V673" s="1" t="s">
        <v>46</v>
      </c>
      <c r="W673" s="1"/>
    </row>
    <row r="674" spans="1:23" x14ac:dyDescent="0.2">
      <c r="A674" s="88" t="s">
        <v>16078</v>
      </c>
      <c r="B674" s="1" t="e">
        <v>#N/A</v>
      </c>
      <c r="C674" s="1" t="e">
        <v>#N/A</v>
      </c>
      <c r="D674" s="1" t="s">
        <v>1913</v>
      </c>
      <c r="E674" s="1" t="s">
        <v>1914</v>
      </c>
      <c r="F674" s="1" t="s">
        <v>9246</v>
      </c>
      <c r="G674" s="1" t="s">
        <v>8957</v>
      </c>
      <c r="H674" t="s">
        <v>9061</v>
      </c>
      <c r="I674" s="1" t="s">
        <v>20712</v>
      </c>
      <c r="J674" s="1" t="s">
        <v>8998</v>
      </c>
      <c r="K674" s="1" t="s">
        <v>20779</v>
      </c>
      <c r="L674" s="1" t="s">
        <v>8951</v>
      </c>
      <c r="M674" s="1">
        <v>16000</v>
      </c>
      <c r="N674" s="1" t="s">
        <v>9059</v>
      </c>
      <c r="O674" s="1" t="s">
        <v>8954</v>
      </c>
      <c r="P674" s="1" t="e">
        <v>#N/A</v>
      </c>
      <c r="Q674" s="1" t="e">
        <v>#N/A</v>
      </c>
      <c r="R674" s="1">
        <f t="shared" ref="R674:R676" si="194">1+LEN(T674)-LEN(SUBSTITUTE(T674,",",))</f>
        <v>12</v>
      </c>
      <c r="S674" s="1" t="str">
        <f t="shared" ref="S674:S676" si="195">IF(R674&gt;4,IF(R674&lt;8,"4-7",IF(R674&gt;7,"&gt;7")),"&lt;4")</f>
        <v>&gt;7</v>
      </c>
      <c r="T674" s="1" t="s">
        <v>18895</v>
      </c>
      <c r="U674" s="1" t="s">
        <v>17</v>
      </c>
      <c r="V674" s="1" t="s">
        <v>1915</v>
      </c>
      <c r="W674" s="1"/>
    </row>
    <row r="675" spans="1:23" x14ac:dyDescent="0.2">
      <c r="A675" s="94" t="s">
        <v>21511</v>
      </c>
      <c r="B675" s="1" t="e">
        <v>#N/A</v>
      </c>
      <c r="C675" s="1" t="e">
        <v>#N/A</v>
      </c>
      <c r="D675" s="1" t="s">
        <v>1916</v>
      </c>
      <c r="E675" s="1" t="s">
        <v>1917</v>
      </c>
      <c r="F675" s="1"/>
      <c r="G675" s="1" t="e">
        <v>#N/A</v>
      </c>
      <c r="I675" s="1" t="e">
        <v>#N/A</v>
      </c>
      <c r="J675" s="1" t="e">
        <v>#N/A</v>
      </c>
      <c r="K675" s="1" t="e">
        <v>#N/A</v>
      </c>
      <c r="L675" s="1" t="e">
        <v>#N/A</v>
      </c>
      <c r="M675" s="1" t="e">
        <v>#N/A</v>
      </c>
      <c r="N675" s="1" t="e">
        <v>#N/A</v>
      </c>
      <c r="O675" s="1" t="e">
        <v>#N/A</v>
      </c>
      <c r="P675" s="1" t="e">
        <v>#N/A</v>
      </c>
      <c r="Q675" s="1" t="e">
        <v>#N/A</v>
      </c>
      <c r="R675" s="1">
        <f t="shared" si="194"/>
        <v>7</v>
      </c>
      <c r="S675" s="1" t="str">
        <f t="shared" si="195"/>
        <v>4-7</v>
      </c>
      <c r="T675" s="1" t="s">
        <v>18896</v>
      </c>
      <c r="U675" s="1" t="s">
        <v>17</v>
      </c>
      <c r="V675" s="1" t="s">
        <v>1918</v>
      </c>
      <c r="W675" s="1"/>
    </row>
    <row r="676" spans="1:23" x14ac:dyDescent="0.2">
      <c r="A676" s="89" t="s">
        <v>1919</v>
      </c>
      <c r="B676" s="1" t="e">
        <v>#N/A</v>
      </c>
      <c r="C676" s="1" t="e">
        <v>#N/A</v>
      </c>
      <c r="D676" s="5" t="s">
        <v>1920</v>
      </c>
      <c r="E676" s="1" t="s">
        <v>1921</v>
      </c>
      <c r="F676" s="1" t="e">
        <v>#N/A</v>
      </c>
      <c r="G676" s="1" t="e">
        <v>#N/A</v>
      </c>
      <c r="H676" t="e">
        <v>#N/A</v>
      </c>
      <c r="I676" s="1" t="e">
        <v>#N/A</v>
      </c>
      <c r="J676" s="1" t="e">
        <v>#N/A</v>
      </c>
      <c r="K676" s="1" t="e">
        <v>#N/A</v>
      </c>
      <c r="L676" s="1" t="e">
        <v>#N/A</v>
      </c>
      <c r="M676" s="1" t="e">
        <v>#N/A</v>
      </c>
      <c r="N676" s="1" t="e">
        <v>#N/A</v>
      </c>
      <c r="O676" s="1" t="e">
        <v>#N/A</v>
      </c>
      <c r="P676" s="1" t="e">
        <v>#N/A</v>
      </c>
      <c r="Q676" s="1" t="e">
        <v>#N/A</v>
      </c>
      <c r="R676" s="1">
        <f t="shared" si="194"/>
        <v>2</v>
      </c>
      <c r="S676" s="1" t="str">
        <f t="shared" si="195"/>
        <v>&lt;4</v>
      </c>
      <c r="T676" s="1" t="s">
        <v>20577</v>
      </c>
      <c r="U676" s="1" t="s">
        <v>17</v>
      </c>
      <c r="V676" s="1" t="s">
        <v>496</v>
      </c>
      <c r="W676" s="1"/>
    </row>
    <row r="677" spans="1:23" x14ac:dyDescent="0.2">
      <c r="A677" s="88" t="s">
        <v>16079</v>
      </c>
      <c r="B677" s="1" t="e">
        <v>#N/A</v>
      </c>
      <c r="C677" s="1" t="s">
        <v>11370</v>
      </c>
      <c r="D677" s="1" t="s">
        <v>1922</v>
      </c>
      <c r="E677" s="1" t="s">
        <v>1923</v>
      </c>
      <c r="F677" s="1" t="s">
        <v>9010</v>
      </c>
      <c r="G677" s="1" t="s">
        <v>8959</v>
      </c>
      <c r="H677" t="s">
        <v>9183</v>
      </c>
      <c r="I677" s="1" t="s">
        <v>9092</v>
      </c>
      <c r="J677" s="1" t="s">
        <v>9308</v>
      </c>
      <c r="K677" s="1" t="s">
        <v>9036</v>
      </c>
      <c r="L677" s="1" t="s">
        <v>8951</v>
      </c>
      <c r="M677" s="1">
        <v>901</v>
      </c>
      <c r="N677" s="1" t="s">
        <v>8953</v>
      </c>
      <c r="O677" s="1" t="s">
        <v>8954</v>
      </c>
      <c r="P677" s="1" t="s">
        <v>8955</v>
      </c>
      <c r="Q677" s="1" t="s">
        <v>8956</v>
      </c>
      <c r="R677" s="1" t="s">
        <v>8959</v>
      </c>
      <c r="S677" s="1" t="s">
        <v>8958</v>
      </c>
      <c r="T677" s="1" t="s">
        <v>1924</v>
      </c>
      <c r="U677" s="1" t="s">
        <v>11</v>
      </c>
      <c r="V677" s="1" t="s">
        <v>496</v>
      </c>
      <c r="W677" s="1"/>
    </row>
    <row r="678" spans="1:23" x14ac:dyDescent="0.2">
      <c r="A678" s="88" t="s">
        <v>16080</v>
      </c>
      <c r="B678" s="1" t="e">
        <v>#N/A</v>
      </c>
      <c r="C678" s="1" t="e">
        <v>#N/A</v>
      </c>
      <c r="D678" s="1" t="s">
        <v>15476</v>
      </c>
      <c r="E678" s="1" t="s">
        <v>1925</v>
      </c>
      <c r="F678" s="1" t="s">
        <v>18502</v>
      </c>
      <c r="G678" s="1" t="s">
        <v>8957</v>
      </c>
      <c r="H678" t="s">
        <v>9009</v>
      </c>
      <c r="I678" s="1" t="s">
        <v>9035</v>
      </c>
      <c r="J678" s="1" t="s">
        <v>9155</v>
      </c>
      <c r="K678" s="1" t="s">
        <v>21520</v>
      </c>
      <c r="L678" s="1" t="s">
        <v>8987</v>
      </c>
      <c r="M678" s="1">
        <v>1538</v>
      </c>
      <c r="N678" s="1" t="s">
        <v>8953</v>
      </c>
      <c r="O678" s="1" t="s">
        <v>8954</v>
      </c>
      <c r="P678" s="1" t="e">
        <v>#N/A</v>
      </c>
      <c r="Q678" s="1" t="e">
        <v>#N/A</v>
      </c>
      <c r="R678" s="1">
        <f>1+LEN(T678)-LEN(SUBSTITUTE(T678,",",))</f>
        <v>5</v>
      </c>
      <c r="S678" s="1" t="str">
        <f>IF(R678&gt;4,IF(R678&lt;8,"4-7",IF(R678&gt;7,"&gt;7")),"&lt;4")</f>
        <v>4-7</v>
      </c>
      <c r="T678" s="1" t="s">
        <v>18897</v>
      </c>
      <c r="U678" s="1" t="s">
        <v>7</v>
      </c>
      <c r="V678" s="1" t="s">
        <v>110</v>
      </c>
      <c r="W678" s="1"/>
    </row>
    <row r="679" spans="1:23" x14ac:dyDescent="0.2">
      <c r="A679" s="88" t="s">
        <v>16081</v>
      </c>
      <c r="B679" s="1" t="e">
        <v>#N/A</v>
      </c>
      <c r="C679" s="1" t="s">
        <v>9138</v>
      </c>
      <c r="D679" s="1" t="s">
        <v>1926</v>
      </c>
      <c r="E679" s="1" t="s">
        <v>1927</v>
      </c>
      <c r="F679" s="1" t="s">
        <v>9010</v>
      </c>
      <c r="G679" s="1" t="s">
        <v>8957</v>
      </c>
      <c r="H679" t="s">
        <v>9061</v>
      </c>
      <c r="I679" s="1" t="s">
        <v>8948</v>
      </c>
      <c r="J679" s="1" t="s">
        <v>8949</v>
      </c>
      <c r="K679" s="1" t="s">
        <v>9036</v>
      </c>
      <c r="L679" s="1" t="s">
        <v>8987</v>
      </c>
      <c r="M679" s="1">
        <v>195023</v>
      </c>
      <c r="N679" s="1" t="s">
        <v>8953</v>
      </c>
      <c r="O679" s="1" t="s">
        <v>8954</v>
      </c>
      <c r="P679" s="1" t="s">
        <v>8955</v>
      </c>
      <c r="Q679" s="1" t="s">
        <v>8956</v>
      </c>
      <c r="R679" s="1" t="s">
        <v>8957</v>
      </c>
      <c r="S679" s="1" t="s">
        <v>9103</v>
      </c>
      <c r="T679" s="1" t="s">
        <v>1928</v>
      </c>
      <c r="U679" s="1" t="s">
        <v>17</v>
      </c>
      <c r="V679" s="1" t="s">
        <v>1929</v>
      </c>
      <c r="W679" s="1"/>
    </row>
    <row r="680" spans="1:23" x14ac:dyDescent="0.2">
      <c r="A680" s="88" t="s">
        <v>16082</v>
      </c>
      <c r="B680" s="1" t="e">
        <v>#N/A</v>
      </c>
      <c r="C680" s="1" t="s">
        <v>12665</v>
      </c>
      <c r="D680" s="1" t="s">
        <v>1930</v>
      </c>
      <c r="E680" s="1" t="s">
        <v>1931</v>
      </c>
      <c r="F680" s="1" t="s">
        <v>9213</v>
      </c>
      <c r="G680" s="1" t="s">
        <v>9060</v>
      </c>
      <c r="H680" t="s">
        <v>8959</v>
      </c>
      <c r="I680" s="1" t="s">
        <v>9100</v>
      </c>
      <c r="J680" s="1" t="s">
        <v>8949</v>
      </c>
      <c r="K680" s="1" t="s">
        <v>9036</v>
      </c>
      <c r="L680" s="1" t="s">
        <v>9076</v>
      </c>
      <c r="M680" s="1">
        <v>3</v>
      </c>
      <c r="N680" s="1" t="s">
        <v>8953</v>
      </c>
      <c r="O680" s="1" t="s">
        <v>8954</v>
      </c>
      <c r="P680" s="1" t="s">
        <v>8955</v>
      </c>
      <c r="Q680" s="1" t="s">
        <v>8956</v>
      </c>
      <c r="R680" s="1" t="s">
        <v>9060</v>
      </c>
      <c r="S680" s="1" t="s">
        <v>8958</v>
      </c>
      <c r="T680" s="1" t="s">
        <v>1932</v>
      </c>
      <c r="U680" s="1" t="s">
        <v>11</v>
      </c>
      <c r="V680" s="1" t="s">
        <v>161</v>
      </c>
      <c r="W680" s="1"/>
    </row>
    <row r="681" spans="1:23" x14ac:dyDescent="0.2">
      <c r="A681" s="88" t="s">
        <v>16083</v>
      </c>
      <c r="B681" s="1" t="e">
        <v>#N/A</v>
      </c>
      <c r="C681" s="1" t="e">
        <v>#N/A</v>
      </c>
      <c r="D681" s="1" t="s">
        <v>1933</v>
      </c>
      <c r="E681" s="1" t="s">
        <v>1934</v>
      </c>
      <c r="F681" s="1" t="s">
        <v>9246</v>
      </c>
      <c r="G681" s="1" t="s">
        <v>8959</v>
      </c>
      <c r="H681" t="s">
        <v>9061</v>
      </c>
      <c r="I681" s="1" t="s">
        <v>9075</v>
      </c>
      <c r="J681" s="1" t="s">
        <v>8949</v>
      </c>
      <c r="K681" s="1" t="s">
        <v>10492</v>
      </c>
      <c r="L681" s="1" t="s">
        <v>8973</v>
      </c>
      <c r="M681" s="1">
        <v>5</v>
      </c>
      <c r="N681" s="1" t="s">
        <v>9059</v>
      </c>
      <c r="O681" s="1" t="s">
        <v>8989</v>
      </c>
      <c r="P681" s="1" t="e">
        <v>#N/A</v>
      </c>
      <c r="Q681" s="1" t="e">
        <v>#N/A</v>
      </c>
      <c r="R681" s="1">
        <f t="shared" ref="R681:R686" si="196">1+LEN(T681)-LEN(SUBSTITUTE(T681,",",))</f>
        <v>10</v>
      </c>
      <c r="S681" s="1" t="str">
        <f t="shared" ref="S681:S686" si="197">IF(R681&gt;4,IF(R681&lt;8,"4-7",IF(R681&gt;7,"&gt;7")),"&lt;4")</f>
        <v>&gt;7</v>
      </c>
      <c r="T681" s="1" t="s">
        <v>18898</v>
      </c>
      <c r="U681" s="1" t="s">
        <v>7</v>
      </c>
      <c r="V681" s="1" t="s">
        <v>93</v>
      </c>
      <c r="W681" s="1"/>
    </row>
    <row r="682" spans="1:23" x14ac:dyDescent="0.2">
      <c r="A682" s="89" t="s">
        <v>1935</v>
      </c>
      <c r="B682" s="1" t="e">
        <v>#N/A</v>
      </c>
      <c r="C682" s="1" t="e">
        <v>#N/A</v>
      </c>
      <c r="D682" s="1" t="s">
        <v>1936</v>
      </c>
      <c r="E682" s="1" t="s">
        <v>1937</v>
      </c>
      <c r="F682" s="1" t="e">
        <v>#N/A</v>
      </c>
      <c r="G682" s="1" t="e">
        <v>#N/A</v>
      </c>
      <c r="H682" t="e">
        <v>#N/A</v>
      </c>
      <c r="I682" s="1" t="e">
        <v>#N/A</v>
      </c>
      <c r="J682" s="1" t="e">
        <v>#N/A</v>
      </c>
      <c r="K682" s="1" t="e">
        <v>#N/A</v>
      </c>
      <c r="L682" s="1" t="e">
        <v>#N/A</v>
      </c>
      <c r="M682" s="1" t="e">
        <v>#N/A</v>
      </c>
      <c r="N682" s="1" t="e">
        <v>#N/A</v>
      </c>
      <c r="O682" s="1" t="e">
        <v>#N/A</v>
      </c>
      <c r="P682" s="1" t="e">
        <v>#N/A</v>
      </c>
      <c r="Q682" s="1" t="e">
        <v>#N/A</v>
      </c>
      <c r="R682" s="1">
        <f t="shared" si="196"/>
        <v>5</v>
      </c>
      <c r="S682" s="1" t="str">
        <f t="shared" si="197"/>
        <v>4-7</v>
      </c>
      <c r="T682" s="1" t="s">
        <v>18899</v>
      </c>
      <c r="U682" s="1" t="s">
        <v>4</v>
      </c>
      <c r="V682" s="1" t="s">
        <v>87</v>
      </c>
      <c r="W682" s="1"/>
    </row>
    <row r="683" spans="1:23" x14ac:dyDescent="0.2">
      <c r="A683" s="89" t="s">
        <v>1938</v>
      </c>
      <c r="B683" s="1" t="e">
        <v>#N/A</v>
      </c>
      <c r="C683" s="1" t="e">
        <v>#N/A</v>
      </c>
      <c r="D683" s="1" t="s">
        <v>1939</v>
      </c>
      <c r="E683" s="1" t="s">
        <v>1940</v>
      </c>
      <c r="F683" s="1" t="e">
        <v>#N/A</v>
      </c>
      <c r="G683" s="1" t="e">
        <v>#N/A</v>
      </c>
      <c r="H683" t="e">
        <v>#N/A</v>
      </c>
      <c r="I683" s="1" t="e">
        <v>#N/A</v>
      </c>
      <c r="J683" s="1" t="e">
        <v>#N/A</v>
      </c>
      <c r="K683" s="1" t="e">
        <v>#N/A</v>
      </c>
      <c r="L683" s="1" t="e">
        <v>#N/A</v>
      </c>
      <c r="M683" s="1" t="e">
        <v>#N/A</v>
      </c>
      <c r="N683" s="1" t="e">
        <v>#N/A</v>
      </c>
      <c r="O683" s="1" t="e">
        <v>#N/A</v>
      </c>
      <c r="P683" s="1" t="e">
        <v>#N/A</v>
      </c>
      <c r="Q683" s="1" t="e">
        <v>#N/A</v>
      </c>
      <c r="R683" s="1">
        <f t="shared" si="196"/>
        <v>4</v>
      </c>
      <c r="S683" s="1" t="str">
        <f t="shared" si="197"/>
        <v>&lt;4</v>
      </c>
      <c r="T683" s="1" t="s">
        <v>18900</v>
      </c>
      <c r="U683" s="1" t="s">
        <v>4</v>
      </c>
      <c r="V683" s="1" t="s">
        <v>1223</v>
      </c>
      <c r="W683" s="1"/>
    </row>
    <row r="684" spans="1:23" x14ac:dyDescent="0.2">
      <c r="A684" s="89" t="s">
        <v>16084</v>
      </c>
      <c r="B684" s="1" t="e">
        <v>#N/A</v>
      </c>
      <c r="C684" s="1" t="e">
        <v>#N/A</v>
      </c>
      <c r="D684" s="1" t="s">
        <v>1941</v>
      </c>
      <c r="E684" s="1" t="s">
        <v>1942</v>
      </c>
      <c r="F684" s="1" t="e">
        <v>#N/A</v>
      </c>
      <c r="G684" s="1" t="e">
        <v>#N/A</v>
      </c>
      <c r="H684" t="e">
        <v>#N/A</v>
      </c>
      <c r="I684" s="1" t="e">
        <v>#N/A</v>
      </c>
      <c r="J684" s="1" t="e">
        <v>#N/A</v>
      </c>
      <c r="K684" s="1" t="e">
        <v>#N/A</v>
      </c>
      <c r="L684" s="1" t="e">
        <v>#N/A</v>
      </c>
      <c r="M684" s="1" t="e">
        <v>#N/A</v>
      </c>
      <c r="N684" s="1" t="e">
        <v>#N/A</v>
      </c>
      <c r="O684" s="1" t="e">
        <v>#N/A</v>
      </c>
      <c r="P684" s="1" t="e">
        <v>#N/A</v>
      </c>
      <c r="Q684" s="1" t="e">
        <v>#N/A</v>
      </c>
      <c r="R684" s="1">
        <f t="shared" si="196"/>
        <v>6</v>
      </c>
      <c r="S684" s="1" t="str">
        <f t="shared" si="197"/>
        <v>4-7</v>
      </c>
      <c r="T684" s="1" t="s">
        <v>18901</v>
      </c>
      <c r="U684" s="1" t="s">
        <v>11</v>
      </c>
      <c r="V684" s="1" t="s">
        <v>174</v>
      </c>
      <c r="W684" s="1"/>
    </row>
    <row r="685" spans="1:23" x14ac:dyDescent="0.2">
      <c r="A685" s="89" t="s">
        <v>16085</v>
      </c>
      <c r="B685" s="1" t="e">
        <v>#N/A</v>
      </c>
      <c r="C685" s="1" t="e">
        <v>#N/A</v>
      </c>
      <c r="D685" s="1" t="s">
        <v>1943</v>
      </c>
      <c r="E685" s="1" t="s">
        <v>1944</v>
      </c>
      <c r="F685" s="1" t="e">
        <v>#N/A</v>
      </c>
      <c r="G685" s="1" t="e">
        <v>#N/A</v>
      </c>
      <c r="H685" t="e">
        <v>#N/A</v>
      </c>
      <c r="I685" s="1" t="e">
        <v>#N/A</v>
      </c>
      <c r="J685" s="1" t="e">
        <v>#N/A</v>
      </c>
      <c r="K685" s="1" t="e">
        <v>#N/A</v>
      </c>
      <c r="L685" s="1" t="e">
        <v>#N/A</v>
      </c>
      <c r="M685" s="1" t="e">
        <v>#N/A</v>
      </c>
      <c r="N685" s="1" t="e">
        <v>#N/A</v>
      </c>
      <c r="O685" s="1" t="e">
        <v>#N/A</v>
      </c>
      <c r="P685" s="1" t="e">
        <v>#N/A</v>
      </c>
      <c r="Q685" s="1" t="e">
        <v>#N/A</v>
      </c>
      <c r="R685" s="1">
        <f t="shared" si="196"/>
        <v>2</v>
      </c>
      <c r="S685" s="1" t="str">
        <f t="shared" si="197"/>
        <v>&lt;4</v>
      </c>
      <c r="T685" s="1" t="s">
        <v>18902</v>
      </c>
      <c r="U685" s="1" t="s">
        <v>7</v>
      </c>
      <c r="V685" s="1" t="s">
        <v>1945</v>
      </c>
      <c r="W685" s="1"/>
    </row>
    <row r="686" spans="1:23" x14ac:dyDescent="0.2">
      <c r="A686" s="89" t="s">
        <v>16086</v>
      </c>
      <c r="B686" s="1" t="e">
        <v>#N/A</v>
      </c>
      <c r="C686" s="1" t="e">
        <v>#N/A</v>
      </c>
      <c r="D686" s="1" t="s">
        <v>1946</v>
      </c>
      <c r="E686" s="1" t="s">
        <v>1947</v>
      </c>
      <c r="F686" s="1" t="e">
        <v>#N/A</v>
      </c>
      <c r="G686" s="1" t="e">
        <v>#N/A</v>
      </c>
      <c r="H686" t="e">
        <v>#N/A</v>
      </c>
      <c r="I686" s="1" t="e">
        <v>#N/A</v>
      </c>
      <c r="J686" s="1" t="e">
        <v>#N/A</v>
      </c>
      <c r="K686" s="1" t="e">
        <v>#N/A</v>
      </c>
      <c r="L686" s="1" t="e">
        <v>#N/A</v>
      </c>
      <c r="M686" s="1" t="e">
        <v>#N/A</v>
      </c>
      <c r="N686" s="1" t="e">
        <v>#N/A</v>
      </c>
      <c r="O686" s="1" t="e">
        <v>#N/A</v>
      </c>
      <c r="P686" s="1" t="e">
        <v>#N/A</v>
      </c>
      <c r="Q686" s="1" t="e">
        <v>#N/A</v>
      </c>
      <c r="R686" s="1">
        <f t="shared" si="196"/>
        <v>2</v>
      </c>
      <c r="S686" s="1" t="str">
        <f t="shared" si="197"/>
        <v>&lt;4</v>
      </c>
      <c r="T686" s="1" t="s">
        <v>18903</v>
      </c>
      <c r="U686" s="1" t="s">
        <v>7</v>
      </c>
      <c r="V686" s="1" t="s">
        <v>1945</v>
      </c>
      <c r="W686" s="1"/>
    </row>
    <row r="687" spans="1:23" x14ac:dyDescent="0.2">
      <c r="A687" s="88" t="s">
        <v>16087</v>
      </c>
      <c r="B687" s="1" t="e">
        <v>#N/A</v>
      </c>
      <c r="C687" s="1" t="s">
        <v>12355</v>
      </c>
      <c r="D687" s="1" t="s">
        <v>1948</v>
      </c>
      <c r="E687" s="1" t="s">
        <v>1949</v>
      </c>
      <c r="F687" s="1" t="s">
        <v>10873</v>
      </c>
      <c r="G687" s="1" t="s">
        <v>8959</v>
      </c>
      <c r="H687" t="s">
        <v>9183</v>
      </c>
      <c r="I687" s="1" t="s">
        <v>9092</v>
      </c>
      <c r="J687" s="1" t="s">
        <v>9308</v>
      </c>
      <c r="K687" s="1" t="s">
        <v>9036</v>
      </c>
      <c r="L687" s="1" t="s">
        <v>8973</v>
      </c>
      <c r="M687" s="1">
        <v>50000</v>
      </c>
      <c r="N687" s="1" t="s">
        <v>8953</v>
      </c>
      <c r="O687" s="1" t="s">
        <v>8989</v>
      </c>
      <c r="P687" s="1" t="s">
        <v>8955</v>
      </c>
      <c r="Q687" s="1" t="s">
        <v>8956</v>
      </c>
      <c r="R687" s="1" t="s">
        <v>8959</v>
      </c>
      <c r="S687" s="1" t="s">
        <v>8975</v>
      </c>
      <c r="T687" s="1" t="s">
        <v>1950</v>
      </c>
      <c r="U687" s="1" t="s">
        <v>11</v>
      </c>
      <c r="V687" s="1" t="s">
        <v>64</v>
      </c>
      <c r="W687" s="1"/>
    </row>
    <row r="688" spans="1:23" x14ac:dyDescent="0.2">
      <c r="A688" s="88" t="s">
        <v>16088</v>
      </c>
      <c r="B688" s="1" t="e">
        <v>#N/A</v>
      </c>
      <c r="C688" s="1" t="e">
        <v>#N/A</v>
      </c>
      <c r="D688" s="1" t="s">
        <v>1951</v>
      </c>
      <c r="E688" s="1" t="s">
        <v>1952</v>
      </c>
      <c r="F688" s="1" t="s">
        <v>9317</v>
      </c>
      <c r="G688" s="1" t="s">
        <v>8957</v>
      </c>
      <c r="H688" t="s">
        <v>9009</v>
      </c>
      <c r="I688" s="1" t="s">
        <v>9605</v>
      </c>
      <c r="J688" s="1" t="s">
        <v>8949</v>
      </c>
      <c r="K688" s="1" t="s">
        <v>20779</v>
      </c>
      <c r="L688" s="1" t="s">
        <v>9292</v>
      </c>
      <c r="M688" s="1">
        <v>5525</v>
      </c>
      <c r="N688" s="1" t="s">
        <v>8953</v>
      </c>
      <c r="O688" s="1" t="s">
        <v>8989</v>
      </c>
      <c r="P688" s="1" t="e">
        <v>#N/A</v>
      </c>
      <c r="Q688" s="1" t="e">
        <v>#N/A</v>
      </c>
      <c r="R688" s="1">
        <f t="shared" ref="R688:R690" si="198">1+LEN(T688)-LEN(SUBSTITUTE(T688,",",))</f>
        <v>3</v>
      </c>
      <c r="S688" s="1" t="str">
        <f t="shared" ref="S688:S690" si="199">IF(R688&gt;4,IF(R688&lt;8,"4-7",IF(R688&gt;7,"&gt;7")),"&lt;4")</f>
        <v>&lt;4</v>
      </c>
      <c r="T688" s="1" t="s">
        <v>18904</v>
      </c>
      <c r="U688" s="1" t="s">
        <v>7</v>
      </c>
      <c r="V688" s="1" t="s">
        <v>24</v>
      </c>
      <c r="W688" s="1"/>
    </row>
    <row r="689" spans="1:23" x14ac:dyDescent="0.2">
      <c r="A689" s="88" t="s">
        <v>16089</v>
      </c>
      <c r="B689" s="1" t="e">
        <v>#N/A</v>
      </c>
      <c r="C689" s="1" t="e">
        <v>#N/A</v>
      </c>
      <c r="D689" s="1" t="s">
        <v>1953</v>
      </c>
      <c r="E689" s="1" t="s">
        <v>1954</v>
      </c>
      <c r="F689" s="1" t="s">
        <v>18502</v>
      </c>
      <c r="G689" s="1" t="s">
        <v>8957</v>
      </c>
      <c r="H689" t="s">
        <v>8959</v>
      </c>
      <c r="I689" s="1" t="s">
        <v>9035</v>
      </c>
      <c r="J689" s="1" t="s">
        <v>9308</v>
      </c>
      <c r="K689" s="1" t="s">
        <v>20785</v>
      </c>
      <c r="L689" s="1" t="e">
        <v>#N/A</v>
      </c>
      <c r="M689" s="1" t="e">
        <v>#N/A</v>
      </c>
      <c r="N689" s="1" t="e">
        <v>#N/A</v>
      </c>
      <c r="O689" s="1" t="e">
        <v>#N/A</v>
      </c>
      <c r="P689" s="1" t="e">
        <v>#N/A</v>
      </c>
      <c r="Q689" s="1" t="e">
        <v>#N/A</v>
      </c>
      <c r="R689" s="1">
        <f t="shared" si="198"/>
        <v>6</v>
      </c>
      <c r="S689" s="1" t="str">
        <f t="shared" si="199"/>
        <v>4-7</v>
      </c>
      <c r="T689" s="1" t="s">
        <v>18905</v>
      </c>
      <c r="U689" s="1" t="s">
        <v>7</v>
      </c>
      <c r="V689" s="1" t="s">
        <v>61</v>
      </c>
      <c r="W689" s="1"/>
    </row>
    <row r="690" spans="1:23" x14ac:dyDescent="0.2">
      <c r="A690" s="88" t="s">
        <v>16090</v>
      </c>
      <c r="B690" s="1" t="e">
        <v>#N/A</v>
      </c>
      <c r="C690" s="1" t="e">
        <v>#N/A</v>
      </c>
      <c r="D690" s="1" t="s">
        <v>1955</v>
      </c>
      <c r="E690" s="1" t="s">
        <v>1956</v>
      </c>
      <c r="F690" s="1" t="s">
        <v>18502</v>
      </c>
      <c r="G690" s="1" t="s">
        <v>8957</v>
      </c>
      <c r="H690" t="s">
        <v>8959</v>
      </c>
      <c r="I690" s="1" t="s">
        <v>9100</v>
      </c>
      <c r="J690" s="1" t="s">
        <v>8949</v>
      </c>
      <c r="K690" s="1" t="s">
        <v>20779</v>
      </c>
      <c r="L690" s="1" t="s">
        <v>9133</v>
      </c>
      <c r="M690" s="1">
        <v>841</v>
      </c>
      <c r="N690" s="1" t="s">
        <v>9059</v>
      </c>
      <c r="O690" s="1" t="s">
        <v>8954</v>
      </c>
      <c r="P690" s="1" t="e">
        <v>#N/A</v>
      </c>
      <c r="Q690" s="1" t="e">
        <v>#N/A</v>
      </c>
      <c r="R690" s="1">
        <f t="shared" si="198"/>
        <v>4</v>
      </c>
      <c r="S690" s="1" t="str">
        <f t="shared" si="199"/>
        <v>&lt;4</v>
      </c>
      <c r="T690" s="1" t="s">
        <v>18906</v>
      </c>
      <c r="U690" s="1" t="s">
        <v>11</v>
      </c>
      <c r="V690" s="1" t="s">
        <v>1957</v>
      </c>
      <c r="W690" s="1"/>
    </row>
    <row r="691" spans="1:23" x14ac:dyDescent="0.2">
      <c r="A691" s="88" t="s">
        <v>16091</v>
      </c>
      <c r="B691" s="1" t="e">
        <v>#N/A</v>
      </c>
      <c r="C691" s="1" t="s">
        <v>13839</v>
      </c>
      <c r="D691" s="1" t="s">
        <v>1958</v>
      </c>
      <c r="E691" s="1" t="s">
        <v>1959</v>
      </c>
      <c r="F691" s="1" t="s">
        <v>9010</v>
      </c>
      <c r="G691" s="1" t="s">
        <v>8959</v>
      </c>
      <c r="H691" t="s">
        <v>9061</v>
      </c>
      <c r="I691" s="1" t="s">
        <v>8984</v>
      </c>
      <c r="J691" s="1" t="s">
        <v>8949</v>
      </c>
      <c r="K691" s="1" t="s">
        <v>9036</v>
      </c>
      <c r="L691" s="1" t="s">
        <v>8951</v>
      </c>
      <c r="M691" s="1">
        <v>522</v>
      </c>
      <c r="N691" s="1" t="s">
        <v>9059</v>
      </c>
      <c r="O691" s="1" t="s">
        <v>8989</v>
      </c>
      <c r="P691" s="1" t="s">
        <v>8955</v>
      </c>
      <c r="Q691" s="1" t="s">
        <v>8956</v>
      </c>
      <c r="R691" s="1" t="s">
        <v>8959</v>
      </c>
      <c r="S691" s="1" t="s">
        <v>8958</v>
      </c>
      <c r="T691" s="1" t="s">
        <v>1960</v>
      </c>
      <c r="U691" s="1" t="s">
        <v>11</v>
      </c>
      <c r="V691" s="1" t="s">
        <v>619</v>
      </c>
      <c r="W691" s="1"/>
    </row>
    <row r="692" spans="1:23" x14ac:dyDescent="0.2">
      <c r="A692" s="89" t="s">
        <v>1961</v>
      </c>
      <c r="B692" s="1" t="e">
        <v>#N/A</v>
      </c>
      <c r="C692" s="1" t="e">
        <v>#N/A</v>
      </c>
      <c r="D692" s="1" t="s">
        <v>1962</v>
      </c>
      <c r="E692" s="1" t="s">
        <v>1963</v>
      </c>
      <c r="F692" s="1" t="e">
        <v>#N/A</v>
      </c>
      <c r="G692" s="1" t="e">
        <v>#N/A</v>
      </c>
      <c r="H692" t="e">
        <v>#N/A</v>
      </c>
      <c r="I692" s="1" t="e">
        <v>#N/A</v>
      </c>
      <c r="J692" s="1" t="e">
        <v>#N/A</v>
      </c>
      <c r="K692" s="1" t="e">
        <v>#N/A</v>
      </c>
      <c r="L692" s="1" t="e">
        <v>#N/A</v>
      </c>
      <c r="M692" s="1" t="e">
        <v>#N/A</v>
      </c>
      <c r="N692" s="1" t="e">
        <v>#N/A</v>
      </c>
      <c r="O692" s="1" t="e">
        <v>#N/A</v>
      </c>
      <c r="P692" s="1" t="e">
        <v>#N/A</v>
      </c>
      <c r="Q692" s="1" t="e">
        <v>#N/A</v>
      </c>
      <c r="R692" s="1">
        <f t="shared" ref="R692:R694" si="200">1+LEN(T692)-LEN(SUBSTITUTE(T692,",",))</f>
        <v>10</v>
      </c>
      <c r="S692" s="1" t="str">
        <f t="shared" ref="S692:S694" si="201">IF(R692&gt;4,IF(R692&lt;8,"4-7",IF(R692&gt;7,"&gt;7")),"&lt;4")</f>
        <v>&gt;7</v>
      </c>
      <c r="T692" s="1" t="s">
        <v>18907</v>
      </c>
      <c r="U692" s="1" t="s">
        <v>17</v>
      </c>
      <c r="V692" s="1" t="s">
        <v>402</v>
      </c>
      <c r="W692" s="1"/>
    </row>
    <row r="693" spans="1:23" x14ac:dyDescent="0.2">
      <c r="A693" s="88" t="s">
        <v>16092</v>
      </c>
      <c r="B693" s="1" t="e">
        <v>#N/A</v>
      </c>
      <c r="C693" s="1" t="e">
        <v>#N/A</v>
      </c>
      <c r="D693" s="1" t="s">
        <v>1964</v>
      </c>
      <c r="E693" s="1" t="s">
        <v>1965</v>
      </c>
      <c r="F693" s="1" t="s">
        <v>10032</v>
      </c>
      <c r="G693" s="1" t="s">
        <v>9060</v>
      </c>
      <c r="H693" t="s">
        <v>9061</v>
      </c>
      <c r="I693" s="1" t="s">
        <v>8948</v>
      </c>
      <c r="J693" s="1" t="s">
        <v>8949</v>
      </c>
      <c r="K693" s="1" t="s">
        <v>20809</v>
      </c>
      <c r="L693" s="1" t="s">
        <v>8973</v>
      </c>
      <c r="M693" s="1">
        <v>351</v>
      </c>
      <c r="N693" s="1" t="s">
        <v>9059</v>
      </c>
      <c r="O693" s="1" t="s">
        <v>8954</v>
      </c>
      <c r="P693" s="1" t="e">
        <v>#N/A</v>
      </c>
      <c r="Q693" s="1" t="e">
        <v>#N/A</v>
      </c>
      <c r="R693" s="1">
        <f t="shared" si="200"/>
        <v>14</v>
      </c>
      <c r="S693" s="1" t="str">
        <f t="shared" si="201"/>
        <v>&gt;7</v>
      </c>
      <c r="T693" s="1" t="s">
        <v>20578</v>
      </c>
      <c r="U693" s="1" t="s">
        <v>7</v>
      </c>
      <c r="V693" s="1" t="s">
        <v>1966</v>
      </c>
      <c r="W693" s="1"/>
    </row>
    <row r="694" spans="1:23" x14ac:dyDescent="0.2">
      <c r="A694" s="88" t="s">
        <v>16093</v>
      </c>
      <c r="B694" s="1" t="e">
        <v>#N/A</v>
      </c>
      <c r="C694" s="1" t="e">
        <v>#N/A</v>
      </c>
      <c r="D694" s="1" t="s">
        <v>1967</v>
      </c>
      <c r="E694" s="1" t="s">
        <v>1968</v>
      </c>
      <c r="F694" s="1" t="s">
        <v>9213</v>
      </c>
      <c r="G694" s="1" t="s">
        <v>8957</v>
      </c>
      <c r="H694" t="s">
        <v>9183</v>
      </c>
      <c r="I694" s="1" t="s">
        <v>8948</v>
      </c>
      <c r="J694" s="1" t="s">
        <v>8949</v>
      </c>
      <c r="K694" s="1" t="s">
        <v>21437</v>
      </c>
      <c r="L694" s="1" t="s">
        <v>9464</v>
      </c>
      <c r="M694" s="1">
        <v>2100</v>
      </c>
      <c r="N694" s="1" t="s">
        <v>8953</v>
      </c>
      <c r="O694" s="1" t="s">
        <v>8989</v>
      </c>
      <c r="P694" s="1" t="e">
        <v>#N/A</v>
      </c>
      <c r="Q694" s="1" t="e">
        <v>#N/A</v>
      </c>
      <c r="R694" s="1">
        <f t="shared" si="200"/>
        <v>6</v>
      </c>
      <c r="S694" s="1" t="str">
        <f t="shared" si="201"/>
        <v>4-7</v>
      </c>
      <c r="T694" s="1" t="s">
        <v>18908</v>
      </c>
      <c r="U694" s="1" t="s">
        <v>7</v>
      </c>
      <c r="V694" s="1" t="s">
        <v>24</v>
      </c>
      <c r="W694" s="1"/>
    </row>
    <row r="695" spans="1:23" x14ac:dyDescent="0.2">
      <c r="A695" s="88" t="s">
        <v>16094</v>
      </c>
      <c r="B695" s="1" t="e">
        <v>#N/A</v>
      </c>
      <c r="C695" s="1" t="s">
        <v>11266</v>
      </c>
      <c r="D695" s="1" t="s">
        <v>1969</v>
      </c>
      <c r="E695" s="1" t="s">
        <v>1970</v>
      </c>
      <c r="F695" s="1" t="s">
        <v>9213</v>
      </c>
      <c r="G695" s="1" t="s">
        <v>8957</v>
      </c>
      <c r="H695" t="s">
        <v>9183</v>
      </c>
      <c r="I695" s="1" t="s">
        <v>9035</v>
      </c>
      <c r="J695" s="1" t="s">
        <v>8998</v>
      </c>
      <c r="K695" s="1" t="s">
        <v>9036</v>
      </c>
      <c r="L695" s="1" t="s">
        <v>8951</v>
      </c>
      <c r="M695" s="1">
        <v>888</v>
      </c>
      <c r="N695" s="1" t="s">
        <v>8953</v>
      </c>
      <c r="O695" s="1" t="s">
        <v>8989</v>
      </c>
      <c r="P695" s="1" t="s">
        <v>8955</v>
      </c>
      <c r="Q695" s="1" t="s">
        <v>8956</v>
      </c>
      <c r="R695" s="1" t="s">
        <v>8957</v>
      </c>
      <c r="S695" s="1" t="s">
        <v>8958</v>
      </c>
      <c r="T695" s="1" t="s">
        <v>1971</v>
      </c>
      <c r="U695" s="1" t="s">
        <v>11</v>
      </c>
      <c r="V695" s="1" t="s">
        <v>184</v>
      </c>
      <c r="W695" s="1"/>
    </row>
    <row r="696" spans="1:23" x14ac:dyDescent="0.2">
      <c r="A696" s="88" t="s">
        <v>16095</v>
      </c>
      <c r="B696" s="1" t="e">
        <v>#N/A</v>
      </c>
      <c r="C696" s="1" t="e">
        <v>#N/A</v>
      </c>
      <c r="D696" s="1" t="s">
        <v>1972</v>
      </c>
      <c r="E696" s="1" t="s">
        <v>1973</v>
      </c>
      <c r="F696" s="1" t="s">
        <v>10873</v>
      </c>
      <c r="G696" s="1" t="s">
        <v>9060</v>
      </c>
      <c r="H696" t="s">
        <v>9183</v>
      </c>
      <c r="I696" s="1" t="s">
        <v>20712</v>
      </c>
      <c r="J696" s="1" t="s">
        <v>9155</v>
      </c>
      <c r="K696" s="1" t="s">
        <v>21267</v>
      </c>
      <c r="L696" s="1" t="s">
        <v>8987</v>
      </c>
      <c r="M696" s="1">
        <f>1187+533+153+247+254-13+5827+101418+10013+11542+2399+112120</f>
        <v>245680</v>
      </c>
      <c r="N696" s="1" t="s">
        <v>8953</v>
      </c>
      <c r="O696" s="1" t="s">
        <v>8954</v>
      </c>
      <c r="P696" s="1" t="e">
        <v>#N/A</v>
      </c>
      <c r="Q696" s="1" t="e">
        <v>#N/A</v>
      </c>
      <c r="R696" s="1">
        <f>1+LEN(T696)-LEN(SUBSTITUTE(T696,",",))</f>
        <v>17</v>
      </c>
      <c r="S696" s="1" t="str">
        <f>IF(R696&gt;4,IF(R696&lt;8,"4-7",IF(R696&gt;7,"&gt;7")),"&lt;4")</f>
        <v>&gt;7</v>
      </c>
      <c r="T696" s="1" t="s">
        <v>18909</v>
      </c>
      <c r="U696" s="1" t="s">
        <v>17</v>
      </c>
      <c r="V696" s="1" t="s">
        <v>686</v>
      </c>
      <c r="W696" s="1"/>
    </row>
    <row r="697" spans="1:23" x14ac:dyDescent="0.2">
      <c r="A697" s="88" t="s">
        <v>16096</v>
      </c>
      <c r="B697" s="1" t="e">
        <v>#N/A</v>
      </c>
      <c r="C697" s="1" t="s">
        <v>15204</v>
      </c>
      <c r="D697" s="1" t="s">
        <v>1974</v>
      </c>
      <c r="E697" s="1" t="s">
        <v>1975</v>
      </c>
      <c r="F697" s="1" t="s">
        <v>9010</v>
      </c>
      <c r="G697" s="1" t="s">
        <v>8957</v>
      </c>
      <c r="H697" t="s">
        <v>9009</v>
      </c>
      <c r="I697" s="1" t="s">
        <v>9154</v>
      </c>
      <c r="J697" s="1" t="s">
        <v>8949</v>
      </c>
      <c r="K697" s="1" t="s">
        <v>8972</v>
      </c>
      <c r="L697" s="1" t="s">
        <v>8973</v>
      </c>
      <c r="M697" s="1">
        <v>11550</v>
      </c>
      <c r="N697" s="1" t="s">
        <v>8953</v>
      </c>
      <c r="O697" s="1" t="s">
        <v>8989</v>
      </c>
      <c r="P697" s="1" t="s">
        <v>9182</v>
      </c>
      <c r="Q697" s="1" t="s">
        <v>8956</v>
      </c>
      <c r="R697" s="1" t="s">
        <v>8957</v>
      </c>
      <c r="S697" s="1" t="s">
        <v>8958</v>
      </c>
      <c r="T697" s="1" t="s">
        <v>1976</v>
      </c>
      <c r="U697" s="1" t="s">
        <v>17</v>
      </c>
      <c r="V697" s="1" t="s">
        <v>571</v>
      </c>
      <c r="W697" s="1"/>
    </row>
    <row r="698" spans="1:23" x14ac:dyDescent="0.2">
      <c r="A698" s="94" t="s">
        <v>16097</v>
      </c>
      <c r="B698" s="1" t="e">
        <v>#N/A</v>
      </c>
      <c r="C698" s="1" t="e">
        <v>#N/A</v>
      </c>
      <c r="D698" s="1" t="s">
        <v>1977</v>
      </c>
      <c r="E698" s="1" t="s">
        <v>1978</v>
      </c>
      <c r="F698" s="1" t="s">
        <v>10873</v>
      </c>
      <c r="G698" s="1" t="e">
        <v>#N/A</v>
      </c>
      <c r="H698" t="s">
        <v>9009</v>
      </c>
      <c r="I698" s="1" t="e">
        <v>#N/A</v>
      </c>
      <c r="J698" s="1" t="s">
        <v>20800</v>
      </c>
      <c r="K698" s="1" t="e">
        <v>#N/A</v>
      </c>
      <c r="L698" s="1" t="e">
        <v>#N/A</v>
      </c>
      <c r="M698" s="1">
        <v>400</v>
      </c>
      <c r="N698" s="1" t="s">
        <v>8953</v>
      </c>
      <c r="O698" s="1" t="s">
        <v>8989</v>
      </c>
      <c r="P698" s="1" t="e">
        <v>#N/A</v>
      </c>
      <c r="Q698" s="1" t="e">
        <v>#N/A</v>
      </c>
      <c r="R698" s="1">
        <f t="shared" ref="R698:R699" si="202">1+LEN(T698)-LEN(SUBSTITUTE(T698,",",))</f>
        <v>6</v>
      </c>
      <c r="S698" s="1" t="str">
        <f t="shared" ref="S698:S699" si="203">IF(R698&gt;4,IF(R698&lt;8,"4-7",IF(R698&gt;7,"&gt;7")),"&lt;4")</f>
        <v>4-7</v>
      </c>
      <c r="T698" s="1" t="s">
        <v>20579</v>
      </c>
      <c r="U698" s="1" t="s">
        <v>7</v>
      </c>
      <c r="V698" s="1" t="s">
        <v>1979</v>
      </c>
      <c r="W698" s="1"/>
    </row>
    <row r="699" spans="1:23" x14ac:dyDescent="0.2">
      <c r="A699" s="88" t="s">
        <v>16098</v>
      </c>
      <c r="B699" s="1" t="e">
        <v>#N/A</v>
      </c>
      <c r="C699" s="1" t="e">
        <v>#N/A</v>
      </c>
      <c r="D699" s="1" t="s">
        <v>1980</v>
      </c>
      <c r="E699" s="1" t="s">
        <v>1981</v>
      </c>
      <c r="F699" s="1" t="s">
        <v>20810</v>
      </c>
      <c r="G699" s="1" t="s">
        <v>8957</v>
      </c>
      <c r="H699" t="s">
        <v>8959</v>
      </c>
      <c r="I699" s="1" t="s">
        <v>9092</v>
      </c>
      <c r="J699" s="1" t="s">
        <v>8998</v>
      </c>
      <c r="K699" s="1" t="s">
        <v>20811</v>
      </c>
      <c r="L699" s="1" t="s">
        <v>9076</v>
      </c>
      <c r="M699" s="1">
        <v>18</v>
      </c>
      <c r="N699" s="1" t="s">
        <v>9059</v>
      </c>
      <c r="O699" s="1" t="s">
        <v>8989</v>
      </c>
      <c r="P699" s="1" t="e">
        <v>#N/A</v>
      </c>
      <c r="Q699" s="1" t="e">
        <v>#N/A</v>
      </c>
      <c r="R699" s="1">
        <f t="shared" si="202"/>
        <v>5</v>
      </c>
      <c r="S699" s="1" t="str">
        <f t="shared" si="203"/>
        <v>4-7</v>
      </c>
      <c r="T699" s="1" t="s">
        <v>18910</v>
      </c>
      <c r="U699" s="1" t="s">
        <v>7</v>
      </c>
      <c r="V699" s="1" t="s">
        <v>5</v>
      </c>
      <c r="W699" s="1"/>
    </row>
    <row r="700" spans="1:23" x14ac:dyDescent="0.2">
      <c r="A700" s="88" t="s">
        <v>16099</v>
      </c>
      <c r="B700" s="1" t="e">
        <v>#N/A</v>
      </c>
      <c r="C700" s="1" t="s">
        <v>14655</v>
      </c>
      <c r="D700" s="1" t="s">
        <v>1982</v>
      </c>
      <c r="E700" s="1" t="s">
        <v>1983</v>
      </c>
      <c r="F700" s="1" t="s">
        <v>9010</v>
      </c>
      <c r="G700" s="1" t="s">
        <v>8957</v>
      </c>
      <c r="H700" t="s">
        <v>9009</v>
      </c>
      <c r="I700" s="1" t="s">
        <v>9100</v>
      </c>
      <c r="J700" s="1" t="s">
        <v>8998</v>
      </c>
      <c r="K700" s="1" t="s">
        <v>21207</v>
      </c>
      <c r="L700" s="1" t="s">
        <v>9464</v>
      </c>
      <c r="M700" s="1">
        <v>74000</v>
      </c>
      <c r="N700" s="1" t="s">
        <v>8953</v>
      </c>
      <c r="O700" s="1" t="s">
        <v>8954</v>
      </c>
      <c r="P700" s="1" t="s">
        <v>8955</v>
      </c>
      <c r="Q700" s="1" t="s">
        <v>8956</v>
      </c>
      <c r="R700" s="1" t="s">
        <v>8957</v>
      </c>
      <c r="S700" s="1" t="s">
        <v>8975</v>
      </c>
      <c r="T700" s="1" t="s">
        <v>1984</v>
      </c>
      <c r="U700" s="1" t="s">
        <v>7</v>
      </c>
      <c r="V700" s="1" t="s">
        <v>61</v>
      </c>
      <c r="W700" s="1"/>
    </row>
    <row r="701" spans="1:23" x14ac:dyDescent="0.2">
      <c r="A701" s="88" t="s">
        <v>16100</v>
      </c>
      <c r="B701" s="1" t="e">
        <v>#N/A</v>
      </c>
      <c r="C701" s="1" t="e">
        <v>#N/A</v>
      </c>
      <c r="D701" s="1" t="s">
        <v>1985</v>
      </c>
      <c r="E701" s="1" t="s">
        <v>1986</v>
      </c>
      <c r="F701" s="1" t="s">
        <v>9310</v>
      </c>
      <c r="G701" s="1" t="s">
        <v>8957</v>
      </c>
      <c r="H701" t="s">
        <v>9183</v>
      </c>
      <c r="I701" s="1" t="s">
        <v>9092</v>
      </c>
      <c r="J701" s="1" t="s">
        <v>8998</v>
      </c>
      <c r="K701" s="1" t="s">
        <v>10492</v>
      </c>
      <c r="L701" s="1" t="s">
        <v>8973</v>
      </c>
      <c r="M701" s="1">
        <v>50</v>
      </c>
      <c r="N701" s="1" t="s">
        <v>9059</v>
      </c>
      <c r="O701" s="1" t="s">
        <v>8989</v>
      </c>
      <c r="P701" s="1" t="e">
        <v>#N/A</v>
      </c>
      <c r="Q701" s="1" t="e">
        <v>#N/A</v>
      </c>
      <c r="R701" s="1">
        <f t="shared" ref="R701:R704" si="204">1+LEN(T701)-LEN(SUBSTITUTE(T701,",",))</f>
        <v>10</v>
      </c>
      <c r="S701" s="1" t="str">
        <f t="shared" ref="S701:S704" si="205">IF(R701&gt;4,IF(R701&lt;8,"4-7",IF(R701&gt;7,"&gt;7")),"&lt;4")</f>
        <v>&gt;7</v>
      </c>
      <c r="T701" s="1" t="s">
        <v>18911</v>
      </c>
      <c r="U701" s="1" t="s">
        <v>17</v>
      </c>
      <c r="V701" s="1" t="s">
        <v>1202</v>
      </c>
      <c r="W701" s="1"/>
    </row>
    <row r="702" spans="1:23" x14ac:dyDescent="0.2">
      <c r="A702" s="88" t="s">
        <v>16101</v>
      </c>
      <c r="B702" s="1" t="e">
        <v>#N/A</v>
      </c>
      <c r="C702" s="1" t="e">
        <v>#N/A</v>
      </c>
      <c r="D702" s="1" t="s">
        <v>1987</v>
      </c>
      <c r="E702" s="1" t="s">
        <v>1988</v>
      </c>
      <c r="F702" s="1" t="e">
        <v>#N/A</v>
      </c>
      <c r="G702" s="1" t="e">
        <v>#N/A</v>
      </c>
      <c r="H702" t="e">
        <v>#N/A</v>
      </c>
      <c r="I702" s="1" t="e">
        <v>#N/A</v>
      </c>
      <c r="J702" s="1" t="e">
        <v>#N/A</v>
      </c>
      <c r="K702" s="1" t="e">
        <v>#N/A</v>
      </c>
      <c r="L702" s="1" t="e">
        <v>#N/A</v>
      </c>
      <c r="M702" s="1" t="e">
        <v>#N/A</v>
      </c>
      <c r="N702" s="1" t="e">
        <v>#N/A</v>
      </c>
      <c r="O702" s="1" t="e">
        <v>#N/A</v>
      </c>
      <c r="P702" s="1" t="e">
        <v>#N/A</v>
      </c>
      <c r="Q702" s="1" t="e">
        <v>#N/A</v>
      </c>
      <c r="R702" s="1">
        <f t="shared" si="204"/>
        <v>5</v>
      </c>
      <c r="S702" s="1" t="str">
        <f t="shared" si="205"/>
        <v>4-7</v>
      </c>
      <c r="T702" s="1" t="s">
        <v>18912</v>
      </c>
      <c r="U702" s="1" t="s">
        <v>252</v>
      </c>
      <c r="V702" s="1" t="s">
        <v>161</v>
      </c>
      <c r="W702" s="1"/>
    </row>
    <row r="703" spans="1:23" ht="42.75" x14ac:dyDescent="0.2">
      <c r="A703" s="88" t="s">
        <v>16102</v>
      </c>
      <c r="B703" s="1" t="e">
        <v>#N/A</v>
      </c>
      <c r="C703" s="1" t="e">
        <v>#N/A</v>
      </c>
      <c r="D703" s="1" t="s">
        <v>1989</v>
      </c>
      <c r="E703" s="1" t="s">
        <v>1990</v>
      </c>
      <c r="F703" s="1" t="s">
        <v>9310</v>
      </c>
      <c r="G703" s="1" t="s">
        <v>8957</v>
      </c>
      <c r="H703" t="s">
        <v>8959</v>
      </c>
      <c r="I703" s="1" t="s">
        <v>9605</v>
      </c>
      <c r="J703" s="1" t="s">
        <v>9101</v>
      </c>
      <c r="K703" s="83" t="s">
        <v>21356</v>
      </c>
      <c r="L703" s="1" t="s">
        <v>8973</v>
      </c>
      <c r="M703" s="1">
        <v>925</v>
      </c>
      <c r="N703" s="1" t="s">
        <v>8953</v>
      </c>
      <c r="O703" s="1" t="s">
        <v>8954</v>
      </c>
      <c r="P703" s="1" t="e">
        <v>#N/A</v>
      </c>
      <c r="Q703" s="1" t="e">
        <v>#N/A</v>
      </c>
      <c r="R703" s="1">
        <f t="shared" si="204"/>
        <v>6</v>
      </c>
      <c r="S703" s="1" t="str">
        <f t="shared" si="205"/>
        <v>4-7</v>
      </c>
      <c r="T703" s="1" t="s">
        <v>18913</v>
      </c>
      <c r="U703" s="1" t="s">
        <v>17</v>
      </c>
      <c r="V703" s="1" t="s">
        <v>1833</v>
      </c>
      <c r="W703" s="1"/>
    </row>
    <row r="704" spans="1:23" x14ac:dyDescent="0.2">
      <c r="A704" s="88" t="s">
        <v>16103</v>
      </c>
      <c r="B704" s="1" t="e">
        <v>#N/A</v>
      </c>
      <c r="C704" s="1" t="e">
        <v>#N/A</v>
      </c>
      <c r="D704" s="1" t="s">
        <v>1991</v>
      </c>
      <c r="E704" s="1" t="s">
        <v>1992</v>
      </c>
      <c r="F704" s="1" t="s">
        <v>18502</v>
      </c>
      <c r="G704" s="1" t="s">
        <v>8957</v>
      </c>
      <c r="H704" t="s">
        <v>9061</v>
      </c>
      <c r="I704" s="1" t="s">
        <v>20712</v>
      </c>
      <c r="J704" s="1" t="s">
        <v>9155</v>
      </c>
      <c r="K704" s="1" t="s">
        <v>10492</v>
      </c>
      <c r="L704" s="1" t="s">
        <v>9464</v>
      </c>
      <c r="M704" s="1">
        <v>26000</v>
      </c>
      <c r="N704" s="1" t="s">
        <v>8953</v>
      </c>
      <c r="O704" s="1" t="s">
        <v>8954</v>
      </c>
      <c r="P704" s="1" t="e">
        <v>#N/A</v>
      </c>
      <c r="Q704" s="1" t="e">
        <v>#N/A</v>
      </c>
      <c r="R704" s="1">
        <f t="shared" si="204"/>
        <v>5</v>
      </c>
      <c r="S704" s="1" t="str">
        <f t="shared" si="205"/>
        <v>4-7</v>
      </c>
      <c r="T704" s="1" t="s">
        <v>18914</v>
      </c>
      <c r="U704" s="1" t="s">
        <v>17</v>
      </c>
      <c r="V704" s="1" t="s">
        <v>126</v>
      </c>
      <c r="W704" s="1"/>
    </row>
    <row r="705" spans="1:23" x14ac:dyDescent="0.2">
      <c r="A705" s="88" t="s">
        <v>16104</v>
      </c>
      <c r="B705" s="1" t="e">
        <v>#N/A</v>
      </c>
      <c r="C705" s="1" t="s">
        <v>10489</v>
      </c>
      <c r="D705" s="1" t="s">
        <v>1993</v>
      </c>
      <c r="E705" s="1" t="s">
        <v>1994</v>
      </c>
      <c r="F705" s="1" t="s">
        <v>9010</v>
      </c>
      <c r="G705" s="1" t="s">
        <v>8957</v>
      </c>
      <c r="H705" t="s">
        <v>9061</v>
      </c>
      <c r="I705" s="1" t="s">
        <v>8948</v>
      </c>
      <c r="J705" s="1" t="s">
        <v>8949</v>
      </c>
      <c r="K705" s="1" t="s">
        <v>10492</v>
      </c>
      <c r="L705" s="1" t="s">
        <v>9464</v>
      </c>
      <c r="M705" s="1">
        <v>40</v>
      </c>
      <c r="N705" s="1" t="s">
        <v>8953</v>
      </c>
      <c r="O705" s="1" t="s">
        <v>8989</v>
      </c>
      <c r="P705" s="1" t="s">
        <v>8955</v>
      </c>
      <c r="Q705" s="1" t="s">
        <v>8990</v>
      </c>
      <c r="R705" s="1" t="s">
        <v>8957</v>
      </c>
      <c r="S705" s="1" t="s">
        <v>8958</v>
      </c>
      <c r="T705" s="1" t="s">
        <v>1995</v>
      </c>
      <c r="U705" s="1" t="s">
        <v>11</v>
      </c>
      <c r="V705" s="1" t="s">
        <v>921</v>
      </c>
      <c r="W705" s="1"/>
    </row>
    <row r="706" spans="1:23" x14ac:dyDescent="0.2">
      <c r="A706" s="88" t="s">
        <v>16105</v>
      </c>
      <c r="B706" s="1" t="e">
        <v>#N/A</v>
      </c>
      <c r="C706" s="1" t="e">
        <v>#N/A</v>
      </c>
      <c r="D706" s="1" t="s">
        <v>1996</v>
      </c>
      <c r="E706" s="1" t="s">
        <v>1997</v>
      </c>
      <c r="F706" s="1" t="s">
        <v>18502</v>
      </c>
      <c r="G706" s="1" t="s">
        <v>8957</v>
      </c>
      <c r="H706" t="s">
        <v>9061</v>
      </c>
      <c r="I706" s="1" t="s">
        <v>8948</v>
      </c>
      <c r="J706" s="1" t="s">
        <v>8949</v>
      </c>
      <c r="K706" s="1" t="s">
        <v>10492</v>
      </c>
      <c r="L706" s="1" t="s">
        <v>9464</v>
      </c>
      <c r="M706" s="1">
        <v>180</v>
      </c>
      <c r="N706" s="1" t="s">
        <v>8953</v>
      </c>
      <c r="O706" s="1" t="s">
        <v>8989</v>
      </c>
      <c r="P706" s="1" t="e">
        <v>#N/A</v>
      </c>
      <c r="Q706" s="1" t="e">
        <v>#N/A</v>
      </c>
      <c r="R706" s="1">
        <f>1+LEN(T706)-LEN(SUBSTITUTE(T706,",",))</f>
        <v>4</v>
      </c>
      <c r="S706" s="1" t="str">
        <f>IF(R706&gt;4,IF(R706&lt;8,"4-7",IF(R706&gt;7,"&gt;7")),"&lt;4")</f>
        <v>&lt;4</v>
      </c>
      <c r="T706" s="1" t="s">
        <v>18915</v>
      </c>
      <c r="U706" s="1" t="s">
        <v>17</v>
      </c>
      <c r="V706" s="1" t="s">
        <v>126</v>
      </c>
      <c r="W706" s="1"/>
    </row>
    <row r="707" spans="1:23" x14ac:dyDescent="0.2">
      <c r="A707" s="88" t="s">
        <v>16106</v>
      </c>
      <c r="B707" s="1" t="e">
        <v>#N/A</v>
      </c>
      <c r="C707" s="1" t="s">
        <v>14957</v>
      </c>
      <c r="D707" s="1" t="s">
        <v>1998</v>
      </c>
      <c r="E707" s="1" t="s">
        <v>1999</v>
      </c>
      <c r="F707" s="1" t="s">
        <v>9010</v>
      </c>
      <c r="G707" s="1" t="s">
        <v>8957</v>
      </c>
      <c r="H707" t="s">
        <v>8959</v>
      </c>
      <c r="I707" s="1" t="s">
        <v>9154</v>
      </c>
      <c r="J707" s="1" t="s">
        <v>9308</v>
      </c>
      <c r="K707" s="1" t="s">
        <v>9036</v>
      </c>
      <c r="L707" s="1" t="s">
        <v>9464</v>
      </c>
      <c r="M707" s="1">
        <v>6000</v>
      </c>
      <c r="N707" s="1" t="s">
        <v>8953</v>
      </c>
      <c r="O707" s="1" t="s">
        <v>8989</v>
      </c>
      <c r="P707" s="1" t="s">
        <v>8955</v>
      </c>
      <c r="Q707" s="1" t="s">
        <v>8956</v>
      </c>
      <c r="R707" s="1" t="s">
        <v>8957</v>
      </c>
      <c r="S707" s="1" t="s">
        <v>8975</v>
      </c>
      <c r="T707" s="1" t="s">
        <v>2000</v>
      </c>
      <c r="U707" s="1" t="s">
        <v>17</v>
      </c>
      <c r="V707" s="1" t="s">
        <v>184</v>
      </c>
      <c r="W707" s="1"/>
    </row>
    <row r="708" spans="1:23" x14ac:dyDescent="0.2">
      <c r="A708" s="89" t="s">
        <v>16107</v>
      </c>
      <c r="B708" s="1" t="e">
        <v>#N/A</v>
      </c>
      <c r="C708" s="1" t="e">
        <v>#N/A</v>
      </c>
      <c r="D708" s="1" t="s">
        <v>2001</v>
      </c>
      <c r="E708" s="1" t="s">
        <v>2002</v>
      </c>
      <c r="F708" s="1" t="e">
        <v>#N/A</v>
      </c>
      <c r="G708" s="1" t="e">
        <v>#N/A</v>
      </c>
      <c r="H708" t="e">
        <v>#N/A</v>
      </c>
      <c r="I708" s="1" t="e">
        <v>#N/A</v>
      </c>
      <c r="J708" s="1" t="e">
        <v>#N/A</v>
      </c>
      <c r="K708" s="1" t="e">
        <v>#N/A</v>
      </c>
      <c r="L708" s="1" t="e">
        <v>#N/A</v>
      </c>
      <c r="M708" s="1" t="e">
        <v>#N/A</v>
      </c>
      <c r="N708" s="1" t="e">
        <v>#N/A</v>
      </c>
      <c r="O708" s="1" t="e">
        <v>#N/A</v>
      </c>
      <c r="P708" s="1" t="e">
        <v>#N/A</v>
      </c>
      <c r="Q708" s="1" t="e">
        <v>#N/A</v>
      </c>
      <c r="R708" s="1">
        <f>1+LEN(T708)-LEN(SUBSTITUTE(T708,",",))</f>
        <v>4</v>
      </c>
      <c r="S708" s="1" t="str">
        <f>IF(R708&gt;4,IF(R708&lt;8,"4-7",IF(R708&gt;7,"&gt;7")),"&lt;4")</f>
        <v>&lt;4</v>
      </c>
      <c r="T708" s="1" t="s">
        <v>18916</v>
      </c>
      <c r="U708" s="1" t="s">
        <v>7</v>
      </c>
      <c r="V708" s="1" t="s">
        <v>2003</v>
      </c>
      <c r="W708" s="1"/>
    </row>
    <row r="709" spans="1:23" x14ac:dyDescent="0.2">
      <c r="A709" s="88" t="s">
        <v>16108</v>
      </c>
      <c r="B709" s="1" t="e">
        <v>#N/A</v>
      </c>
      <c r="C709" s="1" t="s">
        <v>15279</v>
      </c>
      <c r="D709" s="1" t="s">
        <v>2004</v>
      </c>
      <c r="E709" s="1" t="s">
        <v>2005</v>
      </c>
      <c r="F709" s="1" t="s">
        <v>9010</v>
      </c>
      <c r="G709" s="1" t="s">
        <v>8957</v>
      </c>
      <c r="H709" t="s">
        <v>8959</v>
      </c>
      <c r="I709" s="1" t="s">
        <v>8948</v>
      </c>
      <c r="J709" s="1" t="s">
        <v>8949</v>
      </c>
      <c r="K709" s="1" t="s">
        <v>9918</v>
      </c>
      <c r="L709" s="1" t="s">
        <v>9292</v>
      </c>
      <c r="M709" s="1">
        <v>50</v>
      </c>
      <c r="N709" s="1" t="s">
        <v>8953</v>
      </c>
      <c r="O709" s="1" t="s">
        <v>8954</v>
      </c>
      <c r="P709" s="1" t="s">
        <v>8955</v>
      </c>
      <c r="Q709" s="1" t="s">
        <v>8956</v>
      </c>
      <c r="R709" s="1" t="s">
        <v>8957</v>
      </c>
      <c r="S709" s="1" t="s">
        <v>8975</v>
      </c>
      <c r="T709" s="1" t="s">
        <v>2006</v>
      </c>
      <c r="U709" s="1" t="s">
        <v>17</v>
      </c>
      <c r="V709" s="1" t="s">
        <v>126</v>
      </c>
      <c r="W709" s="1"/>
    </row>
    <row r="710" spans="1:23" x14ac:dyDescent="0.2">
      <c r="A710" s="88" t="s">
        <v>16109</v>
      </c>
      <c r="B710" s="1" t="e">
        <v>#N/A</v>
      </c>
      <c r="C710" s="1" t="e">
        <v>#N/A</v>
      </c>
      <c r="D710" s="1" t="s">
        <v>2007</v>
      </c>
      <c r="E710" s="1" t="s">
        <v>2008</v>
      </c>
      <c r="F710" s="1" t="s">
        <v>18502</v>
      </c>
      <c r="G710" s="1" t="s">
        <v>8959</v>
      </c>
      <c r="H710" t="s">
        <v>8959</v>
      </c>
      <c r="I710" s="1" t="s">
        <v>8984</v>
      </c>
      <c r="J710" s="1" t="s">
        <v>8998</v>
      </c>
      <c r="K710" s="1" t="s">
        <v>20763</v>
      </c>
      <c r="L710" s="1" t="s">
        <v>8973</v>
      </c>
      <c r="M710" s="1">
        <v>201</v>
      </c>
      <c r="N710" s="1" t="s">
        <v>8953</v>
      </c>
      <c r="O710" s="1" t="s">
        <v>8954</v>
      </c>
      <c r="P710" s="1" t="e">
        <v>#N/A</v>
      </c>
      <c r="Q710" s="1" t="e">
        <v>#N/A</v>
      </c>
      <c r="R710" s="1">
        <f t="shared" ref="R710:R716" si="206">1+LEN(T710)-LEN(SUBSTITUTE(T710,",",))</f>
        <v>4</v>
      </c>
      <c r="S710" s="1" t="str">
        <f t="shared" ref="S710:S716" si="207">IF(R710&gt;4,IF(R710&lt;8,"4-7",IF(R710&gt;7,"&gt;7")),"&lt;4")</f>
        <v>&lt;4</v>
      </c>
      <c r="T710" s="1" t="s">
        <v>18917</v>
      </c>
      <c r="U710" s="1" t="s">
        <v>7</v>
      </c>
      <c r="V710" s="1" t="s">
        <v>64</v>
      </c>
      <c r="W710" s="1"/>
    </row>
    <row r="711" spans="1:23" x14ac:dyDescent="0.2">
      <c r="A711" s="88" t="s">
        <v>16110</v>
      </c>
      <c r="B711" s="1" t="e">
        <v>#N/A</v>
      </c>
      <c r="C711" s="1" t="e">
        <v>#N/A</v>
      </c>
      <c r="D711" s="1" t="s">
        <v>2009</v>
      </c>
      <c r="E711" s="1" t="s">
        <v>2010</v>
      </c>
      <c r="F711" s="1" t="s">
        <v>18502</v>
      </c>
      <c r="G711" s="1" t="s">
        <v>8959</v>
      </c>
      <c r="H711" t="s">
        <v>9061</v>
      </c>
      <c r="I711" s="1" t="s">
        <v>20812</v>
      </c>
      <c r="J711" s="1" t="s">
        <v>8949</v>
      </c>
      <c r="K711" s="1" t="s">
        <v>10492</v>
      </c>
      <c r="L711" s="1" t="s">
        <v>9076</v>
      </c>
      <c r="M711" s="1">
        <v>72</v>
      </c>
      <c r="N711" s="1" t="s">
        <v>8953</v>
      </c>
      <c r="O711" s="1" t="s">
        <v>8989</v>
      </c>
      <c r="P711" s="1" t="e">
        <v>#N/A</v>
      </c>
      <c r="Q711" s="1" t="e">
        <v>#N/A</v>
      </c>
      <c r="R711" s="1">
        <f t="shared" si="206"/>
        <v>8</v>
      </c>
      <c r="S711" s="1" t="str">
        <f t="shared" si="207"/>
        <v>&gt;7</v>
      </c>
      <c r="T711" s="1" t="s">
        <v>18918</v>
      </c>
      <c r="U711" s="1" t="s">
        <v>17</v>
      </c>
      <c r="V711" s="1" t="s">
        <v>61</v>
      </c>
      <c r="W711" s="1"/>
    </row>
    <row r="712" spans="1:23" x14ac:dyDescent="0.2">
      <c r="A712" s="88" t="s">
        <v>16111</v>
      </c>
      <c r="B712" s="1" t="e">
        <v>#N/A</v>
      </c>
      <c r="C712" s="1" t="e">
        <v>#N/A</v>
      </c>
      <c r="D712" s="1" t="s">
        <v>2011</v>
      </c>
      <c r="E712" s="1" t="s">
        <v>2012</v>
      </c>
      <c r="F712" s="1" t="s">
        <v>10049</v>
      </c>
      <c r="G712" s="1" t="s">
        <v>8957</v>
      </c>
      <c r="H712" t="s">
        <v>8959</v>
      </c>
      <c r="I712" s="1" t="s">
        <v>9154</v>
      </c>
      <c r="J712" s="1" t="s">
        <v>8998</v>
      </c>
      <c r="K712" s="1" t="s">
        <v>10492</v>
      </c>
      <c r="L712" s="1" t="s">
        <v>8973</v>
      </c>
      <c r="M712" s="1">
        <f>61507+5795+9033</f>
        <v>76335</v>
      </c>
      <c r="N712" s="1" t="s">
        <v>8953</v>
      </c>
      <c r="O712" s="1" t="s">
        <v>8989</v>
      </c>
      <c r="P712" s="1" t="e">
        <v>#N/A</v>
      </c>
      <c r="Q712" s="1" t="e">
        <v>#N/A</v>
      </c>
      <c r="R712" s="1">
        <f t="shared" si="206"/>
        <v>8</v>
      </c>
      <c r="S712" s="1" t="str">
        <f t="shared" si="207"/>
        <v>&gt;7</v>
      </c>
      <c r="T712" s="1" t="s">
        <v>18919</v>
      </c>
      <c r="U712" s="1" t="s">
        <v>7</v>
      </c>
      <c r="V712" s="1" t="s">
        <v>2013</v>
      </c>
      <c r="W712" s="1"/>
    </row>
    <row r="713" spans="1:23" x14ac:dyDescent="0.2">
      <c r="A713" s="88" t="s">
        <v>16112</v>
      </c>
      <c r="B713" s="1" t="e">
        <v>#N/A</v>
      </c>
      <c r="C713" s="1" t="e">
        <v>#N/A</v>
      </c>
      <c r="D713" s="1" t="s">
        <v>2014</v>
      </c>
      <c r="E713" s="1" t="s">
        <v>2015</v>
      </c>
      <c r="F713" s="1" t="s">
        <v>9310</v>
      </c>
      <c r="G713" s="1" t="s">
        <v>8957</v>
      </c>
      <c r="H713" t="s">
        <v>8959</v>
      </c>
      <c r="I713" s="1" t="s">
        <v>8948</v>
      </c>
      <c r="J713" s="1" t="s">
        <v>12453</v>
      </c>
      <c r="K713" s="1" t="s">
        <v>20813</v>
      </c>
      <c r="L713" s="1" t="s">
        <v>8987</v>
      </c>
      <c r="M713" s="1">
        <v>2000</v>
      </c>
      <c r="N713" s="1" t="s">
        <v>8953</v>
      </c>
      <c r="O713" s="1" t="s">
        <v>8989</v>
      </c>
      <c r="P713" s="1" t="e">
        <v>#N/A</v>
      </c>
      <c r="Q713" s="1" t="e">
        <v>#N/A</v>
      </c>
      <c r="R713" s="1">
        <f t="shared" si="206"/>
        <v>3</v>
      </c>
      <c r="S713" s="1" t="str">
        <f t="shared" si="207"/>
        <v>&lt;4</v>
      </c>
      <c r="T713" s="1" t="s">
        <v>18920</v>
      </c>
      <c r="U713" s="1" t="s">
        <v>17</v>
      </c>
      <c r="V713" s="1" t="s">
        <v>577</v>
      </c>
      <c r="W713" s="1"/>
    </row>
    <row r="714" spans="1:23" x14ac:dyDescent="0.2">
      <c r="A714" s="89" t="s">
        <v>16113</v>
      </c>
      <c r="B714" s="1" t="e">
        <v>#N/A</v>
      </c>
      <c r="C714" s="1" t="e">
        <v>#N/A</v>
      </c>
      <c r="D714" s="1" t="s">
        <v>2016</v>
      </c>
      <c r="E714" s="1" t="s">
        <v>2017</v>
      </c>
      <c r="F714" s="1" t="e">
        <v>#N/A</v>
      </c>
      <c r="G714" s="1" t="e">
        <v>#N/A</v>
      </c>
      <c r="H714" t="e">
        <v>#N/A</v>
      </c>
      <c r="I714" s="1" t="e">
        <v>#N/A</v>
      </c>
      <c r="J714" s="1" t="e">
        <v>#N/A</v>
      </c>
      <c r="K714" s="1" t="e">
        <v>#N/A</v>
      </c>
      <c r="L714" s="1" t="e">
        <v>#N/A</v>
      </c>
      <c r="M714" s="1" t="e">
        <v>#N/A</v>
      </c>
      <c r="N714" s="1" t="e">
        <v>#N/A</v>
      </c>
      <c r="O714" s="1" t="e">
        <v>#N/A</v>
      </c>
      <c r="P714" s="1" t="e">
        <v>#N/A</v>
      </c>
      <c r="Q714" s="1" t="e">
        <v>#N/A</v>
      </c>
      <c r="R714" s="1">
        <f t="shared" si="206"/>
        <v>3</v>
      </c>
      <c r="S714" s="1" t="str">
        <f t="shared" si="207"/>
        <v>&lt;4</v>
      </c>
      <c r="T714" s="1" t="s">
        <v>18921</v>
      </c>
      <c r="U714" s="1" t="s">
        <v>7</v>
      </c>
      <c r="V714" s="1" t="s">
        <v>2018</v>
      </c>
      <c r="W714" s="1"/>
    </row>
    <row r="715" spans="1:23" x14ac:dyDescent="0.2">
      <c r="A715" s="89" t="s">
        <v>16114</v>
      </c>
      <c r="B715" s="1" t="e">
        <v>#N/A</v>
      </c>
      <c r="C715" s="1" t="e">
        <v>#N/A</v>
      </c>
      <c r="D715" s="1" t="s">
        <v>2019</v>
      </c>
      <c r="E715" s="1" t="s">
        <v>2020</v>
      </c>
      <c r="F715" s="1" t="e">
        <v>#N/A</v>
      </c>
      <c r="G715" s="1" t="e">
        <v>#N/A</v>
      </c>
      <c r="H715" t="e">
        <v>#N/A</v>
      </c>
      <c r="I715" s="1" t="e">
        <v>#N/A</v>
      </c>
      <c r="J715" s="1" t="e">
        <v>#N/A</v>
      </c>
      <c r="K715" s="1" t="e">
        <v>#N/A</v>
      </c>
      <c r="L715" s="1" t="e">
        <v>#N/A</v>
      </c>
      <c r="M715" s="1" t="e">
        <v>#N/A</v>
      </c>
      <c r="N715" s="1" t="e">
        <v>#N/A</v>
      </c>
      <c r="O715" s="1" t="e">
        <v>#N/A</v>
      </c>
      <c r="P715" s="1" t="e">
        <v>#N/A</v>
      </c>
      <c r="Q715" s="1" t="e">
        <v>#N/A</v>
      </c>
      <c r="R715" s="1">
        <f t="shared" si="206"/>
        <v>1</v>
      </c>
      <c r="S715" s="1" t="str">
        <f t="shared" si="207"/>
        <v>&lt;4</v>
      </c>
      <c r="U715" s="1" t="s">
        <v>17</v>
      </c>
      <c r="V715" s="1" t="s">
        <v>2021</v>
      </c>
      <c r="W715" s="1"/>
    </row>
    <row r="716" spans="1:23" x14ac:dyDescent="0.2">
      <c r="A716" s="88" t="s">
        <v>16115</v>
      </c>
      <c r="B716" s="1" t="e">
        <v>#N/A</v>
      </c>
      <c r="C716" s="1" t="e">
        <v>#N/A</v>
      </c>
      <c r="D716" s="1" t="s">
        <v>2022</v>
      </c>
      <c r="E716" s="1" t="s">
        <v>2023</v>
      </c>
      <c r="F716" s="1" t="s">
        <v>18502</v>
      </c>
      <c r="G716" s="1" t="s">
        <v>8957</v>
      </c>
      <c r="H716" t="s">
        <v>8959</v>
      </c>
      <c r="I716" s="1" t="s">
        <v>8948</v>
      </c>
      <c r="J716" s="1" t="s">
        <v>8998</v>
      </c>
      <c r="K716" s="1" t="s">
        <v>10492</v>
      </c>
      <c r="L716" s="1" t="s">
        <v>8973</v>
      </c>
      <c r="M716" s="1">
        <f>64*110</f>
        <v>7040</v>
      </c>
      <c r="N716" s="1" t="s">
        <v>8953</v>
      </c>
      <c r="O716" s="1" t="s">
        <v>8989</v>
      </c>
      <c r="P716" s="1" t="e">
        <v>#N/A</v>
      </c>
      <c r="Q716" s="1" t="e">
        <v>#N/A</v>
      </c>
      <c r="R716" s="1">
        <f t="shared" si="206"/>
        <v>8</v>
      </c>
      <c r="S716" s="1" t="str">
        <f t="shared" si="207"/>
        <v>&gt;7</v>
      </c>
      <c r="T716" s="1" t="s">
        <v>18922</v>
      </c>
      <c r="U716" s="1" t="s">
        <v>7</v>
      </c>
      <c r="V716" s="1" t="s">
        <v>2024</v>
      </c>
      <c r="W716" s="1"/>
    </row>
    <row r="717" spans="1:23" x14ac:dyDescent="0.2">
      <c r="A717" s="88" t="s">
        <v>16116</v>
      </c>
      <c r="B717" s="1" t="e">
        <v>#N/A</v>
      </c>
      <c r="C717" s="1" t="s">
        <v>10127</v>
      </c>
      <c r="D717" s="1" t="s">
        <v>2025</v>
      </c>
      <c r="E717" s="1" t="s">
        <v>2026</v>
      </c>
      <c r="F717" s="1" t="s">
        <v>9317</v>
      </c>
      <c r="G717" s="1" t="s">
        <v>8957</v>
      </c>
      <c r="H717" t="s">
        <v>8959</v>
      </c>
      <c r="I717" s="1" t="s">
        <v>9092</v>
      </c>
      <c r="J717" s="1" t="s">
        <v>8998</v>
      </c>
      <c r="K717" s="1" t="s">
        <v>8972</v>
      </c>
      <c r="L717" s="1" t="s">
        <v>8973</v>
      </c>
      <c r="M717" s="1">
        <v>24</v>
      </c>
      <c r="N717" s="1" t="s">
        <v>9059</v>
      </c>
      <c r="O717" s="1" t="s">
        <v>8954</v>
      </c>
      <c r="P717" s="1" t="s">
        <v>8955</v>
      </c>
      <c r="Q717" s="1" t="s">
        <v>8956</v>
      </c>
      <c r="R717" s="1" t="s">
        <v>8957</v>
      </c>
      <c r="S717" s="1" t="s">
        <v>8975</v>
      </c>
      <c r="T717" s="1" t="s">
        <v>2027</v>
      </c>
      <c r="U717" s="1" t="s">
        <v>17</v>
      </c>
      <c r="V717" s="1" t="s">
        <v>64</v>
      </c>
      <c r="W717" s="1"/>
    </row>
    <row r="718" spans="1:23" x14ac:dyDescent="0.2">
      <c r="A718" s="88" t="s">
        <v>16117</v>
      </c>
      <c r="B718" s="1" t="e">
        <v>#N/A</v>
      </c>
      <c r="C718" s="1" t="e">
        <v>#N/A</v>
      </c>
      <c r="D718" s="1" t="s">
        <v>2028</v>
      </c>
      <c r="E718" s="1" t="s">
        <v>2029</v>
      </c>
      <c r="F718" s="1" t="s">
        <v>9310</v>
      </c>
      <c r="G718" s="1" t="s">
        <v>8957</v>
      </c>
      <c r="H718" t="s">
        <v>8959</v>
      </c>
      <c r="I718" s="1" t="s">
        <v>9605</v>
      </c>
      <c r="J718" s="1" t="s">
        <v>8959</v>
      </c>
      <c r="K718" s="1" t="s">
        <v>10492</v>
      </c>
      <c r="L718" s="1" t="s">
        <v>9464</v>
      </c>
      <c r="M718" s="1">
        <v>11</v>
      </c>
      <c r="N718" s="1" t="s">
        <v>8953</v>
      </c>
      <c r="O718" s="1" t="s">
        <v>8989</v>
      </c>
      <c r="P718" s="1" t="e">
        <v>#N/A</v>
      </c>
      <c r="Q718" s="1" t="e">
        <v>#N/A</v>
      </c>
      <c r="R718" s="1">
        <f t="shared" ref="R718:R727" si="208">1+LEN(T718)-LEN(SUBSTITUTE(T718,",",))</f>
        <v>2</v>
      </c>
      <c r="S718" s="1" t="str">
        <f t="shared" ref="S718:S727" si="209">IF(R718&gt;4,IF(R718&lt;8,"4-7",IF(R718&gt;7,"&gt;7")),"&lt;4")</f>
        <v>&lt;4</v>
      </c>
      <c r="T718" s="1" t="s">
        <v>18923</v>
      </c>
      <c r="U718" s="1" t="s">
        <v>7</v>
      </c>
      <c r="V718" s="1" t="s">
        <v>61</v>
      </c>
      <c r="W718" s="1"/>
    </row>
    <row r="719" spans="1:23" x14ac:dyDescent="0.2">
      <c r="A719" s="89" t="s">
        <v>2030</v>
      </c>
      <c r="B719" s="1" t="e">
        <v>#N/A</v>
      </c>
      <c r="C719" s="1" t="e">
        <v>#N/A</v>
      </c>
      <c r="D719" s="1" t="s">
        <v>2031</v>
      </c>
      <c r="E719" s="1" t="s">
        <v>2032</v>
      </c>
      <c r="F719" s="1" t="e">
        <v>#N/A</v>
      </c>
      <c r="G719" s="1" t="e">
        <v>#N/A</v>
      </c>
      <c r="H719" t="e">
        <v>#N/A</v>
      </c>
      <c r="I719" s="1" t="e">
        <v>#N/A</v>
      </c>
      <c r="J719" s="1" t="e">
        <v>#N/A</v>
      </c>
      <c r="K719" s="1" t="e">
        <v>#N/A</v>
      </c>
      <c r="L719" s="1" t="e">
        <v>#N/A</v>
      </c>
      <c r="M719" s="1" t="e">
        <v>#N/A</v>
      </c>
      <c r="N719" s="1" t="e">
        <v>#N/A</v>
      </c>
      <c r="O719" s="1" t="e">
        <v>#N/A</v>
      </c>
      <c r="P719" s="1" t="e">
        <v>#N/A</v>
      </c>
      <c r="Q719" s="1" t="e">
        <v>#N/A</v>
      </c>
      <c r="R719" s="1">
        <f t="shared" si="208"/>
        <v>8</v>
      </c>
      <c r="S719" s="1" t="str">
        <f t="shared" si="209"/>
        <v>&gt;7</v>
      </c>
      <c r="T719" s="1" t="s">
        <v>18924</v>
      </c>
      <c r="U719" s="1" t="s">
        <v>7</v>
      </c>
      <c r="V719" s="1" t="s">
        <v>1726</v>
      </c>
      <c r="W719" s="1"/>
    </row>
    <row r="720" spans="1:23" x14ac:dyDescent="0.2">
      <c r="A720" s="88" t="s">
        <v>16118</v>
      </c>
      <c r="B720" s="1" t="e">
        <v>#N/A</v>
      </c>
      <c r="C720" s="1" t="e">
        <v>#N/A</v>
      </c>
      <c r="D720" s="1" t="s">
        <v>2033</v>
      </c>
      <c r="E720" s="1" t="s">
        <v>2034</v>
      </c>
      <c r="F720" s="1" t="s">
        <v>18502</v>
      </c>
      <c r="G720" s="1" t="s">
        <v>8959</v>
      </c>
      <c r="H720" t="s">
        <v>8959</v>
      </c>
      <c r="I720" s="1" t="s">
        <v>9092</v>
      </c>
      <c r="J720" s="1" t="s">
        <v>8971</v>
      </c>
      <c r="K720" s="1" t="s">
        <v>20805</v>
      </c>
      <c r="L720" s="1" t="s">
        <v>8951</v>
      </c>
      <c r="M720" s="1">
        <v>6816</v>
      </c>
      <c r="N720" s="1" t="s">
        <v>8953</v>
      </c>
      <c r="O720" s="1" t="s">
        <v>8989</v>
      </c>
      <c r="P720" s="1" t="e">
        <v>#N/A</v>
      </c>
      <c r="Q720" s="1" t="e">
        <v>#N/A</v>
      </c>
      <c r="R720" s="1">
        <f t="shared" si="208"/>
        <v>4</v>
      </c>
      <c r="S720" s="1" t="str">
        <f t="shared" si="209"/>
        <v>&lt;4</v>
      </c>
      <c r="T720" s="1" t="s">
        <v>18925</v>
      </c>
      <c r="U720" s="1" t="s">
        <v>7</v>
      </c>
      <c r="V720" s="1" t="s">
        <v>46</v>
      </c>
      <c r="W720" s="1"/>
    </row>
    <row r="721" spans="1:23" x14ac:dyDescent="0.2">
      <c r="A721" s="88" t="s">
        <v>16119</v>
      </c>
      <c r="B721" s="1" t="e">
        <v>#N/A</v>
      </c>
      <c r="C721" s="1" t="e">
        <v>#N/A</v>
      </c>
      <c r="D721" s="1" t="s">
        <v>2035</v>
      </c>
      <c r="E721" s="1" t="s">
        <v>2036</v>
      </c>
      <c r="F721" s="1" t="s">
        <v>9310</v>
      </c>
      <c r="G721" s="1" t="s">
        <v>8957</v>
      </c>
      <c r="H721" t="s">
        <v>9061</v>
      </c>
      <c r="I721" s="1" t="s">
        <v>9035</v>
      </c>
      <c r="J721" s="1" t="s">
        <v>8998</v>
      </c>
      <c r="K721" s="1" t="s">
        <v>10492</v>
      </c>
      <c r="L721" s="1" t="s">
        <v>8987</v>
      </c>
      <c r="M721" s="1">
        <v>426</v>
      </c>
      <c r="N721" s="1" t="s">
        <v>9059</v>
      </c>
      <c r="O721" s="1" t="s">
        <v>8954</v>
      </c>
      <c r="P721" s="1" t="e">
        <v>#N/A</v>
      </c>
      <c r="Q721" s="1" t="e">
        <v>#N/A</v>
      </c>
      <c r="R721" s="1">
        <f t="shared" si="208"/>
        <v>12</v>
      </c>
      <c r="S721" s="1" t="str">
        <f t="shared" si="209"/>
        <v>&gt;7</v>
      </c>
      <c r="T721" s="1" t="s">
        <v>18926</v>
      </c>
      <c r="U721" s="1" t="s">
        <v>7</v>
      </c>
      <c r="V721" s="1" t="s">
        <v>831</v>
      </c>
      <c r="W721" s="1"/>
    </row>
    <row r="722" spans="1:23" x14ac:dyDescent="0.2">
      <c r="A722" s="88" t="s">
        <v>16120</v>
      </c>
      <c r="B722" s="1" t="e">
        <v>#N/A</v>
      </c>
      <c r="C722" s="1" t="e">
        <v>#N/A</v>
      </c>
      <c r="D722" s="1" t="s">
        <v>2037</v>
      </c>
      <c r="E722" s="1" t="s">
        <v>2038</v>
      </c>
      <c r="F722" s="1" t="s">
        <v>9310</v>
      </c>
      <c r="G722" s="1" t="s">
        <v>8957</v>
      </c>
      <c r="H722" t="s">
        <v>8959</v>
      </c>
      <c r="I722" s="1" t="s">
        <v>20714</v>
      </c>
      <c r="J722" s="1" t="s">
        <v>20725</v>
      </c>
      <c r="K722" s="1" t="s">
        <v>21420</v>
      </c>
      <c r="L722" s="1" t="s">
        <v>9133</v>
      </c>
      <c r="M722" s="1">
        <v>912</v>
      </c>
      <c r="N722" s="1" t="s">
        <v>8953</v>
      </c>
      <c r="O722" s="1" t="s">
        <v>8989</v>
      </c>
      <c r="P722" s="1" t="e">
        <v>#N/A</v>
      </c>
      <c r="Q722" s="1" t="e">
        <v>#N/A</v>
      </c>
      <c r="R722" s="1">
        <f t="shared" si="208"/>
        <v>8</v>
      </c>
      <c r="S722" s="1" t="str">
        <f t="shared" si="209"/>
        <v>&gt;7</v>
      </c>
      <c r="T722" s="1" t="s">
        <v>18927</v>
      </c>
      <c r="U722" s="1" t="s">
        <v>7</v>
      </c>
      <c r="V722" s="1" t="s">
        <v>46</v>
      </c>
      <c r="W722" s="1"/>
    </row>
    <row r="723" spans="1:23" x14ac:dyDescent="0.2">
      <c r="A723" s="88" t="s">
        <v>16121</v>
      </c>
      <c r="B723" s="1" t="e">
        <v>#N/A</v>
      </c>
      <c r="C723" s="1" t="e">
        <v>#N/A</v>
      </c>
      <c r="D723" s="1" t="s">
        <v>2039</v>
      </c>
      <c r="E723" s="1" t="s">
        <v>2040</v>
      </c>
      <c r="F723" s="1" t="s">
        <v>9310</v>
      </c>
      <c r="G723" s="1" t="s">
        <v>8957</v>
      </c>
      <c r="H723" t="s">
        <v>8959</v>
      </c>
      <c r="I723" s="1" t="s">
        <v>9252</v>
      </c>
      <c r="J723" s="1" t="s">
        <v>8949</v>
      </c>
      <c r="K723" s="1" t="s">
        <v>18497</v>
      </c>
      <c r="L723" s="1" t="s">
        <v>9133</v>
      </c>
      <c r="M723" s="1">
        <v>100</v>
      </c>
      <c r="N723" s="1" t="s">
        <v>9059</v>
      </c>
      <c r="O723" s="1" t="s">
        <v>8989</v>
      </c>
      <c r="P723" s="1" t="e">
        <v>#N/A</v>
      </c>
      <c r="Q723" s="1" t="e">
        <v>#N/A</v>
      </c>
      <c r="R723" s="1">
        <f t="shared" si="208"/>
        <v>7</v>
      </c>
      <c r="S723" s="1" t="str">
        <f t="shared" si="209"/>
        <v>4-7</v>
      </c>
      <c r="T723" s="1" t="s">
        <v>18928</v>
      </c>
      <c r="U723" s="1" t="s">
        <v>7</v>
      </c>
      <c r="V723" s="1" t="s">
        <v>21</v>
      </c>
      <c r="W723" s="1"/>
    </row>
    <row r="724" spans="1:23" x14ac:dyDescent="0.2">
      <c r="A724" s="89" t="s">
        <v>2041</v>
      </c>
      <c r="B724" s="1" t="e">
        <v>#N/A</v>
      </c>
      <c r="C724" s="1" t="e">
        <v>#N/A</v>
      </c>
      <c r="D724" s="5" t="s">
        <v>2042</v>
      </c>
      <c r="E724" s="1" t="s">
        <v>2043</v>
      </c>
      <c r="F724" s="1" t="e">
        <v>#N/A</v>
      </c>
      <c r="G724" s="1" t="e">
        <v>#N/A</v>
      </c>
      <c r="H724" t="e">
        <v>#N/A</v>
      </c>
      <c r="I724" s="1" t="e">
        <v>#N/A</v>
      </c>
      <c r="J724" s="1" t="e">
        <v>#N/A</v>
      </c>
      <c r="K724" s="1" t="e">
        <v>#N/A</v>
      </c>
      <c r="L724" s="1" t="e">
        <v>#N/A</v>
      </c>
      <c r="M724" s="1" t="e">
        <v>#N/A</v>
      </c>
      <c r="N724" s="1" t="e">
        <v>#N/A</v>
      </c>
      <c r="O724" s="1" t="e">
        <v>#N/A</v>
      </c>
      <c r="P724" s="1" t="e">
        <v>#N/A</v>
      </c>
      <c r="Q724" s="1" t="e">
        <v>#N/A</v>
      </c>
      <c r="R724" s="1">
        <f t="shared" si="208"/>
        <v>4</v>
      </c>
      <c r="S724" s="1" t="str">
        <f t="shared" si="209"/>
        <v>&lt;4</v>
      </c>
      <c r="T724" s="1" t="s">
        <v>18929</v>
      </c>
      <c r="U724" s="1" t="s">
        <v>11</v>
      </c>
      <c r="V724" s="1" t="s">
        <v>2044</v>
      </c>
      <c r="W724" s="1"/>
    </row>
    <row r="725" spans="1:23" x14ac:dyDescent="0.2">
      <c r="A725" s="88" t="s">
        <v>16122</v>
      </c>
      <c r="B725" s="1" t="e">
        <v>#N/A</v>
      </c>
      <c r="C725" s="1" t="e">
        <v>#N/A</v>
      </c>
      <c r="D725" s="1" t="s">
        <v>2045</v>
      </c>
      <c r="E725" s="1" t="s">
        <v>2046</v>
      </c>
      <c r="F725" s="1" t="s">
        <v>9310</v>
      </c>
      <c r="G725" s="1" t="s">
        <v>8957</v>
      </c>
      <c r="H725" t="s">
        <v>8959</v>
      </c>
      <c r="I725" s="1" t="s">
        <v>9100</v>
      </c>
      <c r="J725" s="1" t="s">
        <v>8949</v>
      </c>
      <c r="K725" s="1" t="s">
        <v>20779</v>
      </c>
      <c r="L725" s="1" t="s">
        <v>8951</v>
      </c>
      <c r="M725" s="1">
        <v>3127</v>
      </c>
      <c r="N725" s="1" t="s">
        <v>8953</v>
      </c>
      <c r="O725" s="1" t="s">
        <v>8954</v>
      </c>
      <c r="P725" s="1" t="e">
        <v>#N/A</v>
      </c>
      <c r="Q725" s="1" t="e">
        <v>#N/A</v>
      </c>
      <c r="R725" s="1">
        <f t="shared" si="208"/>
        <v>11</v>
      </c>
      <c r="S725" s="1" t="str">
        <f t="shared" si="209"/>
        <v>&gt;7</v>
      </c>
      <c r="T725" s="1" t="s">
        <v>18930</v>
      </c>
      <c r="U725" s="1" t="s">
        <v>7</v>
      </c>
      <c r="V725" s="1" t="s">
        <v>359</v>
      </c>
      <c r="W725" s="1"/>
    </row>
    <row r="726" spans="1:23" x14ac:dyDescent="0.2">
      <c r="A726" s="88" t="s">
        <v>16123</v>
      </c>
      <c r="B726" s="1" t="e">
        <v>#N/A</v>
      </c>
      <c r="C726" s="1" t="e">
        <v>#N/A</v>
      </c>
      <c r="D726" s="1" t="s">
        <v>2047</v>
      </c>
      <c r="E726" s="1" t="s">
        <v>2048</v>
      </c>
      <c r="F726" s="1" t="s">
        <v>18502</v>
      </c>
      <c r="G726" s="1" t="s">
        <v>8957</v>
      </c>
      <c r="H726" t="s">
        <v>8959</v>
      </c>
      <c r="I726" s="1" t="s">
        <v>9035</v>
      </c>
      <c r="J726" s="1" t="s">
        <v>8998</v>
      </c>
      <c r="K726" s="1" t="s">
        <v>10492</v>
      </c>
      <c r="L726" s="1" t="s">
        <v>8973</v>
      </c>
      <c r="M726" s="1">
        <v>105</v>
      </c>
      <c r="N726" s="1" t="s">
        <v>9059</v>
      </c>
      <c r="O726" s="1" t="s">
        <v>8954</v>
      </c>
      <c r="P726" s="1" t="e">
        <v>#N/A</v>
      </c>
      <c r="Q726" s="1" t="e">
        <v>#N/A</v>
      </c>
      <c r="R726" s="1">
        <f t="shared" si="208"/>
        <v>4</v>
      </c>
      <c r="S726" s="1" t="str">
        <f t="shared" si="209"/>
        <v>&lt;4</v>
      </c>
      <c r="T726" s="1" t="s">
        <v>18931</v>
      </c>
      <c r="U726" s="1" t="s">
        <v>7</v>
      </c>
      <c r="V726" s="1" t="s">
        <v>378</v>
      </c>
      <c r="W726" s="1"/>
    </row>
    <row r="727" spans="1:23" x14ac:dyDescent="0.2">
      <c r="A727" s="88" t="s">
        <v>16124</v>
      </c>
      <c r="B727" s="1" t="e">
        <v>#N/A</v>
      </c>
      <c r="C727" s="1" t="e">
        <v>#N/A</v>
      </c>
      <c r="D727" s="1" t="s">
        <v>2049</v>
      </c>
      <c r="E727" s="1" t="s">
        <v>2050</v>
      </c>
      <c r="F727" s="1" t="s">
        <v>18502</v>
      </c>
      <c r="G727" s="1" t="s">
        <v>9060</v>
      </c>
      <c r="H727" t="s">
        <v>8959</v>
      </c>
      <c r="I727" s="1" t="s">
        <v>8948</v>
      </c>
      <c r="J727" s="1" t="s">
        <v>8949</v>
      </c>
      <c r="K727" s="1" t="s">
        <v>10525</v>
      </c>
      <c r="L727" s="1" t="s">
        <v>8987</v>
      </c>
      <c r="M727" s="1">
        <v>10158</v>
      </c>
      <c r="N727" s="1" t="s">
        <v>8953</v>
      </c>
      <c r="O727" s="1" t="s">
        <v>8954</v>
      </c>
      <c r="P727" s="1" t="e">
        <v>#N/A</v>
      </c>
      <c r="Q727" s="1" t="e">
        <v>#N/A</v>
      </c>
      <c r="R727" s="1">
        <f t="shared" si="208"/>
        <v>5</v>
      </c>
      <c r="S727" s="1" t="str">
        <f t="shared" si="209"/>
        <v>4-7</v>
      </c>
      <c r="T727" s="1" t="s">
        <v>18932</v>
      </c>
      <c r="U727" s="1" t="s">
        <v>7</v>
      </c>
      <c r="V727" s="1" t="s">
        <v>2051</v>
      </c>
      <c r="W727" s="1"/>
    </row>
    <row r="728" spans="1:23" x14ac:dyDescent="0.2">
      <c r="A728" s="88" t="s">
        <v>16125</v>
      </c>
      <c r="B728" s="1" t="e">
        <v>#N/A</v>
      </c>
      <c r="C728" s="1" t="s">
        <v>10237</v>
      </c>
      <c r="D728" s="1" t="s">
        <v>2052</v>
      </c>
      <c r="E728" s="1" t="s">
        <v>2053</v>
      </c>
      <c r="F728" s="1" t="s">
        <v>9010</v>
      </c>
      <c r="G728" s="1" t="s">
        <v>8974</v>
      </c>
      <c r="H728" t="s">
        <v>8959</v>
      </c>
      <c r="I728" s="1" t="s">
        <v>9035</v>
      </c>
      <c r="J728" s="1" t="s">
        <v>8998</v>
      </c>
      <c r="K728" s="1" t="s">
        <v>9036</v>
      </c>
      <c r="L728" s="1" t="s">
        <v>8973</v>
      </c>
      <c r="M728" s="1">
        <v>90</v>
      </c>
      <c r="N728" s="1" t="s">
        <v>8953</v>
      </c>
      <c r="O728" s="1" t="s">
        <v>8954</v>
      </c>
      <c r="P728" s="1" t="s">
        <v>8955</v>
      </c>
      <c r="Q728" s="1" t="s">
        <v>8956</v>
      </c>
      <c r="R728" s="1" t="s">
        <v>8974</v>
      </c>
      <c r="S728" s="1" t="s">
        <v>8958</v>
      </c>
      <c r="T728" s="1" t="s">
        <v>2054</v>
      </c>
      <c r="U728" s="1" t="s">
        <v>17</v>
      </c>
      <c r="V728" s="1" t="s">
        <v>93</v>
      </c>
      <c r="W728" s="1"/>
    </row>
    <row r="729" spans="1:23" x14ac:dyDescent="0.2">
      <c r="A729" s="88" t="s">
        <v>16126</v>
      </c>
      <c r="B729" s="1" t="e">
        <v>#N/A</v>
      </c>
      <c r="C729" s="1" t="e">
        <v>#N/A</v>
      </c>
      <c r="D729" s="1" t="s">
        <v>2055</v>
      </c>
      <c r="E729" s="1" t="s">
        <v>2056</v>
      </c>
      <c r="F729" s="1" t="s">
        <v>18502</v>
      </c>
      <c r="G729" s="1" t="s">
        <v>8959</v>
      </c>
      <c r="H729" t="s">
        <v>8959</v>
      </c>
      <c r="I729" s="1" t="s">
        <v>8948</v>
      </c>
      <c r="J729" s="1" t="s">
        <v>8949</v>
      </c>
      <c r="K729" s="1" t="s">
        <v>21322</v>
      </c>
      <c r="L729" s="1" t="s">
        <v>8973</v>
      </c>
      <c r="M729" s="1">
        <v>351</v>
      </c>
      <c r="N729" s="1" t="s">
        <v>8953</v>
      </c>
      <c r="O729" s="1" t="s">
        <v>8954</v>
      </c>
      <c r="P729" s="1" t="e">
        <v>#N/A</v>
      </c>
      <c r="Q729" s="1" t="e">
        <v>#N/A</v>
      </c>
      <c r="R729" s="1">
        <f t="shared" ref="R729:R732" si="210">1+LEN(T729)-LEN(SUBSTITUTE(T729,",",))</f>
        <v>4</v>
      </c>
      <c r="S729" s="1" t="str">
        <f t="shared" ref="S729:S732" si="211">IF(R729&gt;4,IF(R729&lt;8,"4-7",IF(R729&gt;7,"&gt;7")),"&lt;4")</f>
        <v>&lt;4</v>
      </c>
      <c r="T729" s="1" t="s">
        <v>18933</v>
      </c>
      <c r="U729" s="1" t="s">
        <v>7</v>
      </c>
      <c r="V729" s="1" t="s">
        <v>1966</v>
      </c>
      <c r="W729" s="1"/>
    </row>
    <row r="730" spans="1:23" x14ac:dyDescent="0.2">
      <c r="A730" s="88" t="s">
        <v>16127</v>
      </c>
      <c r="B730" s="1" t="e">
        <v>#N/A</v>
      </c>
      <c r="C730" s="1" t="e">
        <v>#N/A</v>
      </c>
      <c r="D730" s="1" t="s">
        <v>2057</v>
      </c>
      <c r="E730" s="1" t="s">
        <v>2058</v>
      </c>
      <c r="F730" s="1" t="s">
        <v>9310</v>
      </c>
      <c r="G730" s="1" t="s">
        <v>8957</v>
      </c>
      <c r="H730" t="s">
        <v>8959</v>
      </c>
      <c r="I730" s="1" t="s">
        <v>9035</v>
      </c>
      <c r="J730" s="1" t="s">
        <v>9308</v>
      </c>
      <c r="K730" s="1" t="s">
        <v>21323</v>
      </c>
      <c r="L730" s="1" t="s">
        <v>8987</v>
      </c>
      <c r="M730" s="1">
        <v>2905</v>
      </c>
      <c r="N730" s="1" t="s">
        <v>8953</v>
      </c>
      <c r="O730" s="1" t="s">
        <v>8954</v>
      </c>
      <c r="P730" s="1" t="e">
        <v>#N/A</v>
      </c>
      <c r="Q730" s="1" t="e">
        <v>#N/A</v>
      </c>
      <c r="R730" s="1">
        <f t="shared" si="210"/>
        <v>6</v>
      </c>
      <c r="S730" s="1" t="str">
        <f t="shared" si="211"/>
        <v>4-7</v>
      </c>
      <c r="T730" s="1" t="s">
        <v>18934</v>
      </c>
      <c r="U730" s="1" t="s">
        <v>7</v>
      </c>
      <c r="V730" s="1" t="s">
        <v>1328</v>
      </c>
      <c r="W730" s="1"/>
    </row>
    <row r="731" spans="1:23" x14ac:dyDescent="0.2">
      <c r="A731" s="88" t="s">
        <v>16128</v>
      </c>
      <c r="B731" s="1" t="e">
        <v>#N/A</v>
      </c>
      <c r="C731" s="1" t="e">
        <v>#N/A</v>
      </c>
      <c r="D731" s="1" t="s">
        <v>2059</v>
      </c>
      <c r="E731" s="1" t="s">
        <v>2060</v>
      </c>
      <c r="F731" s="1" t="s">
        <v>9310</v>
      </c>
      <c r="G731" s="1" t="s">
        <v>8957</v>
      </c>
      <c r="H731" t="s">
        <v>8959</v>
      </c>
      <c r="I731" s="1" t="s">
        <v>9075</v>
      </c>
      <c r="J731" s="1" t="s">
        <v>8971</v>
      </c>
      <c r="K731" s="1" t="s">
        <v>20779</v>
      </c>
      <c r="L731" s="1" t="s">
        <v>8951</v>
      </c>
      <c r="M731" s="1">
        <f>21841+25738</f>
        <v>47579</v>
      </c>
      <c r="N731" s="1" t="s">
        <v>8953</v>
      </c>
      <c r="O731" s="1" t="s">
        <v>8989</v>
      </c>
      <c r="P731" s="1" t="e">
        <v>#N/A</v>
      </c>
      <c r="Q731" s="1" t="e">
        <v>#N/A</v>
      </c>
      <c r="R731" s="1">
        <f t="shared" si="210"/>
        <v>8</v>
      </c>
      <c r="S731" s="1" t="str">
        <f t="shared" si="211"/>
        <v>&gt;7</v>
      </c>
      <c r="T731" s="1" t="s">
        <v>18935</v>
      </c>
      <c r="U731" s="1" t="s">
        <v>17</v>
      </c>
      <c r="V731" s="1" t="s">
        <v>2061</v>
      </c>
      <c r="W731" s="1"/>
    </row>
    <row r="732" spans="1:23" x14ac:dyDescent="0.2">
      <c r="A732" s="88" t="s">
        <v>16129</v>
      </c>
      <c r="B732" s="1" t="e">
        <v>#N/A</v>
      </c>
      <c r="C732" s="1" t="e">
        <v>#N/A</v>
      </c>
      <c r="D732" s="1" t="s">
        <v>2062</v>
      </c>
      <c r="E732" s="1" t="s">
        <v>2063</v>
      </c>
      <c r="F732" s="1" t="s">
        <v>9310</v>
      </c>
      <c r="G732" s="1" t="s">
        <v>9060</v>
      </c>
      <c r="H732" t="s">
        <v>8959</v>
      </c>
      <c r="I732" s="1" t="s">
        <v>9252</v>
      </c>
      <c r="J732" s="1" t="s">
        <v>20800</v>
      </c>
      <c r="K732" s="1" t="s">
        <v>21205</v>
      </c>
      <c r="L732" s="1" t="s">
        <v>8987</v>
      </c>
      <c r="M732" s="1">
        <v>7909</v>
      </c>
      <c r="N732" s="1" t="s">
        <v>8953</v>
      </c>
      <c r="O732" s="1" t="s">
        <v>8989</v>
      </c>
      <c r="P732" s="1" t="e">
        <v>#N/A</v>
      </c>
      <c r="Q732" s="1" t="e">
        <v>#N/A</v>
      </c>
      <c r="R732" s="1">
        <f t="shared" si="210"/>
        <v>3</v>
      </c>
      <c r="S732" s="1" t="str">
        <f t="shared" si="211"/>
        <v>&lt;4</v>
      </c>
      <c r="T732" s="1" t="s">
        <v>18936</v>
      </c>
      <c r="U732" s="1" t="s">
        <v>7</v>
      </c>
      <c r="V732" s="1" t="s">
        <v>2061</v>
      </c>
      <c r="W732" s="1"/>
    </row>
    <row r="733" spans="1:23" x14ac:dyDescent="0.2">
      <c r="A733" s="88" t="s">
        <v>16130</v>
      </c>
      <c r="B733" s="1" t="e">
        <v>#N/A</v>
      </c>
      <c r="C733" s="1" t="s">
        <v>11221</v>
      </c>
      <c r="D733" s="1" t="s">
        <v>2064</v>
      </c>
      <c r="E733" s="1" t="s">
        <v>2065</v>
      </c>
      <c r="F733" s="1" t="s">
        <v>9310</v>
      </c>
      <c r="G733" s="1" t="s">
        <v>8959</v>
      </c>
      <c r="H733" t="s">
        <v>9183</v>
      </c>
      <c r="I733" s="1" t="s">
        <v>9075</v>
      </c>
      <c r="J733" s="1" t="s">
        <v>8949</v>
      </c>
      <c r="K733" s="1" t="s">
        <v>9436</v>
      </c>
      <c r="L733" s="1" t="s">
        <v>8973</v>
      </c>
      <c r="M733" s="1">
        <v>70</v>
      </c>
      <c r="N733" s="1" t="s">
        <v>9059</v>
      </c>
      <c r="O733" s="1" t="s">
        <v>8989</v>
      </c>
      <c r="P733" s="1" t="s">
        <v>8955</v>
      </c>
      <c r="Q733" s="1" t="s">
        <v>8990</v>
      </c>
      <c r="R733" s="1" t="s">
        <v>8959</v>
      </c>
      <c r="S733" s="1" t="s">
        <v>8958</v>
      </c>
      <c r="T733" s="1" t="s">
        <v>2066</v>
      </c>
      <c r="U733" s="1" t="s">
        <v>11</v>
      </c>
      <c r="V733" s="1" t="s">
        <v>1050</v>
      </c>
      <c r="W733" s="1"/>
    </row>
    <row r="734" spans="1:23" x14ac:dyDescent="0.2">
      <c r="A734" s="88" t="s">
        <v>16131</v>
      </c>
      <c r="B734" s="1" t="e">
        <v>#N/A</v>
      </c>
      <c r="C734" s="1" t="s">
        <v>13425</v>
      </c>
      <c r="D734" s="1" t="s">
        <v>2067</v>
      </c>
      <c r="E734" s="1" t="s">
        <v>2068</v>
      </c>
      <c r="F734" s="1" t="s">
        <v>9310</v>
      </c>
      <c r="G734" s="1" t="s">
        <v>8957</v>
      </c>
      <c r="H734" t="s">
        <v>8959</v>
      </c>
      <c r="I734" s="1" t="s">
        <v>9049</v>
      </c>
      <c r="J734" s="1" t="s">
        <v>9050</v>
      </c>
      <c r="K734" s="1" t="s">
        <v>9036</v>
      </c>
      <c r="L734" s="1" t="s">
        <v>8987</v>
      </c>
      <c r="M734" s="1">
        <v>80000</v>
      </c>
      <c r="N734" s="1" t="s">
        <v>8953</v>
      </c>
      <c r="O734" s="1" t="s">
        <v>8989</v>
      </c>
      <c r="P734" s="1" t="s">
        <v>8955</v>
      </c>
      <c r="Q734" s="1" t="s">
        <v>8956</v>
      </c>
      <c r="R734" s="1" t="s">
        <v>8957</v>
      </c>
      <c r="S734" s="1" t="s">
        <v>8958</v>
      </c>
      <c r="T734" s="1" t="s">
        <v>2069</v>
      </c>
      <c r="U734" s="1" t="s">
        <v>4</v>
      </c>
      <c r="V734" s="1" t="s">
        <v>46</v>
      </c>
      <c r="W734" s="1"/>
    </row>
    <row r="735" spans="1:23" x14ac:dyDescent="0.2">
      <c r="A735" s="89" t="s">
        <v>2070</v>
      </c>
      <c r="B735" s="1" t="e">
        <v>#N/A</v>
      </c>
      <c r="C735" s="1" t="e">
        <v>#N/A</v>
      </c>
      <c r="D735" s="5" t="s">
        <v>2071</v>
      </c>
      <c r="E735" s="1" t="s">
        <v>2072</v>
      </c>
      <c r="F735" s="1" t="e">
        <v>#N/A</v>
      </c>
      <c r="G735" s="1" t="e">
        <v>#N/A</v>
      </c>
      <c r="H735" t="e">
        <v>#N/A</v>
      </c>
      <c r="I735" s="1" t="e">
        <v>#N/A</v>
      </c>
      <c r="J735" s="1" t="e">
        <v>#N/A</v>
      </c>
      <c r="K735" s="1" t="e">
        <v>#N/A</v>
      </c>
      <c r="L735" s="1" t="e">
        <v>#N/A</v>
      </c>
      <c r="M735" s="1" t="e">
        <v>#N/A</v>
      </c>
      <c r="N735" s="1" t="e">
        <v>#N/A</v>
      </c>
      <c r="O735" s="1" t="e">
        <v>#N/A</v>
      </c>
      <c r="P735" s="1" t="e">
        <v>#N/A</v>
      </c>
      <c r="Q735" s="1" t="e">
        <v>#N/A</v>
      </c>
      <c r="R735" s="1">
        <f t="shared" ref="R735:R746" si="212">1+LEN(T735)-LEN(SUBSTITUTE(T735,",",))</f>
        <v>2</v>
      </c>
      <c r="S735" s="1" t="str">
        <f t="shared" ref="S735:S746" si="213">IF(R735&gt;4,IF(R735&lt;8,"4-7",IF(R735&gt;7,"&gt;7")),"&lt;4")</f>
        <v>&lt;4</v>
      </c>
      <c r="T735" s="1" t="s">
        <v>18937</v>
      </c>
      <c r="U735" s="1" t="s">
        <v>17</v>
      </c>
      <c r="V735" s="1" t="s">
        <v>322</v>
      </c>
      <c r="W735" s="1"/>
    </row>
    <row r="736" spans="1:23" x14ac:dyDescent="0.2">
      <c r="A736" s="89" t="s">
        <v>2073</v>
      </c>
      <c r="B736" s="1" t="e">
        <v>#N/A</v>
      </c>
      <c r="C736" s="1" t="e">
        <v>#N/A</v>
      </c>
      <c r="D736" s="1" t="s">
        <v>2074</v>
      </c>
      <c r="E736" s="1" t="s">
        <v>2075</v>
      </c>
      <c r="F736" s="1" t="e">
        <v>#N/A</v>
      </c>
      <c r="G736" s="1" t="e">
        <v>#N/A</v>
      </c>
      <c r="H736" t="e">
        <v>#N/A</v>
      </c>
      <c r="I736" s="1" t="e">
        <v>#N/A</v>
      </c>
      <c r="J736" s="1" t="e">
        <v>#N/A</v>
      </c>
      <c r="K736" s="1" t="e">
        <v>#N/A</v>
      </c>
      <c r="L736" s="1" t="e">
        <v>#N/A</v>
      </c>
      <c r="M736" s="1" t="e">
        <v>#N/A</v>
      </c>
      <c r="N736" s="1" t="e">
        <v>#N/A</v>
      </c>
      <c r="O736" s="1" t="e">
        <v>#N/A</v>
      </c>
      <c r="P736" s="1" t="e">
        <v>#N/A</v>
      </c>
      <c r="Q736" s="1" t="e">
        <v>#N/A</v>
      </c>
      <c r="R736" s="1">
        <f t="shared" si="212"/>
        <v>3</v>
      </c>
      <c r="S736" s="1" t="str">
        <f t="shared" si="213"/>
        <v>&lt;4</v>
      </c>
      <c r="T736" s="1" t="s">
        <v>18938</v>
      </c>
      <c r="U736" s="1" t="s">
        <v>17</v>
      </c>
      <c r="V736" s="1" t="s">
        <v>2076</v>
      </c>
      <c r="W736" s="1"/>
    </row>
    <row r="737" spans="1:23" x14ac:dyDescent="0.2">
      <c r="A737" s="94" t="s">
        <v>16132</v>
      </c>
      <c r="B737" s="1" t="e">
        <v>#N/A</v>
      </c>
      <c r="C737" s="1" t="e">
        <v>#N/A</v>
      </c>
      <c r="D737" s="1" t="s">
        <v>2077</v>
      </c>
      <c r="E737" s="1" t="s">
        <v>2078</v>
      </c>
      <c r="F737" s="1" t="e">
        <v>#N/A</v>
      </c>
      <c r="G737" s="1" t="e">
        <v>#N/A</v>
      </c>
      <c r="H737" t="e">
        <v>#N/A</v>
      </c>
      <c r="I737" s="1" t="e">
        <v>#N/A</v>
      </c>
      <c r="J737" s="1" t="e">
        <v>#N/A</v>
      </c>
      <c r="K737" s="1" t="e">
        <v>#N/A</v>
      </c>
      <c r="L737" s="1" t="e">
        <v>#N/A</v>
      </c>
      <c r="M737" s="1" t="e">
        <v>#N/A</v>
      </c>
      <c r="N737" s="1" t="e">
        <v>#N/A</v>
      </c>
      <c r="O737" s="1" t="e">
        <v>#N/A</v>
      </c>
      <c r="P737" s="1" t="e">
        <v>#N/A</v>
      </c>
      <c r="Q737" s="1" t="e">
        <v>#N/A</v>
      </c>
      <c r="R737" s="1">
        <f t="shared" si="212"/>
        <v>6</v>
      </c>
      <c r="S737" s="1" t="str">
        <f t="shared" si="213"/>
        <v>4-7</v>
      </c>
      <c r="T737" s="1" t="s">
        <v>20580</v>
      </c>
      <c r="U737" s="1" t="s">
        <v>7</v>
      </c>
      <c r="V737" s="1" t="s">
        <v>2079</v>
      </c>
      <c r="W737" s="1"/>
    </row>
    <row r="738" spans="1:23" x14ac:dyDescent="0.2">
      <c r="A738" s="88" t="s">
        <v>16133</v>
      </c>
      <c r="B738" s="1" t="e">
        <v>#N/A</v>
      </c>
      <c r="C738" s="1" t="e">
        <v>#N/A</v>
      </c>
      <c r="D738" s="1" t="s">
        <v>2080</v>
      </c>
      <c r="E738" s="1" t="s">
        <v>2081</v>
      </c>
      <c r="F738" s="1" t="s">
        <v>18502</v>
      </c>
      <c r="G738" s="1" t="s">
        <v>8957</v>
      </c>
      <c r="H738" t="s">
        <v>9061</v>
      </c>
      <c r="I738" s="1" t="s">
        <v>9075</v>
      </c>
      <c r="J738" s="1" t="s">
        <v>9131</v>
      </c>
      <c r="K738" s="1" t="s">
        <v>21350</v>
      </c>
      <c r="L738" s="1" t="s">
        <v>8951</v>
      </c>
      <c r="M738" s="1">
        <v>1851</v>
      </c>
      <c r="N738" s="1" t="s">
        <v>8953</v>
      </c>
      <c r="O738" s="1" t="s">
        <v>8989</v>
      </c>
      <c r="P738" s="1" t="e">
        <v>#N/A</v>
      </c>
      <c r="Q738" s="1" t="e">
        <v>#N/A</v>
      </c>
      <c r="R738" s="1">
        <f t="shared" si="212"/>
        <v>5</v>
      </c>
      <c r="S738" s="1" t="str">
        <f t="shared" si="213"/>
        <v>4-7</v>
      </c>
      <c r="T738" s="1" t="s">
        <v>20581</v>
      </c>
      <c r="U738" s="1" t="s">
        <v>17</v>
      </c>
      <c r="V738" s="1" t="s">
        <v>2082</v>
      </c>
      <c r="W738" s="1"/>
    </row>
    <row r="739" spans="1:23" x14ac:dyDescent="0.2">
      <c r="A739" s="88" t="s">
        <v>16134</v>
      </c>
      <c r="B739" s="1" t="e">
        <v>#N/A</v>
      </c>
      <c r="C739" s="1" t="e">
        <v>#N/A</v>
      </c>
      <c r="D739" s="1" t="s">
        <v>2083</v>
      </c>
      <c r="E739" s="1" t="s">
        <v>2084</v>
      </c>
      <c r="F739" s="1" t="s">
        <v>9636</v>
      </c>
      <c r="G739" s="1" t="s">
        <v>8957</v>
      </c>
      <c r="H739" t="s">
        <v>9061</v>
      </c>
      <c r="I739" s="1" t="s">
        <v>9075</v>
      </c>
      <c r="J739" s="1" t="s">
        <v>9155</v>
      </c>
      <c r="K739" s="1" t="s">
        <v>20785</v>
      </c>
      <c r="L739" s="1" t="s">
        <v>9076</v>
      </c>
      <c r="M739" s="1">
        <v>17542</v>
      </c>
      <c r="N739" s="1" t="s">
        <v>8953</v>
      </c>
      <c r="O739" s="1" t="s">
        <v>8989</v>
      </c>
      <c r="P739" s="1" t="e">
        <v>#N/A</v>
      </c>
      <c r="Q739" s="1" t="e">
        <v>#N/A</v>
      </c>
      <c r="R739" s="1">
        <f t="shared" si="212"/>
        <v>7</v>
      </c>
      <c r="S739" s="1" t="str">
        <f t="shared" si="213"/>
        <v>4-7</v>
      </c>
      <c r="T739" s="1" t="s">
        <v>18939</v>
      </c>
      <c r="U739" s="1" t="s">
        <v>7</v>
      </c>
      <c r="V739" s="1" t="s">
        <v>857</v>
      </c>
      <c r="W739" s="1"/>
    </row>
    <row r="740" spans="1:23" x14ac:dyDescent="0.2">
      <c r="A740" s="88" t="s">
        <v>16135</v>
      </c>
      <c r="B740" s="1" t="e">
        <v>#N/A</v>
      </c>
      <c r="C740" s="1" t="e">
        <v>#N/A</v>
      </c>
      <c r="D740" s="1" t="s">
        <v>2085</v>
      </c>
      <c r="E740" s="1" t="s">
        <v>2086</v>
      </c>
      <c r="F740" s="1" t="s">
        <v>18502</v>
      </c>
      <c r="G740" s="1" t="s">
        <v>8959</v>
      </c>
      <c r="H740" t="s">
        <v>8959</v>
      </c>
      <c r="I740" s="1" t="s">
        <v>8948</v>
      </c>
      <c r="J740" s="1" t="s">
        <v>8998</v>
      </c>
      <c r="K740" s="1" t="s">
        <v>20735</v>
      </c>
      <c r="L740" s="1" t="s">
        <v>8951</v>
      </c>
      <c r="M740" s="1">
        <v>4128</v>
      </c>
      <c r="N740" s="1" t="s">
        <v>8953</v>
      </c>
      <c r="O740" s="1" t="s">
        <v>8989</v>
      </c>
      <c r="P740" s="1" t="e">
        <v>#N/A</v>
      </c>
      <c r="Q740" s="1" t="e">
        <v>#N/A</v>
      </c>
      <c r="R740" s="1">
        <f t="shared" si="212"/>
        <v>1</v>
      </c>
      <c r="S740" s="1" t="str">
        <f t="shared" si="213"/>
        <v>&lt;4</v>
      </c>
      <c r="T740" s="1" t="s">
        <v>2087</v>
      </c>
      <c r="U740" s="1" t="s">
        <v>17</v>
      </c>
      <c r="V740" s="1" t="s">
        <v>87</v>
      </c>
      <c r="W740" s="1"/>
    </row>
    <row r="741" spans="1:23" x14ac:dyDescent="0.2">
      <c r="A741" s="89" t="s">
        <v>2088</v>
      </c>
      <c r="B741" s="1" t="e">
        <v>#N/A</v>
      </c>
      <c r="C741" s="1" t="e">
        <v>#N/A</v>
      </c>
      <c r="D741" s="1" t="s">
        <v>2089</v>
      </c>
      <c r="E741" s="1" t="s">
        <v>2090</v>
      </c>
      <c r="F741" s="1" t="e">
        <v>#N/A</v>
      </c>
      <c r="G741" s="1" t="e">
        <v>#N/A</v>
      </c>
      <c r="H741" t="e">
        <v>#N/A</v>
      </c>
      <c r="I741" s="1" t="e">
        <v>#N/A</v>
      </c>
      <c r="J741" s="1" t="e">
        <v>#N/A</v>
      </c>
      <c r="K741" s="1" t="e">
        <v>#N/A</v>
      </c>
      <c r="L741" s="1" t="e">
        <v>#N/A</v>
      </c>
      <c r="M741" s="1" t="e">
        <v>#N/A</v>
      </c>
      <c r="N741" s="1" t="e">
        <v>#N/A</v>
      </c>
      <c r="O741" s="1" t="e">
        <v>#N/A</v>
      </c>
      <c r="P741" s="1" t="e">
        <v>#N/A</v>
      </c>
      <c r="Q741" s="1" t="e">
        <v>#N/A</v>
      </c>
      <c r="R741" s="1">
        <f t="shared" si="212"/>
        <v>1</v>
      </c>
      <c r="S741" s="1" t="str">
        <f t="shared" si="213"/>
        <v>&lt;4</v>
      </c>
      <c r="T741" s="1" t="s">
        <v>2091</v>
      </c>
      <c r="U741" s="1" t="s">
        <v>17</v>
      </c>
      <c r="V741" s="1" t="s">
        <v>174</v>
      </c>
      <c r="W741" s="1"/>
    </row>
    <row r="742" spans="1:23" x14ac:dyDescent="0.2">
      <c r="A742" s="88" t="s">
        <v>16136</v>
      </c>
      <c r="B742" s="1" t="e">
        <v>#N/A</v>
      </c>
      <c r="C742" s="1" t="e">
        <v>#N/A</v>
      </c>
      <c r="D742" s="1" t="s">
        <v>2092</v>
      </c>
      <c r="E742" s="1" t="s">
        <v>2093</v>
      </c>
      <c r="F742" s="1" t="s">
        <v>18502</v>
      </c>
      <c r="G742" s="1" t="s">
        <v>8959</v>
      </c>
      <c r="H742" t="s">
        <v>8959</v>
      </c>
      <c r="I742" s="1" t="s">
        <v>20712</v>
      </c>
      <c r="J742" s="1" t="s">
        <v>9308</v>
      </c>
      <c r="K742" s="1" t="s">
        <v>20735</v>
      </c>
      <c r="L742" s="1" t="s">
        <v>8987</v>
      </c>
      <c r="M742" s="1">
        <f>9437+3146+2822</f>
        <v>15405</v>
      </c>
      <c r="N742" s="1" t="s">
        <v>8953</v>
      </c>
      <c r="O742" s="1" t="s">
        <v>8989</v>
      </c>
      <c r="P742" s="1" t="e">
        <v>#N/A</v>
      </c>
      <c r="Q742" s="1" t="e">
        <v>#N/A</v>
      </c>
      <c r="R742" s="1">
        <f t="shared" si="212"/>
        <v>2</v>
      </c>
      <c r="S742" s="1" t="str">
        <f t="shared" si="213"/>
        <v>&lt;4</v>
      </c>
      <c r="T742" s="1" t="s">
        <v>18940</v>
      </c>
      <c r="U742" s="1" t="s">
        <v>17</v>
      </c>
      <c r="V742" s="1" t="s">
        <v>87</v>
      </c>
      <c r="W742" s="1"/>
    </row>
    <row r="743" spans="1:23" x14ac:dyDescent="0.2">
      <c r="A743" s="88" t="s">
        <v>16137</v>
      </c>
      <c r="B743" s="1" t="e">
        <v>#N/A</v>
      </c>
      <c r="C743" s="1" t="e">
        <v>#N/A</v>
      </c>
      <c r="D743" s="1" t="s">
        <v>2094</v>
      </c>
      <c r="E743" s="1" t="s">
        <v>2095</v>
      </c>
      <c r="F743" s="1" t="s">
        <v>10873</v>
      </c>
      <c r="G743" s="1" t="s">
        <v>9060</v>
      </c>
      <c r="H743" t="s">
        <v>8959</v>
      </c>
      <c r="I743" s="1" t="s">
        <v>8948</v>
      </c>
      <c r="J743" s="1" t="s">
        <v>8949</v>
      </c>
      <c r="K743" s="1" t="s">
        <v>20814</v>
      </c>
      <c r="L743" s="1" t="s">
        <v>9076</v>
      </c>
      <c r="M743" s="1">
        <v>4012</v>
      </c>
      <c r="N743" s="1" t="s">
        <v>8953</v>
      </c>
      <c r="O743" s="1" t="s">
        <v>8989</v>
      </c>
      <c r="P743" s="1" t="e">
        <v>#N/A</v>
      </c>
      <c r="Q743" s="1" t="e">
        <v>#N/A</v>
      </c>
      <c r="R743" s="1">
        <f t="shared" si="212"/>
        <v>5</v>
      </c>
      <c r="S743" s="1" t="str">
        <f t="shared" si="213"/>
        <v>4-7</v>
      </c>
      <c r="T743" s="1" t="s">
        <v>18941</v>
      </c>
      <c r="U743" s="1" t="s">
        <v>7</v>
      </c>
      <c r="V743" s="1" t="s">
        <v>46</v>
      </c>
      <c r="W743" s="1"/>
    </row>
    <row r="744" spans="1:23" x14ac:dyDescent="0.2">
      <c r="A744" s="89" t="s">
        <v>16138</v>
      </c>
      <c r="B744" s="1" t="e">
        <v>#N/A</v>
      </c>
      <c r="C744" s="1" t="e">
        <v>#N/A</v>
      </c>
      <c r="D744" s="1" t="s">
        <v>2096</v>
      </c>
      <c r="E744" s="1" t="s">
        <v>2097</v>
      </c>
      <c r="F744" s="1" t="e">
        <v>#N/A</v>
      </c>
      <c r="G744" s="1" t="e">
        <v>#N/A</v>
      </c>
      <c r="H744" t="e">
        <v>#N/A</v>
      </c>
      <c r="I744" s="1" t="e">
        <v>#N/A</v>
      </c>
      <c r="J744" s="1" t="e">
        <v>#N/A</v>
      </c>
      <c r="K744" s="1" t="e">
        <v>#N/A</v>
      </c>
      <c r="L744" s="1" t="e">
        <v>#N/A</v>
      </c>
      <c r="M744" s="1" t="e">
        <v>#N/A</v>
      </c>
      <c r="N744" s="1" t="e">
        <v>#N/A</v>
      </c>
      <c r="O744" s="1" t="e">
        <v>#N/A</v>
      </c>
      <c r="P744" s="1" t="e">
        <v>#N/A</v>
      </c>
      <c r="Q744" s="1" t="e">
        <v>#N/A</v>
      </c>
      <c r="R744" s="1">
        <f t="shared" si="212"/>
        <v>1</v>
      </c>
      <c r="S744" s="1" t="str">
        <f t="shared" si="213"/>
        <v>&lt;4</v>
      </c>
      <c r="T744" s="1" t="s">
        <v>2098</v>
      </c>
      <c r="U744" s="1" t="s">
        <v>17</v>
      </c>
      <c r="V744" s="1" t="s">
        <v>2099</v>
      </c>
      <c r="W744" s="1"/>
    </row>
    <row r="745" spans="1:23" x14ac:dyDescent="0.2">
      <c r="A745" s="89" t="s">
        <v>16139</v>
      </c>
      <c r="B745" s="1" t="e">
        <v>#N/A</v>
      </c>
      <c r="C745" s="1" t="e">
        <v>#N/A</v>
      </c>
      <c r="D745" s="1" t="s">
        <v>2100</v>
      </c>
      <c r="E745" s="1" t="s">
        <v>2101</v>
      </c>
      <c r="F745" s="1" t="e">
        <v>#N/A</v>
      </c>
      <c r="G745" s="1" t="e">
        <v>#N/A</v>
      </c>
      <c r="H745" t="e">
        <v>#N/A</v>
      </c>
      <c r="I745" s="1" t="e">
        <v>#N/A</v>
      </c>
      <c r="J745" s="1" t="e">
        <v>#N/A</v>
      </c>
      <c r="K745" s="1" t="e">
        <v>#N/A</v>
      </c>
      <c r="L745" s="1" t="e">
        <v>#N/A</v>
      </c>
      <c r="M745" s="1" t="e">
        <v>#N/A</v>
      </c>
      <c r="N745" s="1" t="e">
        <v>#N/A</v>
      </c>
      <c r="O745" s="1" t="e">
        <v>#N/A</v>
      </c>
      <c r="P745" s="1" t="e">
        <v>#N/A</v>
      </c>
      <c r="Q745" s="1" t="e">
        <v>#N/A</v>
      </c>
      <c r="R745" s="1">
        <f t="shared" si="212"/>
        <v>1</v>
      </c>
      <c r="S745" s="1" t="str">
        <f t="shared" si="213"/>
        <v>&lt;4</v>
      </c>
      <c r="U745" s="1" t="s">
        <v>7</v>
      </c>
      <c r="V745" s="1" t="s">
        <v>686</v>
      </c>
      <c r="W745" s="1"/>
    </row>
    <row r="746" spans="1:23" x14ac:dyDescent="0.2">
      <c r="A746" s="88" t="s">
        <v>16140</v>
      </c>
      <c r="B746" s="1" t="e">
        <v>#N/A</v>
      </c>
      <c r="C746" s="1" t="e">
        <v>#N/A</v>
      </c>
      <c r="D746" s="1" t="s">
        <v>2102</v>
      </c>
      <c r="E746" s="1" t="s">
        <v>2103</v>
      </c>
      <c r="F746" s="1" t="s">
        <v>10873</v>
      </c>
      <c r="G746" s="1" t="s">
        <v>9060</v>
      </c>
      <c r="H746" t="s">
        <v>8959</v>
      </c>
      <c r="I746" s="1" t="s">
        <v>9605</v>
      </c>
      <c r="J746" s="1" t="s">
        <v>9101</v>
      </c>
      <c r="K746" s="1" t="s">
        <v>20736</v>
      </c>
      <c r="L746" s="1" t="s">
        <v>9292</v>
      </c>
      <c r="M746" s="1" t="e">
        <v>#N/A</v>
      </c>
      <c r="N746" s="1" t="e">
        <v>#N/A</v>
      </c>
      <c r="O746" s="1" t="e">
        <v>#N/A</v>
      </c>
      <c r="P746" s="1" t="e">
        <v>#N/A</v>
      </c>
      <c r="Q746" s="1" t="e">
        <v>#N/A</v>
      </c>
      <c r="R746" s="1">
        <f t="shared" si="212"/>
        <v>8</v>
      </c>
      <c r="S746" s="1" t="str">
        <f t="shared" si="213"/>
        <v>&gt;7</v>
      </c>
      <c r="T746" s="1" t="s">
        <v>18942</v>
      </c>
      <c r="U746" s="1" t="s">
        <v>17</v>
      </c>
      <c r="V746" s="1" t="s">
        <v>2104</v>
      </c>
      <c r="W746" s="1"/>
    </row>
    <row r="747" spans="1:23" x14ac:dyDescent="0.2">
      <c r="A747" s="88" t="s">
        <v>16141</v>
      </c>
      <c r="B747" s="1" t="e">
        <v>#N/A</v>
      </c>
      <c r="C747" s="1" t="s">
        <v>12794</v>
      </c>
      <c r="D747" s="1" t="s">
        <v>2105</v>
      </c>
      <c r="E747" s="1" t="s">
        <v>2106</v>
      </c>
      <c r="F747" s="1" t="s">
        <v>9650</v>
      </c>
      <c r="G747" s="1" t="s">
        <v>8957</v>
      </c>
      <c r="H747" t="s">
        <v>8959</v>
      </c>
      <c r="I747" s="1" t="s">
        <v>9252</v>
      </c>
      <c r="J747" s="1" t="s">
        <v>9422</v>
      </c>
      <c r="K747" s="1" t="s">
        <v>9036</v>
      </c>
      <c r="L747" s="1" t="s">
        <v>8987</v>
      </c>
      <c r="M747" s="1">
        <v>120</v>
      </c>
      <c r="N747" s="1" t="s">
        <v>8953</v>
      </c>
      <c r="O747" s="1" t="s">
        <v>8989</v>
      </c>
      <c r="P747" s="1" t="s">
        <v>8955</v>
      </c>
      <c r="Q747" s="1" t="s">
        <v>8956</v>
      </c>
      <c r="R747" s="1" t="s">
        <v>8957</v>
      </c>
      <c r="S747" s="1" t="s">
        <v>8958</v>
      </c>
      <c r="T747" s="1" t="s">
        <v>2107</v>
      </c>
      <c r="U747" s="1" t="s">
        <v>11</v>
      </c>
      <c r="V747" s="1" t="s">
        <v>74</v>
      </c>
      <c r="W747" s="1"/>
    </row>
    <row r="748" spans="1:23" x14ac:dyDescent="0.2">
      <c r="A748" s="88" t="s">
        <v>16142</v>
      </c>
      <c r="B748" s="1" t="e">
        <v>#N/A</v>
      </c>
      <c r="C748" s="1" t="s">
        <v>14164</v>
      </c>
      <c r="D748" s="1" t="s">
        <v>2108</v>
      </c>
      <c r="E748" s="1" t="s">
        <v>2109</v>
      </c>
      <c r="F748" s="1" t="s">
        <v>11671</v>
      </c>
      <c r="G748" s="1" t="s">
        <v>8957</v>
      </c>
      <c r="H748" t="s">
        <v>8959</v>
      </c>
      <c r="I748" s="1" t="s">
        <v>9092</v>
      </c>
      <c r="J748" s="1" t="s">
        <v>8949</v>
      </c>
      <c r="K748" s="1" t="s">
        <v>9036</v>
      </c>
      <c r="L748" s="1" t="s">
        <v>8951</v>
      </c>
      <c r="M748" s="1">
        <v>1347</v>
      </c>
      <c r="N748" s="1" t="s">
        <v>8953</v>
      </c>
      <c r="O748" s="1" t="s">
        <v>8989</v>
      </c>
      <c r="P748" s="1" t="s">
        <v>8955</v>
      </c>
      <c r="Q748" s="1" t="s">
        <v>8956</v>
      </c>
      <c r="R748" s="1" t="s">
        <v>8957</v>
      </c>
      <c r="S748" s="1" t="s">
        <v>9103</v>
      </c>
      <c r="T748" s="1" t="s">
        <v>2110</v>
      </c>
      <c r="U748" s="1" t="s">
        <v>4</v>
      </c>
      <c r="V748" s="1" t="s">
        <v>87</v>
      </c>
      <c r="W748" s="1"/>
    </row>
    <row r="749" spans="1:23" x14ac:dyDescent="0.2">
      <c r="A749" s="89" t="s">
        <v>16143</v>
      </c>
      <c r="B749" s="1" t="e">
        <v>#N/A</v>
      </c>
      <c r="C749" s="1" t="e">
        <v>#N/A</v>
      </c>
      <c r="D749" s="1" t="s">
        <v>2111</v>
      </c>
      <c r="E749" s="1" t="s">
        <v>2112</v>
      </c>
      <c r="F749" s="80" t="e">
        <v>#N/A</v>
      </c>
      <c r="G749" s="1" t="e">
        <v>#N/A</v>
      </c>
      <c r="H749" t="e">
        <v>#N/A</v>
      </c>
      <c r="I749" s="1" t="e">
        <v>#N/A</v>
      </c>
      <c r="J749" s="1" t="e">
        <v>#N/A</v>
      </c>
      <c r="K749" s="1" t="e">
        <v>#N/A</v>
      </c>
      <c r="L749" s="1" t="e">
        <v>#N/A</v>
      </c>
      <c r="M749" s="1" t="e">
        <v>#N/A</v>
      </c>
      <c r="N749" s="1" t="e">
        <v>#N/A</v>
      </c>
      <c r="O749" s="1" t="e">
        <v>#N/A</v>
      </c>
      <c r="P749" s="1" t="e">
        <v>#N/A</v>
      </c>
      <c r="Q749" s="1" t="e">
        <v>#N/A</v>
      </c>
      <c r="R749" s="1">
        <f t="shared" ref="R749:R751" si="214">1+LEN(T749)-LEN(SUBSTITUTE(T749,",",))</f>
        <v>2</v>
      </c>
      <c r="S749" s="1" t="str">
        <f t="shared" ref="S749:S751" si="215">IF(R749&gt;4,IF(R749&lt;8,"4-7",IF(R749&gt;7,"&gt;7")),"&lt;4")</f>
        <v>&lt;4</v>
      </c>
      <c r="T749" s="1" t="s">
        <v>18943</v>
      </c>
      <c r="U749" s="1" t="s">
        <v>17</v>
      </c>
      <c r="V749" s="1" t="s">
        <v>2113</v>
      </c>
      <c r="W749" s="1"/>
    </row>
    <row r="750" spans="1:23" x14ac:dyDescent="0.2">
      <c r="A750" s="88" t="s">
        <v>16144</v>
      </c>
      <c r="B750" s="1" t="e">
        <v>#N/A</v>
      </c>
      <c r="C750" s="1" t="e">
        <v>#N/A</v>
      </c>
      <c r="D750" s="1" t="s">
        <v>2114</v>
      </c>
      <c r="E750" s="1" t="s">
        <v>2115</v>
      </c>
      <c r="F750" s="1" t="s">
        <v>10032</v>
      </c>
      <c r="G750" s="1" t="s">
        <v>8957</v>
      </c>
      <c r="H750" t="s">
        <v>8959</v>
      </c>
      <c r="I750" s="1" t="s">
        <v>9252</v>
      </c>
      <c r="J750" s="1" t="s">
        <v>9725</v>
      </c>
      <c r="K750" s="1" t="s">
        <v>10492</v>
      </c>
      <c r="L750" s="1" t="s">
        <v>8973</v>
      </c>
      <c r="M750" s="1">
        <v>60</v>
      </c>
      <c r="N750" s="1" t="s">
        <v>9059</v>
      </c>
      <c r="O750" s="1" t="s">
        <v>8954</v>
      </c>
      <c r="P750" s="1" t="e">
        <v>#N/A</v>
      </c>
      <c r="Q750" s="1" t="e">
        <v>#N/A</v>
      </c>
      <c r="R750" s="1">
        <f t="shared" si="214"/>
        <v>11</v>
      </c>
      <c r="S750" s="1" t="str">
        <f t="shared" si="215"/>
        <v>&gt;7</v>
      </c>
      <c r="T750" s="1" t="s">
        <v>18944</v>
      </c>
      <c r="U750" s="1" t="s">
        <v>7</v>
      </c>
      <c r="V750" s="1" t="s">
        <v>46</v>
      </c>
      <c r="W750" s="1"/>
    </row>
    <row r="751" spans="1:23" x14ac:dyDescent="0.2">
      <c r="A751" s="88" t="s">
        <v>16145</v>
      </c>
      <c r="B751" s="1" t="e">
        <v>#N/A</v>
      </c>
      <c r="C751" s="1" t="e">
        <v>#N/A</v>
      </c>
      <c r="D751" s="1" t="s">
        <v>2116</v>
      </c>
      <c r="E751" s="1" t="s">
        <v>2117</v>
      </c>
      <c r="F751" s="1" t="s">
        <v>10032</v>
      </c>
      <c r="G751" s="1" t="s">
        <v>8959</v>
      </c>
      <c r="H751" t="s">
        <v>8959</v>
      </c>
      <c r="I751" s="1" t="s">
        <v>8984</v>
      </c>
      <c r="J751" s="1" t="s">
        <v>9131</v>
      </c>
      <c r="K751" s="1" t="s">
        <v>10492</v>
      </c>
      <c r="L751" s="1" t="s">
        <v>8951</v>
      </c>
      <c r="M751" s="1">
        <v>3818</v>
      </c>
      <c r="N751" s="1" t="s">
        <v>8953</v>
      </c>
      <c r="O751" s="1" t="s">
        <v>8954</v>
      </c>
      <c r="P751" s="1" t="e">
        <v>#N/A</v>
      </c>
      <c r="Q751" s="1" t="e">
        <v>#N/A</v>
      </c>
      <c r="R751" s="1">
        <f t="shared" si="214"/>
        <v>8</v>
      </c>
      <c r="S751" s="1" t="str">
        <f t="shared" si="215"/>
        <v>&gt;7</v>
      </c>
      <c r="T751" s="1" t="s">
        <v>18945</v>
      </c>
      <c r="U751" s="1" t="s">
        <v>7</v>
      </c>
      <c r="V751" s="1" t="s">
        <v>64</v>
      </c>
      <c r="W751" s="1"/>
    </row>
    <row r="752" spans="1:23" x14ac:dyDescent="0.2">
      <c r="A752" s="88" t="s">
        <v>16146</v>
      </c>
      <c r="B752" s="1" t="e">
        <v>#N/A</v>
      </c>
      <c r="C752" s="1" t="s">
        <v>13340</v>
      </c>
      <c r="D752" s="1" t="s">
        <v>2118</v>
      </c>
      <c r="E752" s="1" t="s">
        <v>2119</v>
      </c>
      <c r="F752" s="1" t="s">
        <v>9010</v>
      </c>
      <c r="G752" s="1" t="s">
        <v>8957</v>
      </c>
      <c r="H752" t="s">
        <v>8959</v>
      </c>
      <c r="I752" s="1" t="s">
        <v>9092</v>
      </c>
      <c r="J752" s="1" t="s">
        <v>9101</v>
      </c>
      <c r="K752" s="1" t="s">
        <v>10492</v>
      </c>
      <c r="L752" s="1" t="s">
        <v>8973</v>
      </c>
      <c r="M752" s="1">
        <v>1041</v>
      </c>
      <c r="N752" s="1" t="s">
        <v>8953</v>
      </c>
      <c r="O752" s="1" t="s">
        <v>8989</v>
      </c>
      <c r="P752" s="1" t="s">
        <v>8955</v>
      </c>
      <c r="Q752" s="1" t="s">
        <v>8956</v>
      </c>
      <c r="R752" s="1" t="s">
        <v>8957</v>
      </c>
      <c r="S752" s="1" t="s">
        <v>8958</v>
      </c>
      <c r="T752" s="1" t="s">
        <v>2120</v>
      </c>
      <c r="U752" s="1" t="s">
        <v>4</v>
      </c>
      <c r="V752" s="1" t="s">
        <v>2121</v>
      </c>
      <c r="W752" s="1"/>
    </row>
    <row r="753" spans="1:23" x14ac:dyDescent="0.2">
      <c r="A753" s="88" t="s">
        <v>16147</v>
      </c>
      <c r="B753" s="1" t="e">
        <v>#N/A</v>
      </c>
      <c r="C753" s="1" t="s">
        <v>10249</v>
      </c>
      <c r="D753" s="1" t="s">
        <v>2122</v>
      </c>
      <c r="E753" s="1" t="s">
        <v>2123</v>
      </c>
      <c r="F753" s="1" t="s">
        <v>9387</v>
      </c>
      <c r="G753" s="1" t="s">
        <v>8959</v>
      </c>
      <c r="H753" t="s">
        <v>8959</v>
      </c>
      <c r="I753" s="1" t="s">
        <v>9154</v>
      </c>
      <c r="J753" s="1" t="s">
        <v>8998</v>
      </c>
      <c r="K753" s="1" t="s">
        <v>21463</v>
      </c>
      <c r="L753" s="1" t="s">
        <v>8951</v>
      </c>
      <c r="M753" s="1">
        <v>90</v>
      </c>
      <c r="N753" s="1" t="s">
        <v>9059</v>
      </c>
      <c r="O753" s="1" t="s">
        <v>8954</v>
      </c>
      <c r="P753" s="1" t="s">
        <v>8955</v>
      </c>
      <c r="Q753" s="1" t="s">
        <v>8956</v>
      </c>
      <c r="R753" s="1" t="s">
        <v>8959</v>
      </c>
      <c r="S753" s="1" t="s">
        <v>9103</v>
      </c>
      <c r="T753" s="1" t="s">
        <v>2124</v>
      </c>
      <c r="U753" s="1" t="s">
        <v>17</v>
      </c>
      <c r="V753" s="1" t="s">
        <v>93</v>
      </c>
      <c r="W753" s="1"/>
    </row>
    <row r="754" spans="1:23" x14ac:dyDescent="0.2">
      <c r="A754" s="88" t="s">
        <v>16148</v>
      </c>
      <c r="B754" s="1" t="e">
        <v>#N/A</v>
      </c>
      <c r="C754" s="1" t="s">
        <v>9410</v>
      </c>
      <c r="D754" s="1" t="s">
        <v>2125</v>
      </c>
      <c r="E754" s="1" t="s">
        <v>2126</v>
      </c>
      <c r="F754" s="1" t="s">
        <v>9010</v>
      </c>
      <c r="G754" s="1" t="s">
        <v>9060</v>
      </c>
      <c r="H754" t="s">
        <v>8959</v>
      </c>
      <c r="I754" s="1" t="s">
        <v>9154</v>
      </c>
      <c r="J754" s="1" t="s">
        <v>8949</v>
      </c>
      <c r="K754" s="1" t="s">
        <v>9413</v>
      </c>
      <c r="L754" s="1" t="s">
        <v>8987</v>
      </c>
      <c r="M754" s="1">
        <v>4000</v>
      </c>
      <c r="N754" s="1" t="s">
        <v>8953</v>
      </c>
      <c r="O754" s="1" t="s">
        <v>8954</v>
      </c>
      <c r="P754" s="1" t="s">
        <v>9182</v>
      </c>
      <c r="Q754" s="1" t="s">
        <v>8956</v>
      </c>
      <c r="R754" s="1" t="s">
        <v>9060</v>
      </c>
      <c r="S754" s="1" t="s">
        <v>8975</v>
      </c>
      <c r="T754" s="1" t="s">
        <v>2127</v>
      </c>
      <c r="U754" s="1" t="s">
        <v>17</v>
      </c>
      <c r="V754" s="1" t="s">
        <v>580</v>
      </c>
      <c r="W754" s="1"/>
    </row>
    <row r="755" spans="1:23" x14ac:dyDescent="0.2">
      <c r="A755" s="88" t="s">
        <v>16149</v>
      </c>
      <c r="B755" s="1" t="e">
        <v>#N/A</v>
      </c>
      <c r="C755" s="1" t="e">
        <v>#N/A</v>
      </c>
      <c r="D755" s="1" t="s">
        <v>2128</v>
      </c>
      <c r="E755" s="1" t="s">
        <v>2129</v>
      </c>
      <c r="F755" s="1" t="s">
        <v>9310</v>
      </c>
      <c r="G755" s="1" t="s">
        <v>8957</v>
      </c>
      <c r="H755" t="s">
        <v>9061</v>
      </c>
      <c r="I755" s="1" t="s">
        <v>9035</v>
      </c>
      <c r="J755" s="1" t="s">
        <v>8998</v>
      </c>
      <c r="K755" s="1" t="s">
        <v>20779</v>
      </c>
      <c r="L755" s="1" t="s">
        <v>8951</v>
      </c>
      <c r="M755" s="1">
        <v>15</v>
      </c>
      <c r="N755" s="1" t="s">
        <v>9059</v>
      </c>
      <c r="O755" s="1" t="s">
        <v>8989</v>
      </c>
      <c r="P755" s="1" t="e">
        <v>#N/A</v>
      </c>
      <c r="Q755" s="1" t="e">
        <v>#N/A</v>
      </c>
      <c r="R755" s="1">
        <f t="shared" ref="R755:R756" si="216">1+LEN(T755)-LEN(SUBSTITUTE(T755,",",))</f>
        <v>7</v>
      </c>
      <c r="S755" s="1" t="str">
        <f t="shared" ref="S755:S756" si="217">IF(R755&gt;4,IF(R755&lt;8,"4-7",IF(R755&gt;7,"&gt;7")),"&lt;4")</f>
        <v>4-7</v>
      </c>
      <c r="T755" s="1" t="s">
        <v>18946</v>
      </c>
      <c r="U755" s="1" t="s">
        <v>7</v>
      </c>
      <c r="V755" s="1" t="s">
        <v>831</v>
      </c>
      <c r="W755" s="1"/>
    </row>
    <row r="756" spans="1:23" x14ac:dyDescent="0.2">
      <c r="A756" s="88" t="s">
        <v>16150</v>
      </c>
      <c r="B756" s="1" t="e">
        <v>#N/A</v>
      </c>
      <c r="C756" s="1" t="e">
        <v>#N/A</v>
      </c>
      <c r="D756" s="1" t="s">
        <v>2130</v>
      </c>
      <c r="E756" s="1" t="s">
        <v>2131</v>
      </c>
      <c r="F756" s="1" t="s">
        <v>9310</v>
      </c>
      <c r="G756" s="1" t="s">
        <v>9060</v>
      </c>
      <c r="H756" t="s">
        <v>8959</v>
      </c>
      <c r="I756" s="1" t="s">
        <v>20714</v>
      </c>
      <c r="J756" s="1" t="s">
        <v>20725</v>
      </c>
      <c r="K756" s="1" t="s">
        <v>10525</v>
      </c>
      <c r="L756" s="1" t="s">
        <v>8951</v>
      </c>
      <c r="M756" s="1">
        <v>8270</v>
      </c>
      <c r="N756" s="1" t="s">
        <v>8953</v>
      </c>
      <c r="O756" s="1" t="s">
        <v>8989</v>
      </c>
      <c r="P756" s="1" t="e">
        <v>#N/A</v>
      </c>
      <c r="Q756" s="1" t="e">
        <v>#N/A</v>
      </c>
      <c r="R756" s="1">
        <f t="shared" si="216"/>
        <v>10</v>
      </c>
      <c r="S756" s="1" t="str">
        <f t="shared" si="217"/>
        <v>&gt;7</v>
      </c>
      <c r="T756" s="1" t="s">
        <v>18947</v>
      </c>
      <c r="U756" s="1" t="s">
        <v>17</v>
      </c>
      <c r="V756" s="1" t="s">
        <v>443</v>
      </c>
      <c r="W756" s="1"/>
    </row>
    <row r="757" spans="1:23" x14ac:dyDescent="0.2">
      <c r="A757" s="88" t="s">
        <v>16151</v>
      </c>
      <c r="B757" s="1" t="e">
        <v>#N/A</v>
      </c>
      <c r="C757" s="1" t="s">
        <v>12094</v>
      </c>
      <c r="D757" s="1" t="s">
        <v>2132</v>
      </c>
      <c r="E757" s="1" t="s">
        <v>2133</v>
      </c>
      <c r="F757" s="1" t="s">
        <v>10850</v>
      </c>
      <c r="G757" s="1" t="s">
        <v>8957</v>
      </c>
      <c r="H757" t="s">
        <v>9183</v>
      </c>
      <c r="I757" s="1" t="s">
        <v>9049</v>
      </c>
      <c r="J757" s="1" t="s">
        <v>9050</v>
      </c>
      <c r="K757" s="1" t="s">
        <v>12097</v>
      </c>
      <c r="L757" s="1" t="s">
        <v>8973</v>
      </c>
      <c r="M757" s="1">
        <v>650</v>
      </c>
      <c r="N757" s="1" t="s">
        <v>8953</v>
      </c>
      <c r="O757" s="1" t="s">
        <v>8954</v>
      </c>
      <c r="P757" s="1" t="s">
        <v>8955</v>
      </c>
      <c r="Q757" s="1" t="s">
        <v>8956</v>
      </c>
      <c r="R757" s="1" t="s">
        <v>8957</v>
      </c>
      <c r="S757" s="1" t="s">
        <v>8958</v>
      </c>
      <c r="T757" s="1" t="s">
        <v>2134</v>
      </c>
      <c r="U757" s="1" t="s">
        <v>11</v>
      </c>
      <c r="V757" s="1" t="s">
        <v>61</v>
      </c>
      <c r="W757" s="1"/>
    </row>
    <row r="758" spans="1:23" x14ac:dyDescent="0.2">
      <c r="A758" s="88" t="s">
        <v>16152</v>
      </c>
      <c r="B758" s="1" t="e">
        <v>#N/A</v>
      </c>
      <c r="C758" s="1" t="s">
        <v>11893</v>
      </c>
      <c r="D758" s="1" t="s">
        <v>2135</v>
      </c>
      <c r="E758" s="1" t="s">
        <v>2136</v>
      </c>
      <c r="F758" s="1" t="s">
        <v>9310</v>
      </c>
      <c r="G758" s="1" t="s">
        <v>8957</v>
      </c>
      <c r="H758" t="s">
        <v>9183</v>
      </c>
      <c r="I758" s="1" t="s">
        <v>9049</v>
      </c>
      <c r="J758" s="1" t="s">
        <v>9050</v>
      </c>
      <c r="K758" s="1" t="s">
        <v>10218</v>
      </c>
      <c r="L758" s="1" t="s">
        <v>8987</v>
      </c>
      <c r="M758" s="1">
        <v>5783</v>
      </c>
      <c r="N758" s="1" t="s">
        <v>8953</v>
      </c>
      <c r="O758" s="1" t="s">
        <v>8954</v>
      </c>
      <c r="P758" s="1" t="s">
        <v>8955</v>
      </c>
      <c r="Q758" s="1" t="s">
        <v>8956</v>
      </c>
      <c r="R758" s="1" t="s">
        <v>8957</v>
      </c>
      <c r="S758" s="1" t="s">
        <v>8975</v>
      </c>
      <c r="T758" s="1" t="s">
        <v>2137</v>
      </c>
      <c r="U758" s="1" t="s">
        <v>11</v>
      </c>
      <c r="V758" s="1" t="s">
        <v>61</v>
      </c>
      <c r="W758" s="1"/>
    </row>
    <row r="759" spans="1:23" x14ac:dyDescent="0.2">
      <c r="A759" s="88" t="s">
        <v>16153</v>
      </c>
      <c r="B759" s="1" t="e">
        <v>#N/A</v>
      </c>
      <c r="C759" s="1" t="e">
        <v>#N/A</v>
      </c>
      <c r="D759" s="1" t="s">
        <v>2138</v>
      </c>
      <c r="E759" s="1" t="s">
        <v>2139</v>
      </c>
      <c r="F759" s="1" t="s">
        <v>18502</v>
      </c>
      <c r="G759" s="1" t="s">
        <v>8957</v>
      </c>
      <c r="H759" t="s">
        <v>8959</v>
      </c>
      <c r="I759" s="1" t="s">
        <v>9092</v>
      </c>
      <c r="J759" s="1" t="s">
        <v>8949</v>
      </c>
      <c r="K759" s="1" t="s">
        <v>10525</v>
      </c>
      <c r="L759" s="1" t="s">
        <v>9076</v>
      </c>
      <c r="M759" s="1">
        <v>1280</v>
      </c>
      <c r="N759" s="1" t="s">
        <v>8953</v>
      </c>
      <c r="O759" s="1" t="s">
        <v>8989</v>
      </c>
      <c r="P759" s="1" t="e">
        <v>#N/A</v>
      </c>
      <c r="Q759" s="1" t="e">
        <v>#N/A</v>
      </c>
      <c r="R759" s="1">
        <f t="shared" ref="R759:R760" si="218">1+LEN(T759)-LEN(SUBSTITUTE(T759,",",))</f>
        <v>7</v>
      </c>
      <c r="S759" s="1" t="str">
        <f t="shared" ref="S759:S760" si="219">IF(R759&gt;4,IF(R759&lt;8,"4-7",IF(R759&gt;7,"&gt;7")),"&lt;4")</f>
        <v>4-7</v>
      </c>
      <c r="T759" s="1" t="s">
        <v>18948</v>
      </c>
      <c r="U759" s="1" t="s">
        <v>17</v>
      </c>
      <c r="V759" s="1" t="s">
        <v>93</v>
      </c>
      <c r="W759" s="1"/>
    </row>
    <row r="760" spans="1:23" x14ac:dyDescent="0.2">
      <c r="A760" s="88" t="s">
        <v>16154</v>
      </c>
      <c r="B760" s="1" t="e">
        <v>#N/A</v>
      </c>
      <c r="C760" s="1" t="e">
        <v>#N/A</v>
      </c>
      <c r="D760" s="1" t="s">
        <v>2140</v>
      </c>
      <c r="E760" s="1" t="s">
        <v>2141</v>
      </c>
      <c r="F760" s="1" t="s">
        <v>18502</v>
      </c>
      <c r="G760" s="1" t="s">
        <v>8959</v>
      </c>
      <c r="H760" t="s">
        <v>9061</v>
      </c>
      <c r="I760" s="1" t="s">
        <v>8984</v>
      </c>
      <c r="J760" s="1" t="s">
        <v>8949</v>
      </c>
      <c r="K760" s="1" t="s">
        <v>10525</v>
      </c>
      <c r="L760" s="1" t="s">
        <v>8951</v>
      </c>
      <c r="M760" s="1">
        <v>43</v>
      </c>
      <c r="N760" s="1" t="s">
        <v>9059</v>
      </c>
      <c r="O760" s="1" t="s">
        <v>8989</v>
      </c>
      <c r="P760" s="1" t="e">
        <v>#N/A</v>
      </c>
      <c r="Q760" s="1" t="e">
        <v>#N/A</v>
      </c>
      <c r="R760" s="1">
        <f t="shared" si="218"/>
        <v>9</v>
      </c>
      <c r="S760" s="1" t="str">
        <f t="shared" si="219"/>
        <v>&gt;7</v>
      </c>
      <c r="T760" s="1" t="s">
        <v>18949</v>
      </c>
      <c r="U760" s="1" t="s">
        <v>7</v>
      </c>
      <c r="V760" s="1" t="s">
        <v>378</v>
      </c>
      <c r="W760" s="1"/>
    </row>
    <row r="761" spans="1:23" x14ac:dyDescent="0.2">
      <c r="A761" s="88" t="s">
        <v>16155</v>
      </c>
      <c r="B761" s="1" t="e">
        <v>#N/A</v>
      </c>
      <c r="C761" s="1" t="s">
        <v>12490</v>
      </c>
      <c r="D761" s="1" t="s">
        <v>2142</v>
      </c>
      <c r="E761" s="1" t="s">
        <v>2143</v>
      </c>
      <c r="F761" s="1" t="s">
        <v>9310</v>
      </c>
      <c r="G761" s="1" t="s">
        <v>8957</v>
      </c>
      <c r="H761" t="s">
        <v>8959</v>
      </c>
      <c r="I761" s="1" t="s">
        <v>8984</v>
      </c>
      <c r="J761" s="1" t="s">
        <v>8998</v>
      </c>
      <c r="K761" s="1" t="s">
        <v>9036</v>
      </c>
      <c r="L761" s="1" t="s">
        <v>9133</v>
      </c>
      <c r="M761" s="1">
        <v>30208</v>
      </c>
      <c r="N761" s="1" t="s">
        <v>8953</v>
      </c>
      <c r="O761" s="1" t="s">
        <v>8954</v>
      </c>
      <c r="P761" s="1" t="s">
        <v>8955</v>
      </c>
      <c r="Q761" s="1" t="s">
        <v>8956</v>
      </c>
      <c r="R761" s="1" t="s">
        <v>8957</v>
      </c>
      <c r="S761" s="1" t="s">
        <v>8975</v>
      </c>
      <c r="T761" s="1" t="s">
        <v>2144</v>
      </c>
      <c r="U761" s="1" t="s">
        <v>11</v>
      </c>
      <c r="V761" s="1" t="s">
        <v>2145</v>
      </c>
      <c r="W761" s="1"/>
    </row>
    <row r="762" spans="1:23" x14ac:dyDescent="0.2">
      <c r="A762" s="88" t="s">
        <v>16156</v>
      </c>
      <c r="B762" s="1" t="e">
        <v>#N/A</v>
      </c>
      <c r="C762" s="1" t="s">
        <v>10306</v>
      </c>
      <c r="D762" s="1" t="s">
        <v>2146</v>
      </c>
      <c r="E762" s="1" t="s">
        <v>2147</v>
      </c>
      <c r="F762" s="1" t="s">
        <v>9310</v>
      </c>
      <c r="G762" s="1" t="s">
        <v>8957</v>
      </c>
      <c r="H762" t="s">
        <v>9061</v>
      </c>
      <c r="I762" s="1" t="s">
        <v>8984</v>
      </c>
      <c r="J762" s="1" t="s">
        <v>9155</v>
      </c>
      <c r="K762" s="1" t="s">
        <v>10309</v>
      </c>
      <c r="L762" s="1" t="s">
        <v>9133</v>
      </c>
      <c r="M762" s="1">
        <v>3540</v>
      </c>
      <c r="N762" s="1" t="s">
        <v>8953</v>
      </c>
      <c r="O762" s="1" t="s">
        <v>8989</v>
      </c>
      <c r="P762" s="1" t="s">
        <v>8955</v>
      </c>
      <c r="Q762" s="1" t="s">
        <v>8956</v>
      </c>
      <c r="R762" s="1" t="s">
        <v>8957</v>
      </c>
      <c r="S762" s="1" t="s">
        <v>8958</v>
      </c>
      <c r="T762" s="1" t="s">
        <v>2148</v>
      </c>
      <c r="U762" s="1" t="s">
        <v>17</v>
      </c>
      <c r="V762" s="1" t="s">
        <v>2149</v>
      </c>
      <c r="W762" s="1"/>
    </row>
    <row r="763" spans="1:23" x14ac:dyDescent="0.2">
      <c r="A763" s="88" t="s">
        <v>16157</v>
      </c>
      <c r="B763" s="1" t="e">
        <v>#N/A</v>
      </c>
      <c r="C763" s="1" t="s">
        <v>12383</v>
      </c>
      <c r="D763" s="1" t="s">
        <v>2150</v>
      </c>
      <c r="E763" s="1" t="s">
        <v>2151</v>
      </c>
      <c r="F763" s="1" t="s">
        <v>12387</v>
      </c>
      <c r="G763" s="1" t="s">
        <v>8957</v>
      </c>
      <c r="H763" t="s">
        <v>9183</v>
      </c>
      <c r="I763" s="1" t="s">
        <v>9154</v>
      </c>
      <c r="J763" s="1" t="s">
        <v>9422</v>
      </c>
      <c r="K763" s="1" t="s">
        <v>12386</v>
      </c>
      <c r="L763" s="1" t="s">
        <v>8973</v>
      </c>
      <c r="M763" s="1">
        <v>72</v>
      </c>
      <c r="N763" s="1" t="s">
        <v>8953</v>
      </c>
      <c r="O763" s="1" t="s">
        <v>8989</v>
      </c>
      <c r="P763" s="1" t="s">
        <v>8955</v>
      </c>
      <c r="Q763" s="1" t="s">
        <v>8956</v>
      </c>
      <c r="R763" s="1" t="s">
        <v>8957</v>
      </c>
      <c r="S763" s="1" t="s">
        <v>8958</v>
      </c>
      <c r="T763" s="1" t="s">
        <v>2152</v>
      </c>
      <c r="U763" s="1" t="s">
        <v>11</v>
      </c>
      <c r="V763" s="1" t="s">
        <v>74</v>
      </c>
      <c r="W763" s="1"/>
    </row>
    <row r="764" spans="1:23" x14ac:dyDescent="0.2">
      <c r="A764" s="89" t="s">
        <v>2153</v>
      </c>
      <c r="B764" s="1" t="e">
        <v>#N/A</v>
      </c>
      <c r="C764" s="1" t="e">
        <v>#N/A</v>
      </c>
      <c r="D764" s="5" t="s">
        <v>2154</v>
      </c>
      <c r="E764" s="1" t="s">
        <v>2155</v>
      </c>
      <c r="F764" s="1" t="e">
        <v>#N/A</v>
      </c>
      <c r="G764" s="1" t="e">
        <v>#N/A</v>
      </c>
      <c r="H764" t="e">
        <v>#N/A</v>
      </c>
      <c r="I764" s="1" t="e">
        <v>#N/A</v>
      </c>
      <c r="J764" s="1" t="e">
        <v>#N/A</v>
      </c>
      <c r="K764" s="1" t="e">
        <v>#N/A</v>
      </c>
      <c r="L764" s="1" t="e">
        <v>#N/A</v>
      </c>
      <c r="M764" s="1" t="e">
        <v>#N/A</v>
      </c>
      <c r="N764" s="1" t="e">
        <v>#N/A</v>
      </c>
      <c r="O764" s="1" t="e">
        <v>#N/A</v>
      </c>
      <c r="P764" s="1" t="e">
        <v>#N/A</v>
      </c>
      <c r="Q764" s="1" t="e">
        <v>#N/A</v>
      </c>
      <c r="R764" s="1">
        <f t="shared" ref="R764:R765" si="220">1+LEN(T764)-LEN(SUBSTITUTE(T764,",",))</f>
        <v>6</v>
      </c>
      <c r="S764" s="1" t="str">
        <f t="shared" ref="S764:S765" si="221">IF(R764&gt;4,IF(R764&lt;8,"4-7",IF(R764&gt;7,"&gt;7")),"&lt;4")</f>
        <v>4-7</v>
      </c>
      <c r="T764" s="1" t="s">
        <v>18950</v>
      </c>
      <c r="U764" s="1" t="s">
        <v>7</v>
      </c>
      <c r="V764" s="1" t="s">
        <v>378</v>
      </c>
      <c r="W764" s="1"/>
    </row>
    <row r="765" spans="1:23" x14ac:dyDescent="0.2">
      <c r="A765" s="88" t="s">
        <v>16158</v>
      </c>
      <c r="B765" s="1" t="e">
        <v>#N/A</v>
      </c>
      <c r="C765" s="1" t="e">
        <v>#N/A</v>
      </c>
      <c r="D765" s="1" t="s">
        <v>2156</v>
      </c>
      <c r="E765" s="1" t="s">
        <v>2157</v>
      </c>
      <c r="F765" s="1" t="s">
        <v>18502</v>
      </c>
      <c r="G765" s="1" t="s">
        <v>8957</v>
      </c>
      <c r="H765" t="s">
        <v>9061</v>
      </c>
      <c r="I765" s="1" t="s">
        <v>9035</v>
      </c>
      <c r="J765" s="1" t="s">
        <v>8998</v>
      </c>
      <c r="K765" s="1" t="s">
        <v>20785</v>
      </c>
      <c r="L765" s="1" t="s">
        <v>9464</v>
      </c>
      <c r="M765" s="1">
        <v>20</v>
      </c>
      <c r="N765" s="1" t="s">
        <v>9059</v>
      </c>
      <c r="O765" s="1" t="s">
        <v>8954</v>
      </c>
      <c r="P765" s="1" t="e">
        <v>#N/A</v>
      </c>
      <c r="Q765" s="1" t="e">
        <v>#N/A</v>
      </c>
      <c r="R765" s="1">
        <f t="shared" si="220"/>
        <v>8</v>
      </c>
      <c r="S765" s="1" t="str">
        <f t="shared" si="221"/>
        <v>&gt;7</v>
      </c>
      <c r="T765" s="1" t="s">
        <v>18951</v>
      </c>
      <c r="U765" s="1" t="s">
        <v>7</v>
      </c>
      <c r="V765" s="1" t="s">
        <v>93</v>
      </c>
      <c r="W765" s="1"/>
    </row>
    <row r="766" spans="1:23" x14ac:dyDescent="0.2">
      <c r="A766" s="88" t="s">
        <v>16159</v>
      </c>
      <c r="B766" s="1" t="e">
        <v>#N/A</v>
      </c>
      <c r="C766" s="1" t="s">
        <v>11441</v>
      </c>
      <c r="D766" s="1" t="s">
        <v>2158</v>
      </c>
      <c r="E766" s="1" t="s">
        <v>2159</v>
      </c>
      <c r="F766" s="1" t="s">
        <v>9010</v>
      </c>
      <c r="G766" s="1" t="s">
        <v>8957</v>
      </c>
      <c r="H766" t="s">
        <v>9061</v>
      </c>
      <c r="I766" s="1" t="s">
        <v>9100</v>
      </c>
      <c r="J766" s="1" t="s">
        <v>8949</v>
      </c>
      <c r="K766" s="1" t="s">
        <v>9036</v>
      </c>
      <c r="L766" s="1" t="s">
        <v>8973</v>
      </c>
      <c r="M766" s="1">
        <v>120</v>
      </c>
      <c r="N766" s="1" t="s">
        <v>8953</v>
      </c>
      <c r="O766" s="1" t="s">
        <v>8954</v>
      </c>
      <c r="P766" s="1" t="s">
        <v>8955</v>
      </c>
      <c r="Q766" s="1" t="s">
        <v>8956</v>
      </c>
      <c r="R766" s="1" t="s">
        <v>8957</v>
      </c>
      <c r="S766" s="1" t="s">
        <v>8975</v>
      </c>
      <c r="T766" s="1" t="s">
        <v>2160</v>
      </c>
      <c r="U766" s="1" t="s">
        <v>11</v>
      </c>
      <c r="V766" s="1" t="s">
        <v>93</v>
      </c>
      <c r="W766" s="1"/>
    </row>
    <row r="767" spans="1:23" x14ac:dyDescent="0.2">
      <c r="A767" s="88" t="s">
        <v>16160</v>
      </c>
      <c r="B767" s="1" t="e">
        <v>#N/A</v>
      </c>
      <c r="C767" s="1" t="e">
        <v>#N/A</v>
      </c>
      <c r="D767" s="1" t="s">
        <v>2161</v>
      </c>
      <c r="E767" s="1" t="s">
        <v>2162</v>
      </c>
      <c r="F767" s="1" t="s">
        <v>9310</v>
      </c>
      <c r="G767" s="1" t="s">
        <v>8957</v>
      </c>
      <c r="H767" t="s">
        <v>8959</v>
      </c>
      <c r="I767" s="1" t="s">
        <v>9092</v>
      </c>
      <c r="J767" s="1" t="s">
        <v>20800</v>
      </c>
      <c r="K767" s="1" t="s">
        <v>18497</v>
      </c>
      <c r="L767" s="1" t="s">
        <v>8987</v>
      </c>
      <c r="M767" s="1">
        <v>1144</v>
      </c>
      <c r="N767" s="1" t="s">
        <v>8953</v>
      </c>
      <c r="O767" s="1" t="s">
        <v>8989</v>
      </c>
      <c r="P767" s="1" t="e">
        <v>#N/A</v>
      </c>
      <c r="Q767" s="1" t="e">
        <v>#N/A</v>
      </c>
      <c r="R767" s="1">
        <f t="shared" ref="R767:R770" si="222">1+LEN(T767)-LEN(SUBSTITUTE(T767,",",))</f>
        <v>5</v>
      </c>
      <c r="S767" s="1" t="str">
        <f t="shared" ref="S767:S770" si="223">IF(R767&gt;4,IF(R767&lt;8,"4-7",IF(R767&gt;7,"&gt;7")),"&lt;4")</f>
        <v>4-7</v>
      </c>
      <c r="T767" s="1" t="s">
        <v>18952</v>
      </c>
      <c r="U767" s="1" t="s">
        <v>7</v>
      </c>
      <c r="V767" s="1" t="s">
        <v>93</v>
      </c>
      <c r="W767" s="1"/>
    </row>
    <row r="768" spans="1:23" x14ac:dyDescent="0.2">
      <c r="A768" s="89" t="s">
        <v>16161</v>
      </c>
      <c r="B768" s="1" t="e">
        <v>#N/A</v>
      </c>
      <c r="C768" s="1" t="e">
        <v>#N/A</v>
      </c>
      <c r="D768" s="1" t="s">
        <v>2163</v>
      </c>
      <c r="E768" s="1" t="s">
        <v>2164</v>
      </c>
      <c r="F768" s="1" t="e">
        <v>#N/A</v>
      </c>
      <c r="G768" s="1" t="e">
        <v>#N/A</v>
      </c>
      <c r="H768" t="e">
        <v>#N/A</v>
      </c>
      <c r="I768" s="1" t="e">
        <v>#N/A</v>
      </c>
      <c r="J768" s="1" t="e">
        <v>#N/A</v>
      </c>
      <c r="K768" s="1" t="e">
        <v>#N/A</v>
      </c>
      <c r="L768" s="1" t="e">
        <v>#N/A</v>
      </c>
      <c r="M768" s="1" t="e">
        <v>#N/A</v>
      </c>
      <c r="N768" s="1" t="e">
        <v>#N/A</v>
      </c>
      <c r="O768" s="1" t="e">
        <v>#N/A</v>
      </c>
      <c r="P768" s="1" t="e">
        <v>#N/A</v>
      </c>
      <c r="Q768" s="1" t="e">
        <v>#N/A</v>
      </c>
      <c r="R768" s="1">
        <f t="shared" si="222"/>
        <v>2</v>
      </c>
      <c r="S768" s="1" t="str">
        <f t="shared" si="223"/>
        <v>&lt;4</v>
      </c>
      <c r="T768" s="1" t="s">
        <v>18953</v>
      </c>
      <c r="U768" s="1" t="s">
        <v>7</v>
      </c>
      <c r="V768" s="1" t="s">
        <v>1303</v>
      </c>
      <c r="W768" s="1"/>
    </row>
    <row r="769" spans="1:23" x14ac:dyDescent="0.2">
      <c r="A769" s="88" t="s">
        <v>16162</v>
      </c>
      <c r="B769" s="1" t="e">
        <v>#N/A</v>
      </c>
      <c r="C769" s="1" t="e">
        <v>#N/A</v>
      </c>
      <c r="D769" s="1" t="s">
        <v>2165</v>
      </c>
      <c r="E769" s="1" t="s">
        <v>2166</v>
      </c>
      <c r="F769" s="1" t="e">
        <v>#N/A</v>
      </c>
      <c r="G769" s="1" t="e">
        <v>#N/A</v>
      </c>
      <c r="H769" t="e">
        <v>#N/A</v>
      </c>
      <c r="I769" s="1" t="e">
        <v>#N/A</v>
      </c>
      <c r="J769" s="1" t="e">
        <v>#N/A</v>
      </c>
      <c r="K769" s="1" t="e">
        <v>#N/A</v>
      </c>
      <c r="L769" s="1" t="e">
        <v>#N/A</v>
      </c>
      <c r="M769" s="1" t="e">
        <v>#N/A</v>
      </c>
      <c r="N769" s="1" t="e">
        <v>#N/A</v>
      </c>
      <c r="O769" s="1" t="e">
        <v>#N/A</v>
      </c>
      <c r="P769" s="1" t="e">
        <v>#N/A</v>
      </c>
      <c r="Q769" s="1" t="e">
        <v>#N/A</v>
      </c>
      <c r="R769" s="1">
        <f t="shared" si="222"/>
        <v>6</v>
      </c>
      <c r="S769" s="1" t="str">
        <f t="shared" si="223"/>
        <v>4-7</v>
      </c>
      <c r="T769" s="1" t="s">
        <v>18954</v>
      </c>
      <c r="U769" s="1" t="s">
        <v>252</v>
      </c>
      <c r="V769" s="1" t="s">
        <v>286</v>
      </c>
      <c r="W769" s="1"/>
    </row>
    <row r="770" spans="1:23" x14ac:dyDescent="0.2">
      <c r="A770" s="88" t="s">
        <v>16163</v>
      </c>
      <c r="B770" s="1" t="e">
        <v>#N/A</v>
      </c>
      <c r="C770" s="1" t="e">
        <v>#N/A</v>
      </c>
      <c r="D770" s="1" t="s">
        <v>2167</v>
      </c>
      <c r="E770" s="1" t="s">
        <v>2168</v>
      </c>
      <c r="F770" s="1" t="s">
        <v>18502</v>
      </c>
      <c r="G770" s="1" t="s">
        <v>8959</v>
      </c>
      <c r="H770" t="s">
        <v>9061</v>
      </c>
      <c r="I770" s="1" t="s">
        <v>9605</v>
      </c>
      <c r="J770" s="1" t="s">
        <v>9725</v>
      </c>
      <c r="K770" s="1" t="s">
        <v>21224</v>
      </c>
      <c r="L770" s="1" t="s">
        <v>9133</v>
      </c>
      <c r="M770" s="1">
        <v>2160</v>
      </c>
      <c r="N770" s="1" t="s">
        <v>8953</v>
      </c>
      <c r="O770" s="1" t="s">
        <v>8989</v>
      </c>
      <c r="P770" s="1" t="e">
        <v>#N/A</v>
      </c>
      <c r="Q770" s="1" t="e">
        <v>#N/A</v>
      </c>
      <c r="R770" s="1">
        <f t="shared" si="222"/>
        <v>6</v>
      </c>
      <c r="S770" s="1" t="str">
        <f t="shared" si="223"/>
        <v>4-7</v>
      </c>
      <c r="T770" s="1" t="s">
        <v>20582</v>
      </c>
      <c r="U770" s="1" t="s">
        <v>7</v>
      </c>
      <c r="V770" s="1" t="s">
        <v>831</v>
      </c>
      <c r="W770" s="1"/>
    </row>
    <row r="771" spans="1:23" x14ac:dyDescent="0.2">
      <c r="A771" s="88" t="s">
        <v>16164</v>
      </c>
      <c r="B771" s="1" t="e">
        <v>#N/A</v>
      </c>
      <c r="C771" s="1" t="s">
        <v>10132</v>
      </c>
      <c r="D771" s="1" t="s">
        <v>2169</v>
      </c>
      <c r="E771" s="1" t="s">
        <v>2170</v>
      </c>
      <c r="F771" s="1" t="s">
        <v>9333</v>
      </c>
      <c r="G771" s="1" t="s">
        <v>8957</v>
      </c>
      <c r="H771" t="s">
        <v>9061</v>
      </c>
      <c r="I771" s="1" t="s">
        <v>9252</v>
      </c>
      <c r="J771" s="1" t="s">
        <v>8971</v>
      </c>
      <c r="K771" s="1" t="s">
        <v>10135</v>
      </c>
      <c r="L771" s="1" t="s">
        <v>9292</v>
      </c>
      <c r="M771" s="1">
        <v>947</v>
      </c>
      <c r="N771" s="1" t="s">
        <v>8953</v>
      </c>
      <c r="O771" s="1" t="s">
        <v>8989</v>
      </c>
      <c r="P771" s="1" t="s">
        <v>8955</v>
      </c>
      <c r="Q771" s="1" t="s">
        <v>8956</v>
      </c>
      <c r="R771" s="1" t="s">
        <v>8957</v>
      </c>
      <c r="S771" s="1" t="s">
        <v>8975</v>
      </c>
      <c r="T771" s="1" t="s">
        <v>2171</v>
      </c>
      <c r="U771" s="1" t="s">
        <v>17</v>
      </c>
      <c r="V771" s="1" t="s">
        <v>2172</v>
      </c>
      <c r="W771" s="1"/>
    </row>
    <row r="772" spans="1:23" x14ac:dyDescent="0.2">
      <c r="A772" s="89" t="s">
        <v>2173</v>
      </c>
      <c r="B772" s="1" t="e">
        <v>#N/A</v>
      </c>
      <c r="C772" s="1" t="e">
        <v>#N/A</v>
      </c>
      <c r="D772" s="5" t="s">
        <v>2174</v>
      </c>
      <c r="E772" s="1" t="s">
        <v>2175</v>
      </c>
      <c r="F772" s="1" t="e">
        <v>#N/A</v>
      </c>
      <c r="G772" s="1" t="e">
        <v>#N/A</v>
      </c>
      <c r="H772" t="e">
        <v>#N/A</v>
      </c>
      <c r="I772" s="1" t="e">
        <v>#N/A</v>
      </c>
      <c r="J772" s="1" t="e">
        <v>#N/A</v>
      </c>
      <c r="K772" s="1" t="e">
        <v>#N/A</v>
      </c>
      <c r="L772" s="1" t="e">
        <v>#N/A</v>
      </c>
      <c r="M772" s="1" t="e">
        <v>#N/A</v>
      </c>
      <c r="N772" s="1" t="e">
        <v>#N/A</v>
      </c>
      <c r="O772" s="1" t="e">
        <v>#N/A</v>
      </c>
      <c r="P772" s="1" t="e">
        <v>#N/A</v>
      </c>
      <c r="Q772" s="1" t="e">
        <v>#N/A</v>
      </c>
      <c r="R772" s="1">
        <f t="shared" ref="R772:R788" si="224">1+LEN(T772)-LEN(SUBSTITUTE(T772,",",))</f>
        <v>13</v>
      </c>
      <c r="S772" s="1" t="str">
        <f t="shared" ref="S772:S788" si="225">IF(R772&gt;4,IF(R772&lt;8,"4-7",IF(R772&gt;7,"&gt;7")),"&lt;4")</f>
        <v>&gt;7</v>
      </c>
      <c r="T772" s="1" t="s">
        <v>18955</v>
      </c>
      <c r="U772" s="1" t="s">
        <v>7</v>
      </c>
      <c r="V772" s="1" t="s">
        <v>2024</v>
      </c>
      <c r="W772" s="1"/>
    </row>
    <row r="773" spans="1:23" x14ac:dyDescent="0.2">
      <c r="A773" s="88" t="s">
        <v>16165</v>
      </c>
      <c r="B773" s="1" t="e">
        <v>#N/A</v>
      </c>
      <c r="C773" s="1" t="e">
        <v>#N/A</v>
      </c>
      <c r="D773" s="1" t="s">
        <v>2176</v>
      </c>
      <c r="E773" s="1" t="s">
        <v>2177</v>
      </c>
      <c r="F773" s="1" t="s">
        <v>9333</v>
      </c>
      <c r="G773" s="1" t="s">
        <v>8959</v>
      </c>
      <c r="H773" t="s">
        <v>9009</v>
      </c>
      <c r="I773" s="1" t="s">
        <v>9173</v>
      </c>
      <c r="J773" s="1" t="s">
        <v>8959</v>
      </c>
      <c r="K773" s="1" t="s">
        <v>20735</v>
      </c>
      <c r="L773" s="1" t="s">
        <v>8987</v>
      </c>
      <c r="M773" s="1">
        <v>4867</v>
      </c>
      <c r="N773" s="1" t="s">
        <v>8953</v>
      </c>
      <c r="O773" s="1" t="s">
        <v>8989</v>
      </c>
      <c r="P773" s="1" t="e">
        <v>#N/A</v>
      </c>
      <c r="Q773" s="1" t="e">
        <v>#N/A</v>
      </c>
      <c r="R773" s="1">
        <f t="shared" si="224"/>
        <v>10</v>
      </c>
      <c r="S773" s="1" t="str">
        <f t="shared" si="225"/>
        <v>&gt;7</v>
      </c>
      <c r="T773" s="1" t="s">
        <v>18956</v>
      </c>
      <c r="U773" s="1" t="s">
        <v>17</v>
      </c>
      <c r="V773" s="1" t="s">
        <v>2178</v>
      </c>
      <c r="W773" s="1"/>
    </row>
    <row r="774" spans="1:23" x14ac:dyDescent="0.2">
      <c r="A774" s="89" t="s">
        <v>2179</v>
      </c>
      <c r="B774" s="1" t="e">
        <v>#N/A</v>
      </c>
      <c r="C774" s="1" t="e">
        <v>#N/A</v>
      </c>
      <c r="D774" s="5" t="s">
        <v>2180</v>
      </c>
      <c r="E774" s="1" t="s">
        <v>2181</v>
      </c>
      <c r="F774" s="1" t="e">
        <v>#N/A</v>
      </c>
      <c r="G774" s="1" t="e">
        <v>#N/A</v>
      </c>
      <c r="H774" t="e">
        <v>#N/A</v>
      </c>
      <c r="I774" s="1" t="e">
        <v>#N/A</v>
      </c>
      <c r="J774" s="1" t="e">
        <v>#N/A</v>
      </c>
      <c r="K774" s="1" t="e">
        <v>#N/A</v>
      </c>
      <c r="L774" s="1" t="e">
        <v>#N/A</v>
      </c>
      <c r="M774" s="1" t="e">
        <v>#N/A</v>
      </c>
      <c r="N774" s="1" t="e">
        <v>#N/A</v>
      </c>
      <c r="O774" s="1" t="e">
        <v>#N/A</v>
      </c>
      <c r="P774" s="1" t="e">
        <v>#N/A</v>
      </c>
      <c r="Q774" s="1" t="e">
        <v>#N/A</v>
      </c>
      <c r="R774" s="1">
        <f t="shared" si="224"/>
        <v>1</v>
      </c>
      <c r="S774" s="1" t="str">
        <f t="shared" si="225"/>
        <v>&lt;4</v>
      </c>
      <c r="T774" s="1" t="s">
        <v>2182</v>
      </c>
      <c r="U774" s="1" t="s">
        <v>7</v>
      </c>
      <c r="V774" s="1" t="s">
        <v>2183</v>
      </c>
      <c r="W774" s="1"/>
    </row>
    <row r="775" spans="1:23" x14ac:dyDescent="0.2">
      <c r="A775" s="88" t="s">
        <v>16166</v>
      </c>
      <c r="B775" s="1" t="e">
        <v>#N/A</v>
      </c>
      <c r="C775" s="1" t="e">
        <v>#N/A</v>
      </c>
      <c r="D775" s="1" t="s">
        <v>2184</v>
      </c>
      <c r="E775" s="1" t="s">
        <v>2185</v>
      </c>
      <c r="F775" s="1" t="s">
        <v>9333</v>
      </c>
      <c r="G775" s="1" t="s">
        <v>8957</v>
      </c>
      <c r="H775" t="s">
        <v>9061</v>
      </c>
      <c r="I775" s="1" t="s">
        <v>8948</v>
      </c>
      <c r="J775" s="1" t="s">
        <v>8949</v>
      </c>
      <c r="K775" s="1" t="s">
        <v>10492</v>
      </c>
      <c r="L775" s="1" t="s">
        <v>9076</v>
      </c>
      <c r="M775" s="1">
        <v>15</v>
      </c>
      <c r="N775" s="1" t="s">
        <v>9059</v>
      </c>
      <c r="O775" s="1" t="s">
        <v>8989</v>
      </c>
      <c r="P775" s="1" t="e">
        <v>#N/A</v>
      </c>
      <c r="Q775" s="1" t="e">
        <v>#N/A</v>
      </c>
      <c r="R775" s="1">
        <f t="shared" si="224"/>
        <v>15</v>
      </c>
      <c r="S775" s="1" t="str">
        <f t="shared" si="225"/>
        <v>&gt;7</v>
      </c>
      <c r="T775" s="1" t="s">
        <v>20583</v>
      </c>
      <c r="U775" s="1" t="s">
        <v>7</v>
      </c>
      <c r="V775" s="1" t="s">
        <v>666</v>
      </c>
      <c r="W775" s="1"/>
    </row>
    <row r="776" spans="1:23" x14ac:dyDescent="0.2">
      <c r="A776" s="88" t="s">
        <v>16167</v>
      </c>
      <c r="B776" s="1" t="e">
        <v>#N/A</v>
      </c>
      <c r="C776" s="1" t="e">
        <v>#N/A</v>
      </c>
      <c r="D776" s="1" t="s">
        <v>2186</v>
      </c>
      <c r="E776" s="1" t="s">
        <v>2187</v>
      </c>
      <c r="F776" s="1" t="s">
        <v>9333</v>
      </c>
      <c r="G776" s="1" t="s">
        <v>8959</v>
      </c>
      <c r="H776" t="s">
        <v>9061</v>
      </c>
      <c r="I776" s="1" t="s">
        <v>9605</v>
      </c>
      <c r="J776" s="1" t="s">
        <v>9308</v>
      </c>
      <c r="K776" s="1" t="s">
        <v>21225</v>
      </c>
      <c r="L776" s="1" t="s">
        <v>8987</v>
      </c>
      <c r="M776" s="1">
        <v>600</v>
      </c>
      <c r="N776" s="1" t="s">
        <v>8953</v>
      </c>
      <c r="O776" s="1" t="s">
        <v>8989</v>
      </c>
      <c r="P776" s="1" t="e">
        <v>#N/A</v>
      </c>
      <c r="Q776" s="1" t="e">
        <v>#N/A</v>
      </c>
      <c r="R776" s="1">
        <f t="shared" si="224"/>
        <v>10</v>
      </c>
      <c r="S776" s="1" t="str">
        <f t="shared" si="225"/>
        <v>&gt;7</v>
      </c>
      <c r="T776" s="1" t="s">
        <v>18957</v>
      </c>
      <c r="U776" s="1" t="s">
        <v>7</v>
      </c>
      <c r="V776" s="1" t="s">
        <v>413</v>
      </c>
      <c r="W776" s="1"/>
    </row>
    <row r="777" spans="1:23" x14ac:dyDescent="0.2">
      <c r="A777" s="88" t="s">
        <v>16168</v>
      </c>
      <c r="B777" s="1" t="e">
        <v>#N/A</v>
      </c>
      <c r="C777" s="1" t="e">
        <v>#N/A</v>
      </c>
      <c r="D777" s="1" t="s">
        <v>2188</v>
      </c>
      <c r="E777" s="1" t="s">
        <v>2189</v>
      </c>
      <c r="F777" s="1" t="s">
        <v>9333</v>
      </c>
      <c r="G777" s="1" t="s">
        <v>8959</v>
      </c>
      <c r="H777" t="s">
        <v>9061</v>
      </c>
      <c r="I777" s="1" t="s">
        <v>9605</v>
      </c>
      <c r="J777" s="1" t="s">
        <v>9308</v>
      </c>
      <c r="K777" s="1" t="s">
        <v>20735</v>
      </c>
      <c r="L777" s="1" t="s">
        <v>8951</v>
      </c>
      <c r="M777" s="1">
        <v>300</v>
      </c>
      <c r="N777" s="1" t="s">
        <v>8953</v>
      </c>
      <c r="O777" s="1" t="s">
        <v>8989</v>
      </c>
      <c r="P777" s="1" t="e">
        <v>#N/A</v>
      </c>
      <c r="Q777" s="1" t="e">
        <v>#N/A</v>
      </c>
      <c r="R777" s="1">
        <f t="shared" si="224"/>
        <v>10</v>
      </c>
      <c r="S777" s="1" t="str">
        <f t="shared" si="225"/>
        <v>&gt;7</v>
      </c>
      <c r="T777" s="1" t="s">
        <v>18958</v>
      </c>
      <c r="U777" s="1" t="s">
        <v>7</v>
      </c>
      <c r="V777" s="1" t="s">
        <v>416</v>
      </c>
      <c r="W777" s="1"/>
    </row>
    <row r="778" spans="1:23" x14ac:dyDescent="0.2">
      <c r="A778" s="92" t="s">
        <v>16169</v>
      </c>
      <c r="B778" s="1" t="e">
        <v>#N/A</v>
      </c>
      <c r="C778" s="1" t="e">
        <v>#N/A</v>
      </c>
      <c r="D778" s="1" t="s">
        <v>2190</v>
      </c>
      <c r="E778" s="1" t="s">
        <v>2191</v>
      </c>
      <c r="F778" s="1" t="s">
        <v>9333</v>
      </c>
      <c r="G778" s="1" t="e">
        <v>#N/A</v>
      </c>
      <c r="H778" t="s">
        <v>9061</v>
      </c>
      <c r="I778" s="1" t="s">
        <v>20712</v>
      </c>
      <c r="J778" s="1" t="s">
        <v>9155</v>
      </c>
      <c r="K778" s="1" t="s">
        <v>20785</v>
      </c>
      <c r="L778" s="1" t="s">
        <v>9076</v>
      </c>
      <c r="M778" s="1">
        <v>15000</v>
      </c>
      <c r="N778" s="1" t="s">
        <v>8953</v>
      </c>
      <c r="O778" s="1" t="e">
        <v>#N/A</v>
      </c>
      <c r="P778" s="1" t="e">
        <v>#N/A</v>
      </c>
      <c r="Q778" s="1" t="e">
        <v>#N/A</v>
      </c>
      <c r="R778" s="1">
        <f t="shared" si="224"/>
        <v>5</v>
      </c>
      <c r="S778" s="1" t="str">
        <f t="shared" si="225"/>
        <v>4-7</v>
      </c>
      <c r="T778" s="1" t="s">
        <v>18959</v>
      </c>
      <c r="U778" s="1" t="s">
        <v>7</v>
      </c>
      <c r="V778" s="1" t="s">
        <v>1945</v>
      </c>
      <c r="W778" s="1"/>
    </row>
    <row r="779" spans="1:23" x14ac:dyDescent="0.2">
      <c r="A779" s="95" t="s">
        <v>16170</v>
      </c>
      <c r="B779" s="1" t="e">
        <v>#N/A</v>
      </c>
      <c r="C779" s="1" t="e">
        <v>#N/A</v>
      </c>
      <c r="D779" s="1" t="s">
        <v>2192</v>
      </c>
      <c r="E779" s="1" t="s">
        <v>2193</v>
      </c>
      <c r="F779" s="1" t="s">
        <v>9650</v>
      </c>
      <c r="G779" s="1" t="s">
        <v>8959</v>
      </c>
      <c r="H779" t="s">
        <v>8959</v>
      </c>
      <c r="I779" s="1" t="s">
        <v>9605</v>
      </c>
      <c r="J779" s="1" t="s">
        <v>9101</v>
      </c>
      <c r="K779" s="1" t="s">
        <v>10492</v>
      </c>
      <c r="L779" s="1" t="s">
        <v>8973</v>
      </c>
      <c r="M779" s="1">
        <f>3+279+3</f>
        <v>285</v>
      </c>
      <c r="N779" s="1" t="s">
        <v>8953</v>
      </c>
      <c r="O779" s="1" t="s">
        <v>8954</v>
      </c>
      <c r="P779" s="1" t="e">
        <v>#N/A</v>
      </c>
      <c r="Q779" s="1" t="e">
        <v>#N/A</v>
      </c>
      <c r="R779" s="1">
        <f t="shared" si="224"/>
        <v>7</v>
      </c>
      <c r="S779" s="1" t="str">
        <f t="shared" si="225"/>
        <v>4-7</v>
      </c>
      <c r="T779" s="1" t="s">
        <v>18960</v>
      </c>
      <c r="U779" s="1" t="s">
        <v>17</v>
      </c>
      <c r="V779" s="1" t="s">
        <v>1110</v>
      </c>
      <c r="W779" s="1"/>
    </row>
    <row r="780" spans="1:23" x14ac:dyDescent="0.2">
      <c r="A780" s="89" t="s">
        <v>16171</v>
      </c>
      <c r="B780" s="1" t="e">
        <v>#N/A</v>
      </c>
      <c r="C780" s="1" t="e">
        <v>#N/A</v>
      </c>
      <c r="D780" s="1" t="s">
        <v>2194</v>
      </c>
      <c r="E780" s="1" t="s">
        <v>2195</v>
      </c>
      <c r="F780" s="1" t="e">
        <v>#N/A</v>
      </c>
      <c r="G780" s="1" t="e">
        <v>#N/A</v>
      </c>
      <c r="H780" t="e">
        <v>#N/A</v>
      </c>
      <c r="I780" s="1" t="e">
        <v>#N/A</v>
      </c>
      <c r="J780" s="1" t="e">
        <v>#N/A</v>
      </c>
      <c r="K780" s="1" t="e">
        <v>#N/A</v>
      </c>
      <c r="L780" s="1" t="e">
        <v>#N/A</v>
      </c>
      <c r="M780" s="1" t="e">
        <v>#N/A</v>
      </c>
      <c r="N780" s="1" t="e">
        <v>#N/A</v>
      </c>
      <c r="O780" s="1" t="e">
        <v>#N/A</v>
      </c>
      <c r="P780" s="1" t="e">
        <v>#N/A</v>
      </c>
      <c r="Q780" s="1" t="e">
        <v>#N/A</v>
      </c>
      <c r="R780" s="1">
        <f t="shared" si="224"/>
        <v>1</v>
      </c>
      <c r="S780" s="1" t="str">
        <f t="shared" si="225"/>
        <v>&lt;4</v>
      </c>
      <c r="U780" s="1" t="s">
        <v>4</v>
      </c>
      <c r="V780" s="1" t="s">
        <v>2196</v>
      </c>
      <c r="W780" s="1"/>
    </row>
    <row r="781" spans="1:23" x14ac:dyDescent="0.2">
      <c r="A781" s="88" t="s">
        <v>16172</v>
      </c>
      <c r="B781" s="1" t="e">
        <v>#N/A</v>
      </c>
      <c r="C781" s="1" t="e">
        <v>#N/A</v>
      </c>
      <c r="D781" s="1" t="s">
        <v>2197</v>
      </c>
      <c r="E781" s="1" t="s">
        <v>2198</v>
      </c>
      <c r="F781" s="1" t="s">
        <v>9333</v>
      </c>
      <c r="G781" s="1" t="s">
        <v>8957</v>
      </c>
      <c r="H781" t="s">
        <v>9061</v>
      </c>
      <c r="I781" s="1" t="s">
        <v>9605</v>
      </c>
      <c r="J781" s="1" t="s">
        <v>9155</v>
      </c>
      <c r="K781" s="1" t="s">
        <v>20805</v>
      </c>
      <c r="L781" s="1" t="s">
        <v>8951</v>
      </c>
      <c r="M781" s="1">
        <v>1709</v>
      </c>
      <c r="N781" s="1" t="s">
        <v>8953</v>
      </c>
      <c r="O781" s="1" t="s">
        <v>8989</v>
      </c>
      <c r="P781" s="1" t="e">
        <v>#N/A</v>
      </c>
      <c r="Q781" s="1" t="e">
        <v>#N/A</v>
      </c>
      <c r="R781" s="1">
        <f t="shared" si="224"/>
        <v>1</v>
      </c>
      <c r="S781" s="1" t="str">
        <f t="shared" si="225"/>
        <v>&lt;4</v>
      </c>
      <c r="T781" s="1" t="s">
        <v>2199</v>
      </c>
      <c r="U781" s="1" t="s">
        <v>17</v>
      </c>
      <c r="V781" s="1" t="s">
        <v>2200</v>
      </c>
      <c r="W781" s="1"/>
    </row>
    <row r="782" spans="1:23" x14ac:dyDescent="0.2">
      <c r="A782" s="89" t="s">
        <v>2201</v>
      </c>
      <c r="B782" s="1" t="e">
        <v>#N/A</v>
      </c>
      <c r="C782" s="1" t="e">
        <v>#N/A</v>
      </c>
      <c r="D782" s="1" t="s">
        <v>2202</v>
      </c>
      <c r="E782" s="1" t="s">
        <v>2203</v>
      </c>
      <c r="F782" s="1" t="e">
        <v>#N/A</v>
      </c>
      <c r="G782" s="1" t="e">
        <v>#N/A</v>
      </c>
      <c r="H782" t="e">
        <v>#N/A</v>
      </c>
      <c r="I782" s="1" t="e">
        <v>#N/A</v>
      </c>
      <c r="J782" s="1" t="e">
        <v>#N/A</v>
      </c>
      <c r="K782" s="1" t="e">
        <v>#N/A</v>
      </c>
      <c r="L782" s="1" t="e">
        <v>#N/A</v>
      </c>
      <c r="M782" s="1" t="e">
        <v>#N/A</v>
      </c>
      <c r="N782" s="1" t="e">
        <v>#N/A</v>
      </c>
      <c r="O782" s="1" t="e">
        <v>#N/A</v>
      </c>
      <c r="P782" s="1" t="e">
        <v>#N/A</v>
      </c>
      <c r="Q782" s="1" t="e">
        <v>#N/A</v>
      </c>
      <c r="R782" s="1">
        <f t="shared" si="224"/>
        <v>5</v>
      </c>
      <c r="S782" s="1" t="str">
        <f t="shared" si="225"/>
        <v>4-7</v>
      </c>
      <c r="T782" s="1" t="s">
        <v>18961</v>
      </c>
      <c r="U782" s="1" t="s">
        <v>11</v>
      </c>
      <c r="V782" s="1" t="s">
        <v>2204</v>
      </c>
      <c r="W782" s="1"/>
    </row>
    <row r="783" spans="1:23" x14ac:dyDescent="0.2">
      <c r="A783" s="88" t="s">
        <v>16173</v>
      </c>
      <c r="B783" s="1" t="e">
        <v>#N/A</v>
      </c>
      <c r="C783" s="1" t="e">
        <v>#N/A</v>
      </c>
      <c r="D783" s="1" t="s">
        <v>2205</v>
      </c>
      <c r="E783" s="1" t="s">
        <v>2206</v>
      </c>
      <c r="F783" s="1" t="s">
        <v>9815</v>
      </c>
      <c r="G783" s="1" t="s">
        <v>8959</v>
      </c>
      <c r="H783" t="s">
        <v>8959</v>
      </c>
      <c r="I783" s="1" t="s">
        <v>20714</v>
      </c>
      <c r="J783" s="1" t="s">
        <v>20725</v>
      </c>
      <c r="K783" s="1" t="s">
        <v>18497</v>
      </c>
      <c r="L783" s="1" t="s">
        <v>8987</v>
      </c>
      <c r="M783" s="1">
        <f>128+125</f>
        <v>253</v>
      </c>
      <c r="N783" s="1" t="s">
        <v>9059</v>
      </c>
      <c r="O783" s="1" t="s">
        <v>8954</v>
      </c>
      <c r="P783" s="1" t="e">
        <v>#N/A</v>
      </c>
      <c r="Q783" s="1" t="e">
        <v>#N/A</v>
      </c>
      <c r="R783" s="1">
        <f t="shared" si="224"/>
        <v>4</v>
      </c>
      <c r="S783" s="1" t="str">
        <f t="shared" si="225"/>
        <v>&lt;4</v>
      </c>
      <c r="T783" s="1" t="s">
        <v>18962</v>
      </c>
      <c r="U783" s="1" t="s">
        <v>17</v>
      </c>
      <c r="V783" s="1" t="s">
        <v>46</v>
      </c>
      <c r="W783" s="1"/>
    </row>
    <row r="784" spans="1:23" x14ac:dyDescent="0.2">
      <c r="A784" s="89" t="s">
        <v>16174</v>
      </c>
      <c r="B784" s="1" t="e">
        <v>#N/A</v>
      </c>
      <c r="C784" s="1" t="e">
        <v>#N/A</v>
      </c>
      <c r="D784" s="1" t="s">
        <v>2207</v>
      </c>
      <c r="E784" s="1" t="s">
        <v>2208</v>
      </c>
      <c r="F784" s="1" t="s">
        <v>9317</v>
      </c>
      <c r="G784" s="1" t="e">
        <v>#N/A</v>
      </c>
      <c r="H784" t="s">
        <v>9061</v>
      </c>
      <c r="I784" s="1" t="s">
        <v>8984</v>
      </c>
      <c r="J784" s="1" t="s">
        <v>9131</v>
      </c>
      <c r="K784" s="1" t="e">
        <v>#N/A</v>
      </c>
      <c r="L784" s="1" t="e">
        <v>#N/A</v>
      </c>
      <c r="M784" s="1" t="e">
        <v>#N/A</v>
      </c>
      <c r="N784" s="1" t="e">
        <v>#N/A</v>
      </c>
      <c r="O784" s="1" t="e">
        <v>#N/A</v>
      </c>
      <c r="P784" s="1" t="e">
        <v>#N/A</v>
      </c>
      <c r="Q784" s="1" t="e">
        <v>#N/A</v>
      </c>
      <c r="R784" s="1">
        <f t="shared" si="224"/>
        <v>6</v>
      </c>
      <c r="S784" s="1" t="str">
        <f t="shared" si="225"/>
        <v>4-7</v>
      </c>
      <c r="T784" s="1" t="s">
        <v>18963</v>
      </c>
      <c r="U784" s="1" t="s">
        <v>11</v>
      </c>
      <c r="V784" s="1" t="s">
        <v>74</v>
      </c>
      <c r="W784" s="1"/>
    </row>
    <row r="785" spans="1:23" x14ac:dyDescent="0.2">
      <c r="A785" s="88" t="s">
        <v>16175</v>
      </c>
      <c r="B785" s="1" t="e">
        <v>#N/A</v>
      </c>
      <c r="C785" s="1" t="e">
        <v>#N/A</v>
      </c>
      <c r="D785" s="1" t="s">
        <v>2209</v>
      </c>
      <c r="E785" s="1" t="s">
        <v>2210</v>
      </c>
      <c r="F785" s="1" t="s">
        <v>10049</v>
      </c>
      <c r="G785" s="1" t="s">
        <v>8957</v>
      </c>
      <c r="H785" t="s">
        <v>8959</v>
      </c>
      <c r="I785" s="1" t="s">
        <v>9092</v>
      </c>
      <c r="J785" s="1" t="s">
        <v>9308</v>
      </c>
      <c r="K785" s="1" t="s">
        <v>20805</v>
      </c>
      <c r="L785" s="1" t="s">
        <v>8951</v>
      </c>
      <c r="M785" s="1">
        <v>493</v>
      </c>
      <c r="N785" s="1" t="s">
        <v>9059</v>
      </c>
      <c r="O785" s="1" t="s">
        <v>8989</v>
      </c>
      <c r="P785" s="1" t="e">
        <v>#N/A</v>
      </c>
      <c r="Q785" s="1" t="e">
        <v>#N/A</v>
      </c>
      <c r="R785" s="1">
        <f t="shared" si="224"/>
        <v>9</v>
      </c>
      <c r="S785" s="1" t="str">
        <f t="shared" si="225"/>
        <v>&gt;7</v>
      </c>
      <c r="T785" s="1" t="s">
        <v>18964</v>
      </c>
      <c r="U785" s="1" t="s">
        <v>17</v>
      </c>
      <c r="V785" s="1" t="s">
        <v>2211</v>
      </c>
      <c r="W785" s="1"/>
    </row>
    <row r="786" spans="1:23" x14ac:dyDescent="0.2">
      <c r="A786" s="89" t="s">
        <v>2212</v>
      </c>
      <c r="B786" s="1" t="e">
        <v>#N/A</v>
      </c>
      <c r="C786" s="1" t="e">
        <v>#N/A</v>
      </c>
      <c r="D786" s="5" t="s">
        <v>2213</v>
      </c>
      <c r="E786" s="1" t="s">
        <v>2214</v>
      </c>
      <c r="F786" s="1" t="e">
        <v>#N/A</v>
      </c>
      <c r="G786" s="1" t="e">
        <v>#N/A</v>
      </c>
      <c r="H786" t="e">
        <v>#N/A</v>
      </c>
      <c r="I786" s="1" t="e">
        <v>#N/A</v>
      </c>
      <c r="J786" s="1" t="e">
        <v>#N/A</v>
      </c>
      <c r="K786" s="1" t="e">
        <v>#N/A</v>
      </c>
      <c r="L786" s="1" t="e">
        <v>#N/A</v>
      </c>
      <c r="M786" s="1" t="e">
        <v>#N/A</v>
      </c>
      <c r="N786" s="1" t="e">
        <v>#N/A</v>
      </c>
      <c r="O786" s="1" t="e">
        <v>#N/A</v>
      </c>
      <c r="P786" s="1" t="e">
        <v>#N/A</v>
      </c>
      <c r="Q786" s="1" t="e">
        <v>#N/A</v>
      </c>
      <c r="R786" s="1">
        <f t="shared" si="224"/>
        <v>3</v>
      </c>
      <c r="S786" s="1" t="str">
        <f t="shared" si="225"/>
        <v>&lt;4</v>
      </c>
      <c r="T786" s="1" t="s">
        <v>18965</v>
      </c>
      <c r="U786" s="1" t="s">
        <v>17</v>
      </c>
      <c r="V786" s="1" t="s">
        <v>104</v>
      </c>
      <c r="W786" s="1"/>
    </row>
    <row r="787" spans="1:23" x14ac:dyDescent="0.2">
      <c r="A787" s="88" t="s">
        <v>16176</v>
      </c>
      <c r="B787" s="1" t="e">
        <v>#N/A</v>
      </c>
      <c r="C787" s="1" t="e">
        <v>#N/A</v>
      </c>
      <c r="D787" s="1" t="s">
        <v>2215</v>
      </c>
      <c r="E787" s="1" t="s">
        <v>2216</v>
      </c>
      <c r="F787" s="1" t="s">
        <v>18502</v>
      </c>
      <c r="G787" s="1" t="s">
        <v>8959</v>
      </c>
      <c r="H787" t="s">
        <v>9061</v>
      </c>
      <c r="I787" s="1" t="s">
        <v>9035</v>
      </c>
      <c r="J787" s="1" t="s">
        <v>8998</v>
      </c>
      <c r="K787" s="1" t="s">
        <v>20779</v>
      </c>
      <c r="L787" s="1" t="s">
        <v>9464</v>
      </c>
      <c r="M787" s="1">
        <v>27</v>
      </c>
      <c r="N787" s="1" t="s">
        <v>9059</v>
      </c>
      <c r="O787" s="1" t="s">
        <v>8954</v>
      </c>
      <c r="P787" s="1" t="e">
        <v>#N/A</v>
      </c>
      <c r="Q787" s="1" t="e">
        <v>#N/A</v>
      </c>
      <c r="R787" s="1">
        <f t="shared" si="224"/>
        <v>5</v>
      </c>
      <c r="S787" s="1" t="str">
        <f t="shared" si="225"/>
        <v>4-7</v>
      </c>
      <c r="T787" s="1" t="s">
        <v>18966</v>
      </c>
      <c r="U787" s="1" t="s">
        <v>7</v>
      </c>
      <c r="V787" s="1" t="s">
        <v>93</v>
      </c>
      <c r="W787" s="1"/>
    </row>
    <row r="788" spans="1:23" x14ac:dyDescent="0.2">
      <c r="A788" s="94" t="s">
        <v>16177</v>
      </c>
      <c r="B788" s="1" t="e">
        <v>#N/A</v>
      </c>
      <c r="C788" s="1" t="e">
        <v>#N/A</v>
      </c>
      <c r="D788" s="1" t="s">
        <v>2217</v>
      </c>
      <c r="E788" s="1" t="s">
        <v>2218</v>
      </c>
      <c r="F788" s="1" t="e">
        <v>#N/A</v>
      </c>
      <c r="G788" s="1" t="e">
        <v>#N/A</v>
      </c>
      <c r="H788" t="e">
        <v>#N/A</v>
      </c>
      <c r="I788" s="1" t="e">
        <v>#N/A</v>
      </c>
      <c r="J788" s="1" t="e">
        <v>#N/A</v>
      </c>
      <c r="K788" s="1" t="e">
        <v>#N/A</v>
      </c>
      <c r="L788" s="1" t="e">
        <v>#N/A</v>
      </c>
      <c r="M788" s="1" t="e">
        <v>#N/A</v>
      </c>
      <c r="N788" s="1" t="e">
        <v>#N/A</v>
      </c>
      <c r="O788" s="1" t="e">
        <v>#N/A</v>
      </c>
      <c r="P788" s="1" t="e">
        <v>#N/A</v>
      </c>
      <c r="Q788" s="1" t="e">
        <v>#N/A</v>
      </c>
      <c r="R788" s="1">
        <f t="shared" si="224"/>
        <v>6</v>
      </c>
      <c r="S788" s="1" t="str">
        <f t="shared" si="225"/>
        <v>4-7</v>
      </c>
      <c r="T788" s="1" t="s">
        <v>18967</v>
      </c>
      <c r="U788" s="1" t="s">
        <v>17</v>
      </c>
      <c r="V788" s="1" t="s">
        <v>210</v>
      </c>
      <c r="W788" s="1"/>
    </row>
    <row r="789" spans="1:23" x14ac:dyDescent="0.2">
      <c r="A789" s="88" t="s">
        <v>16178</v>
      </c>
      <c r="B789" s="1" t="e">
        <v>#N/A</v>
      </c>
      <c r="C789" s="1" t="s">
        <v>15053</v>
      </c>
      <c r="D789" s="1" t="s">
        <v>2219</v>
      </c>
      <c r="E789" s="1" t="s">
        <v>2220</v>
      </c>
      <c r="F789" s="1" t="s">
        <v>9310</v>
      </c>
      <c r="G789" s="1" t="s">
        <v>8957</v>
      </c>
      <c r="H789" t="s">
        <v>9183</v>
      </c>
      <c r="I789" s="1" t="s">
        <v>9092</v>
      </c>
      <c r="J789" s="1" t="s">
        <v>8998</v>
      </c>
      <c r="K789" s="1" t="s">
        <v>9036</v>
      </c>
      <c r="L789" s="1" t="s">
        <v>8951</v>
      </c>
      <c r="M789" s="1">
        <v>2340</v>
      </c>
      <c r="N789" s="1" t="s">
        <v>8953</v>
      </c>
      <c r="O789" s="1" t="s">
        <v>8989</v>
      </c>
      <c r="P789" s="1" t="s">
        <v>8955</v>
      </c>
      <c r="Q789" s="1" t="s">
        <v>8956</v>
      </c>
      <c r="R789" s="1" t="s">
        <v>8957</v>
      </c>
      <c r="S789" s="1" t="s">
        <v>8975</v>
      </c>
      <c r="T789" s="1" t="s">
        <v>2221</v>
      </c>
      <c r="U789" s="1" t="s">
        <v>17</v>
      </c>
      <c r="V789" s="1" t="s">
        <v>1472</v>
      </c>
      <c r="W789" s="1"/>
    </row>
    <row r="790" spans="1:23" x14ac:dyDescent="0.2">
      <c r="A790" s="89" t="s">
        <v>2222</v>
      </c>
      <c r="B790" s="1" t="e">
        <v>#N/A</v>
      </c>
      <c r="C790" s="1" t="s">
        <v>11604</v>
      </c>
      <c r="D790" s="1" t="s">
        <v>2223</v>
      </c>
      <c r="E790" s="1" t="s">
        <v>2224</v>
      </c>
      <c r="F790" s="1" t="s">
        <v>9317</v>
      </c>
      <c r="G790" s="1" t="s">
        <v>8959</v>
      </c>
      <c r="H790" t="s">
        <v>9183</v>
      </c>
      <c r="I790" s="1" t="s">
        <v>9154</v>
      </c>
      <c r="J790" s="1" t="s">
        <v>11607</v>
      </c>
      <c r="K790" s="1" t="s">
        <v>11608</v>
      </c>
      <c r="L790" s="1" t="s">
        <v>9133</v>
      </c>
      <c r="M790" s="1">
        <v>36</v>
      </c>
      <c r="N790" s="1" t="s">
        <v>8953</v>
      </c>
      <c r="O790" s="1" t="s">
        <v>8954</v>
      </c>
      <c r="P790" s="1" t="s">
        <v>8955</v>
      </c>
      <c r="Q790" s="1" t="s">
        <v>8956</v>
      </c>
      <c r="R790" s="1" t="s">
        <v>8959</v>
      </c>
      <c r="S790" s="1" t="s">
        <v>9103</v>
      </c>
      <c r="T790" s="1" t="s">
        <v>2225</v>
      </c>
      <c r="U790" s="1" t="s">
        <v>11</v>
      </c>
      <c r="V790" s="1" t="s">
        <v>355</v>
      </c>
      <c r="W790" s="1"/>
    </row>
    <row r="791" spans="1:23" x14ac:dyDescent="0.2">
      <c r="A791" s="88" t="s">
        <v>16179</v>
      </c>
      <c r="B791" s="1" t="e">
        <v>#N/A</v>
      </c>
      <c r="C791" s="1" t="s">
        <v>9237</v>
      </c>
      <c r="D791" s="1" t="s">
        <v>2226</v>
      </c>
      <c r="E791" s="1" t="s">
        <v>2227</v>
      </c>
      <c r="F791" s="1" t="s">
        <v>10032</v>
      </c>
      <c r="G791" s="1" t="s">
        <v>8957</v>
      </c>
      <c r="H791" t="s">
        <v>8959</v>
      </c>
      <c r="I791" s="1" t="s">
        <v>8948</v>
      </c>
      <c r="J791" s="1" t="s">
        <v>9155</v>
      </c>
      <c r="K791" s="1" t="s">
        <v>9036</v>
      </c>
      <c r="L791" s="1" t="s">
        <v>8973</v>
      </c>
      <c r="M791" s="1">
        <v>459</v>
      </c>
      <c r="N791" s="1" t="s">
        <v>8953</v>
      </c>
      <c r="O791" s="1" t="s">
        <v>8954</v>
      </c>
      <c r="P791" s="1" t="s">
        <v>8955</v>
      </c>
      <c r="Q791" s="1" t="s">
        <v>8990</v>
      </c>
      <c r="R791" s="1" t="s">
        <v>8957</v>
      </c>
      <c r="S791" s="1" t="s">
        <v>8958</v>
      </c>
      <c r="T791" s="1" t="s">
        <v>2228</v>
      </c>
      <c r="U791" s="1" t="s">
        <v>17</v>
      </c>
      <c r="V791" s="1" t="s">
        <v>126</v>
      </c>
      <c r="W791" s="1"/>
    </row>
    <row r="792" spans="1:23" x14ac:dyDescent="0.2">
      <c r="A792" s="89" t="s">
        <v>2229</v>
      </c>
      <c r="B792" s="1" t="e">
        <v>#N/A</v>
      </c>
      <c r="C792" s="1" t="e">
        <v>#N/A</v>
      </c>
      <c r="D792" s="1" t="s">
        <v>2230</v>
      </c>
      <c r="E792" s="1" t="s">
        <v>2231</v>
      </c>
      <c r="F792" s="1" t="e">
        <v>#N/A</v>
      </c>
      <c r="G792" s="1" t="e">
        <v>#N/A</v>
      </c>
      <c r="H792" t="e">
        <v>#N/A</v>
      </c>
      <c r="I792" s="1" t="e">
        <v>#N/A</v>
      </c>
      <c r="J792" s="1" t="e">
        <v>#N/A</v>
      </c>
      <c r="K792" s="1" t="e">
        <v>#N/A</v>
      </c>
      <c r="L792" s="1" t="e">
        <v>#N/A</v>
      </c>
      <c r="M792" s="1" t="e">
        <v>#N/A</v>
      </c>
      <c r="N792" s="1" t="e">
        <v>#N/A</v>
      </c>
      <c r="O792" s="1" t="e">
        <v>#N/A</v>
      </c>
      <c r="P792" s="1" t="e">
        <v>#N/A</v>
      </c>
      <c r="Q792" s="1" t="e">
        <v>#N/A</v>
      </c>
      <c r="R792" s="1">
        <f>1+LEN(T792)-LEN(SUBSTITUTE(T792,",",))</f>
        <v>4</v>
      </c>
      <c r="S792" s="1" t="str">
        <f>IF(R792&gt;4,IF(R792&lt;8,"4-7",IF(R792&gt;7,"&gt;7")),"&lt;4")</f>
        <v>&lt;4</v>
      </c>
      <c r="T792" s="1" t="s">
        <v>20584</v>
      </c>
      <c r="U792" s="1" t="s">
        <v>11</v>
      </c>
      <c r="V792" s="1" t="s">
        <v>2232</v>
      </c>
      <c r="W792" s="1"/>
    </row>
    <row r="793" spans="1:23" x14ac:dyDescent="0.2">
      <c r="A793" s="88" t="s">
        <v>16180</v>
      </c>
      <c r="B793" s="1" t="e">
        <v>#N/A</v>
      </c>
      <c r="C793" s="1" t="s">
        <v>12561</v>
      </c>
      <c r="D793" s="1" t="s">
        <v>2233</v>
      </c>
      <c r="E793" s="1" t="s">
        <v>2234</v>
      </c>
      <c r="F793" s="1" t="s">
        <v>9176</v>
      </c>
      <c r="G793" s="1" t="s">
        <v>8974</v>
      </c>
      <c r="H793" t="s">
        <v>9061</v>
      </c>
      <c r="I793" s="1" t="s">
        <v>9252</v>
      </c>
      <c r="J793" s="1" t="s">
        <v>9422</v>
      </c>
      <c r="K793" s="1" t="s">
        <v>10258</v>
      </c>
      <c r="L793" s="1" t="s">
        <v>8987</v>
      </c>
      <c r="M793" s="1">
        <v>7786</v>
      </c>
      <c r="N793" s="1" t="s">
        <v>8953</v>
      </c>
      <c r="O793" s="1" t="s">
        <v>8989</v>
      </c>
      <c r="P793" s="1" t="s">
        <v>8955</v>
      </c>
      <c r="Q793" s="1" t="s">
        <v>8956</v>
      </c>
      <c r="R793" s="1" t="s">
        <v>8974</v>
      </c>
      <c r="S793" s="1" t="s">
        <v>9103</v>
      </c>
      <c r="T793" s="1" t="s">
        <v>2235</v>
      </c>
      <c r="U793" s="1" t="s">
        <v>11</v>
      </c>
      <c r="V793" s="1" t="s">
        <v>8</v>
      </c>
      <c r="W793" s="1"/>
    </row>
    <row r="794" spans="1:23" x14ac:dyDescent="0.2">
      <c r="A794" s="89" t="s">
        <v>16181</v>
      </c>
      <c r="B794" s="1" t="e">
        <v>#N/A</v>
      </c>
      <c r="C794" s="1" t="e">
        <v>#N/A</v>
      </c>
      <c r="D794" s="1" t="s">
        <v>2236</v>
      </c>
      <c r="E794" s="1" t="s">
        <v>2237</v>
      </c>
      <c r="F794" s="1" t="e">
        <v>#N/A</v>
      </c>
      <c r="G794" s="1" t="e">
        <v>#N/A</v>
      </c>
      <c r="H794" t="e">
        <v>#N/A</v>
      </c>
      <c r="I794" s="1" t="e">
        <v>#N/A</v>
      </c>
      <c r="J794" s="1" t="e">
        <v>#N/A</v>
      </c>
      <c r="K794" s="1" t="e">
        <v>#N/A</v>
      </c>
      <c r="L794" s="1" t="e">
        <v>#N/A</v>
      </c>
      <c r="M794" s="1" t="e">
        <v>#N/A</v>
      </c>
      <c r="N794" s="1" t="e">
        <v>#N/A</v>
      </c>
      <c r="O794" s="1" t="e">
        <v>#N/A</v>
      </c>
      <c r="P794" s="1" t="e">
        <v>#N/A</v>
      </c>
      <c r="Q794" s="1" t="e">
        <v>#N/A</v>
      </c>
      <c r="R794" s="1">
        <f t="shared" ref="R794:R795" si="226">1+LEN(T794)-LEN(SUBSTITUTE(T794,",",))</f>
        <v>2</v>
      </c>
      <c r="S794" s="1" t="str">
        <f t="shared" ref="S794:S795" si="227">IF(R794&gt;4,IF(R794&lt;8,"4-7",IF(R794&gt;7,"&gt;7")),"&lt;4")</f>
        <v>&lt;4</v>
      </c>
      <c r="T794" s="1" t="s">
        <v>20585</v>
      </c>
      <c r="U794" s="1" t="s">
        <v>17</v>
      </c>
      <c r="V794" s="1" t="s">
        <v>670</v>
      </c>
      <c r="W794" s="1"/>
    </row>
    <row r="795" spans="1:23" x14ac:dyDescent="0.2">
      <c r="A795" s="88" t="s">
        <v>16182</v>
      </c>
      <c r="B795" s="1" t="e">
        <v>#N/A</v>
      </c>
      <c r="C795" s="1" t="e">
        <v>#N/A</v>
      </c>
      <c r="D795" s="1" t="s">
        <v>2238</v>
      </c>
      <c r="E795" s="1" t="s">
        <v>2239</v>
      </c>
      <c r="F795" s="1" t="s">
        <v>18502</v>
      </c>
      <c r="G795" s="1" t="s">
        <v>8957</v>
      </c>
      <c r="H795" t="s">
        <v>8959</v>
      </c>
      <c r="I795" s="1" t="s">
        <v>20712</v>
      </c>
      <c r="J795" s="1" t="s">
        <v>9155</v>
      </c>
      <c r="K795" s="1" t="s">
        <v>10492</v>
      </c>
      <c r="L795" s="1" t="s">
        <v>9076</v>
      </c>
      <c r="M795" s="1">
        <v>278</v>
      </c>
      <c r="N795" s="1" t="s">
        <v>8953</v>
      </c>
      <c r="O795" s="1" t="s">
        <v>8954</v>
      </c>
      <c r="P795" s="1" t="e">
        <v>#N/A</v>
      </c>
      <c r="Q795" s="1" t="e">
        <v>#N/A</v>
      </c>
      <c r="R795" s="1">
        <f t="shared" si="226"/>
        <v>6</v>
      </c>
      <c r="S795" s="1" t="str">
        <f t="shared" si="227"/>
        <v>4-7</v>
      </c>
      <c r="T795" s="1" t="s">
        <v>18968</v>
      </c>
      <c r="U795" s="1" t="s">
        <v>7</v>
      </c>
      <c r="V795" s="1" t="s">
        <v>27</v>
      </c>
      <c r="W795" s="1"/>
    </row>
    <row r="796" spans="1:23" x14ac:dyDescent="0.2">
      <c r="A796" s="88" t="s">
        <v>16183</v>
      </c>
      <c r="B796" s="1" t="e">
        <v>#N/A</v>
      </c>
      <c r="C796" s="1" t="s">
        <v>11385</v>
      </c>
      <c r="D796" s="1" t="s">
        <v>2240</v>
      </c>
      <c r="E796" s="1" t="s">
        <v>2241</v>
      </c>
      <c r="F796" s="1" t="s">
        <v>9010</v>
      </c>
      <c r="G796" s="1" t="s">
        <v>8959</v>
      </c>
      <c r="H796" t="s">
        <v>9183</v>
      </c>
      <c r="I796" s="1" t="s">
        <v>9252</v>
      </c>
      <c r="J796" s="1" t="s">
        <v>9155</v>
      </c>
      <c r="K796" s="1" t="s">
        <v>9036</v>
      </c>
      <c r="L796" s="1" t="s">
        <v>9133</v>
      </c>
      <c r="M796" s="1">
        <v>138</v>
      </c>
      <c r="N796" s="1" t="s">
        <v>8953</v>
      </c>
      <c r="O796" s="1" t="s">
        <v>8954</v>
      </c>
      <c r="P796" s="1" t="s">
        <v>8955</v>
      </c>
      <c r="Q796" s="1" t="s">
        <v>8956</v>
      </c>
      <c r="R796" s="1" t="s">
        <v>8959</v>
      </c>
      <c r="S796" s="1" t="s">
        <v>8975</v>
      </c>
      <c r="T796" s="1" t="s">
        <v>2242</v>
      </c>
      <c r="U796" s="1" t="s">
        <v>11</v>
      </c>
      <c r="V796" s="1" t="s">
        <v>43</v>
      </c>
      <c r="W796" s="1"/>
    </row>
    <row r="797" spans="1:23" x14ac:dyDescent="0.2">
      <c r="A797" s="88" t="s">
        <v>16184</v>
      </c>
      <c r="B797" s="1" t="e">
        <v>#N/A</v>
      </c>
      <c r="C797" s="1" t="e">
        <v>#N/A</v>
      </c>
      <c r="D797" s="1" t="s">
        <v>2243</v>
      </c>
      <c r="E797" s="1" t="s">
        <v>2244</v>
      </c>
      <c r="F797" s="1" t="s">
        <v>18502</v>
      </c>
      <c r="G797" s="1" t="s">
        <v>20818</v>
      </c>
      <c r="H797" t="s">
        <v>8959</v>
      </c>
      <c r="I797" s="1" t="s">
        <v>9100</v>
      </c>
      <c r="J797" s="1" t="s">
        <v>8949</v>
      </c>
      <c r="K797" s="1" t="s">
        <v>20817</v>
      </c>
      <c r="L797" s="1" t="s">
        <v>8951</v>
      </c>
      <c r="M797" s="1">
        <v>1100</v>
      </c>
      <c r="N797" s="1" t="s">
        <v>9059</v>
      </c>
      <c r="O797" s="1" t="s">
        <v>8954</v>
      </c>
      <c r="P797" s="1" t="e">
        <v>#N/A</v>
      </c>
      <c r="Q797" s="1" t="e">
        <v>#N/A</v>
      </c>
      <c r="R797" s="1">
        <f t="shared" ref="R797:R799" si="228">1+LEN(T797)-LEN(SUBSTITUTE(T797,",",))</f>
        <v>7</v>
      </c>
      <c r="S797" s="1" t="str">
        <f t="shared" ref="S797:S799" si="229">IF(R797&gt;4,IF(R797&lt;8,"4-7",IF(R797&gt;7,"&gt;7")),"&lt;4")</f>
        <v>4-7</v>
      </c>
      <c r="T797" s="1" t="s">
        <v>18969</v>
      </c>
      <c r="U797" s="1" t="s">
        <v>7</v>
      </c>
      <c r="V797" s="1" t="s">
        <v>57</v>
      </c>
      <c r="W797" s="1"/>
    </row>
    <row r="798" spans="1:23" x14ac:dyDescent="0.2">
      <c r="A798" s="89" t="s">
        <v>2245</v>
      </c>
      <c r="B798" s="1" t="e">
        <v>#N/A</v>
      </c>
      <c r="C798" s="1" t="e">
        <v>#N/A</v>
      </c>
      <c r="D798" s="1" t="s">
        <v>2246</v>
      </c>
      <c r="E798" s="1" t="s">
        <v>2247</v>
      </c>
      <c r="F798" s="1" t="e">
        <v>#N/A</v>
      </c>
      <c r="G798" s="1" t="e">
        <v>#N/A</v>
      </c>
      <c r="H798" t="e">
        <v>#N/A</v>
      </c>
      <c r="I798" s="1" t="e">
        <v>#N/A</v>
      </c>
      <c r="J798" s="1" t="e">
        <v>#N/A</v>
      </c>
      <c r="K798" s="1" t="e">
        <v>#N/A</v>
      </c>
      <c r="L798" s="1" t="e">
        <v>#N/A</v>
      </c>
      <c r="M798" s="1" t="e">
        <v>#N/A</v>
      </c>
      <c r="N798" s="1" t="e">
        <v>#N/A</v>
      </c>
      <c r="O798" s="1" t="e">
        <v>#N/A</v>
      </c>
      <c r="P798" s="1" t="e">
        <v>#N/A</v>
      </c>
      <c r="Q798" s="1" t="e">
        <v>#N/A</v>
      </c>
      <c r="R798" s="1">
        <f t="shared" si="228"/>
        <v>4</v>
      </c>
      <c r="S798" s="1" t="str">
        <f t="shared" si="229"/>
        <v>&lt;4</v>
      </c>
      <c r="T798" s="1" t="s">
        <v>18970</v>
      </c>
      <c r="U798" s="1" t="s">
        <v>17</v>
      </c>
      <c r="V798" s="1" t="s">
        <v>2248</v>
      </c>
      <c r="W798" s="1"/>
    </row>
    <row r="799" spans="1:23" x14ac:dyDescent="0.2">
      <c r="A799" s="88" t="s">
        <v>16185</v>
      </c>
      <c r="B799" s="1" t="e">
        <v>#N/A</v>
      </c>
      <c r="C799" s="1" t="e">
        <v>#N/A</v>
      </c>
      <c r="D799" s="1" t="s">
        <v>2249</v>
      </c>
      <c r="E799" s="1" t="s">
        <v>2250</v>
      </c>
      <c r="F799" s="1" t="s">
        <v>9310</v>
      </c>
      <c r="G799" s="1" t="s">
        <v>8959</v>
      </c>
      <c r="H799" t="s">
        <v>8959</v>
      </c>
      <c r="I799" s="1" t="s">
        <v>9035</v>
      </c>
      <c r="J799" s="1" t="s">
        <v>8998</v>
      </c>
      <c r="K799" s="1" t="s">
        <v>21355</v>
      </c>
      <c r="L799" s="1" t="s">
        <v>8951</v>
      </c>
      <c r="M799" s="1">
        <v>1016</v>
      </c>
      <c r="N799" s="1" t="s">
        <v>8953</v>
      </c>
      <c r="O799" s="1" t="s">
        <v>8954</v>
      </c>
      <c r="P799" s="1" t="e">
        <v>#N/A</v>
      </c>
      <c r="Q799" s="1" t="e">
        <v>#N/A</v>
      </c>
      <c r="R799" s="1">
        <f t="shared" si="228"/>
        <v>4</v>
      </c>
      <c r="S799" s="1" t="str">
        <f t="shared" si="229"/>
        <v>&lt;4</v>
      </c>
      <c r="T799" s="1" t="s">
        <v>18970</v>
      </c>
      <c r="U799" s="1" t="s">
        <v>7</v>
      </c>
      <c r="V799" s="1" t="s">
        <v>2251</v>
      </c>
      <c r="W799" s="1"/>
    </row>
    <row r="800" spans="1:23" x14ac:dyDescent="0.2">
      <c r="A800" s="88" t="s">
        <v>16186</v>
      </c>
      <c r="B800" s="1" t="e">
        <v>#N/A</v>
      </c>
      <c r="C800" s="1" t="s">
        <v>9584</v>
      </c>
      <c r="D800" s="1" t="s">
        <v>2252</v>
      </c>
      <c r="E800" s="1" t="s">
        <v>2253</v>
      </c>
      <c r="F800" s="1" t="s">
        <v>9310</v>
      </c>
      <c r="G800" s="1" t="s">
        <v>8957</v>
      </c>
      <c r="H800" t="s">
        <v>8959</v>
      </c>
      <c r="I800" s="1" t="s">
        <v>9049</v>
      </c>
      <c r="J800" s="1" t="s">
        <v>9325</v>
      </c>
      <c r="K800" s="1" t="s">
        <v>9212</v>
      </c>
      <c r="L800" s="1" t="s">
        <v>8973</v>
      </c>
      <c r="M800" s="1">
        <v>52</v>
      </c>
      <c r="N800" s="1" t="s">
        <v>8953</v>
      </c>
      <c r="O800" s="1" t="s">
        <v>8954</v>
      </c>
      <c r="P800" s="1" t="s">
        <v>8955</v>
      </c>
      <c r="Q800" s="1" t="s">
        <v>8990</v>
      </c>
      <c r="R800" s="1" t="s">
        <v>8957</v>
      </c>
      <c r="S800" s="1" t="s">
        <v>8975</v>
      </c>
      <c r="T800" s="1" t="s">
        <v>2254</v>
      </c>
      <c r="U800" s="1" t="s">
        <v>17</v>
      </c>
      <c r="V800" s="1" t="s">
        <v>184</v>
      </c>
      <c r="W800" s="1"/>
    </row>
    <row r="801" spans="1:23" x14ac:dyDescent="0.2">
      <c r="A801" s="88" t="s">
        <v>16187</v>
      </c>
      <c r="B801" s="1" t="e">
        <v>#N/A</v>
      </c>
      <c r="C801" s="1" t="e">
        <v>#N/A</v>
      </c>
      <c r="D801" s="1" t="s">
        <v>2255</v>
      </c>
      <c r="E801" s="1" t="s">
        <v>2256</v>
      </c>
      <c r="F801" s="1" t="s">
        <v>9310</v>
      </c>
      <c r="G801" s="1" t="s">
        <v>8957</v>
      </c>
      <c r="H801" t="s">
        <v>8959</v>
      </c>
      <c r="I801" s="1" t="s">
        <v>9605</v>
      </c>
      <c r="J801" s="1" t="s">
        <v>9101</v>
      </c>
      <c r="K801" s="1" t="s">
        <v>21201</v>
      </c>
      <c r="L801" s="1" t="s">
        <v>8951</v>
      </c>
      <c r="M801" s="1">
        <v>6176</v>
      </c>
      <c r="N801" s="1" t="s">
        <v>8953</v>
      </c>
      <c r="O801" s="1" t="s">
        <v>8954</v>
      </c>
      <c r="P801" s="1" t="e">
        <v>#N/A</v>
      </c>
      <c r="Q801" s="1" t="e">
        <v>#N/A</v>
      </c>
      <c r="R801" s="1">
        <f t="shared" ref="R801:R803" si="230">1+LEN(T801)-LEN(SUBSTITUTE(T801,",",))</f>
        <v>2</v>
      </c>
      <c r="S801" s="1" t="str">
        <f t="shared" ref="S801:S803" si="231">IF(R801&gt;4,IF(R801&lt;8,"4-7",IF(R801&gt;7,"&gt;7")),"&lt;4")</f>
        <v>&lt;4</v>
      </c>
      <c r="T801" s="1" t="s">
        <v>18971</v>
      </c>
      <c r="U801" s="1" t="s">
        <v>7</v>
      </c>
      <c r="V801" s="1" t="s">
        <v>598</v>
      </c>
      <c r="W801" s="1"/>
    </row>
    <row r="802" spans="1:23" x14ac:dyDescent="0.2">
      <c r="A802" s="88" t="s">
        <v>16188</v>
      </c>
      <c r="B802" s="1" t="e">
        <v>#N/A</v>
      </c>
      <c r="C802" s="1" t="e">
        <v>#N/A</v>
      </c>
      <c r="D802" s="1" t="s">
        <v>2257</v>
      </c>
      <c r="E802" s="1" t="s">
        <v>2258</v>
      </c>
      <c r="F802" s="1" t="s">
        <v>9310</v>
      </c>
      <c r="G802" s="1" t="s">
        <v>8957</v>
      </c>
      <c r="H802" t="s">
        <v>8959</v>
      </c>
      <c r="I802" s="1" t="s">
        <v>20712</v>
      </c>
      <c r="J802" s="1" t="s">
        <v>9155</v>
      </c>
      <c r="K802" s="1" t="s">
        <v>21201</v>
      </c>
      <c r="L802" s="1" t="s">
        <v>20823</v>
      </c>
      <c r="M802" s="1">
        <f>10872+304+181</f>
        <v>11357</v>
      </c>
      <c r="N802" s="1" t="s">
        <v>8953</v>
      </c>
      <c r="O802" s="1" t="s">
        <v>8954</v>
      </c>
      <c r="P802" s="1" t="e">
        <v>#N/A</v>
      </c>
      <c r="Q802" s="1" t="e">
        <v>#N/A</v>
      </c>
      <c r="R802" s="1">
        <f t="shared" si="230"/>
        <v>4</v>
      </c>
      <c r="S802" s="1" t="str">
        <f t="shared" si="231"/>
        <v>&lt;4</v>
      </c>
      <c r="T802" s="1" t="s">
        <v>18972</v>
      </c>
      <c r="U802" s="1" t="s">
        <v>7</v>
      </c>
      <c r="V802" s="1" t="s">
        <v>8</v>
      </c>
      <c r="W802" s="1"/>
    </row>
    <row r="803" spans="1:23" x14ac:dyDescent="0.2">
      <c r="A803" s="88" t="s">
        <v>16189</v>
      </c>
      <c r="B803" s="1" t="e">
        <v>#N/A</v>
      </c>
      <c r="C803" s="1" t="e">
        <v>#N/A</v>
      </c>
      <c r="D803" s="1" t="s">
        <v>2259</v>
      </c>
      <c r="E803" s="1" t="s">
        <v>2260</v>
      </c>
      <c r="F803" s="1" t="s">
        <v>9310</v>
      </c>
      <c r="G803" s="1" t="s">
        <v>8959</v>
      </c>
      <c r="H803" t="s">
        <v>9061</v>
      </c>
      <c r="I803" s="1" t="s">
        <v>8984</v>
      </c>
      <c r="J803" s="1" t="s">
        <v>8949</v>
      </c>
      <c r="K803" s="1" t="s">
        <v>20785</v>
      </c>
      <c r="L803" s="1" t="s">
        <v>20824</v>
      </c>
      <c r="M803" s="1">
        <v>106</v>
      </c>
      <c r="N803" s="1" t="s">
        <v>9059</v>
      </c>
      <c r="O803" s="1" t="s">
        <v>8954</v>
      </c>
      <c r="P803" s="1" t="e">
        <v>#N/A</v>
      </c>
      <c r="Q803" s="1" t="e">
        <v>#N/A</v>
      </c>
      <c r="R803" s="1">
        <f t="shared" si="230"/>
        <v>2</v>
      </c>
      <c r="S803" s="1" t="str">
        <f t="shared" si="231"/>
        <v>&lt;4</v>
      </c>
      <c r="T803" s="1" t="s">
        <v>18973</v>
      </c>
      <c r="U803" s="1" t="s">
        <v>17</v>
      </c>
      <c r="V803" s="1" t="s">
        <v>64</v>
      </c>
      <c r="W803" s="1"/>
    </row>
    <row r="804" spans="1:23" x14ac:dyDescent="0.2">
      <c r="A804" s="88" t="s">
        <v>16190</v>
      </c>
      <c r="B804" s="1" t="e">
        <v>#N/A</v>
      </c>
      <c r="C804" s="1" t="s">
        <v>14225</v>
      </c>
      <c r="D804" s="1" t="s">
        <v>2261</v>
      </c>
      <c r="E804" s="1" t="s">
        <v>2262</v>
      </c>
      <c r="F804" s="1" t="s">
        <v>10873</v>
      </c>
      <c r="G804" s="1" t="s">
        <v>8957</v>
      </c>
      <c r="H804" t="s">
        <v>8959</v>
      </c>
      <c r="I804" s="1" t="s">
        <v>8948</v>
      </c>
      <c r="J804" s="1" t="s">
        <v>8998</v>
      </c>
      <c r="K804" s="1" t="s">
        <v>9036</v>
      </c>
      <c r="L804" s="1" t="s">
        <v>8987</v>
      </c>
      <c r="M804" s="1">
        <v>4560</v>
      </c>
      <c r="N804" s="1" t="s">
        <v>8953</v>
      </c>
      <c r="O804" s="1" t="s">
        <v>8989</v>
      </c>
      <c r="P804" s="1" t="s">
        <v>8955</v>
      </c>
      <c r="Q804" s="1" t="s">
        <v>8990</v>
      </c>
      <c r="R804" s="1" t="s">
        <v>8957</v>
      </c>
      <c r="S804" s="1" t="s">
        <v>9103</v>
      </c>
      <c r="T804" s="1" t="s">
        <v>2263</v>
      </c>
      <c r="U804" s="1" t="s">
        <v>4</v>
      </c>
      <c r="V804" s="1" t="s">
        <v>184</v>
      </c>
      <c r="W804" s="1"/>
    </row>
    <row r="805" spans="1:23" x14ac:dyDescent="0.2">
      <c r="A805" s="88" t="s">
        <v>16191</v>
      </c>
      <c r="B805" s="1" t="e">
        <v>#N/A</v>
      </c>
      <c r="C805" s="1" t="s">
        <v>13186</v>
      </c>
      <c r="D805" s="1" t="s">
        <v>2264</v>
      </c>
      <c r="E805" s="1" t="s">
        <v>2265</v>
      </c>
      <c r="F805" s="1" t="s">
        <v>10873</v>
      </c>
      <c r="G805" s="1" t="s">
        <v>8974</v>
      </c>
      <c r="H805" t="s">
        <v>8959</v>
      </c>
      <c r="I805" s="1" t="s">
        <v>8984</v>
      </c>
      <c r="J805" s="1" t="s">
        <v>8998</v>
      </c>
      <c r="K805" s="1" t="s">
        <v>10613</v>
      </c>
      <c r="L805" s="1" t="s">
        <v>8987</v>
      </c>
      <c r="M805" s="1">
        <v>230</v>
      </c>
      <c r="N805" s="1" t="s">
        <v>9059</v>
      </c>
      <c r="O805" s="1" t="s">
        <v>8989</v>
      </c>
      <c r="P805" s="1" t="s">
        <v>8955</v>
      </c>
      <c r="Q805" s="1" t="s">
        <v>8956</v>
      </c>
      <c r="R805" s="1" t="s">
        <v>8974</v>
      </c>
      <c r="S805" s="1" t="s">
        <v>9103</v>
      </c>
      <c r="T805" s="1" t="s">
        <v>2266</v>
      </c>
      <c r="U805" s="1" t="s">
        <v>11</v>
      </c>
      <c r="V805" s="1" t="s">
        <v>2267</v>
      </c>
      <c r="W805" s="1"/>
    </row>
    <row r="806" spans="1:23" x14ac:dyDescent="0.2">
      <c r="A806" s="89" t="s">
        <v>2268</v>
      </c>
      <c r="B806" s="1" t="e">
        <v>#N/A</v>
      </c>
      <c r="C806" s="1" t="e">
        <v>#N/A</v>
      </c>
      <c r="D806" s="1" t="s">
        <v>2269</v>
      </c>
      <c r="E806" s="1" t="s">
        <v>2270</v>
      </c>
      <c r="F806" s="1" t="e">
        <v>#N/A</v>
      </c>
      <c r="G806" s="1" t="e">
        <v>#N/A</v>
      </c>
      <c r="H806" t="e">
        <v>#N/A</v>
      </c>
      <c r="I806" s="1" t="e">
        <v>#N/A</v>
      </c>
      <c r="J806" s="1" t="e">
        <v>#N/A</v>
      </c>
      <c r="K806" s="1" t="e">
        <v>#N/A</v>
      </c>
      <c r="L806" s="1" t="e">
        <v>#N/A</v>
      </c>
      <c r="M806" s="1" t="e">
        <v>#N/A</v>
      </c>
      <c r="N806" s="1" t="e">
        <v>#N/A</v>
      </c>
      <c r="O806" s="1" t="e">
        <v>#N/A</v>
      </c>
      <c r="P806" s="1" t="e">
        <v>#N/A</v>
      </c>
      <c r="Q806" s="1" t="e">
        <v>#N/A</v>
      </c>
      <c r="R806" s="1">
        <f>1+LEN(T806)-LEN(SUBSTITUTE(T806,",",))</f>
        <v>7</v>
      </c>
      <c r="S806" s="1" t="str">
        <f>IF(R806&gt;4,IF(R806&lt;8,"4-7",IF(R806&gt;7,"&gt;7")),"&lt;4")</f>
        <v>4-7</v>
      </c>
      <c r="T806" s="1" t="s">
        <v>18974</v>
      </c>
      <c r="U806" s="1" t="s">
        <v>17</v>
      </c>
      <c r="V806" s="1" t="s">
        <v>64</v>
      </c>
      <c r="W806" s="1"/>
    </row>
    <row r="807" spans="1:23" x14ac:dyDescent="0.2">
      <c r="A807" s="88" t="s">
        <v>16192</v>
      </c>
      <c r="B807" s="1" t="e">
        <v>#N/A</v>
      </c>
      <c r="C807" s="1" t="s">
        <v>9218</v>
      </c>
      <c r="D807" s="1" t="s">
        <v>2271</v>
      </c>
      <c r="E807" s="1" t="s">
        <v>2272</v>
      </c>
      <c r="F807" s="1" t="s">
        <v>9310</v>
      </c>
      <c r="G807" s="1" t="s">
        <v>9060</v>
      </c>
      <c r="H807" t="s">
        <v>8959</v>
      </c>
      <c r="I807" s="1" t="s">
        <v>8948</v>
      </c>
      <c r="J807" s="1" t="s">
        <v>8949</v>
      </c>
      <c r="K807" s="1" t="s">
        <v>9221</v>
      </c>
      <c r="L807" s="1" t="s">
        <v>8987</v>
      </c>
      <c r="M807" s="1">
        <v>1206</v>
      </c>
      <c r="N807" s="1" t="s">
        <v>8953</v>
      </c>
      <c r="O807" s="1" t="s">
        <v>8989</v>
      </c>
      <c r="P807" s="1" t="s">
        <v>8955</v>
      </c>
      <c r="Q807" s="1" t="s">
        <v>8956</v>
      </c>
      <c r="R807" s="1" t="s">
        <v>9060</v>
      </c>
      <c r="S807" s="1" t="s">
        <v>8958</v>
      </c>
      <c r="T807" s="1" t="s">
        <v>2273</v>
      </c>
      <c r="U807" s="1" t="s">
        <v>7</v>
      </c>
      <c r="V807" s="1" t="s">
        <v>27</v>
      </c>
      <c r="W807" s="1"/>
    </row>
    <row r="808" spans="1:23" x14ac:dyDescent="0.2">
      <c r="A808" s="88" t="s">
        <v>16193</v>
      </c>
      <c r="B808" s="1" t="e">
        <v>#N/A</v>
      </c>
      <c r="C808" s="1" t="e">
        <v>#N/A</v>
      </c>
      <c r="D808" s="1" t="s">
        <v>2274</v>
      </c>
      <c r="E808" s="1" t="s">
        <v>2275</v>
      </c>
      <c r="F808" s="1" t="s">
        <v>9310</v>
      </c>
      <c r="G808" s="1" t="s">
        <v>8959</v>
      </c>
      <c r="H808" t="s">
        <v>9183</v>
      </c>
      <c r="I808" s="1" t="s">
        <v>8984</v>
      </c>
      <c r="J808" s="1" t="s">
        <v>8998</v>
      </c>
      <c r="K808" s="1" t="s">
        <v>20783</v>
      </c>
      <c r="L808" s="1" t="s">
        <v>9292</v>
      </c>
      <c r="M808" s="1">
        <f>18780+1371</f>
        <v>20151</v>
      </c>
      <c r="N808" s="1" t="s">
        <v>8953</v>
      </c>
      <c r="O808" s="1" t="s">
        <v>8989</v>
      </c>
      <c r="P808" s="1" t="e">
        <v>#N/A</v>
      </c>
      <c r="Q808" s="1" t="e">
        <v>#N/A</v>
      </c>
      <c r="R808" s="1">
        <f t="shared" ref="R808:R809" si="232">1+LEN(T808)-LEN(SUBSTITUTE(T808,",",))</f>
        <v>11</v>
      </c>
      <c r="S808" s="1" t="str">
        <f t="shared" ref="S808:S809" si="233">IF(R808&gt;4,IF(R808&lt;8,"4-7",IF(R808&gt;7,"&gt;7")),"&lt;4")</f>
        <v>&gt;7</v>
      </c>
      <c r="T808" s="1" t="s">
        <v>18975</v>
      </c>
      <c r="U808" s="1" t="s">
        <v>17</v>
      </c>
      <c r="V808" s="1" t="s">
        <v>2276</v>
      </c>
      <c r="W808" s="1"/>
    </row>
    <row r="809" spans="1:23" x14ac:dyDescent="0.2">
      <c r="A809" s="88" t="s">
        <v>16194</v>
      </c>
      <c r="B809" s="1" t="e">
        <v>#N/A</v>
      </c>
      <c r="C809" s="1" t="e">
        <v>#N/A</v>
      </c>
      <c r="D809" s="1" t="s">
        <v>2277</v>
      </c>
      <c r="E809" s="1" t="s">
        <v>2278</v>
      </c>
      <c r="F809" s="1" t="e">
        <v>#N/A</v>
      </c>
      <c r="G809" s="1" t="e">
        <v>#N/A</v>
      </c>
      <c r="H809" t="e">
        <v>#N/A</v>
      </c>
      <c r="I809" s="1" t="e">
        <v>#N/A</v>
      </c>
      <c r="J809" s="1" t="e">
        <v>#N/A</v>
      </c>
      <c r="K809" s="1" t="e">
        <v>#N/A</v>
      </c>
      <c r="L809" s="1" t="e">
        <v>#N/A</v>
      </c>
      <c r="M809" s="1" t="e">
        <v>#N/A</v>
      </c>
      <c r="N809" s="1" t="e">
        <v>#N/A</v>
      </c>
      <c r="O809" s="1" t="e">
        <v>#N/A</v>
      </c>
      <c r="P809" s="1" t="e">
        <v>#N/A</v>
      </c>
      <c r="Q809" s="1" t="e">
        <v>#N/A</v>
      </c>
      <c r="R809" s="1">
        <f t="shared" si="232"/>
        <v>11</v>
      </c>
      <c r="S809" s="1" t="str">
        <f t="shared" si="233"/>
        <v>&gt;7</v>
      </c>
      <c r="T809" s="1" t="s">
        <v>18976</v>
      </c>
      <c r="U809" s="1" t="s">
        <v>252</v>
      </c>
      <c r="V809" s="1" t="s">
        <v>126</v>
      </c>
      <c r="W809" s="1"/>
    </row>
    <row r="810" spans="1:23" x14ac:dyDescent="0.2">
      <c r="A810" s="88" t="s">
        <v>16195</v>
      </c>
      <c r="B810" s="1" t="e">
        <v>#N/A</v>
      </c>
      <c r="C810" s="1" t="s">
        <v>12132</v>
      </c>
      <c r="D810" s="1" t="s">
        <v>2279</v>
      </c>
      <c r="E810" s="1" t="s">
        <v>2280</v>
      </c>
      <c r="F810" s="1" t="s">
        <v>9650</v>
      </c>
      <c r="G810" s="1" t="s">
        <v>8957</v>
      </c>
      <c r="H810" t="s">
        <v>9183</v>
      </c>
      <c r="I810" s="1" t="s">
        <v>9173</v>
      </c>
      <c r="J810" s="1" t="s">
        <v>9121</v>
      </c>
      <c r="K810" s="1" t="s">
        <v>9036</v>
      </c>
      <c r="L810" s="1" t="s">
        <v>8987</v>
      </c>
      <c r="M810" s="1">
        <v>193</v>
      </c>
      <c r="N810" s="1" t="s">
        <v>8953</v>
      </c>
      <c r="O810" s="1" t="s">
        <v>8989</v>
      </c>
      <c r="P810" s="1" t="s">
        <v>8955</v>
      </c>
      <c r="Q810" s="1" t="s">
        <v>8956</v>
      </c>
      <c r="R810" s="1" t="s">
        <v>8957</v>
      </c>
      <c r="S810" s="1" t="s">
        <v>9103</v>
      </c>
      <c r="T810" s="1" t="s">
        <v>2281</v>
      </c>
      <c r="U810" s="1" t="s">
        <v>11</v>
      </c>
      <c r="V810" s="1" t="s">
        <v>5</v>
      </c>
      <c r="W810" s="1"/>
    </row>
    <row r="811" spans="1:23" x14ac:dyDescent="0.2">
      <c r="A811" s="89" t="s">
        <v>16196</v>
      </c>
      <c r="B811" s="1" t="e">
        <v>#N/A</v>
      </c>
      <c r="C811" s="1" t="e">
        <v>#N/A</v>
      </c>
      <c r="D811" s="5" t="s">
        <v>2282</v>
      </c>
      <c r="E811" s="1" t="s">
        <v>2283</v>
      </c>
      <c r="F811" s="1" t="e">
        <v>#N/A</v>
      </c>
      <c r="G811" s="1" t="e">
        <v>#N/A</v>
      </c>
      <c r="H811" t="e">
        <v>#N/A</v>
      </c>
      <c r="I811" s="1" t="e">
        <v>#N/A</v>
      </c>
      <c r="J811" s="1" t="e">
        <v>#N/A</v>
      </c>
      <c r="K811" s="1" t="e">
        <v>#N/A</v>
      </c>
      <c r="L811" s="1" t="e">
        <v>#N/A</v>
      </c>
      <c r="M811" s="1" t="e">
        <v>#N/A</v>
      </c>
      <c r="N811" s="1" t="e">
        <v>#N/A</v>
      </c>
      <c r="O811" s="1" t="e">
        <v>#N/A</v>
      </c>
      <c r="P811" s="1" t="e">
        <v>#N/A</v>
      </c>
      <c r="Q811" s="1" t="e">
        <v>#N/A</v>
      </c>
      <c r="R811" s="1">
        <f t="shared" ref="R811:R812" si="234">1+LEN(T811)-LEN(SUBSTITUTE(T811,",",))</f>
        <v>4</v>
      </c>
      <c r="S811" s="1" t="str">
        <f t="shared" ref="S811:S812" si="235">IF(R811&gt;4,IF(R811&lt;8,"4-7",IF(R811&gt;7,"&gt;7")),"&lt;4")</f>
        <v>&lt;4</v>
      </c>
      <c r="T811" s="1" t="s">
        <v>18977</v>
      </c>
      <c r="U811" s="1" t="s">
        <v>17</v>
      </c>
      <c r="V811" s="1" t="s">
        <v>2284</v>
      </c>
      <c r="W811" s="1"/>
    </row>
    <row r="812" spans="1:23" x14ac:dyDescent="0.2">
      <c r="A812" s="88" t="s">
        <v>16197</v>
      </c>
      <c r="B812" s="1" t="e">
        <v>#N/A</v>
      </c>
      <c r="C812" s="1" t="e">
        <v>#N/A</v>
      </c>
      <c r="D812" s="1" t="s">
        <v>2285</v>
      </c>
      <c r="E812" s="1" t="s">
        <v>2286</v>
      </c>
      <c r="F812" s="1" t="s">
        <v>18502</v>
      </c>
      <c r="G812" s="1" t="s">
        <v>8957</v>
      </c>
      <c r="H812" t="s">
        <v>9009</v>
      </c>
      <c r="I812" s="1" t="s">
        <v>9173</v>
      </c>
      <c r="J812" s="1" t="s">
        <v>9174</v>
      </c>
      <c r="K812" s="1" t="s">
        <v>18497</v>
      </c>
      <c r="L812" s="1" t="s">
        <v>8951</v>
      </c>
      <c r="M812" s="1">
        <v>668</v>
      </c>
      <c r="N812" s="1" t="s">
        <v>8953</v>
      </c>
      <c r="O812" s="1" t="s">
        <v>8954</v>
      </c>
      <c r="P812" s="1" t="e">
        <v>#N/A</v>
      </c>
      <c r="Q812" s="1" t="e">
        <v>#N/A</v>
      </c>
      <c r="R812" s="1">
        <f t="shared" si="234"/>
        <v>21</v>
      </c>
      <c r="S812" s="1" t="str">
        <f t="shared" si="235"/>
        <v>&gt;7</v>
      </c>
      <c r="T812" s="1" t="s">
        <v>18978</v>
      </c>
      <c r="U812" s="1" t="s">
        <v>7</v>
      </c>
      <c r="V812" s="1" t="s">
        <v>2287</v>
      </c>
      <c r="W812" s="1"/>
    </row>
    <row r="813" spans="1:23" x14ac:dyDescent="0.2">
      <c r="A813" s="88" t="s">
        <v>16198</v>
      </c>
      <c r="B813" s="1" t="e">
        <v>#N/A</v>
      </c>
      <c r="C813" s="1" t="s">
        <v>13971</v>
      </c>
      <c r="D813" s="1" t="s">
        <v>2288</v>
      </c>
      <c r="E813" s="1" t="s">
        <v>2289</v>
      </c>
      <c r="F813" s="1" t="s">
        <v>9010</v>
      </c>
      <c r="G813" s="1" t="s">
        <v>8959</v>
      </c>
      <c r="H813" t="s">
        <v>8959</v>
      </c>
      <c r="I813" s="1" t="s">
        <v>9049</v>
      </c>
      <c r="J813" s="1" t="s">
        <v>9050</v>
      </c>
      <c r="K813" s="1" t="s">
        <v>9036</v>
      </c>
      <c r="L813" s="1" t="s">
        <v>9292</v>
      </c>
      <c r="M813" s="1">
        <v>75137</v>
      </c>
      <c r="N813" s="1" t="s">
        <v>8953</v>
      </c>
      <c r="O813" s="1" t="s">
        <v>8954</v>
      </c>
      <c r="P813" s="1" t="s">
        <v>8955</v>
      </c>
      <c r="Q813" s="1" t="s">
        <v>8956</v>
      </c>
      <c r="R813" s="1" t="s">
        <v>8959</v>
      </c>
      <c r="S813" s="1" t="s">
        <v>9103</v>
      </c>
      <c r="T813" s="1" t="s">
        <v>2290</v>
      </c>
      <c r="U813" s="1" t="s">
        <v>4</v>
      </c>
      <c r="V813" s="1" t="s">
        <v>447</v>
      </c>
      <c r="W813" s="1"/>
    </row>
    <row r="814" spans="1:23" x14ac:dyDescent="0.2">
      <c r="A814" s="88" t="s">
        <v>16199</v>
      </c>
      <c r="B814" s="1" t="e">
        <v>#N/A</v>
      </c>
      <c r="C814" s="1" t="s">
        <v>10005</v>
      </c>
      <c r="D814" s="1" t="s">
        <v>2291</v>
      </c>
      <c r="E814" s="1" t="s">
        <v>2292</v>
      </c>
      <c r="F814" s="1" t="s">
        <v>10008</v>
      </c>
      <c r="G814" s="1" t="s">
        <v>8959</v>
      </c>
      <c r="H814" t="s">
        <v>8959</v>
      </c>
      <c r="I814" s="1" t="s">
        <v>8984</v>
      </c>
      <c r="J814" s="1" t="s">
        <v>9121</v>
      </c>
      <c r="K814" s="1" t="s">
        <v>9036</v>
      </c>
      <c r="L814" s="1" t="s">
        <v>8951</v>
      </c>
      <c r="M814" s="1">
        <v>200</v>
      </c>
      <c r="N814" s="1" t="s">
        <v>9059</v>
      </c>
      <c r="O814" s="1" t="s">
        <v>8989</v>
      </c>
      <c r="P814" s="1" t="s">
        <v>8955</v>
      </c>
      <c r="Q814" s="1" t="s">
        <v>8990</v>
      </c>
      <c r="R814" s="1" t="s">
        <v>8959</v>
      </c>
      <c r="S814" s="1" t="s">
        <v>8975</v>
      </c>
      <c r="T814" s="1" t="s">
        <v>2293</v>
      </c>
      <c r="U814" s="1" t="s">
        <v>17</v>
      </c>
      <c r="V814" s="1" t="s">
        <v>93</v>
      </c>
      <c r="W814" s="1"/>
    </row>
    <row r="815" spans="1:23" x14ac:dyDescent="0.2">
      <c r="A815" s="89" t="s">
        <v>2294</v>
      </c>
      <c r="B815" s="1" t="e">
        <v>#N/A</v>
      </c>
      <c r="C815" s="1" t="e">
        <v>#N/A</v>
      </c>
      <c r="D815" s="1" t="s">
        <v>2295</v>
      </c>
      <c r="E815" s="1" t="s">
        <v>2296</v>
      </c>
      <c r="F815" s="1" t="e">
        <v>#N/A</v>
      </c>
      <c r="G815" s="1" t="e">
        <v>#N/A</v>
      </c>
      <c r="H815" t="e">
        <v>#N/A</v>
      </c>
      <c r="I815" s="1" t="e">
        <v>#N/A</v>
      </c>
      <c r="J815" s="1" t="e">
        <v>#N/A</v>
      </c>
      <c r="K815" s="1" t="e">
        <v>#N/A</v>
      </c>
      <c r="L815" s="1" t="e">
        <v>#N/A</v>
      </c>
      <c r="M815" s="1" t="e">
        <v>#N/A</v>
      </c>
      <c r="N815" s="1" t="e">
        <v>#N/A</v>
      </c>
      <c r="O815" s="1" t="e">
        <v>#N/A</v>
      </c>
      <c r="P815" s="1" t="e">
        <v>#N/A</v>
      </c>
      <c r="Q815" s="1" t="e">
        <v>#N/A</v>
      </c>
      <c r="R815" s="1">
        <f t="shared" ref="R815:R816" si="236">1+LEN(T815)-LEN(SUBSTITUTE(T815,",",))</f>
        <v>5</v>
      </c>
      <c r="S815" s="1" t="str">
        <f t="shared" ref="S815:S816" si="237">IF(R815&gt;4,IF(R815&lt;8,"4-7",IF(R815&gt;7,"&gt;7")),"&lt;4")</f>
        <v>4-7</v>
      </c>
      <c r="T815" s="1" t="s">
        <v>18979</v>
      </c>
      <c r="U815" s="1" t="s">
        <v>7</v>
      </c>
      <c r="V815" s="1" t="s">
        <v>640</v>
      </c>
      <c r="W815" s="1"/>
    </row>
    <row r="816" spans="1:23" x14ac:dyDescent="0.2">
      <c r="A816" s="88" t="s">
        <v>16200</v>
      </c>
      <c r="B816" s="1" t="e">
        <v>#N/A</v>
      </c>
      <c r="C816" s="1" t="e">
        <v>#N/A</v>
      </c>
      <c r="D816" s="1" t="s">
        <v>2297</v>
      </c>
      <c r="E816" s="1" t="s">
        <v>2298</v>
      </c>
      <c r="F816" s="1" t="s">
        <v>9815</v>
      </c>
      <c r="G816" s="1" t="s">
        <v>9060</v>
      </c>
      <c r="H816" t="s">
        <v>8959</v>
      </c>
      <c r="I816" s="1" t="s">
        <v>9605</v>
      </c>
      <c r="J816" s="1" t="s">
        <v>9155</v>
      </c>
      <c r="K816" s="1" t="s">
        <v>21205</v>
      </c>
      <c r="L816" s="1" t="s">
        <v>8987</v>
      </c>
      <c r="M816" s="1">
        <f>100+1240+8372</f>
        <v>9712</v>
      </c>
      <c r="N816" s="1" t="s">
        <v>8953</v>
      </c>
      <c r="O816" s="1" t="s">
        <v>8954</v>
      </c>
      <c r="P816" s="1" t="e">
        <v>#N/A</v>
      </c>
      <c r="Q816" s="1" t="e">
        <v>#N/A</v>
      </c>
      <c r="R816" s="1">
        <f t="shared" si="236"/>
        <v>7</v>
      </c>
      <c r="S816" s="1" t="str">
        <f t="shared" si="237"/>
        <v>4-7</v>
      </c>
      <c r="T816" s="1" t="s">
        <v>20586</v>
      </c>
      <c r="U816" s="1" t="s">
        <v>7</v>
      </c>
      <c r="V816" s="1" t="s">
        <v>342</v>
      </c>
      <c r="W816" s="1"/>
    </row>
    <row r="817" spans="1:23" x14ac:dyDescent="0.2">
      <c r="A817" s="88" t="s">
        <v>16201</v>
      </c>
      <c r="B817" s="1" t="e">
        <v>#N/A</v>
      </c>
      <c r="C817" s="1" t="s">
        <v>10833</v>
      </c>
      <c r="D817" s="1" t="s">
        <v>2299</v>
      </c>
      <c r="E817" s="1" t="s">
        <v>2300</v>
      </c>
      <c r="F817" s="1" t="s">
        <v>11671</v>
      </c>
      <c r="G817" s="1" t="s">
        <v>8957</v>
      </c>
      <c r="H817" t="s">
        <v>8959</v>
      </c>
      <c r="I817" s="1" t="s">
        <v>8948</v>
      </c>
      <c r="J817" s="1" t="s">
        <v>9155</v>
      </c>
      <c r="K817" s="1" t="s">
        <v>9036</v>
      </c>
      <c r="L817" s="1" t="s">
        <v>8987</v>
      </c>
      <c r="M817" s="1">
        <v>1140</v>
      </c>
      <c r="N817" s="1" t="s">
        <v>8953</v>
      </c>
      <c r="O817" s="1" t="s">
        <v>8954</v>
      </c>
      <c r="P817" s="1" t="s">
        <v>8955</v>
      </c>
      <c r="Q817" s="1" t="s">
        <v>8956</v>
      </c>
      <c r="R817" s="1" t="s">
        <v>8957</v>
      </c>
      <c r="S817" s="1" t="s">
        <v>8958</v>
      </c>
      <c r="T817" s="1" t="s">
        <v>2301</v>
      </c>
      <c r="U817" s="1" t="s">
        <v>11</v>
      </c>
      <c r="V817" s="1" t="s">
        <v>46</v>
      </c>
      <c r="W817" s="1"/>
    </row>
    <row r="818" spans="1:23" x14ac:dyDescent="0.2">
      <c r="A818" s="88" t="s">
        <v>16202</v>
      </c>
      <c r="B818" s="1" t="e">
        <v>#N/A</v>
      </c>
      <c r="C818" s="1" t="e">
        <v>#N/A</v>
      </c>
      <c r="D818" s="1" t="s">
        <v>2302</v>
      </c>
      <c r="E818" s="1" t="s">
        <v>2303</v>
      </c>
      <c r="F818" s="1" t="s">
        <v>9815</v>
      </c>
      <c r="G818" s="1" t="s">
        <v>8957</v>
      </c>
      <c r="H818" t="s">
        <v>8959</v>
      </c>
      <c r="I818" s="1" t="s">
        <v>9100</v>
      </c>
      <c r="J818" s="1" t="s">
        <v>8949</v>
      </c>
      <c r="K818" s="1" t="s">
        <v>20825</v>
      </c>
      <c r="L818" s="1" t="s">
        <v>8987</v>
      </c>
      <c r="M818" s="1">
        <v>65</v>
      </c>
      <c r="N818" s="1" t="s">
        <v>9059</v>
      </c>
      <c r="O818" s="1" t="s">
        <v>8954</v>
      </c>
      <c r="P818" s="1" t="e">
        <v>#N/A</v>
      </c>
      <c r="Q818" s="1" t="e">
        <v>#N/A</v>
      </c>
      <c r="R818" s="1">
        <f t="shared" ref="R818:R822" si="238">1+LEN(T818)-LEN(SUBSTITUTE(T818,",",))</f>
        <v>2</v>
      </c>
      <c r="S818" s="1" t="str">
        <f t="shared" ref="S818:S822" si="239">IF(R818&gt;4,IF(R818&lt;8,"4-7",IF(R818&gt;7,"&gt;7")),"&lt;4")</f>
        <v>&lt;4</v>
      </c>
      <c r="T818" s="1" t="s">
        <v>18980</v>
      </c>
      <c r="U818" s="1" t="s">
        <v>7</v>
      </c>
      <c r="V818" s="1" t="s">
        <v>2304</v>
      </c>
      <c r="W818" s="1"/>
    </row>
    <row r="819" spans="1:23" x14ac:dyDescent="0.2">
      <c r="A819" s="88" t="s">
        <v>16203</v>
      </c>
      <c r="B819" s="1" t="e">
        <v>#N/A</v>
      </c>
      <c r="C819" s="1" t="e">
        <v>#N/A</v>
      </c>
      <c r="D819" s="1" t="s">
        <v>2305</v>
      </c>
      <c r="E819" s="1" t="s">
        <v>2306</v>
      </c>
      <c r="F819" s="1" t="s">
        <v>9310</v>
      </c>
      <c r="G819" s="1" t="s">
        <v>8957</v>
      </c>
      <c r="H819" t="s">
        <v>8959</v>
      </c>
      <c r="I819" s="1" t="s">
        <v>9075</v>
      </c>
      <c r="J819" s="1" t="s">
        <v>8949</v>
      </c>
      <c r="K819" s="1" t="s">
        <v>20826</v>
      </c>
      <c r="L819" s="1" t="s">
        <v>8973</v>
      </c>
      <c r="M819" s="1">
        <v>1392</v>
      </c>
      <c r="N819" s="1" t="s">
        <v>8953</v>
      </c>
      <c r="O819" s="1" t="s">
        <v>8954</v>
      </c>
      <c r="P819" s="1" t="e">
        <v>#N/A</v>
      </c>
      <c r="Q819" s="1" t="e">
        <v>#N/A</v>
      </c>
      <c r="R819" s="1">
        <f t="shared" si="238"/>
        <v>6</v>
      </c>
      <c r="S819" s="1" t="str">
        <f t="shared" si="239"/>
        <v>4-7</v>
      </c>
      <c r="T819" s="1" t="s">
        <v>18981</v>
      </c>
      <c r="U819" s="1" t="s">
        <v>17</v>
      </c>
      <c r="V819" s="1" t="s">
        <v>2307</v>
      </c>
      <c r="W819" s="1"/>
    </row>
    <row r="820" spans="1:23" x14ac:dyDescent="0.2">
      <c r="A820" s="88" t="s">
        <v>16204</v>
      </c>
      <c r="B820" s="1" t="e">
        <v>#N/A</v>
      </c>
      <c r="C820" s="1" t="e">
        <v>#N/A</v>
      </c>
      <c r="D820" s="1" t="s">
        <v>2308</v>
      </c>
      <c r="E820" s="1" t="s">
        <v>2309</v>
      </c>
      <c r="F820" s="1" t="s">
        <v>18502</v>
      </c>
      <c r="G820" s="1" t="s">
        <v>8957</v>
      </c>
      <c r="H820" t="s">
        <v>8959</v>
      </c>
      <c r="I820" s="1" t="s">
        <v>9035</v>
      </c>
      <c r="J820" s="1" t="s">
        <v>8998</v>
      </c>
      <c r="K820" s="1" t="s">
        <v>10492</v>
      </c>
      <c r="L820" s="1" t="s">
        <v>8951</v>
      </c>
      <c r="M820" s="1">
        <f>3202+7412</f>
        <v>10614</v>
      </c>
      <c r="N820" s="1" t="s">
        <v>8953</v>
      </c>
      <c r="O820" s="1" t="s">
        <v>8954</v>
      </c>
      <c r="P820" s="1" t="e">
        <v>#N/A</v>
      </c>
      <c r="Q820" s="1" t="e">
        <v>#N/A</v>
      </c>
      <c r="R820" s="1">
        <f t="shared" si="238"/>
        <v>5</v>
      </c>
      <c r="S820" s="1" t="str">
        <f t="shared" si="239"/>
        <v>4-7</v>
      </c>
      <c r="T820" s="1" t="s">
        <v>18982</v>
      </c>
      <c r="U820" s="1" t="s">
        <v>17</v>
      </c>
      <c r="V820" s="1" t="s">
        <v>61</v>
      </c>
      <c r="W820" s="1"/>
    </row>
    <row r="821" spans="1:23" x14ac:dyDescent="0.2">
      <c r="A821" s="89" t="s">
        <v>2310</v>
      </c>
      <c r="B821" s="1" t="e">
        <v>#N/A</v>
      </c>
      <c r="C821" s="1" t="e">
        <v>#N/A</v>
      </c>
      <c r="D821" s="1" t="s">
        <v>2311</v>
      </c>
      <c r="E821" s="1" t="s">
        <v>2312</v>
      </c>
      <c r="F821" s="1" t="e">
        <v>#N/A</v>
      </c>
      <c r="G821" s="1" t="e">
        <v>#N/A</v>
      </c>
      <c r="H821" t="e">
        <v>#N/A</v>
      </c>
      <c r="I821" s="1" t="e">
        <v>#N/A</v>
      </c>
      <c r="J821" s="1" t="e">
        <v>#N/A</v>
      </c>
      <c r="K821" s="1"/>
      <c r="L821" s="1"/>
      <c r="M821" s="1"/>
      <c r="N821" s="1"/>
      <c r="O821" s="1"/>
      <c r="P821" s="1" t="e">
        <v>#N/A</v>
      </c>
      <c r="Q821" s="1" t="e">
        <v>#N/A</v>
      </c>
      <c r="R821" s="1">
        <f t="shared" si="238"/>
        <v>3</v>
      </c>
      <c r="S821" s="1" t="str">
        <f t="shared" si="239"/>
        <v>&lt;4</v>
      </c>
      <c r="T821" s="1" t="s">
        <v>18983</v>
      </c>
      <c r="U821" s="1" t="s">
        <v>17</v>
      </c>
      <c r="V821" s="1" t="s">
        <v>180</v>
      </c>
      <c r="W821" s="1"/>
    </row>
    <row r="822" spans="1:23" x14ac:dyDescent="0.2">
      <c r="A822" s="88" t="s">
        <v>16205</v>
      </c>
      <c r="B822" s="1" t="e">
        <v>#N/A</v>
      </c>
      <c r="C822" s="1" t="e">
        <v>#N/A</v>
      </c>
      <c r="D822" s="1" t="s">
        <v>2313</v>
      </c>
      <c r="E822" s="1" t="s">
        <v>2314</v>
      </c>
      <c r="F822" s="1" t="s">
        <v>9380</v>
      </c>
      <c r="G822" s="1" t="s">
        <v>8957</v>
      </c>
      <c r="H822" t="s">
        <v>8959</v>
      </c>
      <c r="I822" s="1" t="s">
        <v>9252</v>
      </c>
      <c r="J822" s="1" t="s">
        <v>8985</v>
      </c>
      <c r="K822" s="1" t="s">
        <v>10492</v>
      </c>
      <c r="L822" s="1" t="s">
        <v>8951</v>
      </c>
      <c r="M822" s="1">
        <f>773+55+90</f>
        <v>918</v>
      </c>
      <c r="N822" s="1" t="s">
        <v>8953</v>
      </c>
      <c r="O822" s="1" t="s">
        <v>8954</v>
      </c>
      <c r="P822" s="1" t="e">
        <v>#N/A</v>
      </c>
      <c r="Q822" s="1" t="e">
        <v>#N/A</v>
      </c>
      <c r="R822" s="1">
        <f t="shared" si="238"/>
        <v>7</v>
      </c>
      <c r="S822" s="1" t="str">
        <f t="shared" si="239"/>
        <v>4-7</v>
      </c>
      <c r="T822" s="1" t="s">
        <v>20587</v>
      </c>
      <c r="U822" s="1" t="s">
        <v>7</v>
      </c>
      <c r="V822" s="1" t="s">
        <v>1089</v>
      </c>
      <c r="W822" s="1"/>
    </row>
    <row r="823" spans="1:23" x14ac:dyDescent="0.2">
      <c r="A823" s="88" t="s">
        <v>16206</v>
      </c>
      <c r="B823" s="1" t="e">
        <v>#N/A</v>
      </c>
      <c r="C823" s="1" t="s">
        <v>12572</v>
      </c>
      <c r="D823" s="1" t="s">
        <v>2315</v>
      </c>
      <c r="E823" s="1" t="s">
        <v>2316</v>
      </c>
      <c r="F823" s="1" t="s">
        <v>9246</v>
      </c>
      <c r="G823" s="1" t="s">
        <v>8957</v>
      </c>
      <c r="H823" t="s">
        <v>9009</v>
      </c>
      <c r="I823" s="1" t="s">
        <v>9252</v>
      </c>
      <c r="J823" s="1" t="s">
        <v>8998</v>
      </c>
      <c r="K823" s="1" t="s">
        <v>9036</v>
      </c>
      <c r="L823" s="1" t="s">
        <v>8951</v>
      </c>
      <c r="M823" s="1">
        <v>1181</v>
      </c>
      <c r="N823" s="1" t="s">
        <v>8953</v>
      </c>
      <c r="O823" s="1" t="s">
        <v>8954</v>
      </c>
      <c r="P823" s="1" t="s">
        <v>8955</v>
      </c>
      <c r="Q823" s="1" t="s">
        <v>8956</v>
      </c>
      <c r="R823" s="1" t="s">
        <v>8957</v>
      </c>
      <c r="S823" s="1" t="s">
        <v>8975</v>
      </c>
      <c r="T823" s="1" t="s">
        <v>2317</v>
      </c>
      <c r="U823" s="1" t="s">
        <v>11</v>
      </c>
      <c r="V823" s="1" t="s">
        <v>1780</v>
      </c>
      <c r="W823" s="1"/>
    </row>
    <row r="824" spans="1:23" x14ac:dyDescent="0.2">
      <c r="A824" s="88" t="s">
        <v>16207</v>
      </c>
      <c r="B824" s="1" t="e">
        <v>#N/A</v>
      </c>
      <c r="C824" s="1" t="e">
        <v>#N/A</v>
      </c>
      <c r="D824" s="1" t="s">
        <v>2318</v>
      </c>
      <c r="E824" s="1" t="s">
        <v>2319</v>
      </c>
      <c r="F824" s="1" t="s">
        <v>9636</v>
      </c>
      <c r="G824" s="1" t="s">
        <v>8957</v>
      </c>
      <c r="H824" t="s">
        <v>8959</v>
      </c>
      <c r="I824" s="1" t="s">
        <v>9100</v>
      </c>
      <c r="J824" s="1" t="s">
        <v>9101</v>
      </c>
      <c r="K824" s="1" t="s">
        <v>20779</v>
      </c>
      <c r="L824" s="1" t="s">
        <v>8987</v>
      </c>
      <c r="M824" s="1">
        <v>204</v>
      </c>
      <c r="N824" s="1" t="s">
        <v>8953</v>
      </c>
      <c r="O824" s="1" t="s">
        <v>8989</v>
      </c>
      <c r="P824" s="1" t="e">
        <v>#N/A</v>
      </c>
      <c r="Q824" s="1" t="e">
        <v>#N/A</v>
      </c>
      <c r="R824" s="1">
        <f t="shared" ref="R824:R827" si="240">1+LEN(T824)-LEN(SUBSTITUTE(T824,",",))</f>
        <v>13</v>
      </c>
      <c r="S824" s="1" t="str">
        <f t="shared" ref="S824:S827" si="241">IF(R824&gt;4,IF(R824&lt;8,"4-7",IF(R824&gt;7,"&gt;7")),"&lt;4")</f>
        <v>&gt;7</v>
      </c>
      <c r="T824" s="1" t="s">
        <v>18984</v>
      </c>
      <c r="U824" s="1" t="s">
        <v>7</v>
      </c>
      <c r="V824" s="1" t="s">
        <v>1089</v>
      </c>
      <c r="W824" s="1"/>
    </row>
    <row r="825" spans="1:23" x14ac:dyDescent="0.2">
      <c r="A825" s="88" t="s">
        <v>16208</v>
      </c>
      <c r="B825" s="1" t="e">
        <v>#N/A</v>
      </c>
      <c r="C825" s="1" t="e">
        <v>#N/A</v>
      </c>
      <c r="D825" s="1" t="s">
        <v>2320</v>
      </c>
      <c r="E825" s="1" t="s">
        <v>2321</v>
      </c>
      <c r="F825" s="1" t="s">
        <v>9317</v>
      </c>
      <c r="G825" s="1" t="s">
        <v>8959</v>
      </c>
      <c r="H825" t="s">
        <v>8959</v>
      </c>
      <c r="I825" s="1" t="s">
        <v>8984</v>
      </c>
      <c r="J825" s="1" t="s">
        <v>9101</v>
      </c>
      <c r="K825" s="1" t="s">
        <v>21357</v>
      </c>
      <c r="L825" s="1" t="s">
        <v>8987</v>
      </c>
      <c r="M825" s="1">
        <v>1577</v>
      </c>
      <c r="N825" s="1" t="s">
        <v>8953</v>
      </c>
      <c r="O825" s="1" t="s">
        <v>8989</v>
      </c>
      <c r="P825" s="1" t="e">
        <v>#N/A</v>
      </c>
      <c r="Q825" s="1" t="e">
        <v>#N/A</v>
      </c>
      <c r="R825" s="1">
        <f t="shared" si="240"/>
        <v>7</v>
      </c>
      <c r="S825" s="1" t="str">
        <f t="shared" si="241"/>
        <v>4-7</v>
      </c>
      <c r="T825" s="1" t="s">
        <v>18985</v>
      </c>
      <c r="U825" s="1" t="s">
        <v>17</v>
      </c>
      <c r="V825" s="1" t="s">
        <v>64</v>
      </c>
      <c r="W825" s="1"/>
    </row>
    <row r="826" spans="1:23" x14ac:dyDescent="0.2">
      <c r="A826" s="88" t="s">
        <v>16209</v>
      </c>
      <c r="B826" s="1" t="e">
        <v>#N/A</v>
      </c>
      <c r="C826" s="1" t="e">
        <v>#N/A</v>
      </c>
      <c r="D826" s="1" t="s">
        <v>2322</v>
      </c>
      <c r="E826" s="1" t="s">
        <v>2323</v>
      </c>
      <c r="F826" s="1" t="s">
        <v>9317</v>
      </c>
      <c r="G826" s="1" t="s">
        <v>8959</v>
      </c>
      <c r="H826" t="s">
        <v>8959</v>
      </c>
      <c r="I826" s="1" t="s">
        <v>9154</v>
      </c>
      <c r="J826" s="1" t="s">
        <v>20725</v>
      </c>
      <c r="K826" s="1" t="s">
        <v>21199</v>
      </c>
      <c r="L826" s="1" t="s">
        <v>8951</v>
      </c>
      <c r="M826" s="1">
        <v>4000</v>
      </c>
      <c r="N826" s="1" t="s">
        <v>8953</v>
      </c>
      <c r="O826" s="1" t="s">
        <v>8989</v>
      </c>
      <c r="P826" s="1" t="e">
        <v>#N/A</v>
      </c>
      <c r="Q826" s="1" t="e">
        <v>#N/A</v>
      </c>
      <c r="R826" s="1">
        <f t="shared" si="240"/>
        <v>7</v>
      </c>
      <c r="S826" s="1" t="str">
        <f t="shared" si="241"/>
        <v>4-7</v>
      </c>
      <c r="T826" s="1" t="s">
        <v>18986</v>
      </c>
      <c r="U826" s="1" t="s">
        <v>17</v>
      </c>
      <c r="V826" s="1" t="s">
        <v>61</v>
      </c>
      <c r="W826" s="1"/>
    </row>
    <row r="827" spans="1:23" x14ac:dyDescent="0.2">
      <c r="A827" s="88" t="s">
        <v>16210</v>
      </c>
      <c r="B827" s="1" t="e">
        <v>#N/A</v>
      </c>
      <c r="C827" s="1" t="e">
        <v>#N/A</v>
      </c>
      <c r="D827" s="1" t="s">
        <v>2324</v>
      </c>
      <c r="E827" s="1" t="s">
        <v>2325</v>
      </c>
      <c r="F827" s="1" t="s">
        <v>9317</v>
      </c>
      <c r="G827" s="1" t="s">
        <v>8957</v>
      </c>
      <c r="H827" t="s">
        <v>8959</v>
      </c>
      <c r="I827" s="1" t="s">
        <v>9605</v>
      </c>
      <c r="J827" s="1" t="s">
        <v>20725</v>
      </c>
      <c r="K827" s="1" t="s">
        <v>21358</v>
      </c>
      <c r="L827" s="1" t="s">
        <v>9076</v>
      </c>
      <c r="M827" s="1">
        <v>90000</v>
      </c>
      <c r="N827" s="1" t="s">
        <v>8953</v>
      </c>
      <c r="O827" s="1" t="s">
        <v>8989</v>
      </c>
      <c r="P827" s="1" t="e">
        <v>#N/A</v>
      </c>
      <c r="Q827" s="1" t="e">
        <v>#N/A</v>
      </c>
      <c r="R827" s="1">
        <f t="shared" si="240"/>
        <v>9</v>
      </c>
      <c r="S827" s="1" t="str">
        <f t="shared" si="241"/>
        <v>&gt;7</v>
      </c>
      <c r="T827" s="1" t="s">
        <v>18987</v>
      </c>
      <c r="U827" s="1" t="s">
        <v>17</v>
      </c>
      <c r="V827" s="1" t="s">
        <v>64</v>
      </c>
      <c r="W827" s="1"/>
    </row>
    <row r="828" spans="1:23" x14ac:dyDescent="0.2">
      <c r="A828" s="88" t="s">
        <v>16211</v>
      </c>
      <c r="B828" s="1" t="e">
        <v>#N/A</v>
      </c>
      <c r="C828" s="1" t="s">
        <v>12772</v>
      </c>
      <c r="D828" s="1" t="s">
        <v>2326</v>
      </c>
      <c r="E828" s="1" t="s">
        <v>2327</v>
      </c>
      <c r="F828" s="1" t="s">
        <v>9317</v>
      </c>
      <c r="G828" s="1" t="s">
        <v>8959</v>
      </c>
      <c r="H828" t="s">
        <v>8959</v>
      </c>
      <c r="I828" s="1" t="s">
        <v>9605</v>
      </c>
      <c r="J828" s="1" t="s">
        <v>9325</v>
      </c>
      <c r="K828" s="1" t="s">
        <v>10258</v>
      </c>
      <c r="L828" s="1" t="s">
        <v>9464</v>
      </c>
      <c r="M828" s="1">
        <v>100</v>
      </c>
      <c r="N828" s="1" t="s">
        <v>8953</v>
      </c>
      <c r="O828" s="1" t="s">
        <v>8954</v>
      </c>
      <c r="P828" s="1" t="s">
        <v>8955</v>
      </c>
      <c r="Q828" s="1" t="s">
        <v>8956</v>
      </c>
      <c r="R828" s="1" t="s">
        <v>8959</v>
      </c>
      <c r="S828" s="1" t="s">
        <v>9103</v>
      </c>
      <c r="T828" s="1" t="s">
        <v>2328</v>
      </c>
      <c r="U828" s="1" t="s">
        <v>11</v>
      </c>
      <c r="V828" s="1" t="s">
        <v>126</v>
      </c>
      <c r="W828" s="1"/>
    </row>
    <row r="829" spans="1:23" x14ac:dyDescent="0.2">
      <c r="A829" s="88" t="s">
        <v>16212</v>
      </c>
      <c r="B829" s="1" t="e">
        <v>#N/A</v>
      </c>
      <c r="C829" s="1" t="e">
        <v>#N/A</v>
      </c>
      <c r="D829" s="1" t="s">
        <v>2329</v>
      </c>
      <c r="E829" s="1" t="s">
        <v>2330</v>
      </c>
      <c r="F829" s="1" t="s">
        <v>9317</v>
      </c>
      <c r="G829" s="1" t="s">
        <v>8957</v>
      </c>
      <c r="H829" t="s">
        <v>8959</v>
      </c>
      <c r="I829" s="1" t="s">
        <v>9173</v>
      </c>
      <c r="J829" s="1" t="s">
        <v>9174</v>
      </c>
      <c r="K829" s="1" t="s">
        <v>21268</v>
      </c>
      <c r="L829" s="1" t="s">
        <v>8987</v>
      </c>
      <c r="M829" s="1">
        <v>10000</v>
      </c>
      <c r="N829" s="1" t="s">
        <v>8953</v>
      </c>
      <c r="O829" s="1" t="s">
        <v>8989</v>
      </c>
      <c r="P829" s="1" t="e">
        <v>#N/A</v>
      </c>
      <c r="Q829" s="1" t="e">
        <v>#N/A</v>
      </c>
      <c r="R829" s="1">
        <f t="shared" ref="R829:R830" si="242">1+LEN(T829)-LEN(SUBSTITUTE(T829,",",))</f>
        <v>8</v>
      </c>
      <c r="S829" s="1" t="str">
        <f t="shared" ref="S829:S830" si="243">IF(R829&gt;4,IF(R829&lt;8,"4-7",IF(R829&gt;7,"&gt;7")),"&lt;4")</f>
        <v>&gt;7</v>
      </c>
      <c r="T829" s="1" t="s">
        <v>18988</v>
      </c>
      <c r="U829" s="1" t="s">
        <v>7</v>
      </c>
      <c r="V829" s="1" t="s">
        <v>1076</v>
      </c>
      <c r="W829" s="1"/>
    </row>
    <row r="830" spans="1:23" x14ac:dyDescent="0.2">
      <c r="A830" s="88" t="s">
        <v>16213</v>
      </c>
      <c r="B830" s="1" t="e">
        <v>#N/A</v>
      </c>
      <c r="C830" s="1" t="e">
        <v>#N/A</v>
      </c>
      <c r="D830" s="1" t="s">
        <v>2331</v>
      </c>
      <c r="E830" s="1" t="s">
        <v>2332</v>
      </c>
      <c r="F830" s="1" t="e">
        <v>#N/A</v>
      </c>
      <c r="G830" s="1" t="e">
        <v>#N/A</v>
      </c>
      <c r="H830" t="e">
        <v>#N/A</v>
      </c>
      <c r="I830" s="1" t="e">
        <v>#N/A</v>
      </c>
      <c r="J830" s="1" t="e">
        <v>#N/A</v>
      </c>
      <c r="K830" s="1" t="e">
        <v>#N/A</v>
      </c>
      <c r="L830" s="1" t="e">
        <v>#N/A</v>
      </c>
      <c r="M830" s="1" t="e">
        <v>#N/A</v>
      </c>
      <c r="N830" s="1" t="e">
        <v>#N/A</v>
      </c>
      <c r="O830" s="1" t="e">
        <v>#N/A</v>
      </c>
      <c r="P830" s="1" t="e">
        <v>#N/A</v>
      </c>
      <c r="Q830" s="1" t="e">
        <v>#N/A</v>
      </c>
      <c r="R830" s="1">
        <f t="shared" si="242"/>
        <v>5</v>
      </c>
      <c r="S830" s="1" t="str">
        <f t="shared" si="243"/>
        <v>4-7</v>
      </c>
      <c r="T830" s="1" t="s">
        <v>18989</v>
      </c>
      <c r="U830" s="1" t="s">
        <v>252</v>
      </c>
      <c r="V830" s="1" t="s">
        <v>2333</v>
      </c>
      <c r="W830" s="1"/>
    </row>
    <row r="831" spans="1:23" x14ac:dyDescent="0.2">
      <c r="A831" s="88" t="s">
        <v>16214</v>
      </c>
      <c r="B831" s="1" t="e">
        <v>#N/A</v>
      </c>
      <c r="C831" s="1" t="s">
        <v>14006</v>
      </c>
      <c r="D831" s="1" t="s">
        <v>2334</v>
      </c>
      <c r="E831" s="1" t="s">
        <v>2335</v>
      </c>
      <c r="F831" s="1" t="s">
        <v>9246</v>
      </c>
      <c r="G831" s="1" t="s">
        <v>8957</v>
      </c>
      <c r="H831" t="s">
        <v>8959</v>
      </c>
      <c r="I831" s="1" t="s">
        <v>8948</v>
      </c>
      <c r="J831" s="1" t="s">
        <v>8949</v>
      </c>
      <c r="K831" s="1" t="s">
        <v>9036</v>
      </c>
      <c r="L831" s="1" t="s">
        <v>8951</v>
      </c>
      <c r="M831" s="1">
        <v>420000</v>
      </c>
      <c r="N831" s="1" t="s">
        <v>8953</v>
      </c>
      <c r="O831" s="1" t="s">
        <v>8954</v>
      </c>
      <c r="P831" s="1" t="s">
        <v>8955</v>
      </c>
      <c r="Q831" s="1" t="s">
        <v>8956</v>
      </c>
      <c r="R831" s="1" t="s">
        <v>8957</v>
      </c>
      <c r="S831" s="1" t="s">
        <v>8975</v>
      </c>
      <c r="T831" s="1" t="s">
        <v>2336</v>
      </c>
      <c r="U831" s="1" t="s">
        <v>4</v>
      </c>
      <c r="V831" s="1" t="s">
        <v>57</v>
      </c>
      <c r="W831" s="1"/>
    </row>
    <row r="832" spans="1:23" x14ac:dyDescent="0.2">
      <c r="A832" s="94" t="s">
        <v>16215</v>
      </c>
      <c r="B832" s="1" t="e">
        <v>#N/A</v>
      </c>
      <c r="C832" s="1" t="e">
        <v>#N/A</v>
      </c>
      <c r="D832" s="1" t="s">
        <v>2337</v>
      </c>
      <c r="E832" s="1" t="s">
        <v>2338</v>
      </c>
      <c r="F832" s="1" t="e">
        <v>#N/A</v>
      </c>
      <c r="G832" s="1" t="e">
        <v>#N/A</v>
      </c>
      <c r="H832" t="e">
        <v>#N/A</v>
      </c>
      <c r="I832" s="1" t="e">
        <v>#N/A</v>
      </c>
      <c r="J832" s="1" t="e">
        <v>#N/A</v>
      </c>
      <c r="K832" s="1" t="e">
        <v>#N/A</v>
      </c>
      <c r="L832" s="1" t="e">
        <v>#N/A</v>
      </c>
      <c r="M832" s="1" t="e">
        <v>#N/A</v>
      </c>
      <c r="N832" s="1" t="e">
        <v>#N/A</v>
      </c>
      <c r="O832" s="1" t="e">
        <v>#N/A</v>
      </c>
      <c r="P832" s="1" t="e">
        <v>#N/A</v>
      </c>
      <c r="Q832" s="1" t="e">
        <v>#N/A</v>
      </c>
      <c r="R832" s="1">
        <f t="shared" ref="R832:R834" si="244">1+LEN(T832)-LEN(SUBSTITUTE(T832,",",))</f>
        <v>5</v>
      </c>
      <c r="S832" s="1" t="str">
        <f t="shared" ref="S832:S834" si="245">IF(R832&gt;4,IF(R832&lt;8,"4-7",IF(R832&gt;7,"&gt;7")),"&lt;4")</f>
        <v>4-7</v>
      </c>
      <c r="T832" s="1" t="s">
        <v>18990</v>
      </c>
      <c r="U832" s="1" t="s">
        <v>4</v>
      </c>
      <c r="V832" s="1" t="s">
        <v>1397</v>
      </c>
      <c r="W832" s="1"/>
    </row>
    <row r="833" spans="1:23" x14ac:dyDescent="0.2">
      <c r="A833" s="88" t="s">
        <v>16216</v>
      </c>
      <c r="B833" s="1" t="e">
        <v>#N/A</v>
      </c>
      <c r="C833" s="1" t="e">
        <v>#N/A</v>
      </c>
      <c r="D833" s="1" t="s">
        <v>2339</v>
      </c>
      <c r="E833" s="1" t="s">
        <v>2340</v>
      </c>
      <c r="F833" s="1" t="s">
        <v>18502</v>
      </c>
      <c r="G833" s="1" t="s">
        <v>8957</v>
      </c>
      <c r="H833" t="s">
        <v>8959</v>
      </c>
      <c r="I833" s="1" t="s">
        <v>9252</v>
      </c>
      <c r="J833" s="1" t="s">
        <v>8998</v>
      </c>
      <c r="K833" s="1" t="s">
        <v>10492</v>
      </c>
      <c r="L833" s="1" t="s">
        <v>8973</v>
      </c>
      <c r="M833" s="1">
        <v>45621</v>
      </c>
      <c r="N833" s="1" t="s">
        <v>8953</v>
      </c>
      <c r="O833" s="1" t="s">
        <v>8989</v>
      </c>
      <c r="P833" s="1" t="e">
        <v>#N/A</v>
      </c>
      <c r="Q833" s="1" t="e">
        <v>#N/A</v>
      </c>
      <c r="R833" s="1">
        <f t="shared" si="244"/>
        <v>5</v>
      </c>
      <c r="S833" s="1" t="str">
        <f t="shared" si="245"/>
        <v>4-7</v>
      </c>
      <c r="T833" s="1" t="s">
        <v>20588</v>
      </c>
      <c r="U833" s="1" t="s">
        <v>17</v>
      </c>
      <c r="V833" s="1" t="s">
        <v>93</v>
      </c>
      <c r="W833" s="1"/>
    </row>
    <row r="834" spans="1:23" x14ac:dyDescent="0.2">
      <c r="A834" s="88" t="s">
        <v>16217</v>
      </c>
      <c r="B834" s="1" t="e">
        <v>#N/A</v>
      </c>
      <c r="C834" s="1" t="e">
        <v>#N/A</v>
      </c>
      <c r="D834" s="1" t="s">
        <v>2341</v>
      </c>
      <c r="E834" s="1" t="s">
        <v>2342</v>
      </c>
      <c r="F834" s="1" t="s">
        <v>9246</v>
      </c>
      <c r="G834" s="1" t="s">
        <v>8957</v>
      </c>
      <c r="H834" t="s">
        <v>8959</v>
      </c>
      <c r="I834" s="1" t="s">
        <v>9252</v>
      </c>
      <c r="J834" s="1" t="s">
        <v>8985</v>
      </c>
      <c r="K834" s="1" t="s">
        <v>18489</v>
      </c>
      <c r="L834" s="1" t="s">
        <v>8951</v>
      </c>
      <c r="M834" s="1">
        <f>111+159+129+49+80-1</f>
        <v>527</v>
      </c>
      <c r="N834" s="1" t="s">
        <v>8953</v>
      </c>
      <c r="O834" s="1" t="s">
        <v>8954</v>
      </c>
      <c r="P834" s="1" t="e">
        <v>#N/A</v>
      </c>
      <c r="Q834" s="1" t="e">
        <v>#N/A</v>
      </c>
      <c r="R834" s="1">
        <f t="shared" si="244"/>
        <v>6</v>
      </c>
      <c r="S834" s="1" t="str">
        <f t="shared" si="245"/>
        <v>4-7</v>
      </c>
      <c r="T834" s="1" t="s">
        <v>18991</v>
      </c>
      <c r="U834" s="1" t="s">
        <v>17</v>
      </c>
      <c r="V834" s="1" t="s">
        <v>286</v>
      </c>
      <c r="W834" s="1"/>
    </row>
    <row r="835" spans="1:23" x14ac:dyDescent="0.2">
      <c r="A835" s="89" t="s">
        <v>2343</v>
      </c>
      <c r="B835" s="1" t="e">
        <v>#N/A</v>
      </c>
      <c r="C835" s="1" t="s">
        <v>12373</v>
      </c>
      <c r="D835" s="1" t="s">
        <v>2344</v>
      </c>
      <c r="E835" s="1" t="s">
        <v>2345</v>
      </c>
      <c r="F835" s="1" t="s">
        <v>9213</v>
      </c>
      <c r="G835" s="1" t="s">
        <v>8957</v>
      </c>
      <c r="H835" t="s">
        <v>9183</v>
      </c>
      <c r="I835" s="1" t="s">
        <v>9049</v>
      </c>
      <c r="J835" s="1" t="s">
        <v>9121</v>
      </c>
      <c r="K835" s="1" t="s">
        <v>9036</v>
      </c>
      <c r="L835" s="1" t="s">
        <v>8951</v>
      </c>
      <c r="M835" s="1">
        <v>260</v>
      </c>
      <c r="N835" s="1" t="s">
        <v>8953</v>
      </c>
      <c r="O835" s="1" t="s">
        <v>8954</v>
      </c>
      <c r="P835" s="1" t="s">
        <v>8955</v>
      </c>
      <c r="Q835" s="1" t="s">
        <v>8956</v>
      </c>
      <c r="R835" s="1" t="s">
        <v>8957</v>
      </c>
      <c r="S835" s="1" t="s">
        <v>8958</v>
      </c>
      <c r="T835" s="1" t="s">
        <v>2346</v>
      </c>
      <c r="U835" s="1" t="s">
        <v>11</v>
      </c>
      <c r="V835" s="1" t="s">
        <v>1385</v>
      </c>
      <c r="W835" s="1"/>
    </row>
    <row r="836" spans="1:23" x14ac:dyDescent="0.2">
      <c r="A836" s="88" t="s">
        <v>16218</v>
      </c>
      <c r="B836" s="1" t="e">
        <v>#N/A</v>
      </c>
      <c r="C836" s="1" t="s">
        <v>12106</v>
      </c>
      <c r="D836" s="1" t="s">
        <v>2347</v>
      </c>
      <c r="E836" s="1" t="s">
        <v>2348</v>
      </c>
      <c r="F836" s="1" t="s">
        <v>9010</v>
      </c>
      <c r="G836" s="1" t="s">
        <v>8959</v>
      </c>
      <c r="H836" t="s">
        <v>8959</v>
      </c>
      <c r="I836" s="1" t="s">
        <v>8948</v>
      </c>
      <c r="J836" s="1" t="s">
        <v>8998</v>
      </c>
      <c r="K836" s="1" t="s">
        <v>9036</v>
      </c>
      <c r="L836" s="1" t="s">
        <v>8951</v>
      </c>
      <c r="M836" s="1">
        <v>5043</v>
      </c>
      <c r="N836" s="1" t="s">
        <v>8953</v>
      </c>
      <c r="O836" s="1" t="s">
        <v>8989</v>
      </c>
      <c r="P836" s="1" t="s">
        <v>8955</v>
      </c>
      <c r="Q836" s="1" t="s">
        <v>8956</v>
      </c>
      <c r="R836" s="1" t="s">
        <v>8959</v>
      </c>
      <c r="S836" s="1" t="s">
        <v>8958</v>
      </c>
      <c r="T836" s="1" t="s">
        <v>2349</v>
      </c>
      <c r="U836" s="1" t="s">
        <v>11</v>
      </c>
      <c r="V836" s="1" t="s">
        <v>126</v>
      </c>
      <c r="W836" s="1"/>
    </row>
    <row r="837" spans="1:23" x14ac:dyDescent="0.2">
      <c r="A837" s="88" t="s">
        <v>16219</v>
      </c>
      <c r="B837" s="1" t="e">
        <v>#N/A</v>
      </c>
      <c r="C837" s="1" t="s">
        <v>14394</v>
      </c>
      <c r="D837" s="1" t="s">
        <v>2350</v>
      </c>
      <c r="E837" s="1" t="s">
        <v>2351</v>
      </c>
      <c r="F837" s="1" t="s">
        <v>9317</v>
      </c>
      <c r="G837" s="1" t="s">
        <v>8959</v>
      </c>
      <c r="H837" t="s">
        <v>9009</v>
      </c>
      <c r="I837" s="1" t="s">
        <v>9154</v>
      </c>
      <c r="J837" s="1" t="s">
        <v>8971</v>
      </c>
      <c r="K837" s="1" t="s">
        <v>9041</v>
      </c>
      <c r="L837" s="1" t="s">
        <v>8951</v>
      </c>
      <c r="M837" s="1">
        <v>2891</v>
      </c>
      <c r="N837" s="1" t="s">
        <v>8953</v>
      </c>
      <c r="O837" s="1" t="s">
        <v>8989</v>
      </c>
      <c r="P837" s="1" t="s">
        <v>8955</v>
      </c>
      <c r="Q837" s="1" t="s">
        <v>8956</v>
      </c>
      <c r="R837" s="1" t="s">
        <v>8959</v>
      </c>
      <c r="S837" s="1" t="s">
        <v>8958</v>
      </c>
      <c r="T837" s="1" t="s">
        <v>2352</v>
      </c>
      <c r="U837" s="1" t="s">
        <v>242</v>
      </c>
      <c r="V837" s="1" t="s">
        <v>61</v>
      </c>
      <c r="W837" s="1"/>
    </row>
    <row r="838" spans="1:23" x14ac:dyDescent="0.2">
      <c r="A838" s="88" t="s">
        <v>16220</v>
      </c>
      <c r="B838" s="1" t="e">
        <v>#N/A</v>
      </c>
      <c r="C838" s="1" t="e">
        <v>#N/A</v>
      </c>
      <c r="D838" s="1" t="s">
        <v>2353</v>
      </c>
      <c r="E838" s="1" t="s">
        <v>2354</v>
      </c>
      <c r="F838" s="1" t="s">
        <v>18502</v>
      </c>
      <c r="G838" s="1" t="s">
        <v>8959</v>
      </c>
      <c r="H838" t="s">
        <v>9061</v>
      </c>
      <c r="I838" s="1" t="s">
        <v>9100</v>
      </c>
      <c r="J838" s="1" t="s">
        <v>8959</v>
      </c>
      <c r="K838" s="1" t="s">
        <v>21199</v>
      </c>
      <c r="L838" s="1" t="s">
        <v>9157</v>
      </c>
      <c r="M838" s="1">
        <v>48</v>
      </c>
      <c r="N838" s="1" t="s">
        <v>8953</v>
      </c>
      <c r="O838" s="1" t="s">
        <v>8989</v>
      </c>
      <c r="P838" s="1" t="e">
        <v>#N/A</v>
      </c>
      <c r="Q838" s="1" t="e">
        <v>#N/A</v>
      </c>
      <c r="R838" s="1">
        <f>1+LEN(T838)-LEN(SUBSTITUTE(T838,",",))</f>
        <v>7</v>
      </c>
      <c r="S838" s="1" t="str">
        <f>IF(R838&gt;4,IF(R838&lt;8,"4-7",IF(R838&gt;7,"&gt;7")),"&lt;4")</f>
        <v>4-7</v>
      </c>
      <c r="T838" s="1" t="s">
        <v>18992</v>
      </c>
      <c r="U838" s="1" t="s">
        <v>17</v>
      </c>
      <c r="V838" s="1" t="s">
        <v>161</v>
      </c>
      <c r="W838" s="1"/>
    </row>
    <row r="839" spans="1:23" x14ac:dyDescent="0.2">
      <c r="A839" s="88" t="s">
        <v>16221</v>
      </c>
      <c r="B839" s="1" t="e">
        <v>#N/A</v>
      </c>
      <c r="C839" s="1" t="s">
        <v>11912</v>
      </c>
      <c r="D839" s="1" t="s">
        <v>2355</v>
      </c>
      <c r="E839" s="1" t="s">
        <v>2356</v>
      </c>
      <c r="F839" s="1" t="s">
        <v>10873</v>
      </c>
      <c r="G839" s="1" t="s">
        <v>8957</v>
      </c>
      <c r="H839" t="s">
        <v>9183</v>
      </c>
      <c r="I839" s="1" t="s">
        <v>8984</v>
      </c>
      <c r="J839" s="1" t="s">
        <v>8998</v>
      </c>
      <c r="K839" s="1" t="s">
        <v>11915</v>
      </c>
      <c r="L839" s="1" t="s">
        <v>8973</v>
      </c>
      <c r="M839" s="1">
        <v>90</v>
      </c>
      <c r="N839" s="1" t="s">
        <v>8953</v>
      </c>
      <c r="O839" s="1" t="s">
        <v>8954</v>
      </c>
      <c r="P839" s="1" t="s">
        <v>8955</v>
      </c>
      <c r="Q839" s="1" t="s">
        <v>8956</v>
      </c>
      <c r="R839" s="1" t="s">
        <v>8957</v>
      </c>
      <c r="S839" s="1" t="s">
        <v>8975</v>
      </c>
      <c r="T839" s="1" t="s">
        <v>2357</v>
      </c>
      <c r="U839" s="1" t="s">
        <v>11</v>
      </c>
      <c r="V839" s="1" t="s">
        <v>61</v>
      </c>
      <c r="W839" s="1"/>
    </row>
    <row r="840" spans="1:23" x14ac:dyDescent="0.2">
      <c r="A840" s="88" t="s">
        <v>16222</v>
      </c>
      <c r="B840" s="1" t="e">
        <v>#N/A</v>
      </c>
      <c r="C840" s="1" t="s">
        <v>12787</v>
      </c>
      <c r="D840" s="1" t="s">
        <v>2358</v>
      </c>
      <c r="E840" s="1" t="s">
        <v>2359</v>
      </c>
      <c r="F840" s="1" t="s">
        <v>10873</v>
      </c>
      <c r="G840" s="1" t="s">
        <v>8957</v>
      </c>
      <c r="H840" t="s">
        <v>9183</v>
      </c>
      <c r="I840" s="1" t="s">
        <v>8984</v>
      </c>
      <c r="J840" s="1" t="s">
        <v>8998</v>
      </c>
      <c r="K840" s="1" t="s">
        <v>21438</v>
      </c>
      <c r="L840" s="1" t="s">
        <v>8973</v>
      </c>
      <c r="M840" s="1">
        <v>90</v>
      </c>
      <c r="N840" s="1" t="s">
        <v>8953</v>
      </c>
      <c r="O840" s="1" t="s">
        <v>8989</v>
      </c>
      <c r="P840" s="1" t="s">
        <v>8955</v>
      </c>
      <c r="Q840" s="1" t="s">
        <v>8956</v>
      </c>
      <c r="R840" s="1" t="s">
        <v>8957</v>
      </c>
      <c r="S840" s="1" t="s">
        <v>8975</v>
      </c>
      <c r="T840" s="1" t="s">
        <v>2360</v>
      </c>
      <c r="U840" s="1" t="s">
        <v>11</v>
      </c>
      <c r="V840" s="1" t="s">
        <v>184</v>
      </c>
      <c r="W840" s="1"/>
    </row>
    <row r="841" spans="1:23" x14ac:dyDescent="0.2">
      <c r="A841" s="94" t="s">
        <v>16223</v>
      </c>
      <c r="B841" s="1" t="e">
        <v>#N/A</v>
      </c>
      <c r="C841" s="1" t="e">
        <v>#N/A</v>
      </c>
      <c r="D841" s="1" t="s">
        <v>2361</v>
      </c>
      <c r="E841" s="1" t="s">
        <v>2362</v>
      </c>
      <c r="F841" s="1" t="e">
        <v>#N/A</v>
      </c>
      <c r="G841" s="1" t="e">
        <v>#N/A</v>
      </c>
      <c r="H841" t="e">
        <v>#N/A</v>
      </c>
      <c r="I841" s="1" t="s">
        <v>9100</v>
      </c>
      <c r="J841" s="1" t="s">
        <v>8949</v>
      </c>
      <c r="K841" s="1" t="e">
        <v>#N/A</v>
      </c>
      <c r="L841" s="1" t="e">
        <v>#N/A</v>
      </c>
      <c r="M841" s="1">
        <v>2529</v>
      </c>
      <c r="N841" s="1" t="e">
        <v>#N/A</v>
      </c>
      <c r="O841" s="1" t="s">
        <v>8954</v>
      </c>
      <c r="P841" s="1" t="e">
        <v>#N/A</v>
      </c>
      <c r="Q841" s="1" t="e">
        <v>#N/A</v>
      </c>
      <c r="R841" s="1">
        <f t="shared" ref="R841:R845" si="246">1+LEN(T841)-LEN(SUBSTITUTE(T841,",",))</f>
        <v>34</v>
      </c>
      <c r="S841" s="1" t="str">
        <f t="shared" ref="S841:S845" si="247">IF(R841&gt;4,IF(R841&lt;8,"4-7",IF(R841&gt;7,"&gt;7")),"&lt;4")</f>
        <v>&gt;7</v>
      </c>
      <c r="T841" s="1" t="s">
        <v>20589</v>
      </c>
      <c r="U841" s="1" t="s">
        <v>7</v>
      </c>
      <c r="V841" s="1" t="s">
        <v>2363</v>
      </c>
      <c r="W841" s="1"/>
    </row>
    <row r="842" spans="1:23" x14ac:dyDescent="0.2">
      <c r="A842" s="88" t="s">
        <v>16224</v>
      </c>
      <c r="B842" s="1" t="e">
        <v>#N/A</v>
      </c>
      <c r="C842" s="1" t="e">
        <v>#N/A</v>
      </c>
      <c r="D842" s="1" t="s">
        <v>2364</v>
      </c>
      <c r="E842" s="1" t="s">
        <v>2365</v>
      </c>
      <c r="F842" s="1" t="e">
        <v>#N/A</v>
      </c>
      <c r="G842" s="1" t="e">
        <v>#N/A</v>
      </c>
      <c r="H842" t="e">
        <v>#N/A</v>
      </c>
      <c r="I842" s="1" t="e">
        <v>#N/A</v>
      </c>
      <c r="J842" s="1" t="e">
        <v>#N/A</v>
      </c>
      <c r="K842" s="1" t="e">
        <v>#N/A</v>
      </c>
      <c r="L842" s="1" t="e">
        <v>#N/A</v>
      </c>
      <c r="M842" s="1" t="e">
        <v>#N/A</v>
      </c>
      <c r="N842" s="1" t="e">
        <v>#N/A</v>
      </c>
      <c r="O842" s="1" t="e">
        <v>#N/A</v>
      </c>
      <c r="P842" s="1" t="e">
        <v>#N/A</v>
      </c>
      <c r="Q842" s="1" t="e">
        <v>#N/A</v>
      </c>
      <c r="R842" s="1">
        <f t="shared" si="246"/>
        <v>3</v>
      </c>
      <c r="S842" s="1" t="str">
        <f t="shared" si="247"/>
        <v>&lt;4</v>
      </c>
      <c r="T842" s="1" t="s">
        <v>18993</v>
      </c>
      <c r="U842" s="1" t="s">
        <v>252</v>
      </c>
      <c r="V842" s="1" t="s">
        <v>64</v>
      </c>
      <c r="W842" s="1"/>
    </row>
    <row r="843" spans="1:23" x14ac:dyDescent="0.2">
      <c r="A843" s="89" t="s">
        <v>2366</v>
      </c>
      <c r="B843" s="1" t="e">
        <v>#N/A</v>
      </c>
      <c r="C843" s="1" t="e">
        <v>#N/A</v>
      </c>
      <c r="D843" s="1" t="s">
        <v>2367</v>
      </c>
      <c r="E843" s="1" t="s">
        <v>2368</v>
      </c>
      <c r="F843" s="1" t="e">
        <v>#N/A</v>
      </c>
      <c r="G843" s="1" t="e">
        <v>#N/A</v>
      </c>
      <c r="H843" t="e">
        <v>#N/A</v>
      </c>
      <c r="I843" s="1" t="e">
        <v>#N/A</v>
      </c>
      <c r="J843" s="1" t="e">
        <v>#N/A</v>
      </c>
      <c r="K843" s="1" t="e">
        <v>#N/A</v>
      </c>
      <c r="L843" s="1" t="e">
        <v>#N/A</v>
      </c>
      <c r="M843" s="1" t="e">
        <v>#N/A</v>
      </c>
      <c r="N843" s="1" t="e">
        <v>#N/A</v>
      </c>
      <c r="O843" s="1" t="e">
        <v>#N/A</v>
      </c>
      <c r="P843" s="1" t="e">
        <v>#N/A</v>
      </c>
      <c r="Q843" s="1" t="e">
        <v>#N/A</v>
      </c>
      <c r="R843" s="1">
        <f t="shared" si="246"/>
        <v>1</v>
      </c>
      <c r="S843" s="1" t="str">
        <f t="shared" si="247"/>
        <v>&lt;4</v>
      </c>
      <c r="T843" s="1" t="s">
        <v>2369</v>
      </c>
      <c r="U843" s="1" t="s">
        <v>11</v>
      </c>
      <c r="V843" s="1" t="s">
        <v>174</v>
      </c>
      <c r="W843" s="1"/>
    </row>
    <row r="844" spans="1:23" x14ac:dyDescent="0.2">
      <c r="A844" s="88" t="s">
        <v>16225</v>
      </c>
      <c r="B844" s="1" t="e">
        <v>#N/A</v>
      </c>
      <c r="C844" s="1" t="e">
        <v>#N/A</v>
      </c>
      <c r="D844" s="1" t="s">
        <v>2370</v>
      </c>
      <c r="E844" s="1" t="s">
        <v>2371</v>
      </c>
      <c r="F844" s="1" t="s">
        <v>18502</v>
      </c>
      <c r="G844" s="1" t="s">
        <v>8959</v>
      </c>
      <c r="H844" t="s">
        <v>9061</v>
      </c>
      <c r="I844" s="1" t="s">
        <v>9100</v>
      </c>
      <c r="J844" s="1" t="s">
        <v>8998</v>
      </c>
      <c r="K844" s="1" t="s">
        <v>20779</v>
      </c>
      <c r="L844" s="1" t="s">
        <v>8951</v>
      </c>
      <c r="M844" s="1">
        <f>1639+373</f>
        <v>2012</v>
      </c>
      <c r="N844" s="1" t="s">
        <v>9059</v>
      </c>
      <c r="O844" s="1" t="s">
        <v>8989</v>
      </c>
      <c r="P844" s="1" t="e">
        <v>#N/A</v>
      </c>
      <c r="Q844" s="1" t="e">
        <v>#N/A</v>
      </c>
      <c r="R844" s="1">
        <f t="shared" si="246"/>
        <v>1</v>
      </c>
      <c r="S844" s="1" t="str">
        <f t="shared" si="247"/>
        <v>&lt;4</v>
      </c>
      <c r="T844" s="1" t="s">
        <v>2372</v>
      </c>
      <c r="U844" s="1" t="s">
        <v>7</v>
      </c>
      <c r="V844" s="1" t="s">
        <v>2373</v>
      </c>
      <c r="W844" s="1"/>
    </row>
    <row r="845" spans="1:23" x14ac:dyDescent="0.2">
      <c r="A845" s="89" t="s">
        <v>2374</v>
      </c>
      <c r="B845" s="1" t="e">
        <v>#N/A</v>
      </c>
      <c r="C845" s="1" t="e">
        <v>#N/A</v>
      </c>
      <c r="D845" s="1" t="s">
        <v>2375</v>
      </c>
      <c r="E845" s="1" t="s">
        <v>2376</v>
      </c>
      <c r="F845" s="1" t="e">
        <v>#N/A</v>
      </c>
      <c r="G845" s="1" t="e">
        <v>#N/A</v>
      </c>
      <c r="H845" t="e">
        <v>#N/A</v>
      </c>
      <c r="I845" s="1" t="e">
        <v>#N/A</v>
      </c>
      <c r="J845" s="1" t="e">
        <v>#N/A</v>
      </c>
      <c r="K845" s="1" t="e">
        <v>#N/A</v>
      </c>
      <c r="L845" s="1" t="e">
        <v>#N/A</v>
      </c>
      <c r="M845" s="1" t="e">
        <v>#N/A</v>
      </c>
      <c r="N845" s="1" t="e">
        <v>#N/A</v>
      </c>
      <c r="O845" s="1" t="e">
        <v>#N/A</v>
      </c>
      <c r="P845" s="1" t="e">
        <v>#N/A</v>
      </c>
      <c r="Q845" s="1" t="e">
        <v>#N/A</v>
      </c>
      <c r="R845" s="1">
        <f t="shared" si="246"/>
        <v>8</v>
      </c>
      <c r="S845" s="1" t="str">
        <f t="shared" si="247"/>
        <v>&gt;7</v>
      </c>
      <c r="T845" s="1" t="s">
        <v>18994</v>
      </c>
      <c r="U845" s="1" t="s">
        <v>7</v>
      </c>
      <c r="V845" s="1" t="s">
        <v>2377</v>
      </c>
      <c r="W845" s="1"/>
    </row>
    <row r="846" spans="1:23" x14ac:dyDescent="0.2">
      <c r="A846" s="88" t="s">
        <v>16226</v>
      </c>
      <c r="B846" s="1" t="e">
        <v>#N/A</v>
      </c>
      <c r="C846" s="1" t="s">
        <v>15100</v>
      </c>
      <c r="D846" s="1" t="s">
        <v>2378</v>
      </c>
      <c r="E846" s="1" t="s">
        <v>2379</v>
      </c>
      <c r="F846" s="1" t="s">
        <v>9010</v>
      </c>
      <c r="G846" s="1" t="s">
        <v>8957</v>
      </c>
      <c r="H846" t="s">
        <v>9009</v>
      </c>
      <c r="I846" s="1" t="s">
        <v>8948</v>
      </c>
      <c r="J846" s="1" t="s">
        <v>8949</v>
      </c>
      <c r="K846" s="1" t="s">
        <v>9036</v>
      </c>
      <c r="L846" s="1" t="s">
        <v>8987</v>
      </c>
      <c r="M846" s="1">
        <v>113</v>
      </c>
      <c r="N846" s="1" t="s">
        <v>9059</v>
      </c>
      <c r="O846" s="1" t="s">
        <v>8989</v>
      </c>
      <c r="P846" s="1" t="s">
        <v>8955</v>
      </c>
      <c r="Q846" s="1" t="s">
        <v>8956</v>
      </c>
      <c r="R846" s="1" t="s">
        <v>8957</v>
      </c>
      <c r="S846" s="1" t="s">
        <v>8958</v>
      </c>
      <c r="T846" s="1" t="s">
        <v>2380</v>
      </c>
      <c r="U846" s="1" t="s">
        <v>17</v>
      </c>
      <c r="V846" s="1" t="s">
        <v>392</v>
      </c>
      <c r="W846" s="1"/>
    </row>
    <row r="847" spans="1:23" x14ac:dyDescent="0.2">
      <c r="A847" s="88" t="s">
        <v>20827</v>
      </c>
      <c r="B847" s="1" t="e">
        <v>#N/A</v>
      </c>
      <c r="C847" s="1" t="e">
        <v>#N/A</v>
      </c>
      <c r="D847" s="1" t="s">
        <v>2381</v>
      </c>
      <c r="E847" s="1" t="s">
        <v>2382</v>
      </c>
      <c r="F847" s="1" t="s">
        <v>10032</v>
      </c>
      <c r="G847" s="1" t="s">
        <v>8959</v>
      </c>
      <c r="H847" t="s">
        <v>8959</v>
      </c>
      <c r="I847" s="1" t="s">
        <v>9075</v>
      </c>
      <c r="J847" s="1" t="s">
        <v>9155</v>
      </c>
      <c r="K847" s="1" t="s">
        <v>20779</v>
      </c>
      <c r="L847" s="1" t="s">
        <v>8973</v>
      </c>
      <c r="M847" s="1">
        <f>145+78+450</f>
        <v>673</v>
      </c>
      <c r="N847" s="1" t="s">
        <v>8953</v>
      </c>
      <c r="O847" s="1" t="s">
        <v>8954</v>
      </c>
      <c r="P847" s="1" t="e">
        <v>#N/A</v>
      </c>
      <c r="Q847" s="1" t="e">
        <v>#N/A</v>
      </c>
      <c r="R847" s="1">
        <f t="shared" ref="R847:R848" si="248">1+LEN(T847)-LEN(SUBSTITUTE(T847,",",))</f>
        <v>4</v>
      </c>
      <c r="S847" s="1" t="str">
        <f t="shared" ref="S847:S848" si="249">IF(R847&gt;4,IF(R847&lt;8,"4-7",IF(R847&gt;7,"&gt;7")),"&lt;4")</f>
        <v>&lt;4</v>
      </c>
      <c r="T847" s="1" t="s">
        <v>20590</v>
      </c>
      <c r="U847" s="1" t="s">
        <v>7</v>
      </c>
      <c r="V847" s="1" t="s">
        <v>64</v>
      </c>
      <c r="W847" s="1"/>
    </row>
    <row r="848" spans="1:23" x14ac:dyDescent="0.2">
      <c r="A848" s="88" t="s">
        <v>16227</v>
      </c>
      <c r="B848" s="1" t="e">
        <v>#N/A</v>
      </c>
      <c r="C848" s="1" t="e">
        <v>#N/A</v>
      </c>
      <c r="D848" s="1" t="s">
        <v>2383</v>
      </c>
      <c r="E848" s="1" t="s">
        <v>2384</v>
      </c>
      <c r="F848" s="1" t="s">
        <v>10032</v>
      </c>
      <c r="G848" s="1" t="s">
        <v>8959</v>
      </c>
      <c r="H848" t="s">
        <v>8959</v>
      </c>
      <c r="I848" s="1" t="s">
        <v>9075</v>
      </c>
      <c r="J848" s="1" t="s">
        <v>8971</v>
      </c>
      <c r="K848" s="1" t="s">
        <v>10492</v>
      </c>
      <c r="L848" s="1" t="s">
        <v>8973</v>
      </c>
      <c r="M848" s="1">
        <v>145</v>
      </c>
      <c r="N848" s="1" t="s">
        <v>9059</v>
      </c>
      <c r="O848" s="1" t="s">
        <v>20828</v>
      </c>
      <c r="P848" s="1" t="e">
        <v>#N/A</v>
      </c>
      <c r="Q848" s="1" t="e">
        <v>#N/A</v>
      </c>
      <c r="R848" s="1">
        <f t="shared" si="248"/>
        <v>4</v>
      </c>
      <c r="S848" s="1" t="str">
        <f t="shared" si="249"/>
        <v>&lt;4</v>
      </c>
      <c r="T848" s="1" t="s">
        <v>20591</v>
      </c>
      <c r="U848" s="1" t="s">
        <v>7</v>
      </c>
      <c r="V848" s="1" t="s">
        <v>64</v>
      </c>
      <c r="W848" s="1"/>
    </row>
    <row r="849" spans="1:23" x14ac:dyDescent="0.2">
      <c r="A849" s="88" t="s">
        <v>16228</v>
      </c>
      <c r="B849" s="1" t="e">
        <v>#N/A</v>
      </c>
      <c r="C849" s="1" t="s">
        <v>9089</v>
      </c>
      <c r="D849" s="1" t="s">
        <v>2385</v>
      </c>
      <c r="E849" s="1" t="s">
        <v>2386</v>
      </c>
      <c r="F849" s="1" t="s">
        <v>9010</v>
      </c>
      <c r="G849" s="1" t="s">
        <v>8959</v>
      </c>
      <c r="H849" t="s">
        <v>8959</v>
      </c>
      <c r="I849" s="1" t="s">
        <v>9092</v>
      </c>
      <c r="J849" s="1" t="s">
        <v>8998</v>
      </c>
      <c r="K849" s="1" t="s">
        <v>9036</v>
      </c>
      <c r="L849" s="1" t="s">
        <v>9076</v>
      </c>
      <c r="M849" s="1">
        <v>50</v>
      </c>
      <c r="N849" s="1" t="s">
        <v>8953</v>
      </c>
      <c r="O849" s="1" t="s">
        <v>8989</v>
      </c>
      <c r="P849" s="1" t="s">
        <v>8955</v>
      </c>
      <c r="Q849" s="1" t="s">
        <v>8956</v>
      </c>
      <c r="R849" s="1" t="s">
        <v>8959</v>
      </c>
      <c r="S849" s="1" t="s">
        <v>8975</v>
      </c>
      <c r="T849" s="1" t="s">
        <v>2387</v>
      </c>
      <c r="U849" s="1" t="s">
        <v>17</v>
      </c>
      <c r="V849" s="1" t="s">
        <v>378</v>
      </c>
      <c r="W849" s="1"/>
    </row>
    <row r="850" spans="1:23" x14ac:dyDescent="0.2">
      <c r="A850" s="88" t="s">
        <v>16229</v>
      </c>
      <c r="B850" s="1" t="e">
        <v>#N/A</v>
      </c>
      <c r="C850" s="1" t="s">
        <v>11728</v>
      </c>
      <c r="D850" s="1" t="s">
        <v>2388</v>
      </c>
      <c r="E850" s="1" t="s">
        <v>2389</v>
      </c>
      <c r="F850" s="1" t="s">
        <v>9010</v>
      </c>
      <c r="G850" s="1" t="s">
        <v>8959</v>
      </c>
      <c r="H850" t="s">
        <v>9183</v>
      </c>
      <c r="I850" s="1" t="s">
        <v>8948</v>
      </c>
      <c r="J850" s="1" t="s">
        <v>8949</v>
      </c>
      <c r="K850" s="1" t="s">
        <v>9036</v>
      </c>
      <c r="L850" s="1" t="s">
        <v>9133</v>
      </c>
      <c r="M850" s="1">
        <v>50</v>
      </c>
      <c r="N850" s="1" t="s">
        <v>9059</v>
      </c>
      <c r="O850" s="1" t="s">
        <v>8989</v>
      </c>
      <c r="P850" s="1" t="s">
        <v>8955</v>
      </c>
      <c r="Q850" s="1" t="s">
        <v>8956</v>
      </c>
      <c r="R850" s="1" t="s">
        <v>8959</v>
      </c>
      <c r="S850" s="1" t="s">
        <v>8975</v>
      </c>
      <c r="T850" s="1" t="s">
        <v>2390</v>
      </c>
      <c r="U850" s="1" t="s">
        <v>11</v>
      </c>
      <c r="V850" s="1" t="s">
        <v>122</v>
      </c>
      <c r="W850" s="1"/>
    </row>
    <row r="851" spans="1:23" x14ac:dyDescent="0.2">
      <c r="A851" s="88" t="s">
        <v>16230</v>
      </c>
      <c r="B851" s="1" t="e">
        <v>#N/A</v>
      </c>
      <c r="C851" s="1" t="e">
        <v>#N/A</v>
      </c>
      <c r="D851" s="1" t="s">
        <v>2391</v>
      </c>
      <c r="E851" s="1" t="s">
        <v>2392</v>
      </c>
      <c r="F851" s="1" t="s">
        <v>14748</v>
      </c>
      <c r="G851" s="1" t="s">
        <v>8959</v>
      </c>
      <c r="H851" t="s">
        <v>8959</v>
      </c>
      <c r="I851" s="1" t="s">
        <v>9100</v>
      </c>
      <c r="J851" s="1" t="s">
        <v>8949</v>
      </c>
      <c r="K851" s="1" t="s">
        <v>20779</v>
      </c>
      <c r="L851" s="1" t="s">
        <v>9133</v>
      </c>
      <c r="M851" s="1">
        <v>1138</v>
      </c>
      <c r="N851" s="1" t="s">
        <v>8953</v>
      </c>
      <c r="O851" s="1" t="s">
        <v>8954</v>
      </c>
      <c r="P851" s="1" t="e">
        <v>#N/A</v>
      </c>
      <c r="Q851" s="1" t="e">
        <v>#N/A</v>
      </c>
      <c r="R851" s="1">
        <f t="shared" ref="R851:R853" si="250">1+LEN(T851)-LEN(SUBSTITUTE(T851,",",))</f>
        <v>1</v>
      </c>
      <c r="S851" s="1" t="str">
        <f t="shared" ref="S851:S853" si="251">IF(R851&gt;4,IF(R851&lt;8,"4-7",IF(R851&gt;7,"&gt;7")),"&lt;4")</f>
        <v>&lt;4</v>
      </c>
      <c r="T851" s="1" t="s">
        <v>2393</v>
      </c>
      <c r="U851" s="1" t="s">
        <v>17</v>
      </c>
      <c r="V851" s="1" t="s">
        <v>2394</v>
      </c>
      <c r="W851" s="1"/>
    </row>
    <row r="852" spans="1:23" x14ac:dyDescent="0.2">
      <c r="A852" s="88" t="s">
        <v>16231</v>
      </c>
      <c r="B852" s="1" t="e">
        <v>#N/A</v>
      </c>
      <c r="C852" s="1" t="e">
        <v>#N/A</v>
      </c>
      <c r="D852" s="1" t="s">
        <v>2395</v>
      </c>
      <c r="E852" s="1" t="s">
        <v>2396</v>
      </c>
      <c r="F852" s="1" t="s">
        <v>18502</v>
      </c>
      <c r="G852" s="1" t="s">
        <v>8957</v>
      </c>
      <c r="H852" t="s">
        <v>8959</v>
      </c>
      <c r="I852" s="1" t="s">
        <v>9154</v>
      </c>
      <c r="J852" s="1" t="s">
        <v>8949</v>
      </c>
      <c r="K852" s="1" t="s">
        <v>10492</v>
      </c>
      <c r="L852" s="1" t="s">
        <v>8973</v>
      </c>
      <c r="M852" s="1">
        <v>1200</v>
      </c>
      <c r="N852" s="1" t="s">
        <v>8953</v>
      </c>
      <c r="O852" s="1" t="s">
        <v>8989</v>
      </c>
      <c r="P852" s="1" t="e">
        <v>#N/A</v>
      </c>
      <c r="Q852" s="1" t="e">
        <v>#N/A</v>
      </c>
      <c r="R852" s="1">
        <f t="shared" si="250"/>
        <v>3</v>
      </c>
      <c r="S852" s="1" t="str">
        <f t="shared" si="251"/>
        <v>&lt;4</v>
      </c>
      <c r="T852" s="1" t="s">
        <v>18995</v>
      </c>
      <c r="U852" s="1" t="s">
        <v>17</v>
      </c>
      <c r="V852" s="1" t="s">
        <v>619</v>
      </c>
      <c r="W852" s="1"/>
    </row>
    <row r="853" spans="1:23" x14ac:dyDescent="0.2">
      <c r="A853" s="89" t="s">
        <v>16232</v>
      </c>
      <c r="B853" s="1" t="e">
        <v>#N/A</v>
      </c>
      <c r="C853" s="1" t="e">
        <v>#N/A</v>
      </c>
      <c r="D853" s="1" t="s">
        <v>2397</v>
      </c>
      <c r="E853" s="1" t="s">
        <v>2398</v>
      </c>
      <c r="F853" s="1" t="e">
        <v>#N/A</v>
      </c>
      <c r="G853" s="1" t="e">
        <v>#N/A</v>
      </c>
      <c r="H853" t="e">
        <v>#N/A</v>
      </c>
      <c r="I853" s="1" t="e">
        <v>#N/A</v>
      </c>
      <c r="J853" s="1" t="e">
        <v>#N/A</v>
      </c>
      <c r="K853" s="1" t="e">
        <v>#N/A</v>
      </c>
      <c r="L853" s="1" t="e">
        <v>#N/A</v>
      </c>
      <c r="M853" s="1" t="e">
        <v>#N/A</v>
      </c>
      <c r="N853" s="1" t="e">
        <v>#N/A</v>
      </c>
      <c r="O853" s="1" t="e">
        <v>#N/A</v>
      </c>
      <c r="P853" s="1" t="e">
        <v>#N/A</v>
      </c>
      <c r="Q853" s="1" t="e">
        <v>#N/A</v>
      </c>
      <c r="R853" s="1">
        <f t="shared" si="250"/>
        <v>2</v>
      </c>
      <c r="S853" s="1" t="str">
        <f t="shared" si="251"/>
        <v>&lt;4</v>
      </c>
      <c r="T853" s="1" t="s">
        <v>18996</v>
      </c>
      <c r="U853" s="1" t="s">
        <v>7</v>
      </c>
      <c r="V853" s="1" t="s">
        <v>2399</v>
      </c>
      <c r="W853" s="1"/>
    </row>
    <row r="854" spans="1:23" x14ac:dyDescent="0.2">
      <c r="A854" s="88" t="s">
        <v>16233</v>
      </c>
      <c r="B854" s="1" t="e">
        <v>#N/A</v>
      </c>
      <c r="C854" s="1" t="s">
        <v>14384</v>
      </c>
      <c r="D854" s="1" t="s">
        <v>2400</v>
      </c>
      <c r="E854" s="1" t="s">
        <v>2401</v>
      </c>
      <c r="F854" s="1" t="s">
        <v>9317</v>
      </c>
      <c r="G854" s="1" t="s">
        <v>8957</v>
      </c>
      <c r="H854" t="s">
        <v>8959</v>
      </c>
      <c r="I854" s="1" t="s">
        <v>8948</v>
      </c>
      <c r="J854" s="1" t="s">
        <v>8949</v>
      </c>
      <c r="K854" s="1" t="s">
        <v>9036</v>
      </c>
      <c r="L854" s="1" t="s">
        <v>8973</v>
      </c>
      <c r="M854" s="1">
        <v>158</v>
      </c>
      <c r="N854" s="1" t="s">
        <v>8953</v>
      </c>
      <c r="O854" s="1" t="s">
        <v>8954</v>
      </c>
      <c r="P854" s="1" t="s">
        <v>8955</v>
      </c>
      <c r="Q854" s="1" t="s">
        <v>8956</v>
      </c>
      <c r="R854" s="1" t="s">
        <v>8957</v>
      </c>
      <c r="S854" s="1" t="s">
        <v>8975</v>
      </c>
      <c r="T854" s="1" t="s">
        <v>2402</v>
      </c>
      <c r="U854" s="1" t="s">
        <v>242</v>
      </c>
      <c r="V854" s="1" t="s">
        <v>61</v>
      </c>
      <c r="W854" s="1"/>
    </row>
    <row r="855" spans="1:23" x14ac:dyDescent="0.2">
      <c r="A855" s="89" t="s">
        <v>16234</v>
      </c>
      <c r="B855" s="1" t="e">
        <v>#N/A</v>
      </c>
      <c r="C855" s="1" t="e">
        <v>#N/A</v>
      </c>
      <c r="D855" s="1" t="s">
        <v>2403</v>
      </c>
      <c r="E855" s="1" t="s">
        <v>2404</v>
      </c>
      <c r="F855" s="1" t="e">
        <v>#N/A</v>
      </c>
      <c r="G855" s="1" t="e">
        <v>#N/A</v>
      </c>
      <c r="H855" t="e">
        <v>#N/A</v>
      </c>
      <c r="I855" s="1" t="e">
        <v>#N/A</v>
      </c>
      <c r="J855" s="1" t="e">
        <v>#N/A</v>
      </c>
      <c r="K855" s="1" t="e">
        <v>#N/A</v>
      </c>
      <c r="L855" s="1" t="e">
        <v>#N/A</v>
      </c>
      <c r="M855" s="1" t="e">
        <v>#N/A</v>
      </c>
      <c r="N855" s="1" t="e">
        <v>#N/A</v>
      </c>
      <c r="O855" s="1" t="e">
        <v>#N/A</v>
      </c>
      <c r="P855" s="1" t="e">
        <v>#N/A</v>
      </c>
      <c r="Q855" s="1" t="e">
        <v>#N/A</v>
      </c>
      <c r="R855" s="1">
        <f t="shared" ref="R855:R857" si="252">1+LEN(T855)-LEN(SUBSTITUTE(T855,",",))</f>
        <v>1</v>
      </c>
      <c r="S855" s="1" t="str">
        <f t="shared" ref="S855:S857" si="253">IF(R855&gt;4,IF(R855&lt;8,"4-7",IF(R855&gt;7,"&gt;7")),"&lt;4")</f>
        <v>&lt;4</v>
      </c>
      <c r="U855" s="1" t="s">
        <v>17</v>
      </c>
      <c r="V855" s="1" t="s">
        <v>733</v>
      </c>
      <c r="W855" s="1"/>
    </row>
    <row r="856" spans="1:23" x14ac:dyDescent="0.2">
      <c r="A856" s="88" t="s">
        <v>16235</v>
      </c>
      <c r="B856" s="1" t="e">
        <v>#N/A</v>
      </c>
      <c r="C856" s="1" t="e">
        <v>#N/A</v>
      </c>
      <c r="D856" s="1" t="s">
        <v>2405</v>
      </c>
      <c r="E856" s="1" t="s">
        <v>2406</v>
      </c>
      <c r="F856" s="1" t="s">
        <v>9317</v>
      </c>
      <c r="G856" s="1" t="s">
        <v>8957</v>
      </c>
      <c r="H856" t="s">
        <v>9183</v>
      </c>
      <c r="I856" s="1" t="s">
        <v>8948</v>
      </c>
      <c r="J856" s="1" t="s">
        <v>9131</v>
      </c>
      <c r="K856" s="1" t="s">
        <v>10492</v>
      </c>
      <c r="L856" s="1" t="s">
        <v>9076</v>
      </c>
      <c r="M856" s="1">
        <v>62000</v>
      </c>
      <c r="N856" s="1" t="s">
        <v>8953</v>
      </c>
      <c r="O856" s="1" t="s">
        <v>8989</v>
      </c>
      <c r="P856" s="1" t="e">
        <v>#N/A</v>
      </c>
      <c r="Q856" s="1" t="e">
        <v>#N/A</v>
      </c>
      <c r="R856" s="1">
        <f t="shared" si="252"/>
        <v>5</v>
      </c>
      <c r="S856" s="1" t="str">
        <f t="shared" si="253"/>
        <v>4-7</v>
      </c>
      <c r="T856" s="1" t="s">
        <v>18997</v>
      </c>
      <c r="U856" s="1" t="s">
        <v>17</v>
      </c>
      <c r="V856" s="1" t="s">
        <v>5</v>
      </c>
      <c r="W856" s="1"/>
    </row>
    <row r="857" spans="1:23" x14ac:dyDescent="0.2">
      <c r="A857" s="89" t="s">
        <v>16236</v>
      </c>
      <c r="B857" s="1" t="e">
        <v>#N/A</v>
      </c>
      <c r="C857" s="1" t="e">
        <v>#N/A</v>
      </c>
      <c r="D857" s="5" t="s">
        <v>2407</v>
      </c>
      <c r="E857" s="1" t="s">
        <v>2408</v>
      </c>
      <c r="F857" s="1" t="e">
        <v>#N/A</v>
      </c>
      <c r="G857" s="1" t="e">
        <v>#N/A</v>
      </c>
      <c r="H857" t="e">
        <v>#N/A</v>
      </c>
      <c r="I857" s="1" t="e">
        <v>#N/A</v>
      </c>
      <c r="J857" s="1" t="e">
        <v>#N/A</v>
      </c>
      <c r="K857" s="1" t="e">
        <v>#N/A</v>
      </c>
      <c r="L857" s="1" t="e">
        <v>#N/A</v>
      </c>
      <c r="M857" s="1" t="e">
        <v>#N/A</v>
      </c>
      <c r="N857" s="1" t="e">
        <v>#N/A</v>
      </c>
      <c r="O857" s="1" t="e">
        <v>#N/A</v>
      </c>
      <c r="P857" s="1" t="e">
        <v>#N/A</v>
      </c>
      <c r="Q857" s="1" t="e">
        <v>#N/A</v>
      </c>
      <c r="R857" s="1">
        <f t="shared" si="252"/>
        <v>5</v>
      </c>
      <c r="S857" s="1" t="str">
        <f t="shared" si="253"/>
        <v>4-7</v>
      </c>
      <c r="T857" s="1" t="s">
        <v>18998</v>
      </c>
      <c r="U857" s="1" t="s">
        <v>7</v>
      </c>
      <c r="V857" s="1" t="s">
        <v>2409</v>
      </c>
      <c r="W857" s="1"/>
    </row>
    <row r="858" spans="1:23" x14ac:dyDescent="0.2">
      <c r="A858" s="88" t="s">
        <v>16237</v>
      </c>
      <c r="B858" s="1" t="e">
        <v>#N/A</v>
      </c>
      <c r="C858" s="1" t="s">
        <v>12956</v>
      </c>
      <c r="D858" s="1" t="s">
        <v>2410</v>
      </c>
      <c r="E858" s="1" t="s">
        <v>2411</v>
      </c>
      <c r="F858" s="1" t="s">
        <v>9010</v>
      </c>
      <c r="G858" s="1" t="s">
        <v>8959</v>
      </c>
      <c r="H858" t="s">
        <v>8959</v>
      </c>
      <c r="I858" s="1" t="s">
        <v>8948</v>
      </c>
      <c r="J858" s="1" t="s">
        <v>8949</v>
      </c>
      <c r="K858" s="1" t="s">
        <v>9036</v>
      </c>
      <c r="L858" s="1" t="s">
        <v>9076</v>
      </c>
      <c r="M858" s="1">
        <v>60</v>
      </c>
      <c r="N858" s="1" t="s">
        <v>8953</v>
      </c>
      <c r="O858" s="1" t="s">
        <v>8989</v>
      </c>
      <c r="P858" s="1" t="s">
        <v>9182</v>
      </c>
      <c r="Q858" s="1" t="s">
        <v>8956</v>
      </c>
      <c r="R858" s="1" t="s">
        <v>8959</v>
      </c>
      <c r="S858" s="1" t="s">
        <v>8958</v>
      </c>
      <c r="T858" s="1" t="s">
        <v>2412</v>
      </c>
      <c r="U858" s="1" t="s">
        <v>11</v>
      </c>
      <c r="V858" s="1" t="s">
        <v>619</v>
      </c>
      <c r="W858" s="1"/>
    </row>
    <row r="859" spans="1:23" x14ac:dyDescent="0.2">
      <c r="A859" s="88" t="s">
        <v>16238</v>
      </c>
      <c r="B859" s="1" t="e">
        <v>#N/A</v>
      </c>
      <c r="C859" s="1" t="s">
        <v>10122</v>
      </c>
      <c r="D859" s="1" t="s">
        <v>2413</v>
      </c>
      <c r="E859" s="1" t="s">
        <v>2414</v>
      </c>
      <c r="F859" s="1" t="s">
        <v>9010</v>
      </c>
      <c r="G859" s="1" t="s">
        <v>8959</v>
      </c>
      <c r="H859" t="s">
        <v>9061</v>
      </c>
      <c r="I859" s="1" t="s">
        <v>8984</v>
      </c>
      <c r="J859" s="1" t="s">
        <v>8998</v>
      </c>
      <c r="K859" s="1" t="s">
        <v>9036</v>
      </c>
      <c r="L859" s="1" t="s">
        <v>8951</v>
      </c>
      <c r="M859" s="1">
        <v>1848</v>
      </c>
      <c r="N859" s="1" t="s">
        <v>8953</v>
      </c>
      <c r="O859" s="1" t="s">
        <v>8989</v>
      </c>
      <c r="P859" s="1" t="s">
        <v>8955</v>
      </c>
      <c r="Q859" s="1" t="s">
        <v>8956</v>
      </c>
      <c r="R859" s="1" t="s">
        <v>8959</v>
      </c>
      <c r="S859" s="1" t="s">
        <v>8975</v>
      </c>
      <c r="T859" s="1" t="s">
        <v>2415</v>
      </c>
      <c r="U859" s="1" t="s">
        <v>17</v>
      </c>
      <c r="V859" s="1" t="s">
        <v>93</v>
      </c>
      <c r="W859" s="1"/>
    </row>
    <row r="860" spans="1:23" x14ac:dyDescent="0.2">
      <c r="A860" s="88" t="s">
        <v>16239</v>
      </c>
      <c r="B860" s="1" t="e">
        <v>#N/A</v>
      </c>
      <c r="C860" s="1" t="e">
        <v>#N/A</v>
      </c>
      <c r="D860" s="1" t="s">
        <v>2416</v>
      </c>
      <c r="E860" s="1" t="s">
        <v>2417</v>
      </c>
      <c r="F860" s="1" t="s">
        <v>9310</v>
      </c>
      <c r="G860" s="1" t="s">
        <v>8957</v>
      </c>
      <c r="H860" t="s">
        <v>9061</v>
      </c>
      <c r="I860" s="1" t="s">
        <v>9035</v>
      </c>
      <c r="J860" s="1" t="s">
        <v>8998</v>
      </c>
      <c r="K860" s="1" t="s">
        <v>20805</v>
      </c>
      <c r="L860" s="1" t="s">
        <v>8987</v>
      </c>
      <c r="M860" s="1">
        <v>828</v>
      </c>
      <c r="N860" s="1" t="s">
        <v>8953</v>
      </c>
      <c r="O860" s="1" t="s">
        <v>8954</v>
      </c>
      <c r="P860" s="1" t="e">
        <v>#N/A</v>
      </c>
      <c r="Q860" s="1" t="e">
        <v>#N/A</v>
      </c>
      <c r="R860" s="1">
        <f t="shared" ref="R860:R863" si="254">1+LEN(T860)-LEN(SUBSTITUTE(T860,",",))</f>
        <v>7</v>
      </c>
      <c r="S860" s="1" t="str">
        <f t="shared" ref="S860:S863" si="255">IF(R860&gt;4,IF(R860&lt;8,"4-7",IF(R860&gt;7,"&gt;7")),"&lt;4")</f>
        <v>4-7</v>
      </c>
      <c r="T860" s="1" t="s">
        <v>18999</v>
      </c>
      <c r="U860" s="1" t="s">
        <v>7</v>
      </c>
      <c r="V860" s="1" t="s">
        <v>147</v>
      </c>
      <c r="W860" s="1"/>
    </row>
    <row r="861" spans="1:23" x14ac:dyDescent="0.2">
      <c r="A861" s="88" t="s">
        <v>16240</v>
      </c>
      <c r="B861" s="1" t="e">
        <v>#N/A</v>
      </c>
      <c r="C861" s="1" t="e">
        <v>#N/A</v>
      </c>
      <c r="D861" s="1" t="s">
        <v>2418</v>
      </c>
      <c r="E861" s="1" t="s">
        <v>2419</v>
      </c>
      <c r="F861" s="1" t="s">
        <v>18502</v>
      </c>
      <c r="G861" s="1" t="s">
        <v>8957</v>
      </c>
      <c r="H861" t="s">
        <v>9061</v>
      </c>
      <c r="I861" s="1" t="s">
        <v>8948</v>
      </c>
      <c r="J861" s="1" t="s">
        <v>9725</v>
      </c>
      <c r="K861" s="1" t="s">
        <v>10492</v>
      </c>
      <c r="L861" s="1" t="s">
        <v>9076</v>
      </c>
      <c r="M861" s="1">
        <v>20</v>
      </c>
      <c r="N861" s="1" t="s">
        <v>11658</v>
      </c>
      <c r="O861" s="1" t="s">
        <v>8989</v>
      </c>
      <c r="P861" s="1" t="e">
        <v>#N/A</v>
      </c>
      <c r="Q861" s="1" t="e">
        <v>#N/A</v>
      </c>
      <c r="R861" s="1">
        <f t="shared" si="254"/>
        <v>4</v>
      </c>
      <c r="S861" s="1" t="str">
        <f t="shared" si="255"/>
        <v>&lt;4</v>
      </c>
      <c r="T861" s="1" t="s">
        <v>19000</v>
      </c>
      <c r="U861" s="1" t="s">
        <v>17</v>
      </c>
      <c r="V861" s="1" t="s">
        <v>61</v>
      </c>
      <c r="W861" s="1"/>
    </row>
    <row r="862" spans="1:23" x14ac:dyDescent="0.2">
      <c r="A862" s="88" t="s">
        <v>16241</v>
      </c>
      <c r="B862" s="1" t="e">
        <v>#N/A</v>
      </c>
      <c r="C862" s="1" t="e">
        <v>#N/A</v>
      </c>
      <c r="D862" s="1" t="s">
        <v>2420</v>
      </c>
      <c r="E862" s="1" t="s">
        <v>2421</v>
      </c>
      <c r="F862" s="1" t="s">
        <v>9310</v>
      </c>
      <c r="G862" s="1" t="s">
        <v>8957</v>
      </c>
      <c r="H862" t="s">
        <v>8959</v>
      </c>
      <c r="I862" s="1" t="s">
        <v>9035</v>
      </c>
      <c r="J862" s="1" t="s">
        <v>8998</v>
      </c>
      <c r="K862" s="1" t="s">
        <v>20768</v>
      </c>
      <c r="L862" s="1" t="s">
        <v>8951</v>
      </c>
      <c r="M862" s="1">
        <v>888</v>
      </c>
      <c r="N862" s="1" t="s">
        <v>8953</v>
      </c>
      <c r="O862" s="1" t="s">
        <v>8954</v>
      </c>
      <c r="P862" s="1" t="e">
        <v>#N/A</v>
      </c>
      <c r="Q862" s="1" t="e">
        <v>#N/A</v>
      </c>
      <c r="R862" s="1">
        <f t="shared" si="254"/>
        <v>5</v>
      </c>
      <c r="S862" s="1" t="str">
        <f t="shared" si="255"/>
        <v>4-7</v>
      </c>
      <c r="T862" s="1" t="s">
        <v>19001</v>
      </c>
      <c r="U862" s="1" t="s">
        <v>17</v>
      </c>
      <c r="V862" s="1" t="s">
        <v>64</v>
      </c>
      <c r="W862" s="1"/>
    </row>
    <row r="863" spans="1:23" x14ac:dyDescent="0.2">
      <c r="A863" s="89" t="s">
        <v>16242</v>
      </c>
      <c r="B863" s="1" t="e">
        <v>#N/A</v>
      </c>
      <c r="C863" s="1" t="e">
        <v>#N/A</v>
      </c>
      <c r="D863" s="1" t="s">
        <v>2422</v>
      </c>
      <c r="E863" s="1" t="s">
        <v>2423</v>
      </c>
      <c r="F863" s="1" t="e">
        <v>#N/A</v>
      </c>
      <c r="G863" s="1" t="e">
        <v>#N/A</v>
      </c>
      <c r="H863" t="e">
        <v>#N/A</v>
      </c>
      <c r="I863" s="1" t="e">
        <v>#N/A</v>
      </c>
      <c r="J863" s="1" t="e">
        <v>#N/A</v>
      </c>
      <c r="K863" s="1" t="e">
        <v>#N/A</v>
      </c>
      <c r="L863" s="1" t="e">
        <v>#N/A</v>
      </c>
      <c r="M863" s="1" t="e">
        <v>#N/A</v>
      </c>
      <c r="N863" s="1" t="e">
        <v>#N/A</v>
      </c>
      <c r="O863" s="1" t="e">
        <v>#N/A</v>
      </c>
      <c r="P863" s="1" t="e">
        <v>#N/A</v>
      </c>
      <c r="Q863" s="1" t="e">
        <v>#N/A</v>
      </c>
      <c r="R863" s="1">
        <f t="shared" si="254"/>
        <v>5</v>
      </c>
      <c r="S863" s="1" t="str">
        <f t="shared" si="255"/>
        <v>4-7</v>
      </c>
      <c r="T863" s="1" t="s">
        <v>19002</v>
      </c>
      <c r="U863" s="1" t="s">
        <v>7</v>
      </c>
      <c r="V863" s="1" t="s">
        <v>2424</v>
      </c>
      <c r="W863" s="1"/>
    </row>
    <row r="864" spans="1:23" x14ac:dyDescent="0.2">
      <c r="A864" s="88" t="s">
        <v>16243</v>
      </c>
      <c r="B864" s="1" t="e">
        <v>#N/A</v>
      </c>
      <c r="C864" s="1" t="s">
        <v>13584</v>
      </c>
      <c r="D864" s="1" t="s">
        <v>2425</v>
      </c>
      <c r="E864" s="1" t="s">
        <v>2426</v>
      </c>
      <c r="F864" s="1" t="s">
        <v>9650</v>
      </c>
      <c r="G864" s="1" t="s">
        <v>8957</v>
      </c>
      <c r="H864" t="s">
        <v>8959</v>
      </c>
      <c r="I864" s="1" t="s">
        <v>9035</v>
      </c>
      <c r="J864" s="1" t="s">
        <v>8998</v>
      </c>
      <c r="K864" s="1" t="s">
        <v>9036</v>
      </c>
      <c r="L864" s="1" t="s">
        <v>9292</v>
      </c>
      <c r="M864" s="1">
        <v>7983</v>
      </c>
      <c r="N864" s="1" t="s">
        <v>9059</v>
      </c>
      <c r="O864" s="1" t="s">
        <v>8989</v>
      </c>
      <c r="P864" s="1" t="s">
        <v>8955</v>
      </c>
      <c r="Q864" s="1" t="s">
        <v>8956</v>
      </c>
      <c r="R864" s="1" t="s">
        <v>8957</v>
      </c>
      <c r="S864" s="1" t="s">
        <v>8975</v>
      </c>
      <c r="T864" s="1" t="s">
        <v>2427</v>
      </c>
      <c r="U864" s="1" t="s">
        <v>11</v>
      </c>
      <c r="V864" s="1" t="s">
        <v>752</v>
      </c>
      <c r="W864" s="1"/>
    </row>
    <row r="865" spans="1:23" x14ac:dyDescent="0.2">
      <c r="A865" s="94" t="s">
        <v>16244</v>
      </c>
      <c r="B865" s="1" t="e">
        <v>#N/A</v>
      </c>
      <c r="C865" s="1" t="e">
        <v>#N/A</v>
      </c>
      <c r="D865" s="1" t="s">
        <v>20815</v>
      </c>
      <c r="E865" s="1" t="s">
        <v>2428</v>
      </c>
      <c r="F865" s="1" t="s">
        <v>18502</v>
      </c>
      <c r="G865" s="1" t="e">
        <v>#N/A</v>
      </c>
      <c r="H865" t="s">
        <v>8959</v>
      </c>
      <c r="I865" s="1" t="e">
        <v>#N/A</v>
      </c>
      <c r="J865" s="1" t="e">
        <v>#N/A</v>
      </c>
      <c r="K865" s="1" t="e">
        <v>#N/A</v>
      </c>
      <c r="L865" s="1" t="e">
        <v>#N/A</v>
      </c>
      <c r="M865" s="1" t="e">
        <v>#N/A</v>
      </c>
      <c r="N865" s="1" t="e">
        <v>#N/A</v>
      </c>
      <c r="O865" s="1" t="e">
        <v>#N/A</v>
      </c>
      <c r="P865" s="1" t="e">
        <v>#N/A</v>
      </c>
      <c r="Q865" s="1" t="e">
        <v>#N/A</v>
      </c>
      <c r="R865" s="1">
        <f t="shared" ref="R865:R868" si="256">1+LEN(T865)-LEN(SUBSTITUTE(T865,",",))</f>
        <v>2</v>
      </c>
      <c r="S865" s="1" t="str">
        <f t="shared" ref="S865:S868" si="257">IF(R865&gt;4,IF(R865&lt;8,"4-7",IF(R865&gt;7,"&gt;7")),"&lt;4")</f>
        <v>&lt;4</v>
      </c>
      <c r="T865" s="1" t="s">
        <v>19003</v>
      </c>
      <c r="U865" s="1" t="s">
        <v>17</v>
      </c>
      <c r="V865" s="1" t="s">
        <v>2429</v>
      </c>
      <c r="W865" s="1"/>
    </row>
    <row r="866" spans="1:23" x14ac:dyDescent="0.2">
      <c r="A866" s="88" t="s">
        <v>16245</v>
      </c>
      <c r="B866" s="1" t="e">
        <v>#N/A</v>
      </c>
      <c r="C866" s="1" t="e">
        <v>#N/A</v>
      </c>
      <c r="D866" s="1" t="s">
        <v>15477</v>
      </c>
      <c r="E866" s="1" t="s">
        <v>2430</v>
      </c>
      <c r="F866" s="1" t="s">
        <v>9650</v>
      </c>
      <c r="G866" s="1" t="s">
        <v>8957</v>
      </c>
      <c r="H866" t="s">
        <v>8959</v>
      </c>
      <c r="I866" s="1" t="s">
        <v>9035</v>
      </c>
      <c r="J866" s="1" t="s">
        <v>8998</v>
      </c>
      <c r="K866" s="1" t="s">
        <v>10492</v>
      </c>
      <c r="L866" s="1" t="s">
        <v>8973</v>
      </c>
      <c r="M866" s="1">
        <v>3500</v>
      </c>
      <c r="N866" s="1" t="s">
        <v>8953</v>
      </c>
      <c r="O866" s="1" t="s">
        <v>8989</v>
      </c>
      <c r="P866" s="1" t="e">
        <v>#N/A</v>
      </c>
      <c r="Q866" s="1" t="e">
        <v>#N/A</v>
      </c>
      <c r="R866" s="1">
        <f t="shared" si="256"/>
        <v>3</v>
      </c>
      <c r="S866" s="1" t="str">
        <f t="shared" si="257"/>
        <v>&lt;4</v>
      </c>
      <c r="T866" s="1" t="s">
        <v>19004</v>
      </c>
      <c r="U866" s="1" t="s">
        <v>11</v>
      </c>
      <c r="V866" s="1" t="s">
        <v>2431</v>
      </c>
      <c r="W866" s="1"/>
    </row>
    <row r="867" spans="1:23" x14ac:dyDescent="0.2">
      <c r="A867" s="88" t="s">
        <v>16246</v>
      </c>
      <c r="B867" s="1" t="e">
        <v>#N/A</v>
      </c>
      <c r="C867" s="1" t="e">
        <v>#N/A</v>
      </c>
      <c r="D867" s="1" t="s">
        <v>2432</v>
      </c>
      <c r="E867" s="1" t="s">
        <v>2433</v>
      </c>
      <c r="F867" s="1" t="s">
        <v>11671</v>
      </c>
      <c r="G867" s="1" t="s">
        <v>8957</v>
      </c>
      <c r="H867" t="s">
        <v>9061</v>
      </c>
      <c r="I867" s="1" t="s">
        <v>9092</v>
      </c>
      <c r="J867" s="1" t="s">
        <v>8998</v>
      </c>
      <c r="K867" s="1" t="s">
        <v>10492</v>
      </c>
      <c r="L867" s="1" t="s">
        <v>8973</v>
      </c>
      <c r="M867" s="1">
        <v>30</v>
      </c>
      <c r="N867" s="1" t="s">
        <v>9059</v>
      </c>
      <c r="O867" s="1" t="s">
        <v>8989</v>
      </c>
      <c r="P867" s="1" t="e">
        <v>#N/A</v>
      </c>
      <c r="Q867" s="1" t="e">
        <v>#N/A</v>
      </c>
      <c r="R867" s="1">
        <f t="shared" si="256"/>
        <v>5</v>
      </c>
      <c r="S867" s="1" t="str">
        <f t="shared" si="257"/>
        <v>4-7</v>
      </c>
      <c r="T867" s="1" t="s">
        <v>20592</v>
      </c>
      <c r="U867" s="1" t="s">
        <v>7</v>
      </c>
      <c r="V867" s="1" t="s">
        <v>2434</v>
      </c>
      <c r="W867" s="1"/>
    </row>
    <row r="868" spans="1:23" x14ac:dyDescent="0.2">
      <c r="A868" s="95" t="s">
        <v>16247</v>
      </c>
      <c r="B868" s="1" t="e">
        <v>#N/A</v>
      </c>
      <c r="C868" s="1" t="e">
        <v>#N/A</v>
      </c>
      <c r="D868" s="1" t="s">
        <v>21156</v>
      </c>
      <c r="E868" s="1" t="s">
        <v>2435</v>
      </c>
      <c r="F868" s="1" t="s">
        <v>9246</v>
      </c>
      <c r="G868" s="1" t="s">
        <v>8957</v>
      </c>
      <c r="H868" t="s">
        <v>8959</v>
      </c>
      <c r="I868" s="1" t="s">
        <v>20714</v>
      </c>
      <c r="J868" s="1" t="s">
        <v>9050</v>
      </c>
      <c r="K868" s="1" t="s">
        <v>10525</v>
      </c>
      <c r="L868" s="1" t="s">
        <v>8987</v>
      </c>
      <c r="M868" s="1">
        <v>133820</v>
      </c>
      <c r="N868" s="1" t="s">
        <v>8953</v>
      </c>
      <c r="O868" s="1" t="s">
        <v>8954</v>
      </c>
      <c r="P868" s="1" t="e">
        <v>#N/A</v>
      </c>
      <c r="Q868" s="1" t="e">
        <v>#N/A</v>
      </c>
      <c r="R868" s="1">
        <f t="shared" si="256"/>
        <v>4</v>
      </c>
      <c r="S868" s="1" t="str">
        <f t="shared" si="257"/>
        <v>&lt;4</v>
      </c>
      <c r="T868" s="1" t="s">
        <v>19005</v>
      </c>
      <c r="U868" s="1" t="s">
        <v>7</v>
      </c>
      <c r="V868" s="1" t="s">
        <v>61</v>
      </c>
      <c r="W868" s="1"/>
    </row>
    <row r="869" spans="1:23" x14ac:dyDescent="0.2">
      <c r="A869" s="88" t="s">
        <v>16248</v>
      </c>
      <c r="B869" s="1" t="e">
        <v>#N/A</v>
      </c>
      <c r="C869" s="1" t="s">
        <v>14179</v>
      </c>
      <c r="D869" s="1" t="s">
        <v>2436</v>
      </c>
      <c r="E869" s="1" t="s">
        <v>2437</v>
      </c>
      <c r="F869" s="1" t="s">
        <v>9815</v>
      </c>
      <c r="G869" s="1" t="s">
        <v>8957</v>
      </c>
      <c r="H869" t="s">
        <v>8959</v>
      </c>
      <c r="I869" s="1" t="s">
        <v>9605</v>
      </c>
      <c r="J869" s="1" t="s">
        <v>9101</v>
      </c>
      <c r="K869" s="1" t="s">
        <v>14097</v>
      </c>
      <c r="L869" s="1" t="s">
        <v>8987</v>
      </c>
      <c r="M869" s="1">
        <v>618</v>
      </c>
      <c r="N869" s="1" t="s">
        <v>14182</v>
      </c>
      <c r="O869" s="1" t="s">
        <v>8989</v>
      </c>
      <c r="P869" s="1" t="s">
        <v>8955</v>
      </c>
      <c r="Q869" s="1" t="s">
        <v>8956</v>
      </c>
      <c r="R869" s="1" t="s">
        <v>8957</v>
      </c>
      <c r="S869" s="1" t="s">
        <v>8958</v>
      </c>
      <c r="T869" s="1" t="s">
        <v>2438</v>
      </c>
      <c r="U869" s="1" t="s">
        <v>4</v>
      </c>
      <c r="V869" s="1" t="s">
        <v>2439</v>
      </c>
      <c r="W869" s="1"/>
    </row>
    <row r="870" spans="1:23" x14ac:dyDescent="0.2">
      <c r="A870" s="88" t="s">
        <v>16249</v>
      </c>
      <c r="B870" s="1" t="e">
        <v>#N/A</v>
      </c>
      <c r="C870" s="1" t="e">
        <v>#N/A</v>
      </c>
      <c r="D870" s="1" t="s">
        <v>2440</v>
      </c>
      <c r="E870" s="1" t="s">
        <v>2441</v>
      </c>
      <c r="F870" s="1" t="s">
        <v>9380</v>
      </c>
      <c r="G870" s="1" t="s">
        <v>8959</v>
      </c>
      <c r="H870" t="s">
        <v>8959</v>
      </c>
      <c r="I870" s="1" t="s">
        <v>8948</v>
      </c>
      <c r="J870" s="1" t="s">
        <v>8959</v>
      </c>
      <c r="K870" s="1" t="s">
        <v>20779</v>
      </c>
      <c r="L870" s="1" t="s">
        <v>8951</v>
      </c>
      <c r="M870" s="1">
        <v>101</v>
      </c>
      <c r="N870" s="1" t="s">
        <v>9059</v>
      </c>
      <c r="O870" s="1" t="s">
        <v>8954</v>
      </c>
      <c r="P870" s="1" t="e">
        <v>#N/A</v>
      </c>
      <c r="Q870" s="1" t="e">
        <v>#N/A</v>
      </c>
      <c r="R870" s="1">
        <f>1+LEN(T870)-LEN(SUBSTITUTE(T870,",",))</f>
        <v>3</v>
      </c>
      <c r="S870" s="1" t="str">
        <f>IF(R870&gt;4,IF(R870&lt;8,"4-7",IF(R870&gt;7,"&gt;7")),"&lt;4")</f>
        <v>&lt;4</v>
      </c>
      <c r="T870" s="1" t="s">
        <v>19006</v>
      </c>
      <c r="U870" s="1" t="s">
        <v>17</v>
      </c>
      <c r="V870" s="1" t="s">
        <v>126</v>
      </c>
      <c r="W870" s="1"/>
    </row>
    <row r="871" spans="1:23" x14ac:dyDescent="0.2">
      <c r="A871" s="88" t="s">
        <v>16250</v>
      </c>
      <c r="B871" s="1" t="e">
        <v>#N/A</v>
      </c>
      <c r="C871" s="1" t="s">
        <v>10652</v>
      </c>
      <c r="D871" s="1" t="s">
        <v>2442</v>
      </c>
      <c r="E871" s="1" t="s">
        <v>2443</v>
      </c>
      <c r="F871" s="1" t="s">
        <v>9010</v>
      </c>
      <c r="G871" s="1" t="s">
        <v>8957</v>
      </c>
      <c r="H871" t="s">
        <v>9061</v>
      </c>
      <c r="I871" s="1" t="s">
        <v>9075</v>
      </c>
      <c r="J871" s="1" t="s">
        <v>8998</v>
      </c>
      <c r="K871" s="1" t="s">
        <v>9036</v>
      </c>
      <c r="L871" s="1" t="s">
        <v>8973</v>
      </c>
      <c r="M871" s="1">
        <v>16000</v>
      </c>
      <c r="N871" s="1" t="s">
        <v>8953</v>
      </c>
      <c r="O871" s="1" t="s">
        <v>8989</v>
      </c>
      <c r="P871" s="1" t="s">
        <v>8955</v>
      </c>
      <c r="Q871" s="1" t="s">
        <v>8990</v>
      </c>
      <c r="R871" s="1" t="s">
        <v>8957</v>
      </c>
      <c r="S871" s="1" t="s">
        <v>8958</v>
      </c>
      <c r="T871" s="1" t="s">
        <v>2444</v>
      </c>
      <c r="U871" s="1" t="s">
        <v>17</v>
      </c>
      <c r="V871" s="1" t="s">
        <v>93</v>
      </c>
      <c r="W871" s="1"/>
    </row>
    <row r="872" spans="1:23" x14ac:dyDescent="0.2">
      <c r="A872" s="89" t="s">
        <v>16251</v>
      </c>
      <c r="B872" s="1" t="e">
        <v>#N/A</v>
      </c>
      <c r="C872" s="1" t="e">
        <v>#N/A</v>
      </c>
      <c r="D872" s="1" t="s">
        <v>2445</v>
      </c>
      <c r="E872" s="1" t="s">
        <v>2446</v>
      </c>
      <c r="F872" s="1" t="e">
        <v>#N/A</v>
      </c>
      <c r="G872" s="1" t="e">
        <v>#N/A</v>
      </c>
      <c r="H872" t="e">
        <v>#N/A</v>
      </c>
      <c r="I872" s="1" t="e">
        <v>#N/A</v>
      </c>
      <c r="J872" s="1" t="e">
        <v>#N/A</v>
      </c>
      <c r="K872" s="1" t="e">
        <v>#N/A</v>
      </c>
      <c r="L872" s="1" t="e">
        <v>#N/A</v>
      </c>
      <c r="M872" s="1" t="e">
        <v>#N/A</v>
      </c>
      <c r="N872" s="1" t="e">
        <v>#N/A</v>
      </c>
      <c r="O872" s="1" t="e">
        <v>#N/A</v>
      </c>
      <c r="P872" s="1" t="e">
        <v>#N/A</v>
      </c>
      <c r="Q872" s="1" t="e">
        <v>#N/A</v>
      </c>
      <c r="R872" s="1">
        <f t="shared" ref="R872:R873" si="258">1+LEN(T872)-LEN(SUBSTITUTE(T872,",",))</f>
        <v>1</v>
      </c>
      <c r="S872" s="1" t="str">
        <f t="shared" ref="S872:S873" si="259">IF(R872&gt;4,IF(R872&lt;8,"4-7",IF(R872&gt;7,"&gt;7")),"&lt;4")</f>
        <v>&lt;4</v>
      </c>
      <c r="T872" s="1" t="s">
        <v>2447</v>
      </c>
      <c r="U872" s="1" t="s">
        <v>7</v>
      </c>
      <c r="V872" s="1" t="s">
        <v>21</v>
      </c>
      <c r="W872" s="1"/>
    </row>
    <row r="873" spans="1:23" x14ac:dyDescent="0.2">
      <c r="A873" s="88" t="s">
        <v>16252</v>
      </c>
      <c r="B873" s="1" t="e">
        <v>#N/A</v>
      </c>
      <c r="C873" s="1" t="e">
        <v>#N/A</v>
      </c>
      <c r="D873" s="1" t="s">
        <v>2448</v>
      </c>
      <c r="E873" s="1" t="s">
        <v>2449</v>
      </c>
      <c r="F873" s="1" t="s">
        <v>9317</v>
      </c>
      <c r="G873" s="1" t="s">
        <v>8959</v>
      </c>
      <c r="H873" t="s">
        <v>9061</v>
      </c>
      <c r="I873" s="1" t="s">
        <v>20712</v>
      </c>
      <c r="J873" s="1" t="s">
        <v>8998</v>
      </c>
      <c r="K873" s="1" t="s">
        <v>10492</v>
      </c>
      <c r="L873" s="1" t="s">
        <v>9076</v>
      </c>
      <c r="M873" s="1">
        <v>26</v>
      </c>
      <c r="N873" s="1" t="s">
        <v>9059</v>
      </c>
      <c r="O873" s="1" t="s">
        <v>8989</v>
      </c>
      <c r="P873" s="1" t="e">
        <v>#N/A</v>
      </c>
      <c r="Q873" s="1" t="e">
        <v>#N/A</v>
      </c>
      <c r="R873" s="1">
        <f t="shared" si="258"/>
        <v>6</v>
      </c>
      <c r="S873" s="1" t="str">
        <f t="shared" si="259"/>
        <v>4-7</v>
      </c>
      <c r="T873" s="1" t="s">
        <v>19007</v>
      </c>
      <c r="U873" s="1" t="s">
        <v>7</v>
      </c>
      <c r="V873" s="1" t="s">
        <v>378</v>
      </c>
      <c r="W873" s="1"/>
    </row>
    <row r="874" spans="1:23" x14ac:dyDescent="0.2">
      <c r="A874" s="88" t="s">
        <v>16253</v>
      </c>
      <c r="B874" s="1" t="e">
        <v>#N/A</v>
      </c>
      <c r="C874" s="1" t="s">
        <v>10894</v>
      </c>
      <c r="D874" s="1" t="s">
        <v>2450</v>
      </c>
      <c r="E874" s="1" t="s">
        <v>2451</v>
      </c>
      <c r="F874" s="1" t="s">
        <v>9010</v>
      </c>
      <c r="G874" s="1" t="s">
        <v>8957</v>
      </c>
      <c r="H874" t="s">
        <v>9183</v>
      </c>
      <c r="I874" s="1" t="s">
        <v>9049</v>
      </c>
      <c r="J874" s="1" t="s">
        <v>9050</v>
      </c>
      <c r="K874" s="97" t="s">
        <v>21514</v>
      </c>
      <c r="L874" s="1" t="s">
        <v>8951</v>
      </c>
      <c r="M874" s="1">
        <v>116875</v>
      </c>
      <c r="N874" s="1" t="s">
        <v>8953</v>
      </c>
      <c r="O874" s="1" t="s">
        <v>8989</v>
      </c>
      <c r="P874" s="1" t="s">
        <v>8955</v>
      </c>
      <c r="Q874" s="1" t="s">
        <v>8956</v>
      </c>
      <c r="R874" s="1" t="s">
        <v>8957</v>
      </c>
      <c r="S874" s="1" t="s">
        <v>9103</v>
      </c>
      <c r="T874" s="1" t="s">
        <v>2452</v>
      </c>
      <c r="U874" s="1" t="s">
        <v>11</v>
      </c>
      <c r="V874" s="1" t="s">
        <v>46</v>
      </c>
      <c r="W874" s="1"/>
    </row>
    <row r="875" spans="1:23" x14ac:dyDescent="0.2">
      <c r="A875" s="88" t="s">
        <v>16254</v>
      </c>
      <c r="B875" s="1" t="e">
        <v>#N/A</v>
      </c>
      <c r="C875" s="1" t="e">
        <v>#N/A</v>
      </c>
      <c r="D875" s="1" t="s">
        <v>2453</v>
      </c>
      <c r="E875" s="1" t="s">
        <v>2454</v>
      </c>
      <c r="F875" s="1" t="s">
        <v>10873</v>
      </c>
      <c r="G875" s="1" t="s">
        <v>8959</v>
      </c>
      <c r="H875" t="s">
        <v>8959</v>
      </c>
      <c r="I875" s="1" t="s">
        <v>9173</v>
      </c>
      <c r="J875" s="1" t="s">
        <v>8959</v>
      </c>
      <c r="K875" s="1" t="s">
        <v>21269</v>
      </c>
      <c r="L875" s="1" t="s">
        <v>8951</v>
      </c>
      <c r="M875" s="1">
        <v>1775</v>
      </c>
      <c r="N875" s="1" t="s">
        <v>8953</v>
      </c>
      <c r="O875" s="1" t="s">
        <v>8989</v>
      </c>
      <c r="P875" s="1" t="e">
        <v>#N/A</v>
      </c>
      <c r="Q875" s="1" t="e">
        <v>#N/A</v>
      </c>
      <c r="R875" s="1">
        <f t="shared" ref="R875:R877" si="260">1+LEN(T875)-LEN(SUBSTITUTE(T875,",",))</f>
        <v>4</v>
      </c>
      <c r="S875" s="1" t="str">
        <f t="shared" ref="S875:S877" si="261">IF(R875&gt;4,IF(R875&lt;8,"4-7",IF(R875&gt;7,"&gt;7")),"&lt;4")</f>
        <v>&lt;4</v>
      </c>
      <c r="T875" s="1" t="s">
        <v>20593</v>
      </c>
      <c r="U875" s="1" t="s">
        <v>17</v>
      </c>
      <c r="V875" s="1" t="s">
        <v>27</v>
      </c>
      <c r="W875" s="1"/>
    </row>
    <row r="876" spans="1:23" x14ac:dyDescent="0.2">
      <c r="A876" s="88" t="s">
        <v>16255</v>
      </c>
      <c r="B876" s="1" t="e">
        <v>#N/A</v>
      </c>
      <c r="C876" s="1" t="e">
        <v>#N/A</v>
      </c>
      <c r="D876" s="1" t="s">
        <v>2455</v>
      </c>
      <c r="E876" s="1" t="s">
        <v>2456</v>
      </c>
      <c r="F876" s="1" t="s">
        <v>9387</v>
      </c>
      <c r="G876" s="1" t="s">
        <v>8959</v>
      </c>
      <c r="H876" t="s">
        <v>8959</v>
      </c>
      <c r="I876" s="1" t="s">
        <v>9035</v>
      </c>
      <c r="J876" s="1" t="s">
        <v>9308</v>
      </c>
      <c r="K876" s="1" t="s">
        <v>20723</v>
      </c>
      <c r="L876" s="1" t="s">
        <v>8951</v>
      </c>
      <c r="M876" s="1">
        <v>112000</v>
      </c>
      <c r="N876" s="1" t="s">
        <v>8953</v>
      </c>
      <c r="O876" s="1" t="s">
        <v>8954</v>
      </c>
      <c r="P876" s="1" t="e">
        <v>#N/A</v>
      </c>
      <c r="Q876" s="1" t="e">
        <v>#N/A</v>
      </c>
      <c r="R876" s="1">
        <f t="shared" si="260"/>
        <v>2</v>
      </c>
      <c r="S876" s="1" t="str">
        <f t="shared" si="261"/>
        <v>&lt;4</v>
      </c>
      <c r="T876" s="1" t="s">
        <v>19008</v>
      </c>
      <c r="U876" s="1" t="s">
        <v>17</v>
      </c>
      <c r="V876" s="1" t="s">
        <v>46</v>
      </c>
      <c r="W876" s="1"/>
    </row>
    <row r="877" spans="1:23" x14ac:dyDescent="0.2">
      <c r="A877" s="88" t="s">
        <v>16256</v>
      </c>
      <c r="B877" s="1" t="e">
        <v>#N/A</v>
      </c>
      <c r="C877" s="1" t="e">
        <v>#N/A</v>
      </c>
      <c r="D877" s="1" t="s">
        <v>2457</v>
      </c>
      <c r="E877" s="1" t="s">
        <v>2458</v>
      </c>
      <c r="F877" s="1" t="s">
        <v>18502</v>
      </c>
      <c r="G877" s="1" t="s">
        <v>8957</v>
      </c>
      <c r="H877" t="s">
        <v>8959</v>
      </c>
      <c r="I877" s="1" t="s">
        <v>8984</v>
      </c>
      <c r="J877" s="1" t="s">
        <v>8998</v>
      </c>
      <c r="K877" s="1" t="s">
        <v>20829</v>
      </c>
      <c r="L877" s="1" t="s">
        <v>8973</v>
      </c>
      <c r="M877" s="1">
        <v>9914</v>
      </c>
      <c r="N877" s="1" t="s">
        <v>8953</v>
      </c>
      <c r="O877" s="1" t="s">
        <v>8989</v>
      </c>
      <c r="P877" s="1" t="e">
        <v>#N/A</v>
      </c>
      <c r="Q877" s="1" t="e">
        <v>#N/A</v>
      </c>
      <c r="R877" s="1">
        <f t="shared" si="260"/>
        <v>5</v>
      </c>
      <c r="S877" s="1" t="str">
        <f t="shared" si="261"/>
        <v>4-7</v>
      </c>
      <c r="T877" s="1" t="s">
        <v>19009</v>
      </c>
      <c r="U877" s="1" t="s">
        <v>17</v>
      </c>
      <c r="V877" s="1" t="s">
        <v>891</v>
      </c>
      <c r="W877" s="1"/>
    </row>
    <row r="878" spans="1:23" x14ac:dyDescent="0.2">
      <c r="A878" s="88" t="s">
        <v>16257</v>
      </c>
      <c r="B878" s="1" t="e">
        <v>#N/A</v>
      </c>
      <c r="C878" s="1" t="s">
        <v>9589</v>
      </c>
      <c r="D878" s="1" t="s">
        <v>2459</v>
      </c>
      <c r="E878" s="1" t="s">
        <v>2460</v>
      </c>
      <c r="F878" s="1" t="s">
        <v>9010</v>
      </c>
      <c r="G878" s="1" t="s">
        <v>8957</v>
      </c>
      <c r="H878" t="s">
        <v>9009</v>
      </c>
      <c r="I878" s="1" t="s">
        <v>9092</v>
      </c>
      <c r="J878" s="1" t="s">
        <v>8998</v>
      </c>
      <c r="K878" s="1" t="s">
        <v>8972</v>
      </c>
      <c r="L878" s="1" t="s">
        <v>8973</v>
      </c>
      <c r="M878" s="1">
        <v>9582</v>
      </c>
      <c r="N878" s="1" t="s">
        <v>8953</v>
      </c>
      <c r="O878" s="1" t="s">
        <v>8989</v>
      </c>
      <c r="P878" s="1" t="s">
        <v>8955</v>
      </c>
      <c r="Q878" s="1" t="s">
        <v>8956</v>
      </c>
      <c r="R878" s="1" t="s">
        <v>8957</v>
      </c>
      <c r="S878" s="1" t="s">
        <v>8958</v>
      </c>
      <c r="T878" s="1" t="s">
        <v>2461</v>
      </c>
      <c r="U878" s="1" t="s">
        <v>17</v>
      </c>
      <c r="V878" s="1" t="s">
        <v>670</v>
      </c>
      <c r="W878" s="1"/>
    </row>
    <row r="879" spans="1:23" x14ac:dyDescent="0.2">
      <c r="A879" s="88" t="s">
        <v>16258</v>
      </c>
      <c r="B879" s="1" t="e">
        <v>#N/A</v>
      </c>
      <c r="C879" s="1" t="e">
        <v>#N/A</v>
      </c>
      <c r="D879" s="1" t="s">
        <v>2462</v>
      </c>
      <c r="E879" s="1" t="s">
        <v>2463</v>
      </c>
      <c r="F879" s="1" t="s">
        <v>18502</v>
      </c>
      <c r="G879" s="1" t="s">
        <v>8957</v>
      </c>
      <c r="H879" t="s">
        <v>9061</v>
      </c>
      <c r="I879" s="1" t="s">
        <v>8984</v>
      </c>
      <c r="J879" s="1" t="s">
        <v>8998</v>
      </c>
      <c r="K879" s="1" t="s">
        <v>20785</v>
      </c>
      <c r="L879" s="1" t="s">
        <v>8987</v>
      </c>
      <c r="M879" s="1">
        <v>11669</v>
      </c>
      <c r="N879" s="1" t="s">
        <v>8953</v>
      </c>
      <c r="O879" s="1" t="s">
        <v>8989</v>
      </c>
      <c r="P879" s="1" t="e">
        <v>#N/A</v>
      </c>
      <c r="Q879" s="1" t="e">
        <v>#N/A</v>
      </c>
      <c r="R879" s="1">
        <f>1+LEN(T879)-LEN(SUBSTITUTE(T879,",",))</f>
        <v>4</v>
      </c>
      <c r="S879" s="1" t="str">
        <f>IF(R879&gt;4,IF(R879&lt;8,"4-7",IF(R879&gt;7,"&gt;7")),"&lt;4")</f>
        <v>&lt;4</v>
      </c>
      <c r="T879" s="1" t="s">
        <v>20594</v>
      </c>
      <c r="U879" s="1" t="s">
        <v>17</v>
      </c>
      <c r="V879" s="1" t="s">
        <v>180</v>
      </c>
      <c r="W879" s="1"/>
    </row>
    <row r="880" spans="1:23" x14ac:dyDescent="0.2">
      <c r="A880" s="88" t="s">
        <v>16259</v>
      </c>
      <c r="B880" s="1" t="e">
        <v>#N/A</v>
      </c>
      <c r="C880" s="1" t="s">
        <v>11487</v>
      </c>
      <c r="D880" s="1" t="s">
        <v>2464</v>
      </c>
      <c r="E880" s="1" t="s">
        <v>2465</v>
      </c>
      <c r="F880" s="1" t="s">
        <v>9010</v>
      </c>
      <c r="G880" s="1" t="s">
        <v>8974</v>
      </c>
      <c r="H880" t="s">
        <v>9183</v>
      </c>
      <c r="I880" s="1" t="s">
        <v>8984</v>
      </c>
      <c r="J880" s="1" t="s">
        <v>8949</v>
      </c>
      <c r="K880" s="1" t="s">
        <v>8972</v>
      </c>
      <c r="L880" s="1" t="s">
        <v>8951</v>
      </c>
      <c r="M880" s="1">
        <v>98568</v>
      </c>
      <c r="N880" s="1" t="s">
        <v>8953</v>
      </c>
      <c r="O880" s="1" t="s">
        <v>8989</v>
      </c>
      <c r="P880" s="1" t="s">
        <v>8955</v>
      </c>
      <c r="Q880" s="1" t="s">
        <v>8956</v>
      </c>
      <c r="R880" s="1" t="s">
        <v>8974</v>
      </c>
      <c r="S880" s="1" t="s">
        <v>8958</v>
      </c>
      <c r="T880" s="1" t="s">
        <v>2466</v>
      </c>
      <c r="U880" s="1" t="s">
        <v>11</v>
      </c>
      <c r="V880" s="1" t="s">
        <v>110</v>
      </c>
      <c r="W880" s="1"/>
    </row>
    <row r="881" spans="1:23" x14ac:dyDescent="0.2">
      <c r="A881" s="88" t="s">
        <v>16260</v>
      </c>
      <c r="B881" s="1" t="e">
        <v>#N/A</v>
      </c>
      <c r="C881" s="1" t="s">
        <v>12634</v>
      </c>
      <c r="D881" s="1" t="s">
        <v>2467</v>
      </c>
      <c r="E881" s="1" t="s">
        <v>2468</v>
      </c>
      <c r="F881" s="1" t="s">
        <v>9317</v>
      </c>
      <c r="G881" s="1" t="s">
        <v>8959</v>
      </c>
      <c r="H881" t="s">
        <v>9009</v>
      </c>
      <c r="I881" s="1" t="s">
        <v>9049</v>
      </c>
      <c r="J881" s="1" t="s">
        <v>9050</v>
      </c>
      <c r="K881" s="1" t="s">
        <v>9036</v>
      </c>
      <c r="L881" s="1" t="s">
        <v>8987</v>
      </c>
      <c r="M881" s="1">
        <v>120656</v>
      </c>
      <c r="N881" s="1" t="s">
        <v>8953</v>
      </c>
      <c r="O881" s="1" t="s">
        <v>8989</v>
      </c>
      <c r="P881" s="1" t="s">
        <v>8955</v>
      </c>
      <c r="Q881" s="1" t="s">
        <v>8956</v>
      </c>
      <c r="R881" s="1" t="s">
        <v>8959</v>
      </c>
      <c r="S881" s="1" t="s">
        <v>8975</v>
      </c>
      <c r="T881" s="1" t="s">
        <v>2469</v>
      </c>
      <c r="U881" s="1" t="s">
        <v>11</v>
      </c>
      <c r="V881" s="1" t="s">
        <v>447</v>
      </c>
      <c r="W881" s="1"/>
    </row>
    <row r="882" spans="1:23" x14ac:dyDescent="0.2">
      <c r="A882" s="88" t="s">
        <v>16261</v>
      </c>
      <c r="B882" s="1" t="e">
        <v>#N/A</v>
      </c>
      <c r="C882" s="1" t="e">
        <v>#N/A</v>
      </c>
      <c r="D882" s="1" t="s">
        <v>2470</v>
      </c>
      <c r="E882" s="1" t="s">
        <v>2471</v>
      </c>
      <c r="F882" s="1" t="s">
        <v>12547</v>
      </c>
      <c r="G882" s="1" t="s">
        <v>8974</v>
      </c>
      <c r="H882" t="s">
        <v>9009</v>
      </c>
      <c r="I882" s="1" t="s">
        <v>9154</v>
      </c>
      <c r="J882" s="1" t="s">
        <v>8949</v>
      </c>
      <c r="K882" s="1" t="s">
        <v>10492</v>
      </c>
      <c r="L882" s="1" t="s">
        <v>8973</v>
      </c>
      <c r="M882" s="1">
        <v>510</v>
      </c>
      <c r="N882" s="1" t="s">
        <v>9059</v>
      </c>
      <c r="O882" s="1" t="s">
        <v>8954</v>
      </c>
      <c r="P882" s="1" t="e">
        <v>#N/A</v>
      </c>
      <c r="Q882" s="1" t="e">
        <v>#N/A</v>
      </c>
      <c r="R882" s="1">
        <f t="shared" ref="R882:R888" si="262">1+LEN(T882)-LEN(SUBSTITUTE(T882,",",))</f>
        <v>5</v>
      </c>
      <c r="S882" s="1" t="str">
        <f t="shared" ref="S882:S888" si="263">IF(R882&gt;4,IF(R882&lt;8,"4-7",IF(R882&gt;7,"&gt;7")),"&lt;4")</f>
        <v>4-7</v>
      </c>
      <c r="T882" s="1" t="s">
        <v>19010</v>
      </c>
      <c r="U882" s="1" t="s">
        <v>7</v>
      </c>
      <c r="V882" s="1" t="s">
        <v>46</v>
      </c>
      <c r="W882" s="1"/>
    </row>
    <row r="883" spans="1:23" x14ac:dyDescent="0.2">
      <c r="A883" s="88" t="s">
        <v>16262</v>
      </c>
      <c r="B883" s="1" t="e">
        <v>#N/A</v>
      </c>
      <c r="C883" s="1" t="e">
        <v>#N/A</v>
      </c>
      <c r="D883" s="1" t="s">
        <v>2472</v>
      </c>
      <c r="E883" s="1" t="s">
        <v>2473</v>
      </c>
      <c r="F883" s="1" t="s">
        <v>10032</v>
      </c>
      <c r="G883" s="1" t="s">
        <v>8959</v>
      </c>
      <c r="H883" t="s">
        <v>9061</v>
      </c>
      <c r="I883" s="1" t="s">
        <v>8984</v>
      </c>
      <c r="J883" s="1" t="s">
        <v>8998</v>
      </c>
      <c r="K883" s="1" t="s">
        <v>20830</v>
      </c>
      <c r="L883" s="1" t="s">
        <v>9076</v>
      </c>
      <c r="M883" s="1"/>
      <c r="N883" s="1" t="e">
        <v>#N/A</v>
      </c>
      <c r="O883" s="1" t="e">
        <v>#N/A</v>
      </c>
      <c r="P883" s="1" t="e">
        <v>#N/A</v>
      </c>
      <c r="Q883" s="1" t="e">
        <v>#N/A</v>
      </c>
      <c r="R883" s="1">
        <f t="shared" si="262"/>
        <v>7</v>
      </c>
      <c r="S883" s="1" t="str">
        <f t="shared" si="263"/>
        <v>4-7</v>
      </c>
      <c r="T883" s="1" t="s">
        <v>20595</v>
      </c>
      <c r="U883" s="1" t="s">
        <v>7</v>
      </c>
      <c r="V883" s="1" t="s">
        <v>147</v>
      </c>
      <c r="W883" s="1"/>
    </row>
    <row r="884" spans="1:23" x14ac:dyDescent="0.2">
      <c r="A884" s="88" t="s">
        <v>16263</v>
      </c>
      <c r="B884" s="1" t="e">
        <v>#N/A</v>
      </c>
      <c r="C884" s="1" t="e">
        <v>#N/A</v>
      </c>
      <c r="D884" s="1" t="s">
        <v>2474</v>
      </c>
      <c r="E884" s="1" t="s">
        <v>2475</v>
      </c>
      <c r="F884" s="1" t="s">
        <v>9317</v>
      </c>
      <c r="G884" s="1" t="s">
        <v>8957</v>
      </c>
      <c r="H884" t="s">
        <v>9183</v>
      </c>
      <c r="I884" s="1" t="s">
        <v>8948</v>
      </c>
      <c r="J884" s="1" t="s">
        <v>8949</v>
      </c>
      <c r="K884" s="1" t="s">
        <v>10525</v>
      </c>
      <c r="L884" s="1" t="s">
        <v>8973</v>
      </c>
      <c r="M884" s="1">
        <v>10432</v>
      </c>
      <c r="N884" s="1" t="s">
        <v>8953</v>
      </c>
      <c r="O884" s="1" t="s">
        <v>8989</v>
      </c>
      <c r="P884" s="1" t="e">
        <v>#N/A</v>
      </c>
      <c r="Q884" s="1" t="e">
        <v>#N/A</v>
      </c>
      <c r="R884" s="1">
        <f t="shared" si="262"/>
        <v>6</v>
      </c>
      <c r="S884" s="1" t="str">
        <f t="shared" si="263"/>
        <v>4-7</v>
      </c>
      <c r="T884" s="1" t="s">
        <v>19011</v>
      </c>
      <c r="U884" s="1" t="s">
        <v>7</v>
      </c>
      <c r="V884" s="1" t="s">
        <v>2476</v>
      </c>
      <c r="W884" s="1"/>
    </row>
    <row r="885" spans="1:23" x14ac:dyDescent="0.2">
      <c r="A885" s="89" t="s">
        <v>2477</v>
      </c>
      <c r="B885" s="1" t="e">
        <v>#N/A</v>
      </c>
      <c r="C885" s="1" t="e">
        <v>#N/A</v>
      </c>
      <c r="D885" s="1" t="s">
        <v>2478</v>
      </c>
      <c r="E885" s="1" t="s">
        <v>2479</v>
      </c>
      <c r="F885" s="1" t="e">
        <v>#N/A</v>
      </c>
      <c r="G885" s="1" t="e">
        <v>#N/A</v>
      </c>
      <c r="H885" t="e">
        <v>#N/A</v>
      </c>
      <c r="I885" s="1" t="e">
        <v>#N/A</v>
      </c>
      <c r="J885" s="1" t="e">
        <v>#N/A</v>
      </c>
      <c r="K885" s="1" t="e">
        <v>#N/A</v>
      </c>
      <c r="L885" s="1" t="e">
        <v>#N/A</v>
      </c>
      <c r="M885" s="1" t="e">
        <v>#N/A</v>
      </c>
      <c r="N885" s="1" t="e">
        <v>#N/A</v>
      </c>
      <c r="O885" s="1" t="e">
        <v>#N/A</v>
      </c>
      <c r="P885" s="1" t="e">
        <v>#N/A</v>
      </c>
      <c r="Q885" s="1" t="e">
        <v>#N/A</v>
      </c>
      <c r="R885" s="1">
        <f t="shared" si="262"/>
        <v>2</v>
      </c>
      <c r="S885" s="1" t="str">
        <f t="shared" si="263"/>
        <v>&lt;4</v>
      </c>
      <c r="T885" s="1" t="s">
        <v>19012</v>
      </c>
      <c r="U885" s="1" t="s">
        <v>7</v>
      </c>
      <c r="V885" s="1" t="s">
        <v>562</v>
      </c>
      <c r="W885" s="1"/>
    </row>
    <row r="886" spans="1:23" x14ac:dyDescent="0.2">
      <c r="A886" s="88" t="s">
        <v>16264</v>
      </c>
      <c r="B886" s="1" t="e">
        <v>#N/A</v>
      </c>
      <c r="C886" s="1" t="e">
        <v>#N/A</v>
      </c>
      <c r="D886" s="1" t="s">
        <v>2480</v>
      </c>
      <c r="E886" s="1" t="s">
        <v>2481</v>
      </c>
      <c r="F886" s="1" t="e">
        <v>#N/A</v>
      </c>
      <c r="G886" s="1" t="e">
        <v>#N/A</v>
      </c>
      <c r="H886" t="e">
        <v>#N/A</v>
      </c>
      <c r="I886" s="1" t="e">
        <v>#N/A</v>
      </c>
      <c r="J886" s="1" t="e">
        <v>#N/A</v>
      </c>
      <c r="K886" s="1" t="e">
        <v>#N/A</v>
      </c>
      <c r="L886" s="1" t="e">
        <v>#N/A</v>
      </c>
      <c r="M886" s="1" t="e">
        <v>#N/A</v>
      </c>
      <c r="N886" s="1" t="e">
        <v>#N/A</v>
      </c>
      <c r="O886" s="1" t="e">
        <v>#N/A</v>
      </c>
      <c r="P886" s="1" t="e">
        <v>#N/A</v>
      </c>
      <c r="Q886" s="1" t="e">
        <v>#N/A</v>
      </c>
      <c r="R886" s="1">
        <f t="shared" si="262"/>
        <v>21</v>
      </c>
      <c r="S886" s="1" t="str">
        <f t="shared" si="263"/>
        <v>&gt;7</v>
      </c>
      <c r="T886" s="1" t="s">
        <v>19013</v>
      </c>
      <c r="U886" s="1" t="s">
        <v>252</v>
      </c>
      <c r="V886" s="1" t="s">
        <v>2482</v>
      </c>
      <c r="W886" s="1"/>
    </row>
    <row r="887" spans="1:23" x14ac:dyDescent="0.2">
      <c r="A887" s="88" t="s">
        <v>16265</v>
      </c>
      <c r="B887" s="1" t="e">
        <v>#N/A</v>
      </c>
      <c r="C887" s="1" t="e">
        <v>#N/A</v>
      </c>
      <c r="D887" s="1" t="s">
        <v>2483</v>
      </c>
      <c r="E887" s="1" t="s">
        <v>2484</v>
      </c>
      <c r="F887" s="1" t="s">
        <v>9380</v>
      </c>
      <c r="G887" s="1" t="s">
        <v>8957</v>
      </c>
      <c r="H887" t="s">
        <v>8959</v>
      </c>
      <c r="I887" s="1" t="s">
        <v>9605</v>
      </c>
      <c r="J887" s="1" t="s">
        <v>8971</v>
      </c>
      <c r="K887" s="1" t="s">
        <v>20779</v>
      </c>
      <c r="L887" s="1" t="s">
        <v>9076</v>
      </c>
      <c r="M887" s="1">
        <v>3825</v>
      </c>
      <c r="N887" s="1" t="s">
        <v>8953</v>
      </c>
      <c r="O887" s="1" t="s">
        <v>8989</v>
      </c>
      <c r="P887" s="1" t="e">
        <v>#N/A</v>
      </c>
      <c r="Q887" s="1" t="e">
        <v>#N/A</v>
      </c>
      <c r="R887" s="1">
        <f t="shared" si="262"/>
        <v>4</v>
      </c>
      <c r="S887" s="1" t="str">
        <f t="shared" si="263"/>
        <v>&lt;4</v>
      </c>
      <c r="T887" s="1" t="s">
        <v>19014</v>
      </c>
      <c r="U887" s="1" t="s">
        <v>17</v>
      </c>
      <c r="V887" s="1" t="s">
        <v>2082</v>
      </c>
      <c r="W887" s="1"/>
    </row>
    <row r="888" spans="1:23" x14ac:dyDescent="0.2">
      <c r="A888" s="88" t="s">
        <v>2485</v>
      </c>
      <c r="B888" s="1" t="e">
        <v>#N/A</v>
      </c>
      <c r="C888" s="1" t="e">
        <v>#N/A</v>
      </c>
      <c r="D888" s="1" t="s">
        <v>2486</v>
      </c>
      <c r="E888" s="1" t="s">
        <v>2487</v>
      </c>
      <c r="F888" s="1" t="s">
        <v>18502</v>
      </c>
      <c r="G888" s="1" t="s">
        <v>8957</v>
      </c>
      <c r="H888" t="s">
        <v>8959</v>
      </c>
      <c r="I888" s="1" t="s">
        <v>9035</v>
      </c>
      <c r="J888" s="1" t="s">
        <v>8998</v>
      </c>
      <c r="K888" s="1" t="s">
        <v>10492</v>
      </c>
      <c r="L888" s="1" t="s">
        <v>8951</v>
      </c>
      <c r="M888" s="1">
        <v>30513</v>
      </c>
      <c r="N888" s="1" t="s">
        <v>8953</v>
      </c>
      <c r="O888" s="1" t="s">
        <v>8954</v>
      </c>
      <c r="P888" s="1" t="e">
        <v>#N/A</v>
      </c>
      <c r="Q888" s="1" t="e">
        <v>#N/A</v>
      </c>
      <c r="R888" s="1">
        <f t="shared" si="262"/>
        <v>3</v>
      </c>
      <c r="S888" s="1" t="str">
        <f t="shared" si="263"/>
        <v>&lt;4</v>
      </c>
      <c r="T888" s="1" t="s">
        <v>19015</v>
      </c>
      <c r="U888" s="1" t="s">
        <v>11</v>
      </c>
      <c r="V888" s="1" t="s">
        <v>584</v>
      </c>
      <c r="W888" s="1"/>
    </row>
    <row r="889" spans="1:23" x14ac:dyDescent="0.2">
      <c r="A889" s="88" t="s">
        <v>16266</v>
      </c>
      <c r="B889" s="1" t="e">
        <v>#N/A</v>
      </c>
      <c r="C889" s="1" t="s">
        <v>10227</v>
      </c>
      <c r="D889" s="1" t="s">
        <v>2488</v>
      </c>
      <c r="E889" s="1" t="s">
        <v>2489</v>
      </c>
      <c r="F889" s="1" t="s">
        <v>9636</v>
      </c>
      <c r="G889" s="1" t="s">
        <v>8957</v>
      </c>
      <c r="H889" t="s">
        <v>8959</v>
      </c>
      <c r="I889" s="1" t="s">
        <v>9075</v>
      </c>
      <c r="J889" s="1" t="s">
        <v>9155</v>
      </c>
      <c r="K889" s="1" t="s">
        <v>9212</v>
      </c>
      <c r="L889" s="1" t="s">
        <v>8973</v>
      </c>
      <c r="M889" s="1">
        <v>845</v>
      </c>
      <c r="N889" s="1" t="s">
        <v>8953</v>
      </c>
      <c r="O889" s="1" t="s">
        <v>8954</v>
      </c>
      <c r="P889" s="1" t="s">
        <v>8955</v>
      </c>
      <c r="Q889" s="1" t="s">
        <v>8990</v>
      </c>
      <c r="R889" s="1" t="s">
        <v>8957</v>
      </c>
      <c r="S889" s="1" t="s">
        <v>8958</v>
      </c>
      <c r="T889" s="1" t="s">
        <v>2490</v>
      </c>
      <c r="U889" s="1" t="s">
        <v>17</v>
      </c>
      <c r="V889" s="1" t="s">
        <v>110</v>
      </c>
      <c r="W889" s="1"/>
    </row>
    <row r="890" spans="1:23" x14ac:dyDescent="0.2">
      <c r="A890" s="89" t="s">
        <v>2491</v>
      </c>
      <c r="B890" s="1" t="e">
        <v>#N/A</v>
      </c>
      <c r="C890" s="1" t="e">
        <v>#N/A</v>
      </c>
      <c r="D890" s="1" t="s">
        <v>2492</v>
      </c>
      <c r="E890" s="1" t="s">
        <v>2493</v>
      </c>
      <c r="F890" s="1" t="e">
        <v>#N/A</v>
      </c>
      <c r="G890" s="1" t="e">
        <v>#N/A</v>
      </c>
      <c r="H890" t="e">
        <v>#N/A</v>
      </c>
      <c r="I890" s="1" t="e">
        <v>#N/A</v>
      </c>
      <c r="J890" s="1" t="e">
        <v>#N/A</v>
      </c>
      <c r="K890" s="1" t="e">
        <v>#N/A</v>
      </c>
      <c r="L890" s="1" t="e">
        <v>#N/A</v>
      </c>
      <c r="M890" s="1" t="e">
        <v>#N/A</v>
      </c>
      <c r="N890" s="1" t="e">
        <v>#N/A</v>
      </c>
      <c r="O890" s="1" t="e">
        <v>#N/A</v>
      </c>
      <c r="P890" s="1" t="e">
        <v>#N/A</v>
      </c>
      <c r="Q890" s="1" t="e">
        <v>#N/A</v>
      </c>
      <c r="R890" s="1">
        <f t="shared" ref="R890:R891" si="264">1+LEN(T890)-LEN(SUBSTITUTE(T890,",",))</f>
        <v>5</v>
      </c>
      <c r="S890" s="1" t="str">
        <f t="shared" ref="S890:S891" si="265">IF(R890&gt;4,IF(R890&lt;8,"4-7",IF(R890&gt;7,"&gt;7")),"&lt;4")</f>
        <v>4-7</v>
      </c>
      <c r="T890" s="1" t="s">
        <v>19016</v>
      </c>
      <c r="U890" s="1" t="s">
        <v>7</v>
      </c>
      <c r="V890" s="1" t="s">
        <v>2377</v>
      </c>
      <c r="W890" s="1"/>
    </row>
    <row r="891" spans="1:23" x14ac:dyDescent="0.2">
      <c r="A891" s="88" t="s">
        <v>16267</v>
      </c>
      <c r="B891" s="1" t="e">
        <v>#N/A</v>
      </c>
      <c r="C891" s="1" t="e">
        <v>#N/A</v>
      </c>
      <c r="D891" s="1" t="s">
        <v>2494</v>
      </c>
      <c r="E891" s="1" t="s">
        <v>2495</v>
      </c>
      <c r="F891" s="1" t="s">
        <v>10850</v>
      </c>
      <c r="G891" s="1" t="s">
        <v>8957</v>
      </c>
      <c r="H891" t="s">
        <v>8959</v>
      </c>
      <c r="I891" s="1" t="s">
        <v>8984</v>
      </c>
      <c r="J891" s="1" t="s">
        <v>8998</v>
      </c>
      <c r="K891" s="1" t="s">
        <v>18497</v>
      </c>
      <c r="L891" s="1" t="s">
        <v>8951</v>
      </c>
      <c r="M891" s="1">
        <v>27</v>
      </c>
      <c r="N891" s="1" t="s">
        <v>9059</v>
      </c>
      <c r="O891" s="1" t="s">
        <v>8989</v>
      </c>
      <c r="P891" s="1" t="e">
        <v>#N/A</v>
      </c>
      <c r="Q891" s="1" t="e">
        <v>#N/A</v>
      </c>
      <c r="R891" s="1">
        <f t="shared" si="264"/>
        <v>13</v>
      </c>
      <c r="S891" s="1" t="str">
        <f t="shared" si="265"/>
        <v>&gt;7</v>
      </c>
      <c r="T891" s="1" t="s">
        <v>19017</v>
      </c>
      <c r="U891" s="1" t="s">
        <v>7</v>
      </c>
      <c r="V891" s="1" t="s">
        <v>46</v>
      </c>
      <c r="W891" s="1"/>
    </row>
    <row r="892" spans="1:23" x14ac:dyDescent="0.2">
      <c r="A892" s="88" t="s">
        <v>16268</v>
      </c>
      <c r="B892" s="1" t="e">
        <v>#N/A</v>
      </c>
      <c r="C892" s="1" t="s">
        <v>9170</v>
      </c>
      <c r="D892" s="1" t="s">
        <v>2496</v>
      </c>
      <c r="E892" s="1" t="s">
        <v>2497</v>
      </c>
      <c r="F892" s="1" t="s">
        <v>9176</v>
      </c>
      <c r="G892" s="1" t="s">
        <v>8959</v>
      </c>
      <c r="H892" t="s">
        <v>8959</v>
      </c>
      <c r="I892" s="1" t="s">
        <v>9173</v>
      </c>
      <c r="J892" s="1" t="s">
        <v>9174</v>
      </c>
      <c r="K892" s="1" t="s">
        <v>18491</v>
      </c>
      <c r="L892" s="1" t="s">
        <v>8987</v>
      </c>
      <c r="M892" s="1">
        <v>112466</v>
      </c>
      <c r="N892" s="1" t="s">
        <v>8953</v>
      </c>
      <c r="O892" s="1" t="s">
        <v>8954</v>
      </c>
      <c r="P892" s="1" t="s">
        <v>8955</v>
      </c>
      <c r="Q892" s="1" t="s">
        <v>8956</v>
      </c>
      <c r="R892" s="1" t="s">
        <v>8959</v>
      </c>
      <c r="S892" s="1" t="s">
        <v>8958</v>
      </c>
      <c r="T892" s="1" t="s">
        <v>2498</v>
      </c>
      <c r="U892" s="1" t="s">
        <v>7</v>
      </c>
      <c r="V892" s="1" t="s">
        <v>27</v>
      </c>
      <c r="W892" s="1"/>
    </row>
    <row r="893" spans="1:23" x14ac:dyDescent="0.2">
      <c r="A893" s="88" t="s">
        <v>16269</v>
      </c>
      <c r="B893" s="1" t="e">
        <v>#N/A</v>
      </c>
      <c r="C893" s="1" t="s">
        <v>11105</v>
      </c>
      <c r="D893" s="1" t="s">
        <v>2499</v>
      </c>
      <c r="E893" s="1" t="s">
        <v>2500</v>
      </c>
      <c r="F893" s="1" t="s">
        <v>9310</v>
      </c>
      <c r="G893" s="1" t="s">
        <v>8957</v>
      </c>
      <c r="H893" t="s">
        <v>9183</v>
      </c>
      <c r="I893" s="1" t="s">
        <v>9035</v>
      </c>
      <c r="J893" s="1" t="s">
        <v>8998</v>
      </c>
      <c r="K893" s="1" t="s">
        <v>8972</v>
      </c>
      <c r="L893" s="1" t="s">
        <v>8951</v>
      </c>
      <c r="M893" s="1">
        <v>888</v>
      </c>
      <c r="N893" s="1" t="s">
        <v>8953</v>
      </c>
      <c r="O893" s="1" t="s">
        <v>8989</v>
      </c>
      <c r="P893" s="1" t="s">
        <v>8955</v>
      </c>
      <c r="Q893" s="1" t="s">
        <v>8956</v>
      </c>
      <c r="R893" s="1" t="s">
        <v>8957</v>
      </c>
      <c r="S893" s="1" t="s">
        <v>8975</v>
      </c>
      <c r="T893" s="1" t="s">
        <v>2501</v>
      </c>
      <c r="U893" s="1" t="s">
        <v>11</v>
      </c>
      <c r="V893" s="1" t="s">
        <v>74</v>
      </c>
      <c r="W893" s="1"/>
    </row>
    <row r="894" spans="1:23" x14ac:dyDescent="0.2">
      <c r="A894" s="88" t="s">
        <v>16270</v>
      </c>
      <c r="B894" s="1" t="e">
        <v>#N/A</v>
      </c>
      <c r="C894" s="1" t="e">
        <v>#N/A</v>
      </c>
      <c r="D894" s="1" t="s">
        <v>2502</v>
      </c>
      <c r="E894" s="1" t="s">
        <v>2503</v>
      </c>
      <c r="F894" s="1" t="s">
        <v>10873</v>
      </c>
      <c r="G894" s="1" t="s">
        <v>8959</v>
      </c>
      <c r="H894" t="s">
        <v>9183</v>
      </c>
      <c r="I894" s="1" t="s">
        <v>8984</v>
      </c>
      <c r="J894" s="1" t="s">
        <v>9131</v>
      </c>
      <c r="K894" s="1" t="s">
        <v>18497</v>
      </c>
      <c r="L894" s="1" t="s">
        <v>8987</v>
      </c>
      <c r="M894" s="1">
        <f>3947+3900+1366</f>
        <v>9213</v>
      </c>
      <c r="N894" s="1" t="s">
        <v>8953</v>
      </c>
      <c r="O894" s="1" t="s">
        <v>8954</v>
      </c>
      <c r="P894" s="1" t="e">
        <v>#N/A</v>
      </c>
      <c r="Q894" s="1" t="e">
        <v>#N/A</v>
      </c>
      <c r="R894" s="1">
        <f t="shared" ref="R894:R895" si="266">1+LEN(T894)-LEN(SUBSTITUTE(T894,",",))</f>
        <v>4</v>
      </c>
      <c r="S894" s="1" t="str">
        <f t="shared" ref="S894:S895" si="267">IF(R894&gt;4,IF(R894&lt;8,"4-7",IF(R894&gt;7,"&gt;7")),"&lt;4")</f>
        <v>&lt;4</v>
      </c>
      <c r="T894" s="1" t="s">
        <v>19018</v>
      </c>
      <c r="U894" s="1" t="s">
        <v>17</v>
      </c>
      <c r="V894" s="1" t="s">
        <v>1076</v>
      </c>
      <c r="W894" s="1"/>
    </row>
    <row r="895" spans="1:23" x14ac:dyDescent="0.2">
      <c r="A895" s="94" t="s">
        <v>16271</v>
      </c>
      <c r="B895" s="1" t="e">
        <v>#N/A</v>
      </c>
      <c r="C895" s="1" t="e">
        <v>#N/A</v>
      </c>
      <c r="D895" s="1" t="s">
        <v>2504</v>
      </c>
      <c r="E895" s="1" t="s">
        <v>2505</v>
      </c>
      <c r="F895" s="1"/>
      <c r="G895" s="1" t="e">
        <v>#N/A</v>
      </c>
      <c r="I895" s="1" t="e">
        <v>#N/A</v>
      </c>
      <c r="J895" s="1" t="e">
        <v>#N/A</v>
      </c>
      <c r="K895" s="1" t="e">
        <v>#N/A</v>
      </c>
      <c r="L895" s="1" t="e">
        <v>#N/A</v>
      </c>
      <c r="M895" s="1" t="e">
        <v>#N/A</v>
      </c>
      <c r="N895" s="1" t="e">
        <v>#N/A</v>
      </c>
      <c r="O895" s="1" t="e">
        <v>#N/A</v>
      </c>
      <c r="P895" s="1" t="e">
        <v>#N/A</v>
      </c>
      <c r="Q895" s="1" t="e">
        <v>#N/A</v>
      </c>
      <c r="R895" s="1">
        <f t="shared" si="266"/>
        <v>3</v>
      </c>
      <c r="S895" s="1" t="str">
        <f t="shared" si="267"/>
        <v>&lt;4</v>
      </c>
      <c r="T895" s="1" t="s">
        <v>19019</v>
      </c>
      <c r="U895" s="1" t="s">
        <v>7</v>
      </c>
      <c r="V895" s="1" t="s">
        <v>210</v>
      </c>
      <c r="W895" s="1"/>
    </row>
    <row r="896" spans="1:23" x14ac:dyDescent="0.2">
      <c r="A896" s="88" t="s">
        <v>16272</v>
      </c>
      <c r="B896" s="1" t="e">
        <v>#N/A</v>
      </c>
      <c r="C896" s="1" t="s">
        <v>10214</v>
      </c>
      <c r="D896" s="1" t="s">
        <v>2506</v>
      </c>
      <c r="E896" s="1" t="s">
        <v>2507</v>
      </c>
      <c r="F896" s="1" t="s">
        <v>9310</v>
      </c>
      <c r="G896" s="1" t="s">
        <v>8957</v>
      </c>
      <c r="H896" t="s">
        <v>8959</v>
      </c>
      <c r="I896" s="1" t="s">
        <v>10217</v>
      </c>
      <c r="J896" s="1" t="s">
        <v>9155</v>
      </c>
      <c r="K896" s="1" t="s">
        <v>10218</v>
      </c>
      <c r="L896" s="1" t="s">
        <v>8973</v>
      </c>
      <c r="M896" s="1">
        <v>2929</v>
      </c>
      <c r="N896" s="1" t="s">
        <v>8953</v>
      </c>
      <c r="O896" s="1" t="s">
        <v>8954</v>
      </c>
      <c r="P896" s="1" t="s">
        <v>8955</v>
      </c>
      <c r="Q896" s="1" t="s">
        <v>8956</v>
      </c>
      <c r="R896" s="1" t="s">
        <v>8957</v>
      </c>
      <c r="S896" s="1" t="s">
        <v>8975</v>
      </c>
      <c r="T896" s="1" t="s">
        <v>2508</v>
      </c>
      <c r="U896" s="1" t="s">
        <v>17</v>
      </c>
      <c r="V896" s="1" t="s">
        <v>61</v>
      </c>
      <c r="W896" s="1"/>
    </row>
    <row r="897" spans="1:23" x14ac:dyDescent="0.2">
      <c r="A897" s="88" t="s">
        <v>16273</v>
      </c>
      <c r="B897" s="1" t="e">
        <v>#N/A</v>
      </c>
      <c r="C897" s="1" t="e">
        <v>#N/A</v>
      </c>
      <c r="D897" s="1" t="s">
        <v>2509</v>
      </c>
      <c r="E897" s="1" t="s">
        <v>2510</v>
      </c>
      <c r="F897" s="1" t="s">
        <v>18502</v>
      </c>
      <c r="G897" s="1" t="s">
        <v>8959</v>
      </c>
      <c r="H897" t="s">
        <v>8959</v>
      </c>
      <c r="I897" s="1" t="s">
        <v>20712</v>
      </c>
      <c r="J897" s="1" t="s">
        <v>8959</v>
      </c>
      <c r="K897" s="1" t="s">
        <v>10492</v>
      </c>
      <c r="L897" s="1" t="s">
        <v>9076</v>
      </c>
      <c r="M897" s="1">
        <v>1200</v>
      </c>
      <c r="N897" s="1" t="s">
        <v>8953</v>
      </c>
      <c r="O897" s="1" t="s">
        <v>8954</v>
      </c>
      <c r="P897" s="1" t="e">
        <v>#N/A</v>
      </c>
      <c r="Q897" s="1" t="e">
        <v>#N/A</v>
      </c>
      <c r="R897" s="1">
        <f t="shared" ref="R897:R898" si="268">1+LEN(T897)-LEN(SUBSTITUTE(T897,",",))</f>
        <v>4</v>
      </c>
      <c r="S897" s="1" t="str">
        <f t="shared" ref="S897:S898" si="269">IF(R897&gt;4,IF(R897&lt;8,"4-7",IF(R897&gt;7,"&gt;7")),"&lt;4")</f>
        <v>&lt;4</v>
      </c>
      <c r="T897" s="1" t="s">
        <v>19020</v>
      </c>
      <c r="U897" s="1" t="s">
        <v>7</v>
      </c>
      <c r="V897" s="1" t="s">
        <v>27</v>
      </c>
      <c r="W897" s="1"/>
    </row>
    <row r="898" spans="1:23" x14ac:dyDescent="0.2">
      <c r="A898" s="88" t="s">
        <v>16274</v>
      </c>
      <c r="B898" s="1" t="e">
        <v>#N/A</v>
      </c>
      <c r="C898" s="1" t="e">
        <v>#N/A</v>
      </c>
      <c r="D898" s="1" t="s">
        <v>2511</v>
      </c>
      <c r="E898" s="1" t="s">
        <v>2512</v>
      </c>
      <c r="F898" s="1" t="s">
        <v>18502</v>
      </c>
      <c r="G898" s="1" t="s">
        <v>8959</v>
      </c>
      <c r="H898" t="s">
        <v>9061</v>
      </c>
      <c r="I898" s="1" t="s">
        <v>9252</v>
      </c>
      <c r="J898" s="1" t="s">
        <v>18504</v>
      </c>
      <c r="K898" s="1" t="s">
        <v>20785</v>
      </c>
      <c r="L898" s="1" t="s">
        <v>9076</v>
      </c>
      <c r="M898" s="1">
        <v>2620</v>
      </c>
      <c r="N898" s="1" t="s">
        <v>8953</v>
      </c>
      <c r="O898" s="1" t="s">
        <v>8954</v>
      </c>
      <c r="P898" s="1" t="e">
        <v>#N/A</v>
      </c>
      <c r="Q898" s="1" t="e">
        <v>#N/A</v>
      </c>
      <c r="R898" s="1">
        <f t="shared" si="268"/>
        <v>2</v>
      </c>
      <c r="S898" s="1" t="str">
        <f t="shared" si="269"/>
        <v>&lt;4</v>
      </c>
      <c r="T898" s="1" t="s">
        <v>19021</v>
      </c>
      <c r="U898" s="1" t="s">
        <v>17</v>
      </c>
      <c r="V898" s="1" t="s">
        <v>286</v>
      </c>
      <c r="W898" s="1"/>
    </row>
    <row r="899" spans="1:23" x14ac:dyDescent="0.2">
      <c r="A899" s="88" t="s">
        <v>16275</v>
      </c>
      <c r="B899" s="1" t="e">
        <v>#N/A</v>
      </c>
      <c r="C899" s="1" t="s">
        <v>14508</v>
      </c>
      <c r="D899" s="1" t="s">
        <v>2513</v>
      </c>
      <c r="E899" s="1" t="s">
        <v>2514</v>
      </c>
      <c r="F899" s="1" t="s">
        <v>9246</v>
      </c>
      <c r="G899" s="1" t="s">
        <v>8959</v>
      </c>
      <c r="H899" t="s">
        <v>8959</v>
      </c>
      <c r="I899" s="1" t="s">
        <v>8948</v>
      </c>
      <c r="J899" s="1" t="s">
        <v>8949</v>
      </c>
      <c r="K899" s="1" t="s">
        <v>9041</v>
      </c>
      <c r="L899" s="1" t="s">
        <v>9292</v>
      </c>
      <c r="M899" s="1">
        <v>1870</v>
      </c>
      <c r="N899" s="1" t="s">
        <v>8953</v>
      </c>
      <c r="O899" s="1" t="s">
        <v>8989</v>
      </c>
      <c r="P899" s="1" t="s">
        <v>8955</v>
      </c>
      <c r="Q899" s="1" t="s">
        <v>8956</v>
      </c>
      <c r="R899" s="1" t="s">
        <v>8959</v>
      </c>
      <c r="S899" s="1" t="s">
        <v>9103</v>
      </c>
      <c r="T899" s="1" t="s">
        <v>2515</v>
      </c>
      <c r="U899" s="1" t="s">
        <v>924</v>
      </c>
      <c r="V899" s="1" t="s">
        <v>2516</v>
      </c>
      <c r="W899" s="1"/>
    </row>
    <row r="900" spans="1:23" x14ac:dyDescent="0.2">
      <c r="A900" s="89" t="s">
        <v>16276</v>
      </c>
      <c r="B900" s="1" t="e">
        <v>#N/A</v>
      </c>
      <c r="C900" s="1" t="e">
        <v>#N/A</v>
      </c>
      <c r="D900" s="5" t="s">
        <v>2517</v>
      </c>
      <c r="E900" s="1" t="s">
        <v>2518</v>
      </c>
      <c r="F900" s="1" t="e">
        <v>#N/A</v>
      </c>
      <c r="G900" s="1" t="e">
        <v>#N/A</v>
      </c>
      <c r="H900" t="e">
        <v>#N/A</v>
      </c>
      <c r="I900" s="1" t="e">
        <v>#N/A</v>
      </c>
      <c r="J900" s="1" t="e">
        <v>#N/A</v>
      </c>
      <c r="K900" s="1" t="e">
        <v>#N/A</v>
      </c>
      <c r="L900" s="1" t="e">
        <v>#N/A</v>
      </c>
      <c r="M900" s="1" t="e">
        <v>#N/A</v>
      </c>
      <c r="N900" s="1" t="e">
        <v>#N/A</v>
      </c>
      <c r="O900" s="1" t="e">
        <v>#N/A</v>
      </c>
      <c r="P900" s="1" t="e">
        <v>#N/A</v>
      </c>
      <c r="Q900" s="1" t="e">
        <v>#N/A</v>
      </c>
      <c r="R900" s="1">
        <f>1+LEN(T900)-LEN(SUBSTITUTE(T900,",",))</f>
        <v>6</v>
      </c>
      <c r="S900" s="1" t="str">
        <f>IF(R900&gt;4,IF(R900&lt;8,"4-7",IF(R900&gt;7,"&gt;7")),"&lt;4")</f>
        <v>4-7</v>
      </c>
      <c r="T900" s="1" t="s">
        <v>19022</v>
      </c>
      <c r="U900" s="1" t="s">
        <v>7</v>
      </c>
      <c r="V900" s="1" t="s">
        <v>184</v>
      </c>
      <c r="W900" s="1"/>
    </row>
    <row r="901" spans="1:23" x14ac:dyDescent="0.2">
      <c r="A901" s="88" t="s">
        <v>16277</v>
      </c>
      <c r="B901" s="1" t="e">
        <v>#N/A</v>
      </c>
      <c r="C901" s="1" t="s">
        <v>10670</v>
      </c>
      <c r="D901" s="1" t="s">
        <v>2519</v>
      </c>
      <c r="E901" s="1" t="s">
        <v>2520</v>
      </c>
      <c r="F901" s="1" t="s">
        <v>9317</v>
      </c>
      <c r="G901" s="1" t="s">
        <v>9060</v>
      </c>
      <c r="H901" t="s">
        <v>8959</v>
      </c>
      <c r="I901" s="1" t="s">
        <v>8948</v>
      </c>
      <c r="J901" s="1" t="s">
        <v>8949</v>
      </c>
      <c r="K901" s="1" t="s">
        <v>8972</v>
      </c>
      <c r="L901" s="1" t="s">
        <v>8973</v>
      </c>
      <c r="M901" s="1">
        <v>943</v>
      </c>
      <c r="N901" s="1" t="s">
        <v>8953</v>
      </c>
      <c r="O901" s="1" t="s">
        <v>8954</v>
      </c>
      <c r="P901" s="1" t="s">
        <v>8955</v>
      </c>
      <c r="Q901" s="1" t="s">
        <v>8956</v>
      </c>
      <c r="R901" s="1" t="s">
        <v>9060</v>
      </c>
      <c r="S901" s="1" t="s">
        <v>8958</v>
      </c>
      <c r="T901" s="1" t="s">
        <v>2521</v>
      </c>
      <c r="U901" s="1" t="s">
        <v>17</v>
      </c>
      <c r="V901" s="1" t="s">
        <v>392</v>
      </c>
      <c r="W901" s="1"/>
    </row>
    <row r="902" spans="1:23" x14ac:dyDescent="0.2">
      <c r="A902" s="88" t="s">
        <v>16278</v>
      </c>
      <c r="B902" s="1" t="e">
        <v>#N/A</v>
      </c>
      <c r="C902" s="1" t="s">
        <v>9056</v>
      </c>
      <c r="D902" s="1" t="s">
        <v>2522</v>
      </c>
      <c r="E902" s="1" t="s">
        <v>2523</v>
      </c>
      <c r="F902" s="1" t="s">
        <v>9317</v>
      </c>
      <c r="G902" s="1" t="s">
        <v>9060</v>
      </c>
      <c r="H902" t="s">
        <v>9061</v>
      </c>
      <c r="I902" s="1" t="s">
        <v>8984</v>
      </c>
      <c r="J902" s="1" t="s">
        <v>8998</v>
      </c>
      <c r="K902" s="1" t="s">
        <v>9036</v>
      </c>
      <c r="L902" s="1" t="s">
        <v>8973</v>
      </c>
      <c r="M902" s="1">
        <v>85</v>
      </c>
      <c r="N902" s="1" t="s">
        <v>9059</v>
      </c>
      <c r="O902" s="1" t="s">
        <v>8989</v>
      </c>
      <c r="P902" s="1" t="s">
        <v>8955</v>
      </c>
      <c r="Q902" s="1" t="s">
        <v>8956</v>
      </c>
      <c r="R902" s="1" t="s">
        <v>9060</v>
      </c>
      <c r="S902" s="1" t="s">
        <v>8958</v>
      </c>
      <c r="T902" s="1" t="s">
        <v>2524</v>
      </c>
      <c r="U902" s="1" t="s">
        <v>7</v>
      </c>
      <c r="V902" s="1" t="s">
        <v>126</v>
      </c>
      <c r="W902" s="1"/>
    </row>
    <row r="903" spans="1:23" x14ac:dyDescent="0.2">
      <c r="A903" s="88" t="s">
        <v>16279</v>
      </c>
      <c r="B903" s="1" t="e">
        <v>#N/A</v>
      </c>
      <c r="C903" s="1" t="e">
        <v>#N/A</v>
      </c>
      <c r="D903" s="1" t="s">
        <v>2525</v>
      </c>
      <c r="E903" s="1" t="s">
        <v>2526</v>
      </c>
      <c r="F903" s="1" t="s">
        <v>9310</v>
      </c>
      <c r="G903" s="1" t="s">
        <v>8957</v>
      </c>
      <c r="H903" t="s">
        <v>8959</v>
      </c>
      <c r="I903" s="1" t="s">
        <v>8948</v>
      </c>
      <c r="J903" s="1" t="s">
        <v>8949</v>
      </c>
      <c r="K903" s="1" t="s">
        <v>20735</v>
      </c>
      <c r="L903" s="1" t="s">
        <v>8987</v>
      </c>
      <c r="M903" s="1">
        <v>30</v>
      </c>
      <c r="N903" s="1" t="s">
        <v>9059</v>
      </c>
      <c r="O903" s="1" t="s">
        <v>8989</v>
      </c>
      <c r="P903" s="1" t="e">
        <v>#N/A</v>
      </c>
      <c r="Q903" s="1" t="e">
        <v>#N/A</v>
      </c>
      <c r="R903" s="1">
        <f>1+LEN(T903)-LEN(SUBSTITUTE(T903,",",))</f>
        <v>2</v>
      </c>
      <c r="S903" s="1" t="str">
        <f>IF(R903&gt;4,IF(R903&lt;8,"4-7",IF(R903&gt;7,"&gt;7")),"&lt;4")</f>
        <v>&lt;4</v>
      </c>
      <c r="T903" s="1" t="s">
        <v>19023</v>
      </c>
      <c r="U903" s="1" t="s">
        <v>7</v>
      </c>
      <c r="V903" s="1" t="s">
        <v>2527</v>
      </c>
      <c r="W903" s="1"/>
    </row>
    <row r="904" spans="1:23" x14ac:dyDescent="0.2">
      <c r="A904" s="88" t="s">
        <v>16280</v>
      </c>
      <c r="B904" s="1" t="e">
        <v>#N/A</v>
      </c>
      <c r="C904" s="1" t="s">
        <v>14208</v>
      </c>
      <c r="D904" s="1" t="s">
        <v>2528</v>
      </c>
      <c r="E904" s="1" t="s">
        <v>2529</v>
      </c>
      <c r="F904" s="1" t="s">
        <v>9010</v>
      </c>
      <c r="G904" s="1" t="s">
        <v>8974</v>
      </c>
      <c r="H904" t="s">
        <v>8959</v>
      </c>
      <c r="I904" s="1" t="s">
        <v>9049</v>
      </c>
      <c r="J904" s="1" t="s">
        <v>9050</v>
      </c>
      <c r="K904" s="1" t="s">
        <v>9036</v>
      </c>
      <c r="L904" s="1" t="s">
        <v>8951</v>
      </c>
      <c r="M904" s="1">
        <v>11711</v>
      </c>
      <c r="N904" s="1" t="s">
        <v>8953</v>
      </c>
      <c r="O904" s="1" t="s">
        <v>8954</v>
      </c>
      <c r="P904" s="1" t="s">
        <v>8955</v>
      </c>
      <c r="Q904" s="1" t="s">
        <v>8956</v>
      </c>
      <c r="R904" s="1" t="s">
        <v>8974</v>
      </c>
      <c r="S904" s="1" t="s">
        <v>8975</v>
      </c>
      <c r="T904" s="1" t="s">
        <v>2530</v>
      </c>
      <c r="U904" s="1" t="s">
        <v>242</v>
      </c>
      <c r="V904" s="1" t="s">
        <v>1100</v>
      </c>
      <c r="W904" s="1"/>
    </row>
    <row r="905" spans="1:23" x14ac:dyDescent="0.2">
      <c r="A905" s="94" t="s">
        <v>16281</v>
      </c>
      <c r="B905" s="1" t="e">
        <v>#N/A</v>
      </c>
      <c r="C905" s="1" t="e">
        <v>#N/A</v>
      </c>
      <c r="D905" s="1" t="s">
        <v>2531</v>
      </c>
      <c r="E905" s="1" t="s">
        <v>2532</v>
      </c>
      <c r="F905" s="1" t="e">
        <v>#N/A</v>
      </c>
      <c r="G905" s="1" t="e">
        <v>#N/A</v>
      </c>
      <c r="H905" t="e">
        <v>#N/A</v>
      </c>
      <c r="I905" s="1" t="e">
        <v>#N/A</v>
      </c>
      <c r="J905" s="1" t="e">
        <v>#N/A</v>
      </c>
      <c r="K905" s="1" t="e">
        <v>#N/A</v>
      </c>
      <c r="L905" s="1" t="e">
        <v>#N/A</v>
      </c>
      <c r="M905" s="1" t="e">
        <v>#N/A</v>
      </c>
      <c r="N905" s="1" t="e">
        <v>#N/A</v>
      </c>
      <c r="O905" s="1" t="e">
        <v>#N/A</v>
      </c>
      <c r="P905" s="1" t="e">
        <v>#N/A</v>
      </c>
      <c r="Q905" s="1" t="e">
        <v>#N/A</v>
      </c>
      <c r="R905" s="1">
        <f>1+LEN(T905)-LEN(SUBSTITUTE(T905,",",))</f>
        <v>6</v>
      </c>
      <c r="S905" s="1" t="str">
        <f>IF(R905&gt;4,IF(R905&lt;8,"4-7",IF(R905&gt;7,"&gt;7")),"&lt;4")</f>
        <v>4-7</v>
      </c>
      <c r="T905" s="1" t="s">
        <v>19024</v>
      </c>
      <c r="U905" s="1" t="s">
        <v>17</v>
      </c>
      <c r="V905" s="1" t="s">
        <v>2104</v>
      </c>
      <c r="W905" s="1"/>
    </row>
    <row r="906" spans="1:23" x14ac:dyDescent="0.2">
      <c r="A906" s="88" t="s">
        <v>16282</v>
      </c>
      <c r="B906" s="1" t="e">
        <v>#N/A</v>
      </c>
      <c r="C906" s="1" t="s">
        <v>11902</v>
      </c>
      <c r="D906" s="1" t="s">
        <v>2533</v>
      </c>
      <c r="E906" s="1" t="s">
        <v>2534</v>
      </c>
      <c r="F906" s="1" t="s">
        <v>9010</v>
      </c>
      <c r="G906" s="1" t="s">
        <v>8957</v>
      </c>
      <c r="H906" t="s">
        <v>9183</v>
      </c>
      <c r="I906" s="1" t="s">
        <v>9100</v>
      </c>
      <c r="J906" s="1" t="s">
        <v>9121</v>
      </c>
      <c r="K906" s="1" t="s">
        <v>9036</v>
      </c>
      <c r="L906" s="1" t="s">
        <v>9292</v>
      </c>
      <c r="M906" s="1">
        <v>20</v>
      </c>
      <c r="N906" s="1" t="s">
        <v>9059</v>
      </c>
      <c r="O906" s="1" t="s">
        <v>8989</v>
      </c>
      <c r="P906" s="1" t="s">
        <v>8955</v>
      </c>
      <c r="Q906" s="1" t="s">
        <v>8956</v>
      </c>
      <c r="R906" s="1" t="s">
        <v>8957</v>
      </c>
      <c r="S906" s="1" t="s">
        <v>8975</v>
      </c>
      <c r="T906" s="1" t="s">
        <v>2535</v>
      </c>
      <c r="U906" s="1" t="s">
        <v>11</v>
      </c>
      <c r="V906" s="1" t="s">
        <v>61</v>
      </c>
      <c r="W906" s="1"/>
    </row>
    <row r="907" spans="1:23" x14ac:dyDescent="0.2">
      <c r="A907" s="88" t="s">
        <v>16283</v>
      </c>
      <c r="B907" s="1" t="e">
        <v>#N/A</v>
      </c>
      <c r="C907" s="1" t="e">
        <v>#N/A</v>
      </c>
      <c r="D907" s="1" t="s">
        <v>2536</v>
      </c>
      <c r="E907" s="1" t="s">
        <v>2537</v>
      </c>
      <c r="F907" s="1" t="s">
        <v>9310</v>
      </c>
      <c r="G907" s="1" t="s">
        <v>8957</v>
      </c>
      <c r="H907" t="s">
        <v>9009</v>
      </c>
      <c r="I907" s="1" t="s">
        <v>8984</v>
      </c>
      <c r="J907" s="1" t="s">
        <v>9131</v>
      </c>
      <c r="K907" s="1" t="s">
        <v>21309</v>
      </c>
      <c r="L907" s="1" t="s">
        <v>20831</v>
      </c>
      <c r="M907" s="1">
        <v>6473</v>
      </c>
      <c r="N907" s="1" t="s">
        <v>8953</v>
      </c>
      <c r="O907" s="1" t="s">
        <v>8954</v>
      </c>
      <c r="P907" s="1" t="e">
        <v>#N/A</v>
      </c>
      <c r="Q907" s="1" t="e">
        <v>#N/A</v>
      </c>
      <c r="R907" s="1">
        <f t="shared" ref="R907:R910" si="270">1+LEN(T907)-LEN(SUBSTITUTE(T907,",",))</f>
        <v>15</v>
      </c>
      <c r="S907" s="1" t="str">
        <f t="shared" ref="S907:S910" si="271">IF(R907&gt;4,IF(R907&lt;8,"4-7",IF(R907&gt;7,"&gt;7")),"&lt;4")</f>
        <v>&gt;7</v>
      </c>
      <c r="T907" s="1" t="s">
        <v>19025</v>
      </c>
      <c r="U907" s="1" t="s">
        <v>7</v>
      </c>
      <c r="V907" s="1" t="s">
        <v>1020</v>
      </c>
      <c r="W907" s="1"/>
    </row>
    <row r="908" spans="1:23" x14ac:dyDescent="0.2">
      <c r="A908" s="88" t="s">
        <v>16284</v>
      </c>
      <c r="B908" s="1" t="e">
        <v>#N/A</v>
      </c>
      <c r="C908" s="1" t="e">
        <v>#N/A</v>
      </c>
      <c r="D908" s="1" t="s">
        <v>2538</v>
      </c>
      <c r="E908" s="1" t="s">
        <v>2539</v>
      </c>
      <c r="F908" s="1" t="s">
        <v>18502</v>
      </c>
      <c r="G908" s="1" t="s">
        <v>9060</v>
      </c>
      <c r="H908" t="s">
        <v>9061</v>
      </c>
      <c r="I908" s="1" t="s">
        <v>9605</v>
      </c>
      <c r="J908" s="1" t="s">
        <v>9101</v>
      </c>
      <c r="K908" s="1" t="s">
        <v>20779</v>
      </c>
      <c r="L908" s="1" t="s">
        <v>9076</v>
      </c>
      <c r="M908" s="1">
        <v>100</v>
      </c>
      <c r="N908" s="1" t="s">
        <v>8953</v>
      </c>
      <c r="O908" s="1" t="s">
        <v>8989</v>
      </c>
      <c r="P908" s="1" t="e">
        <v>#N/A</v>
      </c>
      <c r="Q908" s="1" t="e">
        <v>#N/A</v>
      </c>
      <c r="R908" s="1">
        <f t="shared" si="270"/>
        <v>29</v>
      </c>
      <c r="S908" s="1" t="str">
        <f t="shared" si="271"/>
        <v>&gt;7</v>
      </c>
      <c r="T908" s="1" t="s">
        <v>19026</v>
      </c>
      <c r="U908" s="1" t="s">
        <v>7</v>
      </c>
      <c r="V908" s="1" t="s">
        <v>2540</v>
      </c>
      <c r="W908" s="1"/>
    </row>
    <row r="909" spans="1:23" x14ac:dyDescent="0.2">
      <c r="A909" s="89" t="s">
        <v>2541</v>
      </c>
      <c r="B909" s="1" t="e">
        <v>#N/A</v>
      </c>
      <c r="C909" s="1" t="e">
        <v>#N/A</v>
      </c>
      <c r="D909" s="1" t="s">
        <v>2542</v>
      </c>
      <c r="E909" s="1" t="s">
        <v>2543</v>
      </c>
      <c r="F909" s="1" t="e">
        <v>#N/A</v>
      </c>
      <c r="G909" s="1" t="e">
        <v>#N/A</v>
      </c>
      <c r="H909" t="e">
        <v>#N/A</v>
      </c>
      <c r="I909" s="1" t="e">
        <v>#N/A</v>
      </c>
      <c r="J909" s="1" t="e">
        <v>#N/A</v>
      </c>
      <c r="K909" s="1" t="e">
        <v>#N/A</v>
      </c>
      <c r="L909" s="1" t="e">
        <v>#N/A</v>
      </c>
      <c r="M909" s="1" t="e">
        <v>#N/A</v>
      </c>
      <c r="N909" s="1" t="e">
        <v>#N/A</v>
      </c>
      <c r="O909" s="1" t="e">
        <v>#N/A</v>
      </c>
      <c r="P909" s="1" t="e">
        <v>#N/A</v>
      </c>
      <c r="Q909" s="1" t="e">
        <v>#N/A</v>
      </c>
      <c r="R909" s="1">
        <f t="shared" si="270"/>
        <v>4</v>
      </c>
      <c r="S909" s="1" t="str">
        <f t="shared" si="271"/>
        <v>&lt;4</v>
      </c>
      <c r="T909" s="1" t="s">
        <v>19027</v>
      </c>
      <c r="U909" s="1" t="s">
        <v>7</v>
      </c>
      <c r="V909" s="1" t="s">
        <v>2183</v>
      </c>
      <c r="W909" s="1"/>
    </row>
    <row r="910" spans="1:23" x14ac:dyDescent="0.2">
      <c r="A910" s="92" t="s">
        <v>16285</v>
      </c>
      <c r="B910" s="1" t="e">
        <v>#N/A</v>
      </c>
      <c r="C910" s="1" t="e">
        <v>#N/A</v>
      </c>
      <c r="D910" s="1" t="s">
        <v>2544</v>
      </c>
      <c r="E910" s="1" t="s">
        <v>2545</v>
      </c>
      <c r="F910" s="1" t="s">
        <v>9310</v>
      </c>
      <c r="G910" s="1" t="e">
        <v>#N/A</v>
      </c>
      <c r="H910" t="s">
        <v>8959</v>
      </c>
      <c r="I910" s="1" t="s">
        <v>9075</v>
      </c>
      <c r="J910" s="1" t="s">
        <v>8998</v>
      </c>
      <c r="K910" s="1" t="s">
        <v>20809</v>
      </c>
      <c r="L910" s="1" t="e">
        <v>#N/A</v>
      </c>
      <c r="M910" s="1" t="e">
        <v>#N/A</v>
      </c>
      <c r="N910" s="1" t="e">
        <v>#N/A</v>
      </c>
      <c r="O910" s="1" t="e">
        <v>#N/A</v>
      </c>
      <c r="P910" s="1" t="e">
        <v>#N/A</v>
      </c>
      <c r="Q910" s="1" t="e">
        <v>#N/A</v>
      </c>
      <c r="R910" s="1">
        <f t="shared" si="270"/>
        <v>8</v>
      </c>
      <c r="S910" s="1" t="str">
        <f t="shared" si="271"/>
        <v>&gt;7</v>
      </c>
      <c r="T910" s="1" t="s">
        <v>19028</v>
      </c>
      <c r="U910" s="1" t="s">
        <v>7</v>
      </c>
      <c r="V910" s="1" t="s">
        <v>1303</v>
      </c>
      <c r="W910" s="1"/>
    </row>
    <row r="911" spans="1:23" x14ac:dyDescent="0.2">
      <c r="A911" s="88" t="s">
        <v>16286</v>
      </c>
      <c r="B911" s="1" t="e">
        <v>#N/A</v>
      </c>
      <c r="C911" s="1" t="s">
        <v>9346</v>
      </c>
      <c r="D911" s="1" t="s">
        <v>2546</v>
      </c>
      <c r="E911" s="1" t="s">
        <v>2547</v>
      </c>
      <c r="F911" s="1" t="s">
        <v>9010</v>
      </c>
      <c r="G911" s="1" t="s">
        <v>8959</v>
      </c>
      <c r="H911" t="s">
        <v>9061</v>
      </c>
      <c r="I911" s="1" t="s">
        <v>8984</v>
      </c>
      <c r="J911" s="1" t="s">
        <v>8998</v>
      </c>
      <c r="K911" s="1" t="s">
        <v>9212</v>
      </c>
      <c r="L911" s="1" t="s">
        <v>8973</v>
      </c>
      <c r="M911" s="1">
        <v>208</v>
      </c>
      <c r="N911" s="1" t="s">
        <v>8953</v>
      </c>
      <c r="O911" s="1" t="s">
        <v>8954</v>
      </c>
      <c r="P911" s="1" t="s">
        <v>8955</v>
      </c>
      <c r="Q911" s="1" t="s">
        <v>8956</v>
      </c>
      <c r="R911" s="1" t="s">
        <v>8959</v>
      </c>
      <c r="S911" s="1" t="s">
        <v>9103</v>
      </c>
      <c r="T911" s="1" t="s">
        <v>2548</v>
      </c>
      <c r="U911" s="1" t="s">
        <v>17</v>
      </c>
      <c r="V911" s="1" t="s">
        <v>93</v>
      </c>
      <c r="W911" s="1"/>
    </row>
    <row r="912" spans="1:23" x14ac:dyDescent="0.2">
      <c r="A912" s="88" t="s">
        <v>16287</v>
      </c>
      <c r="B912" s="1" t="e">
        <v>#N/A</v>
      </c>
      <c r="C912" s="1" t="s">
        <v>14482</v>
      </c>
      <c r="D912" s="1" t="s">
        <v>2549</v>
      </c>
      <c r="E912" s="1" t="s">
        <v>2550</v>
      </c>
      <c r="F912" s="1" t="s">
        <v>9010</v>
      </c>
      <c r="G912" s="1" t="s">
        <v>8957</v>
      </c>
      <c r="H912" t="s">
        <v>9061</v>
      </c>
      <c r="I912" s="1" t="s">
        <v>9075</v>
      </c>
      <c r="J912" s="1" t="s">
        <v>8949</v>
      </c>
      <c r="K912" s="1" t="s">
        <v>21462</v>
      </c>
      <c r="L912" s="1" t="s">
        <v>8973</v>
      </c>
      <c r="M912" s="1">
        <v>66</v>
      </c>
      <c r="N912" s="1" t="s">
        <v>8953</v>
      </c>
      <c r="O912" s="1" t="s">
        <v>8989</v>
      </c>
      <c r="P912" s="1" t="s">
        <v>8955</v>
      </c>
      <c r="Q912" s="1" t="s">
        <v>8956</v>
      </c>
      <c r="R912" s="1" t="s">
        <v>8957</v>
      </c>
      <c r="S912" s="1" t="s">
        <v>9103</v>
      </c>
      <c r="T912" s="1" t="s">
        <v>2551</v>
      </c>
      <c r="U912" s="1" t="s">
        <v>242</v>
      </c>
      <c r="V912" s="1" t="s">
        <v>61</v>
      </c>
      <c r="W912" s="1"/>
    </row>
    <row r="913" spans="1:23" x14ac:dyDescent="0.2">
      <c r="A913" s="88" t="s">
        <v>16288</v>
      </c>
      <c r="B913" s="1" t="e">
        <v>#N/A</v>
      </c>
      <c r="C913" s="1" t="s">
        <v>14558</v>
      </c>
      <c r="D913" s="1" t="s">
        <v>2552</v>
      </c>
      <c r="E913" s="1" t="s">
        <v>2553</v>
      </c>
      <c r="F913" s="1" t="s">
        <v>9010</v>
      </c>
      <c r="G913" s="1" t="s">
        <v>8957</v>
      </c>
      <c r="H913" t="s">
        <v>9061</v>
      </c>
      <c r="I913" s="1" t="s">
        <v>8948</v>
      </c>
      <c r="J913" s="1" t="s">
        <v>8949</v>
      </c>
      <c r="K913" s="1" t="s">
        <v>21462</v>
      </c>
      <c r="L913" s="1" t="s">
        <v>8973</v>
      </c>
      <c r="M913" s="1">
        <v>8320</v>
      </c>
      <c r="N913" s="1" t="s">
        <v>8953</v>
      </c>
      <c r="O913" s="1" t="s">
        <v>8989</v>
      </c>
      <c r="P913" s="1" t="s">
        <v>8955</v>
      </c>
      <c r="Q913" s="1" t="s">
        <v>8956</v>
      </c>
      <c r="R913" s="1" t="s">
        <v>8957</v>
      </c>
      <c r="S913" s="1" t="s">
        <v>8958</v>
      </c>
      <c r="T913" s="1" t="s">
        <v>2554</v>
      </c>
      <c r="U913" s="1" t="s">
        <v>929</v>
      </c>
      <c r="V913" s="1" t="s">
        <v>921</v>
      </c>
      <c r="W913" s="1"/>
    </row>
    <row r="914" spans="1:23" x14ac:dyDescent="0.2">
      <c r="A914" s="88" t="s">
        <v>16289</v>
      </c>
      <c r="B914" s="1" t="e">
        <v>#N/A</v>
      </c>
      <c r="C914" s="1" t="e">
        <v>#N/A</v>
      </c>
      <c r="D914" s="1" t="s">
        <v>2555</v>
      </c>
      <c r="E914" s="1" t="s">
        <v>2556</v>
      </c>
      <c r="F914" s="1" t="s">
        <v>9310</v>
      </c>
      <c r="G914" s="1" t="s">
        <v>8957</v>
      </c>
      <c r="H914" t="s">
        <v>8959</v>
      </c>
      <c r="I914" s="1" t="s">
        <v>8948</v>
      </c>
      <c r="J914" s="1" t="s">
        <v>9725</v>
      </c>
      <c r="K914" s="1" t="s">
        <v>21324</v>
      </c>
      <c r="L914" s="1" t="s">
        <v>8973</v>
      </c>
      <c r="M914" s="1">
        <v>250</v>
      </c>
      <c r="N914" s="1" t="s">
        <v>9059</v>
      </c>
      <c r="O914" s="1" t="s">
        <v>8954</v>
      </c>
      <c r="P914" s="1" t="e">
        <v>#N/A</v>
      </c>
      <c r="Q914" s="1" t="e">
        <v>#N/A</v>
      </c>
      <c r="R914" s="1">
        <f>1+LEN(T914)-LEN(SUBSTITUTE(T914,",",))</f>
        <v>5</v>
      </c>
      <c r="S914" s="1" t="str">
        <f>IF(R914&gt;4,IF(R914&lt;8,"4-7",IF(R914&gt;7,"&gt;7")),"&lt;4")</f>
        <v>4-7</v>
      </c>
      <c r="T914" s="1" t="s">
        <v>19029</v>
      </c>
      <c r="U914" s="1" t="s">
        <v>17</v>
      </c>
      <c r="V914" s="1" t="s">
        <v>378</v>
      </c>
      <c r="W914" s="1"/>
    </row>
    <row r="915" spans="1:23" x14ac:dyDescent="0.2">
      <c r="A915" s="88" t="s">
        <v>16290</v>
      </c>
      <c r="B915" s="1" t="e">
        <v>#N/A</v>
      </c>
      <c r="C915" s="1" t="s">
        <v>10395</v>
      </c>
      <c r="D915" s="1" t="s">
        <v>2557</v>
      </c>
      <c r="E915" s="1" t="s">
        <v>2558</v>
      </c>
      <c r="F915" s="1" t="s">
        <v>9310</v>
      </c>
      <c r="G915" s="1" t="s">
        <v>8957</v>
      </c>
      <c r="H915" t="s">
        <v>8959</v>
      </c>
      <c r="I915" s="1" t="s">
        <v>9252</v>
      </c>
      <c r="J915" s="1" t="s">
        <v>8985</v>
      </c>
      <c r="K915" s="1" t="s">
        <v>9036</v>
      </c>
      <c r="L915" s="1" t="s">
        <v>8973</v>
      </c>
      <c r="M915" s="1">
        <v>400</v>
      </c>
      <c r="N915" s="1" t="s">
        <v>8953</v>
      </c>
      <c r="O915" s="1" t="s">
        <v>8954</v>
      </c>
      <c r="P915" s="1" t="s">
        <v>8955</v>
      </c>
      <c r="Q915" s="1" t="s">
        <v>8990</v>
      </c>
      <c r="R915" s="1" t="s">
        <v>8957</v>
      </c>
      <c r="S915" s="1" t="s">
        <v>8975</v>
      </c>
      <c r="T915" s="1" t="s">
        <v>2559</v>
      </c>
      <c r="U915" s="1" t="s">
        <v>17</v>
      </c>
      <c r="V915" s="1" t="s">
        <v>24</v>
      </c>
      <c r="W915" s="1"/>
    </row>
    <row r="916" spans="1:23" x14ac:dyDescent="0.2">
      <c r="A916" s="89" t="s">
        <v>2560</v>
      </c>
      <c r="B916" s="1" t="e">
        <v>#N/A</v>
      </c>
      <c r="C916" s="1" t="e">
        <v>#N/A</v>
      </c>
      <c r="D916" s="5" t="s">
        <v>2561</v>
      </c>
      <c r="E916" s="1" t="s">
        <v>2562</v>
      </c>
      <c r="F916" s="1" t="e">
        <v>#N/A</v>
      </c>
      <c r="G916" s="1" t="e">
        <v>#N/A</v>
      </c>
      <c r="H916" t="e">
        <v>#N/A</v>
      </c>
      <c r="I916" s="1" t="e">
        <v>#N/A</v>
      </c>
      <c r="J916" s="1" t="e">
        <v>#N/A</v>
      </c>
      <c r="K916" s="1" t="e">
        <v>#N/A</v>
      </c>
      <c r="L916" s="1" t="e">
        <v>#N/A</v>
      </c>
      <c r="M916" s="1" t="e">
        <v>#N/A</v>
      </c>
      <c r="N916" s="1" t="e">
        <v>#N/A</v>
      </c>
      <c r="O916" s="1" t="e">
        <v>#N/A</v>
      </c>
      <c r="P916" s="1" t="e">
        <v>#N/A</v>
      </c>
      <c r="Q916" s="1" t="e">
        <v>#N/A</v>
      </c>
      <c r="R916" s="1">
        <f>1+LEN(T916)-LEN(SUBSTITUTE(T916,",",))</f>
        <v>12</v>
      </c>
      <c r="S916" s="1" t="str">
        <f>IF(R916&gt;4,IF(R916&lt;8,"4-7",IF(R916&gt;7,"&gt;7")),"&lt;4")</f>
        <v>&gt;7</v>
      </c>
      <c r="T916" s="1" t="s">
        <v>20596</v>
      </c>
      <c r="U916" s="1" t="s">
        <v>17</v>
      </c>
      <c r="V916" s="1" t="s">
        <v>1028</v>
      </c>
      <c r="W916" s="1"/>
    </row>
    <row r="917" spans="1:23" x14ac:dyDescent="0.2">
      <c r="A917" s="88" t="s">
        <v>16291</v>
      </c>
      <c r="B917" s="1" t="e">
        <v>#N/A</v>
      </c>
      <c r="C917" s="1" t="s">
        <v>12272</v>
      </c>
      <c r="D917" s="1" t="s">
        <v>2563</v>
      </c>
      <c r="E917" s="1" t="s">
        <v>2564</v>
      </c>
      <c r="F917" s="1" t="s">
        <v>9465</v>
      </c>
      <c r="G917" s="1" t="s">
        <v>8957</v>
      </c>
      <c r="H917" t="s">
        <v>8959</v>
      </c>
      <c r="I917" s="1" t="s">
        <v>8984</v>
      </c>
      <c r="J917" s="1" t="s">
        <v>8998</v>
      </c>
      <c r="K917" s="1" t="s">
        <v>8972</v>
      </c>
      <c r="L917" s="1" t="s">
        <v>9076</v>
      </c>
      <c r="M917" s="1">
        <v>877</v>
      </c>
      <c r="N917" s="1" t="s">
        <v>8953</v>
      </c>
      <c r="O917" s="1" t="s">
        <v>8954</v>
      </c>
      <c r="P917" s="1" t="s">
        <v>8955</v>
      </c>
      <c r="Q917" s="1" t="s">
        <v>8956</v>
      </c>
      <c r="R917" s="1" t="s">
        <v>8957</v>
      </c>
      <c r="S917" s="1" t="s">
        <v>8958</v>
      </c>
      <c r="T917" s="1" t="s">
        <v>2565</v>
      </c>
      <c r="U917" s="1" t="s">
        <v>11</v>
      </c>
      <c r="V917" s="1" t="s">
        <v>61</v>
      </c>
      <c r="W917" s="1"/>
    </row>
    <row r="918" spans="1:23" x14ac:dyDescent="0.2">
      <c r="A918" s="88" t="s">
        <v>16292</v>
      </c>
      <c r="B918" s="1" t="e">
        <v>#N/A</v>
      </c>
      <c r="C918" s="1" t="e">
        <v>#N/A</v>
      </c>
      <c r="D918" s="1" t="s">
        <v>2566</v>
      </c>
      <c r="E918" s="1" t="s">
        <v>2567</v>
      </c>
      <c r="F918" s="1" t="s">
        <v>10850</v>
      </c>
      <c r="G918" s="1" t="s">
        <v>8957</v>
      </c>
      <c r="H918" t="s">
        <v>8959</v>
      </c>
      <c r="I918" s="1" t="s">
        <v>9100</v>
      </c>
      <c r="J918" s="1" t="s">
        <v>8949</v>
      </c>
      <c r="K918" s="1" t="s">
        <v>20830</v>
      </c>
      <c r="L918" s="1" t="s">
        <v>8951</v>
      </c>
      <c r="M918" s="1">
        <f>88+88+73</f>
        <v>249</v>
      </c>
      <c r="N918" s="1" t="s">
        <v>9059</v>
      </c>
      <c r="O918" s="1" t="s">
        <v>8954</v>
      </c>
      <c r="P918" s="1" t="e">
        <v>#N/A</v>
      </c>
      <c r="Q918" s="1" t="e">
        <v>#N/A</v>
      </c>
      <c r="R918" s="1">
        <f t="shared" ref="R918:R919" si="272">1+LEN(T918)-LEN(SUBSTITUTE(T918,",",))</f>
        <v>3</v>
      </c>
      <c r="S918" s="1" t="str">
        <f t="shared" ref="S918:S919" si="273">IF(R918&gt;4,IF(R918&lt;8,"4-7",IF(R918&gt;7,"&gt;7")),"&lt;4")</f>
        <v>&lt;4</v>
      </c>
      <c r="T918" s="1" t="s">
        <v>19030</v>
      </c>
      <c r="U918" s="1" t="s">
        <v>7</v>
      </c>
      <c r="V918" s="1" t="s">
        <v>57</v>
      </c>
      <c r="W918" s="1"/>
    </row>
    <row r="919" spans="1:23" x14ac:dyDescent="0.2">
      <c r="A919" s="89" t="s">
        <v>16293</v>
      </c>
      <c r="B919" s="1" t="e">
        <v>#N/A</v>
      </c>
      <c r="C919" s="1" t="e">
        <v>#N/A</v>
      </c>
      <c r="D919" s="1" t="s">
        <v>2568</v>
      </c>
      <c r="E919" s="1" t="s">
        <v>2569</v>
      </c>
      <c r="F919" s="1" t="e">
        <v>#N/A</v>
      </c>
      <c r="G919" s="1" t="e">
        <v>#N/A</v>
      </c>
      <c r="H919" t="e">
        <v>#N/A</v>
      </c>
      <c r="I919" s="1" t="e">
        <v>#N/A</v>
      </c>
      <c r="J919" s="1" t="e">
        <v>#N/A</v>
      </c>
      <c r="K919" s="1" t="e">
        <v>#N/A</v>
      </c>
      <c r="L919" s="1" t="e">
        <v>#N/A</v>
      </c>
      <c r="M919" s="1" t="e">
        <v>#N/A</v>
      </c>
      <c r="N919" s="1" t="e">
        <v>#N/A</v>
      </c>
      <c r="O919" s="1" t="e">
        <v>#N/A</v>
      </c>
      <c r="P919" s="1" t="e">
        <v>#N/A</v>
      </c>
      <c r="Q919" s="1" t="e">
        <v>#N/A</v>
      </c>
      <c r="R919" s="1">
        <f t="shared" si="272"/>
        <v>4</v>
      </c>
      <c r="S919" s="1" t="str">
        <f t="shared" si="273"/>
        <v>&lt;4</v>
      </c>
      <c r="T919" s="1" t="s">
        <v>19031</v>
      </c>
      <c r="U919" s="1" t="s">
        <v>17</v>
      </c>
      <c r="V919" s="1" t="s">
        <v>46</v>
      </c>
      <c r="W919" s="1"/>
    </row>
    <row r="920" spans="1:23" x14ac:dyDescent="0.2">
      <c r="A920" s="88" t="s">
        <v>16294</v>
      </c>
      <c r="B920" s="1" t="e">
        <v>#N/A</v>
      </c>
      <c r="C920" s="1" t="s">
        <v>12821</v>
      </c>
      <c r="D920" s="1" t="s">
        <v>2570</v>
      </c>
      <c r="E920" s="1" t="s">
        <v>2571</v>
      </c>
      <c r="F920" s="1" t="s">
        <v>9010</v>
      </c>
      <c r="G920" s="1" t="s">
        <v>8957</v>
      </c>
      <c r="H920" t="s">
        <v>9061</v>
      </c>
      <c r="I920" s="1" t="s">
        <v>9100</v>
      </c>
      <c r="J920" s="1" t="s">
        <v>8949</v>
      </c>
      <c r="K920" s="1" t="s">
        <v>9036</v>
      </c>
      <c r="L920" s="1" t="s">
        <v>9292</v>
      </c>
      <c r="M920" s="1">
        <v>10298</v>
      </c>
      <c r="N920" s="1" t="s">
        <v>8953</v>
      </c>
      <c r="O920" s="1" t="s">
        <v>8954</v>
      </c>
      <c r="P920" s="1" t="s">
        <v>8955</v>
      </c>
      <c r="Q920" s="1" t="s">
        <v>8956</v>
      </c>
      <c r="R920" s="1" t="s">
        <v>8957</v>
      </c>
      <c r="S920" s="1" t="s">
        <v>8975</v>
      </c>
      <c r="T920" s="1" t="s">
        <v>2572</v>
      </c>
      <c r="U920" s="1" t="s">
        <v>11</v>
      </c>
      <c r="V920" s="1" t="s">
        <v>161</v>
      </c>
      <c r="W920" s="1"/>
    </row>
    <row r="921" spans="1:23" x14ac:dyDescent="0.2">
      <c r="A921" s="88" t="s">
        <v>16295</v>
      </c>
      <c r="B921" s="1" t="e">
        <v>#N/A</v>
      </c>
      <c r="C921" s="1" t="e">
        <v>#N/A</v>
      </c>
      <c r="D921" s="1" t="s">
        <v>2573</v>
      </c>
      <c r="E921" s="1" t="s">
        <v>2574</v>
      </c>
      <c r="F921" s="1" t="s">
        <v>18502</v>
      </c>
      <c r="G921" s="1" t="s">
        <v>8957</v>
      </c>
      <c r="H921" t="s">
        <v>9061</v>
      </c>
      <c r="I921" s="1" t="s">
        <v>9100</v>
      </c>
      <c r="J921" s="1" t="s">
        <v>8949</v>
      </c>
      <c r="K921" s="1" t="s">
        <v>20779</v>
      </c>
      <c r="L921" s="1" t="s">
        <v>9076</v>
      </c>
      <c r="M921" s="1">
        <v>102005</v>
      </c>
      <c r="N921" s="1" t="s">
        <v>8953</v>
      </c>
      <c r="O921" s="1" t="s">
        <v>8989</v>
      </c>
      <c r="P921" s="1" t="e">
        <v>#N/A</v>
      </c>
      <c r="Q921" s="1" t="e">
        <v>#N/A</v>
      </c>
      <c r="R921" s="1">
        <f t="shared" ref="R921:R934" si="274">1+LEN(T921)-LEN(SUBSTITUTE(T921,",",))</f>
        <v>5</v>
      </c>
      <c r="S921" s="1" t="str">
        <f t="shared" ref="S921:S934" si="275">IF(R921&gt;4,IF(R921&lt;8,"4-7",IF(R921&gt;7,"&gt;7")),"&lt;4")</f>
        <v>4-7</v>
      </c>
      <c r="T921" s="1" t="s">
        <v>19032</v>
      </c>
      <c r="U921" s="1" t="s">
        <v>17</v>
      </c>
      <c r="V921" s="1" t="s">
        <v>161</v>
      </c>
      <c r="W921" s="1"/>
    </row>
    <row r="922" spans="1:23" x14ac:dyDescent="0.2">
      <c r="A922" s="88" t="s">
        <v>16296</v>
      </c>
      <c r="B922" s="1" t="e">
        <v>#N/A</v>
      </c>
      <c r="C922" s="1" t="e">
        <v>#N/A</v>
      </c>
      <c r="D922" s="1" t="s">
        <v>2575</v>
      </c>
      <c r="E922" s="1" t="s">
        <v>2576</v>
      </c>
      <c r="F922" s="1" t="s">
        <v>11671</v>
      </c>
      <c r="G922" s="1" t="s">
        <v>8957</v>
      </c>
      <c r="H922" t="s">
        <v>9061</v>
      </c>
      <c r="I922" s="1" t="s">
        <v>9075</v>
      </c>
      <c r="J922" s="1" t="s">
        <v>8949</v>
      </c>
      <c r="K922" s="1" t="s">
        <v>20779</v>
      </c>
      <c r="L922" s="1" t="s">
        <v>9292</v>
      </c>
      <c r="M922" s="1">
        <v>326</v>
      </c>
      <c r="N922" s="1" t="s">
        <v>9059</v>
      </c>
      <c r="O922" s="1" t="s">
        <v>8989</v>
      </c>
      <c r="P922" s="1" t="e">
        <v>#N/A</v>
      </c>
      <c r="Q922" s="1" t="e">
        <v>#N/A</v>
      </c>
      <c r="R922" s="1">
        <f t="shared" si="274"/>
        <v>5</v>
      </c>
      <c r="S922" s="1" t="str">
        <f t="shared" si="275"/>
        <v>4-7</v>
      </c>
      <c r="T922" s="1" t="s">
        <v>19033</v>
      </c>
      <c r="U922" s="1" t="s">
        <v>7</v>
      </c>
      <c r="V922" s="1" t="s">
        <v>378</v>
      </c>
      <c r="W922" s="1"/>
    </row>
    <row r="923" spans="1:23" x14ac:dyDescent="0.2">
      <c r="A923" s="88" t="s">
        <v>16297</v>
      </c>
      <c r="B923" s="1" t="e">
        <v>#N/A</v>
      </c>
      <c r="C923" s="1" t="e">
        <v>#N/A</v>
      </c>
      <c r="D923" s="1" t="s">
        <v>2577</v>
      </c>
      <c r="E923" s="1" t="s">
        <v>2578</v>
      </c>
      <c r="F923" s="1" t="s">
        <v>9213</v>
      </c>
      <c r="G923" s="1" t="s">
        <v>8957</v>
      </c>
      <c r="H923" t="s">
        <v>9183</v>
      </c>
      <c r="I923" s="1" t="s">
        <v>20714</v>
      </c>
      <c r="J923" s="1" t="s">
        <v>8959</v>
      </c>
      <c r="K923" s="1" t="s">
        <v>21424</v>
      </c>
      <c r="L923" s="1" t="s">
        <v>9076</v>
      </c>
      <c r="M923" s="1">
        <v>100</v>
      </c>
      <c r="N923" s="1" t="s">
        <v>8953</v>
      </c>
      <c r="O923" s="1" t="s">
        <v>8989</v>
      </c>
      <c r="P923" s="1" t="e">
        <v>#N/A</v>
      </c>
      <c r="Q923" s="1" t="e">
        <v>#N/A</v>
      </c>
      <c r="R923" s="1">
        <f t="shared" si="274"/>
        <v>7</v>
      </c>
      <c r="S923" s="1" t="str">
        <f t="shared" si="275"/>
        <v>4-7</v>
      </c>
      <c r="T923" s="1" t="s">
        <v>19034</v>
      </c>
      <c r="U923" s="1" t="s">
        <v>7</v>
      </c>
      <c r="V923" s="1" t="s">
        <v>110</v>
      </c>
      <c r="W923" s="1"/>
    </row>
    <row r="924" spans="1:23" x14ac:dyDescent="0.2">
      <c r="A924" s="88" t="s">
        <v>16298</v>
      </c>
      <c r="B924" s="1" t="e">
        <v>#N/A</v>
      </c>
      <c r="C924" s="1" t="e">
        <v>#N/A</v>
      </c>
      <c r="D924" s="1" t="s">
        <v>2579</v>
      </c>
      <c r="E924" s="1" t="s">
        <v>2580</v>
      </c>
      <c r="F924" s="1" t="s">
        <v>9317</v>
      </c>
      <c r="G924" s="1" t="s">
        <v>8957</v>
      </c>
      <c r="H924" t="s">
        <v>8959</v>
      </c>
      <c r="I924" s="1" t="s">
        <v>20712</v>
      </c>
      <c r="J924" s="1" t="s">
        <v>9155</v>
      </c>
      <c r="K924" s="1" t="s">
        <v>10492</v>
      </c>
      <c r="L924" s="1" t="s">
        <v>9464</v>
      </c>
      <c r="M924" s="1">
        <v>2430</v>
      </c>
      <c r="N924" s="1" t="s">
        <v>8953</v>
      </c>
      <c r="O924" s="1" t="s">
        <v>8954</v>
      </c>
      <c r="P924" s="1" t="e">
        <v>#N/A</v>
      </c>
      <c r="Q924" s="1" t="e">
        <v>#N/A</v>
      </c>
      <c r="R924" s="1">
        <f t="shared" si="274"/>
        <v>3</v>
      </c>
      <c r="S924" s="1" t="str">
        <f t="shared" si="275"/>
        <v>&lt;4</v>
      </c>
      <c r="T924" s="1" t="s">
        <v>19035</v>
      </c>
      <c r="U924" s="1" t="s">
        <v>7</v>
      </c>
      <c r="V924" s="1" t="s">
        <v>210</v>
      </c>
      <c r="W924" s="1"/>
    </row>
    <row r="925" spans="1:23" x14ac:dyDescent="0.2">
      <c r="A925" s="88" t="s">
        <v>16299</v>
      </c>
      <c r="B925" s="1" t="e">
        <v>#N/A</v>
      </c>
      <c r="C925" s="1" t="e">
        <v>#N/A</v>
      </c>
      <c r="D925" s="1" t="s">
        <v>2581</v>
      </c>
      <c r="E925" s="1" t="s">
        <v>2582</v>
      </c>
      <c r="F925" s="1" t="s">
        <v>18502</v>
      </c>
      <c r="G925" s="1" t="s">
        <v>8959</v>
      </c>
      <c r="H925" t="s">
        <v>9061</v>
      </c>
      <c r="I925" s="1" t="s">
        <v>9252</v>
      </c>
      <c r="J925" s="1" t="s">
        <v>8949</v>
      </c>
      <c r="K925" s="1" t="s">
        <v>10525</v>
      </c>
      <c r="L925" s="1" t="s">
        <v>9157</v>
      </c>
      <c r="M925" s="1">
        <v>3107</v>
      </c>
      <c r="N925" s="1" t="s">
        <v>8953</v>
      </c>
      <c r="O925" s="1" t="s">
        <v>8989</v>
      </c>
      <c r="P925" s="1" t="e">
        <v>#N/A</v>
      </c>
      <c r="Q925" s="1" t="e">
        <v>#N/A</v>
      </c>
      <c r="R925" s="1">
        <f t="shared" si="274"/>
        <v>10</v>
      </c>
      <c r="S925" s="1" t="str">
        <f t="shared" si="275"/>
        <v>&gt;7</v>
      </c>
      <c r="T925" s="1" t="s">
        <v>19036</v>
      </c>
      <c r="U925" s="1" t="s">
        <v>17</v>
      </c>
      <c r="V925" s="1" t="s">
        <v>87</v>
      </c>
      <c r="W925" s="1"/>
    </row>
    <row r="926" spans="1:23" x14ac:dyDescent="0.2">
      <c r="A926" s="89" t="s">
        <v>2583</v>
      </c>
      <c r="B926" s="1" t="e">
        <v>#N/A</v>
      </c>
      <c r="C926" s="1" t="e">
        <v>#N/A</v>
      </c>
      <c r="D926" s="1" t="s">
        <v>2584</v>
      </c>
      <c r="E926" s="1" t="s">
        <v>2585</v>
      </c>
      <c r="F926" s="1" t="e">
        <v>#N/A</v>
      </c>
      <c r="G926" s="1" t="e">
        <v>#N/A</v>
      </c>
      <c r="H926" t="e">
        <v>#N/A</v>
      </c>
      <c r="I926" s="1" t="e">
        <v>#N/A</v>
      </c>
      <c r="J926" s="1" t="e">
        <v>#N/A</v>
      </c>
      <c r="K926" s="1" t="e">
        <v>#N/A</v>
      </c>
      <c r="L926" s="1" t="e">
        <v>#N/A</v>
      </c>
      <c r="M926" s="1" t="e">
        <v>#N/A</v>
      </c>
      <c r="N926" s="1" t="e">
        <v>#N/A</v>
      </c>
      <c r="O926" s="1" t="e">
        <v>#N/A</v>
      </c>
      <c r="P926" s="1" t="e">
        <v>#N/A</v>
      </c>
      <c r="Q926" s="1" t="e">
        <v>#N/A</v>
      </c>
      <c r="R926" s="1">
        <f t="shared" si="274"/>
        <v>7</v>
      </c>
      <c r="S926" s="1" t="str">
        <f t="shared" si="275"/>
        <v>4-7</v>
      </c>
      <c r="T926" s="1" t="s">
        <v>19037</v>
      </c>
      <c r="U926" s="1" t="s">
        <v>7</v>
      </c>
      <c r="V926" s="1" t="s">
        <v>2013</v>
      </c>
      <c r="W926" s="1"/>
    </row>
    <row r="927" spans="1:23" x14ac:dyDescent="0.2">
      <c r="A927" s="88" t="s">
        <v>16300</v>
      </c>
      <c r="B927" s="1" t="e">
        <v>#N/A</v>
      </c>
      <c r="C927" s="1" t="e">
        <v>#N/A</v>
      </c>
      <c r="D927" s="1" t="s">
        <v>2586</v>
      </c>
      <c r="E927" s="1" t="s">
        <v>2587</v>
      </c>
      <c r="F927" s="1" t="s">
        <v>10032</v>
      </c>
      <c r="G927" s="1" t="s">
        <v>8959</v>
      </c>
      <c r="H927" t="s">
        <v>9183</v>
      </c>
      <c r="I927" s="1" t="s">
        <v>8948</v>
      </c>
      <c r="J927" s="1" t="s">
        <v>9308</v>
      </c>
      <c r="K927" s="1" t="s">
        <v>18489</v>
      </c>
      <c r="L927" s="1" t="s">
        <v>9292</v>
      </c>
      <c r="M927" s="1">
        <f>241+965</f>
        <v>1206</v>
      </c>
      <c r="N927" s="1" t="s">
        <v>8953</v>
      </c>
      <c r="O927" s="1" t="s">
        <v>8989</v>
      </c>
      <c r="P927" s="1" t="e">
        <v>#N/A</v>
      </c>
      <c r="Q927" s="1" t="e">
        <v>#N/A</v>
      </c>
      <c r="R927" s="1">
        <f t="shared" si="274"/>
        <v>4</v>
      </c>
      <c r="S927" s="1" t="str">
        <f t="shared" si="275"/>
        <v>&lt;4</v>
      </c>
      <c r="T927" s="1" t="s">
        <v>19038</v>
      </c>
      <c r="U927" s="1" t="s">
        <v>7</v>
      </c>
      <c r="V927" s="1" t="s">
        <v>2588</v>
      </c>
      <c r="W927" s="1"/>
    </row>
    <row r="928" spans="1:23" x14ac:dyDescent="0.2">
      <c r="A928" s="88" t="s">
        <v>2589</v>
      </c>
      <c r="B928" s="1" t="e">
        <v>#N/A</v>
      </c>
      <c r="C928" s="1" t="e">
        <v>#N/A</v>
      </c>
      <c r="D928" s="1" t="s">
        <v>2590</v>
      </c>
      <c r="E928" s="1" t="s">
        <v>2591</v>
      </c>
      <c r="F928" s="1" t="s">
        <v>9317</v>
      </c>
      <c r="G928" s="1" t="s">
        <v>8959</v>
      </c>
      <c r="H928" t="s">
        <v>9009</v>
      </c>
      <c r="I928" s="1" t="s">
        <v>9173</v>
      </c>
      <c r="J928" s="1" t="s">
        <v>9174</v>
      </c>
      <c r="K928" s="1" t="s">
        <v>21265</v>
      </c>
      <c r="L928" s="1" t="s">
        <v>9292</v>
      </c>
      <c r="M928" s="1">
        <v>400</v>
      </c>
      <c r="N928" s="1" t="s">
        <v>8953</v>
      </c>
      <c r="O928" s="1" t="s">
        <v>8989</v>
      </c>
      <c r="P928" s="1" t="e">
        <v>#N/A</v>
      </c>
      <c r="Q928" s="1" t="e">
        <v>#N/A</v>
      </c>
      <c r="R928" s="1">
        <f t="shared" si="274"/>
        <v>66</v>
      </c>
      <c r="S928" s="1" t="str">
        <f t="shared" si="275"/>
        <v>&gt;7</v>
      </c>
      <c r="T928" s="1" t="s">
        <v>19039</v>
      </c>
      <c r="U928" s="1" t="s">
        <v>11</v>
      </c>
      <c r="V928" s="1" t="s">
        <v>2592</v>
      </c>
      <c r="W928" s="1"/>
    </row>
    <row r="929" spans="1:23" x14ac:dyDescent="0.2">
      <c r="A929" s="88" t="s">
        <v>16301</v>
      </c>
      <c r="B929" s="1" t="e">
        <v>#N/A</v>
      </c>
      <c r="C929" s="1" t="e">
        <v>#N/A</v>
      </c>
      <c r="D929" s="1" t="s">
        <v>2593</v>
      </c>
      <c r="E929" s="1" t="s">
        <v>2594</v>
      </c>
      <c r="F929" s="1" t="s">
        <v>9317</v>
      </c>
      <c r="G929" s="1" t="s">
        <v>8957</v>
      </c>
      <c r="H929" t="s">
        <v>9009</v>
      </c>
      <c r="I929" s="1" t="s">
        <v>9173</v>
      </c>
      <c r="J929" s="1" t="s">
        <v>9174</v>
      </c>
      <c r="K929" s="1" t="s">
        <v>21265</v>
      </c>
      <c r="L929" s="1" t="s">
        <v>8987</v>
      </c>
      <c r="M929" s="1">
        <v>2611</v>
      </c>
      <c r="N929" s="1" t="s">
        <v>8953</v>
      </c>
      <c r="O929" s="1" t="s">
        <v>8954</v>
      </c>
      <c r="P929" s="1" t="e">
        <v>#N/A</v>
      </c>
      <c r="Q929" s="1" t="e">
        <v>#N/A</v>
      </c>
      <c r="R929" s="1">
        <f t="shared" si="274"/>
        <v>18</v>
      </c>
      <c r="S929" s="1" t="str">
        <f t="shared" si="275"/>
        <v>&gt;7</v>
      </c>
      <c r="T929" s="1" t="s">
        <v>20597</v>
      </c>
      <c r="U929" s="1" t="s">
        <v>7</v>
      </c>
      <c r="V929" s="1" t="s">
        <v>2592</v>
      </c>
      <c r="W929" s="1"/>
    </row>
    <row r="930" spans="1:23" x14ac:dyDescent="0.2">
      <c r="A930" s="88" t="s">
        <v>16302</v>
      </c>
      <c r="B930" s="1" t="e">
        <v>#N/A</v>
      </c>
      <c r="C930" s="1" t="e">
        <v>#N/A</v>
      </c>
      <c r="D930" s="1" t="s">
        <v>2595</v>
      </c>
      <c r="E930" s="1" t="s">
        <v>2596</v>
      </c>
      <c r="F930" s="1" t="s">
        <v>9317</v>
      </c>
      <c r="G930" s="1" t="s">
        <v>8957</v>
      </c>
      <c r="H930" t="s">
        <v>8959</v>
      </c>
      <c r="I930" s="1" t="s">
        <v>20712</v>
      </c>
      <c r="J930" s="1" t="s">
        <v>20800</v>
      </c>
      <c r="K930" s="1" t="s">
        <v>18489</v>
      </c>
      <c r="L930" s="1" t="s">
        <v>9133</v>
      </c>
      <c r="M930" s="1">
        <f>38+72+39</f>
        <v>149</v>
      </c>
      <c r="N930" s="1" t="s">
        <v>9059</v>
      </c>
      <c r="O930" s="1" t="s">
        <v>8954</v>
      </c>
      <c r="P930" s="1" t="e">
        <v>#N/A</v>
      </c>
      <c r="Q930" s="1" t="e">
        <v>#N/A</v>
      </c>
      <c r="R930" s="1">
        <f t="shared" si="274"/>
        <v>8</v>
      </c>
      <c r="S930" s="1" t="str">
        <f t="shared" si="275"/>
        <v>&gt;7</v>
      </c>
      <c r="T930" s="1" t="s">
        <v>19040</v>
      </c>
      <c r="U930" s="1" t="s">
        <v>7</v>
      </c>
      <c r="V930" s="1" t="s">
        <v>24</v>
      </c>
      <c r="W930" s="1"/>
    </row>
    <row r="931" spans="1:23" x14ac:dyDescent="0.2">
      <c r="A931" s="88" t="s">
        <v>16303</v>
      </c>
      <c r="B931" s="1" t="e">
        <v>#N/A</v>
      </c>
      <c r="C931" s="1" t="e">
        <v>#N/A</v>
      </c>
      <c r="D931" s="1" t="s">
        <v>2597</v>
      </c>
      <c r="E931" s="1" t="s">
        <v>2598</v>
      </c>
      <c r="F931" s="1" t="s">
        <v>18502</v>
      </c>
      <c r="G931" s="1" t="s">
        <v>8957</v>
      </c>
      <c r="H931" t="s">
        <v>8959</v>
      </c>
      <c r="I931" s="1" t="s">
        <v>9173</v>
      </c>
      <c r="J931" s="1" t="s">
        <v>9174</v>
      </c>
      <c r="K931" s="1" t="s">
        <v>18497</v>
      </c>
      <c r="L931" s="1" t="s">
        <v>9133</v>
      </c>
      <c r="M931" s="1">
        <f>1636+10015</f>
        <v>11651</v>
      </c>
      <c r="N931" s="1" t="s">
        <v>8953</v>
      </c>
      <c r="O931" s="1" t="s">
        <v>8954</v>
      </c>
      <c r="P931" s="1" t="e">
        <v>#N/A</v>
      </c>
      <c r="Q931" s="1" t="e">
        <v>#N/A</v>
      </c>
      <c r="R931" s="1">
        <f t="shared" si="274"/>
        <v>10</v>
      </c>
      <c r="S931" s="1" t="str">
        <f t="shared" si="275"/>
        <v>&gt;7</v>
      </c>
      <c r="T931" s="1" t="s">
        <v>19041</v>
      </c>
      <c r="U931" s="1" t="s">
        <v>17</v>
      </c>
      <c r="V931" s="1" t="s">
        <v>27</v>
      </c>
      <c r="W931" s="1"/>
    </row>
    <row r="932" spans="1:23" x14ac:dyDescent="0.2">
      <c r="A932" s="88" t="s">
        <v>16304</v>
      </c>
      <c r="B932" s="1" t="e">
        <v>#N/A</v>
      </c>
      <c r="C932" s="1" t="e">
        <v>#N/A</v>
      </c>
      <c r="D932" s="1" t="s">
        <v>2599</v>
      </c>
      <c r="E932" s="1" t="s">
        <v>2600</v>
      </c>
      <c r="F932" s="1" t="s">
        <v>18502</v>
      </c>
      <c r="G932" s="1" t="s">
        <v>8957</v>
      </c>
      <c r="H932" t="s">
        <v>8959</v>
      </c>
      <c r="I932" s="1" t="s">
        <v>9605</v>
      </c>
      <c r="J932" s="1" t="s">
        <v>9725</v>
      </c>
      <c r="K932" s="1" t="s">
        <v>10525</v>
      </c>
      <c r="L932" s="1" t="s">
        <v>9076</v>
      </c>
      <c r="M932" s="1">
        <v>29100</v>
      </c>
      <c r="N932" s="1" t="s">
        <v>8953</v>
      </c>
      <c r="O932" s="1" t="s">
        <v>8989</v>
      </c>
      <c r="P932" s="1" t="e">
        <v>#N/A</v>
      </c>
      <c r="Q932" s="1" t="e">
        <v>#N/A</v>
      </c>
      <c r="R932" s="1">
        <f t="shared" si="274"/>
        <v>4</v>
      </c>
      <c r="S932" s="1" t="str">
        <f t="shared" si="275"/>
        <v>&lt;4</v>
      </c>
      <c r="T932" s="1" t="s">
        <v>19042</v>
      </c>
      <c r="U932" s="1" t="s">
        <v>17</v>
      </c>
      <c r="V932" s="1" t="s">
        <v>126</v>
      </c>
      <c r="W932" s="1"/>
    </row>
    <row r="933" spans="1:23" x14ac:dyDescent="0.2">
      <c r="A933" s="88" t="s">
        <v>16305</v>
      </c>
      <c r="B933" s="1" t="e">
        <v>#N/A</v>
      </c>
      <c r="C933" s="1" t="e">
        <v>#N/A</v>
      </c>
      <c r="D933" s="1" t="s">
        <v>2601</v>
      </c>
      <c r="E933" s="1" t="s">
        <v>2602</v>
      </c>
      <c r="F933" s="1" t="s">
        <v>9333</v>
      </c>
      <c r="G933" s="1" t="s">
        <v>8957</v>
      </c>
      <c r="H933" t="s">
        <v>9061</v>
      </c>
      <c r="I933" s="1" t="s">
        <v>9605</v>
      </c>
      <c r="J933" s="1" t="s">
        <v>8949</v>
      </c>
      <c r="K933" s="1" t="s">
        <v>20776</v>
      </c>
      <c r="L933" s="1" t="s">
        <v>9076</v>
      </c>
      <c r="M933" s="1">
        <v>40</v>
      </c>
      <c r="N933" s="1" t="s">
        <v>9059</v>
      </c>
      <c r="O933" s="1" t="s">
        <v>8989</v>
      </c>
      <c r="P933" s="1" t="e">
        <v>#N/A</v>
      </c>
      <c r="Q933" s="1" t="e">
        <v>#N/A</v>
      </c>
      <c r="R933" s="1">
        <f t="shared" si="274"/>
        <v>16</v>
      </c>
      <c r="S933" s="1" t="str">
        <f t="shared" si="275"/>
        <v>&gt;7</v>
      </c>
      <c r="T933" s="1" t="s">
        <v>20598</v>
      </c>
      <c r="U933" s="1" t="s">
        <v>17</v>
      </c>
      <c r="V933" s="1" t="s">
        <v>1202</v>
      </c>
      <c r="W933" s="1"/>
    </row>
    <row r="934" spans="1:23" x14ac:dyDescent="0.2">
      <c r="A934" s="89" t="s">
        <v>2603</v>
      </c>
      <c r="B934" s="1" t="e">
        <v>#N/A</v>
      </c>
      <c r="C934" s="1" t="e">
        <v>#N/A</v>
      </c>
      <c r="D934" s="5" t="s">
        <v>2604</v>
      </c>
      <c r="E934" s="1" t="s">
        <v>2605</v>
      </c>
      <c r="F934" s="1" t="e">
        <v>#N/A</v>
      </c>
      <c r="G934" s="1" t="e">
        <v>#N/A</v>
      </c>
      <c r="H934" t="e">
        <v>#N/A</v>
      </c>
      <c r="I934" s="1" t="e">
        <v>#N/A</v>
      </c>
      <c r="J934" s="1" t="e">
        <v>#N/A</v>
      </c>
      <c r="K934" s="1" t="e">
        <v>#N/A</v>
      </c>
      <c r="L934" s="1" t="e">
        <v>#N/A</v>
      </c>
      <c r="M934" s="1" t="e">
        <v>#N/A</v>
      </c>
      <c r="N934" s="1" t="e">
        <v>#N/A</v>
      </c>
      <c r="O934" s="1" t="e">
        <v>#N/A</v>
      </c>
      <c r="P934" s="1" t="e">
        <v>#N/A</v>
      </c>
      <c r="Q934" s="1" t="e">
        <v>#N/A</v>
      </c>
      <c r="R934" s="1">
        <f t="shared" si="274"/>
        <v>8</v>
      </c>
      <c r="S934" s="1" t="str">
        <f t="shared" si="275"/>
        <v>&gt;7</v>
      </c>
      <c r="T934" s="1" t="s">
        <v>20599</v>
      </c>
      <c r="U934" s="1" t="s">
        <v>11</v>
      </c>
      <c r="V934" s="1" t="s">
        <v>184</v>
      </c>
      <c r="W934" s="1"/>
    </row>
    <row r="935" spans="1:23" x14ac:dyDescent="0.2">
      <c r="A935" s="88" t="s">
        <v>16306</v>
      </c>
      <c r="B935" s="1" t="e">
        <v>#N/A</v>
      </c>
      <c r="C935" s="1" t="s">
        <v>10023</v>
      </c>
      <c r="D935" s="1" t="s">
        <v>2606</v>
      </c>
      <c r="E935" s="1" t="s">
        <v>2607</v>
      </c>
      <c r="F935" s="1" t="s">
        <v>9010</v>
      </c>
      <c r="G935" s="1" t="s">
        <v>8957</v>
      </c>
      <c r="H935" t="s">
        <v>9009</v>
      </c>
      <c r="I935" s="1" t="s">
        <v>8948</v>
      </c>
      <c r="J935" s="1" t="s">
        <v>8949</v>
      </c>
      <c r="K935" s="1" t="s">
        <v>9041</v>
      </c>
      <c r="L935" s="1" t="s">
        <v>9157</v>
      </c>
      <c r="M935" s="1">
        <v>119</v>
      </c>
      <c r="N935" s="1" t="s">
        <v>8953</v>
      </c>
      <c r="O935" s="1" t="s">
        <v>8954</v>
      </c>
      <c r="P935" s="1" t="s">
        <v>8955</v>
      </c>
      <c r="Q935" s="1" t="s">
        <v>8956</v>
      </c>
      <c r="R935" s="1" t="s">
        <v>8957</v>
      </c>
      <c r="S935" s="1" t="s">
        <v>8975</v>
      </c>
      <c r="T935" s="1" t="s">
        <v>2608</v>
      </c>
      <c r="U935" s="1" t="s">
        <v>17</v>
      </c>
      <c r="V935" s="1" t="s">
        <v>21</v>
      </c>
      <c r="W935" s="1"/>
    </row>
    <row r="936" spans="1:23" x14ac:dyDescent="0.2">
      <c r="A936" s="88" t="s">
        <v>16307</v>
      </c>
      <c r="B936" s="1" t="e">
        <v>#N/A</v>
      </c>
      <c r="C936" s="1" t="s">
        <v>13093</v>
      </c>
      <c r="D936" s="1" t="s">
        <v>2609</v>
      </c>
      <c r="E936" s="1" t="s">
        <v>2610</v>
      </c>
      <c r="F936" s="1" t="s">
        <v>9387</v>
      </c>
      <c r="G936" s="1" t="s">
        <v>8974</v>
      </c>
      <c r="H936" t="s">
        <v>9009</v>
      </c>
      <c r="I936" s="1" t="s">
        <v>9605</v>
      </c>
      <c r="J936" s="1" t="s">
        <v>9121</v>
      </c>
      <c r="K936" s="1" t="s">
        <v>9036</v>
      </c>
      <c r="L936" s="1" t="s">
        <v>8973</v>
      </c>
      <c r="M936" s="1">
        <v>11802</v>
      </c>
      <c r="N936" s="1" t="s">
        <v>8953</v>
      </c>
      <c r="O936" s="1" t="s">
        <v>8989</v>
      </c>
      <c r="P936" s="1" t="s">
        <v>8955</v>
      </c>
      <c r="Q936" s="1" t="s">
        <v>8956</v>
      </c>
      <c r="R936" s="1" t="s">
        <v>8974</v>
      </c>
      <c r="S936" s="1" t="s">
        <v>8958</v>
      </c>
      <c r="T936" s="1" t="s">
        <v>2611</v>
      </c>
      <c r="U936" s="1" t="s">
        <v>11</v>
      </c>
      <c r="V936" s="1" t="s">
        <v>2612</v>
      </c>
      <c r="W936" s="1"/>
    </row>
    <row r="937" spans="1:23" x14ac:dyDescent="0.2">
      <c r="A937" s="88" t="s">
        <v>16308</v>
      </c>
      <c r="B937" s="1" t="e">
        <v>#N/A</v>
      </c>
      <c r="C937" s="1" t="e">
        <v>#N/A</v>
      </c>
      <c r="D937" s="1" t="s">
        <v>2613</v>
      </c>
      <c r="E937" s="1" t="s">
        <v>2614</v>
      </c>
      <c r="F937" s="1" t="s">
        <v>18502</v>
      </c>
      <c r="G937" s="1" t="s">
        <v>8957</v>
      </c>
      <c r="H937" t="s">
        <v>8959</v>
      </c>
      <c r="I937" s="1" t="s">
        <v>8948</v>
      </c>
      <c r="J937" s="1" t="s">
        <v>20800</v>
      </c>
      <c r="K937" s="1" t="s">
        <v>20736</v>
      </c>
      <c r="L937" s="1" t="s">
        <v>8987</v>
      </c>
      <c r="M937" s="1">
        <v>63</v>
      </c>
      <c r="N937" s="1" t="s">
        <v>8953</v>
      </c>
      <c r="O937" s="1" t="s">
        <v>8989</v>
      </c>
      <c r="P937" s="1" t="e">
        <v>#N/A</v>
      </c>
      <c r="Q937" s="1" t="e">
        <v>#N/A</v>
      </c>
      <c r="R937" s="1">
        <f>1+LEN(T937)-LEN(SUBSTITUTE(T937,",",))</f>
        <v>5</v>
      </c>
      <c r="S937" s="1" t="str">
        <f>IF(R937&gt;4,IF(R937&lt;8,"4-7",IF(R937&gt;7,"&gt;7")),"&lt;4")</f>
        <v>4-7</v>
      </c>
      <c r="T937" s="1" t="s">
        <v>19043</v>
      </c>
      <c r="U937" s="1" t="s">
        <v>17</v>
      </c>
      <c r="V937" s="1" t="s">
        <v>2287</v>
      </c>
      <c r="W937" s="1"/>
    </row>
    <row r="938" spans="1:23" x14ac:dyDescent="0.2">
      <c r="A938" s="88" t="s">
        <v>16309</v>
      </c>
      <c r="B938" s="1" t="e">
        <v>#N/A</v>
      </c>
      <c r="C938" s="1" t="s">
        <v>13788</v>
      </c>
      <c r="D938" s="1" t="s">
        <v>2615</v>
      </c>
      <c r="E938" s="1" t="s">
        <v>2616</v>
      </c>
      <c r="F938" s="1" t="s">
        <v>9010</v>
      </c>
      <c r="G938" s="1" t="s">
        <v>8957</v>
      </c>
      <c r="H938" t="s">
        <v>9009</v>
      </c>
      <c r="I938" s="1" t="s">
        <v>8948</v>
      </c>
      <c r="J938" s="1" t="s">
        <v>9422</v>
      </c>
      <c r="K938" s="1" t="s">
        <v>9036</v>
      </c>
      <c r="L938" s="1" t="s">
        <v>8987</v>
      </c>
      <c r="M938" s="1">
        <v>50</v>
      </c>
      <c r="N938" s="1" t="s">
        <v>9059</v>
      </c>
      <c r="O938" s="1" t="s">
        <v>8989</v>
      </c>
      <c r="P938" s="1" t="s">
        <v>8955</v>
      </c>
      <c r="Q938" s="1" t="s">
        <v>8956</v>
      </c>
      <c r="R938" s="1" t="s">
        <v>8957</v>
      </c>
      <c r="S938" s="1" t="s">
        <v>8975</v>
      </c>
      <c r="T938" s="1" t="s">
        <v>2617</v>
      </c>
      <c r="U938" s="1" t="s">
        <v>4</v>
      </c>
      <c r="V938" s="1" t="s">
        <v>2287</v>
      </c>
      <c r="W938" s="1"/>
    </row>
    <row r="939" spans="1:23" x14ac:dyDescent="0.2">
      <c r="A939" s="88" t="s">
        <v>16310</v>
      </c>
      <c r="B939" s="1" t="e">
        <v>#N/A</v>
      </c>
      <c r="C939" s="1" t="s">
        <v>14762</v>
      </c>
      <c r="D939" s="1" t="s">
        <v>2618</v>
      </c>
      <c r="E939" s="1" t="s">
        <v>2619</v>
      </c>
      <c r="F939" s="1" t="s">
        <v>9010</v>
      </c>
      <c r="G939" s="1" t="s">
        <v>8959</v>
      </c>
      <c r="H939" t="s">
        <v>9183</v>
      </c>
      <c r="I939" s="1" t="s">
        <v>8948</v>
      </c>
      <c r="J939" s="1" t="s">
        <v>9121</v>
      </c>
      <c r="K939" s="1" t="s">
        <v>10135</v>
      </c>
      <c r="L939" s="1" t="s">
        <v>9292</v>
      </c>
      <c r="M939" s="1">
        <v>671</v>
      </c>
      <c r="N939" s="1" t="s">
        <v>8953</v>
      </c>
      <c r="O939" s="1" t="s">
        <v>8989</v>
      </c>
      <c r="P939" s="1" t="s">
        <v>8955</v>
      </c>
      <c r="Q939" s="1" t="s">
        <v>8956</v>
      </c>
      <c r="R939" s="1" t="s">
        <v>8959</v>
      </c>
      <c r="S939" s="1" t="s">
        <v>8958</v>
      </c>
      <c r="T939" s="1" t="s">
        <v>2620</v>
      </c>
      <c r="U939" s="1" t="s">
        <v>17</v>
      </c>
      <c r="V939" s="1" t="s">
        <v>24</v>
      </c>
      <c r="W939" s="1"/>
    </row>
    <row r="940" spans="1:23" x14ac:dyDescent="0.2">
      <c r="A940" s="88" t="s">
        <v>16311</v>
      </c>
      <c r="B940" s="1" t="e">
        <v>#N/A</v>
      </c>
      <c r="C940" s="1" t="s">
        <v>9805</v>
      </c>
      <c r="D940" s="1" t="s">
        <v>2621</v>
      </c>
      <c r="E940" s="1" t="s">
        <v>2622</v>
      </c>
      <c r="F940" s="1" t="s">
        <v>9176</v>
      </c>
      <c r="G940" s="1" t="s">
        <v>8959</v>
      </c>
      <c r="H940" t="s">
        <v>8959</v>
      </c>
      <c r="I940" s="1" t="s">
        <v>9049</v>
      </c>
      <c r="J940" s="1" t="s">
        <v>9325</v>
      </c>
      <c r="K940" s="1" t="s">
        <v>9386</v>
      </c>
      <c r="L940" s="1" t="s">
        <v>9076</v>
      </c>
      <c r="M940" s="1">
        <v>269</v>
      </c>
      <c r="N940" s="1" t="s">
        <v>9059</v>
      </c>
      <c r="O940" s="1" t="s">
        <v>8954</v>
      </c>
      <c r="P940" s="1" t="s">
        <v>8955</v>
      </c>
      <c r="Q940" s="1" t="s">
        <v>8956</v>
      </c>
      <c r="R940" s="1" t="s">
        <v>8959</v>
      </c>
      <c r="S940" s="1" t="s">
        <v>8975</v>
      </c>
      <c r="T940" s="1" t="s">
        <v>2623</v>
      </c>
      <c r="U940" s="1" t="s">
        <v>11</v>
      </c>
      <c r="V940" s="1" t="s">
        <v>1797</v>
      </c>
      <c r="W940" s="1"/>
    </row>
    <row r="941" spans="1:23" x14ac:dyDescent="0.2">
      <c r="A941" s="88" t="s">
        <v>16312</v>
      </c>
      <c r="B941" s="1" t="e">
        <v>#N/A</v>
      </c>
      <c r="C941" s="1" t="s">
        <v>14767</v>
      </c>
      <c r="D941" s="1" t="s">
        <v>2624</v>
      </c>
      <c r="E941" s="1" t="s">
        <v>2625</v>
      </c>
      <c r="F941" s="1" t="s">
        <v>9010</v>
      </c>
      <c r="G941" s="1" t="s">
        <v>8959</v>
      </c>
      <c r="H941" t="s">
        <v>8959</v>
      </c>
      <c r="I941" s="1" t="s">
        <v>9092</v>
      </c>
      <c r="J941" s="1" t="s">
        <v>8971</v>
      </c>
      <c r="K941" s="1" t="s">
        <v>8972</v>
      </c>
      <c r="L941" s="1" t="s">
        <v>8973</v>
      </c>
      <c r="M941" s="1">
        <v>2050</v>
      </c>
      <c r="N941" s="1" t="s">
        <v>8953</v>
      </c>
      <c r="O941" s="1" t="s">
        <v>8954</v>
      </c>
      <c r="P941" s="1" t="s">
        <v>8955</v>
      </c>
      <c r="Q941" s="1" t="s">
        <v>8956</v>
      </c>
      <c r="R941" s="1" t="s">
        <v>8959</v>
      </c>
      <c r="S941" s="1" t="s">
        <v>9103</v>
      </c>
      <c r="T941" s="1" t="s">
        <v>2626</v>
      </c>
      <c r="U941" s="1" t="s">
        <v>17</v>
      </c>
      <c r="V941" s="1" t="s">
        <v>2627</v>
      </c>
      <c r="W941" s="1"/>
    </row>
    <row r="942" spans="1:23" x14ac:dyDescent="0.2">
      <c r="A942" s="89" t="s">
        <v>2628</v>
      </c>
      <c r="B942" s="1" t="e">
        <v>#N/A</v>
      </c>
      <c r="C942" s="1" t="e">
        <v>#N/A</v>
      </c>
      <c r="D942" s="1" t="s">
        <v>2629</v>
      </c>
      <c r="E942" s="1" t="s">
        <v>2630</v>
      </c>
      <c r="F942" s="1" t="e">
        <v>#N/A</v>
      </c>
      <c r="G942" s="1" t="e">
        <v>#N/A</v>
      </c>
      <c r="H942" t="e">
        <v>#N/A</v>
      </c>
      <c r="I942" s="1" t="e">
        <v>#N/A</v>
      </c>
      <c r="J942" s="1" t="e">
        <v>#N/A</v>
      </c>
      <c r="K942" s="1" t="e">
        <v>#N/A</v>
      </c>
      <c r="L942" s="1" t="e">
        <v>#N/A</v>
      </c>
      <c r="M942" s="1" t="e">
        <v>#N/A</v>
      </c>
      <c r="N942" s="1" t="e">
        <v>#N/A</v>
      </c>
      <c r="O942" s="1" t="e">
        <v>#N/A</v>
      </c>
      <c r="P942" s="1" t="e">
        <v>#N/A</v>
      </c>
      <c r="Q942" s="1" t="e">
        <v>#N/A</v>
      </c>
      <c r="R942" s="1">
        <f t="shared" ref="R942:R943" si="276">1+LEN(T942)-LEN(SUBSTITUTE(T942,",",))</f>
        <v>5</v>
      </c>
      <c r="S942" s="1" t="str">
        <f t="shared" ref="S942:S943" si="277">IF(R942&gt;4,IF(R942&lt;8,"4-7",IF(R942&gt;7,"&gt;7")),"&lt;4")</f>
        <v>4-7</v>
      </c>
      <c r="T942" s="1" t="s">
        <v>19044</v>
      </c>
      <c r="U942" s="1" t="s">
        <v>11</v>
      </c>
      <c r="V942" s="1" t="s">
        <v>126</v>
      </c>
      <c r="W942" s="1"/>
    </row>
    <row r="943" spans="1:23" x14ac:dyDescent="0.2">
      <c r="A943" s="88" t="s">
        <v>16313</v>
      </c>
      <c r="B943" s="1" t="e">
        <v>#N/A</v>
      </c>
      <c r="C943" s="1" t="e">
        <v>#N/A</v>
      </c>
      <c r="D943" s="1" t="s">
        <v>2631</v>
      </c>
      <c r="E943" s="1" t="s">
        <v>2632</v>
      </c>
      <c r="F943" s="1" t="s">
        <v>18502</v>
      </c>
      <c r="G943" s="1" t="s">
        <v>9060</v>
      </c>
      <c r="H943" t="s">
        <v>8959</v>
      </c>
      <c r="I943" s="1" t="s">
        <v>9035</v>
      </c>
      <c r="J943" s="1" t="s">
        <v>8959</v>
      </c>
      <c r="K943" s="1" t="s">
        <v>10492</v>
      </c>
      <c r="L943" s="1" t="s">
        <v>20832</v>
      </c>
      <c r="M943" s="1">
        <f>4096+15360</f>
        <v>19456</v>
      </c>
      <c r="N943" s="1" t="s">
        <v>8953</v>
      </c>
      <c r="O943" s="1" t="s">
        <v>8989</v>
      </c>
      <c r="P943" s="1" t="e">
        <v>#N/A</v>
      </c>
      <c r="Q943" s="1" t="e">
        <v>#N/A</v>
      </c>
      <c r="R943" s="1">
        <f t="shared" si="276"/>
        <v>4</v>
      </c>
      <c r="S943" s="1" t="str">
        <f t="shared" si="277"/>
        <v>&lt;4</v>
      </c>
      <c r="T943" s="1" t="s">
        <v>19045</v>
      </c>
      <c r="U943" s="1" t="s">
        <v>17</v>
      </c>
      <c r="V943" s="1" t="s">
        <v>2633</v>
      </c>
      <c r="W943" s="1"/>
    </row>
    <row r="944" spans="1:23" x14ac:dyDescent="0.2">
      <c r="A944" s="88" t="s">
        <v>16314</v>
      </c>
      <c r="B944" s="1" t="e">
        <v>#N/A</v>
      </c>
      <c r="C944" s="1" t="s">
        <v>11970</v>
      </c>
      <c r="D944" s="1" t="s">
        <v>2634</v>
      </c>
      <c r="E944" s="1" t="s">
        <v>2635</v>
      </c>
      <c r="F944" s="1" t="s">
        <v>9010</v>
      </c>
      <c r="G944" s="1" t="s">
        <v>9060</v>
      </c>
      <c r="H944" t="s">
        <v>9061</v>
      </c>
      <c r="I944" s="1" t="s">
        <v>9100</v>
      </c>
      <c r="J944" s="1" t="s">
        <v>9121</v>
      </c>
      <c r="K944" s="1" t="s">
        <v>8972</v>
      </c>
      <c r="L944" s="1" t="s">
        <v>9464</v>
      </c>
      <c r="M944" s="1">
        <v>4096</v>
      </c>
      <c r="N944" s="1" t="s">
        <v>8953</v>
      </c>
      <c r="O944" s="1" t="s">
        <v>8954</v>
      </c>
      <c r="P944" s="1" t="s">
        <v>8955</v>
      </c>
      <c r="Q944" s="1" t="s">
        <v>8956</v>
      </c>
      <c r="R944" s="1" t="s">
        <v>9060</v>
      </c>
      <c r="S944" s="1" t="s">
        <v>9103</v>
      </c>
      <c r="T944" s="1" t="s">
        <v>2636</v>
      </c>
      <c r="U944" s="1" t="s">
        <v>11</v>
      </c>
      <c r="V944" s="1" t="s">
        <v>61</v>
      </c>
      <c r="W944" s="1"/>
    </row>
    <row r="945" spans="1:24" x14ac:dyDescent="0.2">
      <c r="A945" s="89" t="s">
        <v>2637</v>
      </c>
      <c r="B945" s="1" t="e">
        <v>#N/A</v>
      </c>
      <c r="C945" s="1" t="e">
        <v>#N/A</v>
      </c>
      <c r="D945" s="1" t="s">
        <v>2638</v>
      </c>
      <c r="E945" s="1" t="s">
        <v>2639</v>
      </c>
      <c r="F945" s="1" t="e">
        <v>#N/A</v>
      </c>
      <c r="G945" s="1" t="e">
        <v>#N/A</v>
      </c>
      <c r="H945" t="e">
        <v>#N/A</v>
      </c>
      <c r="I945" s="1" t="e">
        <v>#N/A</v>
      </c>
      <c r="J945" s="1" t="e">
        <v>#N/A</v>
      </c>
      <c r="K945" s="1" t="e">
        <v>#N/A</v>
      </c>
      <c r="L945" s="1" t="e">
        <v>#N/A</v>
      </c>
      <c r="M945" s="1" t="e">
        <v>#N/A</v>
      </c>
      <c r="N945" s="1" t="e">
        <v>#N/A</v>
      </c>
      <c r="O945" s="1" t="e">
        <v>#N/A</v>
      </c>
      <c r="P945" s="1" t="e">
        <v>#N/A</v>
      </c>
      <c r="Q945" s="1" t="e">
        <v>#N/A</v>
      </c>
      <c r="R945" s="1">
        <f>1+LEN(T945)-LEN(SUBSTITUTE(T945,",",))</f>
        <v>4</v>
      </c>
      <c r="S945" s="1" t="str">
        <f>IF(R945&gt;4,IF(R945&lt;8,"4-7",IF(R945&gt;7,"&gt;7")),"&lt;4")</f>
        <v>&lt;4</v>
      </c>
      <c r="T945" s="1" t="s">
        <v>19046</v>
      </c>
      <c r="U945" s="1" t="s">
        <v>7</v>
      </c>
      <c r="V945" s="1" t="s">
        <v>713</v>
      </c>
      <c r="W945" s="1"/>
    </row>
    <row r="946" spans="1:24" x14ac:dyDescent="0.2">
      <c r="A946" s="88" t="s">
        <v>16315</v>
      </c>
      <c r="B946" s="1" t="e">
        <v>#N/A</v>
      </c>
      <c r="C946" s="1" t="s">
        <v>9877</v>
      </c>
      <c r="D946" s="1" t="s">
        <v>2640</v>
      </c>
      <c r="E946" s="1" t="s">
        <v>2641</v>
      </c>
      <c r="F946" s="1" t="s">
        <v>9010</v>
      </c>
      <c r="G946" s="1" t="s">
        <v>8957</v>
      </c>
      <c r="H946" t="s">
        <v>9061</v>
      </c>
      <c r="I946" s="1" t="s">
        <v>8984</v>
      </c>
      <c r="J946" s="1" t="s">
        <v>8949</v>
      </c>
      <c r="K946" s="1" t="s">
        <v>9036</v>
      </c>
      <c r="L946" s="1" t="s">
        <v>9133</v>
      </c>
      <c r="M946" s="1">
        <v>494</v>
      </c>
      <c r="N946" s="1" t="s">
        <v>8953</v>
      </c>
      <c r="O946" s="1" t="s">
        <v>8954</v>
      </c>
      <c r="P946" s="1" t="s">
        <v>8955</v>
      </c>
      <c r="Q946" s="1" t="s">
        <v>8956</v>
      </c>
      <c r="R946" s="1" t="s">
        <v>8957</v>
      </c>
      <c r="S946" s="1" t="s">
        <v>8975</v>
      </c>
      <c r="T946" s="1" t="s">
        <v>2642</v>
      </c>
      <c r="U946" s="1" t="s">
        <v>17</v>
      </c>
      <c r="V946" s="1" t="s">
        <v>147</v>
      </c>
      <c r="W946" s="1"/>
    </row>
    <row r="947" spans="1:24" x14ac:dyDescent="0.2">
      <c r="A947" s="88" t="s">
        <v>16316</v>
      </c>
      <c r="B947" s="1" t="e">
        <v>#N/A</v>
      </c>
      <c r="C947" s="1" t="s">
        <v>13334</v>
      </c>
      <c r="D947" s="1" t="s">
        <v>2643</v>
      </c>
      <c r="E947" s="1" t="s">
        <v>2644</v>
      </c>
      <c r="F947" s="1" t="s">
        <v>9636</v>
      </c>
      <c r="G947" s="1" t="s">
        <v>8957</v>
      </c>
      <c r="H947" t="s">
        <v>8959</v>
      </c>
      <c r="I947" s="1" t="s">
        <v>9092</v>
      </c>
      <c r="J947" s="1" t="s">
        <v>8949</v>
      </c>
      <c r="K947" s="1" t="s">
        <v>18492</v>
      </c>
      <c r="L947" s="1" t="s">
        <v>9076</v>
      </c>
      <c r="M947" s="1">
        <v>20</v>
      </c>
      <c r="N947" s="1" t="s">
        <v>9059</v>
      </c>
      <c r="O947" s="1" t="s">
        <v>8954</v>
      </c>
      <c r="P947" s="1" t="s">
        <v>9182</v>
      </c>
      <c r="Q947" s="1" t="s">
        <v>8956</v>
      </c>
      <c r="R947" s="1" t="s">
        <v>8957</v>
      </c>
      <c r="S947" s="1" t="s">
        <v>8958</v>
      </c>
      <c r="T947" s="1" t="s">
        <v>2645</v>
      </c>
      <c r="U947" s="1" t="s">
        <v>11</v>
      </c>
      <c r="V947" s="1" t="s">
        <v>161</v>
      </c>
      <c r="W947" s="1"/>
    </row>
    <row r="948" spans="1:24" x14ac:dyDescent="0.2">
      <c r="A948" s="88" t="s">
        <v>16317</v>
      </c>
      <c r="B948" s="1" t="e">
        <v>#N/A</v>
      </c>
      <c r="C948" s="1" t="e">
        <v>#N/A</v>
      </c>
      <c r="D948" s="1" t="s">
        <v>2646</v>
      </c>
      <c r="E948" s="1" t="s">
        <v>2647</v>
      </c>
      <c r="F948" s="1" t="s">
        <v>18502</v>
      </c>
      <c r="G948" s="1" t="s">
        <v>8957</v>
      </c>
      <c r="H948" t="s">
        <v>9061</v>
      </c>
      <c r="I948" s="1" t="s">
        <v>9154</v>
      </c>
      <c r="J948" s="1" t="s">
        <v>8949</v>
      </c>
      <c r="K948" s="1" t="s">
        <v>10492</v>
      </c>
      <c r="L948" s="1" t="s">
        <v>8987</v>
      </c>
      <c r="M948" s="1">
        <v>750</v>
      </c>
      <c r="N948" s="1" t="s">
        <v>8953</v>
      </c>
      <c r="O948" s="1" t="s">
        <v>8989</v>
      </c>
      <c r="P948" s="1" t="e">
        <v>#N/A</v>
      </c>
      <c r="Q948" s="1" t="e">
        <v>#N/A</v>
      </c>
      <c r="R948" s="1">
        <f t="shared" ref="R948:R950" si="278">1+LEN(T948)-LEN(SUBSTITUTE(T948,",",))</f>
        <v>13</v>
      </c>
      <c r="S948" s="1" t="str">
        <f t="shared" ref="S948:S950" si="279">IF(R948&gt;4,IF(R948&lt;8,"4-7",IF(R948&gt;7,"&gt;7")),"&lt;4")</f>
        <v>&gt;7</v>
      </c>
      <c r="T948" s="1" t="s">
        <v>19047</v>
      </c>
      <c r="U948" s="1" t="s">
        <v>7</v>
      </c>
      <c r="V948" s="1" t="s">
        <v>24</v>
      </c>
      <c r="W948" s="1"/>
    </row>
    <row r="949" spans="1:24" x14ac:dyDescent="0.2">
      <c r="A949" s="89" t="s">
        <v>16318</v>
      </c>
      <c r="B949" s="1" t="e">
        <v>#N/A</v>
      </c>
      <c r="C949" s="1" t="e">
        <v>#N/A</v>
      </c>
      <c r="D949" s="1" t="s">
        <v>2648</v>
      </c>
      <c r="E949" s="1" t="s">
        <v>2649</v>
      </c>
      <c r="F949" s="1" t="e">
        <v>#N/A</v>
      </c>
      <c r="G949" s="1" t="e">
        <v>#N/A</v>
      </c>
      <c r="H949" t="e">
        <v>#N/A</v>
      </c>
      <c r="I949" s="1" t="e">
        <v>#N/A</v>
      </c>
      <c r="J949" s="1" t="e">
        <v>#N/A</v>
      </c>
      <c r="K949" s="1" t="e">
        <v>#N/A</v>
      </c>
      <c r="L949" s="1" t="e">
        <v>#N/A</v>
      </c>
      <c r="M949" s="1" t="e">
        <v>#N/A</v>
      </c>
      <c r="N949" s="1" t="e">
        <v>#N/A</v>
      </c>
      <c r="O949" s="1" t="e">
        <v>#N/A</v>
      </c>
      <c r="P949" s="1" t="e">
        <v>#N/A</v>
      </c>
      <c r="Q949" s="1" t="e">
        <v>#N/A</v>
      </c>
      <c r="R949" s="1">
        <f t="shared" si="278"/>
        <v>5</v>
      </c>
      <c r="S949" s="1" t="str">
        <f t="shared" si="279"/>
        <v>4-7</v>
      </c>
      <c r="T949" s="1" t="s">
        <v>20600</v>
      </c>
      <c r="U949" s="1" t="s">
        <v>7</v>
      </c>
      <c r="V949" s="1" t="s">
        <v>378</v>
      </c>
      <c r="W949" s="1"/>
    </row>
    <row r="950" spans="1:24" x14ac:dyDescent="0.2">
      <c r="A950" s="88" t="s">
        <v>16319</v>
      </c>
      <c r="B950" s="1" t="e">
        <v>#N/A</v>
      </c>
      <c r="C950" s="1" t="e">
        <v>#N/A</v>
      </c>
      <c r="D950" s="1" t="s">
        <v>2650</v>
      </c>
      <c r="E950" s="1" t="s">
        <v>2651</v>
      </c>
      <c r="F950" s="1" t="s">
        <v>18502</v>
      </c>
      <c r="G950" s="1" t="s">
        <v>8974</v>
      </c>
      <c r="H950" t="s">
        <v>8959</v>
      </c>
      <c r="I950" s="1" t="s">
        <v>8984</v>
      </c>
      <c r="J950" s="1" t="s">
        <v>8971</v>
      </c>
      <c r="K950" s="1" t="s">
        <v>20779</v>
      </c>
      <c r="L950" s="1" t="s">
        <v>8987</v>
      </c>
      <c r="M950" s="1">
        <v>204</v>
      </c>
      <c r="N950" s="1" t="s">
        <v>9059</v>
      </c>
      <c r="O950" s="1" t="s">
        <v>8989</v>
      </c>
      <c r="P950" s="1" t="e">
        <v>#N/A</v>
      </c>
      <c r="Q950" s="1" t="e">
        <v>#N/A</v>
      </c>
      <c r="R950" s="1">
        <f t="shared" si="278"/>
        <v>10</v>
      </c>
      <c r="S950" s="1" t="str">
        <f t="shared" si="279"/>
        <v>&gt;7</v>
      </c>
      <c r="T950" s="1" t="s">
        <v>20601</v>
      </c>
      <c r="U950" s="1" t="s">
        <v>7</v>
      </c>
      <c r="V950" s="1" t="s">
        <v>180</v>
      </c>
      <c r="W950" s="1"/>
    </row>
    <row r="951" spans="1:24" x14ac:dyDescent="0.2">
      <c r="A951" s="88" t="s">
        <v>16320</v>
      </c>
      <c r="B951" s="1" t="e">
        <v>#N/A</v>
      </c>
      <c r="C951" s="1" t="s">
        <v>12247</v>
      </c>
      <c r="D951" s="1" t="s">
        <v>2652</v>
      </c>
      <c r="E951" s="1" t="s">
        <v>2653</v>
      </c>
      <c r="F951" s="1" t="s">
        <v>9310</v>
      </c>
      <c r="G951" s="1" t="s">
        <v>8957</v>
      </c>
      <c r="H951" t="s">
        <v>9183</v>
      </c>
      <c r="I951" s="1" t="s">
        <v>9035</v>
      </c>
      <c r="J951" s="1" t="s">
        <v>8998</v>
      </c>
      <c r="K951" s="1" t="s">
        <v>9036</v>
      </c>
      <c r="L951" s="1" t="s">
        <v>8951</v>
      </c>
      <c r="M951" s="1">
        <v>8120</v>
      </c>
      <c r="N951" s="1" t="s">
        <v>9059</v>
      </c>
      <c r="O951" s="1" t="s">
        <v>8989</v>
      </c>
      <c r="P951" s="1" t="s">
        <v>8955</v>
      </c>
      <c r="Q951" s="1" t="s">
        <v>8956</v>
      </c>
      <c r="R951" s="1" t="s">
        <v>8957</v>
      </c>
      <c r="S951" s="1" t="s">
        <v>8958</v>
      </c>
      <c r="T951" s="1" t="s">
        <v>2654</v>
      </c>
      <c r="U951" s="1" t="s">
        <v>11</v>
      </c>
      <c r="V951" s="1" t="s">
        <v>5</v>
      </c>
      <c r="W951" s="1"/>
    </row>
    <row r="952" spans="1:24" x14ac:dyDescent="0.2">
      <c r="A952" s="88">
        <v>1</v>
      </c>
      <c r="B952" t="e">
        <v>#N/A</v>
      </c>
      <c r="C952" t="e">
        <v>#N/A</v>
      </c>
      <c r="D952" s="1" t="s">
        <v>2655</v>
      </c>
      <c r="E952" s="1" t="s">
        <v>2656</v>
      </c>
      <c r="F952" s="1" t="s">
        <v>18502</v>
      </c>
      <c r="G952" s="1" t="s">
        <v>8957</v>
      </c>
      <c r="H952" t="s">
        <v>8959</v>
      </c>
      <c r="I952" s="1" t="s">
        <v>9100</v>
      </c>
      <c r="J952" s="1" t="s">
        <v>8949</v>
      </c>
      <c r="K952" s="1" t="s">
        <v>20833</v>
      </c>
      <c r="L952" s="1" t="s">
        <v>8951</v>
      </c>
      <c r="M952" s="1">
        <f>11160+62550+12150</f>
        <v>85860</v>
      </c>
      <c r="N952" s="1" t="s">
        <v>8953</v>
      </c>
      <c r="O952" s="1" t="s">
        <v>8989</v>
      </c>
      <c r="P952" s="1" t="e">
        <v>#N/A</v>
      </c>
      <c r="Q952" s="1" t="e">
        <v>#N/A</v>
      </c>
      <c r="R952" s="1">
        <f t="shared" ref="R952:R953" si="280">1+LEN(T952)-LEN(SUBSTITUTE(T952,",",))</f>
        <v>2</v>
      </c>
      <c r="S952" s="1" t="str">
        <f t="shared" ref="S952:S953" si="281">IF(R952&gt;4,IF(R952&lt;8,"4-7",IF(R952&gt;7,"&gt;7")),"&lt;4")</f>
        <v>&lt;4</v>
      </c>
      <c r="T952" s="1" t="s">
        <v>19048</v>
      </c>
      <c r="U952" s="1" t="s">
        <v>11</v>
      </c>
      <c r="V952" s="1" t="s">
        <v>2657</v>
      </c>
      <c r="W952" s="1"/>
      <c r="X952" s="1"/>
    </row>
    <row r="953" spans="1:24" x14ac:dyDescent="0.2">
      <c r="A953" s="88" t="s">
        <v>16321</v>
      </c>
      <c r="B953" s="1" t="e">
        <v>#N/A</v>
      </c>
      <c r="C953" s="1" t="e">
        <v>#N/A</v>
      </c>
      <c r="D953" s="1" t="s">
        <v>2658</v>
      </c>
      <c r="E953" s="1" t="s">
        <v>2659</v>
      </c>
      <c r="F953" s="1" t="s">
        <v>9213</v>
      </c>
      <c r="G953" s="1" t="s">
        <v>8957</v>
      </c>
      <c r="H953" t="s">
        <v>8959</v>
      </c>
      <c r="I953" s="1" t="s">
        <v>9075</v>
      </c>
      <c r="J953" s="1" t="s">
        <v>8998</v>
      </c>
      <c r="K953" s="1" t="s">
        <v>18489</v>
      </c>
      <c r="L953" s="1" t="s">
        <v>8987</v>
      </c>
      <c r="M953" s="1">
        <v>169</v>
      </c>
      <c r="N953" s="1" t="s">
        <v>9059</v>
      </c>
      <c r="O953" s="1" t="s">
        <v>8989</v>
      </c>
      <c r="P953" s="1" t="e">
        <v>#N/A</v>
      </c>
      <c r="Q953" s="1" t="e">
        <v>#N/A</v>
      </c>
      <c r="R953" s="1">
        <f t="shared" si="280"/>
        <v>3</v>
      </c>
      <c r="S953" s="1" t="str">
        <f t="shared" si="281"/>
        <v>&lt;4</v>
      </c>
      <c r="T953" s="1" t="s">
        <v>19049</v>
      </c>
      <c r="U953" s="1" t="s">
        <v>17</v>
      </c>
      <c r="V953" s="1" t="s">
        <v>87</v>
      </c>
      <c r="W953" s="1"/>
    </row>
    <row r="954" spans="1:24" x14ac:dyDescent="0.2">
      <c r="A954" s="88" t="s">
        <v>16322</v>
      </c>
      <c r="B954" s="1" t="e">
        <v>#N/A</v>
      </c>
      <c r="C954" s="1" t="s">
        <v>13706</v>
      </c>
      <c r="D954" s="1" t="s">
        <v>2660</v>
      </c>
      <c r="E954" s="1" t="s">
        <v>2661</v>
      </c>
      <c r="F954" s="1" t="s">
        <v>9213</v>
      </c>
      <c r="G954" s="1" t="s">
        <v>8959</v>
      </c>
      <c r="H954" t="s">
        <v>8959</v>
      </c>
      <c r="I954" s="1" t="s">
        <v>9252</v>
      </c>
      <c r="J954" s="1" t="s">
        <v>8971</v>
      </c>
      <c r="K954" s="1" t="s">
        <v>10135</v>
      </c>
      <c r="L954" s="1" t="s">
        <v>8987</v>
      </c>
      <c r="M954" s="1">
        <v>7408</v>
      </c>
      <c r="N954" s="1" t="s">
        <v>8953</v>
      </c>
      <c r="O954" s="1" t="s">
        <v>8989</v>
      </c>
      <c r="P954" s="1" t="s">
        <v>8955</v>
      </c>
      <c r="Q954" s="1" t="s">
        <v>8956</v>
      </c>
      <c r="R954" s="1" t="s">
        <v>8959</v>
      </c>
      <c r="S954" s="1" t="s">
        <v>8958</v>
      </c>
      <c r="T954" s="1" t="s">
        <v>2662</v>
      </c>
      <c r="U954" s="1" t="s">
        <v>4</v>
      </c>
      <c r="V954" s="1" t="s">
        <v>378</v>
      </c>
      <c r="W954" s="1"/>
    </row>
    <row r="955" spans="1:24" x14ac:dyDescent="0.2">
      <c r="A955" s="88" t="s">
        <v>16323</v>
      </c>
      <c r="B955" s="1" t="e">
        <v>#N/A</v>
      </c>
      <c r="C955" s="1" t="s">
        <v>12976</v>
      </c>
      <c r="D955" s="1" t="s">
        <v>2663</v>
      </c>
      <c r="E955" s="1" t="s">
        <v>2664</v>
      </c>
      <c r="F955" s="1" t="s">
        <v>9213</v>
      </c>
      <c r="G955" s="1" t="s">
        <v>8974</v>
      </c>
      <c r="H955" t="s">
        <v>9009</v>
      </c>
      <c r="I955" s="1" t="s">
        <v>9173</v>
      </c>
      <c r="J955" s="1" t="s">
        <v>9174</v>
      </c>
      <c r="K955" s="1" t="s">
        <v>10099</v>
      </c>
      <c r="L955" s="1" t="s">
        <v>8987</v>
      </c>
      <c r="M955" s="1">
        <v>19398</v>
      </c>
      <c r="N955" s="1" t="s">
        <v>8953</v>
      </c>
      <c r="O955" s="1" t="s">
        <v>8989</v>
      </c>
      <c r="P955" s="1" t="s">
        <v>8955</v>
      </c>
      <c r="Q955" s="1" t="s">
        <v>8956</v>
      </c>
      <c r="R955" s="1" t="s">
        <v>8974</v>
      </c>
      <c r="S955" s="1" t="s">
        <v>8958</v>
      </c>
      <c r="T955" s="1" t="s">
        <v>2665</v>
      </c>
      <c r="U955" s="1" t="s">
        <v>11</v>
      </c>
      <c r="V955" s="1" t="s">
        <v>2666</v>
      </c>
      <c r="W955" s="1"/>
    </row>
    <row r="956" spans="1:24" x14ac:dyDescent="0.2">
      <c r="A956" s="88" t="s">
        <v>16324</v>
      </c>
      <c r="B956" s="1" t="e">
        <v>#N/A</v>
      </c>
      <c r="C956" s="1" t="e">
        <v>#N/A</v>
      </c>
      <c r="D956" s="1" t="s">
        <v>2667</v>
      </c>
      <c r="E956" s="1" t="s">
        <v>2668</v>
      </c>
      <c r="F956" s="1" t="s">
        <v>9213</v>
      </c>
      <c r="G956" s="1" t="s">
        <v>8959</v>
      </c>
      <c r="H956" t="s">
        <v>9009</v>
      </c>
      <c r="I956" s="1" t="s">
        <v>9173</v>
      </c>
      <c r="J956" s="1" t="s">
        <v>8959</v>
      </c>
      <c r="K956" s="1" t="s">
        <v>21359</v>
      </c>
      <c r="L956" s="1" t="s">
        <v>8951</v>
      </c>
      <c r="M956" s="1">
        <v>182348</v>
      </c>
      <c r="N956" s="1" t="s">
        <v>8953</v>
      </c>
      <c r="O956" s="1" t="s">
        <v>8954</v>
      </c>
      <c r="P956" s="1" t="e">
        <v>#N/A</v>
      </c>
      <c r="Q956" s="1" t="e">
        <v>#N/A</v>
      </c>
      <c r="R956" s="1">
        <f>1+LEN(T956)-LEN(SUBSTITUTE(T956,",",))</f>
        <v>8</v>
      </c>
      <c r="S956" s="1" t="str">
        <f>IF(R956&gt;4,IF(R956&lt;8,"4-7",IF(R956&gt;7,"&gt;7")),"&lt;4")</f>
        <v>&gt;7</v>
      </c>
      <c r="T956" s="1" t="s">
        <v>19050</v>
      </c>
      <c r="U956" s="1" t="s">
        <v>7</v>
      </c>
      <c r="V956" s="1" t="s">
        <v>2669</v>
      </c>
      <c r="W956" s="1"/>
    </row>
    <row r="957" spans="1:24" x14ac:dyDescent="0.2">
      <c r="A957" s="88" t="s">
        <v>16325</v>
      </c>
      <c r="B957" s="1" t="e">
        <v>#N/A</v>
      </c>
      <c r="C957" s="1" t="s">
        <v>13082</v>
      </c>
      <c r="D957" s="1" t="s">
        <v>2670</v>
      </c>
      <c r="E957" s="1" t="s">
        <v>2671</v>
      </c>
      <c r="F957" s="1" t="s">
        <v>9213</v>
      </c>
      <c r="G957" s="1" t="s">
        <v>8957</v>
      </c>
      <c r="H957" t="s">
        <v>9009</v>
      </c>
      <c r="I957" s="1" t="s">
        <v>9173</v>
      </c>
      <c r="J957" s="1" t="s">
        <v>9174</v>
      </c>
      <c r="K957" s="1" t="s">
        <v>13085</v>
      </c>
      <c r="L957" s="1" t="s">
        <v>9133</v>
      </c>
      <c r="M957" s="1">
        <v>49567</v>
      </c>
      <c r="N957" s="1" t="s">
        <v>8953</v>
      </c>
      <c r="O957" s="1" t="s">
        <v>8989</v>
      </c>
      <c r="P957" s="1" t="s">
        <v>8955</v>
      </c>
      <c r="Q957" s="1" t="s">
        <v>8956</v>
      </c>
      <c r="R957" s="1" t="s">
        <v>8957</v>
      </c>
      <c r="S957" s="1" t="s">
        <v>8958</v>
      </c>
      <c r="T957" s="1" t="s">
        <v>2672</v>
      </c>
      <c r="U957" s="1" t="s">
        <v>11</v>
      </c>
      <c r="V957" s="1" t="s">
        <v>110</v>
      </c>
      <c r="W957" s="1"/>
    </row>
    <row r="958" spans="1:24" x14ac:dyDescent="0.2">
      <c r="A958" s="88" t="s">
        <v>16326</v>
      </c>
      <c r="B958" s="1" t="e">
        <v>#N/A</v>
      </c>
      <c r="C958" s="1" t="e">
        <v>#N/A</v>
      </c>
      <c r="D958" s="1" t="s">
        <v>2673</v>
      </c>
      <c r="E958" s="1" t="s">
        <v>2674</v>
      </c>
      <c r="F958" s="1" t="s">
        <v>18502</v>
      </c>
      <c r="G958" s="1" t="s">
        <v>8957</v>
      </c>
      <c r="H958" t="s">
        <v>9061</v>
      </c>
      <c r="I958" s="1" t="s">
        <v>9100</v>
      </c>
      <c r="J958" s="1" t="s">
        <v>8949</v>
      </c>
      <c r="K958" s="1" t="s">
        <v>10525</v>
      </c>
      <c r="L958" s="1" t="s">
        <v>9157</v>
      </c>
      <c r="M958" s="1">
        <f>50+128+50</f>
        <v>228</v>
      </c>
      <c r="N958" s="1" t="s">
        <v>9059</v>
      </c>
      <c r="O958" s="1" t="s">
        <v>8954</v>
      </c>
      <c r="P958" s="1" t="e">
        <v>#N/A</v>
      </c>
      <c r="Q958" s="1" t="e">
        <v>#N/A</v>
      </c>
      <c r="R958" s="1">
        <f>1+LEN(T958)-LEN(SUBSTITUTE(T958,",",))</f>
        <v>9</v>
      </c>
      <c r="S958" s="1" t="str">
        <f>IF(R958&gt;4,IF(R958&lt;8,"4-7",IF(R958&gt;7,"&gt;7")),"&lt;4")</f>
        <v>&gt;7</v>
      </c>
      <c r="T958" s="1" t="s">
        <v>19051</v>
      </c>
      <c r="U958" s="1" t="s">
        <v>7</v>
      </c>
      <c r="V958" s="1" t="s">
        <v>1202</v>
      </c>
      <c r="W958" s="1"/>
    </row>
    <row r="959" spans="1:24" x14ac:dyDescent="0.2">
      <c r="A959" s="88" t="s">
        <v>16327</v>
      </c>
      <c r="B959" s="1" t="e">
        <v>#N/A</v>
      </c>
      <c r="C959" s="1" t="s">
        <v>14077</v>
      </c>
      <c r="D959" s="1" t="s">
        <v>2675</v>
      </c>
      <c r="E959" s="1" t="s">
        <v>2676</v>
      </c>
      <c r="F959" s="1" t="s">
        <v>9010</v>
      </c>
      <c r="G959" s="1" t="s">
        <v>8959</v>
      </c>
      <c r="H959" t="s">
        <v>8959</v>
      </c>
      <c r="I959" s="1" t="s">
        <v>8948</v>
      </c>
      <c r="J959" s="1" t="s">
        <v>9155</v>
      </c>
      <c r="K959" s="1" t="s">
        <v>9036</v>
      </c>
      <c r="L959" s="1" t="s">
        <v>9464</v>
      </c>
      <c r="M959" s="1">
        <v>2400</v>
      </c>
      <c r="N959" s="1" t="s">
        <v>8953</v>
      </c>
      <c r="O959" s="1" t="s">
        <v>8989</v>
      </c>
      <c r="P959" s="1" t="s">
        <v>8955</v>
      </c>
      <c r="Q959" s="1" t="s">
        <v>8956</v>
      </c>
      <c r="R959" s="1" t="s">
        <v>8959</v>
      </c>
      <c r="S959" s="1" t="s">
        <v>9103</v>
      </c>
      <c r="T959" s="1" t="s">
        <v>2677</v>
      </c>
      <c r="U959" s="1" t="s">
        <v>4</v>
      </c>
      <c r="V959" s="1" t="s">
        <v>93</v>
      </c>
      <c r="W959" s="1"/>
    </row>
    <row r="960" spans="1:24" x14ac:dyDescent="0.2">
      <c r="A960" s="88" t="s">
        <v>16328</v>
      </c>
      <c r="B960" s="1" t="e">
        <v>#N/A</v>
      </c>
      <c r="C960" s="1" t="s">
        <v>12509</v>
      </c>
      <c r="D960" s="1" t="s">
        <v>2678</v>
      </c>
      <c r="E960" s="1" t="s">
        <v>2679</v>
      </c>
      <c r="F960" s="1" t="s">
        <v>9010</v>
      </c>
      <c r="G960" s="1" t="s">
        <v>9060</v>
      </c>
      <c r="H960" t="s">
        <v>8959</v>
      </c>
      <c r="I960" s="1" t="s">
        <v>8948</v>
      </c>
      <c r="J960" s="1" t="s">
        <v>8949</v>
      </c>
      <c r="K960" s="1" t="s">
        <v>9036</v>
      </c>
      <c r="L960" s="1" t="s">
        <v>9076</v>
      </c>
      <c r="M960" s="1">
        <v>152</v>
      </c>
      <c r="N960" s="1" t="s">
        <v>8953</v>
      </c>
      <c r="O960" s="1" t="s">
        <v>8954</v>
      </c>
      <c r="P960" s="1" t="s">
        <v>8955</v>
      </c>
      <c r="Q960" s="1" t="s">
        <v>8956</v>
      </c>
      <c r="R960" s="1" t="s">
        <v>9060</v>
      </c>
      <c r="S960" s="1" t="s">
        <v>8975</v>
      </c>
      <c r="T960" s="1" t="s">
        <v>2680</v>
      </c>
      <c r="U960" s="1" t="s">
        <v>11</v>
      </c>
      <c r="V960" s="1" t="s">
        <v>392</v>
      </c>
      <c r="W960" s="1"/>
    </row>
    <row r="961" spans="1:23" x14ac:dyDescent="0.2">
      <c r="A961" s="88" t="s">
        <v>16329</v>
      </c>
      <c r="B961" s="1" t="e">
        <v>#N/A</v>
      </c>
      <c r="C961" s="1" t="e">
        <v>#N/A</v>
      </c>
      <c r="D961" s="1" t="s">
        <v>2681</v>
      </c>
      <c r="E961" s="1" t="s">
        <v>2682</v>
      </c>
      <c r="F961" s="1" t="s">
        <v>9213</v>
      </c>
      <c r="G961" s="1" t="s">
        <v>8957</v>
      </c>
      <c r="H961" t="s">
        <v>8959</v>
      </c>
      <c r="I961" s="1" t="s">
        <v>9092</v>
      </c>
      <c r="J961" s="1" t="s">
        <v>8949</v>
      </c>
      <c r="K961" s="1" t="s">
        <v>10492</v>
      </c>
      <c r="L961" s="1" t="s">
        <v>9076</v>
      </c>
      <c r="M961" s="1">
        <v>320</v>
      </c>
      <c r="N961" s="1" t="s">
        <v>8953</v>
      </c>
      <c r="O961" s="1" t="s">
        <v>8989</v>
      </c>
      <c r="P961" s="1" t="e">
        <v>#N/A</v>
      </c>
      <c r="Q961" s="1" t="e">
        <v>#N/A</v>
      </c>
      <c r="R961" s="1">
        <f>1+LEN(T961)-LEN(SUBSTITUTE(T961,",",))</f>
        <v>3</v>
      </c>
      <c r="S961" s="1" t="str">
        <f>IF(R961&gt;4,IF(R961&lt;8,"4-7",IF(R961&gt;7,"&gt;7")),"&lt;4")</f>
        <v>&lt;4</v>
      </c>
      <c r="T961" s="1" t="s">
        <v>19052</v>
      </c>
      <c r="U961" s="1" t="s">
        <v>7</v>
      </c>
      <c r="V961" s="1" t="s">
        <v>61</v>
      </c>
      <c r="W961" s="1"/>
    </row>
    <row r="962" spans="1:23" x14ac:dyDescent="0.2">
      <c r="A962" s="88" t="s">
        <v>16330</v>
      </c>
      <c r="B962" s="1" t="e">
        <v>#N/A</v>
      </c>
      <c r="C962" s="1" t="s">
        <v>12282</v>
      </c>
      <c r="D962" s="1" t="s">
        <v>2683</v>
      </c>
      <c r="E962" s="1" t="s">
        <v>2684</v>
      </c>
      <c r="F962" s="1" t="s">
        <v>9213</v>
      </c>
      <c r="G962" s="1" t="s">
        <v>8957</v>
      </c>
      <c r="H962" t="s">
        <v>8959</v>
      </c>
      <c r="I962" s="1" t="s">
        <v>9605</v>
      </c>
      <c r="J962" s="1" t="s">
        <v>8998</v>
      </c>
      <c r="K962" s="1" t="s">
        <v>8972</v>
      </c>
      <c r="L962" s="1" t="s">
        <v>9464</v>
      </c>
      <c r="M962" s="1">
        <v>10</v>
      </c>
      <c r="N962" s="1" t="s">
        <v>9059</v>
      </c>
      <c r="O962" s="1" t="s">
        <v>8989</v>
      </c>
      <c r="P962" s="1" t="s">
        <v>8955</v>
      </c>
      <c r="Q962" s="1" t="s">
        <v>8956</v>
      </c>
      <c r="R962" s="1" t="s">
        <v>8957</v>
      </c>
      <c r="S962" s="1" t="s">
        <v>9103</v>
      </c>
      <c r="T962" s="1" t="s">
        <v>2685</v>
      </c>
      <c r="U962" s="1" t="s">
        <v>11</v>
      </c>
      <c r="V962" s="1" t="s">
        <v>61</v>
      </c>
      <c r="W962" s="1"/>
    </row>
    <row r="963" spans="1:23" x14ac:dyDescent="0.2">
      <c r="A963" s="88" t="s">
        <v>16331</v>
      </c>
      <c r="B963" s="1" t="e">
        <v>#N/A</v>
      </c>
      <c r="C963" s="1" t="e">
        <v>#N/A</v>
      </c>
      <c r="D963" s="1" t="s">
        <v>2686</v>
      </c>
      <c r="E963" s="1" t="s">
        <v>2687</v>
      </c>
      <c r="F963" s="1" t="s">
        <v>9213</v>
      </c>
      <c r="G963" s="1" t="s">
        <v>8957</v>
      </c>
      <c r="H963" t="s">
        <v>9061</v>
      </c>
      <c r="I963" s="1" t="s">
        <v>9605</v>
      </c>
      <c r="J963" s="1" t="s">
        <v>8998</v>
      </c>
      <c r="K963" s="1" t="s">
        <v>10492</v>
      </c>
      <c r="L963" s="1" t="s">
        <v>9076</v>
      </c>
      <c r="M963" s="1">
        <f>3720+254+486</f>
        <v>4460</v>
      </c>
      <c r="N963" s="1" t="s">
        <v>8953</v>
      </c>
      <c r="O963" s="1" t="s">
        <v>8989</v>
      </c>
      <c r="P963" s="1" t="e">
        <v>#N/A</v>
      </c>
      <c r="Q963" s="1" t="e">
        <v>#N/A</v>
      </c>
      <c r="R963" s="1">
        <f>1+LEN(T963)-LEN(SUBSTITUTE(T963,",",))</f>
        <v>2</v>
      </c>
      <c r="S963" s="1" t="str">
        <f>IF(R963&gt;4,IF(R963&lt;8,"4-7",IF(R963&gt;7,"&gt;7")),"&lt;4")</f>
        <v>&lt;4</v>
      </c>
      <c r="T963" s="1" t="s">
        <v>19053</v>
      </c>
      <c r="U963" s="1" t="s">
        <v>17</v>
      </c>
      <c r="V963" s="1" t="s">
        <v>93</v>
      </c>
      <c r="W963" s="1"/>
    </row>
    <row r="964" spans="1:23" x14ac:dyDescent="0.2">
      <c r="A964" s="88" t="s">
        <v>16332</v>
      </c>
      <c r="B964" s="1" t="e">
        <v>#N/A</v>
      </c>
      <c r="C964" s="1" t="s">
        <v>13013</v>
      </c>
      <c r="D964" s="1" t="s">
        <v>2688</v>
      </c>
      <c r="E964" s="1" t="s">
        <v>2689</v>
      </c>
      <c r="F964" s="1" t="s">
        <v>9213</v>
      </c>
      <c r="G964" s="1" t="s">
        <v>8957</v>
      </c>
      <c r="H964" t="s">
        <v>9009</v>
      </c>
      <c r="I964" s="1" t="s">
        <v>8948</v>
      </c>
      <c r="J964" s="1" t="s">
        <v>9155</v>
      </c>
      <c r="K964" s="1" t="s">
        <v>8972</v>
      </c>
      <c r="L964" s="1" t="s">
        <v>9076</v>
      </c>
      <c r="M964" s="1">
        <v>3602</v>
      </c>
      <c r="N964" s="1" t="s">
        <v>8953</v>
      </c>
      <c r="O964" s="1" t="s">
        <v>8989</v>
      </c>
      <c r="P964" s="1" t="s">
        <v>8955</v>
      </c>
      <c r="Q964" s="1" t="s">
        <v>8956</v>
      </c>
      <c r="R964" s="1" t="s">
        <v>8957</v>
      </c>
      <c r="S964" s="1" t="s">
        <v>8958</v>
      </c>
      <c r="U964" s="1" t="s">
        <v>11</v>
      </c>
      <c r="V964" s="1" t="s">
        <v>161</v>
      </c>
      <c r="W964" s="1"/>
    </row>
    <row r="965" spans="1:23" x14ac:dyDescent="0.2">
      <c r="A965" s="88" t="s">
        <v>16333</v>
      </c>
      <c r="B965" s="1" t="e">
        <v>#N/A</v>
      </c>
      <c r="C965" s="1" t="s">
        <v>11985</v>
      </c>
      <c r="D965" s="1" t="s">
        <v>2690</v>
      </c>
      <c r="E965" s="1" t="s">
        <v>2691</v>
      </c>
      <c r="F965" s="1" t="s">
        <v>9310</v>
      </c>
      <c r="G965" s="1" t="s">
        <v>8957</v>
      </c>
      <c r="H965" t="s">
        <v>9061</v>
      </c>
      <c r="I965" s="1" t="s">
        <v>9100</v>
      </c>
      <c r="J965" s="1" t="s">
        <v>9121</v>
      </c>
      <c r="K965" s="1" t="s">
        <v>9036</v>
      </c>
      <c r="L965" s="1" t="s">
        <v>9133</v>
      </c>
      <c r="M965" s="1" t="s">
        <v>9479</v>
      </c>
      <c r="N965" s="1" t="s">
        <v>8953</v>
      </c>
      <c r="O965" s="1" t="s">
        <v>8954</v>
      </c>
      <c r="P965" s="1" t="s">
        <v>8955</v>
      </c>
      <c r="Q965" s="1" t="s">
        <v>8956</v>
      </c>
      <c r="R965" s="1" t="s">
        <v>8957</v>
      </c>
      <c r="S965" s="1" t="s">
        <v>8958</v>
      </c>
      <c r="T965" s="1" t="s">
        <v>2692</v>
      </c>
      <c r="U965" s="1" t="s">
        <v>11</v>
      </c>
      <c r="V965" s="1" t="s">
        <v>625</v>
      </c>
      <c r="W965" s="1"/>
    </row>
    <row r="966" spans="1:23" x14ac:dyDescent="0.2">
      <c r="A966" s="88" t="s">
        <v>16334</v>
      </c>
      <c r="B966" s="1" t="e">
        <v>#N/A</v>
      </c>
      <c r="C966" s="1" t="e">
        <v>#N/A</v>
      </c>
      <c r="D966" s="1" t="s">
        <v>2693</v>
      </c>
      <c r="E966" s="1" t="s">
        <v>2694</v>
      </c>
      <c r="F966" s="1" t="s">
        <v>9310</v>
      </c>
      <c r="G966" s="1" t="s">
        <v>8957</v>
      </c>
      <c r="H966" t="s">
        <v>8959</v>
      </c>
      <c r="I966" s="1" t="s">
        <v>9035</v>
      </c>
      <c r="J966" s="1" t="s">
        <v>8998</v>
      </c>
      <c r="K966" s="1" t="s">
        <v>20779</v>
      </c>
      <c r="L966" s="1" t="s">
        <v>8987</v>
      </c>
      <c r="M966" s="1">
        <v>460</v>
      </c>
      <c r="N966" s="1" t="s">
        <v>9059</v>
      </c>
      <c r="O966" s="1" t="s">
        <v>8954</v>
      </c>
      <c r="P966" s="1" t="e">
        <v>#N/A</v>
      </c>
      <c r="Q966" s="1" t="e">
        <v>#N/A</v>
      </c>
      <c r="R966" s="1">
        <f>1+LEN(T966)-LEN(SUBSTITUTE(T966,",",))</f>
        <v>8</v>
      </c>
      <c r="S966" s="1" t="str">
        <f>IF(R966&gt;4,IF(R966&lt;8,"4-7",IF(R966&gt;7,"&gt;7")),"&lt;4")</f>
        <v>&gt;7</v>
      </c>
      <c r="T966" s="1" t="s">
        <v>19054</v>
      </c>
      <c r="U966" s="1" t="s">
        <v>7</v>
      </c>
      <c r="V966" s="1" t="s">
        <v>61</v>
      </c>
      <c r="W966" s="1"/>
    </row>
    <row r="967" spans="1:23" x14ac:dyDescent="0.2">
      <c r="A967" s="88" t="s">
        <v>16335</v>
      </c>
      <c r="B967" s="1" t="e">
        <v>#N/A</v>
      </c>
      <c r="C967" s="1" t="s">
        <v>11570</v>
      </c>
      <c r="D967" s="1" t="s">
        <v>2695</v>
      </c>
      <c r="E967" s="1" t="s">
        <v>2696</v>
      </c>
      <c r="F967" s="1" t="s">
        <v>9317</v>
      </c>
      <c r="G967" s="1" t="s">
        <v>8957</v>
      </c>
      <c r="H967" t="s">
        <v>9061</v>
      </c>
      <c r="I967" s="1" t="s">
        <v>9092</v>
      </c>
      <c r="J967" s="1" t="s">
        <v>8998</v>
      </c>
      <c r="K967" s="1" t="s">
        <v>9036</v>
      </c>
      <c r="L967" s="1" t="s">
        <v>9464</v>
      </c>
      <c r="M967" s="1">
        <v>30</v>
      </c>
      <c r="N967" s="1" t="s">
        <v>9059</v>
      </c>
      <c r="O967" s="1" t="s">
        <v>8989</v>
      </c>
      <c r="P967" s="1" t="s">
        <v>8955</v>
      </c>
      <c r="Q967" s="1" t="s">
        <v>8956</v>
      </c>
      <c r="R967" s="1" t="s">
        <v>8957</v>
      </c>
      <c r="S967" s="1" t="s">
        <v>8958</v>
      </c>
      <c r="T967" s="1" t="s">
        <v>2697</v>
      </c>
      <c r="U967" s="1" t="s">
        <v>11</v>
      </c>
      <c r="V967" s="1" t="s">
        <v>93</v>
      </c>
      <c r="W967" s="1"/>
    </row>
    <row r="968" spans="1:23" x14ac:dyDescent="0.2">
      <c r="A968" s="88" t="s">
        <v>16336</v>
      </c>
      <c r="B968" s="1" t="e">
        <v>#N/A</v>
      </c>
      <c r="C968" s="1" t="e">
        <v>#N/A</v>
      </c>
      <c r="D968" s="1" t="s">
        <v>2698</v>
      </c>
      <c r="E968" s="1" t="s">
        <v>2699</v>
      </c>
      <c r="F968" s="1" t="s">
        <v>9317</v>
      </c>
      <c r="G968" s="1" t="s">
        <v>8959</v>
      </c>
      <c r="H968" t="s">
        <v>8959</v>
      </c>
      <c r="I968" s="1" t="s">
        <v>9605</v>
      </c>
      <c r="J968" s="1" t="s">
        <v>8959</v>
      </c>
      <c r="K968" s="1" t="s">
        <v>21360</v>
      </c>
      <c r="L968" s="1" t="s">
        <v>8951</v>
      </c>
      <c r="M968" s="1">
        <v>732</v>
      </c>
      <c r="N968" s="1" t="s">
        <v>8953</v>
      </c>
      <c r="O968" s="1" t="s">
        <v>8989</v>
      </c>
      <c r="P968" s="1" t="e">
        <v>#N/A</v>
      </c>
      <c r="Q968" s="1" t="e">
        <v>#N/A</v>
      </c>
      <c r="R968" s="1">
        <f t="shared" ref="R968:R969" si="282">1+LEN(T968)-LEN(SUBSTITUTE(T968,",",))</f>
        <v>4</v>
      </c>
      <c r="S968" s="1" t="str">
        <f t="shared" ref="S968:S969" si="283">IF(R968&gt;4,IF(R968&lt;8,"4-7",IF(R968&gt;7,"&gt;7")),"&lt;4")</f>
        <v>&lt;4</v>
      </c>
      <c r="T968" s="1" t="s">
        <v>19055</v>
      </c>
      <c r="U968" s="1" t="s">
        <v>17</v>
      </c>
      <c r="V968" s="1" t="s">
        <v>64</v>
      </c>
      <c r="W968" s="1"/>
    </row>
    <row r="969" spans="1:23" x14ac:dyDescent="0.2">
      <c r="A969" s="88" t="s">
        <v>16337</v>
      </c>
      <c r="B969" s="1" t="e">
        <v>#N/A</v>
      </c>
      <c r="C969" s="1" t="e">
        <v>#N/A</v>
      </c>
      <c r="D969" s="1" t="s">
        <v>2700</v>
      </c>
      <c r="E969" s="1" t="s">
        <v>2701</v>
      </c>
      <c r="F969" s="1" t="s">
        <v>9310</v>
      </c>
      <c r="G969" s="1" t="s">
        <v>8957</v>
      </c>
      <c r="H969" t="s">
        <v>8959</v>
      </c>
      <c r="I969" s="1" t="s">
        <v>9154</v>
      </c>
      <c r="J969" s="1" t="s">
        <v>9308</v>
      </c>
      <c r="K969" s="1" t="s">
        <v>10492</v>
      </c>
      <c r="L969" s="1" t="s">
        <v>8973</v>
      </c>
      <c r="M969" s="1">
        <v>323</v>
      </c>
      <c r="N969" s="1" t="s">
        <v>8953</v>
      </c>
      <c r="O969" s="1" t="s">
        <v>8989</v>
      </c>
      <c r="P969" s="1" t="e">
        <v>#N/A</v>
      </c>
      <c r="Q969" s="1" t="e">
        <v>#N/A</v>
      </c>
      <c r="R969" s="1">
        <f t="shared" si="282"/>
        <v>7</v>
      </c>
      <c r="S969" s="1" t="str">
        <f t="shared" si="283"/>
        <v>4-7</v>
      </c>
      <c r="T969" s="1" t="s">
        <v>19056</v>
      </c>
      <c r="U969" s="1" t="s">
        <v>7</v>
      </c>
      <c r="V969" s="1" t="s">
        <v>342</v>
      </c>
      <c r="W969" s="1"/>
    </row>
    <row r="970" spans="1:23" x14ac:dyDescent="0.2">
      <c r="A970" s="88" t="s">
        <v>16338</v>
      </c>
      <c r="B970" s="1" t="e">
        <v>#N/A</v>
      </c>
      <c r="C970" s="1" t="s">
        <v>13107</v>
      </c>
      <c r="D970" s="1" t="s">
        <v>2702</v>
      </c>
      <c r="E970" s="1" t="s">
        <v>2703</v>
      </c>
      <c r="F970" s="1" t="s">
        <v>9380</v>
      </c>
      <c r="G970" s="1" t="s">
        <v>8957</v>
      </c>
      <c r="H970" t="s">
        <v>9009</v>
      </c>
      <c r="I970" s="1" t="s">
        <v>8948</v>
      </c>
      <c r="J970" s="1" t="s">
        <v>9155</v>
      </c>
      <c r="K970" s="1" t="s">
        <v>10258</v>
      </c>
      <c r="L970" s="1" t="s">
        <v>8951</v>
      </c>
      <c r="M970" s="1">
        <v>445</v>
      </c>
      <c r="N970" s="1" t="s">
        <v>9059</v>
      </c>
      <c r="O970" s="1" t="s">
        <v>8989</v>
      </c>
      <c r="P970" s="1" t="s">
        <v>8955</v>
      </c>
      <c r="Q970" s="1" t="s">
        <v>8956</v>
      </c>
      <c r="R970" s="1" t="s">
        <v>8957</v>
      </c>
      <c r="S970" s="1" t="s">
        <v>8958</v>
      </c>
      <c r="T970" s="1" t="s">
        <v>2704</v>
      </c>
      <c r="U970" s="1" t="s">
        <v>11</v>
      </c>
      <c r="V970" s="1" t="s">
        <v>57</v>
      </c>
      <c r="W970" s="1"/>
    </row>
    <row r="971" spans="1:23" x14ac:dyDescent="0.2">
      <c r="A971" s="88" t="s">
        <v>16339</v>
      </c>
      <c r="B971" s="1" t="e">
        <v>#N/A</v>
      </c>
      <c r="C971" s="1" t="e">
        <v>#N/A</v>
      </c>
      <c r="D971" s="1" t="s">
        <v>2705</v>
      </c>
      <c r="E971" s="1" t="s">
        <v>2706</v>
      </c>
      <c r="F971" s="1" t="e">
        <v>#N/A</v>
      </c>
      <c r="G971" s="1" t="e">
        <v>#N/A</v>
      </c>
      <c r="H971" t="e">
        <v>#N/A</v>
      </c>
      <c r="I971" s="1" t="e">
        <v>#N/A</v>
      </c>
      <c r="J971" s="1" t="e">
        <v>#N/A</v>
      </c>
      <c r="K971" s="1" t="e">
        <v>#N/A</v>
      </c>
      <c r="L971" s="1" t="e">
        <v>#N/A</v>
      </c>
      <c r="M971" s="1" t="e">
        <v>#N/A</v>
      </c>
      <c r="N971" s="1" t="e">
        <v>#N/A</v>
      </c>
      <c r="O971" s="1" t="e">
        <v>#N/A</v>
      </c>
      <c r="P971" s="1" t="e">
        <v>#N/A</v>
      </c>
      <c r="Q971" s="1" t="e">
        <v>#N/A</v>
      </c>
      <c r="R971" s="1">
        <f t="shared" ref="R971:R975" si="284">1+LEN(T971)-LEN(SUBSTITUTE(T971,",",))</f>
        <v>3</v>
      </c>
      <c r="S971" s="1" t="str">
        <f t="shared" ref="S971:S975" si="285">IF(R971&gt;4,IF(R971&lt;8,"4-7",IF(R971&gt;7,"&gt;7")),"&lt;4")</f>
        <v>&lt;4</v>
      </c>
      <c r="T971" s="1" t="s">
        <v>19057</v>
      </c>
      <c r="U971" s="1" t="s">
        <v>252</v>
      </c>
      <c r="V971" s="1" t="s">
        <v>126</v>
      </c>
      <c r="W971" s="1"/>
    </row>
    <row r="972" spans="1:23" x14ac:dyDescent="0.2">
      <c r="A972" s="88" t="s">
        <v>2707</v>
      </c>
      <c r="B972" s="1" t="e">
        <v>#N/A</v>
      </c>
      <c r="C972" s="1" t="e">
        <v>#N/A</v>
      </c>
      <c r="D972" s="1" t="s">
        <v>2708</v>
      </c>
      <c r="E972" s="1" t="s">
        <v>2709</v>
      </c>
      <c r="F972" s="1" t="s">
        <v>20834</v>
      </c>
      <c r="G972" s="1" t="s">
        <v>8957</v>
      </c>
      <c r="H972" t="s">
        <v>8959</v>
      </c>
      <c r="I972" s="1" t="s">
        <v>9173</v>
      </c>
      <c r="J972" s="1" t="s">
        <v>9174</v>
      </c>
      <c r="K972" s="1" t="s">
        <v>21249</v>
      </c>
      <c r="L972" s="1" t="s">
        <v>8987</v>
      </c>
      <c r="M972" s="1">
        <v>14300</v>
      </c>
      <c r="N972" s="1" t="s">
        <v>8953</v>
      </c>
      <c r="O972" s="1" t="s">
        <v>8989</v>
      </c>
      <c r="P972" s="1" t="e">
        <v>#N/A</v>
      </c>
      <c r="Q972" s="1" t="e">
        <v>#N/A</v>
      </c>
      <c r="R972" s="1">
        <f t="shared" si="284"/>
        <v>1</v>
      </c>
      <c r="S972" s="1" t="str">
        <f t="shared" si="285"/>
        <v>&lt;4</v>
      </c>
      <c r="T972" s="1" t="s">
        <v>2710</v>
      </c>
      <c r="U972" s="1" t="s">
        <v>11</v>
      </c>
      <c r="V972" s="1" t="s">
        <v>598</v>
      </c>
      <c r="W972" s="1"/>
    </row>
    <row r="973" spans="1:23" x14ac:dyDescent="0.2">
      <c r="A973" s="88" t="s">
        <v>16340</v>
      </c>
      <c r="B973" s="1" t="e">
        <v>#N/A</v>
      </c>
      <c r="C973" s="1" t="e">
        <v>#N/A</v>
      </c>
      <c r="D973" s="1" t="s">
        <v>20816</v>
      </c>
      <c r="E973" s="1" t="s">
        <v>2711</v>
      </c>
      <c r="F973" s="1" t="s">
        <v>18502</v>
      </c>
      <c r="G973" s="1" t="s">
        <v>8957</v>
      </c>
      <c r="H973" t="s">
        <v>9061</v>
      </c>
      <c r="I973" s="1" t="s">
        <v>9035</v>
      </c>
      <c r="J973" s="1" t="s">
        <v>8998</v>
      </c>
      <c r="K973" s="1" t="s">
        <v>20723</v>
      </c>
      <c r="L973" s="1" t="s">
        <v>8951</v>
      </c>
      <c r="M973" s="1">
        <v>2724</v>
      </c>
      <c r="N973" s="1" t="s">
        <v>8953</v>
      </c>
      <c r="O973" s="1" t="s">
        <v>8954</v>
      </c>
      <c r="P973" s="1" t="e">
        <v>#N/A</v>
      </c>
      <c r="Q973" s="1" t="e">
        <v>#N/A</v>
      </c>
      <c r="R973" s="1">
        <f t="shared" si="284"/>
        <v>39</v>
      </c>
      <c r="S973" s="1" t="str">
        <f t="shared" si="285"/>
        <v>&gt;7</v>
      </c>
      <c r="T973" s="1" t="s">
        <v>20602</v>
      </c>
      <c r="U973" s="1" t="s">
        <v>7</v>
      </c>
      <c r="V973" s="1" t="s">
        <v>580</v>
      </c>
      <c r="W973" s="1"/>
    </row>
    <row r="974" spans="1:23" x14ac:dyDescent="0.2">
      <c r="A974" s="88" t="s">
        <v>16341</v>
      </c>
      <c r="B974" s="1" t="e">
        <v>#N/A</v>
      </c>
      <c r="C974" s="1" t="e">
        <v>#N/A</v>
      </c>
      <c r="D974" s="1" t="s">
        <v>2712</v>
      </c>
      <c r="E974" s="1" t="s">
        <v>2713</v>
      </c>
      <c r="F974" s="1" t="s">
        <v>18502</v>
      </c>
      <c r="G974" s="1" t="s">
        <v>8957</v>
      </c>
      <c r="H974" t="s">
        <v>9061</v>
      </c>
      <c r="I974" s="1" t="s">
        <v>20712</v>
      </c>
      <c r="J974" s="1" t="s">
        <v>8998</v>
      </c>
      <c r="K974" s="1" t="s">
        <v>20785</v>
      </c>
      <c r="L974" s="1" t="s">
        <v>9464</v>
      </c>
      <c r="M974" s="1">
        <v>44</v>
      </c>
      <c r="N974" s="1" t="s">
        <v>9059</v>
      </c>
      <c r="O974" s="1" t="s">
        <v>8989</v>
      </c>
      <c r="P974" s="1" t="e">
        <v>#N/A</v>
      </c>
      <c r="Q974" s="1" t="e">
        <v>#N/A</v>
      </c>
      <c r="R974" s="1">
        <f t="shared" si="284"/>
        <v>9</v>
      </c>
      <c r="S974" s="1" t="str">
        <f t="shared" si="285"/>
        <v>&gt;7</v>
      </c>
      <c r="T974" s="1" t="s">
        <v>19058</v>
      </c>
      <c r="U974" s="1" t="s">
        <v>17</v>
      </c>
      <c r="V974" s="1" t="s">
        <v>93</v>
      </c>
      <c r="W974" s="1"/>
    </row>
    <row r="975" spans="1:23" x14ac:dyDescent="0.2">
      <c r="A975" s="89" t="s">
        <v>16342</v>
      </c>
      <c r="B975" s="1" t="e">
        <v>#N/A</v>
      </c>
      <c r="C975" s="1" t="e">
        <v>#N/A</v>
      </c>
      <c r="D975" s="5" t="s">
        <v>2714</v>
      </c>
      <c r="E975" s="1" t="s">
        <v>2715</v>
      </c>
      <c r="F975" s="1" t="e">
        <v>#N/A</v>
      </c>
      <c r="G975" s="1" t="e">
        <v>#N/A</v>
      </c>
      <c r="H975" t="e">
        <v>#N/A</v>
      </c>
      <c r="I975" s="1" t="e">
        <v>#N/A</v>
      </c>
      <c r="J975" s="1" t="e">
        <v>#N/A</v>
      </c>
      <c r="K975" s="1" t="e">
        <v>#N/A</v>
      </c>
      <c r="L975" s="1" t="e">
        <v>#N/A</v>
      </c>
      <c r="M975" s="1" t="e">
        <v>#N/A</v>
      </c>
      <c r="N975" s="1" t="e">
        <v>#N/A</v>
      </c>
      <c r="O975" s="1" t="e">
        <v>#N/A</v>
      </c>
      <c r="P975" s="1" t="e">
        <v>#N/A</v>
      </c>
      <c r="Q975" s="1" t="e">
        <v>#N/A</v>
      </c>
      <c r="R975" s="1">
        <f t="shared" si="284"/>
        <v>9</v>
      </c>
      <c r="S975" s="1" t="str">
        <f t="shared" si="285"/>
        <v>&gt;7</v>
      </c>
      <c r="T975" s="1" t="s">
        <v>19059</v>
      </c>
      <c r="U975" s="1" t="s">
        <v>17</v>
      </c>
      <c r="V975" s="1" t="s">
        <v>110</v>
      </c>
      <c r="W975" s="1"/>
    </row>
    <row r="976" spans="1:23" x14ac:dyDescent="0.2">
      <c r="A976" s="88" t="s">
        <v>16343</v>
      </c>
      <c r="B976" s="1" t="e">
        <v>#N/A</v>
      </c>
      <c r="C976" s="1" t="s">
        <v>14639</v>
      </c>
      <c r="D976" s="1" t="s">
        <v>2716</v>
      </c>
      <c r="E976" s="1" t="s">
        <v>2717</v>
      </c>
      <c r="F976" s="1" t="s">
        <v>9010</v>
      </c>
      <c r="G976" s="1" t="s">
        <v>8959</v>
      </c>
      <c r="H976" t="s">
        <v>8959</v>
      </c>
      <c r="I976" s="1" t="s">
        <v>8948</v>
      </c>
      <c r="J976" s="1" t="s">
        <v>8949</v>
      </c>
      <c r="K976" s="1" t="s">
        <v>14642</v>
      </c>
      <c r="L976" s="1" t="s">
        <v>9464</v>
      </c>
      <c r="M976" s="1">
        <v>40</v>
      </c>
      <c r="N976" s="1" t="s">
        <v>8953</v>
      </c>
      <c r="O976" s="1" t="s">
        <v>8954</v>
      </c>
      <c r="P976" s="1" t="s">
        <v>8955</v>
      </c>
      <c r="Q976" s="1" t="s">
        <v>8956</v>
      </c>
      <c r="R976" s="1" t="s">
        <v>8959</v>
      </c>
      <c r="S976" s="1" t="s">
        <v>9103</v>
      </c>
      <c r="T976" s="1" t="s">
        <v>2718</v>
      </c>
      <c r="U976" s="1" t="s">
        <v>920</v>
      </c>
      <c r="V976" s="1" t="s">
        <v>1076</v>
      </c>
      <c r="W976" s="1"/>
    </row>
    <row r="977" spans="1:23" x14ac:dyDescent="0.2">
      <c r="A977" s="88" t="s">
        <v>16344</v>
      </c>
      <c r="B977" s="1" t="e">
        <v>#N/A</v>
      </c>
      <c r="C977" s="1" t="e">
        <v>#N/A</v>
      </c>
      <c r="D977" s="1" t="s">
        <v>2719</v>
      </c>
      <c r="E977" s="1" t="s">
        <v>2720</v>
      </c>
      <c r="F977" s="1" t="s">
        <v>9317</v>
      </c>
      <c r="G977" s="1" t="s">
        <v>9060</v>
      </c>
      <c r="H977" t="s">
        <v>9061</v>
      </c>
      <c r="I977" s="1" t="s">
        <v>9075</v>
      </c>
      <c r="J977" s="1" t="s">
        <v>8998</v>
      </c>
      <c r="K977" s="1" t="s">
        <v>10525</v>
      </c>
      <c r="L977" s="1" t="s">
        <v>9133</v>
      </c>
      <c r="M977" s="1">
        <v>549</v>
      </c>
      <c r="N977" s="1" t="s">
        <v>9059</v>
      </c>
      <c r="O977" s="1" t="s">
        <v>8989</v>
      </c>
      <c r="P977" s="1" t="e">
        <v>#N/A</v>
      </c>
      <c r="Q977" s="1" t="e">
        <v>#N/A</v>
      </c>
      <c r="R977" s="1">
        <f t="shared" ref="R977:R978" si="286">1+LEN(T977)-LEN(SUBSTITUTE(T977,",",))</f>
        <v>10</v>
      </c>
      <c r="S977" s="1" t="str">
        <f t="shared" ref="S977:S978" si="287">IF(R977&gt;4,IF(R977&lt;8,"4-7",IF(R977&gt;7,"&gt;7")),"&lt;4")</f>
        <v>&gt;7</v>
      </c>
      <c r="T977" s="1" t="s">
        <v>19060</v>
      </c>
      <c r="U977" s="1" t="s">
        <v>7</v>
      </c>
      <c r="V977" s="1" t="s">
        <v>24</v>
      </c>
      <c r="W977" s="1"/>
    </row>
    <row r="978" spans="1:23" x14ac:dyDescent="0.2">
      <c r="A978" s="88" t="s">
        <v>16345</v>
      </c>
      <c r="B978" s="1" t="e">
        <v>#N/A</v>
      </c>
      <c r="C978" s="1" t="e">
        <v>#N/A</v>
      </c>
      <c r="D978" s="1" t="s">
        <v>2721</v>
      </c>
      <c r="E978" s="1" t="s">
        <v>2722</v>
      </c>
      <c r="F978" s="1" t="s">
        <v>20835</v>
      </c>
      <c r="G978" s="1" t="s">
        <v>8957</v>
      </c>
      <c r="H978" t="s">
        <v>8959</v>
      </c>
      <c r="I978" s="1" t="s">
        <v>9100</v>
      </c>
      <c r="J978" s="1" t="s">
        <v>8949</v>
      </c>
      <c r="K978" s="1" t="s">
        <v>21226</v>
      </c>
      <c r="L978" s="1" t="s">
        <v>8987</v>
      </c>
      <c r="M978" s="1">
        <v>154</v>
      </c>
      <c r="N978" s="1" t="s">
        <v>8953</v>
      </c>
      <c r="O978" s="1" t="s">
        <v>8989</v>
      </c>
      <c r="P978" s="1" t="e">
        <v>#N/A</v>
      </c>
      <c r="Q978" s="1" t="e">
        <v>#N/A</v>
      </c>
      <c r="R978" s="1">
        <f t="shared" si="286"/>
        <v>6</v>
      </c>
      <c r="S978" s="1" t="str">
        <f t="shared" si="287"/>
        <v>4-7</v>
      </c>
      <c r="T978" s="1" t="s">
        <v>19061</v>
      </c>
      <c r="U978" s="1" t="s">
        <v>7</v>
      </c>
      <c r="V978" s="1" t="s">
        <v>2723</v>
      </c>
      <c r="W978" s="1"/>
    </row>
    <row r="979" spans="1:23" x14ac:dyDescent="0.2">
      <c r="A979" s="88" t="s">
        <v>16346</v>
      </c>
      <c r="B979" s="1" t="e">
        <v>#N/A</v>
      </c>
      <c r="C979" s="1" t="s">
        <v>9573</v>
      </c>
      <c r="D979" s="1" t="s">
        <v>2724</v>
      </c>
      <c r="E979" s="1" t="s">
        <v>2725</v>
      </c>
      <c r="F979" s="1" t="s">
        <v>9010</v>
      </c>
      <c r="G979" s="1" t="s">
        <v>8959</v>
      </c>
      <c r="H979" t="s">
        <v>8959</v>
      </c>
      <c r="I979" s="1" t="s">
        <v>8948</v>
      </c>
      <c r="J979" s="1" t="s">
        <v>8949</v>
      </c>
      <c r="K979" s="1" t="s">
        <v>8972</v>
      </c>
      <c r="L979" s="1" t="s">
        <v>8973</v>
      </c>
      <c r="M979" s="1">
        <v>431</v>
      </c>
      <c r="N979" s="1" t="s">
        <v>8953</v>
      </c>
      <c r="O979" s="1" t="s">
        <v>8954</v>
      </c>
      <c r="P979" s="1" t="s">
        <v>8955</v>
      </c>
      <c r="Q979" s="1" t="s">
        <v>8990</v>
      </c>
      <c r="R979" s="1" t="s">
        <v>8959</v>
      </c>
      <c r="S979" s="1" t="s">
        <v>9103</v>
      </c>
      <c r="T979" s="1" t="s">
        <v>2726</v>
      </c>
      <c r="U979" s="1" t="s">
        <v>11</v>
      </c>
      <c r="V979" s="1" t="s">
        <v>2727</v>
      </c>
      <c r="W979" s="1"/>
    </row>
    <row r="980" spans="1:23" x14ac:dyDescent="0.2">
      <c r="A980" s="88" t="s">
        <v>16347</v>
      </c>
      <c r="B980" s="1" t="e">
        <v>#N/A</v>
      </c>
      <c r="C980" s="1" t="s">
        <v>11228</v>
      </c>
      <c r="D980" s="1" t="s">
        <v>2728</v>
      </c>
      <c r="E980" s="1" t="s">
        <v>2729</v>
      </c>
      <c r="F980" s="1" t="s">
        <v>9333</v>
      </c>
      <c r="G980" s="1" t="s">
        <v>8957</v>
      </c>
      <c r="H980" t="s">
        <v>9009</v>
      </c>
      <c r="I980" s="1" t="s">
        <v>9154</v>
      </c>
      <c r="J980" s="1" t="s">
        <v>8998</v>
      </c>
      <c r="K980" s="1" t="s">
        <v>9355</v>
      </c>
      <c r="L980" s="1" t="s">
        <v>8987</v>
      </c>
      <c r="M980" s="1">
        <v>1598</v>
      </c>
      <c r="N980" s="1" t="s">
        <v>8953</v>
      </c>
      <c r="O980" s="1" t="s">
        <v>8989</v>
      </c>
      <c r="P980" s="1" t="s">
        <v>8955</v>
      </c>
      <c r="Q980" s="1" t="s">
        <v>8956</v>
      </c>
      <c r="R980" s="1" t="s">
        <v>8957</v>
      </c>
      <c r="S980" s="1" t="s">
        <v>8958</v>
      </c>
      <c r="T980" s="1" t="s">
        <v>2730</v>
      </c>
      <c r="U980" s="1" t="s">
        <v>11</v>
      </c>
      <c r="V980" s="1" t="s">
        <v>1945</v>
      </c>
      <c r="W980" s="1"/>
    </row>
    <row r="981" spans="1:23" x14ac:dyDescent="0.2">
      <c r="A981" s="88" t="s">
        <v>16348</v>
      </c>
      <c r="B981" s="1" t="e">
        <v>#N/A</v>
      </c>
      <c r="C981" s="1" t="s">
        <v>9196</v>
      </c>
      <c r="D981" s="1" t="s">
        <v>2731</v>
      </c>
      <c r="E981" s="1" t="s">
        <v>2732</v>
      </c>
      <c r="F981" s="1" t="s">
        <v>9010</v>
      </c>
      <c r="G981" s="1" t="s">
        <v>9060</v>
      </c>
      <c r="H981" t="s">
        <v>9061</v>
      </c>
      <c r="I981" s="1" t="s">
        <v>9100</v>
      </c>
      <c r="J981" s="1" t="s">
        <v>8949</v>
      </c>
      <c r="K981" s="1" t="s">
        <v>9199</v>
      </c>
      <c r="L981" s="1" t="s">
        <v>8973</v>
      </c>
      <c r="M981" s="1">
        <v>15</v>
      </c>
      <c r="N981" s="1" t="s">
        <v>9059</v>
      </c>
      <c r="O981" s="1" t="s">
        <v>8954</v>
      </c>
      <c r="P981" s="1" t="s">
        <v>8955</v>
      </c>
      <c r="Q981" s="1" t="s">
        <v>8990</v>
      </c>
      <c r="R981" s="1" t="s">
        <v>9060</v>
      </c>
      <c r="S981" s="1" t="s">
        <v>8958</v>
      </c>
      <c r="T981" s="1" t="s">
        <v>2733</v>
      </c>
      <c r="U981" s="1" t="s">
        <v>17</v>
      </c>
      <c r="V981" s="1" t="s">
        <v>1929</v>
      </c>
      <c r="W981" s="1"/>
    </row>
    <row r="982" spans="1:23" x14ac:dyDescent="0.2">
      <c r="A982" s="88" t="s">
        <v>16349</v>
      </c>
      <c r="B982" s="1" t="e">
        <v>#N/A</v>
      </c>
      <c r="C982" s="1" t="s">
        <v>15058</v>
      </c>
      <c r="D982" s="1" t="s">
        <v>2734</v>
      </c>
      <c r="E982" s="1" t="s">
        <v>2735</v>
      </c>
      <c r="F982" s="1" t="s">
        <v>9333</v>
      </c>
      <c r="G982" s="1" t="s">
        <v>8959</v>
      </c>
      <c r="H982" t="s">
        <v>8959</v>
      </c>
      <c r="I982" s="1" t="s">
        <v>9092</v>
      </c>
      <c r="J982" s="1" t="s">
        <v>8998</v>
      </c>
      <c r="K982" s="1" t="s">
        <v>8972</v>
      </c>
      <c r="L982" s="1" t="s">
        <v>8973</v>
      </c>
      <c r="M982" s="1">
        <v>100</v>
      </c>
      <c r="N982" s="1" t="s">
        <v>8953</v>
      </c>
      <c r="O982" s="1" t="s">
        <v>8989</v>
      </c>
      <c r="P982" s="1" t="s">
        <v>8955</v>
      </c>
      <c r="Q982" s="1" t="s">
        <v>8956</v>
      </c>
      <c r="R982" s="1" t="s">
        <v>8959</v>
      </c>
      <c r="S982" s="1" t="s">
        <v>8958</v>
      </c>
      <c r="T982" s="1" t="s">
        <v>2736</v>
      </c>
      <c r="U982" s="1" t="s">
        <v>17</v>
      </c>
      <c r="V982" s="1" t="s">
        <v>2183</v>
      </c>
      <c r="W982" s="1"/>
    </row>
    <row r="983" spans="1:23" x14ac:dyDescent="0.2">
      <c r="A983" s="88" t="s">
        <v>16350</v>
      </c>
      <c r="B983" s="1" t="e">
        <v>#N/A</v>
      </c>
      <c r="C983" s="1" t="e">
        <v>#N/A</v>
      </c>
      <c r="D983" s="1" t="s">
        <v>2737</v>
      </c>
      <c r="E983" s="1" t="s">
        <v>2738</v>
      </c>
      <c r="F983" s="1" t="s">
        <v>18502</v>
      </c>
      <c r="G983" s="1" t="s">
        <v>8957</v>
      </c>
      <c r="H983" t="s">
        <v>9061</v>
      </c>
      <c r="I983" s="1" t="s">
        <v>9100</v>
      </c>
      <c r="J983" s="1" t="s">
        <v>8949</v>
      </c>
      <c r="K983" s="1" t="s">
        <v>20779</v>
      </c>
      <c r="L983" s="1" t="s">
        <v>9076</v>
      </c>
      <c r="M983" s="1">
        <v>375000</v>
      </c>
      <c r="N983" s="1" t="s">
        <v>8953</v>
      </c>
      <c r="O983" s="1" t="s">
        <v>8989</v>
      </c>
      <c r="P983" s="1" t="e">
        <v>#N/A</v>
      </c>
      <c r="Q983" s="1" t="e">
        <v>#N/A</v>
      </c>
      <c r="R983" s="1">
        <f>1+LEN(T983)-LEN(SUBSTITUTE(T983,",",))</f>
        <v>8</v>
      </c>
      <c r="S983" s="1" t="str">
        <f>IF(R983&gt;4,IF(R983&lt;8,"4-7",IF(R983&gt;7,"&gt;7")),"&lt;4")</f>
        <v>&gt;7</v>
      </c>
      <c r="T983" s="1" t="s">
        <v>19062</v>
      </c>
      <c r="U983" s="1" t="s">
        <v>17</v>
      </c>
      <c r="V983" s="1" t="s">
        <v>161</v>
      </c>
      <c r="W983" s="1"/>
    </row>
    <row r="984" spans="1:23" x14ac:dyDescent="0.2">
      <c r="A984" s="88" t="s">
        <v>16351</v>
      </c>
      <c r="B984" s="1" t="e">
        <v>#N/A</v>
      </c>
      <c r="C984" s="1" t="s">
        <v>11127</v>
      </c>
      <c r="D984" s="1" t="s">
        <v>2739</v>
      </c>
      <c r="E984" s="1" t="s">
        <v>2740</v>
      </c>
      <c r="F984" s="1" t="s">
        <v>9010</v>
      </c>
      <c r="G984" s="1" t="s">
        <v>8957</v>
      </c>
      <c r="H984" t="s">
        <v>9183</v>
      </c>
      <c r="I984" s="1" t="s">
        <v>9075</v>
      </c>
      <c r="J984" s="1" t="s">
        <v>8949</v>
      </c>
      <c r="K984" s="1" t="s">
        <v>9036</v>
      </c>
      <c r="L984" s="1" t="s">
        <v>9292</v>
      </c>
      <c r="M984" s="1">
        <v>679</v>
      </c>
      <c r="N984" s="1" t="s">
        <v>8953</v>
      </c>
      <c r="O984" s="1" t="s">
        <v>8989</v>
      </c>
      <c r="P984" s="1" t="s">
        <v>8955</v>
      </c>
      <c r="Q984" s="1" t="s">
        <v>8956</v>
      </c>
      <c r="R984" s="1" t="s">
        <v>8957</v>
      </c>
      <c r="S984" s="1" t="s">
        <v>8975</v>
      </c>
      <c r="T984" s="1" t="s">
        <v>2741</v>
      </c>
      <c r="U984" s="1" t="s">
        <v>17</v>
      </c>
      <c r="V984" s="1" t="s">
        <v>64</v>
      </c>
      <c r="W984" s="1"/>
    </row>
    <row r="985" spans="1:23" x14ac:dyDescent="0.2">
      <c r="A985" s="88" t="s">
        <v>16352</v>
      </c>
      <c r="B985" s="1" t="e">
        <v>#N/A</v>
      </c>
      <c r="C985" s="1" t="s">
        <v>9946</v>
      </c>
      <c r="D985" s="1" t="s">
        <v>2742</v>
      </c>
      <c r="E985" s="1" t="s">
        <v>2743</v>
      </c>
      <c r="F985" s="1" t="s">
        <v>9852</v>
      </c>
      <c r="G985" s="1" t="s">
        <v>8959</v>
      </c>
      <c r="H985" t="s">
        <v>8959</v>
      </c>
      <c r="I985" s="1" t="s">
        <v>9092</v>
      </c>
      <c r="J985" s="1" t="s">
        <v>9121</v>
      </c>
      <c r="K985" s="1" t="s">
        <v>21306</v>
      </c>
      <c r="L985" s="1" t="s">
        <v>8973</v>
      </c>
      <c r="M985" s="1">
        <v>1015</v>
      </c>
      <c r="N985" s="1" t="s">
        <v>8953</v>
      </c>
      <c r="O985" s="1" t="s">
        <v>8954</v>
      </c>
      <c r="P985" s="1" t="s">
        <v>8955</v>
      </c>
      <c r="Q985" s="1" t="s">
        <v>8956</v>
      </c>
      <c r="R985" s="1" t="s">
        <v>8959</v>
      </c>
      <c r="S985" s="1" t="s">
        <v>8958</v>
      </c>
      <c r="T985" s="1" t="s">
        <v>2744</v>
      </c>
      <c r="U985" s="1" t="s">
        <v>17</v>
      </c>
      <c r="V985" s="1" t="s">
        <v>87</v>
      </c>
      <c r="W985" s="1"/>
    </row>
    <row r="986" spans="1:23" x14ac:dyDescent="0.2">
      <c r="A986" s="88" t="s">
        <v>16353</v>
      </c>
      <c r="B986" s="1" t="e">
        <v>#N/A</v>
      </c>
      <c r="C986" s="1" t="s">
        <v>14873</v>
      </c>
      <c r="D986" s="1" t="s">
        <v>2745</v>
      </c>
      <c r="E986" s="1" t="s">
        <v>2746</v>
      </c>
      <c r="F986" s="1" t="s">
        <v>9310</v>
      </c>
      <c r="G986" s="1" t="s">
        <v>8957</v>
      </c>
      <c r="H986" t="s">
        <v>8959</v>
      </c>
      <c r="I986" s="1" t="s">
        <v>9049</v>
      </c>
      <c r="J986" s="1" t="s">
        <v>9050</v>
      </c>
      <c r="K986" s="1" t="s">
        <v>10613</v>
      </c>
      <c r="L986" s="1" t="s">
        <v>8987</v>
      </c>
      <c r="M986" s="1">
        <v>78891</v>
      </c>
      <c r="N986" s="1" t="s">
        <v>8953</v>
      </c>
      <c r="O986" s="1" t="s">
        <v>8954</v>
      </c>
      <c r="P986" s="1" t="s">
        <v>8955</v>
      </c>
      <c r="Q986" s="1" t="s">
        <v>8956</v>
      </c>
      <c r="R986" s="1" t="s">
        <v>8957</v>
      </c>
      <c r="S986" s="1" t="s">
        <v>8958</v>
      </c>
      <c r="T986" s="1" t="s">
        <v>2747</v>
      </c>
      <c r="U986" s="1" t="s">
        <v>17</v>
      </c>
      <c r="V986" s="1" t="s">
        <v>210</v>
      </c>
      <c r="W986" s="1"/>
    </row>
    <row r="987" spans="1:23" x14ac:dyDescent="0.2">
      <c r="A987" s="88" t="s">
        <v>16354</v>
      </c>
      <c r="B987" s="1" t="e">
        <v>#N/A</v>
      </c>
      <c r="C987" s="1" t="e">
        <v>#N/A</v>
      </c>
      <c r="D987" s="1" t="s">
        <v>2748</v>
      </c>
      <c r="E987" s="1" t="s">
        <v>2749</v>
      </c>
      <c r="F987" s="1" t="s">
        <v>9852</v>
      </c>
      <c r="G987" s="1" t="s">
        <v>8959</v>
      </c>
      <c r="H987" t="s">
        <v>8959</v>
      </c>
      <c r="I987" s="1" t="s">
        <v>9605</v>
      </c>
      <c r="J987" s="1" t="s">
        <v>9155</v>
      </c>
      <c r="K987" s="1" t="s">
        <v>18497</v>
      </c>
      <c r="L987" s="1" t="s">
        <v>8987</v>
      </c>
      <c r="M987" s="1">
        <v>1001</v>
      </c>
      <c r="N987" s="1" t="s">
        <v>8953</v>
      </c>
      <c r="O987" s="1" t="s">
        <v>8989</v>
      </c>
      <c r="P987" s="1" t="e">
        <v>#N/A</v>
      </c>
      <c r="Q987" s="1" t="e">
        <v>#N/A</v>
      </c>
      <c r="R987" s="1">
        <f t="shared" ref="R987:R992" si="288">1+LEN(T987)-LEN(SUBSTITUTE(T987,",",))</f>
        <v>4</v>
      </c>
      <c r="S987" s="1" t="str">
        <f t="shared" ref="S987:S992" si="289">IF(R987&gt;4,IF(R987&lt;8,"4-7",IF(R987&gt;7,"&gt;7")),"&lt;4")</f>
        <v>&lt;4</v>
      </c>
      <c r="T987" s="1" t="s">
        <v>19063</v>
      </c>
      <c r="U987" s="1" t="s">
        <v>7</v>
      </c>
      <c r="V987" s="1" t="s">
        <v>24</v>
      </c>
      <c r="W987" s="1"/>
    </row>
    <row r="988" spans="1:23" x14ac:dyDescent="0.2">
      <c r="A988" s="94" t="s">
        <v>2750</v>
      </c>
      <c r="B988" s="1" t="e">
        <v>#N/A</v>
      </c>
      <c r="C988" s="1" t="e">
        <v>#N/A</v>
      </c>
      <c r="D988" s="1" t="s">
        <v>2751</v>
      </c>
      <c r="E988" s="1" t="s">
        <v>2752</v>
      </c>
      <c r="F988" s="1"/>
      <c r="G988" s="1" t="e">
        <v>#N/A</v>
      </c>
      <c r="H988" t="e">
        <v>#N/A</v>
      </c>
      <c r="I988" s="1" t="e">
        <v>#N/A</v>
      </c>
      <c r="J988" s="1" t="e">
        <v>#N/A</v>
      </c>
      <c r="K988" s="1" t="e">
        <v>#N/A</v>
      </c>
      <c r="L988" s="1" t="e">
        <v>#N/A</v>
      </c>
      <c r="M988" s="1" t="e">
        <v>#N/A</v>
      </c>
      <c r="N988" s="1" t="e">
        <v>#N/A</v>
      </c>
      <c r="O988" s="1" t="e">
        <v>#N/A</v>
      </c>
      <c r="P988" s="1" t="e">
        <v>#N/A</v>
      </c>
      <c r="Q988" s="1" t="e">
        <v>#N/A</v>
      </c>
      <c r="R988" s="1">
        <f t="shared" si="288"/>
        <v>4</v>
      </c>
      <c r="S988" s="1" t="str">
        <f t="shared" si="289"/>
        <v>&lt;4</v>
      </c>
      <c r="T988" s="1" t="s">
        <v>19064</v>
      </c>
      <c r="U988" s="1" t="s">
        <v>11</v>
      </c>
      <c r="V988" s="1" t="s">
        <v>598</v>
      </c>
      <c r="W988" s="1"/>
    </row>
    <row r="989" spans="1:23" x14ac:dyDescent="0.2">
      <c r="A989" s="95" t="s">
        <v>16355</v>
      </c>
      <c r="B989" s="1" t="e">
        <v>#N/A</v>
      </c>
      <c r="C989" s="1" t="e">
        <v>#N/A</v>
      </c>
      <c r="D989" s="1" t="s">
        <v>21154</v>
      </c>
      <c r="E989" s="1" t="s">
        <v>2753</v>
      </c>
      <c r="F989" s="1" t="s">
        <v>9176</v>
      </c>
      <c r="G989" s="1" t="s">
        <v>8957</v>
      </c>
      <c r="H989" t="s">
        <v>8959</v>
      </c>
      <c r="I989" s="1" t="s">
        <v>9075</v>
      </c>
      <c r="J989" s="1" t="s">
        <v>8949</v>
      </c>
      <c r="K989" s="1" t="s">
        <v>21814</v>
      </c>
      <c r="L989" s="1" t="s">
        <v>8973</v>
      </c>
      <c r="M989" s="1">
        <v>50000</v>
      </c>
      <c r="N989" s="1" t="s">
        <v>8953</v>
      </c>
      <c r="O989" s="1" t="s">
        <v>8954</v>
      </c>
      <c r="P989" s="1" t="e">
        <v>#N/A</v>
      </c>
      <c r="Q989" s="1" t="e">
        <v>#N/A</v>
      </c>
      <c r="R989" s="1">
        <f t="shared" si="288"/>
        <v>3</v>
      </c>
      <c r="S989" s="1" t="str">
        <f t="shared" si="289"/>
        <v>&lt;4</v>
      </c>
      <c r="T989" s="1" t="s">
        <v>19065</v>
      </c>
      <c r="U989" s="1">
        <v>2020</v>
      </c>
      <c r="V989" s="1" t="s">
        <v>61</v>
      </c>
      <c r="W989" s="1"/>
    </row>
    <row r="990" spans="1:23" x14ac:dyDescent="0.2">
      <c r="A990" s="88" t="s">
        <v>16356</v>
      </c>
      <c r="B990" s="1" t="e">
        <v>#N/A</v>
      </c>
      <c r="C990" s="1" t="e">
        <v>#N/A</v>
      </c>
      <c r="D990" s="1" t="s">
        <v>2754</v>
      </c>
      <c r="E990" s="1" t="s">
        <v>2755</v>
      </c>
      <c r="F990" s="1" t="s">
        <v>9333</v>
      </c>
      <c r="G990" s="1" t="s">
        <v>8959</v>
      </c>
      <c r="H990" t="s">
        <v>8959</v>
      </c>
      <c r="I990" s="1" t="s">
        <v>9154</v>
      </c>
      <c r="J990" s="1" t="s">
        <v>11607</v>
      </c>
      <c r="K990" s="1" t="s">
        <v>10525</v>
      </c>
      <c r="L990" s="1" t="s">
        <v>8987</v>
      </c>
      <c r="M990" s="1">
        <v>45478</v>
      </c>
      <c r="N990" s="1" t="s">
        <v>8953</v>
      </c>
      <c r="O990" s="1" t="s">
        <v>8989</v>
      </c>
      <c r="P990" s="1" t="e">
        <v>#N/A</v>
      </c>
      <c r="Q990" s="1" t="e">
        <v>#N/A</v>
      </c>
      <c r="R990" s="1">
        <f t="shared" si="288"/>
        <v>6</v>
      </c>
      <c r="S990" s="1" t="str">
        <f t="shared" si="289"/>
        <v>4-7</v>
      </c>
      <c r="T990" s="1" t="s">
        <v>19066</v>
      </c>
      <c r="U990" s="1" t="s">
        <v>7</v>
      </c>
      <c r="V990" s="1" t="s">
        <v>46</v>
      </c>
      <c r="W990" s="1"/>
    </row>
    <row r="991" spans="1:23" x14ac:dyDescent="0.2">
      <c r="A991" s="89" t="s">
        <v>2756</v>
      </c>
      <c r="B991" s="1" t="e">
        <v>#N/A</v>
      </c>
      <c r="C991" s="1" t="e">
        <v>#N/A</v>
      </c>
      <c r="D991" s="1" t="s">
        <v>2757</v>
      </c>
      <c r="E991" s="1" t="s">
        <v>2758</v>
      </c>
      <c r="F991" s="1" t="e">
        <v>#N/A</v>
      </c>
      <c r="G991" s="1" t="e">
        <v>#N/A</v>
      </c>
      <c r="H991" t="e">
        <v>#N/A</v>
      </c>
      <c r="I991" s="1" t="e">
        <v>#N/A</v>
      </c>
      <c r="J991" s="1" t="e">
        <v>#N/A</v>
      </c>
      <c r="K991" s="1" t="e">
        <v>#N/A</v>
      </c>
      <c r="L991" s="1" t="e">
        <v>#N/A</v>
      </c>
      <c r="M991" s="1" t="e">
        <v>#N/A</v>
      </c>
      <c r="N991" s="1" t="e">
        <v>#N/A</v>
      </c>
      <c r="O991" s="1" t="e">
        <v>#N/A</v>
      </c>
      <c r="P991" s="1" t="e">
        <v>#N/A</v>
      </c>
      <c r="Q991" s="1" t="e">
        <v>#N/A</v>
      </c>
      <c r="R991" s="1">
        <f t="shared" si="288"/>
        <v>6</v>
      </c>
      <c r="S991" s="1" t="str">
        <f t="shared" si="289"/>
        <v>4-7</v>
      </c>
      <c r="T991" s="1" t="s">
        <v>19067</v>
      </c>
      <c r="U991" s="1" t="s">
        <v>17</v>
      </c>
      <c r="V991" s="1" t="s">
        <v>733</v>
      </c>
      <c r="W991" s="1"/>
    </row>
    <row r="992" spans="1:23" x14ac:dyDescent="0.2">
      <c r="A992" s="88" t="s">
        <v>16357</v>
      </c>
      <c r="B992" s="1" t="e">
        <v>#N/A</v>
      </c>
      <c r="C992" s="1" t="e">
        <v>#N/A</v>
      </c>
      <c r="D992" s="1" t="s">
        <v>2759</v>
      </c>
      <c r="E992" s="1" t="s">
        <v>2760</v>
      </c>
      <c r="F992" s="1" t="s">
        <v>10032</v>
      </c>
      <c r="G992" s="1" t="s">
        <v>8957</v>
      </c>
      <c r="H992" t="s">
        <v>8959</v>
      </c>
      <c r="I992" s="1" t="s">
        <v>8948</v>
      </c>
      <c r="J992" s="1" t="s">
        <v>8998</v>
      </c>
      <c r="K992" s="1" t="s">
        <v>20779</v>
      </c>
      <c r="L992" s="1" t="s">
        <v>9464</v>
      </c>
      <c r="M992" s="1">
        <v>13</v>
      </c>
      <c r="N992" s="1" t="s">
        <v>9059</v>
      </c>
      <c r="O992" s="1" t="s">
        <v>8989</v>
      </c>
      <c r="P992" s="1" t="e">
        <v>#N/A</v>
      </c>
      <c r="Q992" s="1" t="e">
        <v>#N/A</v>
      </c>
      <c r="R992" s="1">
        <f t="shared" si="288"/>
        <v>5</v>
      </c>
      <c r="S992" s="1" t="str">
        <f t="shared" si="289"/>
        <v>4-7</v>
      </c>
      <c r="T992" s="1" t="s">
        <v>19068</v>
      </c>
      <c r="U992" s="1" t="s">
        <v>17</v>
      </c>
      <c r="V992" s="1" t="s">
        <v>61</v>
      </c>
      <c r="W992" s="1"/>
    </row>
    <row r="993" spans="1:23" x14ac:dyDescent="0.2">
      <c r="A993" s="88" t="s">
        <v>16358</v>
      </c>
      <c r="B993" s="1" t="e">
        <v>#N/A</v>
      </c>
      <c r="C993" s="1" t="s">
        <v>15333</v>
      </c>
      <c r="D993" s="1" t="s">
        <v>2761</v>
      </c>
      <c r="E993" s="1" t="s">
        <v>2762</v>
      </c>
      <c r="F993" s="1" t="s">
        <v>10873</v>
      </c>
      <c r="G993" s="1" t="s">
        <v>8957</v>
      </c>
      <c r="H993" t="s">
        <v>8959</v>
      </c>
      <c r="I993" s="1" t="s">
        <v>9154</v>
      </c>
      <c r="J993" s="1" t="s">
        <v>8949</v>
      </c>
      <c r="K993" s="1" t="s">
        <v>8972</v>
      </c>
      <c r="L993" s="1" t="s">
        <v>9076</v>
      </c>
      <c r="M993" s="1">
        <v>2276</v>
      </c>
      <c r="N993" s="1" t="s">
        <v>8953</v>
      </c>
      <c r="O993" s="1" t="s">
        <v>8954</v>
      </c>
      <c r="P993" s="1" t="s">
        <v>8955</v>
      </c>
      <c r="Q993" s="1" t="s">
        <v>8956</v>
      </c>
      <c r="R993" s="1" t="s">
        <v>8957</v>
      </c>
      <c r="S993" s="1" t="s">
        <v>8958</v>
      </c>
      <c r="T993" s="1" t="s">
        <v>2763</v>
      </c>
      <c r="U993" s="1" t="s">
        <v>17</v>
      </c>
      <c r="V993" s="1" t="s">
        <v>161</v>
      </c>
      <c r="W993" s="1"/>
    </row>
    <row r="994" spans="1:23" x14ac:dyDescent="0.2">
      <c r="A994" s="88" t="s">
        <v>16359</v>
      </c>
      <c r="B994" s="1" t="e">
        <v>#N/A</v>
      </c>
      <c r="C994" s="1" t="s">
        <v>12293</v>
      </c>
      <c r="D994" s="1" t="s">
        <v>2764</v>
      </c>
      <c r="E994" s="1" t="s">
        <v>2765</v>
      </c>
      <c r="F994" s="1" t="s">
        <v>10873</v>
      </c>
      <c r="G994" s="1" t="s">
        <v>9060</v>
      </c>
      <c r="H994" t="s">
        <v>9183</v>
      </c>
      <c r="I994" s="1" t="s">
        <v>9035</v>
      </c>
      <c r="J994" s="1" t="s">
        <v>9155</v>
      </c>
      <c r="K994" s="1" t="s">
        <v>8972</v>
      </c>
      <c r="L994" s="1" t="s">
        <v>9076</v>
      </c>
      <c r="M994" s="1">
        <v>50</v>
      </c>
      <c r="N994" s="1" t="s">
        <v>8953</v>
      </c>
      <c r="O994" s="1" t="s">
        <v>8989</v>
      </c>
      <c r="P994" s="1" t="s">
        <v>8955</v>
      </c>
      <c r="Q994" s="1" t="s">
        <v>8956</v>
      </c>
      <c r="R994" s="1" t="s">
        <v>9060</v>
      </c>
      <c r="S994" s="1" t="s">
        <v>8975</v>
      </c>
      <c r="T994" s="1" t="s">
        <v>2766</v>
      </c>
      <c r="U994" s="1" t="s">
        <v>11</v>
      </c>
      <c r="V994" s="1" t="s">
        <v>61</v>
      </c>
      <c r="W994" s="1"/>
    </row>
    <row r="995" spans="1:23" x14ac:dyDescent="0.2">
      <c r="A995" s="88" t="s">
        <v>16360</v>
      </c>
      <c r="B995" s="1" t="e">
        <v>#N/A</v>
      </c>
      <c r="C995" s="1" t="e">
        <v>#N/A</v>
      </c>
      <c r="D995" s="1" t="s">
        <v>2767</v>
      </c>
      <c r="E995" s="1" t="s">
        <v>2768</v>
      </c>
      <c r="F995" s="1" t="s">
        <v>18502</v>
      </c>
      <c r="G995" s="1" t="e">
        <v>#N/A</v>
      </c>
      <c r="H995" t="s">
        <v>9061</v>
      </c>
      <c r="I995" s="1" t="s">
        <v>9100</v>
      </c>
      <c r="J995" s="1" t="s">
        <v>8949</v>
      </c>
      <c r="K995" s="1" t="e">
        <v>#N/A</v>
      </c>
      <c r="L995" s="1" t="s">
        <v>8987</v>
      </c>
      <c r="M995" s="1" t="e">
        <v>#N/A</v>
      </c>
      <c r="N995" s="1" t="e">
        <v>#N/A</v>
      </c>
      <c r="O995" s="1" t="e">
        <v>#N/A</v>
      </c>
      <c r="P995" s="1" t="e">
        <v>#N/A</v>
      </c>
      <c r="Q995" s="1" t="e">
        <v>#N/A</v>
      </c>
      <c r="R995" s="1">
        <f t="shared" ref="R995:R996" si="290">1+LEN(T995)-LEN(SUBSTITUTE(T995,",",))</f>
        <v>9</v>
      </c>
      <c r="S995" s="1" t="str">
        <f t="shared" ref="S995:S996" si="291">IF(R995&gt;4,IF(R995&lt;8,"4-7",IF(R995&gt;7,"&gt;7")),"&lt;4")</f>
        <v>&gt;7</v>
      </c>
      <c r="T995" s="1" t="s">
        <v>19069</v>
      </c>
      <c r="U995" s="1" t="s">
        <v>7</v>
      </c>
      <c r="V995" s="1" t="s">
        <v>93</v>
      </c>
      <c r="W995" s="1"/>
    </row>
    <row r="996" spans="1:23" x14ac:dyDescent="0.2">
      <c r="A996" s="89">
        <v>1</v>
      </c>
      <c r="B996" t="e">
        <v>#N/A</v>
      </c>
      <c r="C996" t="e">
        <v>#N/A</v>
      </c>
      <c r="D996" s="1" t="s">
        <v>2769</v>
      </c>
      <c r="E996" s="1" t="s">
        <v>2770</v>
      </c>
      <c r="F996" s="1" t="e">
        <v>#N/A</v>
      </c>
      <c r="G996" s="1" t="e">
        <v>#N/A</v>
      </c>
      <c r="H996" t="e">
        <v>#N/A</v>
      </c>
      <c r="I996" s="1" t="e">
        <v>#N/A</v>
      </c>
      <c r="J996" s="1" t="e">
        <v>#N/A</v>
      </c>
      <c r="K996" s="1" t="e">
        <v>#N/A</v>
      </c>
      <c r="L996" s="1" t="e">
        <v>#N/A</v>
      </c>
      <c r="M996" s="1" t="e">
        <v>#N/A</v>
      </c>
      <c r="N996" s="1" t="e">
        <v>#N/A</v>
      </c>
      <c r="O996" s="1" t="e">
        <v>#N/A</v>
      </c>
      <c r="P996" s="1" t="e">
        <v>#N/A</v>
      </c>
      <c r="Q996" s="1" t="e">
        <v>#N/A</v>
      </c>
      <c r="R996" s="1">
        <f t="shared" si="290"/>
        <v>3</v>
      </c>
      <c r="S996" s="1" t="str">
        <f t="shared" si="291"/>
        <v>&lt;4</v>
      </c>
      <c r="T996" s="1" t="s">
        <v>19070</v>
      </c>
      <c r="U996" s="1" t="s">
        <v>17</v>
      </c>
      <c r="V996" s="1" t="s">
        <v>2771</v>
      </c>
      <c r="W996" s="1"/>
    </row>
    <row r="997" spans="1:23" x14ac:dyDescent="0.2">
      <c r="A997" s="88" t="s">
        <v>16361</v>
      </c>
      <c r="B997" s="1" t="e">
        <v>#N/A</v>
      </c>
      <c r="C997" s="1" t="s">
        <v>9655</v>
      </c>
      <c r="D997" s="1" t="s">
        <v>2772</v>
      </c>
      <c r="E997" s="1" t="s">
        <v>2773</v>
      </c>
      <c r="F997" s="1" t="s">
        <v>9333</v>
      </c>
      <c r="G997" s="1" t="s">
        <v>8959</v>
      </c>
      <c r="H997" t="s">
        <v>9061</v>
      </c>
      <c r="I997" s="1" t="s">
        <v>9605</v>
      </c>
      <c r="J997" s="1" t="s">
        <v>8998</v>
      </c>
      <c r="K997" s="1" t="s">
        <v>9658</v>
      </c>
      <c r="L997" s="1" t="s">
        <v>8987</v>
      </c>
      <c r="M997" s="1">
        <v>90</v>
      </c>
      <c r="N997" s="1" t="s">
        <v>8953</v>
      </c>
      <c r="O997" s="1" t="s">
        <v>8989</v>
      </c>
      <c r="P997" s="1" t="s">
        <v>8955</v>
      </c>
      <c r="Q997" s="1" t="s">
        <v>8990</v>
      </c>
      <c r="R997" s="1" t="s">
        <v>8959</v>
      </c>
      <c r="S997" s="1" t="s">
        <v>8958</v>
      </c>
      <c r="T997" s="1" t="s">
        <v>2774</v>
      </c>
      <c r="U997" s="1" t="s">
        <v>7</v>
      </c>
      <c r="V997" s="1" t="s">
        <v>2775</v>
      </c>
      <c r="W997" s="1"/>
    </row>
    <row r="998" spans="1:23" x14ac:dyDescent="0.2">
      <c r="A998" s="88" t="s">
        <v>16362</v>
      </c>
      <c r="B998" s="1" t="e">
        <v>#N/A</v>
      </c>
      <c r="C998" s="1" t="e">
        <v>#N/A</v>
      </c>
      <c r="D998" s="1" t="s">
        <v>2776</v>
      </c>
      <c r="E998" s="1" t="s">
        <v>2777</v>
      </c>
      <c r="F998" s="1" t="s">
        <v>9333</v>
      </c>
      <c r="G998" s="1" t="s">
        <v>8959</v>
      </c>
      <c r="H998" t="s">
        <v>9183</v>
      </c>
      <c r="I998" s="1" t="s">
        <v>20714</v>
      </c>
      <c r="J998" s="1" t="s">
        <v>20725</v>
      </c>
      <c r="K998" s="1" t="s">
        <v>21270</v>
      </c>
      <c r="L998" s="1" t="s">
        <v>8987</v>
      </c>
      <c r="M998" s="1">
        <v>992</v>
      </c>
      <c r="N998" s="1" t="s">
        <v>8953</v>
      </c>
      <c r="O998" s="1" t="s">
        <v>8989</v>
      </c>
      <c r="P998" s="1" t="e">
        <v>#N/A</v>
      </c>
      <c r="Q998" s="1" t="e">
        <v>#N/A</v>
      </c>
      <c r="R998" s="1">
        <f>1+LEN(T998)-LEN(SUBSTITUTE(T998,",",))</f>
        <v>8</v>
      </c>
      <c r="S998" s="1" t="str">
        <f>IF(R998&gt;4,IF(R998&lt;8,"4-7",IF(R998&gt;7,"&gt;7")),"&lt;4")</f>
        <v>&gt;7</v>
      </c>
      <c r="T998" s="1" t="s">
        <v>19071</v>
      </c>
      <c r="U998" s="1" t="s">
        <v>7</v>
      </c>
      <c r="V998" s="1" t="s">
        <v>2778</v>
      </c>
      <c r="W998" s="1"/>
    </row>
    <row r="999" spans="1:23" x14ac:dyDescent="0.2">
      <c r="A999" s="88" t="s">
        <v>16363</v>
      </c>
      <c r="B999" s="1" t="e">
        <v>#N/A</v>
      </c>
      <c r="C999" s="1" t="s">
        <v>14065</v>
      </c>
      <c r="D999" s="1" t="s">
        <v>2779</v>
      </c>
      <c r="E999" s="1" t="s">
        <v>2780</v>
      </c>
      <c r="F999" s="1" t="s">
        <v>9010</v>
      </c>
      <c r="G999" s="1" t="s">
        <v>8957</v>
      </c>
      <c r="H999" t="s">
        <v>9009</v>
      </c>
      <c r="I999" s="1" t="s">
        <v>8948</v>
      </c>
      <c r="J999" s="1" t="s">
        <v>8949</v>
      </c>
      <c r="K999" s="1" t="s">
        <v>13374</v>
      </c>
      <c r="L999" s="1" t="s">
        <v>8987</v>
      </c>
      <c r="M999" s="1">
        <v>435</v>
      </c>
      <c r="N999" s="1" t="s">
        <v>9059</v>
      </c>
      <c r="O999" s="1" t="s">
        <v>8954</v>
      </c>
      <c r="P999" s="1" t="s">
        <v>9182</v>
      </c>
      <c r="Q999" s="1" t="s">
        <v>8956</v>
      </c>
      <c r="R999" s="1" t="s">
        <v>8957</v>
      </c>
      <c r="S999" s="1" t="s">
        <v>8975</v>
      </c>
      <c r="T999" s="1" t="s">
        <v>2781</v>
      </c>
      <c r="U999" s="1" t="s">
        <v>4</v>
      </c>
      <c r="V999" s="1" t="s">
        <v>2782</v>
      </c>
      <c r="W999" s="1"/>
    </row>
    <row r="1000" spans="1:23" x14ac:dyDescent="0.2">
      <c r="A1000" s="88" t="s">
        <v>16364</v>
      </c>
      <c r="B1000" s="1" t="e">
        <v>#N/A</v>
      </c>
      <c r="C1000" s="1" t="e">
        <v>#N/A</v>
      </c>
      <c r="D1000" s="1" t="s">
        <v>2783</v>
      </c>
      <c r="E1000" s="1" t="s">
        <v>2784</v>
      </c>
      <c r="F1000" s="1" t="s">
        <v>9310</v>
      </c>
      <c r="G1000" s="1" t="s">
        <v>8957</v>
      </c>
      <c r="H1000" t="s">
        <v>8959</v>
      </c>
      <c r="I1000" s="1" t="s">
        <v>9605</v>
      </c>
      <c r="J1000" s="1" t="s">
        <v>9101</v>
      </c>
      <c r="K1000" s="1" t="s">
        <v>20736</v>
      </c>
      <c r="L1000" s="1" t="s">
        <v>9292</v>
      </c>
      <c r="M1000" s="1">
        <v>600</v>
      </c>
      <c r="N1000" s="1" t="s">
        <v>9059</v>
      </c>
      <c r="O1000" s="1" t="s">
        <v>8989</v>
      </c>
      <c r="P1000" s="1" t="e">
        <v>#N/A</v>
      </c>
      <c r="Q1000" s="1" t="e">
        <v>#N/A</v>
      </c>
      <c r="R1000" s="1">
        <f t="shared" ref="R1000:R1002" si="292">1+LEN(T1000)-LEN(SUBSTITUTE(T1000,",",))</f>
        <v>10</v>
      </c>
      <c r="S1000" s="1" t="str">
        <f t="shared" ref="S1000:S1002" si="293">IF(R1000&gt;4,IF(R1000&lt;8,"4-7",IF(R1000&gt;7,"&gt;7")),"&lt;4")</f>
        <v>&gt;7</v>
      </c>
      <c r="T1000" s="1" t="s">
        <v>19072</v>
      </c>
      <c r="U1000" s="1" t="s">
        <v>7</v>
      </c>
      <c r="V1000" s="1" t="s">
        <v>2785</v>
      </c>
      <c r="W1000" s="1"/>
    </row>
    <row r="1001" spans="1:23" x14ac:dyDescent="0.2">
      <c r="A1001" s="88" t="s">
        <v>16365</v>
      </c>
      <c r="B1001" s="1" t="e">
        <v>#N/A</v>
      </c>
      <c r="C1001" s="1" t="e">
        <v>#N/A</v>
      </c>
      <c r="D1001" s="1" t="s">
        <v>2786</v>
      </c>
      <c r="E1001" s="1" t="s">
        <v>2787</v>
      </c>
      <c r="F1001" s="1" t="s">
        <v>9310</v>
      </c>
      <c r="G1001" s="1" t="s">
        <v>20818</v>
      </c>
      <c r="H1001" t="s">
        <v>8959</v>
      </c>
      <c r="I1001" s="1" t="s">
        <v>9154</v>
      </c>
      <c r="J1001" s="1" t="s">
        <v>20725</v>
      </c>
      <c r="K1001" s="1" t="s">
        <v>18497</v>
      </c>
      <c r="L1001" s="1" t="s">
        <v>8987</v>
      </c>
      <c r="M1001" s="1">
        <v>4860</v>
      </c>
      <c r="N1001" s="1" t="s">
        <v>8953</v>
      </c>
      <c r="O1001" s="1" t="s">
        <v>8989</v>
      </c>
      <c r="P1001" s="1" t="e">
        <v>#N/A</v>
      </c>
      <c r="Q1001" s="1" t="e">
        <v>#N/A</v>
      </c>
      <c r="R1001" s="1">
        <f t="shared" si="292"/>
        <v>4</v>
      </c>
      <c r="S1001" s="1" t="str">
        <f t="shared" si="293"/>
        <v>&lt;4</v>
      </c>
      <c r="T1001" s="1" t="s">
        <v>19073</v>
      </c>
      <c r="U1001" s="1" t="s">
        <v>7</v>
      </c>
      <c r="V1001" s="1" t="s">
        <v>2287</v>
      </c>
      <c r="W1001" s="1"/>
    </row>
    <row r="1002" spans="1:23" x14ac:dyDescent="0.2">
      <c r="A1002" s="88" t="s">
        <v>16366</v>
      </c>
      <c r="B1002" s="1" t="e">
        <v>#N/A</v>
      </c>
      <c r="C1002" s="1" t="e">
        <v>#N/A</v>
      </c>
      <c r="D1002" s="1" t="s">
        <v>2788</v>
      </c>
      <c r="E1002" s="1" t="s">
        <v>2789</v>
      </c>
      <c r="F1002" s="1" t="s">
        <v>9310</v>
      </c>
      <c r="G1002" s="1" t="s">
        <v>20818</v>
      </c>
      <c r="H1002" t="s">
        <v>8959</v>
      </c>
      <c r="I1002" s="1" t="s">
        <v>20712</v>
      </c>
      <c r="J1002" s="1" t="s">
        <v>8998</v>
      </c>
      <c r="K1002" s="1" t="s">
        <v>20836</v>
      </c>
      <c r="L1002" s="1" t="s">
        <v>9076</v>
      </c>
      <c r="M1002" s="1">
        <v>2304</v>
      </c>
      <c r="N1002" s="1" t="s">
        <v>8953</v>
      </c>
      <c r="O1002" s="1" t="s">
        <v>8989</v>
      </c>
      <c r="P1002" s="1" t="e">
        <v>#N/A</v>
      </c>
      <c r="Q1002" s="1" t="e">
        <v>#N/A</v>
      </c>
      <c r="R1002" s="1">
        <f t="shared" si="292"/>
        <v>9</v>
      </c>
      <c r="S1002" s="1" t="str">
        <f t="shared" si="293"/>
        <v>&gt;7</v>
      </c>
      <c r="T1002" s="1" t="s">
        <v>19074</v>
      </c>
      <c r="U1002" s="1" t="s">
        <v>17</v>
      </c>
      <c r="V1002" s="1" t="s">
        <v>61</v>
      </c>
      <c r="W1002" s="1"/>
    </row>
    <row r="1003" spans="1:23" x14ac:dyDescent="0.2">
      <c r="A1003" s="88" t="s">
        <v>16367</v>
      </c>
      <c r="B1003" s="1" t="e">
        <v>#N/A</v>
      </c>
      <c r="C1003" s="1" t="s">
        <v>12900</v>
      </c>
      <c r="D1003" s="1" t="s">
        <v>2790</v>
      </c>
      <c r="E1003" s="1" t="s">
        <v>2791</v>
      </c>
      <c r="F1003" s="1" t="s">
        <v>9310</v>
      </c>
      <c r="G1003" s="1" t="s">
        <v>8957</v>
      </c>
      <c r="H1003" t="s">
        <v>8959</v>
      </c>
      <c r="I1003" s="1" t="s">
        <v>8984</v>
      </c>
      <c r="J1003" s="1" t="s">
        <v>9131</v>
      </c>
      <c r="K1003" s="1" t="s">
        <v>9036</v>
      </c>
      <c r="L1003" s="1" t="s">
        <v>8951</v>
      </c>
      <c r="M1003" s="1">
        <v>50000</v>
      </c>
      <c r="N1003" s="1" t="s">
        <v>8953</v>
      </c>
      <c r="O1003" s="1" t="s">
        <v>8989</v>
      </c>
      <c r="P1003" s="1" t="s">
        <v>8955</v>
      </c>
      <c r="Q1003" s="1" t="s">
        <v>8956</v>
      </c>
      <c r="R1003" s="1" t="s">
        <v>8957</v>
      </c>
      <c r="S1003" s="1" t="s">
        <v>8958</v>
      </c>
      <c r="T1003" s="1" t="s">
        <v>2792</v>
      </c>
      <c r="U1003" s="1" t="s">
        <v>11</v>
      </c>
      <c r="V1003" s="1" t="s">
        <v>625</v>
      </c>
      <c r="W1003" s="1"/>
    </row>
    <row r="1004" spans="1:23" x14ac:dyDescent="0.2">
      <c r="A1004" s="88" t="s">
        <v>16368</v>
      </c>
      <c r="B1004" s="1" t="e">
        <v>#N/A</v>
      </c>
      <c r="C1004" s="1" t="s">
        <v>15354</v>
      </c>
      <c r="D1004" s="1" t="s">
        <v>2793</v>
      </c>
      <c r="E1004" s="1" t="s">
        <v>2794</v>
      </c>
      <c r="F1004" s="1" t="s">
        <v>9010</v>
      </c>
      <c r="G1004" s="1" t="s">
        <v>8957</v>
      </c>
      <c r="H1004" t="s">
        <v>8959</v>
      </c>
      <c r="I1004" s="1" t="s">
        <v>9075</v>
      </c>
      <c r="J1004" s="1" t="s">
        <v>8998</v>
      </c>
      <c r="K1004" s="1" t="s">
        <v>8972</v>
      </c>
      <c r="L1004" s="1" t="s">
        <v>8973</v>
      </c>
      <c r="M1004" s="1">
        <v>313</v>
      </c>
      <c r="N1004" s="1" t="s">
        <v>8953</v>
      </c>
      <c r="O1004" s="1" t="s">
        <v>8989</v>
      </c>
      <c r="P1004" s="1" t="s">
        <v>8955</v>
      </c>
      <c r="Q1004" s="1" t="s">
        <v>8956</v>
      </c>
      <c r="R1004" s="1" t="s">
        <v>8957</v>
      </c>
      <c r="S1004" s="1" t="s">
        <v>8958</v>
      </c>
      <c r="T1004" s="1" t="s">
        <v>2795</v>
      </c>
      <c r="U1004" s="1" t="s">
        <v>17</v>
      </c>
      <c r="V1004" s="1" t="s">
        <v>61</v>
      </c>
      <c r="W1004" s="1"/>
    </row>
    <row r="1005" spans="1:23" x14ac:dyDescent="0.2">
      <c r="A1005" s="88" t="s">
        <v>16369</v>
      </c>
      <c r="B1005" s="1" t="e">
        <v>#N/A</v>
      </c>
      <c r="C1005" s="1" t="e">
        <v>#N/A</v>
      </c>
      <c r="D1005" s="1" t="s">
        <v>2796</v>
      </c>
      <c r="E1005" s="1" t="s">
        <v>2797</v>
      </c>
      <c r="F1005" s="1" t="s">
        <v>9310</v>
      </c>
      <c r="G1005" s="1" t="s">
        <v>8957</v>
      </c>
      <c r="H1005" t="s">
        <v>9061</v>
      </c>
      <c r="I1005" s="1" t="s">
        <v>8984</v>
      </c>
      <c r="J1005" s="1" t="s">
        <v>8998</v>
      </c>
      <c r="K1005" s="1" t="s">
        <v>18497</v>
      </c>
      <c r="L1005" s="1" t="s">
        <v>8951</v>
      </c>
      <c r="M1005" s="1">
        <v>157</v>
      </c>
      <c r="N1005" s="1" t="s">
        <v>9059</v>
      </c>
      <c r="O1005" s="1" t="s">
        <v>8989</v>
      </c>
      <c r="P1005" s="1" t="e">
        <v>#N/A</v>
      </c>
      <c r="Q1005" s="1" t="e">
        <v>#N/A</v>
      </c>
      <c r="R1005" s="1">
        <f t="shared" ref="R1005:R1009" si="294">1+LEN(T1005)-LEN(SUBSTITUTE(T1005,",",))</f>
        <v>6</v>
      </c>
      <c r="S1005" s="1" t="str">
        <f t="shared" ref="S1005:S1009" si="295">IF(R1005&gt;4,IF(R1005&lt;8,"4-7",IF(R1005&gt;7,"&gt;7")),"&lt;4")</f>
        <v>4-7</v>
      </c>
      <c r="T1005" s="1" t="s">
        <v>19075</v>
      </c>
      <c r="U1005" s="1" t="s">
        <v>7</v>
      </c>
      <c r="V1005" s="1" t="s">
        <v>1017</v>
      </c>
      <c r="W1005" s="1"/>
    </row>
    <row r="1006" spans="1:23" x14ac:dyDescent="0.2">
      <c r="A1006" s="88" t="s">
        <v>16370</v>
      </c>
      <c r="B1006" s="1" t="e">
        <v>#N/A</v>
      </c>
      <c r="C1006" s="1" t="e">
        <v>#N/A</v>
      </c>
      <c r="D1006" s="1" t="s">
        <v>2798</v>
      </c>
      <c r="E1006" s="1" t="s">
        <v>2799</v>
      </c>
      <c r="F1006" s="1" t="s">
        <v>10850</v>
      </c>
      <c r="G1006" s="1" t="s">
        <v>8957</v>
      </c>
      <c r="H1006" t="s">
        <v>9061</v>
      </c>
      <c r="I1006" s="1" t="s">
        <v>9100</v>
      </c>
      <c r="J1006" s="1" t="s">
        <v>8949</v>
      </c>
      <c r="K1006" s="1" t="s">
        <v>20779</v>
      </c>
      <c r="L1006" s="1" t="e">
        <v>#N/A</v>
      </c>
      <c r="M1006" s="1">
        <v>11094</v>
      </c>
      <c r="N1006" s="1" t="s">
        <v>8953</v>
      </c>
      <c r="O1006" s="1" t="s">
        <v>8954</v>
      </c>
      <c r="P1006" s="1" t="e">
        <v>#N/A</v>
      </c>
      <c r="Q1006" s="1" t="e">
        <v>#N/A</v>
      </c>
      <c r="R1006" s="1">
        <f t="shared" si="294"/>
        <v>9</v>
      </c>
      <c r="S1006" s="1" t="str">
        <f t="shared" si="295"/>
        <v>&gt;7</v>
      </c>
      <c r="T1006" s="1" t="s">
        <v>19076</v>
      </c>
      <c r="U1006" s="1" t="s">
        <v>7</v>
      </c>
      <c r="V1006" s="1" t="s">
        <v>392</v>
      </c>
      <c r="W1006" s="1"/>
    </row>
    <row r="1007" spans="1:23" x14ac:dyDescent="0.2">
      <c r="A1007" s="88" t="s">
        <v>16371</v>
      </c>
      <c r="B1007" s="1" t="e">
        <v>#N/A</v>
      </c>
      <c r="C1007" s="1" t="e">
        <v>#N/A</v>
      </c>
      <c r="D1007" s="1" t="s">
        <v>2800</v>
      </c>
      <c r="E1007" s="1" t="s">
        <v>2801</v>
      </c>
      <c r="F1007" s="1" t="s">
        <v>18502</v>
      </c>
      <c r="G1007" s="1" t="s">
        <v>8959</v>
      </c>
      <c r="H1007" t="s">
        <v>8959</v>
      </c>
      <c r="I1007" s="1" t="s">
        <v>9252</v>
      </c>
      <c r="J1007" s="1" t="s">
        <v>18504</v>
      </c>
      <c r="K1007" s="1" t="s">
        <v>20837</v>
      </c>
      <c r="L1007" s="1" t="s">
        <v>9133</v>
      </c>
      <c r="M1007" s="1">
        <v>1247</v>
      </c>
      <c r="N1007" s="1" t="s">
        <v>9059</v>
      </c>
      <c r="O1007" s="1" t="s">
        <v>8989</v>
      </c>
      <c r="P1007" s="1" t="e">
        <v>#N/A</v>
      </c>
      <c r="Q1007" s="1" t="e">
        <v>#N/A</v>
      </c>
      <c r="R1007" s="1">
        <f t="shared" si="294"/>
        <v>14</v>
      </c>
      <c r="S1007" s="1" t="str">
        <f t="shared" si="295"/>
        <v>&gt;7</v>
      </c>
      <c r="T1007" s="1" t="s">
        <v>19077</v>
      </c>
      <c r="U1007" s="1" t="s">
        <v>17</v>
      </c>
      <c r="V1007" s="1" t="s">
        <v>1122</v>
      </c>
      <c r="W1007" s="1"/>
    </row>
    <row r="1008" spans="1:23" x14ac:dyDescent="0.2">
      <c r="A1008" s="88" t="s">
        <v>16372</v>
      </c>
      <c r="B1008" s="1" t="e">
        <v>#N/A</v>
      </c>
      <c r="C1008" s="1" t="e">
        <v>#N/A</v>
      </c>
      <c r="D1008" s="1" t="s">
        <v>2802</v>
      </c>
      <c r="E1008" s="1" t="s">
        <v>2803</v>
      </c>
      <c r="F1008" s="1" t="s">
        <v>18502</v>
      </c>
      <c r="G1008" s="1" t="s">
        <v>8959</v>
      </c>
      <c r="H1008" t="s">
        <v>9061</v>
      </c>
      <c r="I1008" s="1" t="s">
        <v>9154</v>
      </c>
      <c r="J1008" s="1" t="s">
        <v>8998</v>
      </c>
      <c r="K1008" s="1" t="s">
        <v>21439</v>
      </c>
      <c r="L1008" s="1" t="s">
        <v>8973</v>
      </c>
      <c r="M1008" s="1">
        <v>200</v>
      </c>
      <c r="N1008" s="1" t="s">
        <v>9059</v>
      </c>
      <c r="O1008" s="1" t="s">
        <v>8989</v>
      </c>
      <c r="P1008" s="1" t="e">
        <v>#N/A</v>
      </c>
      <c r="Q1008" s="1" t="e">
        <v>#N/A</v>
      </c>
      <c r="R1008" s="1">
        <f t="shared" si="294"/>
        <v>9</v>
      </c>
      <c r="S1008" s="1" t="str">
        <f t="shared" si="295"/>
        <v>&gt;7</v>
      </c>
      <c r="T1008" s="1" t="s">
        <v>19078</v>
      </c>
      <c r="U1008" s="1" t="s">
        <v>7</v>
      </c>
      <c r="V1008" s="1" t="s">
        <v>378</v>
      </c>
      <c r="W1008" s="1"/>
    </row>
    <row r="1009" spans="1:23" x14ac:dyDescent="0.2">
      <c r="A1009" s="88" t="s">
        <v>16373</v>
      </c>
      <c r="B1009" s="1" t="e">
        <v>#N/A</v>
      </c>
      <c r="C1009" s="1" t="e">
        <v>#N/A</v>
      </c>
      <c r="D1009" s="1" t="s">
        <v>2804</v>
      </c>
      <c r="E1009" s="1" t="s">
        <v>2805</v>
      </c>
      <c r="F1009" s="1" t="s">
        <v>9310</v>
      </c>
      <c r="G1009" s="1" t="s">
        <v>8957</v>
      </c>
      <c r="H1009" t="s">
        <v>9061</v>
      </c>
      <c r="I1009" s="1" t="s">
        <v>9154</v>
      </c>
      <c r="J1009" s="1" t="s">
        <v>8949</v>
      </c>
      <c r="K1009" s="1" t="s">
        <v>10492</v>
      </c>
      <c r="L1009" s="1" t="s">
        <v>8973</v>
      </c>
      <c r="M1009" s="1">
        <v>1720</v>
      </c>
      <c r="N1009" s="1" t="s">
        <v>8953</v>
      </c>
      <c r="O1009" s="1" t="s">
        <v>8989</v>
      </c>
      <c r="P1009" s="1" t="e">
        <v>#N/A</v>
      </c>
      <c r="Q1009" s="1" t="e">
        <v>#N/A</v>
      </c>
      <c r="R1009" s="1">
        <f t="shared" si="294"/>
        <v>9</v>
      </c>
      <c r="S1009" s="1" t="str">
        <f t="shared" si="295"/>
        <v>&gt;7</v>
      </c>
      <c r="T1009" s="1" t="s">
        <v>19079</v>
      </c>
      <c r="U1009" s="1" t="s">
        <v>7</v>
      </c>
      <c r="V1009" s="1" t="s">
        <v>234</v>
      </c>
      <c r="W1009" s="1"/>
    </row>
    <row r="1010" spans="1:23" x14ac:dyDescent="0.2">
      <c r="A1010" s="88" t="s">
        <v>16374</v>
      </c>
      <c r="B1010" s="1" t="e">
        <v>#N/A</v>
      </c>
      <c r="C1010" s="1" t="s">
        <v>12601</v>
      </c>
      <c r="D1010" s="1" t="s">
        <v>2806</v>
      </c>
      <c r="E1010" s="1" t="s">
        <v>2807</v>
      </c>
      <c r="F1010" s="1" t="s">
        <v>9310</v>
      </c>
      <c r="G1010" s="1" t="s">
        <v>8974</v>
      </c>
      <c r="H1010" t="s">
        <v>8959</v>
      </c>
      <c r="I1010" s="1" t="s">
        <v>9154</v>
      </c>
      <c r="J1010" s="1" t="s">
        <v>11607</v>
      </c>
      <c r="K1010" s="1" t="s">
        <v>12604</v>
      </c>
      <c r="L1010" s="1" t="s">
        <v>8951</v>
      </c>
      <c r="M1010" s="1">
        <v>109449</v>
      </c>
      <c r="N1010" s="1" t="s">
        <v>8953</v>
      </c>
      <c r="O1010" s="1" t="s">
        <v>8989</v>
      </c>
      <c r="P1010" s="1" t="s">
        <v>8955</v>
      </c>
      <c r="Q1010" s="1" t="s">
        <v>8956</v>
      </c>
      <c r="R1010" s="1" t="s">
        <v>8974</v>
      </c>
      <c r="S1010" s="1" t="s">
        <v>8958</v>
      </c>
      <c r="T1010" s="1" t="s">
        <v>2808</v>
      </c>
      <c r="U1010" s="1" t="s">
        <v>11</v>
      </c>
      <c r="V1010" s="1" t="s">
        <v>210</v>
      </c>
      <c r="W1010" s="1"/>
    </row>
    <row r="1011" spans="1:23" x14ac:dyDescent="0.2">
      <c r="A1011" s="89" t="s">
        <v>2809</v>
      </c>
      <c r="B1011" s="1" t="e">
        <v>#N/A</v>
      </c>
      <c r="C1011" s="1" t="e">
        <v>#N/A</v>
      </c>
      <c r="D1011" s="1" t="s">
        <v>2810</v>
      </c>
      <c r="E1011" s="1" t="s">
        <v>2811</v>
      </c>
      <c r="F1011" s="1" t="e">
        <v>#N/A</v>
      </c>
      <c r="G1011" s="1" t="e">
        <v>#N/A</v>
      </c>
      <c r="H1011" t="e">
        <v>#N/A</v>
      </c>
      <c r="I1011" s="1" t="e">
        <v>#N/A</v>
      </c>
      <c r="J1011" s="1" t="e">
        <v>#N/A</v>
      </c>
      <c r="K1011" s="1" t="e">
        <v>#N/A</v>
      </c>
      <c r="L1011" s="1" t="e">
        <v>#N/A</v>
      </c>
      <c r="M1011" s="1" t="e">
        <v>#N/A</v>
      </c>
      <c r="N1011" s="1" t="e">
        <v>#N/A</v>
      </c>
      <c r="O1011" s="1" t="e">
        <v>#N/A</v>
      </c>
      <c r="P1011" s="1" t="e">
        <v>#N/A</v>
      </c>
      <c r="Q1011" s="1" t="e">
        <v>#N/A</v>
      </c>
      <c r="R1011" s="1">
        <f t="shared" ref="R1011:R1012" si="296">1+LEN(T1011)-LEN(SUBSTITUTE(T1011,",",))</f>
        <v>10</v>
      </c>
      <c r="S1011" s="1" t="str">
        <f t="shared" ref="S1011:S1012" si="297">IF(R1011&gt;4,IF(R1011&lt;8,"4-7",IF(R1011&gt;7,"&gt;7")),"&lt;4")</f>
        <v>&gt;7</v>
      </c>
      <c r="T1011" s="1" t="s">
        <v>19080</v>
      </c>
      <c r="U1011" s="1" t="s">
        <v>17</v>
      </c>
      <c r="V1011" s="1" t="s">
        <v>2812</v>
      </c>
      <c r="W1011" s="1"/>
    </row>
    <row r="1012" spans="1:23" x14ac:dyDescent="0.2">
      <c r="A1012" s="88" t="s">
        <v>16375</v>
      </c>
      <c r="B1012" s="1" t="e">
        <v>#N/A</v>
      </c>
      <c r="C1012" s="1" t="e">
        <v>#N/A</v>
      </c>
      <c r="D1012" s="1" t="s">
        <v>2813</v>
      </c>
      <c r="E1012" s="1" t="s">
        <v>2814</v>
      </c>
      <c r="F1012" s="1" t="s">
        <v>18502</v>
      </c>
      <c r="G1012" s="1" t="s">
        <v>8957</v>
      </c>
      <c r="H1012" t="s">
        <v>9009</v>
      </c>
      <c r="I1012" s="1" t="s">
        <v>9252</v>
      </c>
      <c r="J1012" s="1" t="s">
        <v>18504</v>
      </c>
      <c r="K1012" s="1" t="s">
        <v>20838</v>
      </c>
      <c r="L1012" s="1" t="s">
        <v>8951</v>
      </c>
      <c r="M1012" s="1">
        <v>948</v>
      </c>
      <c r="N1012" s="1" t="s">
        <v>8953</v>
      </c>
      <c r="O1012" s="1" t="s">
        <v>8954</v>
      </c>
      <c r="P1012" s="1" t="e">
        <v>#N/A</v>
      </c>
      <c r="Q1012" s="1" t="e">
        <v>#N/A</v>
      </c>
      <c r="R1012" s="1">
        <f t="shared" si="296"/>
        <v>1</v>
      </c>
      <c r="S1012" s="1" t="str">
        <f t="shared" si="297"/>
        <v>&lt;4</v>
      </c>
      <c r="T1012" s="1" t="s">
        <v>2815</v>
      </c>
      <c r="U1012" s="1" t="s">
        <v>7</v>
      </c>
      <c r="V1012" s="1" t="s">
        <v>286</v>
      </c>
      <c r="W1012" s="1"/>
    </row>
    <row r="1013" spans="1:23" x14ac:dyDescent="0.2">
      <c r="A1013" s="88" t="s">
        <v>16376</v>
      </c>
      <c r="B1013" s="1" t="e">
        <v>#N/A</v>
      </c>
      <c r="C1013" s="1" t="s">
        <v>9418</v>
      </c>
      <c r="D1013" s="1" t="s">
        <v>2816</v>
      </c>
      <c r="E1013" s="1" t="s">
        <v>2817</v>
      </c>
      <c r="F1013" s="1" t="s">
        <v>9010</v>
      </c>
      <c r="G1013" s="1" t="s">
        <v>8974</v>
      </c>
      <c r="H1013" t="s">
        <v>8959</v>
      </c>
      <c r="I1013" s="1" t="s">
        <v>9421</v>
      </c>
      <c r="J1013" s="1" t="s">
        <v>9422</v>
      </c>
      <c r="K1013" s="1" t="s">
        <v>9036</v>
      </c>
      <c r="L1013" s="1" t="s">
        <v>9076</v>
      </c>
      <c r="M1013" s="1">
        <v>500000000</v>
      </c>
      <c r="N1013" s="1" t="s">
        <v>8953</v>
      </c>
      <c r="O1013" s="1" t="s">
        <v>8989</v>
      </c>
      <c r="P1013" s="1" t="s">
        <v>8955</v>
      </c>
      <c r="Q1013" s="1" t="s">
        <v>8956</v>
      </c>
      <c r="R1013" s="1" t="s">
        <v>8974</v>
      </c>
      <c r="S1013" s="1" t="s">
        <v>8975</v>
      </c>
      <c r="T1013" s="1" t="s">
        <v>2818</v>
      </c>
      <c r="U1013" s="1" t="s">
        <v>17</v>
      </c>
      <c r="V1013" s="1" t="s">
        <v>2819</v>
      </c>
      <c r="W1013" s="1"/>
    </row>
    <row r="1014" spans="1:23" x14ac:dyDescent="0.2">
      <c r="A1014" s="88" t="s">
        <v>16377</v>
      </c>
      <c r="B1014" s="1" t="e">
        <v>#N/A</v>
      </c>
      <c r="C1014" s="1" t="e">
        <v>#N/A</v>
      </c>
      <c r="D1014" s="1" t="s">
        <v>2820</v>
      </c>
      <c r="E1014" s="1" t="s">
        <v>2821</v>
      </c>
      <c r="F1014" s="1" t="s">
        <v>18502</v>
      </c>
      <c r="G1014" s="1" t="s">
        <v>8957</v>
      </c>
      <c r="H1014" t="s">
        <v>8959</v>
      </c>
      <c r="I1014" s="1" t="s">
        <v>9035</v>
      </c>
      <c r="J1014" s="1" t="s">
        <v>9308</v>
      </c>
      <c r="K1014" s="1" t="s">
        <v>10525</v>
      </c>
      <c r="L1014" s="1" t="s">
        <v>8951</v>
      </c>
      <c r="M1014" s="1">
        <v>8474</v>
      </c>
      <c r="N1014" s="1" t="s">
        <v>8953</v>
      </c>
      <c r="O1014" s="1" t="s">
        <v>8954</v>
      </c>
      <c r="P1014" s="1" t="e">
        <v>#N/A</v>
      </c>
      <c r="Q1014" s="1" t="e">
        <v>#N/A</v>
      </c>
      <c r="R1014" s="1">
        <f>1+LEN(T1014)-LEN(SUBSTITUTE(T1014,",",))</f>
        <v>6</v>
      </c>
      <c r="S1014" s="1" t="str">
        <f>IF(R1014&gt;4,IF(R1014&lt;8,"4-7",IF(R1014&gt;7,"&gt;7")),"&lt;4")</f>
        <v>4-7</v>
      </c>
      <c r="T1014" s="1" t="s">
        <v>20603</v>
      </c>
      <c r="U1014" s="1" t="s">
        <v>7</v>
      </c>
      <c r="V1014" s="1" t="s">
        <v>200</v>
      </c>
      <c r="W1014" s="1"/>
    </row>
    <row r="1015" spans="1:23" x14ac:dyDescent="0.2">
      <c r="A1015" s="88" t="s">
        <v>16378</v>
      </c>
      <c r="B1015" s="1" t="e">
        <v>#N/A</v>
      </c>
      <c r="C1015" s="1" t="s">
        <v>11631</v>
      </c>
      <c r="D1015" s="1" t="s">
        <v>2822</v>
      </c>
      <c r="E1015" s="1" t="s">
        <v>2823</v>
      </c>
      <c r="F1015" s="1" t="s">
        <v>9317</v>
      </c>
      <c r="G1015" s="1" t="s">
        <v>8957</v>
      </c>
      <c r="H1015" t="s">
        <v>9183</v>
      </c>
      <c r="I1015" s="1" t="s">
        <v>9035</v>
      </c>
      <c r="J1015" s="1" t="s">
        <v>8998</v>
      </c>
      <c r="K1015" s="1" t="s">
        <v>9036</v>
      </c>
      <c r="L1015" s="1" t="s">
        <v>8951</v>
      </c>
      <c r="M1015" s="1">
        <v>3500</v>
      </c>
      <c r="N1015" s="1" t="s">
        <v>8953</v>
      </c>
      <c r="O1015" s="1" t="s">
        <v>8954</v>
      </c>
      <c r="P1015" s="1" t="s">
        <v>8955</v>
      </c>
      <c r="Q1015" s="1" t="s">
        <v>8956</v>
      </c>
      <c r="R1015" s="1" t="s">
        <v>8957</v>
      </c>
      <c r="S1015" s="1" t="s">
        <v>8958</v>
      </c>
      <c r="T1015" s="1" t="s">
        <v>2824</v>
      </c>
      <c r="U1015" s="1" t="s">
        <v>11</v>
      </c>
      <c r="V1015" s="1" t="s">
        <v>110</v>
      </c>
      <c r="W1015" s="1"/>
    </row>
    <row r="1016" spans="1:23" x14ac:dyDescent="0.2">
      <c r="A1016" s="88" t="s">
        <v>16379</v>
      </c>
      <c r="B1016" s="1" t="e">
        <v>#N/A</v>
      </c>
      <c r="C1016" s="1" t="e">
        <v>#N/A</v>
      </c>
      <c r="D1016" s="1" t="s">
        <v>2825</v>
      </c>
      <c r="E1016" s="1" t="s">
        <v>2826</v>
      </c>
      <c r="F1016" s="1" t="s">
        <v>9317</v>
      </c>
      <c r="G1016" s="1" t="s">
        <v>8974</v>
      </c>
      <c r="H1016" t="s">
        <v>8959</v>
      </c>
      <c r="I1016" s="1" t="s">
        <v>8984</v>
      </c>
      <c r="J1016" s="1" t="s">
        <v>8985</v>
      </c>
      <c r="K1016" s="1" t="s">
        <v>18489</v>
      </c>
      <c r="L1016" s="1" t="s">
        <v>8987</v>
      </c>
      <c r="M1016" s="1">
        <f>13590+1555+8567+914+6377+737+4251+465</f>
        <v>36456</v>
      </c>
      <c r="N1016" s="1" t="s">
        <v>8953</v>
      </c>
      <c r="O1016" s="1" t="s">
        <v>8989</v>
      </c>
      <c r="P1016" s="1" t="e">
        <v>#N/A</v>
      </c>
      <c r="Q1016" s="1" t="e">
        <v>#N/A</v>
      </c>
      <c r="R1016" s="1">
        <f>1+LEN(T1016)-LEN(SUBSTITUTE(T1016,",",))</f>
        <v>3</v>
      </c>
      <c r="S1016" s="1" t="str">
        <f>IF(R1016&gt;4,IF(R1016&lt;8,"4-7",IF(R1016&gt;7,"&gt;7")),"&lt;4")</f>
        <v>&lt;4</v>
      </c>
      <c r="T1016" s="1" t="s">
        <v>19081</v>
      </c>
      <c r="U1016" s="1" t="s">
        <v>17</v>
      </c>
      <c r="V1016" s="1" t="s">
        <v>24</v>
      </c>
      <c r="W1016" s="1"/>
    </row>
    <row r="1017" spans="1:23" x14ac:dyDescent="0.2">
      <c r="A1017" s="88" t="s">
        <v>16380</v>
      </c>
      <c r="B1017" s="1" t="e">
        <v>#N/A</v>
      </c>
      <c r="C1017" s="1" t="s">
        <v>12344</v>
      </c>
      <c r="D1017" s="1" t="s">
        <v>2827</v>
      </c>
      <c r="E1017" s="1" t="s">
        <v>2828</v>
      </c>
      <c r="F1017" s="1" t="s">
        <v>9317</v>
      </c>
      <c r="G1017" s="1" t="s">
        <v>8957</v>
      </c>
      <c r="H1017" t="s">
        <v>8959</v>
      </c>
      <c r="I1017" s="1" t="s">
        <v>9100</v>
      </c>
      <c r="J1017" s="1" t="s">
        <v>8998</v>
      </c>
      <c r="K1017" s="1" t="s">
        <v>12347</v>
      </c>
      <c r="L1017" s="1" t="s">
        <v>8973</v>
      </c>
      <c r="M1017" s="1">
        <v>80</v>
      </c>
      <c r="N1017" s="1" t="s">
        <v>8953</v>
      </c>
      <c r="O1017" s="1" t="s">
        <v>8989</v>
      </c>
      <c r="P1017" s="1" t="s">
        <v>8955</v>
      </c>
      <c r="Q1017" s="1" t="s">
        <v>8956</v>
      </c>
      <c r="R1017" s="1" t="s">
        <v>8957</v>
      </c>
      <c r="S1017" s="1" t="s">
        <v>9103</v>
      </c>
      <c r="T1017" s="1" t="s">
        <v>2829</v>
      </c>
      <c r="U1017" s="1" t="s">
        <v>11</v>
      </c>
      <c r="V1017" s="1" t="s">
        <v>64</v>
      </c>
      <c r="W1017" s="1"/>
    </row>
    <row r="1018" spans="1:23" x14ac:dyDescent="0.2">
      <c r="A1018" s="88" t="s">
        <v>16381</v>
      </c>
      <c r="B1018" s="1" t="e">
        <v>#N/A</v>
      </c>
      <c r="C1018" s="1" t="s">
        <v>10277</v>
      </c>
      <c r="D1018" s="1" t="s">
        <v>2830</v>
      </c>
      <c r="E1018" s="1" t="s">
        <v>2831</v>
      </c>
      <c r="F1018" s="1" t="s">
        <v>9317</v>
      </c>
      <c r="G1018" s="1" t="s">
        <v>8974</v>
      </c>
      <c r="H1018" t="s">
        <v>8959</v>
      </c>
      <c r="I1018" s="1" t="s">
        <v>9605</v>
      </c>
      <c r="J1018" s="1" t="s">
        <v>8998</v>
      </c>
      <c r="K1018" s="1" t="s">
        <v>8972</v>
      </c>
      <c r="L1018" s="1" t="s">
        <v>8973</v>
      </c>
      <c r="M1018" s="1">
        <v>53</v>
      </c>
      <c r="N1018" s="1" t="s">
        <v>8953</v>
      </c>
      <c r="O1018" s="1" t="s">
        <v>8954</v>
      </c>
      <c r="P1018" s="1" t="s">
        <v>8955</v>
      </c>
      <c r="Q1018" s="1" t="s">
        <v>8956</v>
      </c>
      <c r="R1018" s="1" t="s">
        <v>8974</v>
      </c>
      <c r="S1018" s="1" t="s">
        <v>9103</v>
      </c>
      <c r="T1018" s="1" t="s">
        <v>2832</v>
      </c>
      <c r="U1018" s="1" t="s">
        <v>17</v>
      </c>
      <c r="V1018" s="1" t="s">
        <v>126</v>
      </c>
      <c r="W1018" s="1"/>
    </row>
    <row r="1019" spans="1:23" x14ac:dyDescent="0.2">
      <c r="A1019" s="88" t="s">
        <v>16382</v>
      </c>
      <c r="B1019" s="1" t="e">
        <v>#N/A</v>
      </c>
      <c r="C1019" s="1" t="s">
        <v>13480</v>
      </c>
      <c r="D1019" s="1" t="s">
        <v>2833</v>
      </c>
      <c r="E1019" s="1" t="s">
        <v>2834</v>
      </c>
      <c r="F1019" s="1" t="s">
        <v>12547</v>
      </c>
      <c r="G1019" s="1" t="s">
        <v>8957</v>
      </c>
      <c r="H1019" t="s">
        <v>8959</v>
      </c>
      <c r="I1019" s="1" t="s">
        <v>8948</v>
      </c>
      <c r="J1019" s="1" t="s">
        <v>8949</v>
      </c>
      <c r="K1019" s="1" t="s">
        <v>12818</v>
      </c>
      <c r="L1019" s="1" t="s">
        <v>9292</v>
      </c>
      <c r="M1019" s="1">
        <v>68</v>
      </c>
      <c r="N1019" s="1" t="s">
        <v>8953</v>
      </c>
      <c r="O1019" s="1" t="s">
        <v>8989</v>
      </c>
      <c r="P1019" s="1" t="s">
        <v>8955</v>
      </c>
      <c r="Q1019" s="1" t="s">
        <v>8956</v>
      </c>
      <c r="R1019" s="1" t="s">
        <v>8957</v>
      </c>
      <c r="S1019" s="1" t="s">
        <v>8958</v>
      </c>
      <c r="T1019" s="1" t="s">
        <v>2835</v>
      </c>
      <c r="U1019" s="1" t="s">
        <v>11</v>
      </c>
      <c r="V1019" s="1" t="s">
        <v>57</v>
      </c>
      <c r="W1019" s="1"/>
    </row>
    <row r="1020" spans="1:23" x14ac:dyDescent="0.2">
      <c r="A1020" s="88" t="s">
        <v>16383</v>
      </c>
      <c r="B1020" s="1" t="e">
        <v>#N/A</v>
      </c>
      <c r="C1020" s="1" t="e">
        <v>#N/A</v>
      </c>
      <c r="D1020" s="1" t="s">
        <v>2836</v>
      </c>
      <c r="E1020" s="1" t="s">
        <v>2837</v>
      </c>
      <c r="F1020" s="1" t="s">
        <v>9317</v>
      </c>
      <c r="G1020" s="1" t="s">
        <v>8959</v>
      </c>
      <c r="H1020" t="s">
        <v>8959</v>
      </c>
      <c r="I1020" s="1" t="s">
        <v>9173</v>
      </c>
      <c r="J1020" s="1" t="s">
        <v>20800</v>
      </c>
      <c r="K1020" s="1" t="s">
        <v>18497</v>
      </c>
      <c r="L1020" s="1" t="s">
        <v>8987</v>
      </c>
      <c r="M1020" s="1">
        <v>695</v>
      </c>
      <c r="N1020" s="1" t="s">
        <v>8953</v>
      </c>
      <c r="O1020" s="1" t="s">
        <v>8989</v>
      </c>
      <c r="P1020" s="1" t="e">
        <v>#N/A</v>
      </c>
      <c r="Q1020" s="1" t="e">
        <v>#N/A</v>
      </c>
      <c r="R1020" s="1">
        <f t="shared" ref="R1020:R1023" si="298">1+LEN(T1020)-LEN(SUBSTITUTE(T1020,",",))</f>
        <v>13</v>
      </c>
      <c r="S1020" s="1" t="str">
        <f t="shared" ref="S1020:S1023" si="299">IF(R1020&gt;4,IF(R1020&lt;8,"4-7",IF(R1020&gt;7,"&gt;7")),"&lt;4")</f>
        <v>&gt;7</v>
      </c>
      <c r="T1020" s="1" t="s">
        <v>20604</v>
      </c>
      <c r="U1020" s="1" t="s">
        <v>17</v>
      </c>
      <c r="V1020" s="1" t="s">
        <v>910</v>
      </c>
      <c r="W1020" s="1"/>
    </row>
    <row r="1021" spans="1:23" x14ac:dyDescent="0.2">
      <c r="A1021" s="88" t="s">
        <v>16384</v>
      </c>
      <c r="B1021" s="1" t="e">
        <v>#N/A</v>
      </c>
      <c r="C1021" s="1" t="e">
        <v>#N/A</v>
      </c>
      <c r="D1021" s="1" t="s">
        <v>2838</v>
      </c>
      <c r="E1021" s="1" t="s">
        <v>2839</v>
      </c>
      <c r="F1021" s="1" t="s">
        <v>9317</v>
      </c>
      <c r="G1021" s="1" t="s">
        <v>8957</v>
      </c>
      <c r="H1021" t="s">
        <v>8959</v>
      </c>
      <c r="I1021" s="1" t="s">
        <v>9173</v>
      </c>
      <c r="J1021" s="1" t="s">
        <v>9174</v>
      </c>
      <c r="K1021" s="1" t="s">
        <v>18497</v>
      </c>
      <c r="L1021" s="1" t="s">
        <v>8987</v>
      </c>
      <c r="M1021" s="1">
        <v>11444</v>
      </c>
      <c r="N1021" s="1" t="s">
        <v>8953</v>
      </c>
      <c r="O1021" s="1" t="s">
        <v>8954</v>
      </c>
      <c r="P1021" s="1" t="e">
        <v>#N/A</v>
      </c>
      <c r="Q1021" s="1" t="e">
        <v>#N/A</v>
      </c>
      <c r="R1021" s="1">
        <f t="shared" si="298"/>
        <v>16</v>
      </c>
      <c r="S1021" s="1" t="str">
        <f t="shared" si="299"/>
        <v>&gt;7</v>
      </c>
      <c r="T1021" s="1" t="s">
        <v>20605</v>
      </c>
      <c r="U1021" s="1" t="s">
        <v>17</v>
      </c>
      <c r="V1021" s="1" t="s">
        <v>910</v>
      </c>
      <c r="W1021" s="1"/>
    </row>
    <row r="1022" spans="1:23" x14ac:dyDescent="0.2">
      <c r="A1022" s="88" t="s">
        <v>16385</v>
      </c>
      <c r="B1022" s="1" t="e">
        <v>#N/A</v>
      </c>
      <c r="C1022" s="1" t="e">
        <v>#N/A</v>
      </c>
      <c r="D1022" s="1" t="s">
        <v>2840</v>
      </c>
      <c r="E1022" s="1" t="s">
        <v>2841</v>
      </c>
      <c r="F1022" s="1" t="s">
        <v>9317</v>
      </c>
      <c r="G1022" s="1" t="s">
        <v>8959</v>
      </c>
      <c r="H1022" t="s">
        <v>8959</v>
      </c>
      <c r="I1022" s="1" t="s">
        <v>9173</v>
      </c>
      <c r="J1022" s="1" t="s">
        <v>20800</v>
      </c>
      <c r="K1022" s="1" t="s">
        <v>18497</v>
      </c>
      <c r="L1022" s="1" t="s">
        <v>8987</v>
      </c>
      <c r="M1022" s="1">
        <v>695</v>
      </c>
      <c r="N1022" s="1" t="s">
        <v>8953</v>
      </c>
      <c r="O1022" s="1" t="s">
        <v>8989</v>
      </c>
      <c r="P1022" s="1" t="e">
        <v>#N/A</v>
      </c>
      <c r="Q1022" s="1" t="e">
        <v>#N/A</v>
      </c>
      <c r="R1022" s="1">
        <f t="shared" si="298"/>
        <v>15</v>
      </c>
      <c r="S1022" s="1" t="str">
        <f t="shared" si="299"/>
        <v>&gt;7</v>
      </c>
      <c r="T1022" s="1" t="s">
        <v>19082</v>
      </c>
      <c r="U1022" s="1" t="s">
        <v>17</v>
      </c>
      <c r="V1022" s="1" t="s">
        <v>910</v>
      </c>
      <c r="W1022" s="1"/>
    </row>
    <row r="1023" spans="1:23" x14ac:dyDescent="0.2">
      <c r="A1023" s="88" t="s">
        <v>16386</v>
      </c>
      <c r="B1023" s="1" t="e">
        <v>#N/A</v>
      </c>
      <c r="C1023" s="1" t="e">
        <v>#N/A</v>
      </c>
      <c r="D1023" s="1" t="s">
        <v>2842</v>
      </c>
      <c r="E1023" s="1" t="s">
        <v>2843</v>
      </c>
      <c r="F1023" s="1" t="e">
        <v>#N/A</v>
      </c>
      <c r="G1023" s="1" t="e">
        <v>#N/A</v>
      </c>
      <c r="H1023" t="e">
        <v>#N/A</v>
      </c>
      <c r="I1023" s="1" t="e">
        <v>#N/A</v>
      </c>
      <c r="J1023" s="1" t="e">
        <v>#N/A</v>
      </c>
      <c r="K1023" s="1" t="e">
        <v>#N/A</v>
      </c>
      <c r="L1023" s="1" t="e">
        <v>#N/A</v>
      </c>
      <c r="M1023" s="1" t="e">
        <v>#N/A</v>
      </c>
      <c r="N1023" s="1" t="e">
        <v>#N/A</v>
      </c>
      <c r="O1023" s="1" t="e">
        <v>#N/A</v>
      </c>
      <c r="P1023" s="1" t="e">
        <v>#N/A</v>
      </c>
      <c r="Q1023" s="1" t="e">
        <v>#N/A</v>
      </c>
      <c r="R1023" s="1">
        <f t="shared" si="298"/>
        <v>41</v>
      </c>
      <c r="S1023" s="1" t="str">
        <f t="shared" si="299"/>
        <v>&gt;7</v>
      </c>
      <c r="T1023" s="1" t="s">
        <v>19083</v>
      </c>
      <c r="U1023" s="1" t="s">
        <v>252</v>
      </c>
      <c r="V1023" s="1" t="s">
        <v>126</v>
      </c>
      <c r="W1023" s="1"/>
    </row>
    <row r="1024" spans="1:23" x14ac:dyDescent="0.2">
      <c r="A1024" s="88" t="s">
        <v>16387</v>
      </c>
      <c r="B1024" s="1" t="e">
        <v>#N/A</v>
      </c>
      <c r="C1024" s="1" t="s">
        <v>9862</v>
      </c>
      <c r="D1024" s="1" t="s">
        <v>2844</v>
      </c>
      <c r="E1024" s="1" t="s">
        <v>2845</v>
      </c>
      <c r="F1024" s="1" t="s">
        <v>9815</v>
      </c>
      <c r="G1024" s="1" t="s">
        <v>8959</v>
      </c>
      <c r="H1024" t="s">
        <v>8959</v>
      </c>
      <c r="I1024" s="1" t="s">
        <v>9092</v>
      </c>
      <c r="J1024" s="1" t="s">
        <v>8971</v>
      </c>
      <c r="K1024" s="1" t="s">
        <v>9036</v>
      </c>
      <c r="L1024" s="1" t="s">
        <v>8951</v>
      </c>
      <c r="M1024" s="1">
        <v>276</v>
      </c>
      <c r="N1024" s="1" t="s">
        <v>8953</v>
      </c>
      <c r="O1024" s="1" t="s">
        <v>8989</v>
      </c>
      <c r="P1024" s="1" t="s">
        <v>8955</v>
      </c>
      <c r="Q1024" s="1" t="s">
        <v>8956</v>
      </c>
      <c r="R1024" s="1" t="s">
        <v>8959</v>
      </c>
      <c r="S1024" s="1" t="s">
        <v>9103</v>
      </c>
      <c r="T1024" s="1" t="s">
        <v>2846</v>
      </c>
      <c r="U1024" s="1" t="s">
        <v>17</v>
      </c>
      <c r="V1024" s="1" t="s">
        <v>1241</v>
      </c>
      <c r="W1024" s="1"/>
    </row>
    <row r="1025" spans="1:23" x14ac:dyDescent="0.2">
      <c r="A1025" s="88" t="s">
        <v>16388</v>
      </c>
      <c r="B1025" s="1" t="e">
        <v>#N/A</v>
      </c>
      <c r="C1025" s="1" t="e">
        <v>#N/A</v>
      </c>
      <c r="D1025" s="1" t="s">
        <v>2847</v>
      </c>
      <c r="E1025" s="1" t="s">
        <v>2848</v>
      </c>
      <c r="F1025" s="1" t="s">
        <v>9642</v>
      </c>
      <c r="G1025" s="1" t="s">
        <v>8959</v>
      </c>
      <c r="H1025" t="s">
        <v>8959</v>
      </c>
      <c r="I1025" s="1" t="s">
        <v>20714</v>
      </c>
      <c r="J1025" s="1" t="s">
        <v>9050</v>
      </c>
      <c r="K1025" s="1" t="s">
        <v>10492</v>
      </c>
      <c r="L1025" s="1" t="s">
        <v>8973</v>
      </c>
      <c r="M1025" s="1">
        <v>95</v>
      </c>
      <c r="N1025" s="1" t="s">
        <v>8953</v>
      </c>
      <c r="O1025" s="1" t="s">
        <v>8954</v>
      </c>
      <c r="P1025" s="1" t="e">
        <v>#N/A</v>
      </c>
      <c r="Q1025" s="1" t="e">
        <v>#N/A</v>
      </c>
      <c r="R1025" s="1">
        <f t="shared" ref="R1025:R1027" si="300">1+LEN(T1025)-LEN(SUBSTITUTE(T1025,",",))</f>
        <v>6</v>
      </c>
      <c r="S1025" s="1" t="str">
        <f t="shared" ref="S1025:S1027" si="301">IF(R1025&gt;4,IF(R1025&lt;8,"4-7",IF(R1025&gt;7,"&gt;7")),"&lt;4")</f>
        <v>4-7</v>
      </c>
      <c r="T1025" s="1" t="s">
        <v>19084</v>
      </c>
      <c r="U1025" s="1" t="s">
        <v>17</v>
      </c>
      <c r="V1025" s="1" t="s">
        <v>43</v>
      </c>
      <c r="W1025" s="1"/>
    </row>
    <row r="1026" spans="1:23" x14ac:dyDescent="0.2">
      <c r="A1026" s="88" t="s">
        <v>16389</v>
      </c>
      <c r="B1026" s="1" t="e">
        <v>#N/A</v>
      </c>
      <c r="C1026" s="1" t="e">
        <v>#N/A</v>
      </c>
      <c r="D1026" s="1" t="s">
        <v>2849</v>
      </c>
      <c r="E1026" s="1" t="s">
        <v>2850</v>
      </c>
      <c r="F1026" s="1" t="s">
        <v>18502</v>
      </c>
      <c r="G1026" s="1" t="s">
        <v>8957</v>
      </c>
      <c r="H1026" t="s">
        <v>9061</v>
      </c>
      <c r="I1026" s="1" t="s">
        <v>9092</v>
      </c>
      <c r="J1026" s="1" t="s">
        <v>8998</v>
      </c>
      <c r="K1026" s="1" t="s">
        <v>10492</v>
      </c>
      <c r="L1026" s="1" t="s">
        <v>8973</v>
      </c>
      <c r="M1026" s="1">
        <v>3000</v>
      </c>
      <c r="N1026" s="1" t="s">
        <v>8953</v>
      </c>
      <c r="O1026" s="1" t="s">
        <v>8989</v>
      </c>
      <c r="P1026" s="1" t="e">
        <v>#N/A</v>
      </c>
      <c r="Q1026" s="1" t="e">
        <v>#N/A</v>
      </c>
      <c r="R1026" s="1">
        <f t="shared" si="300"/>
        <v>5</v>
      </c>
      <c r="S1026" s="1" t="str">
        <f t="shared" si="301"/>
        <v>4-7</v>
      </c>
      <c r="T1026" s="1" t="s">
        <v>19085</v>
      </c>
      <c r="U1026" s="1" t="s">
        <v>7</v>
      </c>
      <c r="V1026" s="1" t="s">
        <v>1238</v>
      </c>
      <c r="W1026" s="1"/>
    </row>
    <row r="1027" spans="1:23" x14ac:dyDescent="0.2">
      <c r="A1027" s="89" t="s">
        <v>2851</v>
      </c>
      <c r="B1027" s="1" t="e">
        <v>#N/A</v>
      </c>
      <c r="C1027" s="1" t="e">
        <v>#N/A</v>
      </c>
      <c r="D1027" s="1" t="s">
        <v>2852</v>
      </c>
      <c r="E1027" s="1" t="s">
        <v>2853</v>
      </c>
      <c r="F1027" s="1" t="e">
        <v>#N/A</v>
      </c>
      <c r="G1027" s="1" t="e">
        <v>#N/A</v>
      </c>
      <c r="H1027" t="e">
        <v>#N/A</v>
      </c>
      <c r="I1027" s="1" t="e">
        <v>#N/A</v>
      </c>
      <c r="J1027" s="1" t="e">
        <v>#N/A</v>
      </c>
      <c r="K1027" s="1" t="e">
        <v>#N/A</v>
      </c>
      <c r="L1027" s="1" t="e">
        <v>#N/A</v>
      </c>
      <c r="M1027" s="1" t="e">
        <v>#N/A</v>
      </c>
      <c r="N1027" s="1" t="e">
        <v>#N/A</v>
      </c>
      <c r="O1027" s="1" t="e">
        <v>#N/A</v>
      </c>
      <c r="P1027" s="1" t="e">
        <v>#N/A</v>
      </c>
      <c r="Q1027" s="1" t="e">
        <v>#N/A</v>
      </c>
      <c r="R1027" s="1">
        <f t="shared" si="300"/>
        <v>6</v>
      </c>
      <c r="S1027" s="1" t="str">
        <f t="shared" si="301"/>
        <v>4-7</v>
      </c>
      <c r="T1027" s="1" t="s">
        <v>19086</v>
      </c>
      <c r="U1027" s="1" t="s">
        <v>4</v>
      </c>
      <c r="V1027" s="1" t="s">
        <v>876</v>
      </c>
      <c r="W1027" s="1"/>
    </row>
    <row r="1028" spans="1:23" x14ac:dyDescent="0.2">
      <c r="A1028" s="88" t="s">
        <v>16390</v>
      </c>
      <c r="B1028" s="1" t="e">
        <v>#N/A</v>
      </c>
      <c r="C1028" s="1" t="s">
        <v>14466</v>
      </c>
      <c r="D1028" s="1" t="s">
        <v>2854</v>
      </c>
      <c r="E1028" s="1" t="s">
        <v>2855</v>
      </c>
      <c r="F1028" s="1" t="s">
        <v>9317</v>
      </c>
      <c r="G1028" s="1" t="s">
        <v>8959</v>
      </c>
      <c r="H1028" t="s">
        <v>8959</v>
      </c>
      <c r="I1028" s="1" t="s">
        <v>8948</v>
      </c>
      <c r="J1028" s="1" t="s">
        <v>12453</v>
      </c>
      <c r="K1028" s="1" t="s">
        <v>14469</v>
      </c>
      <c r="L1028" s="1" t="s">
        <v>8987</v>
      </c>
      <c r="M1028" s="1">
        <v>3000</v>
      </c>
      <c r="N1028" s="1" t="s">
        <v>8953</v>
      </c>
      <c r="O1028" s="1" t="s">
        <v>8989</v>
      </c>
      <c r="P1028" s="1" t="s">
        <v>8955</v>
      </c>
      <c r="Q1028" s="1" t="s">
        <v>8956</v>
      </c>
      <c r="R1028" s="1" t="s">
        <v>8959</v>
      </c>
      <c r="S1028" s="1" t="s">
        <v>8958</v>
      </c>
      <c r="T1028" s="1" t="s">
        <v>2856</v>
      </c>
      <c r="U1028" s="1" t="s">
        <v>924</v>
      </c>
      <c r="V1028" s="1" t="s">
        <v>46</v>
      </c>
      <c r="W1028" s="1"/>
    </row>
    <row r="1029" spans="1:23" x14ac:dyDescent="0.2">
      <c r="A1029" s="88" t="s">
        <v>16391</v>
      </c>
      <c r="B1029" s="1" t="e">
        <v>#N/A</v>
      </c>
      <c r="C1029" s="1" t="s">
        <v>10450</v>
      </c>
      <c r="D1029" s="1" t="s">
        <v>2857</v>
      </c>
      <c r="E1029" s="1" t="s">
        <v>2858</v>
      </c>
      <c r="F1029" s="1" t="s">
        <v>9213</v>
      </c>
      <c r="G1029" s="1" t="s">
        <v>8957</v>
      </c>
      <c r="H1029" t="s">
        <v>8959</v>
      </c>
      <c r="I1029" s="1" t="s">
        <v>9035</v>
      </c>
      <c r="J1029" s="1" t="s">
        <v>9308</v>
      </c>
      <c r="K1029" s="1" t="s">
        <v>10453</v>
      </c>
      <c r="L1029" s="1" t="s">
        <v>8951</v>
      </c>
      <c r="M1029" s="1">
        <v>39677</v>
      </c>
      <c r="N1029" s="1" t="s">
        <v>9059</v>
      </c>
      <c r="O1029" s="1" t="s">
        <v>8989</v>
      </c>
      <c r="P1029" s="1" t="s">
        <v>8955</v>
      </c>
      <c r="Q1029" s="1" t="s">
        <v>8956</v>
      </c>
      <c r="R1029" s="1" t="s">
        <v>8957</v>
      </c>
      <c r="S1029" s="1" t="s">
        <v>8975</v>
      </c>
      <c r="T1029" s="1" t="s">
        <v>2859</v>
      </c>
      <c r="U1029" s="1" t="s">
        <v>17</v>
      </c>
      <c r="V1029" s="1" t="s">
        <v>1381</v>
      </c>
      <c r="W1029" s="1"/>
    </row>
    <row r="1030" spans="1:23" x14ac:dyDescent="0.2">
      <c r="A1030" s="88" t="s">
        <v>16392</v>
      </c>
      <c r="B1030" s="1" t="e">
        <v>#N/A</v>
      </c>
      <c r="C1030" s="1" t="e">
        <v>#N/A</v>
      </c>
      <c r="D1030" s="1" t="s">
        <v>2860</v>
      </c>
      <c r="E1030" s="1" t="s">
        <v>2861</v>
      </c>
      <c r="F1030" s="1" t="s">
        <v>9333</v>
      </c>
      <c r="G1030" s="1" t="s">
        <v>8957</v>
      </c>
      <c r="H1030" t="s">
        <v>8959</v>
      </c>
      <c r="I1030" s="1" t="s">
        <v>8948</v>
      </c>
      <c r="J1030" s="1" t="s">
        <v>9131</v>
      </c>
      <c r="K1030" s="1" t="s">
        <v>10492</v>
      </c>
      <c r="L1030" s="1" t="s">
        <v>8973</v>
      </c>
      <c r="M1030" s="1">
        <v>160</v>
      </c>
      <c r="N1030" s="1" t="s">
        <v>8953</v>
      </c>
      <c r="O1030" s="1" t="s">
        <v>8989</v>
      </c>
      <c r="P1030" s="1" t="e">
        <v>#N/A</v>
      </c>
      <c r="Q1030" s="1" t="e">
        <v>#N/A</v>
      </c>
      <c r="R1030" s="1">
        <f>1+LEN(T1030)-LEN(SUBSTITUTE(T1030,",",))</f>
        <v>4</v>
      </c>
      <c r="S1030" s="1" t="str">
        <f>IF(R1030&gt;4,IF(R1030&lt;8,"4-7",IF(R1030&gt;7,"&gt;7")),"&lt;4")</f>
        <v>&lt;4</v>
      </c>
      <c r="T1030" s="1" t="s">
        <v>19087</v>
      </c>
      <c r="U1030" s="1" t="s">
        <v>7</v>
      </c>
      <c r="V1030" s="1" t="s">
        <v>64</v>
      </c>
      <c r="W1030" s="1"/>
    </row>
    <row r="1031" spans="1:23" x14ac:dyDescent="0.2">
      <c r="A1031" s="88" t="s">
        <v>16393</v>
      </c>
      <c r="B1031" s="1" t="e">
        <v>#N/A</v>
      </c>
      <c r="C1031" s="1" t="s">
        <v>15079</v>
      </c>
      <c r="D1031" s="1" t="s">
        <v>2862</v>
      </c>
      <c r="E1031" s="1" t="s">
        <v>2863</v>
      </c>
      <c r="F1031" s="1" t="s">
        <v>10032</v>
      </c>
      <c r="G1031" s="1" t="s">
        <v>8959</v>
      </c>
      <c r="H1031" t="s">
        <v>8959</v>
      </c>
      <c r="I1031" s="1" t="s">
        <v>9252</v>
      </c>
      <c r="J1031" s="1" t="s">
        <v>8949</v>
      </c>
      <c r="K1031" s="1" t="s">
        <v>10258</v>
      </c>
      <c r="L1031" s="1" t="s">
        <v>8951</v>
      </c>
      <c r="M1031" s="1">
        <v>335</v>
      </c>
      <c r="N1031" s="1" t="s">
        <v>8953</v>
      </c>
      <c r="O1031" s="1" t="s">
        <v>8989</v>
      </c>
      <c r="P1031" s="1" t="s">
        <v>8955</v>
      </c>
      <c r="Q1031" s="1" t="s">
        <v>8956</v>
      </c>
      <c r="R1031" s="1" t="s">
        <v>8959</v>
      </c>
      <c r="S1031" s="1" t="s">
        <v>8975</v>
      </c>
      <c r="T1031" s="1" t="s">
        <v>2864</v>
      </c>
      <c r="U1031" s="1" t="s">
        <v>17</v>
      </c>
      <c r="V1031" s="1" t="s">
        <v>2865</v>
      </c>
      <c r="W1031" s="1"/>
    </row>
    <row r="1032" spans="1:23" x14ac:dyDescent="0.2">
      <c r="A1032" s="88" t="s">
        <v>16394</v>
      </c>
      <c r="B1032" s="1" t="e">
        <v>#N/A</v>
      </c>
      <c r="C1032" s="1" t="e">
        <v>#N/A</v>
      </c>
      <c r="D1032" s="1" t="s">
        <v>15478</v>
      </c>
      <c r="E1032" s="1" t="s">
        <v>2866</v>
      </c>
      <c r="F1032" s="1" t="s">
        <v>9317</v>
      </c>
      <c r="G1032" s="1" t="s">
        <v>8957</v>
      </c>
      <c r="H1032" t="s">
        <v>8959</v>
      </c>
      <c r="I1032" s="1" t="s">
        <v>9154</v>
      </c>
      <c r="J1032" s="1" t="s">
        <v>9155</v>
      </c>
      <c r="K1032" s="1" t="s">
        <v>10492</v>
      </c>
      <c r="L1032" s="1" t="s">
        <v>9464</v>
      </c>
      <c r="M1032" s="1">
        <v>40</v>
      </c>
      <c r="N1032" s="1" t="s">
        <v>8953</v>
      </c>
      <c r="O1032" s="1" t="s">
        <v>8989</v>
      </c>
      <c r="P1032" s="1" t="e">
        <v>#N/A</v>
      </c>
      <c r="Q1032" s="1" t="e">
        <v>#N/A</v>
      </c>
      <c r="R1032" s="1">
        <f t="shared" ref="R1032:R1034" si="302">1+LEN(T1032)-LEN(SUBSTITUTE(T1032,",",))</f>
        <v>4</v>
      </c>
      <c r="S1032" s="1" t="str">
        <f t="shared" ref="S1032:S1034" si="303">IF(R1032&gt;4,IF(R1032&lt;8,"4-7",IF(R1032&gt;7,"&gt;7")),"&lt;4")</f>
        <v>&lt;4</v>
      </c>
      <c r="T1032" s="1" t="s">
        <v>19088</v>
      </c>
      <c r="U1032" s="1" t="s">
        <v>17</v>
      </c>
      <c r="V1032" s="1" t="s">
        <v>64</v>
      </c>
      <c r="W1032" s="1"/>
    </row>
    <row r="1033" spans="1:23" x14ac:dyDescent="0.2">
      <c r="A1033" s="89" t="s">
        <v>2867</v>
      </c>
      <c r="B1033" s="1" t="e">
        <v>#N/A</v>
      </c>
      <c r="C1033" s="1" t="e">
        <v>#N/A</v>
      </c>
      <c r="D1033" s="1" t="s">
        <v>2868</v>
      </c>
      <c r="E1033" s="1" t="s">
        <v>2869</v>
      </c>
      <c r="F1033" s="1" t="e">
        <v>#N/A</v>
      </c>
      <c r="G1033" s="1" t="e">
        <v>#N/A</v>
      </c>
      <c r="H1033" t="e">
        <v>#N/A</v>
      </c>
      <c r="I1033" s="1" t="e">
        <v>#N/A</v>
      </c>
      <c r="J1033" s="1" t="e">
        <v>#N/A</v>
      </c>
      <c r="K1033" s="1" t="e">
        <v>#N/A</v>
      </c>
      <c r="L1033" s="1" t="e">
        <v>#N/A</v>
      </c>
      <c r="M1033" s="1" t="e">
        <v>#N/A</v>
      </c>
      <c r="N1033" s="1" t="e">
        <v>#N/A</v>
      </c>
      <c r="O1033" s="1" t="e">
        <v>#N/A</v>
      </c>
      <c r="P1033" s="1" t="e">
        <v>#N/A</v>
      </c>
      <c r="Q1033" s="1" t="e">
        <v>#N/A</v>
      </c>
      <c r="R1033" s="1">
        <f t="shared" si="302"/>
        <v>3</v>
      </c>
      <c r="S1033" s="1" t="str">
        <f t="shared" si="303"/>
        <v>&lt;4</v>
      </c>
      <c r="T1033" s="1" t="s">
        <v>19089</v>
      </c>
      <c r="U1033" s="1" t="s">
        <v>7</v>
      </c>
      <c r="V1033" s="1" t="s">
        <v>2870</v>
      </c>
      <c r="W1033" s="1"/>
    </row>
    <row r="1034" spans="1:23" x14ac:dyDescent="0.2">
      <c r="A1034" s="88" t="s">
        <v>16395</v>
      </c>
      <c r="B1034" s="1" t="e">
        <v>#N/A</v>
      </c>
      <c r="C1034" s="1" t="e">
        <v>#N/A</v>
      </c>
      <c r="D1034" s="1" t="s">
        <v>2871</v>
      </c>
      <c r="E1034" s="1" t="s">
        <v>2872</v>
      </c>
      <c r="F1034" s="1" t="s">
        <v>9650</v>
      </c>
      <c r="G1034" s="1" t="s">
        <v>8957</v>
      </c>
      <c r="H1034" t="s">
        <v>8959</v>
      </c>
      <c r="I1034" s="1" t="s">
        <v>20714</v>
      </c>
      <c r="J1034" s="1" t="s">
        <v>9155</v>
      </c>
      <c r="K1034" s="1" t="s">
        <v>10492</v>
      </c>
      <c r="L1034" s="1" t="s">
        <v>8951</v>
      </c>
      <c r="M1034" s="1">
        <v>64</v>
      </c>
      <c r="N1034" s="1" t="s">
        <v>8953</v>
      </c>
      <c r="O1034" s="1" t="s">
        <v>8954</v>
      </c>
      <c r="P1034" s="1" t="e">
        <v>#N/A</v>
      </c>
      <c r="Q1034" s="1" t="e">
        <v>#N/A</v>
      </c>
      <c r="R1034" s="1">
        <f t="shared" si="302"/>
        <v>5</v>
      </c>
      <c r="S1034" s="1" t="str">
        <f t="shared" si="303"/>
        <v>4-7</v>
      </c>
      <c r="T1034" s="1" t="s">
        <v>19090</v>
      </c>
      <c r="U1034" s="1" t="s">
        <v>7</v>
      </c>
      <c r="V1034" s="1" t="s">
        <v>184</v>
      </c>
      <c r="W1034" s="1"/>
    </row>
    <row r="1035" spans="1:23" x14ac:dyDescent="0.2">
      <c r="A1035" s="89" t="s">
        <v>2873</v>
      </c>
      <c r="B1035" s="1" t="e">
        <v>#N/A</v>
      </c>
      <c r="C1035" s="1" t="s">
        <v>9676</v>
      </c>
      <c r="D1035" s="1" t="s">
        <v>2874</v>
      </c>
      <c r="E1035" s="1" t="s">
        <v>2875</v>
      </c>
      <c r="F1035" s="1" t="s">
        <v>9176</v>
      </c>
      <c r="G1035" s="1" t="s">
        <v>8959</v>
      </c>
      <c r="H1035" t="s">
        <v>8959</v>
      </c>
      <c r="I1035" s="1" t="s">
        <v>9075</v>
      </c>
      <c r="J1035" s="1" t="s">
        <v>9155</v>
      </c>
      <c r="K1035" s="1" t="s">
        <v>9679</v>
      </c>
      <c r="L1035" s="1" t="s">
        <v>8973</v>
      </c>
      <c r="M1035" s="1">
        <v>6646</v>
      </c>
      <c r="N1035" s="1" t="s">
        <v>8953</v>
      </c>
      <c r="O1035" s="1" t="s">
        <v>8954</v>
      </c>
      <c r="P1035" s="1" t="s">
        <v>8955</v>
      </c>
      <c r="Q1035" s="1" t="s">
        <v>8956</v>
      </c>
      <c r="R1035" s="1" t="s">
        <v>8959</v>
      </c>
      <c r="S1035" s="1" t="s">
        <v>8958</v>
      </c>
      <c r="T1035" s="1" t="s">
        <v>2876</v>
      </c>
      <c r="U1035" s="1" t="s">
        <v>17</v>
      </c>
      <c r="V1035" s="1" t="s">
        <v>87</v>
      </c>
      <c r="W1035" s="1"/>
    </row>
    <row r="1036" spans="1:23" x14ac:dyDescent="0.2">
      <c r="A1036" s="89" t="s">
        <v>16396</v>
      </c>
      <c r="B1036" s="1" t="e">
        <v>#N/A</v>
      </c>
      <c r="C1036" s="1" t="e">
        <v>#N/A</v>
      </c>
      <c r="D1036" s="1" t="s">
        <v>2877</v>
      </c>
      <c r="E1036" s="1" t="s">
        <v>2878</v>
      </c>
      <c r="F1036" s="1" t="e">
        <v>#N/A</v>
      </c>
      <c r="G1036" s="1" t="e">
        <v>#N/A</v>
      </c>
      <c r="H1036" t="e">
        <v>#N/A</v>
      </c>
      <c r="I1036" s="1" t="e">
        <v>#N/A</v>
      </c>
      <c r="J1036" s="1" t="e">
        <v>#N/A</v>
      </c>
      <c r="K1036" s="1" t="e">
        <v>#N/A</v>
      </c>
      <c r="L1036" s="1" t="e">
        <v>#N/A</v>
      </c>
      <c r="M1036" s="1" t="e">
        <v>#N/A</v>
      </c>
      <c r="N1036" s="1" t="e">
        <v>#N/A</v>
      </c>
      <c r="O1036" s="1" t="e">
        <v>#N/A</v>
      </c>
      <c r="P1036" s="1" t="e">
        <v>#N/A</v>
      </c>
      <c r="Q1036" s="1" t="e">
        <v>#N/A</v>
      </c>
      <c r="R1036" s="1">
        <f t="shared" ref="R1036:R1037" si="304">1+LEN(T1036)-LEN(SUBSTITUTE(T1036,",",))</f>
        <v>1</v>
      </c>
      <c r="S1036" s="1" t="str">
        <f t="shared" ref="S1036:S1037" si="305">IF(R1036&gt;4,IF(R1036&lt;8,"4-7",IF(R1036&gt;7,"&gt;7")),"&lt;4")</f>
        <v>&lt;4</v>
      </c>
      <c r="U1036" s="1" t="s">
        <v>17</v>
      </c>
      <c r="V1036" s="1" t="s">
        <v>686</v>
      </c>
      <c r="W1036" s="1"/>
    </row>
    <row r="1037" spans="1:23" x14ac:dyDescent="0.2">
      <c r="A1037" s="88" t="s">
        <v>16397</v>
      </c>
      <c r="B1037" s="1" t="e">
        <v>#N/A</v>
      </c>
      <c r="C1037" s="1" t="e">
        <v>#N/A</v>
      </c>
      <c r="D1037" s="1" t="s">
        <v>2879</v>
      </c>
      <c r="E1037" s="1" t="s">
        <v>2880</v>
      </c>
      <c r="F1037" s="1" t="s">
        <v>9630</v>
      </c>
      <c r="G1037" s="1" t="s">
        <v>8959</v>
      </c>
      <c r="H1037" t="s">
        <v>8959</v>
      </c>
      <c r="I1037" s="1" t="s">
        <v>9075</v>
      </c>
      <c r="J1037" s="1" t="s">
        <v>9101</v>
      </c>
      <c r="K1037" s="1" t="s">
        <v>18497</v>
      </c>
      <c r="L1037" s="1" t="s">
        <v>8987</v>
      </c>
      <c r="M1037" s="1">
        <v>21250</v>
      </c>
      <c r="N1037" s="1" t="s">
        <v>8953</v>
      </c>
      <c r="O1037" s="1" t="s">
        <v>8989</v>
      </c>
      <c r="P1037" s="1" t="e">
        <v>#N/A</v>
      </c>
      <c r="Q1037" s="1" t="e">
        <v>#N/A</v>
      </c>
      <c r="R1037" s="1">
        <f t="shared" si="304"/>
        <v>8</v>
      </c>
      <c r="S1037" s="1" t="str">
        <f t="shared" si="305"/>
        <v>&gt;7</v>
      </c>
      <c r="T1037" s="1" t="s">
        <v>20606</v>
      </c>
      <c r="U1037" s="1" t="s">
        <v>17</v>
      </c>
      <c r="V1037" s="1" t="s">
        <v>24</v>
      </c>
      <c r="W1037" s="1"/>
    </row>
    <row r="1038" spans="1:23" x14ac:dyDescent="0.2">
      <c r="A1038" s="89" t="s">
        <v>2881</v>
      </c>
      <c r="B1038" s="1" t="e">
        <v>#N/A</v>
      </c>
      <c r="C1038" s="1" t="s">
        <v>10726</v>
      </c>
      <c r="D1038" s="1" t="s">
        <v>2882</v>
      </c>
      <c r="E1038" s="1" t="s">
        <v>2883</v>
      </c>
      <c r="F1038" s="1" t="s">
        <v>9333</v>
      </c>
      <c r="G1038" s="1" t="s">
        <v>9060</v>
      </c>
      <c r="H1038" t="s">
        <v>9061</v>
      </c>
      <c r="I1038" s="1" t="s">
        <v>10729</v>
      </c>
      <c r="J1038" s="1" t="s">
        <v>9155</v>
      </c>
      <c r="K1038" s="1" t="s">
        <v>9036</v>
      </c>
      <c r="L1038" s="1" t="s">
        <v>9076</v>
      </c>
      <c r="M1038" s="1">
        <v>200</v>
      </c>
      <c r="N1038" s="1" t="s">
        <v>8953</v>
      </c>
      <c r="O1038" s="1" t="s">
        <v>8954</v>
      </c>
      <c r="P1038" s="1" t="s">
        <v>8955</v>
      </c>
      <c r="Q1038" s="1" t="s">
        <v>8990</v>
      </c>
      <c r="R1038" s="1" t="s">
        <v>9060</v>
      </c>
      <c r="S1038" s="1" t="s">
        <v>8958</v>
      </c>
      <c r="T1038" s="1" t="s">
        <v>2884</v>
      </c>
      <c r="U1038" s="1" t="s">
        <v>17</v>
      </c>
      <c r="V1038" s="1" t="s">
        <v>2172</v>
      </c>
      <c r="W1038" s="1"/>
    </row>
    <row r="1039" spans="1:23" x14ac:dyDescent="0.2">
      <c r="A1039" s="88" t="s">
        <v>16398</v>
      </c>
      <c r="B1039" s="1" t="e">
        <v>#N/A</v>
      </c>
      <c r="C1039" s="1" t="e">
        <v>#N/A</v>
      </c>
      <c r="D1039" s="1" t="s">
        <v>2885</v>
      </c>
      <c r="E1039" s="1" t="s">
        <v>2886</v>
      </c>
      <c r="F1039" s="1" t="s">
        <v>9333</v>
      </c>
      <c r="G1039" s="1" t="s">
        <v>8959</v>
      </c>
      <c r="H1039" t="s">
        <v>9061</v>
      </c>
      <c r="I1039" s="1" t="e">
        <v>#N/A</v>
      </c>
      <c r="J1039" s="1" t="s">
        <v>8998</v>
      </c>
      <c r="K1039" s="1" t="s">
        <v>20779</v>
      </c>
      <c r="L1039" s="1" t="s">
        <v>9076</v>
      </c>
      <c r="M1039" s="1">
        <v>4</v>
      </c>
      <c r="N1039" s="1" t="s">
        <v>8953</v>
      </c>
      <c r="O1039" s="1" t="s">
        <v>8989</v>
      </c>
      <c r="P1039" s="1" t="e">
        <v>#N/A</v>
      </c>
      <c r="Q1039" s="1" t="e">
        <v>#N/A</v>
      </c>
      <c r="R1039" s="1">
        <f t="shared" ref="R1039:R1040" si="306">1+LEN(T1039)-LEN(SUBSTITUTE(T1039,",",))</f>
        <v>7</v>
      </c>
      <c r="S1039" s="1" t="str">
        <f t="shared" ref="S1039:S1040" si="307">IF(R1039&gt;4,IF(R1039&lt;8,"4-7",IF(R1039&gt;7,"&gt;7")),"&lt;4")</f>
        <v>4-7</v>
      </c>
      <c r="T1039" s="1" t="s">
        <v>19091</v>
      </c>
      <c r="U1039" s="1" t="s">
        <v>7</v>
      </c>
      <c r="V1039" s="1" t="s">
        <v>562</v>
      </c>
      <c r="W1039" s="1"/>
    </row>
    <row r="1040" spans="1:23" x14ac:dyDescent="0.2">
      <c r="A1040" s="88" t="s">
        <v>16399</v>
      </c>
      <c r="B1040" s="1" t="e">
        <v>#N/A</v>
      </c>
      <c r="C1040" s="1" t="e">
        <v>#N/A</v>
      </c>
      <c r="D1040" s="1" t="s">
        <v>2887</v>
      </c>
      <c r="E1040" s="1" t="s">
        <v>2888</v>
      </c>
      <c r="F1040" s="1" t="s">
        <v>9246</v>
      </c>
      <c r="G1040" s="1" t="s">
        <v>8957</v>
      </c>
      <c r="H1040" t="s">
        <v>8959</v>
      </c>
      <c r="I1040" s="1" t="s">
        <v>9100</v>
      </c>
      <c r="J1040" s="1" t="s">
        <v>8998</v>
      </c>
      <c r="K1040" s="1" t="s">
        <v>21413</v>
      </c>
      <c r="L1040" s="1" t="s">
        <v>9157</v>
      </c>
      <c r="M1040" s="1">
        <v>1526</v>
      </c>
      <c r="N1040" s="1" t="s">
        <v>9059</v>
      </c>
      <c r="O1040" s="1" t="s">
        <v>8954</v>
      </c>
      <c r="P1040" s="1" t="e">
        <v>#N/A</v>
      </c>
      <c r="Q1040" s="1" t="e">
        <v>#N/A</v>
      </c>
      <c r="R1040" s="1">
        <f t="shared" si="306"/>
        <v>18</v>
      </c>
      <c r="S1040" s="1" t="str">
        <f t="shared" si="307"/>
        <v>&gt;7</v>
      </c>
      <c r="T1040" s="1" t="s">
        <v>19092</v>
      </c>
      <c r="U1040" s="1" t="s">
        <v>17</v>
      </c>
      <c r="V1040" s="1" t="s">
        <v>74</v>
      </c>
      <c r="W1040" s="1"/>
    </row>
    <row r="1041" spans="1:23" x14ac:dyDescent="0.2">
      <c r="A1041" s="88" t="s">
        <v>16400</v>
      </c>
      <c r="B1041" s="1" t="e">
        <v>#N/A</v>
      </c>
      <c r="C1041" s="1" t="s">
        <v>9539</v>
      </c>
      <c r="D1041" s="1" t="s">
        <v>2889</v>
      </c>
      <c r="E1041" s="1" t="s">
        <v>2890</v>
      </c>
      <c r="F1041" s="1" t="s">
        <v>9010</v>
      </c>
      <c r="G1041" s="1" t="s">
        <v>8957</v>
      </c>
      <c r="H1041" t="s">
        <v>8959</v>
      </c>
      <c r="I1041" s="1" t="s">
        <v>9252</v>
      </c>
      <c r="J1041" s="1" t="s">
        <v>9253</v>
      </c>
      <c r="K1041" s="1" t="s">
        <v>10258</v>
      </c>
      <c r="L1041" s="1" t="s">
        <v>8951</v>
      </c>
      <c r="M1041" s="1">
        <v>316001</v>
      </c>
      <c r="N1041" s="1" t="s">
        <v>8953</v>
      </c>
      <c r="O1041" s="1" t="s">
        <v>8954</v>
      </c>
      <c r="P1041" s="1" t="s">
        <v>8955</v>
      </c>
      <c r="Q1041" s="1" t="s">
        <v>8956</v>
      </c>
      <c r="R1041" s="1" t="s">
        <v>8957</v>
      </c>
      <c r="S1041" s="1" t="s">
        <v>8975</v>
      </c>
      <c r="T1041" s="1" t="s">
        <v>2891</v>
      </c>
      <c r="U1041" s="1" t="s">
        <v>17</v>
      </c>
      <c r="V1041" s="1" t="s">
        <v>1790</v>
      </c>
      <c r="W1041" s="1"/>
    </row>
    <row r="1042" spans="1:23" x14ac:dyDescent="0.2">
      <c r="A1042" s="88" t="s">
        <v>16401</v>
      </c>
      <c r="B1042" s="1" t="e">
        <v>#N/A</v>
      </c>
      <c r="C1042" s="1" t="s">
        <v>11133</v>
      </c>
      <c r="D1042" s="1" t="s">
        <v>2892</v>
      </c>
      <c r="E1042" s="1" t="s">
        <v>2893</v>
      </c>
      <c r="F1042" s="1" t="s">
        <v>9333</v>
      </c>
      <c r="G1042" s="1" t="s">
        <v>8959</v>
      </c>
      <c r="H1042" t="s">
        <v>9061</v>
      </c>
      <c r="I1042" s="1" t="s">
        <v>9092</v>
      </c>
      <c r="J1042" s="1" t="s">
        <v>9308</v>
      </c>
      <c r="K1042" s="1" t="s">
        <v>9355</v>
      </c>
      <c r="L1042" s="1" t="s">
        <v>9292</v>
      </c>
      <c r="M1042" s="1">
        <v>760</v>
      </c>
      <c r="N1042" s="1" t="s">
        <v>8953</v>
      </c>
      <c r="O1042" s="1" t="s">
        <v>8989</v>
      </c>
      <c r="P1042" s="1" t="s">
        <v>8955</v>
      </c>
      <c r="Q1042" s="1" t="s">
        <v>8956</v>
      </c>
      <c r="R1042" s="1" t="s">
        <v>8959</v>
      </c>
      <c r="S1042" s="1" t="s">
        <v>8975</v>
      </c>
      <c r="T1042" s="1" t="s">
        <v>2894</v>
      </c>
      <c r="U1042" s="1" t="s">
        <v>17</v>
      </c>
      <c r="V1042" s="1" t="s">
        <v>2895</v>
      </c>
      <c r="W1042" s="1"/>
    </row>
    <row r="1043" spans="1:23" x14ac:dyDescent="0.2">
      <c r="A1043" s="88" t="s">
        <v>16402</v>
      </c>
      <c r="B1043" s="1" t="e">
        <v>#N/A</v>
      </c>
      <c r="C1043" s="1" t="s">
        <v>13100</v>
      </c>
      <c r="D1043" s="1" t="s">
        <v>2896</v>
      </c>
      <c r="E1043" s="1" t="s">
        <v>2897</v>
      </c>
      <c r="F1043" s="1" t="s">
        <v>9333</v>
      </c>
      <c r="G1043" s="1" t="s">
        <v>8974</v>
      </c>
      <c r="H1043" t="s">
        <v>9009</v>
      </c>
      <c r="I1043" s="1" t="s">
        <v>8984</v>
      </c>
      <c r="J1043" s="1" t="s">
        <v>9131</v>
      </c>
      <c r="K1043" s="1" t="s">
        <v>9036</v>
      </c>
      <c r="L1043" s="1" t="s">
        <v>8951</v>
      </c>
      <c r="M1043" s="1">
        <v>2296</v>
      </c>
      <c r="N1043" s="1" t="s">
        <v>8953</v>
      </c>
      <c r="O1043" s="1" t="s">
        <v>8989</v>
      </c>
      <c r="P1043" s="1" t="s">
        <v>8955</v>
      </c>
      <c r="Q1043" s="1" t="s">
        <v>8956</v>
      </c>
      <c r="R1043" s="1" t="s">
        <v>8974</v>
      </c>
      <c r="S1043" s="1" t="s">
        <v>8975</v>
      </c>
      <c r="T1043" s="1" t="s">
        <v>2898</v>
      </c>
      <c r="U1043" s="1" t="s">
        <v>11</v>
      </c>
      <c r="V1043" s="1" t="s">
        <v>2899</v>
      </c>
      <c r="W1043" s="1"/>
    </row>
    <row r="1044" spans="1:23" x14ac:dyDescent="0.2">
      <c r="A1044" s="89" t="s">
        <v>2900</v>
      </c>
      <c r="B1044" s="1" t="e">
        <v>#N/A</v>
      </c>
      <c r="C1044" s="1" t="e">
        <v>#N/A</v>
      </c>
      <c r="D1044" s="5" t="s">
        <v>2901</v>
      </c>
      <c r="E1044" s="1" t="s">
        <v>2902</v>
      </c>
      <c r="F1044" s="1" t="e">
        <v>#N/A</v>
      </c>
      <c r="G1044" s="1" t="e">
        <v>#N/A</v>
      </c>
      <c r="H1044" t="e">
        <v>#N/A</v>
      </c>
      <c r="I1044" s="1" t="e">
        <v>#N/A</v>
      </c>
      <c r="J1044" s="1" t="e">
        <v>#N/A</v>
      </c>
      <c r="K1044" s="1" t="e">
        <v>#N/A</v>
      </c>
      <c r="L1044" s="1" t="e">
        <v>#N/A</v>
      </c>
      <c r="M1044" s="1" t="e">
        <v>#N/A</v>
      </c>
      <c r="N1044" s="1" t="e">
        <v>#N/A</v>
      </c>
      <c r="O1044" s="1" t="e">
        <v>#N/A</v>
      </c>
      <c r="P1044" s="1" t="e">
        <v>#N/A</v>
      </c>
      <c r="Q1044" s="1" t="e">
        <v>#N/A</v>
      </c>
      <c r="R1044" s="1">
        <f t="shared" ref="R1044:R1046" si="308">1+LEN(T1044)-LEN(SUBSTITUTE(T1044,",",))</f>
        <v>6</v>
      </c>
      <c r="S1044" s="1" t="str">
        <f t="shared" ref="S1044:S1046" si="309">IF(R1044&gt;4,IF(R1044&lt;8,"4-7",IF(R1044&gt;7,"&gt;7")),"&lt;4")</f>
        <v>4-7</v>
      </c>
      <c r="T1044" s="1" t="s">
        <v>19093</v>
      </c>
      <c r="U1044" s="1" t="s">
        <v>17</v>
      </c>
      <c r="V1044" s="1" t="s">
        <v>2903</v>
      </c>
      <c r="W1044" s="1"/>
    </row>
    <row r="1045" spans="1:23" x14ac:dyDescent="0.2">
      <c r="A1045" s="88">
        <v>1</v>
      </c>
      <c r="B1045" t="e">
        <v>#N/A</v>
      </c>
      <c r="C1045" t="e">
        <v>#N/A</v>
      </c>
      <c r="D1045" s="1" t="s">
        <v>2904</v>
      </c>
      <c r="E1045" s="1" t="s">
        <v>2905</v>
      </c>
      <c r="F1045" s="1" t="s">
        <v>18502</v>
      </c>
      <c r="G1045" s="1" t="s">
        <v>8957</v>
      </c>
      <c r="H1045" t="s">
        <v>8959</v>
      </c>
      <c r="I1045" s="1" t="s">
        <v>9100</v>
      </c>
      <c r="J1045" s="1" t="s">
        <v>8949</v>
      </c>
      <c r="K1045" s="1" t="s">
        <v>21205</v>
      </c>
      <c r="L1045" s="1" t="s">
        <v>8987</v>
      </c>
      <c r="M1045" s="1">
        <v>1059</v>
      </c>
      <c r="N1045" s="1" t="s">
        <v>9059</v>
      </c>
      <c r="O1045" s="1" t="s">
        <v>8989</v>
      </c>
      <c r="P1045" s="1" t="e">
        <v>#N/A</v>
      </c>
      <c r="Q1045" s="1" t="e">
        <v>#N/A</v>
      </c>
      <c r="R1045" s="1">
        <f t="shared" si="308"/>
        <v>4</v>
      </c>
      <c r="S1045" s="1" t="str">
        <f t="shared" si="309"/>
        <v>&lt;4</v>
      </c>
      <c r="T1045" s="1" t="s">
        <v>19094</v>
      </c>
      <c r="U1045" s="1" t="s">
        <v>4</v>
      </c>
      <c r="V1045" s="1" t="s">
        <v>2906</v>
      </c>
      <c r="W1045" s="1"/>
    </row>
    <row r="1046" spans="1:23" x14ac:dyDescent="0.2">
      <c r="A1046" s="88" t="s">
        <v>16403</v>
      </c>
      <c r="B1046" s="1" t="e">
        <v>#N/A</v>
      </c>
      <c r="C1046" s="1" t="e">
        <v>#N/A</v>
      </c>
      <c r="D1046" s="1" t="s">
        <v>2907</v>
      </c>
      <c r="E1046" s="1" t="s">
        <v>2908</v>
      </c>
      <c r="F1046" s="1" t="s">
        <v>18502</v>
      </c>
      <c r="G1046" s="1" t="s">
        <v>8957</v>
      </c>
      <c r="H1046" t="s">
        <v>9061</v>
      </c>
      <c r="I1046" s="1" t="s">
        <v>9100</v>
      </c>
      <c r="J1046" s="1" t="s">
        <v>8949</v>
      </c>
      <c r="K1046" s="1" t="s">
        <v>21205</v>
      </c>
      <c r="L1046" s="1" t="s">
        <v>8987</v>
      </c>
      <c r="M1046" s="1">
        <v>181</v>
      </c>
      <c r="N1046" s="1" t="s">
        <v>9059</v>
      </c>
      <c r="O1046" s="1" t="s">
        <v>8989</v>
      </c>
      <c r="P1046" s="1" t="e">
        <v>#N/A</v>
      </c>
      <c r="Q1046" s="1" t="e">
        <v>#N/A</v>
      </c>
      <c r="R1046" s="1">
        <f t="shared" si="308"/>
        <v>6</v>
      </c>
      <c r="S1046" s="1" t="str">
        <f t="shared" si="309"/>
        <v>4-7</v>
      </c>
      <c r="T1046" s="1" t="s">
        <v>19095</v>
      </c>
      <c r="U1046" s="1" t="s">
        <v>17</v>
      </c>
      <c r="V1046" s="1" t="s">
        <v>61</v>
      </c>
      <c r="W1046" s="1"/>
    </row>
    <row r="1047" spans="1:23" x14ac:dyDescent="0.2">
      <c r="A1047" s="88" t="s">
        <v>16404</v>
      </c>
      <c r="B1047" s="1" t="e">
        <v>#N/A</v>
      </c>
      <c r="C1047" s="1" t="s">
        <v>11405</v>
      </c>
      <c r="D1047" s="1" t="s">
        <v>2909</v>
      </c>
      <c r="E1047" s="1" t="s">
        <v>2910</v>
      </c>
      <c r="F1047" s="1" t="s">
        <v>9317</v>
      </c>
      <c r="G1047" s="1" t="s">
        <v>8957</v>
      </c>
      <c r="H1047" t="s">
        <v>8959</v>
      </c>
      <c r="I1047" s="1" t="s">
        <v>9605</v>
      </c>
      <c r="J1047" s="1" t="s">
        <v>9269</v>
      </c>
      <c r="K1047" s="1" t="s">
        <v>9436</v>
      </c>
      <c r="L1047" s="1" t="s">
        <v>8951</v>
      </c>
      <c r="M1047" s="1">
        <v>148</v>
      </c>
      <c r="N1047" s="1" t="s">
        <v>8953</v>
      </c>
      <c r="O1047" s="1" t="s">
        <v>8954</v>
      </c>
      <c r="P1047" s="1" t="s">
        <v>8955</v>
      </c>
      <c r="Q1047" s="1" t="s">
        <v>8956</v>
      </c>
      <c r="R1047" s="1" t="s">
        <v>8957</v>
      </c>
      <c r="S1047" s="1" t="s">
        <v>8958</v>
      </c>
      <c r="T1047" s="1" t="s">
        <v>2911</v>
      </c>
      <c r="U1047" s="1" t="s">
        <v>11</v>
      </c>
      <c r="V1047" s="1" t="s">
        <v>43</v>
      </c>
      <c r="W1047" s="1"/>
    </row>
    <row r="1048" spans="1:23" x14ac:dyDescent="0.2">
      <c r="A1048" s="94" t="s">
        <v>16405</v>
      </c>
      <c r="B1048" s="1" t="e">
        <v>#N/A</v>
      </c>
      <c r="C1048" s="1" t="e">
        <v>#N/A</v>
      </c>
      <c r="D1048" s="1" t="s">
        <v>2912</v>
      </c>
      <c r="E1048" s="1" t="s">
        <v>2913</v>
      </c>
      <c r="F1048" s="1" t="s">
        <v>18502</v>
      </c>
      <c r="G1048" s="1" t="s">
        <v>8957</v>
      </c>
      <c r="H1048" t="s">
        <v>9061</v>
      </c>
      <c r="I1048" s="1" t="s">
        <v>9035</v>
      </c>
      <c r="J1048" s="1" t="s">
        <v>8998</v>
      </c>
      <c r="K1048" s="1" t="e">
        <v>#N/A</v>
      </c>
      <c r="L1048" s="1" t="s">
        <v>9076</v>
      </c>
      <c r="M1048" s="1">
        <v>5112</v>
      </c>
      <c r="N1048" s="1" t="s">
        <v>8953</v>
      </c>
      <c r="O1048" s="1" t="s">
        <v>8989</v>
      </c>
      <c r="P1048" s="1" t="e">
        <v>#N/A</v>
      </c>
      <c r="Q1048" s="1" t="e">
        <v>#N/A</v>
      </c>
      <c r="R1048" s="1">
        <f t="shared" ref="R1048:R1053" si="310">1+LEN(T1048)-LEN(SUBSTITUTE(T1048,",",))</f>
        <v>7</v>
      </c>
      <c r="S1048" s="1" t="str">
        <f t="shared" ref="S1048:S1053" si="311">IF(R1048&gt;4,IF(R1048&lt;8,"4-7",IF(R1048&gt;7,"&gt;7")),"&lt;4")</f>
        <v>4-7</v>
      </c>
      <c r="T1048" s="1" t="s">
        <v>19096</v>
      </c>
      <c r="U1048" s="1" t="s">
        <v>17</v>
      </c>
      <c r="V1048" s="1" t="s">
        <v>93</v>
      </c>
      <c r="W1048" s="1"/>
    </row>
    <row r="1049" spans="1:23" x14ac:dyDescent="0.2">
      <c r="A1049" s="88" t="s">
        <v>16406</v>
      </c>
      <c r="B1049" s="1" t="e">
        <v>#N/A</v>
      </c>
      <c r="C1049" s="1" t="e">
        <v>#N/A</v>
      </c>
      <c r="D1049" s="1" t="s">
        <v>2914</v>
      </c>
      <c r="E1049" s="1" t="s">
        <v>2915</v>
      </c>
      <c r="F1049" s="1" t="s">
        <v>12908</v>
      </c>
      <c r="G1049" s="1" t="s">
        <v>8957</v>
      </c>
      <c r="H1049" t="s">
        <v>8959</v>
      </c>
      <c r="I1049" s="1" t="s">
        <v>9605</v>
      </c>
      <c r="J1049" s="1" t="s">
        <v>9101</v>
      </c>
      <c r="K1049" s="1" t="s">
        <v>20838</v>
      </c>
      <c r="L1049" s="1" t="s">
        <v>8951</v>
      </c>
      <c r="M1049" s="1">
        <v>7835</v>
      </c>
      <c r="N1049" s="1" t="s">
        <v>8953</v>
      </c>
      <c r="O1049" s="1" t="s">
        <v>8989</v>
      </c>
      <c r="P1049" s="1" t="e">
        <v>#N/A</v>
      </c>
      <c r="Q1049" s="1" t="e">
        <v>#N/A</v>
      </c>
      <c r="R1049" s="1">
        <f t="shared" si="310"/>
        <v>10</v>
      </c>
      <c r="S1049" s="1" t="str">
        <f t="shared" si="311"/>
        <v>&gt;7</v>
      </c>
      <c r="T1049" s="1" t="s">
        <v>19097</v>
      </c>
      <c r="U1049" s="1" t="s">
        <v>4</v>
      </c>
      <c r="V1049" s="1" t="s">
        <v>2916</v>
      </c>
      <c r="W1049" s="1"/>
    </row>
    <row r="1050" spans="1:23" x14ac:dyDescent="0.2">
      <c r="A1050" s="88" t="s">
        <v>16407</v>
      </c>
      <c r="B1050" s="1" t="e">
        <v>#N/A</v>
      </c>
      <c r="C1050" s="1" t="e">
        <v>#N/A</v>
      </c>
      <c r="D1050" s="1" t="s">
        <v>2917</v>
      </c>
      <c r="E1050" s="1" t="s">
        <v>2918</v>
      </c>
      <c r="F1050" s="1" t="s">
        <v>12908</v>
      </c>
      <c r="G1050" s="1" t="s">
        <v>8957</v>
      </c>
      <c r="H1050" t="s">
        <v>8959</v>
      </c>
      <c r="I1050" s="1" t="s">
        <v>9605</v>
      </c>
      <c r="J1050" s="1" t="s">
        <v>9101</v>
      </c>
      <c r="K1050" s="1" t="s">
        <v>20735</v>
      </c>
      <c r="L1050" s="1" t="s">
        <v>8951</v>
      </c>
      <c r="M1050" s="1">
        <v>1176</v>
      </c>
      <c r="N1050" s="1" t="s">
        <v>8953</v>
      </c>
      <c r="O1050" s="1" t="s">
        <v>8989</v>
      </c>
      <c r="P1050" s="1" t="e">
        <v>#N/A</v>
      </c>
      <c r="Q1050" s="1" t="e">
        <v>#N/A</v>
      </c>
      <c r="R1050" s="1">
        <f t="shared" si="310"/>
        <v>13</v>
      </c>
      <c r="S1050" s="1" t="str">
        <f t="shared" si="311"/>
        <v>&gt;7</v>
      </c>
      <c r="T1050" s="1" t="s">
        <v>19098</v>
      </c>
      <c r="U1050" s="1" t="s">
        <v>7</v>
      </c>
      <c r="V1050" s="1" t="s">
        <v>110</v>
      </c>
      <c r="W1050" s="1"/>
    </row>
    <row r="1051" spans="1:23" x14ac:dyDescent="0.2">
      <c r="A1051" s="89" t="s">
        <v>2919</v>
      </c>
      <c r="B1051" s="1" t="e">
        <v>#N/A</v>
      </c>
      <c r="C1051" s="1" t="e">
        <v>#N/A</v>
      </c>
      <c r="D1051" s="1" t="s">
        <v>2920</v>
      </c>
      <c r="E1051" s="1" t="s">
        <v>2921</v>
      </c>
      <c r="F1051" s="1" t="e">
        <v>#N/A</v>
      </c>
      <c r="G1051" s="1" t="e">
        <v>#N/A</v>
      </c>
      <c r="H1051" t="e">
        <v>#N/A</v>
      </c>
      <c r="I1051" s="1" t="e">
        <v>#N/A</v>
      </c>
      <c r="J1051" s="1" t="e">
        <v>#N/A</v>
      </c>
      <c r="K1051" s="1" t="e">
        <v>#N/A</v>
      </c>
      <c r="L1051" s="1" t="e">
        <v>#N/A</v>
      </c>
      <c r="M1051" s="1" t="e">
        <v>#N/A</v>
      </c>
      <c r="N1051" s="1" t="e">
        <v>#N/A</v>
      </c>
      <c r="O1051" s="1" t="e">
        <v>#N/A</v>
      </c>
      <c r="P1051" s="1" t="e">
        <v>#N/A</v>
      </c>
      <c r="Q1051" s="1" t="e">
        <v>#N/A</v>
      </c>
      <c r="R1051" s="1">
        <f t="shared" si="310"/>
        <v>3</v>
      </c>
      <c r="S1051" s="1" t="str">
        <f t="shared" si="311"/>
        <v>&lt;4</v>
      </c>
      <c r="T1051" s="1" t="s">
        <v>19099</v>
      </c>
      <c r="U1051" s="1" t="s">
        <v>17</v>
      </c>
      <c r="V1051" s="1" t="s">
        <v>382</v>
      </c>
      <c r="W1051" s="1"/>
    </row>
    <row r="1052" spans="1:23" x14ac:dyDescent="0.2">
      <c r="A1052" s="88" t="s">
        <v>16408</v>
      </c>
      <c r="B1052" s="1" t="e">
        <v>#N/A</v>
      </c>
      <c r="C1052" s="1" t="e">
        <v>#N/A</v>
      </c>
      <c r="D1052" s="1" t="s">
        <v>2922</v>
      </c>
      <c r="E1052" s="1" t="s">
        <v>2923</v>
      </c>
      <c r="F1052" s="1" t="s">
        <v>9333</v>
      </c>
      <c r="G1052" s="1" t="s">
        <v>8957</v>
      </c>
      <c r="H1052" t="s">
        <v>8959</v>
      </c>
      <c r="I1052" s="1" t="s">
        <v>9035</v>
      </c>
      <c r="J1052" s="1" t="s">
        <v>8998</v>
      </c>
      <c r="K1052" s="1" t="s">
        <v>20779</v>
      </c>
      <c r="L1052" s="1" t="s">
        <v>9133</v>
      </c>
      <c r="M1052" s="1">
        <f>3784+3864</f>
        <v>7648</v>
      </c>
      <c r="N1052" s="1" t="s">
        <v>8953</v>
      </c>
      <c r="O1052" s="1" t="s">
        <v>8989</v>
      </c>
      <c r="P1052" s="1" t="e">
        <v>#N/A</v>
      </c>
      <c r="Q1052" s="1" t="e">
        <v>#N/A</v>
      </c>
      <c r="R1052" s="1">
        <f t="shared" si="310"/>
        <v>11</v>
      </c>
      <c r="S1052" s="1" t="str">
        <f t="shared" si="311"/>
        <v>&gt;7</v>
      </c>
      <c r="T1052" s="1" t="s">
        <v>19100</v>
      </c>
      <c r="U1052" s="1" t="s">
        <v>7</v>
      </c>
      <c r="V1052" s="1" t="s">
        <v>46</v>
      </c>
      <c r="W1052" s="1"/>
    </row>
    <row r="1053" spans="1:23" x14ac:dyDescent="0.2">
      <c r="A1053" s="88" t="s">
        <v>16409</v>
      </c>
      <c r="B1053" s="1" t="e">
        <v>#N/A</v>
      </c>
      <c r="C1053" s="1" t="e">
        <v>#N/A</v>
      </c>
      <c r="D1053" s="1" t="s">
        <v>2924</v>
      </c>
      <c r="E1053" s="1" t="s">
        <v>2925</v>
      </c>
      <c r="F1053" s="1" t="s">
        <v>9213</v>
      </c>
      <c r="G1053" s="1" t="s">
        <v>8957</v>
      </c>
      <c r="H1053" t="s">
        <v>8959</v>
      </c>
      <c r="I1053" s="1" t="s">
        <v>9100</v>
      </c>
      <c r="J1053" s="1" t="s">
        <v>8949</v>
      </c>
      <c r="K1053" s="1" t="s">
        <v>10492</v>
      </c>
      <c r="L1053" s="1" t="s">
        <v>8973</v>
      </c>
      <c r="M1053" s="1">
        <v>148</v>
      </c>
      <c r="N1053" s="1" t="s">
        <v>9059</v>
      </c>
      <c r="O1053" s="1" t="s">
        <v>8989</v>
      </c>
      <c r="P1053" s="1" t="e">
        <v>#N/A</v>
      </c>
      <c r="Q1053" s="1" t="e">
        <v>#N/A</v>
      </c>
      <c r="R1053" s="1">
        <f t="shared" si="310"/>
        <v>6</v>
      </c>
      <c r="S1053" s="1" t="str">
        <f t="shared" si="311"/>
        <v>4-7</v>
      </c>
      <c r="T1053" s="1" t="s">
        <v>19101</v>
      </c>
      <c r="U1053" s="1" t="s">
        <v>7</v>
      </c>
      <c r="V1053" s="1" t="s">
        <v>184</v>
      </c>
      <c r="W1053" s="1"/>
    </row>
    <row r="1054" spans="1:23" x14ac:dyDescent="0.2">
      <c r="A1054" s="88" t="s">
        <v>16410</v>
      </c>
      <c r="B1054" s="1" t="e">
        <v>#N/A</v>
      </c>
      <c r="C1054" s="1" t="s">
        <v>11995</v>
      </c>
      <c r="D1054" s="1" t="s">
        <v>2926</v>
      </c>
      <c r="E1054" s="1" t="s">
        <v>2927</v>
      </c>
      <c r="F1054" s="1" t="s">
        <v>9310</v>
      </c>
      <c r="G1054" s="1" t="s">
        <v>8957</v>
      </c>
      <c r="H1054" t="s">
        <v>9183</v>
      </c>
      <c r="I1054" s="1" t="s">
        <v>9100</v>
      </c>
      <c r="J1054" s="1" t="s">
        <v>9725</v>
      </c>
      <c r="K1054" s="1" t="s">
        <v>9036</v>
      </c>
      <c r="L1054" s="1" t="s">
        <v>9292</v>
      </c>
      <c r="M1054" s="1">
        <v>983</v>
      </c>
      <c r="N1054" s="1" t="s">
        <v>8953</v>
      </c>
      <c r="O1054" s="1" t="s">
        <v>8954</v>
      </c>
      <c r="P1054" s="1" t="s">
        <v>8955</v>
      </c>
      <c r="Q1054" s="1" t="s">
        <v>8956</v>
      </c>
      <c r="R1054" s="1" t="s">
        <v>8957</v>
      </c>
      <c r="S1054" s="1" t="s">
        <v>8958</v>
      </c>
      <c r="T1054" s="1" t="s">
        <v>2928</v>
      </c>
      <c r="U1054" s="1" t="s">
        <v>11</v>
      </c>
      <c r="V1054" s="1" t="s">
        <v>61</v>
      </c>
      <c r="W1054" s="1"/>
    </row>
    <row r="1055" spans="1:23" x14ac:dyDescent="0.2">
      <c r="A1055" s="94" t="s">
        <v>16411</v>
      </c>
      <c r="B1055" s="1" t="e">
        <v>#N/A</v>
      </c>
      <c r="C1055" s="1" t="e">
        <v>#N/A</v>
      </c>
      <c r="D1055" s="1" t="s">
        <v>2929</v>
      </c>
      <c r="E1055" s="1" t="s">
        <v>2930</v>
      </c>
      <c r="F1055" s="1" t="s">
        <v>18502</v>
      </c>
      <c r="G1055" s="1" t="e">
        <v>#N/A</v>
      </c>
      <c r="H1055" t="s">
        <v>9009</v>
      </c>
      <c r="I1055" s="1" t="s">
        <v>20714</v>
      </c>
      <c r="J1055" s="1" t="s">
        <v>20725</v>
      </c>
      <c r="K1055" s="1" t="e">
        <v>#N/A</v>
      </c>
      <c r="L1055" s="1" t="s">
        <v>8951</v>
      </c>
      <c r="M1055" s="1" t="e">
        <v>#N/A</v>
      </c>
      <c r="N1055" s="1" t="e">
        <v>#N/A</v>
      </c>
      <c r="O1055" s="1" t="e">
        <v>#N/A</v>
      </c>
      <c r="P1055" s="1" t="e">
        <v>#N/A</v>
      </c>
      <c r="Q1055" s="1" t="e">
        <v>#N/A</v>
      </c>
      <c r="R1055" s="1">
        <f t="shared" ref="R1055:R1056" si="312">1+LEN(T1055)-LEN(SUBSTITUTE(T1055,",",))</f>
        <v>4</v>
      </c>
      <c r="S1055" s="1" t="str">
        <f t="shared" ref="S1055:S1056" si="313">IF(R1055&gt;4,IF(R1055&lt;8,"4-7",IF(R1055&gt;7,"&gt;7")),"&lt;4")</f>
        <v>&lt;4</v>
      </c>
      <c r="T1055" s="1" t="s">
        <v>19102</v>
      </c>
      <c r="U1055" s="1" t="s">
        <v>7</v>
      </c>
      <c r="V1055" s="1" t="s">
        <v>213</v>
      </c>
      <c r="W1055" s="1"/>
    </row>
    <row r="1056" spans="1:23" x14ac:dyDescent="0.2">
      <c r="A1056" s="89">
        <v>1</v>
      </c>
      <c r="B1056" t="e">
        <v>#N/A</v>
      </c>
      <c r="C1056" t="e">
        <v>#N/A</v>
      </c>
      <c r="D1056" s="1" t="s">
        <v>2931</v>
      </c>
      <c r="E1056" s="1" t="s">
        <v>2932</v>
      </c>
      <c r="F1056" s="1" t="s">
        <v>9317</v>
      </c>
      <c r="G1056" s="1" t="e">
        <v>#N/A</v>
      </c>
      <c r="H1056" t="s">
        <v>8959</v>
      </c>
      <c r="I1056" s="1" t="s">
        <v>8948</v>
      </c>
      <c r="J1056" s="1" t="s">
        <v>8949</v>
      </c>
      <c r="K1056" s="1" t="e">
        <v>#N/A</v>
      </c>
      <c r="L1056" s="1" t="e">
        <v>#N/A</v>
      </c>
      <c r="M1056" s="1" t="e">
        <v>#N/A</v>
      </c>
      <c r="N1056" s="1" t="e">
        <v>#N/A</v>
      </c>
      <c r="O1056" s="1" t="e">
        <v>#N/A</v>
      </c>
      <c r="P1056" s="1" t="e">
        <v>#N/A</v>
      </c>
      <c r="Q1056" s="1" t="e">
        <v>#N/A</v>
      </c>
      <c r="R1056" s="1">
        <f t="shared" si="312"/>
        <v>7</v>
      </c>
      <c r="S1056" s="1" t="str">
        <f t="shared" si="313"/>
        <v>4-7</v>
      </c>
      <c r="T1056" s="1" t="s">
        <v>19103</v>
      </c>
      <c r="U1056" s="1" t="s">
        <v>4</v>
      </c>
      <c r="V1056" s="1"/>
      <c r="W1056" s="1"/>
    </row>
    <row r="1057" spans="1:23" x14ac:dyDescent="0.2">
      <c r="A1057" s="88" t="s">
        <v>16412</v>
      </c>
      <c r="B1057" s="1" t="e">
        <v>#N/A</v>
      </c>
      <c r="C1057" s="1" t="s">
        <v>15032</v>
      </c>
      <c r="D1057" s="1" t="s">
        <v>2933</v>
      </c>
      <c r="E1057" s="1" t="s">
        <v>2934</v>
      </c>
      <c r="F1057" s="1" t="s">
        <v>10446</v>
      </c>
      <c r="G1057" s="1" t="s">
        <v>8957</v>
      </c>
      <c r="H1057" t="s">
        <v>8959</v>
      </c>
      <c r="I1057" s="1" t="s">
        <v>9092</v>
      </c>
      <c r="J1057" s="1" t="s">
        <v>9308</v>
      </c>
      <c r="K1057" s="1" t="s">
        <v>8972</v>
      </c>
      <c r="L1057" s="1" t="s">
        <v>8973</v>
      </c>
      <c r="M1057" s="1">
        <v>35</v>
      </c>
      <c r="N1057" s="1" t="s">
        <v>8953</v>
      </c>
      <c r="O1057" s="1" t="s">
        <v>8989</v>
      </c>
      <c r="P1057" s="1" t="s">
        <v>8955</v>
      </c>
      <c r="Q1057" s="1" t="s">
        <v>8956</v>
      </c>
      <c r="R1057" s="1" t="s">
        <v>8957</v>
      </c>
      <c r="S1057" s="1" t="s">
        <v>8958</v>
      </c>
      <c r="T1057" s="1" t="s">
        <v>2935</v>
      </c>
      <c r="U1057" s="1" t="s">
        <v>17</v>
      </c>
      <c r="V1057" s="1" t="s">
        <v>1010</v>
      </c>
      <c r="W1057" s="1"/>
    </row>
    <row r="1058" spans="1:23" x14ac:dyDescent="0.2">
      <c r="A1058" s="88" t="s">
        <v>16413</v>
      </c>
      <c r="B1058" s="1" t="e">
        <v>#N/A</v>
      </c>
      <c r="C1058" s="1" t="s">
        <v>12855</v>
      </c>
      <c r="D1058" s="1" t="s">
        <v>2936</v>
      </c>
      <c r="E1058" s="1" t="s">
        <v>2937</v>
      </c>
      <c r="F1058" s="1" t="s">
        <v>9968</v>
      </c>
      <c r="G1058" s="1" t="s">
        <v>8959</v>
      </c>
      <c r="H1058" t="s">
        <v>8959</v>
      </c>
      <c r="I1058" s="1" t="s">
        <v>8948</v>
      </c>
      <c r="J1058" s="1" t="s">
        <v>8949</v>
      </c>
      <c r="K1058" s="1" t="s">
        <v>9599</v>
      </c>
      <c r="L1058" s="1" t="s">
        <v>8973</v>
      </c>
      <c r="M1058" s="1">
        <v>230</v>
      </c>
      <c r="N1058" s="1" t="s">
        <v>8953</v>
      </c>
      <c r="O1058" s="1" t="s">
        <v>8989</v>
      </c>
      <c r="P1058" s="1" t="s">
        <v>8955</v>
      </c>
      <c r="Q1058" s="1" t="s">
        <v>8956</v>
      </c>
      <c r="R1058" s="1" t="s">
        <v>8959</v>
      </c>
      <c r="S1058" s="1" t="s">
        <v>9103</v>
      </c>
      <c r="T1058" s="1" t="s">
        <v>2938</v>
      </c>
      <c r="U1058" s="1" t="s">
        <v>11</v>
      </c>
      <c r="V1058" s="1" t="s">
        <v>87</v>
      </c>
      <c r="W1058" s="1"/>
    </row>
    <row r="1059" spans="1:23" x14ac:dyDescent="0.2">
      <c r="A1059" s="88" t="s">
        <v>16414</v>
      </c>
      <c r="B1059" s="1" t="e">
        <v>#N/A</v>
      </c>
      <c r="C1059" s="1" t="e">
        <v>#N/A</v>
      </c>
      <c r="D1059" s="1" t="s">
        <v>2939</v>
      </c>
      <c r="E1059" s="1" t="s">
        <v>2940</v>
      </c>
      <c r="F1059" s="1" t="s">
        <v>9968</v>
      </c>
      <c r="G1059" s="1" t="s">
        <v>8959</v>
      </c>
      <c r="H1059" t="s">
        <v>8959</v>
      </c>
      <c r="I1059" s="1" t="s">
        <v>9100</v>
      </c>
      <c r="J1059" s="1" t="s">
        <v>8949</v>
      </c>
      <c r="K1059" s="1" t="s">
        <v>20779</v>
      </c>
      <c r="L1059" s="1" t="s">
        <v>8973</v>
      </c>
      <c r="M1059" s="1">
        <v>880000</v>
      </c>
      <c r="N1059" s="1" t="s">
        <v>8953</v>
      </c>
      <c r="O1059" s="1" t="s">
        <v>8954</v>
      </c>
      <c r="P1059" s="1" t="e">
        <v>#N/A</v>
      </c>
      <c r="Q1059" s="1" t="e">
        <v>#N/A</v>
      </c>
      <c r="R1059" s="1">
        <f>1+LEN(T1059)-LEN(SUBSTITUTE(T1059,",",))</f>
        <v>3</v>
      </c>
      <c r="S1059" s="1" t="str">
        <f>IF(R1059&gt;4,IF(R1059&lt;8,"4-7",IF(R1059&gt;7,"&gt;7")),"&lt;4")</f>
        <v>&lt;4</v>
      </c>
      <c r="T1059" s="1" t="s">
        <v>19104</v>
      </c>
      <c r="U1059" s="1" t="s">
        <v>17</v>
      </c>
      <c r="V1059" s="1" t="s">
        <v>87</v>
      </c>
      <c r="W1059" s="1"/>
    </row>
    <row r="1060" spans="1:23" x14ac:dyDescent="0.2">
      <c r="A1060" s="88" t="s">
        <v>16415</v>
      </c>
      <c r="B1060" s="1" t="e">
        <v>#N/A</v>
      </c>
      <c r="C1060" s="1" t="s">
        <v>10721</v>
      </c>
      <c r="D1060" s="1" t="s">
        <v>2941</v>
      </c>
      <c r="E1060" s="1" t="s">
        <v>2942</v>
      </c>
      <c r="F1060" s="1" t="s">
        <v>9010</v>
      </c>
      <c r="G1060" s="1" t="s">
        <v>8957</v>
      </c>
      <c r="H1060" t="s">
        <v>9061</v>
      </c>
      <c r="I1060" s="1" t="s">
        <v>9035</v>
      </c>
      <c r="J1060" s="1" t="s">
        <v>8998</v>
      </c>
      <c r="K1060" s="1" t="s">
        <v>9036</v>
      </c>
      <c r="L1060" s="1" t="s">
        <v>9157</v>
      </c>
      <c r="M1060" s="1">
        <v>1194</v>
      </c>
      <c r="N1060" s="1" t="s">
        <v>9059</v>
      </c>
      <c r="O1060" s="1" t="s">
        <v>8954</v>
      </c>
      <c r="P1060" s="1" t="s">
        <v>8955</v>
      </c>
      <c r="Q1060" s="1" t="s">
        <v>8956</v>
      </c>
      <c r="R1060" s="1" t="s">
        <v>8957</v>
      </c>
      <c r="S1060" s="1" t="s">
        <v>8975</v>
      </c>
      <c r="T1060" s="1" t="s">
        <v>2943</v>
      </c>
      <c r="U1060" s="1" t="s">
        <v>11</v>
      </c>
      <c r="V1060" s="1" t="s">
        <v>771</v>
      </c>
      <c r="W1060" s="1"/>
    </row>
    <row r="1061" spans="1:23" x14ac:dyDescent="0.2">
      <c r="A1061" s="89" t="s">
        <v>2944</v>
      </c>
      <c r="B1061" s="1" t="e">
        <v>#N/A</v>
      </c>
      <c r="C1061" s="1" t="e">
        <v>#N/A</v>
      </c>
      <c r="D1061" s="1" t="s">
        <v>2945</v>
      </c>
      <c r="E1061" s="1" t="s">
        <v>2946</v>
      </c>
      <c r="F1061" s="1" t="e">
        <v>#N/A</v>
      </c>
      <c r="G1061" s="1" t="e">
        <v>#N/A</v>
      </c>
      <c r="H1061" t="e">
        <v>#N/A</v>
      </c>
      <c r="I1061" s="1" t="e">
        <v>#N/A</v>
      </c>
      <c r="J1061" s="1" t="e">
        <v>#N/A</v>
      </c>
      <c r="K1061" s="1" t="e">
        <v>#N/A</v>
      </c>
      <c r="L1061" s="1" t="e">
        <v>#N/A</v>
      </c>
      <c r="M1061" s="1" t="e">
        <v>#N/A</v>
      </c>
      <c r="N1061" s="1" t="e">
        <v>#N/A</v>
      </c>
      <c r="O1061" s="1" t="e">
        <v>#N/A</v>
      </c>
      <c r="P1061" s="1" t="e">
        <v>#N/A</v>
      </c>
      <c r="Q1061" s="1" t="e">
        <v>#N/A</v>
      </c>
      <c r="R1061" s="1">
        <f t="shared" ref="R1061:R1062" si="314">1+LEN(T1061)-LEN(SUBSTITUTE(T1061,",",))</f>
        <v>5</v>
      </c>
      <c r="S1061" s="1" t="str">
        <f t="shared" ref="S1061:S1062" si="315">IF(R1061&gt;4,IF(R1061&lt;8,"4-7",IF(R1061&gt;7,"&gt;7")),"&lt;4")</f>
        <v>4-7</v>
      </c>
      <c r="T1061" s="1" t="s">
        <v>19105</v>
      </c>
      <c r="U1061" s="1" t="s">
        <v>11</v>
      </c>
      <c r="V1061" s="1" t="s">
        <v>2947</v>
      </c>
      <c r="W1061" s="1"/>
    </row>
    <row r="1062" spans="1:23" x14ac:dyDescent="0.2">
      <c r="A1062" s="88" t="s">
        <v>16416</v>
      </c>
      <c r="B1062" s="1" t="e">
        <v>#N/A</v>
      </c>
      <c r="C1062" s="1" t="e">
        <v>#N/A</v>
      </c>
      <c r="D1062" s="1" t="s">
        <v>2948</v>
      </c>
      <c r="E1062" s="1" t="s">
        <v>2949</v>
      </c>
      <c r="F1062" s="1" t="s">
        <v>18502</v>
      </c>
      <c r="G1062" s="1" t="s">
        <v>8957</v>
      </c>
      <c r="H1062" t="s">
        <v>8959</v>
      </c>
      <c r="I1062" s="1" t="s">
        <v>9092</v>
      </c>
      <c r="J1062" s="1" t="s">
        <v>8949</v>
      </c>
      <c r="K1062" s="1" t="s">
        <v>18497</v>
      </c>
      <c r="L1062" s="1" t="s">
        <v>9076</v>
      </c>
      <c r="M1062" s="1">
        <v>300</v>
      </c>
      <c r="N1062" s="1" t="s">
        <v>8953</v>
      </c>
      <c r="O1062" s="1" t="s">
        <v>8989</v>
      </c>
      <c r="P1062" s="1" t="e">
        <v>#N/A</v>
      </c>
      <c r="Q1062" s="1" t="e">
        <v>#N/A</v>
      </c>
      <c r="R1062" s="1">
        <f t="shared" si="314"/>
        <v>4</v>
      </c>
      <c r="S1062" s="1" t="str">
        <f t="shared" si="315"/>
        <v>&lt;4</v>
      </c>
      <c r="T1062" s="1" t="s">
        <v>19106</v>
      </c>
      <c r="U1062" s="1" t="s">
        <v>7</v>
      </c>
      <c r="V1062" s="1" t="s">
        <v>46</v>
      </c>
      <c r="W1062" s="1"/>
    </row>
    <row r="1063" spans="1:23" x14ac:dyDescent="0.2">
      <c r="A1063" s="88" t="s">
        <v>16417</v>
      </c>
      <c r="B1063" s="1" t="e">
        <v>#N/A</v>
      </c>
      <c r="C1063" s="1" t="s">
        <v>14934</v>
      </c>
      <c r="D1063" s="1" t="s">
        <v>2950</v>
      </c>
      <c r="E1063" s="1" t="s">
        <v>2951</v>
      </c>
      <c r="F1063" s="1" t="s">
        <v>9380</v>
      </c>
      <c r="G1063" s="1" t="s">
        <v>8959</v>
      </c>
      <c r="H1063" t="s">
        <v>8959</v>
      </c>
      <c r="I1063" s="1" t="s">
        <v>9173</v>
      </c>
      <c r="J1063" s="1" t="s">
        <v>9174</v>
      </c>
      <c r="K1063" s="1" t="s">
        <v>21361</v>
      </c>
      <c r="L1063" s="1" t="s">
        <v>8951</v>
      </c>
      <c r="M1063" s="1">
        <v>10015</v>
      </c>
      <c r="N1063" s="1" t="s">
        <v>8953</v>
      </c>
      <c r="O1063" s="1" t="s">
        <v>8954</v>
      </c>
      <c r="P1063" s="1" t="s">
        <v>8955</v>
      </c>
      <c r="Q1063" s="1" t="s">
        <v>8956</v>
      </c>
      <c r="R1063" s="1" t="s">
        <v>8959</v>
      </c>
      <c r="S1063" s="1" t="s">
        <v>9103</v>
      </c>
      <c r="T1063" s="1" t="s">
        <v>2952</v>
      </c>
      <c r="U1063" s="1" t="s">
        <v>17</v>
      </c>
      <c r="V1063" s="1" t="s">
        <v>2953</v>
      </c>
      <c r="W1063" s="1"/>
    </row>
    <row r="1064" spans="1:23" x14ac:dyDescent="0.2">
      <c r="A1064" s="88" t="s">
        <v>16418</v>
      </c>
      <c r="B1064" s="1" t="e">
        <v>#N/A</v>
      </c>
      <c r="C1064" s="1" t="s">
        <v>14581</v>
      </c>
      <c r="D1064" s="1" t="s">
        <v>2954</v>
      </c>
      <c r="E1064" s="1" t="s">
        <v>2955</v>
      </c>
      <c r="F1064" s="1" t="s">
        <v>9310</v>
      </c>
      <c r="G1064" s="1" t="s">
        <v>8957</v>
      </c>
      <c r="H1064" t="s">
        <v>8959</v>
      </c>
      <c r="I1064" s="1" t="s">
        <v>9605</v>
      </c>
      <c r="J1064" s="1" t="s">
        <v>9155</v>
      </c>
      <c r="K1064" s="1" t="s">
        <v>12500</v>
      </c>
      <c r="L1064" s="1" t="s">
        <v>8987</v>
      </c>
      <c r="M1064" s="1">
        <v>1125</v>
      </c>
      <c r="N1064" s="1" t="s">
        <v>8953</v>
      </c>
      <c r="O1064" s="1" t="s">
        <v>8954</v>
      </c>
      <c r="P1064" s="1" t="s">
        <v>8955</v>
      </c>
      <c r="Q1064" s="1" t="s">
        <v>8956</v>
      </c>
      <c r="R1064" s="1" t="s">
        <v>8957</v>
      </c>
      <c r="S1064" s="1" t="s">
        <v>8958</v>
      </c>
      <c r="T1064" s="1" t="s">
        <v>2956</v>
      </c>
      <c r="U1064" s="1" t="s">
        <v>924</v>
      </c>
      <c r="V1064" s="1" t="s">
        <v>2204</v>
      </c>
      <c r="W1064" s="1"/>
    </row>
    <row r="1065" spans="1:23" x14ac:dyDescent="0.2">
      <c r="A1065" s="88" t="s">
        <v>16419</v>
      </c>
      <c r="B1065" s="1" t="e">
        <v>#N/A</v>
      </c>
      <c r="C1065" s="1" t="e">
        <v>#N/A</v>
      </c>
      <c r="D1065" s="1" t="s">
        <v>2957</v>
      </c>
      <c r="E1065" s="1" t="s">
        <v>2958</v>
      </c>
      <c r="F1065" s="1" t="s">
        <v>9310</v>
      </c>
      <c r="G1065" s="1" t="s">
        <v>8957</v>
      </c>
      <c r="H1065" t="s">
        <v>8959</v>
      </c>
      <c r="I1065" s="1" t="s">
        <v>9035</v>
      </c>
      <c r="J1065" s="1" t="s">
        <v>8998</v>
      </c>
      <c r="K1065" s="1" t="s">
        <v>20785</v>
      </c>
      <c r="L1065" s="1" t="s">
        <v>9076</v>
      </c>
      <c r="M1065" s="1">
        <f>70+490+9000+63812</f>
        <v>73372</v>
      </c>
      <c r="N1065" s="1" t="s">
        <v>8953</v>
      </c>
      <c r="O1065" s="1" t="s">
        <v>8954</v>
      </c>
      <c r="P1065" s="1" t="e">
        <v>#N/A</v>
      </c>
      <c r="Q1065" s="1" t="e">
        <v>#N/A</v>
      </c>
      <c r="R1065" s="1">
        <f t="shared" ref="R1065:R1066" si="316">1+LEN(T1065)-LEN(SUBSTITUTE(T1065,",",))</f>
        <v>3</v>
      </c>
      <c r="S1065" s="1" t="str">
        <f t="shared" ref="S1065:S1066" si="317">IF(R1065&gt;4,IF(R1065&lt;8,"4-7",IF(R1065&gt;7,"&gt;7")),"&lt;4")</f>
        <v>&lt;4</v>
      </c>
      <c r="T1065" s="1" t="s">
        <v>19107</v>
      </c>
      <c r="U1065" s="1" t="s">
        <v>7</v>
      </c>
      <c r="V1065" s="1" t="s">
        <v>46</v>
      </c>
      <c r="W1065" s="1"/>
    </row>
    <row r="1066" spans="1:23" x14ac:dyDescent="0.2">
      <c r="A1066" s="89" t="s">
        <v>2959</v>
      </c>
      <c r="B1066" s="1" t="e">
        <v>#N/A</v>
      </c>
      <c r="C1066" s="1" t="e">
        <v>#N/A</v>
      </c>
      <c r="D1066" s="1" t="s">
        <v>2960</v>
      </c>
      <c r="E1066" s="1" t="s">
        <v>2961</v>
      </c>
      <c r="F1066" s="1" t="e">
        <v>#N/A</v>
      </c>
      <c r="G1066" s="1" t="e">
        <v>#N/A</v>
      </c>
      <c r="H1066" t="e">
        <v>#N/A</v>
      </c>
      <c r="I1066" s="1" t="e">
        <v>#N/A</v>
      </c>
      <c r="J1066" s="1" t="e">
        <v>#N/A</v>
      </c>
      <c r="K1066" s="1" t="e">
        <v>#N/A</v>
      </c>
      <c r="L1066" s="1" t="e">
        <v>#N/A</v>
      </c>
      <c r="M1066" s="1" t="e">
        <v>#N/A</v>
      </c>
      <c r="N1066" s="1" t="e">
        <v>#N/A</v>
      </c>
      <c r="O1066" s="1" t="e">
        <v>#N/A</v>
      </c>
      <c r="P1066" s="1" t="e">
        <v>#N/A</v>
      </c>
      <c r="Q1066" s="1" t="e">
        <v>#N/A</v>
      </c>
      <c r="R1066" s="1">
        <f t="shared" si="316"/>
        <v>2</v>
      </c>
      <c r="S1066" s="1" t="str">
        <f t="shared" si="317"/>
        <v>&lt;4</v>
      </c>
      <c r="T1066" s="1" t="s">
        <v>19108</v>
      </c>
      <c r="U1066" s="1" t="s">
        <v>17</v>
      </c>
      <c r="V1066" s="1" t="s">
        <v>2962</v>
      </c>
      <c r="W1066" s="1"/>
    </row>
    <row r="1067" spans="1:23" x14ac:dyDescent="0.2">
      <c r="A1067" s="88" t="s">
        <v>16420</v>
      </c>
      <c r="B1067" s="1" t="e">
        <v>#N/A</v>
      </c>
      <c r="C1067" s="1" t="s">
        <v>14914</v>
      </c>
      <c r="D1067" s="1" t="s">
        <v>2963</v>
      </c>
      <c r="E1067" s="1" t="s">
        <v>2964</v>
      </c>
      <c r="F1067" s="1" t="s">
        <v>10446</v>
      </c>
      <c r="G1067" s="1" t="s">
        <v>8957</v>
      </c>
      <c r="H1067" t="s">
        <v>8959</v>
      </c>
      <c r="I1067" s="1" t="s">
        <v>8948</v>
      </c>
      <c r="J1067" s="1" t="s">
        <v>8949</v>
      </c>
      <c r="K1067" s="1" t="s">
        <v>9036</v>
      </c>
      <c r="L1067" s="1" t="s">
        <v>8951</v>
      </c>
      <c r="M1067" s="1">
        <v>616</v>
      </c>
      <c r="N1067" s="1" t="s">
        <v>8953</v>
      </c>
      <c r="O1067" s="1" t="s">
        <v>8989</v>
      </c>
      <c r="P1067" s="1" t="s">
        <v>8955</v>
      </c>
      <c r="Q1067" s="1" t="s">
        <v>8956</v>
      </c>
      <c r="R1067" s="1" t="s">
        <v>8957</v>
      </c>
      <c r="S1067" s="1" t="s">
        <v>8958</v>
      </c>
      <c r="T1067" s="1" t="s">
        <v>2965</v>
      </c>
      <c r="U1067" s="1" t="s">
        <v>17</v>
      </c>
      <c r="V1067" s="1" t="s">
        <v>210</v>
      </c>
      <c r="W1067" s="1"/>
    </row>
    <row r="1068" spans="1:23" x14ac:dyDescent="0.2">
      <c r="A1068" s="88" t="s">
        <v>16421</v>
      </c>
      <c r="B1068" s="1" t="e">
        <v>#N/A</v>
      </c>
      <c r="C1068" s="1" t="e">
        <v>#N/A</v>
      </c>
      <c r="D1068" s="1" t="s">
        <v>2966</v>
      </c>
      <c r="E1068" s="1" t="s">
        <v>2967</v>
      </c>
      <c r="F1068" s="1" t="s">
        <v>9310</v>
      </c>
      <c r="G1068" s="1" t="s">
        <v>8957</v>
      </c>
      <c r="H1068" t="s">
        <v>8959</v>
      </c>
      <c r="I1068" s="1" t="s">
        <v>8948</v>
      </c>
      <c r="J1068" s="1" t="s">
        <v>8949</v>
      </c>
      <c r="K1068" s="1" t="s">
        <v>20779</v>
      </c>
      <c r="L1068" s="1" t="s">
        <v>8987</v>
      </c>
      <c r="M1068" s="1">
        <v>9950</v>
      </c>
      <c r="N1068" s="1" t="s">
        <v>8953</v>
      </c>
      <c r="O1068" s="1" t="s">
        <v>8989</v>
      </c>
      <c r="P1068" s="1" t="e">
        <v>#N/A</v>
      </c>
      <c r="Q1068" s="1" t="e">
        <v>#N/A</v>
      </c>
      <c r="R1068" s="1">
        <f>1+LEN(T1068)-LEN(SUBSTITUTE(T1068,",",))</f>
        <v>6</v>
      </c>
      <c r="S1068" s="1" t="str">
        <f>IF(R1068&gt;4,IF(R1068&lt;8,"4-7",IF(R1068&gt;7,"&gt;7")),"&lt;4")</f>
        <v>4-7</v>
      </c>
      <c r="T1068" s="1" t="s">
        <v>19109</v>
      </c>
      <c r="U1068" s="1" t="s">
        <v>17</v>
      </c>
      <c r="V1068" s="1" t="s">
        <v>1651</v>
      </c>
      <c r="W1068" s="1"/>
    </row>
    <row r="1069" spans="1:23" x14ac:dyDescent="0.2">
      <c r="A1069" s="88" t="s">
        <v>16422</v>
      </c>
      <c r="B1069" s="1" t="e">
        <v>#N/A</v>
      </c>
      <c r="C1069" s="1" t="s">
        <v>14230</v>
      </c>
      <c r="D1069" s="1" t="s">
        <v>2968</v>
      </c>
      <c r="E1069" s="1" t="s">
        <v>2969</v>
      </c>
      <c r="F1069" s="1" t="s">
        <v>9310</v>
      </c>
      <c r="G1069" s="1" t="s">
        <v>8957</v>
      </c>
      <c r="H1069" t="s">
        <v>8959</v>
      </c>
      <c r="I1069" s="1" t="s">
        <v>8984</v>
      </c>
      <c r="J1069" s="1" t="s">
        <v>8998</v>
      </c>
      <c r="K1069" s="1" t="s">
        <v>9036</v>
      </c>
      <c r="L1069" s="1" t="s">
        <v>8973</v>
      </c>
      <c r="M1069" s="1">
        <v>9664</v>
      </c>
      <c r="N1069" s="1" t="s">
        <v>8953</v>
      </c>
      <c r="O1069" s="1" t="s">
        <v>8954</v>
      </c>
      <c r="P1069" s="1" t="s">
        <v>8955</v>
      </c>
      <c r="Q1069" s="1" t="s">
        <v>8956</v>
      </c>
      <c r="R1069" s="1" t="s">
        <v>8957</v>
      </c>
      <c r="S1069" s="1" t="s">
        <v>8958</v>
      </c>
      <c r="T1069" s="1" t="s">
        <v>2970</v>
      </c>
      <c r="U1069" s="1" t="s">
        <v>242</v>
      </c>
      <c r="V1069" s="1" t="s">
        <v>378</v>
      </c>
      <c r="W1069" s="1"/>
    </row>
    <row r="1070" spans="1:23" x14ac:dyDescent="0.2">
      <c r="A1070" s="88" t="s">
        <v>16423</v>
      </c>
      <c r="B1070" s="1" t="e">
        <v>#N/A</v>
      </c>
      <c r="C1070" s="1" t="e">
        <v>#N/A</v>
      </c>
      <c r="D1070" s="1" t="s">
        <v>2971</v>
      </c>
      <c r="E1070" s="1" t="s">
        <v>2972</v>
      </c>
      <c r="F1070" s="1" t="s">
        <v>18502</v>
      </c>
      <c r="G1070" s="1" t="s">
        <v>8957</v>
      </c>
      <c r="H1070" t="s">
        <v>9061</v>
      </c>
      <c r="I1070" s="1" t="s">
        <v>9252</v>
      </c>
      <c r="J1070" s="1" t="s">
        <v>8949</v>
      </c>
      <c r="K1070" s="1" t="s">
        <v>10525</v>
      </c>
      <c r="L1070" s="1" t="s">
        <v>9133</v>
      </c>
      <c r="M1070" s="1">
        <v>927</v>
      </c>
      <c r="N1070" s="1" t="s">
        <v>8953</v>
      </c>
      <c r="O1070" s="1" t="s">
        <v>8954</v>
      </c>
      <c r="P1070" s="1" t="e">
        <v>#N/A</v>
      </c>
      <c r="Q1070" s="1" t="e">
        <v>#N/A</v>
      </c>
      <c r="R1070" s="1">
        <f t="shared" ref="R1070:R1072" si="318">1+LEN(T1070)-LEN(SUBSTITUTE(T1070,",",))</f>
        <v>3</v>
      </c>
      <c r="S1070" s="1" t="str">
        <f t="shared" ref="S1070:S1072" si="319">IF(R1070&gt;4,IF(R1070&lt;8,"4-7",IF(R1070&gt;7,"&gt;7")),"&lt;4")</f>
        <v>&lt;4</v>
      </c>
      <c r="T1070" s="1" t="s">
        <v>19110</v>
      </c>
      <c r="U1070" s="1" t="s">
        <v>7</v>
      </c>
      <c r="V1070" s="1" t="s">
        <v>24</v>
      </c>
      <c r="W1070" s="1"/>
    </row>
    <row r="1071" spans="1:23" x14ac:dyDescent="0.2">
      <c r="A1071" s="88" t="s">
        <v>16424</v>
      </c>
      <c r="B1071" s="1" t="e">
        <v>#N/A</v>
      </c>
      <c r="C1071" s="1" t="e">
        <v>#N/A</v>
      </c>
      <c r="D1071" s="1" t="s">
        <v>2973</v>
      </c>
      <c r="E1071" s="1" t="s">
        <v>2974</v>
      </c>
      <c r="F1071" s="1" t="s">
        <v>9310</v>
      </c>
      <c r="G1071" s="1" t="s">
        <v>8957</v>
      </c>
      <c r="H1071" t="s">
        <v>8959</v>
      </c>
      <c r="I1071" s="1" t="s">
        <v>9035</v>
      </c>
      <c r="J1071" s="1" t="s">
        <v>8998</v>
      </c>
      <c r="K1071" s="1" t="s">
        <v>10492</v>
      </c>
      <c r="L1071" s="1" t="s">
        <v>9464</v>
      </c>
      <c r="M1071" s="1">
        <v>40</v>
      </c>
      <c r="N1071" s="1" t="s">
        <v>8953</v>
      </c>
      <c r="O1071" s="1" t="s">
        <v>8989</v>
      </c>
      <c r="P1071" s="1" t="e">
        <v>#N/A</v>
      </c>
      <c r="Q1071" s="1" t="e">
        <v>#N/A</v>
      </c>
      <c r="R1071" s="1">
        <f t="shared" si="318"/>
        <v>5</v>
      </c>
      <c r="S1071" s="1" t="str">
        <f t="shared" si="319"/>
        <v>4-7</v>
      </c>
      <c r="T1071" s="1" t="s">
        <v>19111</v>
      </c>
      <c r="U1071" s="1" t="s">
        <v>7</v>
      </c>
      <c r="V1071" s="1" t="s">
        <v>46</v>
      </c>
      <c r="W1071" s="1"/>
    </row>
    <row r="1072" spans="1:23" x14ac:dyDescent="0.2">
      <c r="A1072" s="88" t="s">
        <v>16425</v>
      </c>
      <c r="B1072" s="1" t="e">
        <v>#N/A</v>
      </c>
      <c r="C1072" s="1" t="e">
        <v>#N/A</v>
      </c>
      <c r="D1072" s="1" t="s">
        <v>2975</v>
      </c>
      <c r="E1072" s="1" t="s">
        <v>2976</v>
      </c>
      <c r="F1072" s="1" t="s">
        <v>18502</v>
      </c>
      <c r="G1072" s="1" t="s">
        <v>8957</v>
      </c>
      <c r="H1072" t="s">
        <v>9061</v>
      </c>
      <c r="I1072" s="1" t="s">
        <v>9075</v>
      </c>
      <c r="J1072" s="1" t="s">
        <v>8971</v>
      </c>
      <c r="K1072" s="1" t="s">
        <v>20765</v>
      </c>
      <c r="L1072" s="1" t="s">
        <v>8973</v>
      </c>
      <c r="M1072" s="1">
        <f>744+277+496</f>
        <v>1517</v>
      </c>
      <c r="N1072" s="1" t="s">
        <v>8953</v>
      </c>
      <c r="O1072" s="1" t="s">
        <v>8989</v>
      </c>
      <c r="P1072" s="1" t="e">
        <v>#N/A</v>
      </c>
      <c r="Q1072" s="1" t="e">
        <v>#N/A</v>
      </c>
      <c r="R1072" s="1">
        <f t="shared" si="318"/>
        <v>6</v>
      </c>
      <c r="S1072" s="1" t="str">
        <f t="shared" si="319"/>
        <v>4-7</v>
      </c>
      <c r="T1072" s="1" t="s">
        <v>19112</v>
      </c>
      <c r="U1072" s="1" t="s">
        <v>17</v>
      </c>
      <c r="V1072" s="1" t="s">
        <v>46</v>
      </c>
      <c r="W1072" s="1"/>
    </row>
    <row r="1073" spans="1:23" x14ac:dyDescent="0.2">
      <c r="A1073" s="88" t="s">
        <v>16426</v>
      </c>
      <c r="B1073" s="1" t="e">
        <v>#N/A</v>
      </c>
      <c r="C1073" s="1" t="s">
        <v>12733</v>
      </c>
      <c r="D1073" s="1" t="s">
        <v>2977</v>
      </c>
      <c r="E1073" s="1" t="s">
        <v>2978</v>
      </c>
      <c r="F1073" s="1" t="s">
        <v>9310</v>
      </c>
      <c r="G1073" s="1" t="s">
        <v>8957</v>
      </c>
      <c r="H1073" t="s">
        <v>9009</v>
      </c>
      <c r="I1073" s="1" t="s">
        <v>9092</v>
      </c>
      <c r="J1073" s="1" t="s">
        <v>9308</v>
      </c>
      <c r="K1073" s="1" t="s">
        <v>9658</v>
      </c>
      <c r="L1073" s="1" t="s">
        <v>9292</v>
      </c>
      <c r="M1073" s="1">
        <v>472</v>
      </c>
      <c r="N1073" s="1" t="s">
        <v>9059</v>
      </c>
      <c r="O1073" s="1" t="s">
        <v>8989</v>
      </c>
      <c r="P1073" s="1" t="s">
        <v>8955</v>
      </c>
      <c r="Q1073" s="1" t="s">
        <v>8956</v>
      </c>
      <c r="R1073" s="1" t="s">
        <v>8957</v>
      </c>
      <c r="S1073" s="1" t="s">
        <v>8975</v>
      </c>
      <c r="T1073" s="1" t="s">
        <v>2979</v>
      </c>
      <c r="U1073" s="1" t="s">
        <v>11</v>
      </c>
      <c r="V1073" s="1" t="s">
        <v>2980</v>
      </c>
      <c r="W1073" s="1"/>
    </row>
    <row r="1074" spans="1:23" x14ac:dyDescent="0.2">
      <c r="A1074" s="95" t="s">
        <v>21155</v>
      </c>
      <c r="B1074" s="1" t="e">
        <v>#N/A</v>
      </c>
      <c r="C1074" s="1" t="e">
        <v>#N/A</v>
      </c>
      <c r="D1074" s="1" t="s">
        <v>2981</v>
      </c>
      <c r="E1074" s="1" t="s">
        <v>2982</v>
      </c>
      <c r="F1074" s="1" t="s">
        <v>18502</v>
      </c>
      <c r="G1074" s="1" t="s">
        <v>8957</v>
      </c>
      <c r="H1074" t="s">
        <v>21157</v>
      </c>
      <c r="I1074" s="1" t="s">
        <v>9100</v>
      </c>
      <c r="J1074" s="1" t="s">
        <v>8949</v>
      </c>
      <c r="K1074" s="1" t="s">
        <v>21158</v>
      </c>
      <c r="L1074" s="1" t="s">
        <v>8987</v>
      </c>
      <c r="M1074" s="1">
        <v>857</v>
      </c>
      <c r="N1074" s="1" t="s">
        <v>9059</v>
      </c>
      <c r="O1074" s="1" t="s">
        <v>8954</v>
      </c>
      <c r="P1074" s="1" t="e">
        <v>#N/A</v>
      </c>
      <c r="Q1074" s="1" t="e">
        <v>#N/A</v>
      </c>
      <c r="R1074" s="1">
        <f t="shared" ref="R1074:R1075" si="320">1+LEN(T1074)-LEN(SUBSTITUTE(T1074,",",))</f>
        <v>5</v>
      </c>
      <c r="S1074" s="1" t="str">
        <f t="shared" ref="S1074:S1075" si="321">IF(R1074&gt;4,IF(R1074&lt;8,"4-7",IF(R1074&gt;7,"&gt;7")),"&lt;4")</f>
        <v>4-7</v>
      </c>
      <c r="T1074" s="1" t="s">
        <v>19113</v>
      </c>
      <c r="U1074" s="1" t="s">
        <v>17</v>
      </c>
      <c r="V1074" s="1" t="s">
        <v>1076</v>
      </c>
      <c r="W1074" s="1"/>
    </row>
    <row r="1075" spans="1:23" x14ac:dyDescent="0.2">
      <c r="A1075" s="88" t="s">
        <v>16427</v>
      </c>
      <c r="B1075" s="1" t="e">
        <v>#N/A</v>
      </c>
      <c r="C1075" s="1" t="e">
        <v>#N/A</v>
      </c>
      <c r="D1075" s="1" t="s">
        <v>2983</v>
      </c>
      <c r="E1075" s="1" t="s">
        <v>2984</v>
      </c>
      <c r="F1075" s="1" t="s">
        <v>9317</v>
      </c>
      <c r="G1075" s="1" t="s">
        <v>8957</v>
      </c>
      <c r="H1075" t="s">
        <v>8959</v>
      </c>
      <c r="I1075" s="1" t="s">
        <v>9605</v>
      </c>
      <c r="J1075" s="1" t="s">
        <v>9155</v>
      </c>
      <c r="K1075" s="1" t="s">
        <v>10492</v>
      </c>
      <c r="L1075" s="1" t="s">
        <v>8973</v>
      </c>
      <c r="M1075" s="1">
        <v>83</v>
      </c>
      <c r="N1075" s="1" t="s">
        <v>9059</v>
      </c>
      <c r="O1075" s="1" t="s">
        <v>8989</v>
      </c>
      <c r="P1075" s="1" t="e">
        <v>#N/A</v>
      </c>
      <c r="Q1075" s="1" t="e">
        <v>#N/A</v>
      </c>
      <c r="R1075" s="1">
        <f t="shared" si="320"/>
        <v>9</v>
      </c>
      <c r="S1075" s="1" t="str">
        <f t="shared" si="321"/>
        <v>&gt;7</v>
      </c>
      <c r="T1075" s="1" t="s">
        <v>19114</v>
      </c>
      <c r="U1075" s="1" t="s">
        <v>7</v>
      </c>
      <c r="V1075" s="1" t="s">
        <v>27</v>
      </c>
      <c r="W1075" s="1"/>
    </row>
    <row r="1076" spans="1:23" x14ac:dyDescent="0.2">
      <c r="A1076" s="88" t="s">
        <v>16428</v>
      </c>
      <c r="B1076" s="1" t="e">
        <v>#N/A</v>
      </c>
      <c r="C1076" s="1" t="s">
        <v>12919</v>
      </c>
      <c r="D1076" s="1" t="s">
        <v>2985</v>
      </c>
      <c r="E1076" s="1" t="s">
        <v>2986</v>
      </c>
      <c r="F1076" s="1" t="s">
        <v>9310</v>
      </c>
      <c r="G1076" s="1" t="s">
        <v>9060</v>
      </c>
      <c r="H1076" t="s">
        <v>8959</v>
      </c>
      <c r="I1076" s="1" t="s">
        <v>8948</v>
      </c>
      <c r="J1076" s="1" t="s">
        <v>8949</v>
      </c>
      <c r="K1076" s="1" t="s">
        <v>13541</v>
      </c>
      <c r="L1076" s="1" t="s">
        <v>9076</v>
      </c>
      <c r="M1076" s="1">
        <v>228453</v>
      </c>
      <c r="N1076" s="1" t="s">
        <v>8953</v>
      </c>
      <c r="O1076" s="1" t="s">
        <v>8989</v>
      </c>
      <c r="P1076" s="1" t="s">
        <v>8955</v>
      </c>
      <c r="Q1076" s="1" t="s">
        <v>8956</v>
      </c>
      <c r="R1076" s="1" t="s">
        <v>9060</v>
      </c>
      <c r="S1076" s="1" t="s">
        <v>8975</v>
      </c>
      <c r="T1076" s="1" t="s">
        <v>2987</v>
      </c>
      <c r="U1076" s="1" t="s">
        <v>11</v>
      </c>
      <c r="V1076" s="1" t="s">
        <v>2988</v>
      </c>
      <c r="W1076" s="1"/>
    </row>
    <row r="1077" spans="1:23" x14ac:dyDescent="0.2">
      <c r="A1077" s="88" t="s">
        <v>16429</v>
      </c>
      <c r="B1077" s="1" t="e">
        <v>#N/A</v>
      </c>
      <c r="C1077" s="1" t="e">
        <v>#N/A</v>
      </c>
      <c r="D1077" s="1" t="s">
        <v>2989</v>
      </c>
      <c r="E1077" s="1" t="s">
        <v>2990</v>
      </c>
      <c r="F1077" s="1" t="s">
        <v>9310</v>
      </c>
      <c r="G1077" s="1" t="s">
        <v>8957</v>
      </c>
      <c r="H1077" t="s">
        <v>9061</v>
      </c>
      <c r="I1077" s="1" t="s">
        <v>9154</v>
      </c>
      <c r="J1077" s="1" t="s">
        <v>11607</v>
      </c>
      <c r="K1077" s="1" t="s">
        <v>21362</v>
      </c>
      <c r="L1077" s="1" t="s">
        <v>8973</v>
      </c>
      <c r="M1077" s="1">
        <f>1765+451</f>
        <v>2216</v>
      </c>
      <c r="N1077" s="1" t="s">
        <v>8953</v>
      </c>
      <c r="O1077" s="1" t="s">
        <v>8989</v>
      </c>
      <c r="P1077" s="1" t="e">
        <v>#N/A</v>
      </c>
      <c r="Q1077" s="1" t="e">
        <v>#N/A</v>
      </c>
      <c r="R1077" s="1">
        <f>1+LEN(T1077)-LEN(SUBSTITUTE(T1077,",",))</f>
        <v>8</v>
      </c>
      <c r="S1077" s="1" t="str">
        <f>IF(R1077&gt;4,IF(R1077&lt;8,"4-7",IF(R1077&gt;7,"&gt;7")),"&lt;4")</f>
        <v>&gt;7</v>
      </c>
      <c r="T1077" s="1" t="s">
        <v>19115</v>
      </c>
      <c r="U1077" s="1" t="s">
        <v>17</v>
      </c>
      <c r="V1077" s="1" t="s">
        <v>46</v>
      </c>
      <c r="W1077" s="1"/>
    </row>
    <row r="1078" spans="1:23" x14ac:dyDescent="0.2">
      <c r="A1078" s="88" t="s">
        <v>16430</v>
      </c>
      <c r="B1078" s="1" t="e">
        <v>#N/A</v>
      </c>
      <c r="C1078" s="1" t="s">
        <v>11146</v>
      </c>
      <c r="D1078" s="1" t="s">
        <v>2991</v>
      </c>
      <c r="E1078" s="1" t="s">
        <v>2992</v>
      </c>
      <c r="F1078" s="1" t="s">
        <v>9310</v>
      </c>
      <c r="G1078" s="1" t="s">
        <v>8957</v>
      </c>
      <c r="H1078" t="s">
        <v>9183</v>
      </c>
      <c r="I1078" s="1" t="s">
        <v>9252</v>
      </c>
      <c r="J1078" s="1" t="s">
        <v>8971</v>
      </c>
      <c r="K1078" s="1" t="s">
        <v>9918</v>
      </c>
      <c r="L1078" s="1" t="s">
        <v>8973</v>
      </c>
      <c r="M1078" s="1">
        <v>1570</v>
      </c>
      <c r="N1078" s="1" t="s">
        <v>8953</v>
      </c>
      <c r="O1078" s="1" t="s">
        <v>8989</v>
      </c>
      <c r="P1078" s="1" t="s">
        <v>8955</v>
      </c>
      <c r="Q1078" s="1" t="s">
        <v>8956</v>
      </c>
      <c r="R1078" s="1" t="s">
        <v>8957</v>
      </c>
      <c r="S1078" s="1" t="s">
        <v>8958</v>
      </c>
      <c r="T1078" s="1" t="s">
        <v>2993</v>
      </c>
      <c r="U1078" s="1" t="s">
        <v>17</v>
      </c>
      <c r="V1078" s="1" t="s">
        <v>93</v>
      </c>
      <c r="W1078" s="1"/>
    </row>
    <row r="1079" spans="1:23" x14ac:dyDescent="0.2">
      <c r="A1079" s="88" t="s">
        <v>16431</v>
      </c>
      <c r="B1079" s="1" t="e">
        <v>#N/A</v>
      </c>
      <c r="C1079" s="1" t="s">
        <v>10390</v>
      </c>
      <c r="D1079" s="1" t="s">
        <v>2994</v>
      </c>
      <c r="E1079" s="1" t="s">
        <v>2995</v>
      </c>
      <c r="F1079" s="1" t="s">
        <v>9310</v>
      </c>
      <c r="G1079" s="1" t="s">
        <v>8957</v>
      </c>
      <c r="H1079" t="s">
        <v>8959</v>
      </c>
      <c r="I1079" s="1" t="s">
        <v>8948</v>
      </c>
      <c r="J1079" s="1" t="s">
        <v>8998</v>
      </c>
      <c r="K1079" s="1" t="s">
        <v>9386</v>
      </c>
      <c r="L1079" s="1" t="s">
        <v>9464</v>
      </c>
      <c r="M1079" s="1">
        <v>300</v>
      </c>
      <c r="N1079" s="1" t="s">
        <v>8953</v>
      </c>
      <c r="O1079" s="1" t="s">
        <v>8954</v>
      </c>
      <c r="P1079" s="1" t="s">
        <v>8955</v>
      </c>
      <c r="Q1079" s="1" t="s">
        <v>8956</v>
      </c>
      <c r="R1079" s="1" t="s">
        <v>8957</v>
      </c>
      <c r="S1079" s="1" t="s">
        <v>8975</v>
      </c>
      <c r="T1079" s="1" t="s">
        <v>2996</v>
      </c>
      <c r="U1079" s="1" t="s">
        <v>17</v>
      </c>
      <c r="V1079" s="1" t="s">
        <v>93</v>
      </c>
      <c r="W1079" s="1"/>
    </row>
    <row r="1080" spans="1:23" x14ac:dyDescent="0.2">
      <c r="A1080" s="88" t="s">
        <v>16432</v>
      </c>
      <c r="B1080" s="1" t="e">
        <v>#N/A</v>
      </c>
      <c r="C1080" s="1" t="e">
        <v>#N/A</v>
      </c>
      <c r="D1080" s="1" t="s">
        <v>2997</v>
      </c>
      <c r="E1080" s="1" t="s">
        <v>2998</v>
      </c>
      <c r="F1080" s="1" t="s">
        <v>9310</v>
      </c>
      <c r="G1080" s="1" t="s">
        <v>8957</v>
      </c>
      <c r="H1080" t="s">
        <v>9061</v>
      </c>
      <c r="I1080" s="1" t="s">
        <v>9605</v>
      </c>
      <c r="J1080" s="1" t="s">
        <v>9155</v>
      </c>
      <c r="K1080" s="1" t="s">
        <v>10629</v>
      </c>
      <c r="L1080" s="1" t="s">
        <v>9076</v>
      </c>
      <c r="M1080" s="1">
        <f>21566+1566</f>
        <v>23132</v>
      </c>
      <c r="N1080" s="1" t="s">
        <v>8953</v>
      </c>
      <c r="O1080" s="1" t="s">
        <v>8989</v>
      </c>
      <c r="P1080" s="1" t="e">
        <v>#N/A</v>
      </c>
      <c r="Q1080" s="1" t="e">
        <v>#N/A</v>
      </c>
      <c r="R1080" s="1">
        <f>1+LEN(T1080)-LEN(SUBSTITUTE(T1080,",",))</f>
        <v>10</v>
      </c>
      <c r="S1080" s="1" t="str">
        <f>IF(R1080&gt;4,IF(R1080&lt;8,"4-7",IF(R1080&gt;7,"&gt;7")),"&lt;4")</f>
        <v>&gt;7</v>
      </c>
      <c r="T1080" s="1" t="s">
        <v>19116</v>
      </c>
      <c r="U1080" s="1" t="s">
        <v>7</v>
      </c>
      <c r="V1080" s="1" t="s">
        <v>378</v>
      </c>
      <c r="W1080" s="1"/>
    </row>
    <row r="1081" spans="1:23" x14ac:dyDescent="0.2">
      <c r="A1081" s="88" t="s">
        <v>16433</v>
      </c>
      <c r="B1081" s="1" t="e">
        <v>#N/A</v>
      </c>
      <c r="C1081" s="1" t="s">
        <v>12450</v>
      </c>
      <c r="D1081" s="1" t="s">
        <v>2999</v>
      </c>
      <c r="E1081" s="1" t="s">
        <v>3000</v>
      </c>
      <c r="F1081" s="1" t="s">
        <v>9310</v>
      </c>
      <c r="G1081" s="1" t="s">
        <v>9060</v>
      </c>
      <c r="H1081" t="s">
        <v>8959</v>
      </c>
      <c r="I1081" s="1" t="s">
        <v>8948</v>
      </c>
      <c r="J1081" s="1" t="s">
        <v>12453</v>
      </c>
      <c r="K1081" s="1" t="s">
        <v>21462</v>
      </c>
      <c r="L1081" s="1" t="s">
        <v>8951</v>
      </c>
      <c r="M1081" s="1">
        <v>20</v>
      </c>
      <c r="N1081" s="1" t="s">
        <v>9059</v>
      </c>
      <c r="O1081" s="1" t="s">
        <v>8989</v>
      </c>
      <c r="P1081" s="1" t="s">
        <v>8955</v>
      </c>
      <c r="Q1081" s="1" t="s">
        <v>8956</v>
      </c>
      <c r="R1081" s="1" t="s">
        <v>9060</v>
      </c>
      <c r="S1081" s="1" t="s">
        <v>8958</v>
      </c>
      <c r="T1081" s="1" t="s">
        <v>3001</v>
      </c>
      <c r="U1081" s="1" t="s">
        <v>17</v>
      </c>
      <c r="V1081" s="1" t="s">
        <v>359</v>
      </c>
      <c r="W1081" s="1"/>
    </row>
    <row r="1082" spans="1:23" x14ac:dyDescent="0.2">
      <c r="A1082" s="88" t="s">
        <v>16434</v>
      </c>
      <c r="B1082" s="1" t="e">
        <v>#N/A</v>
      </c>
      <c r="C1082" s="1" t="e">
        <v>#N/A</v>
      </c>
      <c r="D1082" s="1" t="s">
        <v>3002</v>
      </c>
      <c r="E1082" s="1" t="s">
        <v>3003</v>
      </c>
      <c r="F1082" s="1" t="s">
        <v>9213</v>
      </c>
      <c r="G1082" s="1" t="s">
        <v>8957</v>
      </c>
      <c r="H1082" t="s">
        <v>8959</v>
      </c>
      <c r="I1082" s="1" t="s">
        <v>20714</v>
      </c>
      <c r="J1082" s="1" t="s">
        <v>9050</v>
      </c>
      <c r="K1082" s="1" t="s">
        <v>18497</v>
      </c>
      <c r="L1082" s="1" t="s">
        <v>8973</v>
      </c>
      <c r="M1082" s="1">
        <v>40</v>
      </c>
      <c r="N1082" s="1" t="s">
        <v>8953</v>
      </c>
      <c r="O1082" s="1" t="s">
        <v>8989</v>
      </c>
      <c r="P1082" s="1" t="e">
        <v>#N/A</v>
      </c>
      <c r="Q1082" s="1" t="e">
        <v>#N/A</v>
      </c>
      <c r="R1082" s="1">
        <f t="shared" ref="R1082:R1083" si="322">1+LEN(T1082)-LEN(SUBSTITUTE(T1082,",",))</f>
        <v>3</v>
      </c>
      <c r="S1082" s="1" t="str">
        <f t="shared" ref="S1082:S1083" si="323">IF(R1082&gt;4,IF(R1082&lt;8,"4-7",IF(R1082&gt;7,"&gt;7")),"&lt;4")</f>
        <v>&lt;4</v>
      </c>
      <c r="T1082" s="1" t="s">
        <v>19117</v>
      </c>
      <c r="U1082" s="1" t="s">
        <v>17</v>
      </c>
      <c r="V1082" s="1" t="s">
        <v>46</v>
      </c>
      <c r="W1082" s="1"/>
    </row>
    <row r="1083" spans="1:23" x14ac:dyDescent="0.2">
      <c r="A1083" s="88" t="s">
        <v>16435</v>
      </c>
      <c r="B1083" s="1" t="e">
        <v>#N/A</v>
      </c>
      <c r="C1083" s="1" t="e">
        <v>#N/A</v>
      </c>
      <c r="D1083" s="1" t="s">
        <v>3004</v>
      </c>
      <c r="E1083" s="1" t="s">
        <v>3005</v>
      </c>
      <c r="F1083" s="1" t="s">
        <v>9310</v>
      </c>
      <c r="G1083" s="1" t="s">
        <v>8957</v>
      </c>
      <c r="H1083" t="s">
        <v>8959</v>
      </c>
      <c r="I1083" s="1" t="s">
        <v>9100</v>
      </c>
      <c r="J1083" s="1" t="s">
        <v>8998</v>
      </c>
      <c r="K1083" s="1" t="s">
        <v>10492</v>
      </c>
      <c r="L1083" s="1" t="s">
        <v>8973</v>
      </c>
      <c r="M1083" s="1">
        <v>40</v>
      </c>
      <c r="N1083" s="1" t="s">
        <v>8953</v>
      </c>
      <c r="O1083" s="1" t="s">
        <v>8989</v>
      </c>
      <c r="P1083" s="1" t="e">
        <v>#N/A</v>
      </c>
      <c r="Q1083" s="1" t="e">
        <v>#N/A</v>
      </c>
      <c r="R1083" s="1">
        <f t="shared" si="322"/>
        <v>5</v>
      </c>
      <c r="S1083" s="1" t="str">
        <f t="shared" si="323"/>
        <v>4-7</v>
      </c>
      <c r="T1083" s="1" t="s">
        <v>19118</v>
      </c>
      <c r="U1083" s="1" t="s">
        <v>7</v>
      </c>
      <c r="V1083" s="1" t="s">
        <v>46</v>
      </c>
      <c r="W1083" s="1"/>
    </row>
    <row r="1084" spans="1:23" x14ac:dyDescent="0.2">
      <c r="A1084" s="88" t="s">
        <v>16436</v>
      </c>
      <c r="B1084" s="1" t="e">
        <v>#N/A</v>
      </c>
      <c r="C1084" s="1" t="s">
        <v>10776</v>
      </c>
      <c r="D1084" s="1" t="s">
        <v>3006</v>
      </c>
      <c r="E1084" s="1" t="s">
        <v>3007</v>
      </c>
      <c r="F1084" s="1" t="s">
        <v>9310</v>
      </c>
      <c r="G1084" s="1" t="s">
        <v>8957</v>
      </c>
      <c r="H1084" t="s">
        <v>8959</v>
      </c>
      <c r="I1084" s="1" t="s">
        <v>8948</v>
      </c>
      <c r="J1084" s="1" t="s">
        <v>9155</v>
      </c>
      <c r="K1084" s="1" t="s">
        <v>9036</v>
      </c>
      <c r="L1084" s="1" t="s">
        <v>9076</v>
      </c>
      <c r="M1084" s="1">
        <v>22</v>
      </c>
      <c r="N1084" s="1" t="s">
        <v>8953</v>
      </c>
      <c r="O1084" s="1" t="s">
        <v>8954</v>
      </c>
      <c r="P1084" s="1" t="s">
        <v>8955</v>
      </c>
      <c r="Q1084" s="1" t="s">
        <v>8990</v>
      </c>
      <c r="R1084" s="1" t="s">
        <v>8957</v>
      </c>
      <c r="S1084" s="1" t="s">
        <v>8975</v>
      </c>
      <c r="T1084" s="1" t="s">
        <v>3008</v>
      </c>
      <c r="U1084" s="1" t="s">
        <v>11</v>
      </c>
      <c r="V1084" s="1" t="s">
        <v>1848</v>
      </c>
      <c r="W1084" s="1"/>
    </row>
    <row r="1085" spans="1:23" x14ac:dyDescent="0.2">
      <c r="A1085" s="88" t="s">
        <v>16437</v>
      </c>
      <c r="B1085" s="1" t="e">
        <v>#N/A</v>
      </c>
      <c r="C1085" s="1" t="e">
        <v>#N/A</v>
      </c>
      <c r="D1085" s="1" t="s">
        <v>3009</v>
      </c>
      <c r="E1085" s="1" t="s">
        <v>3010</v>
      </c>
      <c r="F1085" s="1" t="s">
        <v>9310</v>
      </c>
      <c r="G1085" s="1" t="s">
        <v>8957</v>
      </c>
      <c r="H1085" t="s">
        <v>8959</v>
      </c>
      <c r="I1085" s="1" t="s">
        <v>8984</v>
      </c>
      <c r="J1085" s="1" t="s">
        <v>8949</v>
      </c>
      <c r="K1085" s="1" t="s">
        <v>20779</v>
      </c>
      <c r="L1085" s="1" t="s">
        <v>8987</v>
      </c>
      <c r="M1085" s="1">
        <v>103</v>
      </c>
      <c r="N1085" s="1" t="s">
        <v>9059</v>
      </c>
      <c r="O1085" s="1" t="s">
        <v>8989</v>
      </c>
      <c r="P1085" s="1" t="e">
        <v>#N/A</v>
      </c>
      <c r="Q1085" s="1" t="e">
        <v>#N/A</v>
      </c>
      <c r="R1085" s="1">
        <f t="shared" ref="R1085:R1087" si="324">1+LEN(T1085)-LEN(SUBSTITUTE(T1085,",",))</f>
        <v>13</v>
      </c>
      <c r="S1085" s="1" t="str">
        <f t="shared" ref="S1085:S1087" si="325">IF(R1085&gt;4,IF(R1085&lt;8,"4-7",IF(R1085&gt;7,"&gt;7")),"&lt;4")</f>
        <v>&gt;7</v>
      </c>
      <c r="T1085" s="1" t="s">
        <v>19119</v>
      </c>
      <c r="U1085" s="1" t="s">
        <v>7</v>
      </c>
      <c r="V1085" s="1" t="s">
        <v>27</v>
      </c>
      <c r="W1085" s="1"/>
    </row>
    <row r="1086" spans="1:23" x14ac:dyDescent="0.2">
      <c r="A1086" s="89" t="s">
        <v>3011</v>
      </c>
      <c r="B1086" s="1" t="e">
        <v>#N/A</v>
      </c>
      <c r="C1086" s="1" t="e">
        <v>#N/A</v>
      </c>
      <c r="D1086" s="5" t="s">
        <v>3012</v>
      </c>
      <c r="E1086" s="1" t="s">
        <v>3013</v>
      </c>
      <c r="F1086" s="1" t="e">
        <v>#N/A</v>
      </c>
      <c r="G1086" s="1" t="e">
        <v>#N/A</v>
      </c>
      <c r="H1086" t="e">
        <v>#N/A</v>
      </c>
      <c r="I1086" s="1" t="e">
        <v>#N/A</v>
      </c>
      <c r="J1086" s="1" t="e">
        <v>#N/A</v>
      </c>
      <c r="K1086" s="1" t="e">
        <v>#N/A</v>
      </c>
      <c r="L1086" s="1" t="e">
        <v>#N/A</v>
      </c>
      <c r="M1086" s="1" t="e">
        <v>#N/A</v>
      </c>
      <c r="N1086" s="1" t="e">
        <v>#N/A</v>
      </c>
      <c r="O1086" s="1" t="e">
        <v>#N/A</v>
      </c>
      <c r="P1086" s="1" t="e">
        <v>#N/A</v>
      </c>
      <c r="Q1086" s="1" t="e">
        <v>#N/A</v>
      </c>
      <c r="R1086" s="1">
        <f t="shared" si="324"/>
        <v>5</v>
      </c>
      <c r="S1086" s="1" t="str">
        <f t="shared" si="325"/>
        <v>4-7</v>
      </c>
      <c r="T1086" s="1" t="s">
        <v>19120</v>
      </c>
      <c r="U1086" s="1" t="s">
        <v>7</v>
      </c>
      <c r="V1086" s="1" t="s">
        <v>1010</v>
      </c>
      <c r="W1086" s="1"/>
    </row>
    <row r="1087" spans="1:23" x14ac:dyDescent="0.2">
      <c r="A1087" s="89" t="s">
        <v>16438</v>
      </c>
      <c r="B1087" s="1" t="e">
        <v>#N/A</v>
      </c>
      <c r="C1087" s="1" t="e">
        <v>#N/A</v>
      </c>
      <c r="D1087" s="1" t="s">
        <v>3014</v>
      </c>
      <c r="E1087" s="1" t="s">
        <v>3015</v>
      </c>
      <c r="F1087" s="1" t="e">
        <v>#N/A</v>
      </c>
      <c r="G1087" s="1" t="e">
        <v>#N/A</v>
      </c>
      <c r="H1087" t="e">
        <v>#N/A</v>
      </c>
      <c r="I1087" s="1" t="e">
        <v>#N/A</v>
      </c>
      <c r="J1087" s="1" t="e">
        <v>#N/A</v>
      </c>
      <c r="K1087" s="1" t="e">
        <v>#N/A</v>
      </c>
      <c r="L1087" s="1" t="e">
        <v>#N/A</v>
      </c>
      <c r="M1087" s="1" t="e">
        <v>#N/A</v>
      </c>
      <c r="N1087" s="1" t="e">
        <v>#N/A</v>
      </c>
      <c r="O1087" s="1" t="e">
        <v>#N/A</v>
      </c>
      <c r="P1087" s="1" t="e">
        <v>#N/A</v>
      </c>
      <c r="Q1087" s="1" t="e">
        <v>#N/A</v>
      </c>
      <c r="R1087" s="1">
        <f t="shared" si="324"/>
        <v>2</v>
      </c>
      <c r="S1087" s="1" t="str">
        <f t="shared" si="325"/>
        <v>&lt;4</v>
      </c>
      <c r="T1087" s="1" t="s">
        <v>19121</v>
      </c>
      <c r="U1087" s="1" t="s">
        <v>17</v>
      </c>
      <c r="V1087" s="1" t="s">
        <v>46</v>
      </c>
      <c r="W1087" s="1"/>
    </row>
    <row r="1088" spans="1:23" x14ac:dyDescent="0.2">
      <c r="A1088" s="88" t="s">
        <v>16439</v>
      </c>
      <c r="B1088" s="1" t="e">
        <v>#N/A</v>
      </c>
      <c r="C1088" s="1" t="s">
        <v>13797</v>
      </c>
      <c r="D1088" s="1" t="s">
        <v>3016</v>
      </c>
      <c r="E1088" s="1" t="s">
        <v>3017</v>
      </c>
      <c r="F1088" s="1" t="s">
        <v>9310</v>
      </c>
      <c r="G1088" s="1" t="s">
        <v>8957</v>
      </c>
      <c r="H1088" t="s">
        <v>8959</v>
      </c>
      <c r="I1088" s="1" t="s">
        <v>8948</v>
      </c>
      <c r="J1088" s="1" t="s">
        <v>8949</v>
      </c>
      <c r="K1088" s="1" t="s">
        <v>21414</v>
      </c>
      <c r="L1088" s="1" t="s">
        <v>8987</v>
      </c>
      <c r="M1088" s="1">
        <v>68</v>
      </c>
      <c r="N1088" s="1" t="s">
        <v>9059</v>
      </c>
      <c r="O1088" s="1" t="s">
        <v>8989</v>
      </c>
      <c r="P1088" s="1" t="s">
        <v>8955</v>
      </c>
      <c r="Q1088" s="1" t="s">
        <v>8990</v>
      </c>
      <c r="R1088" s="1" t="s">
        <v>8957</v>
      </c>
      <c r="S1088" s="1" t="s">
        <v>8975</v>
      </c>
      <c r="T1088" s="1" t="s">
        <v>3018</v>
      </c>
      <c r="U1088" s="1" t="s">
        <v>11</v>
      </c>
      <c r="V1088" s="1" t="s">
        <v>61</v>
      </c>
      <c r="W1088" s="1"/>
    </row>
    <row r="1089" spans="1:23" x14ac:dyDescent="0.2">
      <c r="A1089" s="88" t="s">
        <v>16440</v>
      </c>
      <c r="B1089" s="1" t="e">
        <v>#N/A</v>
      </c>
      <c r="C1089" s="1" t="e">
        <v>#N/A</v>
      </c>
      <c r="D1089" s="1" t="s">
        <v>3019</v>
      </c>
      <c r="E1089" s="1" t="s">
        <v>3020</v>
      </c>
      <c r="F1089" s="1" t="s">
        <v>9176</v>
      </c>
      <c r="G1089" s="1" t="s">
        <v>8959</v>
      </c>
      <c r="H1089" t="s">
        <v>9183</v>
      </c>
      <c r="I1089" s="1" t="s">
        <v>8948</v>
      </c>
      <c r="J1089" s="1" t="s">
        <v>8998</v>
      </c>
      <c r="K1089" s="1" t="s">
        <v>18489</v>
      </c>
      <c r="L1089" s="1" t="s">
        <v>9292</v>
      </c>
      <c r="M1089" s="1">
        <v>675</v>
      </c>
      <c r="N1089" s="1" t="s">
        <v>8953</v>
      </c>
      <c r="O1089" s="1" t="s">
        <v>8989</v>
      </c>
      <c r="P1089" s="1" t="e">
        <v>#N/A</v>
      </c>
      <c r="Q1089" s="1" t="e">
        <v>#N/A</v>
      </c>
      <c r="R1089" s="1">
        <f t="shared" ref="R1089:R1091" si="326">1+LEN(T1089)-LEN(SUBSTITUTE(T1089,",",))</f>
        <v>9</v>
      </c>
      <c r="S1089" s="1" t="str">
        <f t="shared" ref="S1089:S1091" si="327">IF(R1089&gt;4,IF(R1089&lt;8,"4-7",IF(R1089&gt;7,"&gt;7")),"&lt;4")</f>
        <v>&gt;7</v>
      </c>
      <c r="T1089" s="1" t="s">
        <v>19122</v>
      </c>
      <c r="U1089" s="1" t="s">
        <v>7</v>
      </c>
      <c r="V1089" s="1" t="s">
        <v>3021</v>
      </c>
      <c r="W1089" s="1"/>
    </row>
    <row r="1090" spans="1:23" x14ac:dyDescent="0.2">
      <c r="A1090" s="88" t="s">
        <v>16441</v>
      </c>
      <c r="B1090" s="1" t="e">
        <v>#N/A</v>
      </c>
      <c r="C1090" s="1" t="e">
        <v>#N/A</v>
      </c>
      <c r="D1090" s="1" t="s">
        <v>3022</v>
      </c>
      <c r="E1090" s="1" t="s">
        <v>3023</v>
      </c>
      <c r="F1090" s="1" t="s">
        <v>9310</v>
      </c>
      <c r="G1090" s="1" t="s">
        <v>8957</v>
      </c>
      <c r="H1090" t="s">
        <v>8959</v>
      </c>
      <c r="I1090" s="1" t="s">
        <v>9605</v>
      </c>
      <c r="J1090" s="1" t="s">
        <v>8959</v>
      </c>
      <c r="K1090" s="1" t="s">
        <v>18497</v>
      </c>
      <c r="L1090" s="1" t="s">
        <v>8951</v>
      </c>
      <c r="M1090" s="1">
        <v>365</v>
      </c>
      <c r="N1090" s="1" t="s">
        <v>8953</v>
      </c>
      <c r="O1090" s="1" t="s">
        <v>8989</v>
      </c>
      <c r="P1090" s="1" t="e">
        <v>#N/A</v>
      </c>
      <c r="Q1090" s="1" t="e">
        <v>#N/A</v>
      </c>
      <c r="R1090" s="1">
        <f t="shared" si="326"/>
        <v>7</v>
      </c>
      <c r="S1090" s="1" t="str">
        <f t="shared" si="327"/>
        <v>4-7</v>
      </c>
      <c r="T1090" s="1" t="s">
        <v>19123</v>
      </c>
      <c r="U1090" s="1" t="s">
        <v>17</v>
      </c>
      <c r="V1090" s="1" t="s">
        <v>2248</v>
      </c>
      <c r="W1090" s="1"/>
    </row>
    <row r="1091" spans="1:23" x14ac:dyDescent="0.2">
      <c r="A1091" s="88" t="s">
        <v>16442</v>
      </c>
      <c r="B1091" s="1" t="e">
        <v>#N/A</v>
      </c>
      <c r="C1091" s="1" t="e">
        <v>#N/A</v>
      </c>
      <c r="D1091" s="1" t="s">
        <v>3024</v>
      </c>
      <c r="E1091" s="1" t="s">
        <v>3025</v>
      </c>
      <c r="F1091" s="1" t="s">
        <v>18502</v>
      </c>
      <c r="G1091" s="1" t="s">
        <v>8957</v>
      </c>
      <c r="H1091" t="s">
        <v>8959</v>
      </c>
      <c r="I1091" s="1" t="s">
        <v>9035</v>
      </c>
      <c r="J1091" s="1" t="s">
        <v>8998</v>
      </c>
      <c r="K1091" s="1" t="s">
        <v>20811</v>
      </c>
      <c r="L1091" s="1" t="s">
        <v>8951</v>
      </c>
      <c r="M1091" s="1">
        <f>25097+2294</f>
        <v>27391</v>
      </c>
      <c r="N1091" s="1" t="s">
        <v>9059</v>
      </c>
      <c r="O1091" s="1" t="s">
        <v>8954</v>
      </c>
      <c r="P1091" s="1" t="e">
        <v>#N/A</v>
      </c>
      <c r="Q1091" s="1" t="e">
        <v>#N/A</v>
      </c>
      <c r="R1091" s="1">
        <f t="shared" si="326"/>
        <v>20</v>
      </c>
      <c r="S1091" s="1" t="str">
        <f t="shared" si="327"/>
        <v>&gt;7</v>
      </c>
      <c r="T1091" s="1" t="s">
        <v>19124</v>
      </c>
      <c r="U1091" s="1" t="s">
        <v>17</v>
      </c>
      <c r="V1091" s="1" t="s">
        <v>686</v>
      </c>
      <c r="W1091" s="1"/>
    </row>
    <row r="1092" spans="1:23" x14ac:dyDescent="0.2">
      <c r="A1092" s="88" t="s">
        <v>16443</v>
      </c>
      <c r="B1092" s="1" t="e">
        <v>#N/A</v>
      </c>
      <c r="C1092" s="1" t="s">
        <v>10054</v>
      </c>
      <c r="D1092" s="1" t="s">
        <v>3026</v>
      </c>
      <c r="E1092" s="1" t="s">
        <v>3027</v>
      </c>
      <c r="F1092" s="1" t="s">
        <v>9310</v>
      </c>
      <c r="G1092" s="1" t="s">
        <v>8957</v>
      </c>
      <c r="H1092" t="s">
        <v>8959</v>
      </c>
      <c r="I1092" s="1" t="s">
        <v>8984</v>
      </c>
      <c r="J1092" s="1" t="s">
        <v>8971</v>
      </c>
      <c r="K1092" s="1" t="s">
        <v>10057</v>
      </c>
      <c r="L1092" s="1" t="s">
        <v>9157</v>
      </c>
      <c r="M1092" s="1">
        <v>39</v>
      </c>
      <c r="N1092" s="1" t="s">
        <v>8953</v>
      </c>
      <c r="O1092" s="1" t="s">
        <v>8989</v>
      </c>
      <c r="P1092" s="1" t="s">
        <v>8955</v>
      </c>
      <c r="Q1092" s="1" t="s">
        <v>8990</v>
      </c>
      <c r="R1092" s="1" t="s">
        <v>8957</v>
      </c>
      <c r="S1092" s="1" t="s">
        <v>8975</v>
      </c>
      <c r="T1092" s="1" t="s">
        <v>3028</v>
      </c>
      <c r="U1092" s="1" t="s">
        <v>17</v>
      </c>
      <c r="V1092" s="1" t="s">
        <v>93</v>
      </c>
      <c r="W1092" s="1"/>
    </row>
    <row r="1093" spans="1:23" x14ac:dyDescent="0.2">
      <c r="A1093" s="89" t="s">
        <v>3029</v>
      </c>
      <c r="B1093" s="1" t="e">
        <v>#N/A</v>
      </c>
      <c r="C1093" s="1" t="e">
        <v>#N/A</v>
      </c>
      <c r="D1093" s="1" t="s">
        <v>3030</v>
      </c>
      <c r="E1093" s="1" t="s">
        <v>3031</v>
      </c>
      <c r="F1093" s="1" t="e">
        <v>#N/A</v>
      </c>
      <c r="G1093" s="1" t="e">
        <v>#N/A</v>
      </c>
      <c r="H1093" t="e">
        <v>#N/A</v>
      </c>
      <c r="I1093" s="1" t="e">
        <v>#N/A</v>
      </c>
      <c r="J1093" s="1" t="e">
        <v>#N/A</v>
      </c>
      <c r="K1093" s="1" t="e">
        <v>#N/A</v>
      </c>
      <c r="L1093" s="1" t="e">
        <v>#N/A</v>
      </c>
      <c r="M1093" s="1" t="e">
        <v>#N/A</v>
      </c>
      <c r="N1093" s="1" t="e">
        <v>#N/A</v>
      </c>
      <c r="O1093" s="1" t="e">
        <v>#N/A</v>
      </c>
      <c r="P1093" s="1" t="e">
        <v>#N/A</v>
      </c>
      <c r="Q1093" s="1" t="e">
        <v>#N/A</v>
      </c>
      <c r="R1093" s="1">
        <f t="shared" ref="R1093:R1095" si="328">1+LEN(T1093)-LEN(SUBSTITUTE(T1093,",",))</f>
        <v>3</v>
      </c>
      <c r="S1093" s="1" t="str">
        <f t="shared" ref="S1093:S1095" si="329">IF(R1093&gt;4,IF(R1093&lt;8,"4-7",IF(R1093&gt;7,"&gt;7")),"&lt;4")</f>
        <v>&lt;4</v>
      </c>
      <c r="T1093" s="1" t="s">
        <v>19125</v>
      </c>
      <c r="U1093" s="1" t="s">
        <v>11</v>
      </c>
      <c r="V1093" s="1" t="s">
        <v>1343</v>
      </c>
      <c r="W1093" s="1"/>
    </row>
    <row r="1094" spans="1:23" x14ac:dyDescent="0.2">
      <c r="A1094" s="89" t="s">
        <v>3032</v>
      </c>
      <c r="B1094" s="1" t="e">
        <v>#N/A</v>
      </c>
      <c r="C1094" s="1" t="e">
        <v>#N/A</v>
      </c>
      <c r="D1094" s="5" t="s">
        <v>3033</v>
      </c>
      <c r="E1094" s="1" t="s">
        <v>3034</v>
      </c>
      <c r="F1094" s="1" t="e">
        <v>#N/A</v>
      </c>
      <c r="G1094" s="1" t="e">
        <v>#N/A</v>
      </c>
      <c r="H1094" t="e">
        <v>#N/A</v>
      </c>
      <c r="I1094" s="1" t="e">
        <v>#N/A</v>
      </c>
      <c r="J1094" s="1" t="e">
        <v>#N/A</v>
      </c>
      <c r="K1094" s="1" t="e">
        <v>#N/A</v>
      </c>
      <c r="L1094" s="1" t="e">
        <v>#N/A</v>
      </c>
      <c r="M1094" s="1" t="e">
        <v>#N/A</v>
      </c>
      <c r="N1094" s="1" t="e">
        <v>#N/A</v>
      </c>
      <c r="O1094" s="1" t="e">
        <v>#N/A</v>
      </c>
      <c r="P1094" s="1" t="e">
        <v>#N/A</v>
      </c>
      <c r="Q1094" s="1" t="e">
        <v>#N/A</v>
      </c>
      <c r="R1094" s="1">
        <f t="shared" si="328"/>
        <v>5</v>
      </c>
      <c r="S1094" s="1" t="str">
        <f t="shared" si="329"/>
        <v>4-7</v>
      </c>
      <c r="T1094" s="1" t="s">
        <v>19126</v>
      </c>
      <c r="U1094" s="1" t="s">
        <v>7</v>
      </c>
      <c r="V1094" s="1" t="s">
        <v>2819</v>
      </c>
      <c r="W1094" s="1"/>
    </row>
    <row r="1095" spans="1:23" x14ac:dyDescent="0.2">
      <c r="A1095" s="88" t="s">
        <v>16444</v>
      </c>
      <c r="B1095" s="1" t="e">
        <v>#N/A</v>
      </c>
      <c r="C1095" s="1" t="e">
        <v>#N/A</v>
      </c>
      <c r="D1095" s="1" t="s">
        <v>3035</v>
      </c>
      <c r="E1095" s="1" t="s">
        <v>3036</v>
      </c>
      <c r="F1095" s="1" t="s">
        <v>18502</v>
      </c>
      <c r="G1095" s="1" t="s">
        <v>8957</v>
      </c>
      <c r="H1095" t="s">
        <v>8959</v>
      </c>
      <c r="I1095" s="1" t="s">
        <v>9035</v>
      </c>
      <c r="J1095" s="1" t="s">
        <v>8998</v>
      </c>
      <c r="K1095" s="1" t="s">
        <v>20779</v>
      </c>
      <c r="L1095" s="1" t="s">
        <v>8987</v>
      </c>
      <c r="M1095" s="1">
        <f>1414+190+190</f>
        <v>1794</v>
      </c>
      <c r="N1095" s="1" t="s">
        <v>9059</v>
      </c>
      <c r="O1095" s="1" t="s">
        <v>8989</v>
      </c>
      <c r="P1095" s="1" t="e">
        <v>#N/A</v>
      </c>
      <c r="Q1095" s="1" t="e">
        <v>#N/A</v>
      </c>
      <c r="R1095" s="1">
        <f t="shared" si="328"/>
        <v>5</v>
      </c>
      <c r="S1095" s="1" t="str">
        <f t="shared" si="329"/>
        <v>4-7</v>
      </c>
      <c r="T1095" s="1" t="s">
        <v>19127</v>
      </c>
      <c r="U1095" s="1" t="s">
        <v>7</v>
      </c>
      <c r="V1095" s="1" t="s">
        <v>24</v>
      </c>
      <c r="W1095" s="1"/>
    </row>
    <row r="1096" spans="1:23" x14ac:dyDescent="0.2">
      <c r="A1096" s="88" t="s">
        <v>16445</v>
      </c>
      <c r="B1096" s="1" t="e">
        <v>#N/A</v>
      </c>
      <c r="C1096" s="1" t="s">
        <v>10945</v>
      </c>
      <c r="D1096" s="1" t="s">
        <v>3037</v>
      </c>
      <c r="E1096" s="1" t="s">
        <v>3038</v>
      </c>
      <c r="F1096" s="1" t="s">
        <v>9815</v>
      </c>
      <c r="G1096" s="1" t="s">
        <v>8959</v>
      </c>
      <c r="H1096" t="s">
        <v>8959</v>
      </c>
      <c r="I1096" s="1" t="s">
        <v>9154</v>
      </c>
      <c r="J1096" s="1" t="s">
        <v>8998</v>
      </c>
      <c r="K1096" s="1" t="s">
        <v>9036</v>
      </c>
      <c r="L1096" s="1" t="s">
        <v>8973</v>
      </c>
      <c r="M1096" s="1">
        <v>78</v>
      </c>
      <c r="N1096" s="1" t="s">
        <v>8953</v>
      </c>
      <c r="O1096" s="1" t="s">
        <v>8989</v>
      </c>
      <c r="P1096" s="1" t="s">
        <v>8955</v>
      </c>
      <c r="Q1096" s="1" t="s">
        <v>8956</v>
      </c>
      <c r="R1096" s="1" t="s">
        <v>8959</v>
      </c>
      <c r="S1096" s="1" t="s">
        <v>8975</v>
      </c>
      <c r="T1096" s="1" t="s">
        <v>3039</v>
      </c>
      <c r="U1096" s="1" t="s">
        <v>11</v>
      </c>
      <c r="V1096" s="1" t="s">
        <v>46</v>
      </c>
      <c r="W1096" s="1"/>
    </row>
    <row r="1097" spans="1:23" x14ac:dyDescent="0.2">
      <c r="A1097" s="88" t="s">
        <v>16446</v>
      </c>
      <c r="B1097" s="1" t="e">
        <v>#N/A</v>
      </c>
      <c r="C1097" s="1" t="s">
        <v>10077</v>
      </c>
      <c r="D1097" s="1" t="s">
        <v>3040</v>
      </c>
      <c r="E1097" s="1" t="s">
        <v>3041</v>
      </c>
      <c r="F1097" s="1" t="s">
        <v>10446</v>
      </c>
      <c r="G1097" s="1" t="s">
        <v>8959</v>
      </c>
      <c r="H1097" t="s">
        <v>8959</v>
      </c>
      <c r="I1097" s="1" t="s">
        <v>8948</v>
      </c>
      <c r="J1097" s="1" t="s">
        <v>8949</v>
      </c>
      <c r="K1097" s="1" t="s">
        <v>10080</v>
      </c>
      <c r="L1097" s="1" t="s">
        <v>9076</v>
      </c>
      <c r="M1097" s="1">
        <v>355</v>
      </c>
      <c r="N1097" s="1" t="s">
        <v>8953</v>
      </c>
      <c r="O1097" s="1" t="s">
        <v>8989</v>
      </c>
      <c r="P1097" s="1" t="s">
        <v>8955</v>
      </c>
      <c r="Q1097" s="1" t="s">
        <v>8956</v>
      </c>
      <c r="R1097" s="1" t="s">
        <v>8959</v>
      </c>
      <c r="S1097" s="1" t="s">
        <v>8958</v>
      </c>
      <c r="T1097" s="1" t="s">
        <v>3042</v>
      </c>
      <c r="U1097" s="1" t="s">
        <v>17</v>
      </c>
      <c r="V1097" s="1" t="s">
        <v>61</v>
      </c>
      <c r="W1097" s="1"/>
    </row>
    <row r="1098" spans="1:23" x14ac:dyDescent="0.2">
      <c r="A1098" s="88" t="s">
        <v>16447</v>
      </c>
      <c r="B1098" s="1" t="e">
        <v>#N/A</v>
      </c>
      <c r="C1098" s="1" t="e">
        <v>#N/A</v>
      </c>
      <c r="D1098" s="1" t="s">
        <v>3043</v>
      </c>
      <c r="E1098" s="1" t="s">
        <v>3044</v>
      </c>
      <c r="F1098" s="1" t="s">
        <v>10446</v>
      </c>
      <c r="G1098" s="1" t="s">
        <v>8957</v>
      </c>
      <c r="H1098" t="s">
        <v>8959</v>
      </c>
      <c r="I1098" s="1" t="s">
        <v>9035</v>
      </c>
      <c r="J1098" s="1" t="s">
        <v>8998</v>
      </c>
      <c r="K1098" s="1" t="s">
        <v>21425</v>
      </c>
      <c r="L1098" s="1" t="s">
        <v>20839</v>
      </c>
      <c r="M1098" s="1">
        <v>1018</v>
      </c>
      <c r="N1098" s="1" t="s">
        <v>8953</v>
      </c>
      <c r="O1098" s="1" t="s">
        <v>8954</v>
      </c>
      <c r="P1098" s="1" t="e">
        <v>#N/A</v>
      </c>
      <c r="Q1098" s="1" t="e">
        <v>#N/A</v>
      </c>
      <c r="R1098" s="1">
        <f>1+LEN(T1098)-LEN(SUBSTITUTE(T1098,",",))</f>
        <v>5</v>
      </c>
      <c r="S1098" s="1" t="str">
        <f>IF(R1098&gt;4,IF(R1098&lt;8,"4-7",IF(R1098&gt;7,"&gt;7")),"&lt;4")</f>
        <v>4-7</v>
      </c>
      <c r="T1098" s="1" t="s">
        <v>19128</v>
      </c>
      <c r="U1098" s="1" t="s">
        <v>17</v>
      </c>
      <c r="V1098" s="1" t="s">
        <v>43</v>
      </c>
      <c r="W1098" s="1"/>
    </row>
    <row r="1099" spans="1:23" x14ac:dyDescent="0.2">
      <c r="A1099" s="88" t="s">
        <v>16448</v>
      </c>
      <c r="B1099" s="1" t="e">
        <v>#N/A</v>
      </c>
      <c r="C1099" s="1" t="s">
        <v>10745</v>
      </c>
      <c r="D1099" s="1" t="s">
        <v>3045</v>
      </c>
      <c r="E1099" s="1" t="s">
        <v>3046</v>
      </c>
      <c r="F1099" s="1" t="s">
        <v>9310</v>
      </c>
      <c r="G1099" s="1" t="s">
        <v>8957</v>
      </c>
      <c r="H1099" t="s">
        <v>8959</v>
      </c>
      <c r="I1099" s="1" t="s">
        <v>9075</v>
      </c>
      <c r="J1099" s="1" t="s">
        <v>8998</v>
      </c>
      <c r="K1099" s="1" t="s">
        <v>9036</v>
      </c>
      <c r="L1099" s="1" t="s">
        <v>9464</v>
      </c>
      <c r="M1099" s="1">
        <v>600</v>
      </c>
      <c r="N1099" s="1" t="s">
        <v>8953</v>
      </c>
      <c r="O1099" s="1" t="s">
        <v>8989</v>
      </c>
      <c r="P1099" s="1" t="s">
        <v>8955</v>
      </c>
      <c r="Q1099" s="1" t="s">
        <v>8956</v>
      </c>
      <c r="R1099" s="1" t="s">
        <v>8957</v>
      </c>
      <c r="S1099" s="1" t="s">
        <v>8958</v>
      </c>
      <c r="T1099" s="1" t="s">
        <v>3047</v>
      </c>
      <c r="U1099" s="1" t="s">
        <v>11</v>
      </c>
      <c r="V1099" s="1" t="s">
        <v>1598</v>
      </c>
      <c r="W1099" s="1"/>
    </row>
    <row r="1100" spans="1:23" x14ac:dyDescent="0.2">
      <c r="A1100" s="88" t="s">
        <v>16449</v>
      </c>
      <c r="B1100" s="1" t="e">
        <v>#N/A</v>
      </c>
      <c r="C1100" s="1" t="e">
        <v>#N/A</v>
      </c>
      <c r="D1100" s="1" t="s">
        <v>3048</v>
      </c>
      <c r="E1100" s="1" t="s">
        <v>3049</v>
      </c>
      <c r="F1100" s="1" t="s">
        <v>9317</v>
      </c>
      <c r="G1100" s="1" t="s">
        <v>8957</v>
      </c>
      <c r="H1100" t="s">
        <v>8959</v>
      </c>
      <c r="I1100" s="1" t="s">
        <v>9605</v>
      </c>
      <c r="J1100" s="1" t="s">
        <v>9101</v>
      </c>
      <c r="K1100" s="1" t="s">
        <v>10492</v>
      </c>
      <c r="L1100" s="1" t="s">
        <v>9076</v>
      </c>
      <c r="M1100" s="1">
        <v>2400</v>
      </c>
      <c r="N1100" s="1" t="s">
        <v>8953</v>
      </c>
      <c r="O1100" s="1" t="s">
        <v>8989</v>
      </c>
      <c r="P1100" s="1" t="e">
        <v>#N/A</v>
      </c>
      <c r="Q1100" s="1" t="e">
        <v>#N/A</v>
      </c>
      <c r="R1100" s="1">
        <f t="shared" ref="R1100:R1104" si="330">1+LEN(T1100)-LEN(SUBSTITUTE(T1100,",",))</f>
        <v>4</v>
      </c>
      <c r="S1100" s="1" t="str">
        <f t="shared" ref="S1100:S1104" si="331">IF(R1100&gt;4,IF(R1100&lt;8,"4-7",IF(R1100&gt;7,"&gt;7")),"&lt;4")</f>
        <v>&lt;4</v>
      </c>
      <c r="T1100" s="1" t="s">
        <v>19129</v>
      </c>
      <c r="U1100" s="1" t="s">
        <v>7</v>
      </c>
      <c r="V1100" s="1" t="s">
        <v>3050</v>
      </c>
      <c r="W1100" s="1"/>
    </row>
    <row r="1101" spans="1:23" x14ac:dyDescent="0.2">
      <c r="A1101" s="89" t="s">
        <v>3051</v>
      </c>
      <c r="B1101" s="1" t="e">
        <v>#N/A</v>
      </c>
      <c r="C1101" s="1" t="e">
        <v>#N/A</v>
      </c>
      <c r="D1101" s="1" t="s">
        <v>3052</v>
      </c>
      <c r="E1101" s="1" t="s">
        <v>3053</v>
      </c>
      <c r="F1101" s="1" t="e">
        <v>#N/A</v>
      </c>
      <c r="G1101" s="1" t="e">
        <v>#N/A</v>
      </c>
      <c r="H1101" t="e">
        <v>#N/A</v>
      </c>
      <c r="I1101" s="1" t="e">
        <v>#N/A</v>
      </c>
      <c r="J1101" s="1" t="e">
        <v>#N/A</v>
      </c>
      <c r="K1101" s="1" t="e">
        <v>#N/A</v>
      </c>
      <c r="L1101" s="1" t="e">
        <v>#N/A</v>
      </c>
      <c r="M1101" s="1" t="e">
        <v>#N/A</v>
      </c>
      <c r="N1101" s="1" t="e">
        <v>#N/A</v>
      </c>
      <c r="O1101" s="1" t="e">
        <v>#N/A</v>
      </c>
      <c r="P1101" s="1" t="e">
        <v>#N/A</v>
      </c>
      <c r="Q1101" s="1" t="e">
        <v>#N/A</v>
      </c>
      <c r="R1101" s="1">
        <f t="shared" si="330"/>
        <v>6</v>
      </c>
      <c r="S1101" s="1" t="str">
        <f t="shared" si="331"/>
        <v>4-7</v>
      </c>
      <c r="T1101" s="1" t="s">
        <v>19130</v>
      </c>
      <c r="U1101" s="1" t="s">
        <v>7</v>
      </c>
      <c r="V1101" s="1" t="s">
        <v>3054</v>
      </c>
      <c r="W1101" s="1"/>
    </row>
    <row r="1102" spans="1:23" x14ac:dyDescent="0.2">
      <c r="A1102" s="88" t="s">
        <v>16450</v>
      </c>
      <c r="B1102" s="1" t="e">
        <v>#N/A</v>
      </c>
      <c r="C1102" s="1" t="e">
        <v>#N/A</v>
      </c>
      <c r="D1102" s="1" t="s">
        <v>3055</v>
      </c>
      <c r="E1102" s="1" t="s">
        <v>3056</v>
      </c>
      <c r="F1102" s="1" t="s">
        <v>9310</v>
      </c>
      <c r="G1102" s="1" t="s">
        <v>8957</v>
      </c>
      <c r="H1102" t="s">
        <v>9061</v>
      </c>
      <c r="I1102" s="1" t="s">
        <v>8984</v>
      </c>
      <c r="J1102" s="1" t="s">
        <v>8998</v>
      </c>
      <c r="K1102" s="1" t="s">
        <v>20779</v>
      </c>
      <c r="L1102" s="1" t="s">
        <v>8951</v>
      </c>
      <c r="M1102" s="1">
        <v>109</v>
      </c>
      <c r="N1102" s="1" t="s">
        <v>9059</v>
      </c>
      <c r="O1102" s="1" t="s">
        <v>8989</v>
      </c>
      <c r="P1102" s="1" t="e">
        <v>#N/A</v>
      </c>
      <c r="Q1102" s="1" t="e">
        <v>#N/A</v>
      </c>
      <c r="R1102" s="1">
        <f t="shared" si="330"/>
        <v>8</v>
      </c>
      <c r="S1102" s="1" t="str">
        <f t="shared" si="331"/>
        <v>&gt;7</v>
      </c>
      <c r="T1102" s="1" t="s">
        <v>19131</v>
      </c>
      <c r="U1102" s="1" t="s">
        <v>7</v>
      </c>
      <c r="V1102" s="1" t="s">
        <v>267</v>
      </c>
      <c r="W1102" s="1"/>
    </row>
    <row r="1103" spans="1:23" x14ac:dyDescent="0.2">
      <c r="A1103" s="88" t="s">
        <v>16451</v>
      </c>
      <c r="B1103" s="1" t="e">
        <v>#N/A</v>
      </c>
      <c r="C1103" s="1" t="e">
        <v>#N/A</v>
      </c>
      <c r="D1103" s="1" t="s">
        <v>3057</v>
      </c>
      <c r="E1103" s="1" t="s">
        <v>3058</v>
      </c>
      <c r="F1103" s="1" t="s">
        <v>9310</v>
      </c>
      <c r="G1103" s="1" t="s">
        <v>8957</v>
      </c>
      <c r="H1103" t="s">
        <v>9061</v>
      </c>
      <c r="I1103" s="1" t="s">
        <v>20712</v>
      </c>
      <c r="J1103" s="1" t="s">
        <v>9155</v>
      </c>
      <c r="K1103" s="1" t="s">
        <v>10492</v>
      </c>
      <c r="L1103" s="1" t="s">
        <v>8951</v>
      </c>
      <c r="M1103" s="1">
        <v>213</v>
      </c>
      <c r="N1103" s="1" t="s">
        <v>9059</v>
      </c>
      <c r="O1103" s="1" t="s">
        <v>8989</v>
      </c>
      <c r="P1103" s="1" t="e">
        <v>#N/A</v>
      </c>
      <c r="Q1103" s="1" t="e">
        <v>#N/A</v>
      </c>
      <c r="R1103" s="1">
        <f t="shared" si="330"/>
        <v>9</v>
      </c>
      <c r="S1103" s="1" t="str">
        <f t="shared" si="331"/>
        <v>&gt;7</v>
      </c>
      <c r="T1103" s="1" t="s">
        <v>19132</v>
      </c>
      <c r="U1103" s="1" t="s">
        <v>7</v>
      </c>
      <c r="V1103" s="1" t="s">
        <v>24</v>
      </c>
      <c r="W1103" s="1"/>
    </row>
    <row r="1104" spans="1:23" x14ac:dyDescent="0.2">
      <c r="A1104" s="89" t="s">
        <v>16452</v>
      </c>
      <c r="B1104" s="1" t="e">
        <v>#N/A</v>
      </c>
      <c r="C1104" s="1" t="e">
        <v>#N/A</v>
      </c>
      <c r="D1104" s="1" t="s">
        <v>3059</v>
      </c>
      <c r="E1104" s="1" t="s">
        <v>3060</v>
      </c>
      <c r="F1104" s="1"/>
      <c r="G1104" s="1" t="e">
        <v>#N/A</v>
      </c>
      <c r="I1104" s="1" t="e">
        <v>#N/A</v>
      </c>
      <c r="J1104" s="1" t="e">
        <v>#N/A</v>
      </c>
      <c r="K1104" s="1" t="e">
        <v>#N/A</v>
      </c>
      <c r="L1104" s="1" t="e">
        <v>#N/A</v>
      </c>
      <c r="M1104" s="1" t="e">
        <v>#N/A</v>
      </c>
      <c r="N1104" s="1" t="e">
        <v>#N/A</v>
      </c>
      <c r="O1104" s="1" t="e">
        <v>#N/A</v>
      </c>
      <c r="P1104" s="1" t="e">
        <v>#N/A</v>
      </c>
      <c r="Q1104" s="1" t="e">
        <v>#N/A</v>
      </c>
      <c r="R1104" s="1">
        <f t="shared" si="330"/>
        <v>3</v>
      </c>
      <c r="S1104" s="1" t="str">
        <f t="shared" si="331"/>
        <v>&lt;4</v>
      </c>
      <c r="T1104" s="1" t="s">
        <v>19133</v>
      </c>
      <c r="U1104" s="1" t="s">
        <v>7</v>
      </c>
      <c r="V1104" s="1" t="s">
        <v>378</v>
      </c>
      <c r="W1104" s="1"/>
    </row>
    <row r="1105" spans="1:23" x14ac:dyDescent="0.2">
      <c r="A1105" s="88" t="s">
        <v>16453</v>
      </c>
      <c r="B1105" s="1" t="e">
        <v>#N/A</v>
      </c>
      <c r="C1105" s="1" t="s">
        <v>11798</v>
      </c>
      <c r="D1105" s="1" t="s">
        <v>15479</v>
      </c>
      <c r="E1105" s="1" t="s">
        <v>3061</v>
      </c>
      <c r="F1105" s="1" t="s">
        <v>9010</v>
      </c>
      <c r="G1105" s="1" t="s">
        <v>8957</v>
      </c>
      <c r="H1105" t="s">
        <v>8959</v>
      </c>
      <c r="I1105" s="1" t="s">
        <v>11318</v>
      </c>
      <c r="J1105" s="1" t="s">
        <v>9155</v>
      </c>
      <c r="K1105" s="1" t="s">
        <v>9036</v>
      </c>
      <c r="L1105" s="1" t="s">
        <v>9133</v>
      </c>
      <c r="M1105" s="1">
        <v>20</v>
      </c>
      <c r="N1105" s="1" t="s">
        <v>8953</v>
      </c>
      <c r="O1105" s="1" t="s">
        <v>8954</v>
      </c>
      <c r="P1105" s="1" t="s">
        <v>8955</v>
      </c>
      <c r="Q1105" s="1" t="s">
        <v>8990</v>
      </c>
      <c r="R1105" s="1" t="s">
        <v>8957</v>
      </c>
      <c r="S1105" s="1" t="s">
        <v>8975</v>
      </c>
      <c r="T1105" s="1" t="s">
        <v>3062</v>
      </c>
      <c r="U1105" s="1" t="s">
        <v>11</v>
      </c>
      <c r="V1105" s="1" t="s">
        <v>700</v>
      </c>
      <c r="W1105" s="1"/>
    </row>
    <row r="1106" spans="1:23" x14ac:dyDescent="0.2">
      <c r="A1106" s="89" t="s">
        <v>3063</v>
      </c>
      <c r="B1106" s="1" t="e">
        <v>#N/A</v>
      </c>
      <c r="C1106" s="1" t="e">
        <v>#N/A</v>
      </c>
      <c r="D1106" s="1" t="s">
        <v>3064</v>
      </c>
      <c r="E1106" s="1" t="s">
        <v>3065</v>
      </c>
      <c r="F1106" s="1" t="e">
        <v>#N/A</v>
      </c>
      <c r="G1106" s="1" t="e">
        <v>#N/A</v>
      </c>
      <c r="H1106" t="e">
        <v>#N/A</v>
      </c>
      <c r="I1106" s="1" t="e">
        <v>#N/A</v>
      </c>
      <c r="J1106" s="1" t="e">
        <v>#N/A</v>
      </c>
      <c r="K1106" s="1" t="e">
        <v>#N/A</v>
      </c>
      <c r="L1106" s="1" t="e">
        <v>#N/A</v>
      </c>
      <c r="M1106" s="1" t="e">
        <v>#N/A</v>
      </c>
      <c r="N1106" s="1" t="e">
        <v>#N/A</v>
      </c>
      <c r="O1106" s="1" t="e">
        <v>#N/A</v>
      </c>
      <c r="P1106" s="1" t="e">
        <v>#N/A</v>
      </c>
      <c r="Q1106" s="1" t="e">
        <v>#N/A</v>
      </c>
      <c r="R1106" s="1">
        <f t="shared" ref="R1106:R1112" si="332">1+LEN(T1106)-LEN(SUBSTITUTE(T1106,",",))</f>
        <v>5</v>
      </c>
      <c r="S1106" s="1" t="str">
        <f t="shared" ref="S1106:S1112" si="333">IF(R1106&gt;4,IF(R1106&lt;8,"4-7",IF(R1106&gt;7,"&gt;7")),"&lt;4")</f>
        <v>4-7</v>
      </c>
      <c r="T1106" s="1" t="s">
        <v>19134</v>
      </c>
      <c r="U1106" s="1" t="s">
        <v>7</v>
      </c>
      <c r="V1106" s="1" t="s">
        <v>3066</v>
      </c>
      <c r="W1106" s="1"/>
    </row>
    <row r="1107" spans="1:23" x14ac:dyDescent="0.2">
      <c r="A1107" s="88" t="s">
        <v>16454</v>
      </c>
      <c r="B1107" s="1" t="e">
        <v>#N/A</v>
      </c>
      <c r="C1107" s="1" t="e">
        <v>#N/A</v>
      </c>
      <c r="D1107" s="1" t="s">
        <v>3067</v>
      </c>
      <c r="E1107" s="1" t="s">
        <v>3068</v>
      </c>
      <c r="F1107" s="1" t="s">
        <v>9246</v>
      </c>
      <c r="G1107" s="1" t="s">
        <v>8959</v>
      </c>
      <c r="H1107" t="s">
        <v>8959</v>
      </c>
      <c r="I1107" s="1" t="s">
        <v>9154</v>
      </c>
      <c r="J1107" s="1" t="s">
        <v>8971</v>
      </c>
      <c r="K1107" s="1" t="s">
        <v>20779</v>
      </c>
      <c r="L1107" s="1" t="s">
        <v>9076</v>
      </c>
      <c r="M1107" s="1">
        <f>1340+335</f>
        <v>1675</v>
      </c>
      <c r="N1107" s="1" t="s">
        <v>8953</v>
      </c>
      <c r="O1107" s="1" t="s">
        <v>8989</v>
      </c>
      <c r="P1107" s="1" t="e">
        <v>#N/A</v>
      </c>
      <c r="Q1107" s="1" t="e">
        <v>#N/A</v>
      </c>
      <c r="R1107" s="1">
        <f t="shared" si="332"/>
        <v>5</v>
      </c>
      <c r="S1107" s="1" t="str">
        <f t="shared" si="333"/>
        <v>4-7</v>
      </c>
      <c r="T1107" s="1" t="s">
        <v>19135</v>
      </c>
      <c r="U1107" s="1" t="s">
        <v>7</v>
      </c>
      <c r="V1107" s="1" t="s">
        <v>61</v>
      </c>
      <c r="W1107" s="1"/>
    </row>
    <row r="1108" spans="1:23" x14ac:dyDescent="0.2">
      <c r="A1108" s="89" t="s">
        <v>16455</v>
      </c>
      <c r="B1108" s="1" t="e">
        <v>#N/A</v>
      </c>
      <c r="C1108" s="1" t="e">
        <v>#N/A</v>
      </c>
      <c r="D1108" s="1" t="s">
        <v>3069</v>
      </c>
      <c r="E1108" s="1" t="s">
        <v>3070</v>
      </c>
      <c r="F1108" s="1" t="e">
        <v>#N/A</v>
      </c>
      <c r="G1108" s="1" t="e">
        <v>#N/A</v>
      </c>
      <c r="H1108" t="e">
        <v>#N/A</v>
      </c>
      <c r="I1108" s="1" t="e">
        <v>#N/A</v>
      </c>
      <c r="J1108" s="1" t="e">
        <v>#N/A</v>
      </c>
      <c r="K1108" s="1" t="e">
        <v>#N/A</v>
      </c>
      <c r="L1108" s="1" t="e">
        <v>#N/A</v>
      </c>
      <c r="M1108" s="1" t="e">
        <v>#N/A</v>
      </c>
      <c r="N1108" s="1" t="e">
        <v>#N/A</v>
      </c>
      <c r="O1108" s="1" t="e">
        <v>#N/A</v>
      </c>
      <c r="P1108" s="1" t="e">
        <v>#N/A</v>
      </c>
      <c r="Q1108" s="1" t="e">
        <v>#N/A</v>
      </c>
      <c r="R1108" s="1">
        <f t="shared" si="332"/>
        <v>1</v>
      </c>
      <c r="S1108" s="1" t="str">
        <f t="shared" si="333"/>
        <v>&lt;4</v>
      </c>
      <c r="U1108" s="1" t="s">
        <v>17</v>
      </c>
      <c r="V1108" s="1" t="s">
        <v>3071</v>
      </c>
      <c r="W1108" s="1"/>
    </row>
    <row r="1109" spans="1:23" x14ac:dyDescent="0.2">
      <c r="A1109" s="88" t="s">
        <v>16456</v>
      </c>
      <c r="B1109" s="1" t="e">
        <v>#N/A</v>
      </c>
      <c r="C1109" s="1" t="e">
        <v>#N/A</v>
      </c>
      <c r="D1109" s="1" t="s">
        <v>3072</v>
      </c>
      <c r="E1109" s="1" t="s">
        <v>3073</v>
      </c>
      <c r="F1109" s="1" t="s">
        <v>18502</v>
      </c>
      <c r="G1109" s="1" t="s">
        <v>9060</v>
      </c>
      <c r="H1109" t="s">
        <v>9061</v>
      </c>
      <c r="I1109" s="1" t="s">
        <v>9035</v>
      </c>
      <c r="J1109" s="1" t="s">
        <v>8998</v>
      </c>
      <c r="K1109" s="1" t="s">
        <v>20840</v>
      </c>
      <c r="L1109" s="1" t="s">
        <v>8987</v>
      </c>
      <c r="M1109" s="1">
        <v>7143</v>
      </c>
      <c r="N1109" s="1" t="s">
        <v>9059</v>
      </c>
      <c r="O1109" s="1" t="s">
        <v>8954</v>
      </c>
      <c r="P1109" s="1" t="e">
        <v>#N/A</v>
      </c>
      <c r="Q1109" s="1" t="e">
        <v>#N/A</v>
      </c>
      <c r="R1109" s="1">
        <f t="shared" si="332"/>
        <v>7</v>
      </c>
      <c r="S1109" s="1" t="str">
        <f t="shared" si="333"/>
        <v>4-7</v>
      </c>
      <c r="T1109" s="1" t="s">
        <v>20607</v>
      </c>
      <c r="U1109" s="1" t="s">
        <v>7</v>
      </c>
      <c r="V1109" s="1" t="s">
        <v>180</v>
      </c>
      <c r="W1109" s="1"/>
    </row>
    <row r="1110" spans="1:23" x14ac:dyDescent="0.2">
      <c r="A1110" s="94" t="s">
        <v>16457</v>
      </c>
      <c r="B1110" s="1" t="e">
        <v>#N/A</v>
      </c>
      <c r="C1110" s="1" t="e">
        <v>#N/A</v>
      </c>
      <c r="D1110" s="1" t="s">
        <v>3074</v>
      </c>
      <c r="E1110" s="1" t="s">
        <v>3075</v>
      </c>
      <c r="F1110" s="1"/>
      <c r="G1110" s="1" t="e">
        <v>#N/A</v>
      </c>
      <c r="I1110" s="1" t="e">
        <v>#N/A</v>
      </c>
      <c r="J1110" s="1" t="e">
        <v>#N/A</v>
      </c>
      <c r="K1110" s="1" t="e">
        <v>#N/A</v>
      </c>
      <c r="L1110" s="1" t="e">
        <v>#N/A</v>
      </c>
      <c r="M1110" s="1" t="e">
        <v>#N/A</v>
      </c>
      <c r="N1110" s="1" t="e">
        <v>#N/A</v>
      </c>
      <c r="O1110" s="1" t="e">
        <v>#N/A</v>
      </c>
      <c r="P1110" s="1" t="e">
        <v>#N/A</v>
      </c>
      <c r="Q1110" s="1" t="e">
        <v>#N/A</v>
      </c>
      <c r="R1110" s="1">
        <f t="shared" si="332"/>
        <v>2</v>
      </c>
      <c r="S1110" s="1" t="str">
        <f t="shared" si="333"/>
        <v>&lt;4</v>
      </c>
      <c r="T1110" s="1" t="s">
        <v>19136</v>
      </c>
      <c r="U1110" s="1" t="s">
        <v>17</v>
      </c>
      <c r="V1110" s="1" t="s">
        <v>3076</v>
      </c>
      <c r="W1110" s="1"/>
    </row>
    <row r="1111" spans="1:23" x14ac:dyDescent="0.2">
      <c r="A1111" s="89" t="s">
        <v>16458</v>
      </c>
      <c r="B1111" s="1" t="e">
        <v>#N/A</v>
      </c>
      <c r="C1111" s="1" t="e">
        <v>#N/A</v>
      </c>
      <c r="D1111" s="1" t="s">
        <v>3077</v>
      </c>
      <c r="E1111" s="1" t="s">
        <v>3078</v>
      </c>
      <c r="F1111" s="80" t="e">
        <v>#N/A</v>
      </c>
      <c r="G1111" s="1" t="e">
        <v>#N/A</v>
      </c>
      <c r="H1111" t="e">
        <v>#N/A</v>
      </c>
      <c r="I1111" s="1" t="e">
        <v>#N/A</v>
      </c>
      <c r="J1111" s="1" t="e">
        <v>#N/A</v>
      </c>
      <c r="K1111" s="1" t="e">
        <v>#N/A</v>
      </c>
      <c r="L1111" s="1" t="e">
        <v>#N/A</v>
      </c>
      <c r="M1111" s="1" t="e">
        <v>#N/A</v>
      </c>
      <c r="N1111" s="1" t="e">
        <v>#N/A</v>
      </c>
      <c r="O1111" s="1" t="e">
        <v>#N/A</v>
      </c>
      <c r="P1111" s="1" t="e">
        <v>#N/A</v>
      </c>
      <c r="Q1111" s="1" t="e">
        <v>#N/A</v>
      </c>
      <c r="R1111" s="1">
        <f t="shared" si="332"/>
        <v>1</v>
      </c>
      <c r="S1111" s="1" t="str">
        <f t="shared" si="333"/>
        <v>&lt;4</v>
      </c>
      <c r="T1111" s="1" t="s">
        <v>3079</v>
      </c>
      <c r="U1111" s="1" t="s">
        <v>17</v>
      </c>
      <c r="V1111" s="1" t="s">
        <v>3080</v>
      </c>
      <c r="W1111" s="1"/>
    </row>
    <row r="1112" spans="1:23" x14ac:dyDescent="0.2">
      <c r="A1112" s="88" t="s">
        <v>16459</v>
      </c>
      <c r="B1112" s="1" t="e">
        <v>#N/A</v>
      </c>
      <c r="C1112" s="1" t="e">
        <v>#N/A</v>
      </c>
      <c r="D1112" s="1" t="s">
        <v>3081</v>
      </c>
      <c r="E1112" s="1" t="s">
        <v>3082</v>
      </c>
      <c r="F1112" s="1" t="s">
        <v>18502</v>
      </c>
      <c r="G1112" s="1" t="s">
        <v>8957</v>
      </c>
      <c r="H1112" t="s">
        <v>8959</v>
      </c>
      <c r="I1112" s="1" t="s">
        <v>8984</v>
      </c>
      <c r="J1112" s="1" t="s">
        <v>8998</v>
      </c>
      <c r="K1112" s="1" t="s">
        <v>18497</v>
      </c>
      <c r="L1112" s="1" t="s">
        <v>8973</v>
      </c>
      <c r="M1112" s="1">
        <v>738</v>
      </c>
      <c r="N1112" s="1" t="s">
        <v>8953</v>
      </c>
      <c r="O1112" s="1" t="s">
        <v>8954</v>
      </c>
      <c r="P1112" s="1" t="e">
        <v>#N/A</v>
      </c>
      <c r="Q1112" s="1" t="e">
        <v>#N/A</v>
      </c>
      <c r="R1112" s="1">
        <f t="shared" si="332"/>
        <v>8</v>
      </c>
      <c r="S1112" s="1" t="str">
        <f t="shared" si="333"/>
        <v>&gt;7</v>
      </c>
      <c r="T1112" s="1" t="s">
        <v>20608</v>
      </c>
      <c r="U1112" s="1" t="s">
        <v>17</v>
      </c>
      <c r="V1112" s="1" t="s">
        <v>93</v>
      </c>
      <c r="W1112" s="1"/>
    </row>
    <row r="1113" spans="1:23" x14ac:dyDescent="0.2">
      <c r="A1113" s="88" t="s">
        <v>16460</v>
      </c>
      <c r="B1113" s="1" t="e">
        <v>#N/A</v>
      </c>
      <c r="C1113" s="1" t="s">
        <v>10065</v>
      </c>
      <c r="D1113" s="1" t="s">
        <v>3083</v>
      </c>
      <c r="E1113" s="1" t="s">
        <v>3084</v>
      </c>
      <c r="F1113" s="1" t="s">
        <v>9010</v>
      </c>
      <c r="G1113" s="1" t="s">
        <v>8957</v>
      </c>
      <c r="H1113" t="s">
        <v>8959</v>
      </c>
      <c r="I1113" s="1" t="s">
        <v>8948</v>
      </c>
      <c r="J1113" s="1" t="s">
        <v>8949</v>
      </c>
      <c r="K1113" s="1" t="s">
        <v>9036</v>
      </c>
      <c r="L1113" s="1" t="s">
        <v>8973</v>
      </c>
      <c r="M1113" s="1">
        <v>77</v>
      </c>
      <c r="N1113" s="1" t="s">
        <v>8953</v>
      </c>
      <c r="O1113" s="1" t="s">
        <v>8989</v>
      </c>
      <c r="P1113" s="1" t="s">
        <v>8955</v>
      </c>
      <c r="Q1113" s="1" t="s">
        <v>8956</v>
      </c>
      <c r="R1113" s="1" t="s">
        <v>8957</v>
      </c>
      <c r="S1113" s="1" t="s">
        <v>8975</v>
      </c>
      <c r="T1113" s="1" t="s">
        <v>3085</v>
      </c>
      <c r="U1113" s="1" t="s">
        <v>17</v>
      </c>
      <c r="V1113" s="1" t="s">
        <v>392</v>
      </c>
      <c r="W1113" s="1"/>
    </row>
    <row r="1114" spans="1:23" x14ac:dyDescent="0.2">
      <c r="A1114" s="89" t="s">
        <v>16461</v>
      </c>
      <c r="B1114" s="1" t="e">
        <v>#N/A</v>
      </c>
      <c r="C1114" s="1" t="e">
        <v>#N/A</v>
      </c>
      <c r="D1114" s="1" t="s">
        <v>3086</v>
      </c>
      <c r="E1114" s="1" t="s">
        <v>3087</v>
      </c>
      <c r="F1114" s="1" t="e">
        <v>#N/A</v>
      </c>
      <c r="G1114" s="1" t="e">
        <v>#N/A</v>
      </c>
      <c r="H1114" t="e">
        <v>#N/A</v>
      </c>
      <c r="I1114" s="1" t="e">
        <v>#N/A</v>
      </c>
      <c r="J1114" s="1" t="e">
        <v>#N/A</v>
      </c>
      <c r="K1114" s="1" t="e">
        <v>#N/A</v>
      </c>
      <c r="L1114" s="1" t="e">
        <v>#N/A</v>
      </c>
      <c r="M1114" s="1" t="e">
        <v>#N/A</v>
      </c>
      <c r="N1114" s="1" t="e">
        <v>#N/A</v>
      </c>
      <c r="O1114" s="1" t="e">
        <v>#N/A</v>
      </c>
      <c r="P1114" s="1" t="e">
        <v>#N/A</v>
      </c>
      <c r="Q1114" s="1" t="e">
        <v>#N/A</v>
      </c>
      <c r="R1114" s="1">
        <f t="shared" ref="R1114:R1117" si="334">1+LEN(T1114)-LEN(SUBSTITUTE(T1114,",",))</f>
        <v>1</v>
      </c>
      <c r="S1114" s="1" t="str">
        <f t="shared" ref="S1114:S1117" si="335">IF(R1114&gt;4,IF(R1114&lt;8,"4-7",IF(R1114&gt;7,"&gt;7")),"&lt;4")</f>
        <v>&lt;4</v>
      </c>
      <c r="U1114" s="1" t="s">
        <v>7</v>
      </c>
      <c r="V1114" s="1" t="s">
        <v>1161</v>
      </c>
      <c r="W1114" s="1"/>
    </row>
    <row r="1115" spans="1:23" x14ac:dyDescent="0.2">
      <c r="A1115" s="89" t="s">
        <v>3088</v>
      </c>
      <c r="B1115" s="1" t="e">
        <v>#N/A</v>
      </c>
      <c r="C1115" s="1" t="e">
        <v>#N/A</v>
      </c>
      <c r="D1115" s="1" t="s">
        <v>3089</v>
      </c>
      <c r="E1115" s="1" t="s">
        <v>3090</v>
      </c>
      <c r="F1115" s="1" t="e">
        <v>#N/A</v>
      </c>
      <c r="G1115" s="1" t="e">
        <v>#N/A</v>
      </c>
      <c r="H1115" t="e">
        <v>#N/A</v>
      </c>
      <c r="I1115" s="1" t="e">
        <v>#N/A</v>
      </c>
      <c r="J1115" s="1" t="e">
        <v>#N/A</v>
      </c>
      <c r="K1115" s="1" t="e">
        <v>#N/A</v>
      </c>
      <c r="L1115" s="1" t="e">
        <v>#N/A</v>
      </c>
      <c r="M1115" s="1" t="e">
        <v>#N/A</v>
      </c>
      <c r="N1115" s="1" t="e">
        <v>#N/A</v>
      </c>
      <c r="O1115" s="1" t="e">
        <v>#N/A</v>
      </c>
      <c r="P1115" s="1" t="e">
        <v>#N/A</v>
      </c>
      <c r="Q1115" s="1" t="e">
        <v>#N/A</v>
      </c>
      <c r="R1115" s="1">
        <f t="shared" si="334"/>
        <v>2</v>
      </c>
      <c r="S1115" s="1" t="str">
        <f t="shared" si="335"/>
        <v>&lt;4</v>
      </c>
      <c r="T1115" s="1" t="s">
        <v>20609</v>
      </c>
      <c r="U1115" s="1" t="s">
        <v>7</v>
      </c>
      <c r="V1115" s="1" t="s">
        <v>31</v>
      </c>
      <c r="W1115" s="1"/>
    </row>
    <row r="1116" spans="1:23" x14ac:dyDescent="0.2">
      <c r="A1116" s="88" t="s">
        <v>16462</v>
      </c>
      <c r="B1116" s="1" t="e">
        <v>#N/A</v>
      </c>
      <c r="C1116" s="1" t="e">
        <v>#N/A</v>
      </c>
      <c r="D1116" s="1" t="s">
        <v>3091</v>
      </c>
      <c r="E1116" s="1" t="s">
        <v>3092</v>
      </c>
      <c r="F1116" s="1" t="s">
        <v>9852</v>
      </c>
      <c r="G1116" s="1" t="s">
        <v>8959</v>
      </c>
      <c r="H1116" t="s">
        <v>8959</v>
      </c>
      <c r="I1116" s="1" t="s">
        <v>9035</v>
      </c>
      <c r="J1116" s="1" t="s">
        <v>9308</v>
      </c>
      <c r="K1116" s="1" t="s">
        <v>20779</v>
      </c>
      <c r="L1116" s="1" t="s">
        <v>8987</v>
      </c>
      <c r="M1116" s="1">
        <f>130+145+145+138</f>
        <v>558</v>
      </c>
      <c r="N1116" s="1" t="s">
        <v>8953</v>
      </c>
      <c r="O1116" s="1" t="s">
        <v>8954</v>
      </c>
      <c r="P1116" s="1" t="e">
        <v>#N/A</v>
      </c>
      <c r="Q1116" s="1" t="e">
        <v>#N/A</v>
      </c>
      <c r="R1116" s="1">
        <f t="shared" si="334"/>
        <v>9</v>
      </c>
      <c r="S1116" s="1" t="str">
        <f t="shared" si="335"/>
        <v>&gt;7</v>
      </c>
      <c r="T1116" s="1" t="s">
        <v>19137</v>
      </c>
      <c r="U1116" s="1" t="s">
        <v>7</v>
      </c>
      <c r="V1116" s="1" t="s">
        <v>1598</v>
      </c>
      <c r="W1116" s="1"/>
    </row>
    <row r="1117" spans="1:23" x14ac:dyDescent="0.2">
      <c r="A1117" s="88">
        <v>1</v>
      </c>
      <c r="B1117" t="e">
        <v>#N/A</v>
      </c>
      <c r="C1117" t="e">
        <v>#N/A</v>
      </c>
      <c r="D1117" s="1" t="s">
        <v>3093</v>
      </c>
      <c r="E1117" s="1" t="s">
        <v>3094</v>
      </c>
      <c r="F1117" s="1" t="s">
        <v>18502</v>
      </c>
      <c r="G1117" s="1" t="s">
        <v>8959</v>
      </c>
      <c r="H1117" t="s">
        <v>8959</v>
      </c>
      <c r="I1117" s="1" t="s">
        <v>9252</v>
      </c>
      <c r="J1117" s="1" t="s">
        <v>18504</v>
      </c>
      <c r="K1117" s="1" t="s">
        <v>10525</v>
      </c>
      <c r="L1117" s="1" t="s">
        <v>8987</v>
      </c>
      <c r="M1117" s="1">
        <v>15673</v>
      </c>
      <c r="N1117" s="1" t="s">
        <v>8953</v>
      </c>
      <c r="O1117" s="1" t="s">
        <v>8954</v>
      </c>
      <c r="P1117" s="1" t="e">
        <v>#N/A</v>
      </c>
      <c r="Q1117" s="1" t="e">
        <v>#N/A</v>
      </c>
      <c r="R1117" s="1">
        <f t="shared" si="334"/>
        <v>4</v>
      </c>
      <c r="S1117" s="1" t="str">
        <f t="shared" si="335"/>
        <v>&lt;4</v>
      </c>
      <c r="T1117" s="1" t="s">
        <v>19138</v>
      </c>
      <c r="U1117" s="1" t="s">
        <v>4</v>
      </c>
      <c r="V1117" s="1"/>
      <c r="W1117" s="1"/>
    </row>
    <row r="1118" spans="1:23" x14ac:dyDescent="0.2">
      <c r="A1118" s="88" t="s">
        <v>16463</v>
      </c>
      <c r="B1118" s="1" t="e">
        <v>#N/A</v>
      </c>
      <c r="C1118" s="1" t="s">
        <v>10415</v>
      </c>
      <c r="D1118" s="1" t="s">
        <v>3095</v>
      </c>
      <c r="E1118" s="1" t="s">
        <v>3096</v>
      </c>
      <c r="F1118" s="1" t="s">
        <v>9317</v>
      </c>
      <c r="G1118" s="1" t="s">
        <v>8959</v>
      </c>
      <c r="H1118" t="s">
        <v>9009</v>
      </c>
      <c r="I1118" s="1" t="s">
        <v>9278</v>
      </c>
      <c r="J1118" s="1" t="s">
        <v>9155</v>
      </c>
      <c r="K1118" s="1" t="s">
        <v>9036</v>
      </c>
      <c r="L1118" s="1" t="s">
        <v>8987</v>
      </c>
      <c r="M1118" s="1">
        <v>1189</v>
      </c>
      <c r="N1118" s="1" t="s">
        <v>8953</v>
      </c>
      <c r="O1118" s="1" t="s">
        <v>8954</v>
      </c>
      <c r="P1118" s="1" t="s">
        <v>8955</v>
      </c>
      <c r="Q1118" s="1" t="s">
        <v>8990</v>
      </c>
      <c r="R1118" s="1" t="s">
        <v>8959</v>
      </c>
      <c r="S1118" s="1" t="s">
        <v>8958</v>
      </c>
      <c r="T1118" s="1" t="s">
        <v>3097</v>
      </c>
      <c r="U1118" s="1" t="s">
        <v>17</v>
      </c>
      <c r="V1118" s="1" t="s">
        <v>61</v>
      </c>
      <c r="W1118" s="1"/>
    </row>
    <row r="1119" spans="1:23" x14ac:dyDescent="0.2">
      <c r="A1119" s="88" t="s">
        <v>16464</v>
      </c>
      <c r="B1119" s="1" t="e">
        <v>#N/A</v>
      </c>
      <c r="C1119" s="1" t="e">
        <v>#N/A</v>
      </c>
      <c r="D1119" s="1" t="s">
        <v>3098</v>
      </c>
      <c r="E1119" s="1" t="s">
        <v>3099</v>
      </c>
      <c r="F1119" s="1" t="s">
        <v>9380</v>
      </c>
      <c r="G1119" s="1" t="s">
        <v>8957</v>
      </c>
      <c r="H1119" t="s">
        <v>8959</v>
      </c>
      <c r="I1119" s="1" t="s">
        <v>9075</v>
      </c>
      <c r="J1119" s="1" t="s">
        <v>9101</v>
      </c>
      <c r="K1119" s="1" t="s">
        <v>21227</v>
      </c>
      <c r="L1119" s="1" t="s">
        <v>8987</v>
      </c>
      <c r="M1119" s="1">
        <v>200</v>
      </c>
      <c r="N1119" s="1" t="s">
        <v>8953</v>
      </c>
      <c r="O1119" s="1" t="s">
        <v>8989</v>
      </c>
      <c r="P1119" s="1" t="e">
        <v>#N/A</v>
      </c>
      <c r="Q1119" s="1" t="e">
        <v>#N/A</v>
      </c>
      <c r="R1119" s="1">
        <f>1+LEN(T1119)-LEN(SUBSTITUTE(T1119,",",))</f>
        <v>8</v>
      </c>
      <c r="S1119" s="1" t="str">
        <f>IF(R1119&gt;4,IF(R1119&lt;8,"4-7",IF(R1119&gt;7,"&gt;7")),"&lt;4")</f>
        <v>&gt;7</v>
      </c>
      <c r="T1119" s="1" t="s">
        <v>20610</v>
      </c>
      <c r="U1119" s="1" t="s">
        <v>11</v>
      </c>
      <c r="V1119" s="1" t="s">
        <v>2287</v>
      </c>
      <c r="W1119" s="1"/>
    </row>
    <row r="1120" spans="1:23" x14ac:dyDescent="0.2">
      <c r="A1120" s="88" t="s">
        <v>16465</v>
      </c>
      <c r="B1120" s="1" t="e">
        <v>#N/A</v>
      </c>
      <c r="C1120" s="1" t="s">
        <v>14280</v>
      </c>
      <c r="D1120" s="1" t="s">
        <v>3100</v>
      </c>
      <c r="E1120" s="1" t="s">
        <v>3101</v>
      </c>
      <c r="F1120" s="1" t="s">
        <v>9010</v>
      </c>
      <c r="G1120" s="1" t="s">
        <v>8957</v>
      </c>
      <c r="H1120" t="s">
        <v>9061</v>
      </c>
      <c r="I1120" s="1" t="s">
        <v>9252</v>
      </c>
      <c r="J1120" s="1" t="s">
        <v>9253</v>
      </c>
      <c r="K1120" s="1" t="s">
        <v>9658</v>
      </c>
      <c r="L1120" s="1" t="s">
        <v>8987</v>
      </c>
      <c r="M1120" s="1">
        <v>219</v>
      </c>
      <c r="N1120" s="1" t="s">
        <v>8953</v>
      </c>
      <c r="O1120" s="1" t="s">
        <v>8989</v>
      </c>
      <c r="P1120" s="1" t="s">
        <v>8955</v>
      </c>
      <c r="Q1120" s="1" t="s">
        <v>8956</v>
      </c>
      <c r="R1120" s="1" t="s">
        <v>8957</v>
      </c>
      <c r="S1120" s="1" t="s">
        <v>9103</v>
      </c>
      <c r="T1120" s="1" t="s">
        <v>3102</v>
      </c>
      <c r="U1120" s="1" t="s">
        <v>242</v>
      </c>
      <c r="V1120" s="1" t="s">
        <v>286</v>
      </c>
      <c r="W1120" s="1"/>
    </row>
    <row r="1121" spans="1:23" x14ac:dyDescent="0.2">
      <c r="A1121" s="88" t="s">
        <v>16466</v>
      </c>
      <c r="B1121" s="1" t="e">
        <v>#N/A</v>
      </c>
      <c r="C1121" s="1" t="e">
        <v>#N/A</v>
      </c>
      <c r="D1121" s="1" t="s">
        <v>3103</v>
      </c>
      <c r="E1121" s="1" t="s">
        <v>3104</v>
      </c>
      <c r="F1121" s="1" t="s">
        <v>9213</v>
      </c>
      <c r="G1121" s="1" t="s">
        <v>8957</v>
      </c>
      <c r="H1121" t="s">
        <v>8959</v>
      </c>
      <c r="I1121" s="1" t="s">
        <v>20712</v>
      </c>
      <c r="J1121" s="1" t="s">
        <v>9155</v>
      </c>
      <c r="K1121" s="1" t="s">
        <v>10492</v>
      </c>
      <c r="L1121" s="1" t="s">
        <v>9076</v>
      </c>
      <c r="M1121" s="1">
        <v>1300000</v>
      </c>
      <c r="N1121" s="1" t="s">
        <v>8953</v>
      </c>
      <c r="O1121" s="1" t="s">
        <v>8989</v>
      </c>
      <c r="P1121" s="1" t="e">
        <v>#N/A</v>
      </c>
      <c r="Q1121" s="1" t="e">
        <v>#N/A</v>
      </c>
      <c r="R1121" s="1">
        <f>1+LEN(T1121)-LEN(SUBSTITUTE(T1121,",",))</f>
        <v>7</v>
      </c>
      <c r="S1121" s="1" t="str">
        <f>IF(R1121&gt;4,IF(R1121&lt;8,"4-7",IF(R1121&gt;7,"&gt;7")),"&lt;4")</f>
        <v>4-7</v>
      </c>
      <c r="T1121" s="1" t="s">
        <v>19139</v>
      </c>
      <c r="U1121" s="1" t="s">
        <v>17</v>
      </c>
      <c r="V1121" s="1" t="s">
        <v>733</v>
      </c>
      <c r="W1121" s="1"/>
    </row>
    <row r="1122" spans="1:23" x14ac:dyDescent="0.2">
      <c r="A1122" s="88" t="s">
        <v>16467</v>
      </c>
      <c r="B1122" s="1" t="e">
        <v>#N/A</v>
      </c>
      <c r="C1122" s="1" t="s">
        <v>12939</v>
      </c>
      <c r="D1122" s="1" t="s">
        <v>3105</v>
      </c>
      <c r="E1122" s="1" t="s">
        <v>3106</v>
      </c>
      <c r="F1122" s="1" t="s">
        <v>9213</v>
      </c>
      <c r="G1122" s="1" t="s">
        <v>8957</v>
      </c>
      <c r="H1122" t="s">
        <v>9061</v>
      </c>
      <c r="I1122" s="1" t="s">
        <v>8948</v>
      </c>
      <c r="J1122" s="1" t="s">
        <v>9725</v>
      </c>
      <c r="K1122" s="1" t="s">
        <v>9036</v>
      </c>
      <c r="L1122" s="1" t="s">
        <v>9076</v>
      </c>
      <c r="M1122" s="1">
        <v>800000</v>
      </c>
      <c r="N1122" s="1" t="s">
        <v>8953</v>
      </c>
      <c r="O1122" s="1" t="s">
        <v>8989</v>
      </c>
      <c r="P1122" s="1" t="s">
        <v>8955</v>
      </c>
      <c r="Q1122" s="1" t="s">
        <v>8956</v>
      </c>
      <c r="R1122" s="1" t="s">
        <v>8957</v>
      </c>
      <c r="S1122" s="1" t="s">
        <v>8958</v>
      </c>
      <c r="T1122" s="1" t="s">
        <v>3107</v>
      </c>
      <c r="U1122" s="1" t="s">
        <v>11</v>
      </c>
      <c r="V1122" s="1" t="s">
        <v>733</v>
      </c>
      <c r="W1122" s="1"/>
    </row>
    <row r="1123" spans="1:23" x14ac:dyDescent="0.2">
      <c r="A1123" s="88" t="s">
        <v>16468</v>
      </c>
      <c r="B1123" s="1" t="e">
        <v>#N/A</v>
      </c>
      <c r="C1123" s="1" t="s">
        <v>10442</v>
      </c>
      <c r="D1123" s="1" t="s">
        <v>3108</v>
      </c>
      <c r="E1123" s="1" t="s">
        <v>3109</v>
      </c>
      <c r="F1123" s="1" t="s">
        <v>10446</v>
      </c>
      <c r="G1123" s="1" t="s">
        <v>8957</v>
      </c>
      <c r="H1123" t="s">
        <v>9183</v>
      </c>
      <c r="I1123" s="1" t="s">
        <v>8948</v>
      </c>
      <c r="J1123" s="1" t="s">
        <v>9325</v>
      </c>
      <c r="K1123" s="1" t="s">
        <v>10445</v>
      </c>
      <c r="L1123" s="1" t="s">
        <v>9133</v>
      </c>
      <c r="M1123" s="1">
        <v>3872</v>
      </c>
      <c r="N1123" s="1" t="s">
        <v>8953</v>
      </c>
      <c r="O1123" s="1" t="s">
        <v>8989</v>
      </c>
      <c r="P1123" s="1" t="s">
        <v>8955</v>
      </c>
      <c r="Q1123" s="1" t="s">
        <v>8956</v>
      </c>
      <c r="R1123" s="1" t="s">
        <v>8957</v>
      </c>
      <c r="S1123" s="1" t="s">
        <v>8975</v>
      </c>
      <c r="T1123" s="1" t="s">
        <v>3110</v>
      </c>
      <c r="U1123" s="1" t="s">
        <v>17</v>
      </c>
      <c r="V1123" s="1" t="s">
        <v>3111</v>
      </c>
      <c r="W1123" s="1"/>
    </row>
    <row r="1124" spans="1:23" x14ac:dyDescent="0.2">
      <c r="A1124" s="88" t="s">
        <v>16469</v>
      </c>
      <c r="B1124" s="1" t="e">
        <v>#N/A</v>
      </c>
      <c r="C1124" s="1" t="e">
        <v>#N/A</v>
      </c>
      <c r="D1124" s="1" t="s">
        <v>3112</v>
      </c>
      <c r="E1124" s="1" t="s">
        <v>3113</v>
      </c>
      <c r="F1124" s="1" t="s">
        <v>9213</v>
      </c>
      <c r="G1124" s="1" t="s">
        <v>8957</v>
      </c>
      <c r="H1124" t="s">
        <v>9061</v>
      </c>
      <c r="I1124" s="1" t="s">
        <v>9035</v>
      </c>
      <c r="J1124" s="1" t="s">
        <v>9308</v>
      </c>
      <c r="K1124" s="1" t="s">
        <v>20838</v>
      </c>
      <c r="L1124" s="1" t="s">
        <v>9292</v>
      </c>
      <c r="M1124" s="1">
        <v>1757</v>
      </c>
      <c r="N1124" s="1" t="s">
        <v>9059</v>
      </c>
      <c r="O1124" s="1" t="s">
        <v>8954</v>
      </c>
      <c r="P1124" s="1" t="e">
        <v>#N/A</v>
      </c>
      <c r="Q1124" s="1" t="e">
        <v>#N/A</v>
      </c>
      <c r="R1124" s="1">
        <f t="shared" ref="R1124:R1127" si="336">1+LEN(T1124)-LEN(SUBSTITUTE(T1124,",",))</f>
        <v>10</v>
      </c>
      <c r="S1124" s="1" t="str">
        <f t="shared" ref="S1124:S1127" si="337">IF(R1124&gt;4,IF(R1124&lt;8,"4-7",IF(R1124&gt;7,"&gt;7")),"&lt;4")</f>
        <v>&gt;7</v>
      </c>
      <c r="T1124" s="1" t="s">
        <v>19140</v>
      </c>
      <c r="U1124" s="1" t="s">
        <v>7</v>
      </c>
      <c r="V1124" s="1" t="s">
        <v>147</v>
      </c>
      <c r="W1124" s="1"/>
    </row>
    <row r="1125" spans="1:23" x14ac:dyDescent="0.2">
      <c r="A1125" s="88" t="s">
        <v>16470</v>
      </c>
      <c r="B1125" s="1" t="e">
        <v>#N/A</v>
      </c>
      <c r="C1125" s="1" t="e">
        <v>#N/A</v>
      </c>
      <c r="D1125" s="1" t="s">
        <v>3114</v>
      </c>
      <c r="E1125" s="1" t="s">
        <v>3115</v>
      </c>
      <c r="F1125" s="1" t="s">
        <v>9213</v>
      </c>
      <c r="G1125" s="1" t="s">
        <v>8957</v>
      </c>
      <c r="H1125" t="s">
        <v>9061</v>
      </c>
      <c r="I1125" s="1" t="s">
        <v>9035</v>
      </c>
      <c r="J1125" s="1" t="s">
        <v>9308</v>
      </c>
      <c r="K1125" s="1" t="s">
        <v>20838</v>
      </c>
      <c r="L1125" s="1" t="s">
        <v>8951</v>
      </c>
      <c r="M1125" s="1">
        <v>395</v>
      </c>
      <c r="N1125" s="1" t="s">
        <v>9059</v>
      </c>
      <c r="O1125" s="1" t="s">
        <v>8989</v>
      </c>
      <c r="P1125" s="1" t="e">
        <v>#N/A</v>
      </c>
      <c r="Q1125" s="1" t="e">
        <v>#N/A</v>
      </c>
      <c r="R1125" s="1">
        <f t="shared" si="336"/>
        <v>5</v>
      </c>
      <c r="S1125" s="1" t="str">
        <f t="shared" si="337"/>
        <v>4-7</v>
      </c>
      <c r="T1125" s="1" t="s">
        <v>19141</v>
      </c>
      <c r="U1125" s="1" t="s">
        <v>7</v>
      </c>
      <c r="V1125" s="1" t="s">
        <v>138</v>
      </c>
      <c r="W1125" s="1"/>
    </row>
    <row r="1126" spans="1:23" x14ac:dyDescent="0.2">
      <c r="A1126" s="88" t="s">
        <v>16471</v>
      </c>
      <c r="B1126" s="1" t="e">
        <v>#N/A</v>
      </c>
      <c r="C1126" s="1" t="e">
        <v>#N/A</v>
      </c>
      <c r="D1126" s="1" t="s">
        <v>3116</v>
      </c>
      <c r="E1126" s="1" t="s">
        <v>3117</v>
      </c>
      <c r="F1126" s="1" t="s">
        <v>9213</v>
      </c>
      <c r="G1126" s="1" t="s">
        <v>8957</v>
      </c>
      <c r="H1126" t="s">
        <v>9061</v>
      </c>
      <c r="I1126" s="1" t="s">
        <v>9035</v>
      </c>
      <c r="J1126" s="1" t="s">
        <v>9308</v>
      </c>
      <c r="K1126" s="1" t="s">
        <v>20838</v>
      </c>
      <c r="L1126" s="1" t="s">
        <v>9133</v>
      </c>
      <c r="M1126" s="1">
        <v>1135</v>
      </c>
      <c r="N1126" s="1" t="s">
        <v>8953</v>
      </c>
      <c r="O1126" s="1" t="s">
        <v>8989</v>
      </c>
      <c r="P1126" s="1" t="e">
        <v>#N/A</v>
      </c>
      <c r="Q1126" s="1" t="e">
        <v>#N/A</v>
      </c>
      <c r="R1126" s="1">
        <f t="shared" si="336"/>
        <v>12</v>
      </c>
      <c r="S1126" s="1" t="str">
        <f t="shared" si="337"/>
        <v>&gt;7</v>
      </c>
      <c r="T1126" s="1" t="s">
        <v>19142</v>
      </c>
      <c r="U1126" s="1" t="s">
        <v>17</v>
      </c>
      <c r="V1126" s="1" t="s">
        <v>180</v>
      </c>
      <c r="W1126" s="1"/>
    </row>
    <row r="1127" spans="1:23" x14ac:dyDescent="0.2">
      <c r="A1127" s="89" t="s">
        <v>3118</v>
      </c>
      <c r="B1127" s="1" t="e">
        <v>#N/A</v>
      </c>
      <c r="C1127" s="1" t="e">
        <v>#N/A</v>
      </c>
      <c r="D1127" s="1" t="s">
        <v>3119</v>
      </c>
      <c r="E1127" s="1" t="s">
        <v>3120</v>
      </c>
      <c r="F1127" s="1" t="e">
        <v>#N/A</v>
      </c>
      <c r="G1127" s="1" t="e">
        <v>#N/A</v>
      </c>
      <c r="H1127" t="e">
        <v>#N/A</v>
      </c>
      <c r="I1127" s="1" t="e">
        <v>#N/A</v>
      </c>
      <c r="J1127" s="1" t="e">
        <v>#N/A</v>
      </c>
      <c r="K1127" s="1" t="e">
        <v>#N/A</v>
      </c>
      <c r="L1127" s="1" t="e">
        <v>#N/A</v>
      </c>
      <c r="M1127" s="1" t="e">
        <v>#N/A</v>
      </c>
      <c r="N1127" s="1" t="e">
        <v>#N/A</v>
      </c>
      <c r="O1127" s="1" t="e">
        <v>#N/A</v>
      </c>
      <c r="P1127" s="1" t="e">
        <v>#N/A</v>
      </c>
      <c r="Q1127" s="1" t="e">
        <v>#N/A</v>
      </c>
      <c r="R1127" s="1">
        <f t="shared" si="336"/>
        <v>2</v>
      </c>
      <c r="S1127" s="1" t="str">
        <f t="shared" si="337"/>
        <v>&lt;4</v>
      </c>
      <c r="T1127" s="1" t="s">
        <v>19143</v>
      </c>
      <c r="U1127" s="1" t="s">
        <v>7</v>
      </c>
      <c r="V1127" s="1" t="s">
        <v>138</v>
      </c>
      <c r="W1127" s="1"/>
    </row>
    <row r="1128" spans="1:23" x14ac:dyDescent="0.2">
      <c r="A1128" s="88" t="s">
        <v>16472</v>
      </c>
      <c r="B1128" s="1" t="e">
        <v>#N/A</v>
      </c>
      <c r="C1128" s="1" t="s">
        <v>15089</v>
      </c>
      <c r="D1128" s="1" t="s">
        <v>3121</v>
      </c>
      <c r="E1128" s="1" t="s">
        <v>3122</v>
      </c>
      <c r="F1128" s="1" t="s">
        <v>9213</v>
      </c>
      <c r="G1128" s="1" t="s">
        <v>8957</v>
      </c>
      <c r="H1128" t="s">
        <v>9061</v>
      </c>
      <c r="I1128" s="1" t="s">
        <v>9035</v>
      </c>
      <c r="J1128" s="1" t="s">
        <v>9308</v>
      </c>
      <c r="K1128" s="1" t="s">
        <v>9036</v>
      </c>
      <c r="L1128" s="1" t="s">
        <v>8951</v>
      </c>
      <c r="M1128" s="1">
        <v>57481</v>
      </c>
      <c r="N1128" s="1" t="s">
        <v>8953</v>
      </c>
      <c r="O1128" s="1" t="s">
        <v>8954</v>
      </c>
      <c r="P1128" s="1" t="s">
        <v>8955</v>
      </c>
      <c r="Q1128" s="1" t="s">
        <v>8956</v>
      </c>
      <c r="R1128" s="1" t="s">
        <v>8957</v>
      </c>
      <c r="S1128" s="1" t="s">
        <v>8975</v>
      </c>
      <c r="T1128" s="1" t="s">
        <v>3123</v>
      </c>
      <c r="U1128" s="1" t="s">
        <v>17</v>
      </c>
      <c r="V1128" s="1" t="s">
        <v>1918</v>
      </c>
      <c r="W1128" s="1"/>
    </row>
    <row r="1129" spans="1:23" x14ac:dyDescent="0.2">
      <c r="A1129" s="88" t="s">
        <v>16473</v>
      </c>
      <c r="B1129" s="1" t="e">
        <v>#N/A</v>
      </c>
      <c r="C1129" s="1" t="e">
        <v>#N/A</v>
      </c>
      <c r="D1129" s="1" t="s">
        <v>3124</v>
      </c>
      <c r="E1129" s="1" t="s">
        <v>3125</v>
      </c>
      <c r="F1129" s="1" t="s">
        <v>9213</v>
      </c>
      <c r="G1129" s="1" t="s">
        <v>8957</v>
      </c>
      <c r="H1129" t="s">
        <v>9061</v>
      </c>
      <c r="I1129" s="1" t="s">
        <v>9035</v>
      </c>
      <c r="J1129" s="1" t="s">
        <v>9308</v>
      </c>
      <c r="K1129" s="1" t="s">
        <v>20779</v>
      </c>
      <c r="L1129" s="1" t="s">
        <v>8987</v>
      </c>
      <c r="M1129" s="1">
        <v>6768</v>
      </c>
      <c r="N1129" s="1" t="s">
        <v>8953</v>
      </c>
      <c r="O1129" s="1" t="s">
        <v>8954</v>
      </c>
      <c r="P1129" s="1" t="e">
        <v>#N/A</v>
      </c>
      <c r="Q1129" s="1" t="e">
        <v>#N/A</v>
      </c>
      <c r="R1129" s="1">
        <f t="shared" ref="R1129:R1131" si="338">1+LEN(T1129)-LEN(SUBSTITUTE(T1129,",",))</f>
        <v>10</v>
      </c>
      <c r="S1129" s="1" t="str">
        <f t="shared" ref="S1129:S1131" si="339">IF(R1129&gt;4,IF(R1129&lt;8,"4-7",IF(R1129&gt;7,"&gt;7")),"&lt;4")</f>
        <v>&gt;7</v>
      </c>
      <c r="T1129" s="1" t="s">
        <v>19144</v>
      </c>
      <c r="U1129" s="1" t="s">
        <v>17</v>
      </c>
      <c r="V1129" s="1" t="s">
        <v>3126</v>
      </c>
      <c r="W1129" s="1"/>
    </row>
    <row r="1130" spans="1:23" x14ac:dyDescent="0.2">
      <c r="A1130" s="88" t="s">
        <v>16474</v>
      </c>
      <c r="B1130" s="1" t="e">
        <v>#N/A</v>
      </c>
      <c r="C1130" s="1" t="e">
        <v>#N/A</v>
      </c>
      <c r="D1130" s="1" t="s">
        <v>3127</v>
      </c>
      <c r="E1130" s="1" t="s">
        <v>3128</v>
      </c>
      <c r="F1130" s="1" t="s">
        <v>9213</v>
      </c>
      <c r="G1130" s="1" t="s">
        <v>8957</v>
      </c>
      <c r="H1130" t="s">
        <v>8959</v>
      </c>
      <c r="I1130" s="1" t="s">
        <v>8948</v>
      </c>
      <c r="J1130" s="1" t="s">
        <v>9308</v>
      </c>
      <c r="K1130" s="1" t="s">
        <v>20841</v>
      </c>
      <c r="L1130" s="1" t="s">
        <v>9292</v>
      </c>
      <c r="M1130" s="1">
        <v>1311</v>
      </c>
      <c r="N1130" s="1" t="s">
        <v>8953</v>
      </c>
      <c r="O1130" s="1" t="s">
        <v>8989</v>
      </c>
      <c r="P1130" s="1" t="e">
        <v>#N/A</v>
      </c>
      <c r="Q1130" s="1" t="e">
        <v>#N/A</v>
      </c>
      <c r="R1130" s="1">
        <f t="shared" si="338"/>
        <v>10</v>
      </c>
      <c r="S1130" s="1" t="str">
        <f t="shared" si="339"/>
        <v>&gt;7</v>
      </c>
      <c r="T1130" s="1" t="s">
        <v>19145</v>
      </c>
      <c r="U1130" s="1" t="s">
        <v>7</v>
      </c>
      <c r="V1130" s="1" t="s">
        <v>3129</v>
      </c>
      <c r="W1130" s="1"/>
    </row>
    <row r="1131" spans="1:23" x14ac:dyDescent="0.2">
      <c r="A1131" s="88" t="s">
        <v>16475</v>
      </c>
      <c r="B1131" s="1" t="e">
        <v>#N/A</v>
      </c>
      <c r="C1131" s="1" t="e">
        <v>#N/A</v>
      </c>
      <c r="D1131" s="1" t="s">
        <v>3130</v>
      </c>
      <c r="E1131" s="1" t="s">
        <v>3131</v>
      </c>
      <c r="F1131" s="1" t="s">
        <v>9310</v>
      </c>
      <c r="G1131" s="1" t="s">
        <v>8957</v>
      </c>
      <c r="H1131" t="s">
        <v>9183</v>
      </c>
      <c r="I1131" s="1" t="s">
        <v>8984</v>
      </c>
      <c r="J1131" s="1" t="s">
        <v>9131</v>
      </c>
      <c r="K1131" s="1" t="s">
        <v>21312</v>
      </c>
      <c r="L1131" s="1" t="s">
        <v>8951</v>
      </c>
      <c r="M1131" s="1">
        <v>1000</v>
      </c>
      <c r="N1131" s="1" t="s">
        <v>8953</v>
      </c>
      <c r="O1131" s="1" t="s">
        <v>8954</v>
      </c>
      <c r="P1131" s="1" t="e">
        <v>#N/A</v>
      </c>
      <c r="Q1131" s="1" t="e">
        <v>#N/A</v>
      </c>
      <c r="R1131" s="1">
        <f t="shared" si="338"/>
        <v>8</v>
      </c>
      <c r="S1131" s="1" t="str">
        <f t="shared" si="339"/>
        <v>&gt;7</v>
      </c>
      <c r="T1131" s="1" t="s">
        <v>19146</v>
      </c>
      <c r="U1131" s="1" t="s">
        <v>7</v>
      </c>
      <c r="V1131" s="1" t="s">
        <v>43</v>
      </c>
      <c r="W1131" s="1"/>
    </row>
    <row r="1132" spans="1:23" x14ac:dyDescent="0.2">
      <c r="A1132" s="88" t="s">
        <v>16476</v>
      </c>
      <c r="B1132" s="1" t="e">
        <v>#N/A</v>
      </c>
      <c r="C1132" s="1" t="s">
        <v>12400</v>
      </c>
      <c r="D1132" s="1" t="s">
        <v>3132</v>
      </c>
      <c r="E1132" s="1" t="s">
        <v>3133</v>
      </c>
      <c r="F1132" s="1" t="s">
        <v>9213</v>
      </c>
      <c r="G1132" s="1" t="s">
        <v>9060</v>
      </c>
      <c r="H1132" t="s">
        <v>9061</v>
      </c>
      <c r="I1132" s="1" t="s">
        <v>9100</v>
      </c>
      <c r="J1132" s="1" t="s">
        <v>8949</v>
      </c>
      <c r="K1132" s="1" t="s">
        <v>8972</v>
      </c>
      <c r="L1132" s="1" t="s">
        <v>9076</v>
      </c>
      <c r="M1132" s="1">
        <v>1400</v>
      </c>
      <c r="N1132" s="1" t="s">
        <v>8953</v>
      </c>
      <c r="O1132" s="1" t="s">
        <v>8989</v>
      </c>
      <c r="P1132" s="1" t="s">
        <v>8955</v>
      </c>
      <c r="Q1132" s="1" t="s">
        <v>8956</v>
      </c>
      <c r="R1132" s="1" t="s">
        <v>9060</v>
      </c>
      <c r="S1132" s="1" t="s">
        <v>8958</v>
      </c>
      <c r="T1132" s="1" t="s">
        <v>3134</v>
      </c>
      <c r="U1132" s="1" t="s">
        <v>11</v>
      </c>
      <c r="V1132" s="1" t="s">
        <v>378</v>
      </c>
      <c r="W1132" s="1"/>
    </row>
    <row r="1133" spans="1:23" x14ac:dyDescent="0.2">
      <c r="A1133" s="88" t="s">
        <v>16477</v>
      </c>
      <c r="B1133" s="1" t="e">
        <v>#N/A</v>
      </c>
      <c r="C1133" s="1" t="s">
        <v>11897</v>
      </c>
      <c r="D1133" s="1" t="s">
        <v>3135</v>
      </c>
      <c r="E1133" s="1" t="s">
        <v>3136</v>
      </c>
      <c r="F1133" s="1" t="s">
        <v>10008</v>
      </c>
      <c r="G1133" s="1" t="s">
        <v>8957</v>
      </c>
      <c r="H1133" t="s">
        <v>9183</v>
      </c>
      <c r="I1133" s="1" t="s">
        <v>8984</v>
      </c>
      <c r="J1133" s="1" t="s">
        <v>9131</v>
      </c>
      <c r="K1133" s="1" t="s">
        <v>9036</v>
      </c>
      <c r="L1133" s="1" t="s">
        <v>8951</v>
      </c>
      <c r="M1133" s="1">
        <v>10000</v>
      </c>
      <c r="N1133" s="1" t="s">
        <v>8953</v>
      </c>
      <c r="O1133" s="1" t="s">
        <v>8954</v>
      </c>
      <c r="P1133" s="1" t="s">
        <v>8955</v>
      </c>
      <c r="Q1133" s="1" t="s">
        <v>8956</v>
      </c>
      <c r="R1133" s="1" t="s">
        <v>8957</v>
      </c>
      <c r="S1133" s="1" t="s">
        <v>8958</v>
      </c>
      <c r="T1133" s="1" t="s">
        <v>3137</v>
      </c>
      <c r="U1133" s="1" t="s">
        <v>11</v>
      </c>
      <c r="V1133" s="1" t="s">
        <v>61</v>
      </c>
      <c r="W1133" s="1"/>
    </row>
    <row r="1134" spans="1:23" x14ac:dyDescent="0.2">
      <c r="A1134" s="88" t="s">
        <v>16478</v>
      </c>
      <c r="B1134" s="1" t="e">
        <v>#N/A</v>
      </c>
      <c r="C1134" s="1" t="e">
        <v>#N/A</v>
      </c>
      <c r="D1134" s="1" t="s">
        <v>3138</v>
      </c>
      <c r="E1134" s="1" t="s">
        <v>3139</v>
      </c>
      <c r="F1134" s="1" t="s">
        <v>18502</v>
      </c>
      <c r="G1134" s="1" t="s">
        <v>8974</v>
      </c>
      <c r="H1134" t="s">
        <v>8959</v>
      </c>
      <c r="I1134" s="1" t="s">
        <v>9173</v>
      </c>
      <c r="J1134" s="1" t="s">
        <v>8985</v>
      </c>
      <c r="K1134" s="1" t="s">
        <v>20779</v>
      </c>
      <c r="L1134" s="1" t="s">
        <v>8987</v>
      </c>
      <c r="M1134" s="1">
        <f>5070+13537</f>
        <v>18607</v>
      </c>
      <c r="N1134" s="1" t="s">
        <v>8953</v>
      </c>
      <c r="O1134" s="1" t="s">
        <v>8954</v>
      </c>
      <c r="P1134" s="1" t="e">
        <v>#N/A</v>
      </c>
      <c r="Q1134" s="1" t="e">
        <v>#N/A</v>
      </c>
      <c r="R1134" s="1">
        <f>1+LEN(T1134)-LEN(SUBSTITUTE(T1134,",",))</f>
        <v>12</v>
      </c>
      <c r="S1134" s="1" t="str">
        <f>IF(R1134&gt;4,IF(R1134&lt;8,"4-7",IF(R1134&gt;7,"&gt;7")),"&lt;4")</f>
        <v>&gt;7</v>
      </c>
      <c r="T1134" s="1" t="s">
        <v>20611</v>
      </c>
      <c r="U1134" s="1" t="s">
        <v>7</v>
      </c>
      <c r="V1134" s="1" t="s">
        <v>24</v>
      </c>
      <c r="W1134" s="1"/>
    </row>
    <row r="1135" spans="1:23" x14ac:dyDescent="0.2">
      <c r="A1135" s="88" t="s">
        <v>16479</v>
      </c>
      <c r="B1135" s="1" t="e">
        <v>#N/A</v>
      </c>
      <c r="C1135" s="1" t="s">
        <v>13491</v>
      </c>
      <c r="D1135" s="1" t="s">
        <v>3140</v>
      </c>
      <c r="E1135" s="1" t="s">
        <v>3141</v>
      </c>
      <c r="F1135" s="1" t="s">
        <v>9010</v>
      </c>
      <c r="G1135" s="1" t="s">
        <v>9060</v>
      </c>
      <c r="H1135" t="s">
        <v>9061</v>
      </c>
      <c r="I1135" s="1" t="s">
        <v>8984</v>
      </c>
      <c r="J1135" s="1" t="s">
        <v>8998</v>
      </c>
      <c r="K1135" s="1" t="s">
        <v>9036</v>
      </c>
      <c r="L1135" s="1" t="s">
        <v>8973</v>
      </c>
      <c r="M1135" s="1">
        <v>72</v>
      </c>
      <c r="N1135" s="1" t="s">
        <v>8953</v>
      </c>
      <c r="O1135" s="1" t="s">
        <v>8954</v>
      </c>
      <c r="P1135" s="1" t="s">
        <v>8955</v>
      </c>
      <c r="Q1135" s="1" t="s">
        <v>8956</v>
      </c>
      <c r="R1135" s="1" t="s">
        <v>9060</v>
      </c>
      <c r="S1135" s="1" t="s">
        <v>8958</v>
      </c>
      <c r="T1135" s="1" t="s">
        <v>3142</v>
      </c>
      <c r="U1135" s="1" t="s">
        <v>4</v>
      </c>
      <c r="V1135" s="1" t="s">
        <v>378</v>
      </c>
      <c r="W1135" s="1"/>
    </row>
    <row r="1136" spans="1:23" x14ac:dyDescent="0.2">
      <c r="A1136" s="88" t="s">
        <v>16480</v>
      </c>
      <c r="B1136" s="1" t="e">
        <v>#N/A</v>
      </c>
      <c r="C1136" s="1" t="s">
        <v>14054</v>
      </c>
      <c r="D1136" s="1" t="s">
        <v>3143</v>
      </c>
      <c r="E1136" s="1" t="s">
        <v>3144</v>
      </c>
      <c r="F1136" s="1" t="s">
        <v>9010</v>
      </c>
      <c r="G1136" s="1" t="s">
        <v>9060</v>
      </c>
      <c r="H1136" t="s">
        <v>9061</v>
      </c>
      <c r="I1136" s="1" t="s">
        <v>8948</v>
      </c>
      <c r="J1136" s="1" t="s">
        <v>8998</v>
      </c>
      <c r="K1136" s="1" t="s">
        <v>9036</v>
      </c>
      <c r="L1136" s="1" t="s">
        <v>8973</v>
      </c>
      <c r="M1136" s="1">
        <v>208</v>
      </c>
      <c r="N1136" s="1" t="s">
        <v>8953</v>
      </c>
      <c r="O1136" s="1" t="s">
        <v>8989</v>
      </c>
      <c r="P1136" s="1" t="s">
        <v>8955</v>
      </c>
      <c r="Q1136" s="1" t="s">
        <v>8956</v>
      </c>
      <c r="R1136" s="1" t="s">
        <v>9060</v>
      </c>
      <c r="S1136" s="1" t="s">
        <v>9103</v>
      </c>
      <c r="T1136" s="1" t="s">
        <v>3145</v>
      </c>
      <c r="U1136" s="1" t="s">
        <v>4</v>
      </c>
      <c r="V1136" s="1" t="s">
        <v>93</v>
      </c>
      <c r="W1136" s="1"/>
    </row>
    <row r="1137" spans="1:23" x14ac:dyDescent="0.2">
      <c r="A1137" s="89" t="s">
        <v>3146</v>
      </c>
      <c r="B1137" s="1" t="e">
        <v>#N/A</v>
      </c>
      <c r="C1137" s="1" t="e">
        <v>#N/A</v>
      </c>
      <c r="D1137" s="1" t="s">
        <v>3147</v>
      </c>
      <c r="E1137" s="1" t="s">
        <v>3148</v>
      </c>
      <c r="F1137" s="1" t="e">
        <v>#N/A</v>
      </c>
      <c r="G1137" s="1" t="e">
        <v>#N/A</v>
      </c>
      <c r="H1137" t="e">
        <v>#N/A</v>
      </c>
      <c r="I1137" s="1" t="e">
        <v>#N/A</v>
      </c>
      <c r="J1137" s="1" t="e">
        <v>#N/A</v>
      </c>
      <c r="K1137" s="1" t="e">
        <v>#N/A</v>
      </c>
      <c r="L1137" s="1" t="e">
        <v>#N/A</v>
      </c>
      <c r="M1137" s="1" t="e">
        <v>#N/A</v>
      </c>
      <c r="N1137" s="1" t="e">
        <v>#N/A</v>
      </c>
      <c r="O1137" s="1" t="e">
        <v>#N/A</v>
      </c>
      <c r="P1137" s="1" t="e">
        <v>#N/A</v>
      </c>
      <c r="Q1137" s="1" t="e">
        <v>#N/A</v>
      </c>
      <c r="R1137" s="1">
        <f t="shared" ref="R1137:R1138" si="340">1+LEN(T1137)-LEN(SUBSTITUTE(T1137,",",))</f>
        <v>7</v>
      </c>
      <c r="S1137" s="1" t="str">
        <f t="shared" ref="S1137:S1138" si="341">IF(R1137&gt;4,IF(R1137&lt;8,"4-7",IF(R1137&gt;7,"&gt;7")),"&lt;4")</f>
        <v>4-7</v>
      </c>
      <c r="T1137" s="1" t="s">
        <v>19147</v>
      </c>
      <c r="U1137" s="1" t="s">
        <v>7</v>
      </c>
      <c r="V1137" s="1" t="s">
        <v>1097</v>
      </c>
      <c r="W1137" s="1"/>
    </row>
    <row r="1138" spans="1:23" x14ac:dyDescent="0.2">
      <c r="A1138" s="89" t="s">
        <v>3149</v>
      </c>
      <c r="B1138" s="1" t="e">
        <v>#N/A</v>
      </c>
      <c r="C1138" s="1" t="e">
        <v>#N/A</v>
      </c>
      <c r="D1138" s="1" t="s">
        <v>3150</v>
      </c>
      <c r="E1138" s="1" t="s">
        <v>3151</v>
      </c>
      <c r="F1138" s="1" t="e">
        <v>#N/A</v>
      </c>
      <c r="G1138" s="1" t="e">
        <v>#N/A</v>
      </c>
      <c r="H1138" t="e">
        <v>#N/A</v>
      </c>
      <c r="I1138" s="1" t="e">
        <v>#N/A</v>
      </c>
      <c r="J1138" s="1" t="e">
        <v>#N/A</v>
      </c>
      <c r="K1138" s="1" t="e">
        <v>#N/A</v>
      </c>
      <c r="L1138" s="1" t="e">
        <v>#N/A</v>
      </c>
      <c r="M1138" s="1" t="e">
        <v>#N/A</v>
      </c>
      <c r="N1138" s="1" t="e">
        <v>#N/A</v>
      </c>
      <c r="O1138" s="1" t="e">
        <v>#N/A</v>
      </c>
      <c r="P1138" s="1" t="e">
        <v>#N/A</v>
      </c>
      <c r="Q1138" s="1" t="e">
        <v>#N/A</v>
      </c>
      <c r="R1138" s="1">
        <f t="shared" si="340"/>
        <v>12</v>
      </c>
      <c r="S1138" s="1" t="str">
        <f t="shared" si="341"/>
        <v>&gt;7</v>
      </c>
      <c r="T1138" s="1" t="s">
        <v>19148</v>
      </c>
      <c r="U1138" s="1" t="s">
        <v>7</v>
      </c>
      <c r="V1138" s="1" t="s">
        <v>3152</v>
      </c>
      <c r="W1138" s="1"/>
    </row>
    <row r="1139" spans="1:23" x14ac:dyDescent="0.2">
      <c r="A1139" s="88" t="s">
        <v>16481</v>
      </c>
      <c r="B1139" s="1" t="e">
        <v>#N/A</v>
      </c>
      <c r="C1139" s="1" t="s">
        <v>9188</v>
      </c>
      <c r="D1139" s="1" t="s">
        <v>3153</v>
      </c>
      <c r="E1139" s="1" t="s">
        <v>3154</v>
      </c>
      <c r="F1139" s="1" t="s">
        <v>18493</v>
      </c>
      <c r="G1139" s="1" t="s">
        <v>9060</v>
      </c>
      <c r="H1139" t="s">
        <v>8959</v>
      </c>
      <c r="I1139" s="1" t="s">
        <v>9191</v>
      </c>
      <c r="J1139" s="1" t="s">
        <v>9155</v>
      </c>
      <c r="K1139" s="1" t="s">
        <v>9192</v>
      </c>
      <c r="L1139" s="1" t="s">
        <v>8973</v>
      </c>
      <c r="M1139" s="1">
        <v>3618</v>
      </c>
      <c r="N1139" s="1" t="s">
        <v>8953</v>
      </c>
      <c r="O1139" s="1" t="s">
        <v>8954</v>
      </c>
      <c r="P1139" s="1" t="s">
        <v>8955</v>
      </c>
      <c r="Q1139" s="1" t="s">
        <v>8990</v>
      </c>
      <c r="R1139" s="1" t="s">
        <v>9060</v>
      </c>
      <c r="S1139" s="1" t="s">
        <v>9103</v>
      </c>
      <c r="T1139" s="1" t="s">
        <v>3155</v>
      </c>
      <c r="U1139" s="1" t="s">
        <v>7</v>
      </c>
      <c r="V1139" s="1" t="s">
        <v>342</v>
      </c>
      <c r="W1139" s="1"/>
    </row>
    <row r="1140" spans="1:23" x14ac:dyDescent="0.2">
      <c r="A1140" s="88" t="s">
        <v>16482</v>
      </c>
      <c r="B1140" s="1" t="e">
        <v>#N/A</v>
      </c>
      <c r="C1140" s="1" t="e">
        <v>#N/A</v>
      </c>
      <c r="D1140" s="1" t="s">
        <v>3156</v>
      </c>
      <c r="E1140" s="1" t="s">
        <v>3157</v>
      </c>
      <c r="F1140" s="1" t="s">
        <v>9333</v>
      </c>
      <c r="G1140" s="1" t="s">
        <v>8959</v>
      </c>
      <c r="H1140" t="s">
        <v>8959</v>
      </c>
      <c r="I1140" s="1" t="s">
        <v>8984</v>
      </c>
      <c r="J1140" s="1" t="s">
        <v>8985</v>
      </c>
      <c r="K1140" s="1" t="s">
        <v>21271</v>
      </c>
      <c r="L1140" s="1" t="s">
        <v>8987</v>
      </c>
      <c r="M1140" s="1">
        <f>4128+4036+10000</f>
        <v>18164</v>
      </c>
      <c r="N1140" s="1" t="s">
        <v>8953</v>
      </c>
      <c r="O1140" s="1" t="s">
        <v>8954</v>
      </c>
      <c r="P1140" s="1" t="e">
        <v>#N/A</v>
      </c>
      <c r="Q1140" s="1" t="e">
        <v>#N/A</v>
      </c>
      <c r="R1140" s="1">
        <f t="shared" ref="R1140:R1143" si="342">1+LEN(T1140)-LEN(SUBSTITUTE(T1140,",",))</f>
        <v>6</v>
      </c>
      <c r="S1140" s="1" t="str">
        <f t="shared" ref="S1140:S1143" si="343">IF(R1140&gt;4,IF(R1140&lt;8,"4-7",IF(R1140&gt;7,"&gt;7")),"&lt;4")</f>
        <v>4-7</v>
      </c>
      <c r="T1140" s="1" t="s">
        <v>19149</v>
      </c>
      <c r="U1140" s="1" t="s">
        <v>7</v>
      </c>
      <c r="V1140" s="1" t="s">
        <v>24</v>
      </c>
      <c r="W1140" s="1"/>
    </row>
    <row r="1141" spans="1:23" x14ac:dyDescent="0.2">
      <c r="A1141" s="88" t="s">
        <v>16483</v>
      </c>
      <c r="B1141" s="1" t="e">
        <v>#N/A</v>
      </c>
      <c r="C1141" s="1" t="e">
        <v>#N/A</v>
      </c>
      <c r="D1141" s="1" t="s">
        <v>3158</v>
      </c>
      <c r="E1141" s="1" t="s">
        <v>3159</v>
      </c>
      <c r="F1141" s="1" t="s">
        <v>9333</v>
      </c>
      <c r="G1141" s="1" t="s">
        <v>8957</v>
      </c>
      <c r="H1141" t="s">
        <v>9009</v>
      </c>
      <c r="I1141" s="1" t="s">
        <v>9100</v>
      </c>
      <c r="J1141" s="1" t="s">
        <v>8959</v>
      </c>
      <c r="K1141" s="1" t="s">
        <v>20779</v>
      </c>
      <c r="L1141" s="1" t="s">
        <v>8987</v>
      </c>
      <c r="M1141" s="1">
        <v>160</v>
      </c>
      <c r="N1141" s="1" t="s">
        <v>8953</v>
      </c>
      <c r="O1141" s="1" t="s">
        <v>8989</v>
      </c>
      <c r="P1141" s="1" t="e">
        <v>#N/A</v>
      </c>
      <c r="Q1141" s="1" t="e">
        <v>#N/A</v>
      </c>
      <c r="R1141" s="1">
        <f t="shared" si="342"/>
        <v>3</v>
      </c>
      <c r="S1141" s="1" t="str">
        <f t="shared" si="343"/>
        <v>&lt;4</v>
      </c>
      <c r="T1141" s="1" t="s">
        <v>19150</v>
      </c>
      <c r="U1141" s="1" t="s">
        <v>17</v>
      </c>
      <c r="V1141" s="1" t="s">
        <v>24</v>
      </c>
      <c r="W1141" s="1"/>
    </row>
    <row r="1142" spans="1:23" x14ac:dyDescent="0.2">
      <c r="A1142" s="88" t="s">
        <v>16484</v>
      </c>
      <c r="B1142" s="1" t="e">
        <v>#N/A</v>
      </c>
      <c r="C1142" s="1" t="e">
        <v>#N/A</v>
      </c>
      <c r="D1142" s="1" t="s">
        <v>3160</v>
      </c>
      <c r="E1142" s="1" t="s">
        <v>3161</v>
      </c>
      <c r="F1142" s="1" t="s">
        <v>14748</v>
      </c>
      <c r="G1142" s="1" t="s">
        <v>8957</v>
      </c>
      <c r="H1142" t="s">
        <v>8959</v>
      </c>
      <c r="I1142" s="1" t="s">
        <v>9075</v>
      </c>
      <c r="J1142" s="1" t="s">
        <v>8985</v>
      </c>
      <c r="K1142" s="1" t="s">
        <v>20783</v>
      </c>
      <c r="L1142" s="1" t="s">
        <v>8987</v>
      </c>
      <c r="M1142" s="1">
        <v>10500</v>
      </c>
      <c r="N1142" s="1" t="s">
        <v>8953</v>
      </c>
      <c r="O1142" s="1" t="s">
        <v>8989</v>
      </c>
      <c r="P1142" s="1" t="e">
        <v>#N/A</v>
      </c>
      <c r="Q1142" s="1" t="e">
        <v>#N/A</v>
      </c>
      <c r="R1142" s="1">
        <f t="shared" si="342"/>
        <v>4</v>
      </c>
      <c r="S1142" s="1" t="str">
        <f t="shared" si="343"/>
        <v>&lt;4</v>
      </c>
      <c r="T1142" s="1" t="s">
        <v>19151</v>
      </c>
      <c r="U1142" s="1" t="s">
        <v>17</v>
      </c>
      <c r="V1142" s="1" t="s">
        <v>74</v>
      </c>
      <c r="W1142" s="1"/>
    </row>
    <row r="1143" spans="1:23" x14ac:dyDescent="0.2">
      <c r="A1143" s="88" t="s">
        <v>16485</v>
      </c>
      <c r="B1143" s="1" t="e">
        <v>#N/A</v>
      </c>
      <c r="C1143" s="1" t="e">
        <v>#N/A</v>
      </c>
      <c r="D1143" s="1" t="s">
        <v>3162</v>
      </c>
      <c r="E1143" s="1" t="s">
        <v>3163</v>
      </c>
      <c r="F1143" s="1" t="s">
        <v>9465</v>
      </c>
      <c r="G1143" s="1" t="s">
        <v>8957</v>
      </c>
      <c r="H1143" t="s">
        <v>9009</v>
      </c>
      <c r="I1143" s="1" t="s">
        <v>9100</v>
      </c>
      <c r="J1143" s="1" t="s">
        <v>8959</v>
      </c>
      <c r="K1143" s="1" t="s">
        <v>20783</v>
      </c>
      <c r="L1143" s="1" t="s">
        <v>8951</v>
      </c>
      <c r="M1143" s="1">
        <v>220</v>
      </c>
      <c r="N1143" s="1" t="s">
        <v>8953</v>
      </c>
      <c r="O1143" s="1" t="s">
        <v>8954</v>
      </c>
      <c r="P1143" s="1" t="e">
        <v>#N/A</v>
      </c>
      <c r="Q1143" s="1" t="e">
        <v>#N/A</v>
      </c>
      <c r="R1143" s="1">
        <f t="shared" si="342"/>
        <v>3</v>
      </c>
      <c r="S1143" s="1" t="str">
        <f t="shared" si="343"/>
        <v>&lt;4</v>
      </c>
      <c r="T1143" s="1" t="s">
        <v>19152</v>
      </c>
      <c r="U1143" s="1" t="s">
        <v>17</v>
      </c>
      <c r="V1143" s="1" t="s">
        <v>24</v>
      </c>
      <c r="W1143" s="1"/>
    </row>
    <row r="1144" spans="1:23" x14ac:dyDescent="0.2">
      <c r="A1144" s="88" t="s">
        <v>16486</v>
      </c>
      <c r="B1144" s="1" t="e">
        <v>#N/A</v>
      </c>
      <c r="C1144" s="1" t="s">
        <v>9848</v>
      </c>
      <c r="D1144" s="1" t="s">
        <v>3164</v>
      </c>
      <c r="E1144" s="1" t="s">
        <v>3165</v>
      </c>
      <c r="F1144" s="1" t="s">
        <v>9852</v>
      </c>
      <c r="G1144" s="1" t="s">
        <v>8957</v>
      </c>
      <c r="H1144" t="s">
        <v>8959</v>
      </c>
      <c r="I1144" s="1" t="s">
        <v>8948</v>
      </c>
      <c r="J1144" s="1" t="s">
        <v>8949</v>
      </c>
      <c r="K1144" s="1" t="s">
        <v>9851</v>
      </c>
      <c r="L1144" s="1" t="s">
        <v>8973</v>
      </c>
      <c r="M1144" s="1">
        <v>384</v>
      </c>
      <c r="N1144" s="1" t="s">
        <v>8953</v>
      </c>
      <c r="O1144" s="1" t="s">
        <v>8989</v>
      </c>
      <c r="P1144" s="1" t="s">
        <v>8955</v>
      </c>
      <c r="Q1144" s="1" t="s">
        <v>8956</v>
      </c>
      <c r="R1144" s="1" t="s">
        <v>8957</v>
      </c>
      <c r="S1144" s="1" t="s">
        <v>8958</v>
      </c>
      <c r="T1144" s="1" t="s">
        <v>3166</v>
      </c>
      <c r="U1144" s="1" t="s">
        <v>17</v>
      </c>
      <c r="V1144" s="1" t="s">
        <v>3167</v>
      </c>
      <c r="W1144" s="1"/>
    </row>
    <row r="1145" spans="1:23" x14ac:dyDescent="0.2">
      <c r="A1145" s="88" t="s">
        <v>16487</v>
      </c>
      <c r="B1145" s="1" t="e">
        <v>#N/A</v>
      </c>
      <c r="C1145" s="1" t="s">
        <v>13072</v>
      </c>
      <c r="D1145" s="1" t="s">
        <v>3168</v>
      </c>
      <c r="E1145" s="1" t="s">
        <v>3169</v>
      </c>
      <c r="F1145" s="1" t="s">
        <v>9852</v>
      </c>
      <c r="G1145" s="1" t="s">
        <v>8974</v>
      </c>
      <c r="H1145" t="s">
        <v>9183</v>
      </c>
      <c r="I1145" s="1" t="s">
        <v>8948</v>
      </c>
      <c r="J1145" s="1" t="s">
        <v>8949</v>
      </c>
      <c r="K1145" s="1" t="s">
        <v>9018</v>
      </c>
      <c r="L1145" s="1" t="s">
        <v>8973</v>
      </c>
      <c r="M1145" s="1">
        <v>274</v>
      </c>
      <c r="N1145" s="1" t="s">
        <v>8953</v>
      </c>
      <c r="O1145" s="1" t="s">
        <v>8954</v>
      </c>
      <c r="P1145" s="1" t="s">
        <v>8955</v>
      </c>
      <c r="Q1145" s="1" t="s">
        <v>8956</v>
      </c>
      <c r="R1145" s="1" t="s">
        <v>8974</v>
      </c>
      <c r="S1145" s="1" t="s">
        <v>8958</v>
      </c>
      <c r="T1145" s="1" t="s">
        <v>3170</v>
      </c>
      <c r="U1145" s="1" t="s">
        <v>11</v>
      </c>
      <c r="V1145" s="1" t="s">
        <v>3167</v>
      </c>
      <c r="W1145" s="1"/>
    </row>
    <row r="1146" spans="1:23" x14ac:dyDescent="0.2">
      <c r="A1146" s="88" t="s">
        <v>16488</v>
      </c>
      <c r="B1146" s="1" t="e">
        <v>#N/A</v>
      </c>
      <c r="C1146" s="1" t="s">
        <v>11330</v>
      </c>
      <c r="D1146" s="1" t="s">
        <v>3171</v>
      </c>
      <c r="E1146" s="1" t="s">
        <v>3172</v>
      </c>
      <c r="F1146" s="1" t="s">
        <v>9852</v>
      </c>
      <c r="G1146" s="1" t="s">
        <v>8959</v>
      </c>
      <c r="H1146" t="s">
        <v>9183</v>
      </c>
      <c r="I1146" s="1" t="s">
        <v>9049</v>
      </c>
      <c r="J1146" s="1" t="s">
        <v>8949</v>
      </c>
      <c r="K1146" s="1" t="s">
        <v>18491</v>
      </c>
      <c r="L1146" s="1" t="s">
        <v>8973</v>
      </c>
      <c r="M1146" s="1">
        <v>30</v>
      </c>
      <c r="N1146" s="1" t="s">
        <v>8953</v>
      </c>
      <c r="O1146" s="1" t="s">
        <v>8954</v>
      </c>
      <c r="P1146" s="1" t="s">
        <v>8955</v>
      </c>
      <c r="Q1146" s="1" t="s">
        <v>8956</v>
      </c>
      <c r="R1146" s="1" t="s">
        <v>8959</v>
      </c>
      <c r="S1146" s="1" t="s">
        <v>9103</v>
      </c>
      <c r="T1146" s="1" t="s">
        <v>3173</v>
      </c>
      <c r="U1146" s="1" t="s">
        <v>11</v>
      </c>
      <c r="V1146" s="1" t="s">
        <v>97</v>
      </c>
      <c r="W1146" s="1"/>
    </row>
    <row r="1147" spans="1:23" x14ac:dyDescent="0.2">
      <c r="A1147" s="88" t="s">
        <v>16489</v>
      </c>
      <c r="B1147" s="1" t="e">
        <v>#N/A</v>
      </c>
      <c r="C1147" s="1" t="e">
        <v>#N/A</v>
      </c>
      <c r="D1147" s="1" t="s">
        <v>3174</v>
      </c>
      <c r="E1147" s="1" t="s">
        <v>3175</v>
      </c>
      <c r="F1147" s="1" t="s">
        <v>9380</v>
      </c>
      <c r="G1147" s="1" t="s">
        <v>8957</v>
      </c>
      <c r="H1147" t="s">
        <v>8959</v>
      </c>
      <c r="I1147" s="1" t="s">
        <v>9035</v>
      </c>
      <c r="J1147" s="1" t="s">
        <v>9308</v>
      </c>
      <c r="K1147" s="1" t="s">
        <v>21272</v>
      </c>
      <c r="L1147" s="1" t="s">
        <v>8987</v>
      </c>
      <c r="M1147" s="1">
        <f>77872+8652+25596+203</f>
        <v>112323</v>
      </c>
      <c r="N1147" s="1" t="s">
        <v>8953</v>
      </c>
      <c r="O1147" s="1" t="s">
        <v>8954</v>
      </c>
      <c r="P1147" s="1" t="e">
        <v>#N/A</v>
      </c>
      <c r="Q1147" s="1" t="e">
        <v>#N/A</v>
      </c>
      <c r="R1147" s="1">
        <f t="shared" ref="R1147:R1151" si="344">1+LEN(T1147)-LEN(SUBSTITUTE(T1147,",",))</f>
        <v>6</v>
      </c>
      <c r="S1147" s="1" t="str">
        <f t="shared" ref="S1147:S1151" si="345">IF(R1147&gt;4,IF(R1147&lt;8,"4-7",IF(R1147&gt;7,"&gt;7")),"&lt;4")</f>
        <v>4-7</v>
      </c>
      <c r="T1147" s="1" t="s">
        <v>19153</v>
      </c>
      <c r="U1147" s="1" t="s">
        <v>7</v>
      </c>
      <c r="V1147" s="1" t="s">
        <v>46</v>
      </c>
      <c r="W1147" s="1"/>
    </row>
    <row r="1148" spans="1:23" x14ac:dyDescent="0.2">
      <c r="A1148" s="88" t="s">
        <v>16490</v>
      </c>
      <c r="B1148" s="1" t="e">
        <v>#N/A</v>
      </c>
      <c r="C1148" s="1" t="e">
        <v>#N/A</v>
      </c>
      <c r="D1148" s="1" t="s">
        <v>3176</v>
      </c>
      <c r="E1148" s="1" t="s">
        <v>3177</v>
      </c>
      <c r="F1148" s="1" t="s">
        <v>14748</v>
      </c>
      <c r="G1148" s="1" t="s">
        <v>8959</v>
      </c>
      <c r="H1148" t="s">
        <v>8959</v>
      </c>
      <c r="I1148" s="1" t="s">
        <v>9035</v>
      </c>
      <c r="J1148" s="1" t="s">
        <v>9308</v>
      </c>
      <c r="K1148" s="1" t="s">
        <v>20779</v>
      </c>
      <c r="L1148" s="1" t="s">
        <v>8951</v>
      </c>
      <c r="M1148" s="1">
        <f>1524+1527+1524</f>
        <v>4575</v>
      </c>
      <c r="N1148" s="1" t="s">
        <v>8953</v>
      </c>
      <c r="O1148" s="1" t="s">
        <v>8954</v>
      </c>
      <c r="P1148" s="1" t="e">
        <v>#N/A</v>
      </c>
      <c r="Q1148" s="1" t="e">
        <v>#N/A</v>
      </c>
      <c r="R1148" s="1">
        <f t="shared" si="344"/>
        <v>1</v>
      </c>
      <c r="S1148" s="1" t="str">
        <f t="shared" si="345"/>
        <v>&lt;4</v>
      </c>
      <c r="T1148" s="1" t="s">
        <v>3178</v>
      </c>
      <c r="U1148" s="1" t="s">
        <v>7</v>
      </c>
      <c r="V1148" s="1" t="s">
        <v>3179</v>
      </c>
      <c r="W1148" s="1"/>
    </row>
    <row r="1149" spans="1:23" x14ac:dyDescent="0.2">
      <c r="A1149" s="88" t="s">
        <v>16491</v>
      </c>
      <c r="B1149" s="1" t="e">
        <v>#N/A</v>
      </c>
      <c r="C1149" s="1" t="e">
        <v>#N/A</v>
      </c>
      <c r="D1149" s="1" t="s">
        <v>3180</v>
      </c>
      <c r="E1149" s="1" t="s">
        <v>3181</v>
      </c>
      <c r="F1149" s="1" t="s">
        <v>18502</v>
      </c>
      <c r="G1149" s="1" t="s">
        <v>8959</v>
      </c>
      <c r="H1149" t="s">
        <v>9183</v>
      </c>
      <c r="I1149" s="1" t="s">
        <v>9100</v>
      </c>
      <c r="J1149" s="1" t="s">
        <v>8998</v>
      </c>
      <c r="K1149" s="1" t="s">
        <v>10492</v>
      </c>
      <c r="L1149" s="1" t="s">
        <v>8973</v>
      </c>
      <c r="M1149" s="1">
        <v>12968</v>
      </c>
      <c r="N1149" s="1" t="s">
        <v>8953</v>
      </c>
      <c r="O1149" s="1" t="s">
        <v>8989</v>
      </c>
      <c r="P1149" s="1" t="e">
        <v>#N/A</v>
      </c>
      <c r="Q1149" s="1" t="e">
        <v>#N/A</v>
      </c>
      <c r="R1149" s="1">
        <f t="shared" si="344"/>
        <v>10</v>
      </c>
      <c r="S1149" s="1" t="str">
        <f t="shared" si="345"/>
        <v>&gt;7</v>
      </c>
      <c r="T1149" s="1" t="s">
        <v>19154</v>
      </c>
      <c r="U1149" s="1" t="s">
        <v>17</v>
      </c>
      <c r="V1149" s="1" t="s">
        <v>544</v>
      </c>
      <c r="W1149" s="1"/>
    </row>
    <row r="1150" spans="1:23" x14ac:dyDescent="0.2">
      <c r="A1150" s="88" t="s">
        <v>16492</v>
      </c>
      <c r="B1150" s="1" t="e">
        <v>#N/A</v>
      </c>
      <c r="C1150" s="1" t="e">
        <v>#N/A</v>
      </c>
      <c r="D1150" s="1" t="s">
        <v>3182</v>
      </c>
      <c r="E1150" s="1" t="s">
        <v>3183</v>
      </c>
      <c r="F1150" s="1" t="s">
        <v>9317</v>
      </c>
      <c r="G1150" s="1" t="s">
        <v>8957</v>
      </c>
      <c r="H1150" t="s">
        <v>8959</v>
      </c>
      <c r="I1150" s="1" t="s">
        <v>9100</v>
      </c>
      <c r="J1150" s="1" t="s">
        <v>8949</v>
      </c>
      <c r="K1150" s="1" t="s">
        <v>10492</v>
      </c>
      <c r="L1150" s="1" t="s">
        <v>8973</v>
      </c>
      <c r="M1150" s="1">
        <f>6586+3419</f>
        <v>10005</v>
      </c>
      <c r="N1150" s="1" t="s">
        <v>8953</v>
      </c>
      <c r="O1150" s="1" t="s">
        <v>8954</v>
      </c>
      <c r="P1150" s="1" t="e">
        <v>#N/A</v>
      </c>
      <c r="Q1150" s="1" t="e">
        <v>#N/A</v>
      </c>
      <c r="R1150" s="1">
        <f t="shared" si="344"/>
        <v>13</v>
      </c>
      <c r="S1150" s="1" t="str">
        <f t="shared" si="345"/>
        <v>&gt;7</v>
      </c>
      <c r="T1150" s="1" t="s">
        <v>20612</v>
      </c>
      <c r="U1150" s="1" t="s">
        <v>17</v>
      </c>
      <c r="V1150" s="1" t="s">
        <v>2988</v>
      </c>
      <c r="W1150" s="1"/>
    </row>
    <row r="1151" spans="1:23" x14ac:dyDescent="0.2">
      <c r="A1151" s="89" t="s">
        <v>3184</v>
      </c>
      <c r="B1151" s="1" t="e">
        <v>#N/A</v>
      </c>
      <c r="C1151" s="1" t="e">
        <v>#N/A</v>
      </c>
      <c r="D1151" s="1" t="s">
        <v>3185</v>
      </c>
      <c r="E1151" s="1" t="s">
        <v>3186</v>
      </c>
      <c r="F1151" s="1" t="e">
        <v>#N/A</v>
      </c>
      <c r="G1151" s="1" t="e">
        <v>#N/A</v>
      </c>
      <c r="H1151" t="e">
        <v>#N/A</v>
      </c>
      <c r="I1151" s="1" t="e">
        <v>#N/A</v>
      </c>
      <c r="J1151" s="1" t="e">
        <v>#N/A</v>
      </c>
      <c r="K1151" s="1" t="e">
        <v>#N/A</v>
      </c>
      <c r="L1151" s="1" t="e">
        <v>#N/A</v>
      </c>
      <c r="M1151" s="1" t="e">
        <v>#N/A</v>
      </c>
      <c r="N1151" s="1" t="e">
        <v>#N/A</v>
      </c>
      <c r="O1151" s="1" t="e">
        <v>#N/A</v>
      </c>
      <c r="P1151" s="1" t="e">
        <v>#N/A</v>
      </c>
      <c r="Q1151" s="1" t="e">
        <v>#N/A</v>
      </c>
      <c r="R1151" s="1">
        <f t="shared" si="344"/>
        <v>5</v>
      </c>
      <c r="S1151" s="1" t="str">
        <f t="shared" si="345"/>
        <v>4-7</v>
      </c>
      <c r="T1151" s="1" t="s">
        <v>19155</v>
      </c>
      <c r="U1151" s="1" t="s">
        <v>7</v>
      </c>
      <c r="V1151" s="1" t="s">
        <v>3187</v>
      </c>
      <c r="W1151" s="1"/>
    </row>
    <row r="1152" spans="1:23" x14ac:dyDescent="0.2">
      <c r="A1152" s="88" t="s">
        <v>16493</v>
      </c>
      <c r="B1152" s="1" t="e">
        <v>#N/A</v>
      </c>
      <c r="C1152" s="1" t="s">
        <v>12443</v>
      </c>
      <c r="D1152" s="1" t="s">
        <v>3188</v>
      </c>
      <c r="E1152" s="1" t="s">
        <v>3189</v>
      </c>
      <c r="F1152" s="1" t="s">
        <v>9333</v>
      </c>
      <c r="G1152" s="1" t="s">
        <v>8959</v>
      </c>
      <c r="H1152" t="s">
        <v>9009</v>
      </c>
      <c r="I1152" s="1" t="s">
        <v>9075</v>
      </c>
      <c r="J1152" s="1" t="s">
        <v>8949</v>
      </c>
      <c r="K1152" s="1" t="s">
        <v>9036</v>
      </c>
      <c r="L1152" s="1" t="s">
        <v>8951</v>
      </c>
      <c r="M1152" s="1">
        <v>4000</v>
      </c>
      <c r="N1152" s="1" t="s">
        <v>8953</v>
      </c>
      <c r="O1152" s="1" t="s">
        <v>8954</v>
      </c>
      <c r="P1152" s="1" t="s">
        <v>8955</v>
      </c>
      <c r="Q1152" s="1" t="s">
        <v>8956</v>
      </c>
      <c r="R1152" s="1" t="s">
        <v>8959</v>
      </c>
      <c r="S1152" s="1" t="s">
        <v>8975</v>
      </c>
      <c r="T1152" s="1" t="s">
        <v>3190</v>
      </c>
      <c r="U1152" s="1" t="s">
        <v>11</v>
      </c>
      <c r="V1152" s="1" t="s">
        <v>559</v>
      </c>
      <c r="W1152" s="1"/>
    </row>
    <row r="1153" spans="1:23" x14ac:dyDescent="0.2">
      <c r="A1153" s="88" t="s">
        <v>16494</v>
      </c>
      <c r="B1153" s="1" t="e">
        <v>#N/A</v>
      </c>
      <c r="C1153" s="1" t="s">
        <v>12225</v>
      </c>
      <c r="D1153" s="1" t="s">
        <v>3191</v>
      </c>
      <c r="E1153" s="1" t="s">
        <v>3192</v>
      </c>
      <c r="F1153" s="1" t="s">
        <v>9010</v>
      </c>
      <c r="G1153" s="1" t="s">
        <v>8957</v>
      </c>
      <c r="H1153" t="s">
        <v>9009</v>
      </c>
      <c r="I1153" s="1" t="s">
        <v>9100</v>
      </c>
      <c r="J1153" s="1" t="s">
        <v>8949</v>
      </c>
      <c r="K1153" s="1" t="s">
        <v>10613</v>
      </c>
      <c r="L1153" s="1" t="s">
        <v>9133</v>
      </c>
      <c r="M1153" s="1">
        <v>416</v>
      </c>
      <c r="N1153" s="1" t="s">
        <v>9059</v>
      </c>
      <c r="O1153" s="1" t="s">
        <v>8989</v>
      </c>
      <c r="P1153" s="1" t="s">
        <v>8955</v>
      </c>
      <c r="Q1153" s="1" t="s">
        <v>8956</v>
      </c>
      <c r="R1153" s="1" t="s">
        <v>8957</v>
      </c>
      <c r="S1153" s="1" t="s">
        <v>9103</v>
      </c>
      <c r="T1153" s="1" t="s">
        <v>3193</v>
      </c>
      <c r="U1153" s="1" t="s">
        <v>11</v>
      </c>
      <c r="V1153" s="1" t="s">
        <v>3194</v>
      </c>
      <c r="W1153" s="1"/>
    </row>
    <row r="1154" spans="1:23" x14ac:dyDescent="0.2">
      <c r="A1154" s="88" t="s">
        <v>16495</v>
      </c>
      <c r="B1154" s="1" t="e">
        <v>#N/A</v>
      </c>
      <c r="C1154" s="1" t="e">
        <v>#N/A</v>
      </c>
      <c r="D1154" s="1" t="s">
        <v>3195</v>
      </c>
      <c r="E1154" s="1" t="s">
        <v>3196</v>
      </c>
      <c r="F1154" s="1" t="s">
        <v>18502</v>
      </c>
      <c r="G1154" s="1" t="s">
        <v>8957</v>
      </c>
      <c r="H1154" t="s">
        <v>8959</v>
      </c>
      <c r="I1154" s="1" t="s">
        <v>9100</v>
      </c>
      <c r="J1154" s="1" t="s">
        <v>9725</v>
      </c>
      <c r="K1154" s="1" t="s">
        <v>20785</v>
      </c>
      <c r="L1154" s="1" t="s">
        <v>9076</v>
      </c>
      <c r="M1154" s="1">
        <v>411</v>
      </c>
      <c r="N1154" s="1" t="s">
        <v>8953</v>
      </c>
      <c r="O1154" s="1" t="s">
        <v>8954</v>
      </c>
      <c r="P1154" s="1" t="e">
        <v>#N/A</v>
      </c>
      <c r="Q1154" s="1" t="e">
        <v>#N/A</v>
      </c>
      <c r="R1154" s="1">
        <f>1+LEN(T1154)-LEN(SUBSTITUTE(T1154,",",))</f>
        <v>2</v>
      </c>
      <c r="S1154" s="1" t="str">
        <f>IF(R1154&gt;4,IF(R1154&lt;8,"4-7",IF(R1154&gt;7,"&gt;7")),"&lt;4")</f>
        <v>&lt;4</v>
      </c>
      <c r="T1154" s="1" t="s">
        <v>19156</v>
      </c>
      <c r="U1154" s="1" t="s">
        <v>7</v>
      </c>
      <c r="V1154" s="1" t="s">
        <v>3194</v>
      </c>
      <c r="W1154" s="1"/>
    </row>
    <row r="1155" spans="1:23" x14ac:dyDescent="0.2">
      <c r="A1155" s="88" t="s">
        <v>16496</v>
      </c>
      <c r="B1155" s="1" t="e">
        <v>#N/A</v>
      </c>
      <c r="C1155" s="1" t="s">
        <v>14515</v>
      </c>
      <c r="D1155" s="1" t="s">
        <v>3197</v>
      </c>
      <c r="E1155" s="1" t="s">
        <v>3198</v>
      </c>
      <c r="F1155" s="1" t="s">
        <v>9010</v>
      </c>
      <c r="G1155" s="1" t="s">
        <v>8957</v>
      </c>
      <c r="H1155" t="s">
        <v>8959</v>
      </c>
      <c r="I1155" s="1" t="s">
        <v>8948</v>
      </c>
      <c r="J1155" s="1" t="s">
        <v>8949</v>
      </c>
      <c r="K1155" s="1" t="s">
        <v>21462</v>
      </c>
      <c r="L1155" s="1" t="s">
        <v>9292</v>
      </c>
      <c r="M1155" s="1">
        <v>516</v>
      </c>
      <c r="N1155" s="1" t="s">
        <v>9059</v>
      </c>
      <c r="O1155" s="1" t="s">
        <v>8989</v>
      </c>
      <c r="P1155" s="1" t="s">
        <v>8955</v>
      </c>
      <c r="Q1155" s="1" t="s">
        <v>8956</v>
      </c>
      <c r="R1155" s="1" t="s">
        <v>8957</v>
      </c>
      <c r="S1155" s="1" t="s">
        <v>8958</v>
      </c>
      <c r="T1155" s="1" t="s">
        <v>3199</v>
      </c>
      <c r="U1155" s="1" t="s">
        <v>924</v>
      </c>
      <c r="V1155" s="1" t="s">
        <v>3200</v>
      </c>
      <c r="W1155" s="1"/>
    </row>
    <row r="1156" spans="1:23" x14ac:dyDescent="0.2">
      <c r="A1156" s="88" t="s">
        <v>16497</v>
      </c>
      <c r="B1156" s="1" t="e">
        <v>#N/A</v>
      </c>
      <c r="C1156" s="1" t="s">
        <v>14547</v>
      </c>
      <c r="D1156" s="1" t="s">
        <v>3201</v>
      </c>
      <c r="E1156" s="1" t="s">
        <v>3202</v>
      </c>
      <c r="F1156" s="1" t="s">
        <v>9010</v>
      </c>
      <c r="G1156" s="1" t="s">
        <v>8957</v>
      </c>
      <c r="H1156" t="s">
        <v>8959</v>
      </c>
      <c r="I1156" s="1" t="s">
        <v>8948</v>
      </c>
      <c r="J1156" s="1" t="s">
        <v>9155</v>
      </c>
      <c r="K1156" s="1" t="s">
        <v>21464</v>
      </c>
      <c r="L1156" s="1" t="s">
        <v>9292</v>
      </c>
      <c r="M1156" s="1">
        <v>447</v>
      </c>
      <c r="N1156" s="1" t="s">
        <v>9059</v>
      </c>
      <c r="O1156" s="1" t="s">
        <v>8989</v>
      </c>
      <c r="P1156" s="1" t="s">
        <v>8955</v>
      </c>
      <c r="Q1156" s="1" t="s">
        <v>8956</v>
      </c>
      <c r="R1156" s="1" t="s">
        <v>8957</v>
      </c>
      <c r="S1156" s="1" t="s">
        <v>8958</v>
      </c>
      <c r="T1156" s="1" t="s">
        <v>3203</v>
      </c>
      <c r="U1156" s="1" t="s">
        <v>929</v>
      </c>
      <c r="V1156" s="1" t="s">
        <v>921</v>
      </c>
      <c r="W1156" s="1"/>
    </row>
    <row r="1157" spans="1:23" x14ac:dyDescent="0.2">
      <c r="A1157" s="88" t="s">
        <v>16498</v>
      </c>
      <c r="B1157" s="1" t="e">
        <v>#N/A</v>
      </c>
      <c r="C1157" s="1" t="s">
        <v>9934</v>
      </c>
      <c r="D1157" s="1" t="s">
        <v>3204</v>
      </c>
      <c r="E1157" s="1" t="s">
        <v>3205</v>
      </c>
      <c r="F1157" s="1" t="s">
        <v>9333</v>
      </c>
      <c r="G1157" s="1" t="s">
        <v>8957</v>
      </c>
      <c r="H1157" t="s">
        <v>8959</v>
      </c>
      <c r="I1157" s="1" t="s">
        <v>8948</v>
      </c>
      <c r="J1157" s="1" t="s">
        <v>9155</v>
      </c>
      <c r="K1157" s="1" t="s">
        <v>9937</v>
      </c>
      <c r="L1157" s="1" t="s">
        <v>8973</v>
      </c>
      <c r="M1157" s="1">
        <v>21</v>
      </c>
      <c r="N1157" s="1" t="s">
        <v>8953</v>
      </c>
      <c r="O1157" s="1" t="s">
        <v>8954</v>
      </c>
      <c r="P1157" s="1" t="s">
        <v>8955</v>
      </c>
      <c r="Q1157" s="1" t="s">
        <v>8990</v>
      </c>
      <c r="R1157" s="1" t="s">
        <v>8957</v>
      </c>
      <c r="S1157" s="1" t="s">
        <v>8958</v>
      </c>
      <c r="T1157" s="1" t="s">
        <v>3206</v>
      </c>
      <c r="U1157" s="1" t="s">
        <v>17</v>
      </c>
      <c r="V1157" s="1" t="s">
        <v>342</v>
      </c>
      <c r="W1157" s="1"/>
    </row>
    <row r="1158" spans="1:23" x14ac:dyDescent="0.2">
      <c r="A1158" s="88" t="s">
        <v>16499</v>
      </c>
      <c r="B1158" s="1" t="e">
        <v>#N/A</v>
      </c>
      <c r="C1158" s="1" t="e">
        <v>#N/A</v>
      </c>
      <c r="D1158" s="1" t="s">
        <v>3207</v>
      </c>
      <c r="E1158" s="1" t="s">
        <v>3208</v>
      </c>
      <c r="F1158" s="1" t="s">
        <v>9317</v>
      </c>
      <c r="G1158" s="1" t="s">
        <v>8957</v>
      </c>
      <c r="H1158" t="s">
        <v>8959</v>
      </c>
      <c r="I1158" s="1" t="s">
        <v>20712</v>
      </c>
      <c r="J1158" s="1" t="s">
        <v>8949</v>
      </c>
      <c r="K1158" s="1" t="s">
        <v>10492</v>
      </c>
      <c r="L1158" s="1" t="s">
        <v>8973</v>
      </c>
      <c r="M1158" s="1">
        <v>40</v>
      </c>
      <c r="N1158" s="1" t="s">
        <v>8953</v>
      </c>
      <c r="O1158" s="1" t="s">
        <v>8989</v>
      </c>
      <c r="P1158" s="1" t="e">
        <v>#N/A</v>
      </c>
      <c r="Q1158" s="1" t="e">
        <v>#N/A</v>
      </c>
      <c r="R1158" s="1">
        <f t="shared" ref="R1158:R1160" si="346">1+LEN(T1158)-LEN(SUBSTITUTE(T1158,",",))</f>
        <v>6</v>
      </c>
      <c r="S1158" s="1" t="str">
        <f t="shared" ref="S1158:S1160" si="347">IF(R1158&gt;4,IF(R1158&lt;8,"4-7",IF(R1158&gt;7,"&gt;7")),"&lt;4")</f>
        <v>4-7</v>
      </c>
      <c r="T1158" s="1" t="s">
        <v>19157</v>
      </c>
      <c r="U1158" s="1" t="s">
        <v>17</v>
      </c>
      <c r="V1158" s="1" t="s">
        <v>64</v>
      </c>
      <c r="W1158" s="1"/>
    </row>
    <row r="1159" spans="1:23" x14ac:dyDescent="0.2">
      <c r="A1159" s="94" t="s">
        <v>16500</v>
      </c>
      <c r="B1159" s="1" t="e">
        <v>#N/A</v>
      </c>
      <c r="C1159" s="1" t="e">
        <v>#N/A</v>
      </c>
      <c r="D1159" s="1" t="s">
        <v>3209</v>
      </c>
      <c r="E1159" s="1" t="s">
        <v>3210</v>
      </c>
      <c r="F1159" s="1"/>
      <c r="G1159" s="1" t="e">
        <v>#N/A</v>
      </c>
      <c r="H1159" t="e">
        <v>#N/A</v>
      </c>
      <c r="I1159" s="1" t="e">
        <v>#N/A</v>
      </c>
      <c r="J1159" s="1" t="e">
        <v>#N/A</v>
      </c>
      <c r="K1159" s="1" t="e">
        <v>#N/A</v>
      </c>
      <c r="L1159" s="1" t="e">
        <v>#N/A</v>
      </c>
      <c r="M1159" s="1" t="e">
        <v>#N/A</v>
      </c>
      <c r="N1159" s="1" t="e">
        <v>#N/A</v>
      </c>
      <c r="O1159" s="1" t="e">
        <v>#N/A</v>
      </c>
      <c r="P1159" s="1" t="e">
        <v>#N/A</v>
      </c>
      <c r="Q1159" s="1" t="e">
        <v>#N/A</v>
      </c>
      <c r="R1159" s="1">
        <f t="shared" si="346"/>
        <v>6</v>
      </c>
      <c r="S1159" s="1" t="str">
        <f t="shared" si="347"/>
        <v>4-7</v>
      </c>
      <c r="T1159" s="1" t="s">
        <v>19158</v>
      </c>
      <c r="U1159" s="1" t="s">
        <v>7</v>
      </c>
      <c r="V1159" s="1" t="s">
        <v>3211</v>
      </c>
      <c r="W1159" s="1"/>
    </row>
    <row r="1160" spans="1:23" x14ac:dyDescent="0.2">
      <c r="A1160" s="94" t="s">
        <v>16501</v>
      </c>
      <c r="B1160" s="1" t="e">
        <v>#N/A</v>
      </c>
      <c r="C1160" s="1" t="e">
        <v>#N/A</v>
      </c>
      <c r="D1160" s="1" t="s">
        <v>3212</v>
      </c>
      <c r="E1160" s="1" t="s">
        <v>3213</v>
      </c>
      <c r="F1160" s="1" t="e">
        <v>#N/A</v>
      </c>
      <c r="G1160" s="1" t="e">
        <v>#N/A</v>
      </c>
      <c r="H1160" t="e">
        <v>#N/A</v>
      </c>
      <c r="I1160" s="1" t="e">
        <v>#N/A</v>
      </c>
      <c r="J1160" s="1" t="e">
        <v>#N/A</v>
      </c>
      <c r="K1160" s="1" t="e">
        <v>#N/A</v>
      </c>
      <c r="L1160" s="1" t="e">
        <v>#N/A</v>
      </c>
      <c r="M1160" s="1" t="e">
        <v>#N/A</v>
      </c>
      <c r="N1160" s="1" t="e">
        <v>#N/A</v>
      </c>
      <c r="O1160" s="1" t="e">
        <v>#N/A</v>
      </c>
      <c r="P1160" s="1" t="e">
        <v>#N/A</v>
      </c>
      <c r="Q1160" s="1" t="e">
        <v>#N/A</v>
      </c>
      <c r="R1160" s="1">
        <f t="shared" si="346"/>
        <v>4</v>
      </c>
      <c r="S1160" s="1" t="str">
        <f t="shared" si="347"/>
        <v>&lt;4</v>
      </c>
      <c r="T1160" s="1" t="s">
        <v>19159</v>
      </c>
      <c r="U1160" s="1" t="s">
        <v>4</v>
      </c>
      <c r="V1160" s="1" t="s">
        <v>234</v>
      </c>
      <c r="W1160" s="1"/>
    </row>
    <row r="1161" spans="1:23" x14ac:dyDescent="0.2">
      <c r="A1161" s="88" t="s">
        <v>16502</v>
      </c>
      <c r="B1161" s="1" t="e">
        <v>#N/A</v>
      </c>
      <c r="C1161" s="1" t="s">
        <v>12111</v>
      </c>
      <c r="D1161" s="1" t="s">
        <v>3214</v>
      </c>
      <c r="E1161" s="1" t="s">
        <v>3215</v>
      </c>
      <c r="F1161" s="1" t="s">
        <v>9176</v>
      </c>
      <c r="G1161" s="1" t="s">
        <v>8957</v>
      </c>
      <c r="H1161" t="s">
        <v>9183</v>
      </c>
      <c r="I1161" s="1" t="s">
        <v>9075</v>
      </c>
      <c r="J1161" s="1" t="s">
        <v>8998</v>
      </c>
      <c r="K1161" s="1" t="s">
        <v>8972</v>
      </c>
      <c r="L1161" s="1" t="s">
        <v>8973</v>
      </c>
      <c r="M1161" s="1">
        <v>89</v>
      </c>
      <c r="N1161" s="1" t="s">
        <v>9059</v>
      </c>
      <c r="O1161" s="1" t="s">
        <v>8989</v>
      </c>
      <c r="P1161" s="1" t="s">
        <v>8955</v>
      </c>
      <c r="Q1161" s="1" t="s">
        <v>8956</v>
      </c>
      <c r="R1161" s="1" t="s">
        <v>8957</v>
      </c>
      <c r="S1161" s="1" t="s">
        <v>8958</v>
      </c>
      <c r="T1161" s="1" t="s">
        <v>3216</v>
      </c>
      <c r="U1161" s="1" t="s">
        <v>11</v>
      </c>
      <c r="V1161" s="1" t="s">
        <v>2377</v>
      </c>
      <c r="W1161" s="1"/>
    </row>
    <row r="1162" spans="1:23" x14ac:dyDescent="0.2">
      <c r="A1162" s="89" t="s">
        <v>16503</v>
      </c>
      <c r="B1162" s="1" t="e">
        <v>#N/A</v>
      </c>
      <c r="C1162" s="1" t="e">
        <v>#N/A</v>
      </c>
      <c r="D1162" s="1" t="s">
        <v>3217</v>
      </c>
      <c r="E1162" s="1" t="s">
        <v>3218</v>
      </c>
      <c r="F1162" s="1" t="e">
        <v>#N/A</v>
      </c>
      <c r="G1162" s="1" t="e">
        <v>#N/A</v>
      </c>
      <c r="H1162" t="e">
        <v>#N/A</v>
      </c>
      <c r="I1162" s="1" t="e">
        <v>#N/A</v>
      </c>
      <c r="J1162" s="1" t="e">
        <v>#N/A</v>
      </c>
      <c r="K1162" s="1" t="e">
        <v>#N/A</v>
      </c>
      <c r="L1162" s="1" t="e">
        <v>#N/A</v>
      </c>
      <c r="M1162" s="1" t="e">
        <v>#N/A</v>
      </c>
      <c r="N1162" s="1" t="e">
        <v>#N/A</v>
      </c>
      <c r="O1162" s="1" t="e">
        <v>#N/A</v>
      </c>
      <c r="P1162" s="1" t="e">
        <v>#N/A</v>
      </c>
      <c r="Q1162" s="1" t="e">
        <v>#N/A</v>
      </c>
      <c r="R1162" s="1">
        <f>1+LEN(T1162)-LEN(SUBSTITUTE(T1162,",",))</f>
        <v>1</v>
      </c>
      <c r="S1162" s="1" t="str">
        <f>IF(R1162&gt;4,IF(R1162&lt;8,"4-7",IF(R1162&gt;7,"&gt;7")),"&lt;4")</f>
        <v>&lt;4</v>
      </c>
      <c r="U1162" s="1" t="s">
        <v>17</v>
      </c>
      <c r="V1162" s="1" t="s">
        <v>3219</v>
      </c>
      <c r="W1162" s="1"/>
    </row>
    <row r="1163" spans="1:23" x14ac:dyDescent="0.2">
      <c r="A1163" s="88" t="s">
        <v>16504</v>
      </c>
      <c r="B1163" s="1" t="e">
        <v>#N/A</v>
      </c>
      <c r="C1163" s="1" t="s">
        <v>10558</v>
      </c>
      <c r="D1163" s="1" t="s">
        <v>3220</v>
      </c>
      <c r="E1163" s="1" t="s">
        <v>3221</v>
      </c>
      <c r="F1163" s="1" t="s">
        <v>9317</v>
      </c>
      <c r="G1163" s="1" t="s">
        <v>8957</v>
      </c>
      <c r="H1163" t="s">
        <v>9061</v>
      </c>
      <c r="I1163" s="1" t="s">
        <v>8948</v>
      </c>
      <c r="J1163" s="1" t="s">
        <v>8949</v>
      </c>
      <c r="K1163" s="1" t="s">
        <v>9036</v>
      </c>
      <c r="L1163" s="1" t="s">
        <v>8973</v>
      </c>
      <c r="M1163" s="1">
        <v>218</v>
      </c>
      <c r="N1163" s="1" t="s">
        <v>8953</v>
      </c>
      <c r="O1163" s="1" t="s">
        <v>8954</v>
      </c>
      <c r="P1163" s="1" t="s">
        <v>8955</v>
      </c>
      <c r="Q1163" s="1" t="s">
        <v>8956</v>
      </c>
      <c r="R1163" s="1" t="s">
        <v>8957</v>
      </c>
      <c r="S1163" s="1" t="s">
        <v>8958</v>
      </c>
      <c r="T1163" s="1" t="s">
        <v>3222</v>
      </c>
      <c r="U1163" s="1" t="s">
        <v>17</v>
      </c>
      <c r="V1163" s="1" t="s">
        <v>857</v>
      </c>
      <c r="W1163" s="1"/>
    </row>
    <row r="1164" spans="1:23" x14ac:dyDescent="0.2">
      <c r="A1164" s="88" t="s">
        <v>16505</v>
      </c>
      <c r="B1164" s="1" t="e">
        <v>#N/A</v>
      </c>
      <c r="C1164" s="1" t="s">
        <v>14082</v>
      </c>
      <c r="D1164" s="1" t="s">
        <v>3223</v>
      </c>
      <c r="E1164" s="1" t="s">
        <v>3224</v>
      </c>
      <c r="F1164" s="1" t="s">
        <v>9852</v>
      </c>
      <c r="G1164" s="1" t="s">
        <v>8959</v>
      </c>
      <c r="H1164" t="s">
        <v>8959</v>
      </c>
      <c r="I1164" s="1" t="s">
        <v>9252</v>
      </c>
      <c r="J1164" s="1" t="s">
        <v>9253</v>
      </c>
      <c r="K1164" s="1" t="s">
        <v>9036</v>
      </c>
      <c r="L1164" s="1" t="s">
        <v>8987</v>
      </c>
      <c r="M1164" s="1">
        <v>2796</v>
      </c>
      <c r="N1164" s="1" t="s">
        <v>8953</v>
      </c>
      <c r="O1164" s="1" t="s">
        <v>8954</v>
      </c>
      <c r="P1164" s="1" t="s">
        <v>8955</v>
      </c>
      <c r="Q1164" s="1" t="s">
        <v>8956</v>
      </c>
      <c r="R1164" s="1" t="s">
        <v>8959</v>
      </c>
      <c r="S1164" s="1" t="s">
        <v>8958</v>
      </c>
      <c r="T1164" s="1" t="s">
        <v>3225</v>
      </c>
      <c r="U1164" s="1" t="s">
        <v>4</v>
      </c>
      <c r="V1164" s="1" t="s">
        <v>1343</v>
      </c>
      <c r="W1164" s="1"/>
    </row>
    <row r="1165" spans="1:23" x14ac:dyDescent="0.2">
      <c r="A1165" s="88" t="s">
        <v>16506</v>
      </c>
      <c r="B1165" s="1" t="e">
        <v>#N/A</v>
      </c>
      <c r="C1165" s="1" t="s">
        <v>10000</v>
      </c>
      <c r="D1165" s="1" t="s">
        <v>3226</v>
      </c>
      <c r="E1165" s="1" t="s">
        <v>3227</v>
      </c>
      <c r="F1165" s="1" t="s">
        <v>9380</v>
      </c>
      <c r="G1165" s="1" t="s">
        <v>8957</v>
      </c>
      <c r="H1165" t="s">
        <v>8959</v>
      </c>
      <c r="I1165" s="1" t="s">
        <v>9154</v>
      </c>
      <c r="J1165" s="1" t="s">
        <v>8971</v>
      </c>
      <c r="K1165" s="1" t="s">
        <v>8972</v>
      </c>
      <c r="L1165" s="1" t="s">
        <v>8973</v>
      </c>
      <c r="M1165" s="1">
        <v>854</v>
      </c>
      <c r="N1165" s="1" t="s">
        <v>8953</v>
      </c>
      <c r="O1165" s="1" t="s">
        <v>8989</v>
      </c>
      <c r="P1165" s="1" t="s">
        <v>8955</v>
      </c>
      <c r="Q1165" s="1" t="s">
        <v>8990</v>
      </c>
      <c r="R1165" s="1" t="s">
        <v>8957</v>
      </c>
      <c r="S1165" s="1" t="s">
        <v>8975</v>
      </c>
      <c r="T1165" s="1" t="s">
        <v>3228</v>
      </c>
      <c r="U1165" s="1" t="s">
        <v>17</v>
      </c>
      <c r="V1165" s="1" t="s">
        <v>64</v>
      </c>
      <c r="W1165" s="1"/>
    </row>
    <row r="1166" spans="1:23" x14ac:dyDescent="0.2">
      <c r="A1166" s="89" t="s">
        <v>16507</v>
      </c>
      <c r="B1166" s="1" t="e">
        <v>#N/A</v>
      </c>
      <c r="C1166" s="1" t="e">
        <v>#N/A</v>
      </c>
      <c r="D1166" s="1" t="s">
        <v>3229</v>
      </c>
      <c r="E1166" s="1" t="s">
        <v>3230</v>
      </c>
      <c r="F1166" s="1" t="s">
        <v>9380</v>
      </c>
      <c r="G1166" s="1" t="s">
        <v>8957</v>
      </c>
      <c r="H1166" t="s">
        <v>8959</v>
      </c>
      <c r="I1166" s="1" t="s">
        <v>9154</v>
      </c>
      <c r="J1166" s="1" t="s">
        <v>8971</v>
      </c>
      <c r="K1166" s="1" t="s">
        <v>10629</v>
      </c>
      <c r="L1166" s="1" t="s">
        <v>8973</v>
      </c>
      <c r="M1166" s="1">
        <v>1089</v>
      </c>
      <c r="N1166" s="1" t="s">
        <v>8953</v>
      </c>
      <c r="O1166" s="1" t="s">
        <v>8989</v>
      </c>
      <c r="P1166" s="1" t="e">
        <v>#N/A</v>
      </c>
      <c r="Q1166" s="1" t="e">
        <v>#N/A</v>
      </c>
      <c r="R1166" s="1">
        <f>1+LEN(T1166)-LEN(SUBSTITUTE(T1166,",",))</f>
        <v>14</v>
      </c>
      <c r="S1166" s="1" t="str">
        <f>IF(R1166&gt;4,IF(R1166&lt;8,"4-7",IF(R1166&gt;7,"&gt;7")),"&lt;4")</f>
        <v>&gt;7</v>
      </c>
      <c r="T1166" s="1" t="s">
        <v>19160</v>
      </c>
      <c r="U1166" s="1" t="s">
        <v>7</v>
      </c>
      <c r="V1166" s="1" t="s">
        <v>64</v>
      </c>
      <c r="W1166" s="1"/>
    </row>
    <row r="1167" spans="1:23" x14ac:dyDescent="0.2">
      <c r="A1167" s="88" t="s">
        <v>16508</v>
      </c>
      <c r="B1167" s="1" t="e">
        <v>#N/A</v>
      </c>
      <c r="C1167" s="1" t="s">
        <v>13985</v>
      </c>
      <c r="D1167" s="1" t="s">
        <v>3231</v>
      </c>
      <c r="E1167" s="1" t="s">
        <v>3232</v>
      </c>
      <c r="F1167" s="1" t="s">
        <v>9968</v>
      </c>
      <c r="G1167" s="1" t="s">
        <v>8959</v>
      </c>
      <c r="H1167" t="s">
        <v>8959</v>
      </c>
      <c r="I1167" s="1" t="s">
        <v>9173</v>
      </c>
      <c r="J1167" s="1" t="s">
        <v>9174</v>
      </c>
      <c r="K1167" s="1" t="s">
        <v>9036</v>
      </c>
      <c r="L1167" s="1" t="s">
        <v>8973</v>
      </c>
      <c r="M1167" s="1">
        <v>126</v>
      </c>
      <c r="N1167" s="1" t="s">
        <v>8953</v>
      </c>
      <c r="O1167" s="1" t="s">
        <v>8989</v>
      </c>
      <c r="P1167" s="1" t="s">
        <v>8955</v>
      </c>
      <c r="Q1167" s="1" t="s">
        <v>8956</v>
      </c>
      <c r="R1167" s="1" t="s">
        <v>8959</v>
      </c>
      <c r="S1167" s="1" t="s">
        <v>8958</v>
      </c>
      <c r="T1167" s="1" t="s">
        <v>3233</v>
      </c>
      <c r="U1167" s="1" t="s">
        <v>4</v>
      </c>
      <c r="V1167" s="1" t="s">
        <v>64</v>
      </c>
      <c r="W1167" s="1"/>
    </row>
    <row r="1168" spans="1:23" x14ac:dyDescent="0.2">
      <c r="A1168" s="88" t="s">
        <v>16509</v>
      </c>
      <c r="B1168" s="1" t="e">
        <v>#N/A</v>
      </c>
      <c r="C1168" s="1" t="e">
        <v>#N/A</v>
      </c>
      <c r="D1168" s="1" t="s">
        <v>3234</v>
      </c>
      <c r="E1168" s="1" t="s">
        <v>3235</v>
      </c>
      <c r="F1168" s="1" t="s">
        <v>9815</v>
      </c>
      <c r="G1168" s="1" t="s">
        <v>8959</v>
      </c>
      <c r="H1168" t="s">
        <v>8959</v>
      </c>
      <c r="I1168" s="1" t="s">
        <v>8948</v>
      </c>
      <c r="J1168" s="1" t="s">
        <v>8971</v>
      </c>
      <c r="K1168" s="1" t="s">
        <v>20783</v>
      </c>
      <c r="L1168" s="1" t="s">
        <v>8951</v>
      </c>
      <c r="M1168" s="1">
        <f>283+538+433</f>
        <v>1254</v>
      </c>
      <c r="N1168" s="1" t="s">
        <v>8953</v>
      </c>
      <c r="O1168" s="1" t="s">
        <v>8989</v>
      </c>
      <c r="P1168" s="1" t="e">
        <v>#N/A</v>
      </c>
      <c r="Q1168" s="1" t="e">
        <v>#N/A</v>
      </c>
      <c r="R1168" s="1">
        <f t="shared" ref="R1168:R1172" si="348">1+LEN(T1168)-LEN(SUBSTITUTE(T1168,",",))</f>
        <v>5</v>
      </c>
      <c r="S1168" s="1" t="str">
        <f t="shared" ref="S1168:S1172" si="349">IF(R1168&gt;4,IF(R1168&lt;8,"4-7",IF(R1168&gt;7,"&gt;7")),"&lt;4")</f>
        <v>4-7</v>
      </c>
      <c r="T1168" s="1" t="s">
        <v>19161</v>
      </c>
      <c r="U1168" s="1" t="s">
        <v>7</v>
      </c>
      <c r="V1168" s="1" t="s">
        <v>5</v>
      </c>
      <c r="W1168" s="1"/>
    </row>
    <row r="1169" spans="1:23" x14ac:dyDescent="0.2">
      <c r="A1169" s="88" t="s">
        <v>16510</v>
      </c>
      <c r="B1169" s="1" t="e">
        <v>#N/A</v>
      </c>
      <c r="C1169" s="1" t="e">
        <v>#N/A</v>
      </c>
      <c r="D1169" s="1" t="s">
        <v>3236</v>
      </c>
      <c r="E1169" s="1" t="s">
        <v>3237</v>
      </c>
      <c r="F1169" s="1" t="s">
        <v>9642</v>
      </c>
      <c r="G1169" s="1" t="s">
        <v>9060</v>
      </c>
      <c r="H1169" t="s">
        <v>8959</v>
      </c>
      <c r="I1169" s="1" t="s">
        <v>8948</v>
      </c>
      <c r="J1169" s="1" t="s">
        <v>8998</v>
      </c>
      <c r="K1169" s="1" t="s">
        <v>10492</v>
      </c>
      <c r="L1169" s="1" t="s">
        <v>8951</v>
      </c>
      <c r="M1169" s="1">
        <f>72+33+70+38</f>
        <v>213</v>
      </c>
      <c r="N1169" s="1" t="s">
        <v>9059</v>
      </c>
      <c r="O1169" s="1" t="s">
        <v>8954</v>
      </c>
      <c r="P1169" s="1" t="e">
        <v>#N/A</v>
      </c>
      <c r="Q1169" s="1" t="e">
        <v>#N/A</v>
      </c>
      <c r="R1169" s="1">
        <f t="shared" si="348"/>
        <v>8</v>
      </c>
      <c r="S1169" s="1" t="str">
        <f t="shared" si="349"/>
        <v>&gt;7</v>
      </c>
      <c r="T1169" s="1" t="s">
        <v>19162</v>
      </c>
      <c r="U1169" s="1" t="s">
        <v>17</v>
      </c>
      <c r="V1169" s="1" t="s">
        <v>3238</v>
      </c>
      <c r="W1169" s="1"/>
    </row>
    <row r="1170" spans="1:23" x14ac:dyDescent="0.2">
      <c r="A1170" s="88" t="s">
        <v>16511</v>
      </c>
      <c r="B1170" s="1" t="e">
        <v>#N/A</v>
      </c>
      <c r="C1170" s="1" t="e">
        <v>#N/A</v>
      </c>
      <c r="D1170" s="1" t="s">
        <v>3239</v>
      </c>
      <c r="E1170" s="1" t="s">
        <v>3240</v>
      </c>
      <c r="F1170" s="1" t="s">
        <v>20842</v>
      </c>
      <c r="G1170" s="1" t="s">
        <v>8974</v>
      </c>
      <c r="H1170" t="s">
        <v>8959</v>
      </c>
      <c r="I1170" s="1" t="s">
        <v>9092</v>
      </c>
      <c r="J1170" s="1" t="s">
        <v>8998</v>
      </c>
      <c r="K1170" s="1" t="s">
        <v>20736</v>
      </c>
      <c r="L1170" s="1" t="s">
        <v>8951</v>
      </c>
      <c r="M1170" s="1">
        <v>392</v>
      </c>
      <c r="N1170" s="1" t="s">
        <v>8953</v>
      </c>
      <c r="O1170" s="1" t="s">
        <v>8954</v>
      </c>
      <c r="P1170" s="1" t="e">
        <v>#N/A</v>
      </c>
      <c r="Q1170" s="1" t="e">
        <v>#N/A</v>
      </c>
      <c r="R1170" s="1">
        <f t="shared" si="348"/>
        <v>4</v>
      </c>
      <c r="S1170" s="1" t="str">
        <f t="shared" si="349"/>
        <v>&lt;4</v>
      </c>
      <c r="T1170" s="1" t="s">
        <v>19163</v>
      </c>
      <c r="U1170" s="1" t="s">
        <v>17</v>
      </c>
      <c r="V1170" s="1" t="s">
        <v>46</v>
      </c>
      <c r="W1170" s="1"/>
    </row>
    <row r="1171" spans="1:23" x14ac:dyDescent="0.2">
      <c r="A1171" s="88" t="s">
        <v>16512</v>
      </c>
      <c r="B1171" s="1" t="e">
        <v>#N/A</v>
      </c>
      <c r="C1171" s="1" t="e">
        <v>#N/A</v>
      </c>
      <c r="D1171" s="1" t="s">
        <v>3241</v>
      </c>
      <c r="E1171" s="1" t="s">
        <v>3242</v>
      </c>
      <c r="F1171" s="1" t="e">
        <v>#N/A</v>
      </c>
      <c r="G1171" s="1" t="e">
        <v>#N/A</v>
      </c>
      <c r="H1171" t="e">
        <v>#N/A</v>
      </c>
      <c r="I1171" s="1" t="e">
        <v>#N/A</v>
      </c>
      <c r="J1171" s="1" t="e">
        <v>#N/A</v>
      </c>
      <c r="K1171" s="1" t="e">
        <v>#N/A</v>
      </c>
      <c r="L1171" s="1" t="e">
        <v>#N/A</v>
      </c>
      <c r="M1171" s="1" t="e">
        <v>#N/A</v>
      </c>
      <c r="N1171" s="1" t="e">
        <v>#N/A</v>
      </c>
      <c r="O1171" s="1" t="e">
        <v>#N/A</v>
      </c>
      <c r="P1171" s="1" t="e">
        <v>#N/A</v>
      </c>
      <c r="Q1171" s="1" t="e">
        <v>#N/A</v>
      </c>
      <c r="R1171" s="1">
        <f t="shared" si="348"/>
        <v>4</v>
      </c>
      <c r="S1171" s="1" t="str">
        <f t="shared" si="349"/>
        <v>&lt;4</v>
      </c>
      <c r="T1171" s="1" t="s">
        <v>19164</v>
      </c>
      <c r="U1171" s="1" t="s">
        <v>252</v>
      </c>
      <c r="V1171" s="1" t="s">
        <v>3243</v>
      </c>
      <c r="W1171" s="1"/>
    </row>
    <row r="1172" spans="1:23" x14ac:dyDescent="0.2">
      <c r="A1172" s="88" t="s">
        <v>16513</v>
      </c>
      <c r="B1172" s="1" t="e">
        <v>#N/A</v>
      </c>
      <c r="C1172" s="1" t="e">
        <v>#N/A</v>
      </c>
      <c r="D1172" s="1" t="s">
        <v>3244</v>
      </c>
      <c r="E1172" s="1" t="s">
        <v>3245</v>
      </c>
      <c r="F1172" s="1" t="s">
        <v>9380</v>
      </c>
      <c r="G1172" s="1" t="s">
        <v>8957</v>
      </c>
      <c r="H1172" t="s">
        <v>20843</v>
      </c>
      <c r="I1172" s="1" t="s">
        <v>9100</v>
      </c>
      <c r="J1172" s="1" t="s">
        <v>8949</v>
      </c>
      <c r="K1172" s="1" t="s">
        <v>10492</v>
      </c>
      <c r="L1172" s="1" t="s">
        <v>8973</v>
      </c>
      <c r="M1172" s="1">
        <v>106</v>
      </c>
      <c r="N1172" s="1" t="s">
        <v>9059</v>
      </c>
      <c r="O1172" s="1" t="s">
        <v>8989</v>
      </c>
      <c r="P1172" s="1" t="e">
        <v>#N/A</v>
      </c>
      <c r="Q1172" s="1" t="e">
        <v>#N/A</v>
      </c>
      <c r="R1172" s="1">
        <f t="shared" si="348"/>
        <v>4</v>
      </c>
      <c r="S1172" s="1" t="str">
        <f t="shared" si="349"/>
        <v>&lt;4</v>
      </c>
      <c r="T1172" s="1" t="s">
        <v>19165</v>
      </c>
      <c r="U1172" s="1" t="s">
        <v>7</v>
      </c>
      <c r="V1172" s="1" t="s">
        <v>46</v>
      </c>
      <c r="W1172" s="1"/>
    </row>
    <row r="1173" spans="1:23" x14ac:dyDescent="0.2">
      <c r="A1173" s="88" t="s">
        <v>16514</v>
      </c>
      <c r="B1173" s="1" t="e">
        <v>#N/A</v>
      </c>
      <c r="C1173" s="1" t="s">
        <v>14100</v>
      </c>
      <c r="D1173" s="1" t="s">
        <v>3246</v>
      </c>
      <c r="E1173" s="1" t="s">
        <v>3247</v>
      </c>
      <c r="F1173" s="1" t="s">
        <v>10873</v>
      </c>
      <c r="G1173" s="1" t="s">
        <v>8957</v>
      </c>
      <c r="H1173" t="s">
        <v>8959</v>
      </c>
      <c r="I1173" s="1" t="s">
        <v>9092</v>
      </c>
      <c r="J1173" s="1" t="s">
        <v>8949</v>
      </c>
      <c r="K1173" s="1" t="s">
        <v>9036</v>
      </c>
      <c r="L1173" s="1" t="s">
        <v>8987</v>
      </c>
      <c r="M1173" s="1">
        <v>12018</v>
      </c>
      <c r="N1173" s="1" t="s">
        <v>9059</v>
      </c>
      <c r="O1173" s="1" t="s">
        <v>8954</v>
      </c>
      <c r="P1173" s="1" t="s">
        <v>8955</v>
      </c>
      <c r="Q1173" s="1" t="s">
        <v>8956</v>
      </c>
      <c r="R1173" s="1" t="s">
        <v>8957</v>
      </c>
      <c r="S1173" s="1" t="s">
        <v>8975</v>
      </c>
      <c r="T1173" s="1" t="s">
        <v>3248</v>
      </c>
      <c r="U1173" s="1" t="s">
        <v>4</v>
      </c>
      <c r="V1173" s="1" t="s">
        <v>2211</v>
      </c>
      <c r="W1173" s="1"/>
    </row>
    <row r="1174" spans="1:23" x14ac:dyDescent="0.2">
      <c r="A1174" s="89" t="s">
        <v>3249</v>
      </c>
      <c r="B1174" s="1" t="e">
        <v>#N/A</v>
      </c>
      <c r="C1174" s="1" t="e">
        <v>#N/A</v>
      </c>
      <c r="D1174" s="5" t="s">
        <v>3250</v>
      </c>
      <c r="E1174" s="1" t="s">
        <v>3251</v>
      </c>
      <c r="F1174" s="1" t="e">
        <v>#N/A</v>
      </c>
      <c r="G1174" s="1" t="e">
        <v>#N/A</v>
      </c>
      <c r="H1174" t="e">
        <v>#N/A</v>
      </c>
      <c r="I1174" s="1" t="e">
        <v>#N/A</v>
      </c>
      <c r="J1174" s="1" t="e">
        <v>#N/A</v>
      </c>
      <c r="K1174" s="1" t="e">
        <v>#N/A</v>
      </c>
      <c r="L1174" s="1" t="e">
        <v>#N/A</v>
      </c>
      <c r="M1174" s="1" t="e">
        <v>#N/A</v>
      </c>
      <c r="N1174" s="1" t="e">
        <v>#N/A</v>
      </c>
      <c r="O1174" s="1" t="e">
        <v>#N/A</v>
      </c>
      <c r="P1174" s="1" t="e">
        <v>#N/A</v>
      </c>
      <c r="Q1174" s="1" t="e">
        <v>#N/A</v>
      </c>
      <c r="R1174" s="1">
        <f t="shared" ref="R1174:R1185" si="350">1+LEN(T1174)-LEN(SUBSTITUTE(T1174,",",))</f>
        <v>5</v>
      </c>
      <c r="S1174" s="1" t="str">
        <f t="shared" ref="S1174:S1185" si="351">IF(R1174&gt;4,IF(R1174&lt;8,"4-7",IF(R1174&gt;7,"&gt;7")),"&lt;4")</f>
        <v>4-7</v>
      </c>
      <c r="T1174" s="1" t="s">
        <v>19166</v>
      </c>
      <c r="U1174" s="1" t="s">
        <v>7</v>
      </c>
      <c r="V1174" s="1" t="s">
        <v>3252</v>
      </c>
      <c r="W1174" s="1"/>
    </row>
    <row r="1175" spans="1:23" x14ac:dyDescent="0.2">
      <c r="A1175" s="88" t="s">
        <v>16515</v>
      </c>
      <c r="B1175" s="1" t="e">
        <v>#N/A</v>
      </c>
      <c r="C1175" s="1" t="e">
        <v>#N/A</v>
      </c>
      <c r="D1175" s="1" t="s">
        <v>3253</v>
      </c>
      <c r="E1175" s="1" t="s">
        <v>3254</v>
      </c>
      <c r="F1175" s="1" t="s">
        <v>18502</v>
      </c>
      <c r="G1175" s="1" t="s">
        <v>9060</v>
      </c>
      <c r="H1175" t="s">
        <v>9061</v>
      </c>
      <c r="I1175" s="1" t="s">
        <v>20714</v>
      </c>
      <c r="J1175" s="1" t="s">
        <v>20725</v>
      </c>
      <c r="K1175" s="1" t="s">
        <v>18497</v>
      </c>
      <c r="L1175" s="1" t="s">
        <v>8951</v>
      </c>
      <c r="M1175" s="1">
        <v>490</v>
      </c>
      <c r="N1175" s="1" t="s">
        <v>8953</v>
      </c>
      <c r="O1175" s="1" t="s">
        <v>8989</v>
      </c>
      <c r="P1175" s="1" t="e">
        <v>#N/A</v>
      </c>
      <c r="Q1175" s="1" t="e">
        <v>#N/A</v>
      </c>
      <c r="R1175" s="1">
        <f t="shared" si="350"/>
        <v>9</v>
      </c>
      <c r="S1175" s="1" t="str">
        <f t="shared" si="351"/>
        <v>&gt;7</v>
      </c>
      <c r="T1175" s="1" t="s">
        <v>19167</v>
      </c>
      <c r="U1175" s="1" t="s">
        <v>7</v>
      </c>
      <c r="V1175" s="1" t="s">
        <v>443</v>
      </c>
      <c r="W1175" s="1"/>
    </row>
    <row r="1176" spans="1:23" x14ac:dyDescent="0.2">
      <c r="A1176" s="88" t="s">
        <v>16516</v>
      </c>
      <c r="B1176" s="1" t="e">
        <v>#N/A</v>
      </c>
      <c r="C1176" s="1" t="e">
        <v>#N/A</v>
      </c>
      <c r="D1176" s="1" t="s">
        <v>3255</v>
      </c>
      <c r="E1176" s="1" t="s">
        <v>3256</v>
      </c>
      <c r="F1176" s="1" t="s">
        <v>18502</v>
      </c>
      <c r="G1176" s="1" t="s">
        <v>8957</v>
      </c>
      <c r="H1176" t="s">
        <v>9061</v>
      </c>
      <c r="I1176" s="1" t="s">
        <v>20714</v>
      </c>
      <c r="J1176" s="1" t="s">
        <v>20725</v>
      </c>
      <c r="K1176" s="1" t="s">
        <v>18497</v>
      </c>
      <c r="L1176" s="1" t="s">
        <v>8973</v>
      </c>
      <c r="M1176" s="1">
        <v>25250</v>
      </c>
      <c r="N1176" s="1" t="s">
        <v>8953</v>
      </c>
      <c r="O1176" s="1" t="s">
        <v>8989</v>
      </c>
      <c r="P1176" s="1" t="e">
        <v>#N/A</v>
      </c>
      <c r="Q1176" s="1" t="e">
        <v>#N/A</v>
      </c>
      <c r="R1176" s="1">
        <f t="shared" si="350"/>
        <v>7</v>
      </c>
      <c r="S1176" s="1" t="str">
        <f t="shared" si="351"/>
        <v>4-7</v>
      </c>
      <c r="T1176" s="1" t="s">
        <v>19168</v>
      </c>
      <c r="U1176" s="1" t="s">
        <v>17</v>
      </c>
      <c r="V1176" s="1" t="s">
        <v>24</v>
      </c>
      <c r="W1176" s="1"/>
    </row>
    <row r="1177" spans="1:23" x14ac:dyDescent="0.2">
      <c r="A1177" s="89" t="s">
        <v>3257</v>
      </c>
      <c r="B1177" s="1" t="e">
        <v>#N/A</v>
      </c>
      <c r="C1177" s="1" t="e">
        <v>#N/A</v>
      </c>
      <c r="D1177" s="1" t="s">
        <v>3258</v>
      </c>
      <c r="E1177" s="1" t="s">
        <v>3259</v>
      </c>
      <c r="F1177" s="1" t="e">
        <v>#N/A</v>
      </c>
      <c r="G1177" s="1" t="e">
        <v>#N/A</v>
      </c>
      <c r="H1177" t="e">
        <v>#N/A</v>
      </c>
      <c r="I1177" s="1" t="e">
        <v>#N/A</v>
      </c>
      <c r="J1177" s="1" t="e">
        <v>#N/A</v>
      </c>
      <c r="K1177" s="1" t="e">
        <v>#N/A</v>
      </c>
      <c r="L1177" s="1" t="e">
        <v>#N/A</v>
      </c>
      <c r="M1177" s="1" t="e">
        <v>#N/A</v>
      </c>
      <c r="N1177" s="1" t="e">
        <v>#N/A</v>
      </c>
      <c r="O1177" s="1" t="e">
        <v>#N/A</v>
      </c>
      <c r="P1177" s="1" t="e">
        <v>#N/A</v>
      </c>
      <c r="Q1177" s="1" t="e">
        <v>#N/A</v>
      </c>
      <c r="R1177" s="1">
        <f t="shared" si="350"/>
        <v>20</v>
      </c>
      <c r="S1177" s="1" t="str">
        <f t="shared" si="351"/>
        <v>&gt;7</v>
      </c>
      <c r="T1177" s="1" t="s">
        <v>19169</v>
      </c>
      <c r="U1177" s="1" t="s">
        <v>17</v>
      </c>
      <c r="V1177" s="1" t="s">
        <v>850</v>
      </c>
      <c r="W1177" s="1"/>
    </row>
    <row r="1178" spans="1:23" x14ac:dyDescent="0.2">
      <c r="A1178" s="89" t="s">
        <v>3260</v>
      </c>
      <c r="B1178" s="1" t="e">
        <v>#N/A</v>
      </c>
      <c r="C1178" s="1" t="e">
        <v>#N/A</v>
      </c>
      <c r="D1178" s="1" t="s">
        <v>3261</v>
      </c>
      <c r="E1178" s="1" t="s">
        <v>3262</v>
      </c>
      <c r="F1178" s="1" t="e">
        <v>#N/A</v>
      </c>
      <c r="G1178" s="1" t="e">
        <v>#N/A</v>
      </c>
      <c r="H1178" t="e">
        <v>#N/A</v>
      </c>
      <c r="I1178" s="1" t="e">
        <v>#N/A</v>
      </c>
      <c r="J1178" s="1" t="e">
        <v>#N/A</v>
      </c>
      <c r="K1178" s="1" t="e">
        <v>#N/A</v>
      </c>
      <c r="L1178" s="1" t="e">
        <v>#N/A</v>
      </c>
      <c r="M1178" s="1" t="e">
        <v>#N/A</v>
      </c>
      <c r="N1178" s="1" t="e">
        <v>#N/A</v>
      </c>
      <c r="O1178" s="1" t="e">
        <v>#N/A</v>
      </c>
      <c r="P1178" s="1" t="e">
        <v>#N/A</v>
      </c>
      <c r="Q1178" s="1" t="e">
        <v>#N/A</v>
      </c>
      <c r="R1178" s="1">
        <f t="shared" si="350"/>
        <v>2</v>
      </c>
      <c r="S1178" s="1" t="str">
        <f t="shared" si="351"/>
        <v>&lt;4</v>
      </c>
      <c r="T1178" s="1" t="s">
        <v>19170</v>
      </c>
      <c r="U1178" s="1" t="s">
        <v>17</v>
      </c>
      <c r="V1178" s="1" t="s">
        <v>3263</v>
      </c>
      <c r="W1178" s="1"/>
    </row>
    <row r="1179" spans="1:23" x14ac:dyDescent="0.2">
      <c r="A1179" s="88" t="s">
        <v>16517</v>
      </c>
      <c r="B1179" s="1" t="e">
        <v>#N/A</v>
      </c>
      <c r="C1179" s="1" t="e">
        <v>#N/A</v>
      </c>
      <c r="D1179" s="1" t="s">
        <v>3264</v>
      </c>
      <c r="E1179" s="1" t="s">
        <v>3265</v>
      </c>
      <c r="F1179" s="1" t="s">
        <v>9213</v>
      </c>
      <c r="G1179" s="1" t="s">
        <v>8957</v>
      </c>
      <c r="H1179" t="s">
        <v>9061</v>
      </c>
      <c r="I1179" s="1" t="s">
        <v>9035</v>
      </c>
      <c r="J1179" s="1" t="s">
        <v>9308</v>
      </c>
      <c r="K1179" s="1" t="s">
        <v>20779</v>
      </c>
      <c r="L1179" s="1" t="s">
        <v>8951</v>
      </c>
      <c r="M1179" s="1">
        <v>381</v>
      </c>
      <c r="N1179" s="1" t="s">
        <v>8953</v>
      </c>
      <c r="O1179" s="1" t="s">
        <v>8989</v>
      </c>
      <c r="P1179" s="1" t="e">
        <v>#N/A</v>
      </c>
      <c r="Q1179" s="1" t="e">
        <v>#N/A</v>
      </c>
      <c r="R1179" s="1">
        <f t="shared" si="350"/>
        <v>10</v>
      </c>
      <c r="S1179" s="1" t="str">
        <f t="shared" si="351"/>
        <v>&gt;7</v>
      </c>
      <c r="T1179" s="1" t="s">
        <v>19171</v>
      </c>
      <c r="U1179" s="1" t="s">
        <v>7</v>
      </c>
      <c r="V1179" s="1" t="s">
        <v>180</v>
      </c>
      <c r="W1179" s="1"/>
    </row>
    <row r="1180" spans="1:23" x14ac:dyDescent="0.2">
      <c r="A1180" s="88" t="s">
        <v>16518</v>
      </c>
      <c r="B1180" s="1" t="e">
        <v>#N/A</v>
      </c>
      <c r="C1180" s="1" t="e">
        <v>#N/A</v>
      </c>
      <c r="D1180" s="1" t="s">
        <v>3266</v>
      </c>
      <c r="E1180" s="1" t="s">
        <v>3267</v>
      </c>
      <c r="F1180" s="1" t="s">
        <v>9213</v>
      </c>
      <c r="G1180" s="1" t="s">
        <v>8957</v>
      </c>
      <c r="H1180" t="s">
        <v>8959</v>
      </c>
      <c r="I1180" s="1" t="s">
        <v>9035</v>
      </c>
      <c r="J1180" s="1" t="s">
        <v>9308</v>
      </c>
      <c r="K1180" s="1" t="s">
        <v>20838</v>
      </c>
      <c r="L1180" s="1" t="s">
        <v>8987</v>
      </c>
      <c r="M1180" s="1">
        <v>279</v>
      </c>
      <c r="N1180" s="1" t="s">
        <v>9059</v>
      </c>
      <c r="O1180" s="1" t="s">
        <v>8954</v>
      </c>
      <c r="P1180" s="1" t="e">
        <v>#N/A</v>
      </c>
      <c r="Q1180" s="1" t="e">
        <v>#N/A</v>
      </c>
      <c r="R1180" s="1">
        <f t="shared" si="350"/>
        <v>11</v>
      </c>
      <c r="S1180" s="1" t="str">
        <f t="shared" si="351"/>
        <v>&gt;7</v>
      </c>
      <c r="T1180" s="1" t="s">
        <v>19172</v>
      </c>
      <c r="U1180" s="1" t="s">
        <v>7</v>
      </c>
      <c r="V1180" s="1" t="s">
        <v>110</v>
      </c>
      <c r="W1180" s="1"/>
    </row>
    <row r="1181" spans="1:23" x14ac:dyDescent="0.2">
      <c r="A1181" s="88" t="s">
        <v>16519</v>
      </c>
      <c r="B1181" s="1" t="e">
        <v>#N/A</v>
      </c>
      <c r="C1181" s="1" t="e">
        <v>#N/A</v>
      </c>
      <c r="D1181" s="1" t="s">
        <v>3268</v>
      </c>
      <c r="E1181" s="1" t="s">
        <v>3269</v>
      </c>
      <c r="F1181" s="1" t="s">
        <v>18502</v>
      </c>
      <c r="G1181" s="1" t="s">
        <v>8957</v>
      </c>
      <c r="H1181" t="s">
        <v>8959</v>
      </c>
      <c r="I1181" s="1" t="s">
        <v>9100</v>
      </c>
      <c r="J1181" s="1" t="s">
        <v>9101</v>
      </c>
      <c r="K1181" s="1" t="s">
        <v>21208</v>
      </c>
      <c r="L1181" s="1" t="s">
        <v>8973</v>
      </c>
      <c r="M1181" s="1">
        <v>30</v>
      </c>
      <c r="N1181" s="1" t="s">
        <v>8953</v>
      </c>
      <c r="O1181" s="1" t="s">
        <v>8989</v>
      </c>
      <c r="P1181" s="1" t="e">
        <v>#N/A</v>
      </c>
      <c r="Q1181" s="1" t="e">
        <v>#N/A</v>
      </c>
      <c r="R1181" s="1">
        <f t="shared" si="350"/>
        <v>14</v>
      </c>
      <c r="S1181" s="1" t="str">
        <f t="shared" si="351"/>
        <v>&gt;7</v>
      </c>
      <c r="T1181" s="1" t="s">
        <v>19173</v>
      </c>
      <c r="U1181" s="1" t="s">
        <v>17</v>
      </c>
      <c r="V1181" s="1" t="s">
        <v>322</v>
      </c>
      <c r="W1181" s="1"/>
    </row>
    <row r="1182" spans="1:23" x14ac:dyDescent="0.2">
      <c r="A1182" s="88" t="s">
        <v>16520</v>
      </c>
      <c r="B1182" s="1" t="e">
        <v>#N/A</v>
      </c>
      <c r="C1182" s="1" t="e">
        <v>#N/A</v>
      </c>
      <c r="D1182" s="1" t="s">
        <v>3270</v>
      </c>
      <c r="E1182" s="1" t="s">
        <v>3271</v>
      </c>
      <c r="F1182" s="1" t="s">
        <v>12908</v>
      </c>
      <c r="G1182" s="1" t="s">
        <v>8959</v>
      </c>
      <c r="H1182" t="s">
        <v>8959</v>
      </c>
      <c r="I1182" s="1" t="s">
        <v>8948</v>
      </c>
      <c r="J1182" s="1" t="s">
        <v>8998</v>
      </c>
      <c r="K1182" s="1" t="s">
        <v>10492</v>
      </c>
      <c r="L1182" s="1" t="s">
        <v>8973</v>
      </c>
      <c r="M1182" s="1">
        <v>637</v>
      </c>
      <c r="N1182" s="1" t="s">
        <v>8953</v>
      </c>
      <c r="O1182" s="1" t="s">
        <v>8989</v>
      </c>
      <c r="P1182" s="1" t="e">
        <v>#N/A</v>
      </c>
      <c r="Q1182" s="1" t="e">
        <v>#N/A</v>
      </c>
      <c r="R1182" s="1">
        <f t="shared" si="350"/>
        <v>10</v>
      </c>
      <c r="S1182" s="1" t="str">
        <f t="shared" si="351"/>
        <v>&gt;7</v>
      </c>
      <c r="T1182" s="1" t="s">
        <v>19174</v>
      </c>
      <c r="U1182" s="1" t="s">
        <v>7</v>
      </c>
      <c r="V1182" s="1" t="s">
        <v>24</v>
      </c>
      <c r="W1182" s="1"/>
    </row>
    <row r="1183" spans="1:23" x14ac:dyDescent="0.2">
      <c r="A1183" s="88" t="s">
        <v>16521</v>
      </c>
      <c r="B1183" s="1" t="e">
        <v>#N/A</v>
      </c>
      <c r="C1183" s="1" t="e">
        <v>#N/A</v>
      </c>
      <c r="D1183" s="1" t="s">
        <v>3272</v>
      </c>
      <c r="E1183" s="1" t="s">
        <v>3273</v>
      </c>
      <c r="F1183" s="1" t="s">
        <v>9968</v>
      </c>
      <c r="G1183" s="1" t="s">
        <v>8959</v>
      </c>
      <c r="H1183" t="s">
        <v>8959</v>
      </c>
      <c r="I1183" s="1" t="s">
        <v>9075</v>
      </c>
      <c r="J1183" s="1" t="s">
        <v>9101</v>
      </c>
      <c r="K1183" s="1" t="s">
        <v>10525</v>
      </c>
      <c r="L1183" s="1" t="s">
        <v>8951</v>
      </c>
      <c r="M1183" s="1">
        <v>1540</v>
      </c>
      <c r="N1183" s="1" t="s">
        <v>8953</v>
      </c>
      <c r="O1183" s="1" t="s">
        <v>8989</v>
      </c>
      <c r="P1183" s="1" t="e">
        <v>#N/A</v>
      </c>
      <c r="Q1183" s="1" t="e">
        <v>#N/A</v>
      </c>
      <c r="R1183" s="1">
        <f t="shared" si="350"/>
        <v>2</v>
      </c>
      <c r="S1183" s="1" t="str">
        <f t="shared" si="351"/>
        <v>&lt;4</v>
      </c>
      <c r="T1183" s="1" t="s">
        <v>20613</v>
      </c>
      <c r="U1183" s="1" t="s">
        <v>17</v>
      </c>
      <c r="V1183" s="1" t="s">
        <v>74</v>
      </c>
      <c r="W1183" s="1"/>
    </row>
    <row r="1184" spans="1:23" x14ac:dyDescent="0.2">
      <c r="A1184" s="88" t="s">
        <v>16522</v>
      </c>
      <c r="B1184" s="1" t="e">
        <v>#N/A</v>
      </c>
      <c r="C1184" s="1" t="e">
        <v>#N/A</v>
      </c>
      <c r="D1184" s="1" t="s">
        <v>3274</v>
      </c>
      <c r="E1184" s="1" t="s">
        <v>3275</v>
      </c>
      <c r="F1184" s="1" t="s">
        <v>9968</v>
      </c>
      <c r="G1184" s="1" t="s">
        <v>8959</v>
      </c>
      <c r="H1184" t="s">
        <v>8959</v>
      </c>
      <c r="I1184" s="1" t="s">
        <v>20714</v>
      </c>
      <c r="J1184" s="1" t="s">
        <v>9050</v>
      </c>
      <c r="K1184" s="1" t="s">
        <v>20779</v>
      </c>
      <c r="L1184" s="1" t="s">
        <v>8973</v>
      </c>
      <c r="M1184" s="1">
        <f>89+47+40</f>
        <v>176</v>
      </c>
      <c r="N1184" s="1" t="s">
        <v>8953</v>
      </c>
      <c r="O1184" s="1" t="s">
        <v>8954</v>
      </c>
      <c r="P1184" s="1" t="e">
        <v>#N/A</v>
      </c>
      <c r="Q1184" s="1" t="e">
        <v>#N/A</v>
      </c>
      <c r="R1184" s="1">
        <f t="shared" si="350"/>
        <v>3</v>
      </c>
      <c r="S1184" s="1" t="str">
        <f t="shared" si="351"/>
        <v>&lt;4</v>
      </c>
      <c r="T1184" s="1" t="s">
        <v>19175</v>
      </c>
      <c r="U1184" s="1" t="s">
        <v>17</v>
      </c>
      <c r="V1184" s="1" t="s">
        <v>8</v>
      </c>
      <c r="W1184" s="1"/>
    </row>
    <row r="1185" spans="1:23" x14ac:dyDescent="0.2">
      <c r="A1185" s="88" t="s">
        <v>16523</v>
      </c>
      <c r="B1185" s="1" t="e">
        <v>#N/A</v>
      </c>
      <c r="C1185" s="1" t="e">
        <v>#N/A</v>
      </c>
      <c r="D1185" s="1" t="s">
        <v>3276</v>
      </c>
      <c r="E1185" s="1" t="s">
        <v>3277</v>
      </c>
      <c r="F1185" s="1" t="s">
        <v>9636</v>
      </c>
      <c r="G1185" s="1" t="s">
        <v>8959</v>
      </c>
      <c r="H1185" t="s">
        <v>9061</v>
      </c>
      <c r="I1185" s="1" t="s">
        <v>9035</v>
      </c>
      <c r="J1185" s="1" t="s">
        <v>8998</v>
      </c>
      <c r="K1185" s="1" t="s">
        <v>18497</v>
      </c>
      <c r="L1185" s="1" t="s">
        <v>9133</v>
      </c>
      <c r="M1185" s="1">
        <v>6868</v>
      </c>
      <c r="N1185" s="1" t="s">
        <v>8953</v>
      </c>
      <c r="O1185" s="1" t="s">
        <v>8954</v>
      </c>
      <c r="P1185" s="1" t="e">
        <v>#N/A</v>
      </c>
      <c r="Q1185" s="1" t="e">
        <v>#N/A</v>
      </c>
      <c r="R1185" s="1">
        <f t="shared" si="350"/>
        <v>6</v>
      </c>
      <c r="S1185" s="1" t="str">
        <f t="shared" si="351"/>
        <v>4-7</v>
      </c>
      <c r="T1185" s="1" t="s">
        <v>19176</v>
      </c>
      <c r="U1185" s="1" t="s">
        <v>7</v>
      </c>
      <c r="V1185" s="1" t="s">
        <v>831</v>
      </c>
      <c r="W1185" s="1"/>
    </row>
    <row r="1186" spans="1:23" x14ac:dyDescent="0.2">
      <c r="A1186" s="88" t="s">
        <v>16524</v>
      </c>
      <c r="B1186" s="1" t="e">
        <v>#N/A</v>
      </c>
      <c r="C1186" s="1" t="s">
        <v>10684</v>
      </c>
      <c r="D1186" s="1" t="s">
        <v>3278</v>
      </c>
      <c r="E1186" s="1" t="s">
        <v>3279</v>
      </c>
      <c r="F1186" s="1" t="s">
        <v>10687</v>
      </c>
      <c r="G1186" s="1" t="s">
        <v>8957</v>
      </c>
      <c r="H1186" t="s">
        <v>8959</v>
      </c>
      <c r="I1186" s="1" t="s">
        <v>9173</v>
      </c>
      <c r="J1186" s="1" t="s">
        <v>9174</v>
      </c>
      <c r="K1186" s="1" t="s">
        <v>8972</v>
      </c>
      <c r="L1186" s="1" t="s">
        <v>8973</v>
      </c>
      <c r="M1186" s="1">
        <v>146590</v>
      </c>
      <c r="N1186" s="1" t="s">
        <v>8953</v>
      </c>
      <c r="O1186" s="1" t="s">
        <v>8954</v>
      </c>
      <c r="P1186" s="1" t="s">
        <v>8955</v>
      </c>
      <c r="Q1186" s="1" t="s">
        <v>8956</v>
      </c>
      <c r="R1186" s="1" t="s">
        <v>8957</v>
      </c>
      <c r="S1186" s="1" t="s">
        <v>9103</v>
      </c>
      <c r="T1186" s="1" t="s">
        <v>3280</v>
      </c>
      <c r="U1186" s="1" t="s">
        <v>11</v>
      </c>
      <c r="V1186" s="1" t="s">
        <v>1343</v>
      </c>
      <c r="W1186" s="1"/>
    </row>
    <row r="1187" spans="1:23" x14ac:dyDescent="0.2">
      <c r="A1187" s="88" t="s">
        <v>16525</v>
      </c>
      <c r="B1187" s="1" t="e">
        <v>#N/A</v>
      </c>
      <c r="C1187" s="1" t="e">
        <v>#N/A</v>
      </c>
      <c r="D1187" s="1" t="s">
        <v>3281</v>
      </c>
      <c r="E1187" s="1" t="s">
        <v>3282</v>
      </c>
      <c r="F1187" s="1" t="s">
        <v>9815</v>
      </c>
      <c r="G1187" s="1" t="s">
        <v>8959</v>
      </c>
      <c r="H1187" t="s">
        <v>8959</v>
      </c>
      <c r="I1187" s="1" t="s">
        <v>8948</v>
      </c>
      <c r="J1187" s="1" t="s">
        <v>8949</v>
      </c>
      <c r="K1187" s="1" t="s">
        <v>21363</v>
      </c>
      <c r="L1187" s="1" t="s">
        <v>20844</v>
      </c>
      <c r="M1187" s="1">
        <v>50</v>
      </c>
      <c r="N1187" s="1" t="s">
        <v>9059</v>
      </c>
      <c r="O1187" s="1" t="s">
        <v>8989</v>
      </c>
      <c r="P1187" s="1" t="e">
        <v>#N/A</v>
      </c>
      <c r="Q1187" s="1" t="e">
        <v>#N/A</v>
      </c>
      <c r="R1187" s="1">
        <f t="shared" ref="R1187:R1191" si="352">1+LEN(T1187)-LEN(SUBSTITUTE(T1187,",",))</f>
        <v>5</v>
      </c>
      <c r="S1187" s="1" t="str">
        <f t="shared" ref="S1187:S1191" si="353">IF(R1187&gt;4,IF(R1187&lt;8,"4-7",IF(R1187&gt;7,"&gt;7")),"&lt;4")</f>
        <v>4-7</v>
      </c>
      <c r="T1187" s="1" t="s">
        <v>19177</v>
      </c>
      <c r="U1187" s="1" t="s">
        <v>7</v>
      </c>
      <c r="V1187" s="1" t="s">
        <v>64</v>
      </c>
      <c r="W1187" s="1"/>
    </row>
    <row r="1188" spans="1:23" x14ac:dyDescent="0.2">
      <c r="A1188" s="88" t="s">
        <v>16526</v>
      </c>
      <c r="B1188" s="1" t="e">
        <v>#N/A</v>
      </c>
      <c r="C1188" s="1" t="e">
        <v>#N/A</v>
      </c>
      <c r="D1188" s="1" t="s">
        <v>3283</v>
      </c>
      <c r="E1188" s="1" t="s">
        <v>3284</v>
      </c>
      <c r="F1188" s="1" t="s">
        <v>18502</v>
      </c>
      <c r="G1188" s="1" t="s">
        <v>8957</v>
      </c>
      <c r="H1188" t="s">
        <v>9061</v>
      </c>
      <c r="I1188" s="1" t="s">
        <v>8984</v>
      </c>
      <c r="J1188" s="1" t="s">
        <v>8998</v>
      </c>
      <c r="K1188" s="1" t="s">
        <v>20779</v>
      </c>
      <c r="L1188" s="1" t="s">
        <v>9076</v>
      </c>
      <c r="M1188" s="1">
        <v>40</v>
      </c>
      <c r="N1188" s="1" t="s">
        <v>9059</v>
      </c>
      <c r="O1188" s="1" t="s">
        <v>8989</v>
      </c>
      <c r="P1188" s="1" t="e">
        <v>#N/A</v>
      </c>
      <c r="Q1188" s="1" t="e">
        <v>#N/A</v>
      </c>
      <c r="R1188" s="1">
        <f t="shared" si="352"/>
        <v>8</v>
      </c>
      <c r="S1188" s="1" t="str">
        <f t="shared" si="353"/>
        <v>&gt;7</v>
      </c>
      <c r="T1188" s="1" t="s">
        <v>20614</v>
      </c>
      <c r="U1188" s="1" t="s">
        <v>7</v>
      </c>
      <c r="V1188" s="1" t="s">
        <v>496</v>
      </c>
      <c r="W1188" s="1"/>
    </row>
    <row r="1189" spans="1:23" x14ac:dyDescent="0.2">
      <c r="A1189" s="88" t="s">
        <v>16527</v>
      </c>
      <c r="B1189" s="1" t="e">
        <v>#N/A</v>
      </c>
      <c r="C1189" s="1" t="e">
        <v>#N/A</v>
      </c>
      <c r="D1189" s="1" t="s">
        <v>3285</v>
      </c>
      <c r="E1189" s="1" t="s">
        <v>3286</v>
      </c>
      <c r="F1189" s="1" t="s">
        <v>9213</v>
      </c>
      <c r="G1189" s="1" t="s">
        <v>8957</v>
      </c>
      <c r="H1189" t="s">
        <v>8959</v>
      </c>
      <c r="I1189" s="1" t="s">
        <v>8948</v>
      </c>
      <c r="J1189" s="1" t="s">
        <v>9308</v>
      </c>
      <c r="K1189" s="1" t="s">
        <v>10525</v>
      </c>
      <c r="L1189" s="1" t="s">
        <v>9292</v>
      </c>
      <c r="M1189" s="1">
        <v>822</v>
      </c>
      <c r="N1189" s="1" t="s">
        <v>9059</v>
      </c>
      <c r="O1189" s="1" t="s">
        <v>8989</v>
      </c>
      <c r="P1189" s="1" t="e">
        <v>#N/A</v>
      </c>
      <c r="Q1189" s="1" t="e">
        <v>#N/A</v>
      </c>
      <c r="R1189" s="1">
        <f t="shared" si="352"/>
        <v>6</v>
      </c>
      <c r="S1189" s="1" t="str">
        <f t="shared" si="353"/>
        <v>4-7</v>
      </c>
      <c r="T1189" s="1" t="s">
        <v>19178</v>
      </c>
      <c r="U1189" s="1" t="s">
        <v>7</v>
      </c>
      <c r="V1189" s="1" t="s">
        <v>24</v>
      </c>
      <c r="W1189" s="1"/>
    </row>
    <row r="1190" spans="1:23" x14ac:dyDescent="0.2">
      <c r="A1190" s="88" t="s">
        <v>20845</v>
      </c>
      <c r="B1190" s="1" t="e">
        <v>#N/A</v>
      </c>
      <c r="C1190" s="1" t="e">
        <v>#N/A</v>
      </c>
      <c r="D1190" s="1" t="s">
        <v>3287</v>
      </c>
      <c r="E1190" s="1" t="s">
        <v>3288</v>
      </c>
      <c r="F1190" s="1" t="s">
        <v>9213</v>
      </c>
      <c r="G1190" s="1" t="s">
        <v>8957</v>
      </c>
      <c r="H1190" t="s">
        <v>9061</v>
      </c>
      <c r="I1190" s="1" t="s">
        <v>8984</v>
      </c>
      <c r="J1190" s="1" t="s">
        <v>8971</v>
      </c>
      <c r="K1190" s="1" t="s">
        <v>20735</v>
      </c>
      <c r="L1190" s="1" t="s">
        <v>9133</v>
      </c>
      <c r="M1190" s="1">
        <v>6056</v>
      </c>
      <c r="N1190" s="1" t="s">
        <v>8953</v>
      </c>
      <c r="O1190" s="1" t="s">
        <v>8989</v>
      </c>
      <c r="P1190" s="1" t="e">
        <v>#N/A</v>
      </c>
      <c r="Q1190" s="1" t="e">
        <v>#N/A</v>
      </c>
      <c r="R1190" s="1">
        <f t="shared" si="352"/>
        <v>7</v>
      </c>
      <c r="S1190" s="1" t="str">
        <f t="shared" si="353"/>
        <v>4-7</v>
      </c>
      <c r="T1190" s="1" t="s">
        <v>19179</v>
      </c>
      <c r="U1190" s="1" t="s">
        <v>7</v>
      </c>
      <c r="V1190" s="1" t="s">
        <v>24</v>
      </c>
      <c r="W1190" s="1"/>
    </row>
    <row r="1191" spans="1:23" x14ac:dyDescent="0.2">
      <c r="A1191" s="88" t="s">
        <v>16528</v>
      </c>
      <c r="B1191" s="1" t="e">
        <v>#N/A</v>
      </c>
      <c r="C1191" s="1" t="e">
        <v>#N/A</v>
      </c>
      <c r="D1191" s="1" t="s">
        <v>3289</v>
      </c>
      <c r="E1191" s="1" t="s">
        <v>3290</v>
      </c>
      <c r="F1191" s="1" t="s">
        <v>9213</v>
      </c>
      <c r="G1191" s="1" t="s">
        <v>8957</v>
      </c>
      <c r="H1191" t="s">
        <v>8959</v>
      </c>
      <c r="I1191" s="1" t="s">
        <v>8948</v>
      </c>
      <c r="J1191" s="1" t="s">
        <v>8949</v>
      </c>
      <c r="K1191" s="1" t="s">
        <v>10492</v>
      </c>
      <c r="L1191" s="1" t="s">
        <v>9292</v>
      </c>
      <c r="M1191" s="1">
        <f>3*240</f>
        <v>720</v>
      </c>
      <c r="N1191" s="1" t="s">
        <v>8953</v>
      </c>
      <c r="O1191" s="1" t="s">
        <v>8954</v>
      </c>
      <c r="P1191" s="1" t="e">
        <v>#N/A</v>
      </c>
      <c r="Q1191" s="1" t="e">
        <v>#N/A</v>
      </c>
      <c r="R1191" s="1">
        <f t="shared" si="352"/>
        <v>4</v>
      </c>
      <c r="S1191" s="1" t="str">
        <f t="shared" si="353"/>
        <v>&lt;4</v>
      </c>
      <c r="T1191" s="1" t="s">
        <v>19180</v>
      </c>
      <c r="U1191" s="1" t="s">
        <v>7</v>
      </c>
      <c r="V1191" s="1" t="s">
        <v>2284</v>
      </c>
      <c r="W1191" s="1"/>
    </row>
    <row r="1192" spans="1:23" x14ac:dyDescent="0.2">
      <c r="A1192" s="88" t="s">
        <v>16529</v>
      </c>
      <c r="B1192" s="1" t="e">
        <v>#N/A</v>
      </c>
      <c r="C1192" s="1" t="s">
        <v>10528</v>
      </c>
      <c r="D1192" s="1" t="s">
        <v>3291</v>
      </c>
      <c r="E1192" s="1" t="s">
        <v>3292</v>
      </c>
      <c r="F1192" s="1" t="s">
        <v>9815</v>
      </c>
      <c r="G1192" s="1" t="s">
        <v>8959</v>
      </c>
      <c r="H1192" t="s">
        <v>8959</v>
      </c>
      <c r="I1192" s="1" t="s">
        <v>8948</v>
      </c>
      <c r="J1192" s="1" t="s">
        <v>9121</v>
      </c>
      <c r="K1192" s="1" t="s">
        <v>21222</v>
      </c>
      <c r="L1192" s="1" t="s">
        <v>8987</v>
      </c>
      <c r="M1192" s="1">
        <v>100</v>
      </c>
      <c r="N1192" s="1" t="s">
        <v>8953</v>
      </c>
      <c r="O1192" s="1" t="s">
        <v>8989</v>
      </c>
      <c r="P1192" s="1" t="s">
        <v>8955</v>
      </c>
      <c r="Q1192" s="1" t="s">
        <v>8990</v>
      </c>
      <c r="R1192" s="1" t="s">
        <v>8959</v>
      </c>
      <c r="S1192" s="1" t="s">
        <v>9103</v>
      </c>
      <c r="T1192" s="1" t="s">
        <v>3293</v>
      </c>
      <c r="U1192" s="1" t="s">
        <v>17</v>
      </c>
      <c r="V1192" s="1" t="s">
        <v>3294</v>
      </c>
      <c r="W1192" s="1"/>
    </row>
    <row r="1193" spans="1:23" x14ac:dyDescent="0.2">
      <c r="A1193" s="88" t="s">
        <v>16530</v>
      </c>
      <c r="B1193" s="1" t="e">
        <v>#N/A</v>
      </c>
      <c r="C1193" s="1" t="e">
        <v>#N/A</v>
      </c>
      <c r="D1193" s="1" t="s">
        <v>3295</v>
      </c>
      <c r="E1193" s="1" t="s">
        <v>3296</v>
      </c>
      <c r="F1193" s="1" t="s">
        <v>9815</v>
      </c>
      <c r="G1193" s="1" t="s">
        <v>8957</v>
      </c>
      <c r="H1193" t="s">
        <v>8959</v>
      </c>
      <c r="I1193" s="1" t="s">
        <v>9605</v>
      </c>
      <c r="J1193" s="1" t="s">
        <v>9101</v>
      </c>
      <c r="K1193" s="1" t="s">
        <v>20779</v>
      </c>
      <c r="L1193" s="1" t="s">
        <v>8951</v>
      </c>
      <c r="M1193" s="1">
        <v>108</v>
      </c>
      <c r="N1193" s="1" t="s">
        <v>8953</v>
      </c>
      <c r="O1193" s="1" t="s">
        <v>8989</v>
      </c>
      <c r="P1193" s="1" t="e">
        <v>#N/A</v>
      </c>
      <c r="Q1193" s="1" t="e">
        <v>#N/A</v>
      </c>
      <c r="R1193" s="1">
        <f t="shared" ref="R1193:R1202" si="354">1+LEN(T1193)-LEN(SUBSTITUTE(T1193,",",))</f>
        <v>2</v>
      </c>
      <c r="S1193" s="1" t="str">
        <f t="shared" ref="S1193:S1202" si="355">IF(R1193&gt;4,IF(R1193&lt;8,"4-7",IF(R1193&gt;7,"&gt;7")),"&lt;4")</f>
        <v>&lt;4</v>
      </c>
      <c r="T1193" s="1" t="s">
        <v>19181</v>
      </c>
      <c r="U1193" s="1" t="s">
        <v>17</v>
      </c>
      <c r="V1193" s="1" t="s">
        <v>184</v>
      </c>
      <c r="W1193" s="1"/>
    </row>
    <row r="1194" spans="1:23" x14ac:dyDescent="0.2">
      <c r="A1194" s="88" t="s">
        <v>16531</v>
      </c>
      <c r="B1194" s="1" t="e">
        <v>#N/A</v>
      </c>
      <c r="C1194" s="1" t="e">
        <v>#N/A</v>
      </c>
      <c r="D1194" s="1" t="s">
        <v>3297</v>
      </c>
      <c r="E1194" s="1" t="s">
        <v>3298</v>
      </c>
      <c r="F1194" s="1" t="s">
        <v>9815</v>
      </c>
      <c r="G1194" s="1" t="s">
        <v>8957</v>
      </c>
      <c r="H1194" t="s">
        <v>8959</v>
      </c>
      <c r="I1194" s="1" t="s">
        <v>9092</v>
      </c>
      <c r="J1194" s="1" t="s">
        <v>8949</v>
      </c>
      <c r="K1194" s="1" t="s">
        <v>20779</v>
      </c>
      <c r="L1194" s="1" t="s">
        <v>9076</v>
      </c>
      <c r="M1194" s="1">
        <v>18</v>
      </c>
      <c r="N1194" s="1" t="s">
        <v>9059</v>
      </c>
      <c r="O1194" s="1" t="s">
        <v>8989</v>
      </c>
      <c r="P1194" s="1" t="e">
        <v>#N/A</v>
      </c>
      <c r="Q1194" s="1" t="e">
        <v>#N/A</v>
      </c>
      <c r="R1194" s="1">
        <f t="shared" si="354"/>
        <v>6</v>
      </c>
      <c r="S1194" s="1" t="str">
        <f t="shared" si="355"/>
        <v>4-7</v>
      </c>
      <c r="T1194" s="1" t="s">
        <v>19182</v>
      </c>
      <c r="U1194" s="1" t="s">
        <v>7</v>
      </c>
      <c r="V1194" s="1" t="s">
        <v>46</v>
      </c>
      <c r="W1194" s="1"/>
    </row>
    <row r="1195" spans="1:23" x14ac:dyDescent="0.2">
      <c r="A1195" s="88" t="s">
        <v>16532</v>
      </c>
      <c r="B1195" s="1" t="e">
        <v>#N/A</v>
      </c>
      <c r="C1195" s="1" t="e">
        <v>#N/A</v>
      </c>
      <c r="D1195" s="1" t="s">
        <v>3299</v>
      </c>
      <c r="E1195" s="1" t="s">
        <v>3300</v>
      </c>
      <c r="F1195" s="1" t="s">
        <v>9310</v>
      </c>
      <c r="G1195" s="1" t="s">
        <v>8957</v>
      </c>
      <c r="H1195" t="s">
        <v>8959</v>
      </c>
      <c r="I1195" s="1" t="s">
        <v>20712</v>
      </c>
      <c r="J1195" s="1" t="s">
        <v>9155</v>
      </c>
      <c r="K1195" s="1" t="s">
        <v>21440</v>
      </c>
      <c r="L1195" s="1" t="s">
        <v>8973</v>
      </c>
      <c r="M1195" s="1">
        <v>240</v>
      </c>
      <c r="N1195" s="1" t="s">
        <v>8953</v>
      </c>
      <c r="O1195" s="1" t="s">
        <v>8954</v>
      </c>
      <c r="P1195" s="1" t="e">
        <v>#N/A</v>
      </c>
      <c r="Q1195" s="1" t="e">
        <v>#N/A</v>
      </c>
      <c r="R1195" s="1">
        <f t="shared" si="354"/>
        <v>6</v>
      </c>
      <c r="S1195" s="1" t="str">
        <f t="shared" si="355"/>
        <v>4-7</v>
      </c>
      <c r="T1195" s="1" t="s">
        <v>19183</v>
      </c>
      <c r="U1195" s="1" t="s">
        <v>7</v>
      </c>
      <c r="V1195" s="1" t="s">
        <v>93</v>
      </c>
      <c r="W1195" s="1"/>
    </row>
    <row r="1196" spans="1:23" x14ac:dyDescent="0.2">
      <c r="A1196" s="88" t="s">
        <v>16533</v>
      </c>
      <c r="B1196" s="1" t="e">
        <v>#N/A</v>
      </c>
      <c r="C1196" s="1" t="e">
        <v>#N/A</v>
      </c>
      <c r="D1196" s="1" t="s">
        <v>3301</v>
      </c>
      <c r="E1196" s="1" t="s">
        <v>3302</v>
      </c>
      <c r="F1196" s="1" t="s">
        <v>9310</v>
      </c>
      <c r="G1196" s="1" t="s">
        <v>8957</v>
      </c>
      <c r="H1196" t="s">
        <v>8959</v>
      </c>
      <c r="I1196" s="1" t="s">
        <v>9075</v>
      </c>
      <c r="J1196" s="1" t="s">
        <v>8949</v>
      </c>
      <c r="K1196" s="1" t="s">
        <v>18497</v>
      </c>
      <c r="L1196" s="1" t="s">
        <v>8973</v>
      </c>
      <c r="M1196" s="1">
        <v>140</v>
      </c>
      <c r="N1196" s="1" t="s">
        <v>8953</v>
      </c>
      <c r="O1196" s="1" t="s">
        <v>8954</v>
      </c>
      <c r="P1196" s="1" t="e">
        <v>#N/A</v>
      </c>
      <c r="Q1196" s="1" t="e">
        <v>#N/A</v>
      </c>
      <c r="R1196" s="1">
        <f t="shared" si="354"/>
        <v>7</v>
      </c>
      <c r="S1196" s="1" t="str">
        <f t="shared" si="355"/>
        <v>4-7</v>
      </c>
      <c r="T1196" s="1" t="s">
        <v>19184</v>
      </c>
      <c r="U1196" s="1" t="s">
        <v>7</v>
      </c>
      <c r="V1196" s="1" t="s">
        <v>61</v>
      </c>
      <c r="W1196" s="1"/>
    </row>
    <row r="1197" spans="1:23" x14ac:dyDescent="0.2">
      <c r="A1197" s="88" t="s">
        <v>16534</v>
      </c>
      <c r="B1197" s="1" t="e">
        <v>#N/A</v>
      </c>
      <c r="C1197" s="1" t="e">
        <v>#N/A</v>
      </c>
      <c r="D1197" s="1" t="s">
        <v>3303</v>
      </c>
      <c r="E1197" s="1" t="s">
        <v>3304</v>
      </c>
      <c r="F1197" s="1" t="s">
        <v>18502</v>
      </c>
      <c r="G1197" s="1" t="s">
        <v>8957</v>
      </c>
      <c r="H1197" t="s">
        <v>9183</v>
      </c>
      <c r="I1197" s="1" t="s">
        <v>9605</v>
      </c>
      <c r="J1197" s="1" t="s">
        <v>8959</v>
      </c>
      <c r="K1197" s="1" t="s">
        <v>20779</v>
      </c>
      <c r="L1197" s="1" t="s">
        <v>8951</v>
      </c>
      <c r="M1197" s="1">
        <v>29905</v>
      </c>
      <c r="N1197" s="1" t="s">
        <v>8953</v>
      </c>
      <c r="O1197" s="1" t="s">
        <v>8954</v>
      </c>
      <c r="P1197" s="1" t="e">
        <v>#N/A</v>
      </c>
      <c r="Q1197" s="1" t="e">
        <v>#N/A</v>
      </c>
      <c r="R1197" s="1">
        <f t="shared" si="354"/>
        <v>11</v>
      </c>
      <c r="S1197" s="1" t="str">
        <f t="shared" si="355"/>
        <v>&gt;7</v>
      </c>
      <c r="T1197" s="1" t="s">
        <v>19185</v>
      </c>
      <c r="U1197" s="1" t="s">
        <v>17</v>
      </c>
      <c r="V1197" s="1" t="s">
        <v>3305</v>
      </c>
      <c r="W1197" s="1"/>
    </row>
    <row r="1198" spans="1:23" x14ac:dyDescent="0.2">
      <c r="A1198" s="88" t="s">
        <v>16535</v>
      </c>
      <c r="B1198" s="1" t="e">
        <v>#N/A</v>
      </c>
      <c r="C1198" s="1" t="e">
        <v>#N/A</v>
      </c>
      <c r="D1198" s="1" t="s">
        <v>3306</v>
      </c>
      <c r="E1198" s="1" t="s">
        <v>3307</v>
      </c>
      <c r="F1198" s="1" t="s">
        <v>9310</v>
      </c>
      <c r="G1198" s="1" t="s">
        <v>8957</v>
      </c>
      <c r="H1198" t="s">
        <v>8959</v>
      </c>
      <c r="I1198" s="1" t="s">
        <v>9100</v>
      </c>
      <c r="J1198" s="1" t="s">
        <v>8949</v>
      </c>
      <c r="K1198" s="1" t="s">
        <v>10492</v>
      </c>
      <c r="L1198" s="1" t="s">
        <v>8973</v>
      </c>
      <c r="M1198" s="1">
        <f>254+110</f>
        <v>364</v>
      </c>
      <c r="N1198" s="1" t="s">
        <v>9059</v>
      </c>
      <c r="O1198" s="1" t="s">
        <v>8954</v>
      </c>
      <c r="P1198" s="1" t="e">
        <v>#N/A</v>
      </c>
      <c r="Q1198" s="1" t="e">
        <v>#N/A</v>
      </c>
      <c r="R1198" s="1">
        <f t="shared" si="354"/>
        <v>4</v>
      </c>
      <c r="S1198" s="1" t="str">
        <f t="shared" si="355"/>
        <v>&lt;4</v>
      </c>
      <c r="T1198" s="1" t="s">
        <v>19186</v>
      </c>
      <c r="U1198" s="1" t="s">
        <v>7</v>
      </c>
      <c r="V1198" s="1" t="s">
        <v>577</v>
      </c>
      <c r="W1198" s="1"/>
    </row>
    <row r="1199" spans="1:23" x14ac:dyDescent="0.2">
      <c r="A1199" s="88" t="s">
        <v>16536</v>
      </c>
      <c r="B1199" s="1" t="e">
        <v>#N/A</v>
      </c>
      <c r="C1199" s="1" t="e">
        <v>#N/A</v>
      </c>
      <c r="D1199" s="1" t="s">
        <v>3308</v>
      </c>
      <c r="E1199" s="1" t="s">
        <v>3309</v>
      </c>
      <c r="F1199" s="1" t="s">
        <v>9310</v>
      </c>
      <c r="G1199" s="1" t="s">
        <v>8959</v>
      </c>
      <c r="H1199" t="s">
        <v>8959</v>
      </c>
      <c r="I1199" s="1" t="s">
        <v>9035</v>
      </c>
      <c r="J1199" s="1" t="s">
        <v>9308</v>
      </c>
      <c r="K1199" s="1" t="s">
        <v>21325</v>
      </c>
      <c r="L1199" s="1" t="s">
        <v>9076</v>
      </c>
      <c r="M1199" s="1">
        <f>20672+6012</f>
        <v>26684</v>
      </c>
      <c r="N1199" s="1" t="s">
        <v>8953</v>
      </c>
      <c r="O1199" s="1" t="s">
        <v>8954</v>
      </c>
      <c r="P1199" s="1" t="e">
        <v>#N/A</v>
      </c>
      <c r="Q1199" s="1" t="e">
        <v>#N/A</v>
      </c>
      <c r="R1199" s="1">
        <f t="shared" si="354"/>
        <v>4</v>
      </c>
      <c r="S1199" s="1" t="str">
        <f t="shared" si="355"/>
        <v>&lt;4</v>
      </c>
      <c r="T1199" s="1" t="s">
        <v>19187</v>
      </c>
      <c r="U1199" s="1" t="s">
        <v>7</v>
      </c>
      <c r="V1199" s="1" t="s">
        <v>46</v>
      </c>
      <c r="W1199" s="1"/>
    </row>
    <row r="1200" spans="1:23" x14ac:dyDescent="0.2">
      <c r="A1200" s="88" t="s">
        <v>16537</v>
      </c>
      <c r="B1200" s="1" t="e">
        <v>#N/A</v>
      </c>
      <c r="C1200" s="1" t="e">
        <v>#N/A</v>
      </c>
      <c r="D1200" s="1" t="s">
        <v>3310</v>
      </c>
      <c r="E1200" s="1" t="s">
        <v>3311</v>
      </c>
      <c r="F1200" s="1" t="s">
        <v>9310</v>
      </c>
      <c r="G1200" s="1" t="s">
        <v>8957</v>
      </c>
      <c r="H1200" t="s">
        <v>8959</v>
      </c>
      <c r="I1200" s="1" t="s">
        <v>8984</v>
      </c>
      <c r="J1200" s="1" t="s">
        <v>8949</v>
      </c>
      <c r="K1200" s="1" t="s">
        <v>20779</v>
      </c>
      <c r="L1200" s="1" t="s">
        <v>8987</v>
      </c>
      <c r="M1200" s="1">
        <v>115</v>
      </c>
      <c r="N1200" s="1" t="s">
        <v>9059</v>
      </c>
      <c r="O1200" s="1" t="s">
        <v>8989</v>
      </c>
      <c r="P1200" s="1" t="e">
        <v>#N/A</v>
      </c>
      <c r="Q1200" s="1" t="e">
        <v>#N/A</v>
      </c>
      <c r="R1200" s="1">
        <f t="shared" si="354"/>
        <v>9</v>
      </c>
      <c r="S1200" s="1" t="str">
        <f t="shared" si="355"/>
        <v>&gt;7</v>
      </c>
      <c r="T1200" s="1" t="s">
        <v>19188</v>
      </c>
      <c r="U1200" s="1" t="s">
        <v>17</v>
      </c>
      <c r="V1200" s="1" t="s">
        <v>46</v>
      </c>
      <c r="W1200" s="1"/>
    </row>
    <row r="1201" spans="1:23" x14ac:dyDescent="0.2">
      <c r="A1201" s="88" t="s">
        <v>16538</v>
      </c>
      <c r="B1201" s="1" t="e">
        <v>#N/A</v>
      </c>
      <c r="C1201" s="1" t="e">
        <v>#N/A</v>
      </c>
      <c r="D1201" s="1" t="s">
        <v>3312</v>
      </c>
      <c r="E1201" s="1" t="s">
        <v>3313</v>
      </c>
      <c r="F1201" s="1" t="s">
        <v>9310</v>
      </c>
      <c r="G1201" s="1" t="s">
        <v>8957</v>
      </c>
      <c r="H1201" t="s">
        <v>8959</v>
      </c>
      <c r="I1201" s="1" t="s">
        <v>9154</v>
      </c>
      <c r="J1201" s="1" t="s">
        <v>8971</v>
      </c>
      <c r="K1201" s="1" t="s">
        <v>20779</v>
      </c>
      <c r="L1201" s="1" t="s">
        <v>9133</v>
      </c>
      <c r="M1201" s="1">
        <v>2000</v>
      </c>
      <c r="N1201" s="1" t="s">
        <v>8953</v>
      </c>
      <c r="O1201" s="1" t="s">
        <v>8989</v>
      </c>
      <c r="P1201" s="1" t="e">
        <v>#N/A</v>
      </c>
      <c r="Q1201" s="1" t="e">
        <v>#N/A</v>
      </c>
      <c r="R1201" s="1">
        <f t="shared" si="354"/>
        <v>5</v>
      </c>
      <c r="S1201" s="1" t="str">
        <f t="shared" si="355"/>
        <v>4-7</v>
      </c>
      <c r="T1201" s="1" t="s">
        <v>19189</v>
      </c>
      <c r="U1201" s="1" t="s">
        <v>7</v>
      </c>
      <c r="V1201" s="1" t="s">
        <v>577</v>
      </c>
      <c r="W1201" s="1"/>
    </row>
    <row r="1202" spans="1:23" x14ac:dyDescent="0.2">
      <c r="A1202" s="89" t="s">
        <v>16539</v>
      </c>
      <c r="B1202" s="1" t="e">
        <v>#N/A</v>
      </c>
      <c r="C1202" s="1" t="e">
        <v>#N/A</v>
      </c>
      <c r="D1202" s="1" t="s">
        <v>3314</v>
      </c>
      <c r="E1202" s="1" t="s">
        <v>3315</v>
      </c>
      <c r="F1202" s="1" t="e">
        <v>#N/A</v>
      </c>
      <c r="G1202" s="1" t="e">
        <v>#N/A</v>
      </c>
      <c r="H1202" t="e">
        <v>#N/A</v>
      </c>
      <c r="I1202" s="1" t="e">
        <v>#N/A</v>
      </c>
      <c r="J1202" s="1" t="e">
        <v>#N/A</v>
      </c>
      <c r="K1202" s="1" t="e">
        <v>#N/A</v>
      </c>
      <c r="L1202" s="1" t="e">
        <v>#N/A</v>
      </c>
      <c r="M1202" s="1" t="e">
        <v>#N/A</v>
      </c>
      <c r="N1202" s="1" t="e">
        <v>#N/A</v>
      </c>
      <c r="O1202" s="1" t="e">
        <v>#N/A</v>
      </c>
      <c r="P1202" s="1" t="e">
        <v>#N/A</v>
      </c>
      <c r="Q1202" s="1" t="e">
        <v>#N/A</v>
      </c>
      <c r="R1202" s="1">
        <f t="shared" si="354"/>
        <v>6</v>
      </c>
      <c r="S1202" s="1" t="str">
        <f t="shared" si="355"/>
        <v>4-7</v>
      </c>
      <c r="T1202" s="1" t="s">
        <v>19190</v>
      </c>
      <c r="U1202" s="1" t="s">
        <v>7</v>
      </c>
      <c r="V1202" s="1" t="s">
        <v>670</v>
      </c>
      <c r="W1202" s="1"/>
    </row>
    <row r="1203" spans="1:23" x14ac:dyDescent="0.2">
      <c r="A1203" s="88" t="s">
        <v>16540</v>
      </c>
      <c r="B1203" s="1" t="e">
        <v>#N/A</v>
      </c>
      <c r="C1203" s="1" t="s">
        <v>12082</v>
      </c>
      <c r="D1203" s="1" t="s">
        <v>3316</v>
      </c>
      <c r="E1203" s="1" t="s">
        <v>3317</v>
      </c>
      <c r="F1203" s="1" t="s">
        <v>9310</v>
      </c>
      <c r="G1203" s="1" t="s">
        <v>8959</v>
      </c>
      <c r="H1203" t="s">
        <v>8959</v>
      </c>
      <c r="I1203" s="1" t="s">
        <v>8948</v>
      </c>
      <c r="J1203" s="1" t="s">
        <v>8949</v>
      </c>
      <c r="K1203" s="1" t="s">
        <v>9018</v>
      </c>
      <c r="L1203" s="1" t="s">
        <v>9133</v>
      </c>
      <c r="M1203" s="1">
        <v>30</v>
      </c>
      <c r="N1203" s="1" t="s">
        <v>8953</v>
      </c>
      <c r="O1203" s="1" t="s">
        <v>8954</v>
      </c>
      <c r="P1203" s="1" t="s">
        <v>8955</v>
      </c>
      <c r="Q1203" s="1" t="s">
        <v>8956</v>
      </c>
      <c r="R1203" s="1" t="s">
        <v>8959</v>
      </c>
      <c r="S1203" s="1" t="s">
        <v>8958</v>
      </c>
      <c r="T1203" s="1" t="s">
        <v>3318</v>
      </c>
      <c r="U1203" s="1" t="s">
        <v>11</v>
      </c>
      <c r="V1203" s="1" t="s">
        <v>2172</v>
      </c>
      <c r="W1203" s="1"/>
    </row>
    <row r="1204" spans="1:23" x14ac:dyDescent="0.2">
      <c r="A1204" s="88" t="s">
        <v>16541</v>
      </c>
      <c r="B1204" s="1" t="e">
        <v>#N/A</v>
      </c>
      <c r="C1204" s="1" t="s">
        <v>13733</v>
      </c>
      <c r="D1204" s="1" t="s">
        <v>3319</v>
      </c>
      <c r="E1204" s="1" t="s">
        <v>3320</v>
      </c>
      <c r="F1204" s="1" t="s">
        <v>9310</v>
      </c>
      <c r="G1204" s="1" t="s">
        <v>8957</v>
      </c>
      <c r="H1204" t="s">
        <v>8959</v>
      </c>
      <c r="I1204" s="1" t="s">
        <v>9035</v>
      </c>
      <c r="J1204" s="1" t="s">
        <v>8998</v>
      </c>
      <c r="K1204" s="1" t="s">
        <v>9036</v>
      </c>
      <c r="L1204" s="1" t="s">
        <v>8951</v>
      </c>
      <c r="M1204" s="1">
        <v>1018</v>
      </c>
      <c r="N1204" s="1" t="s">
        <v>8953</v>
      </c>
      <c r="O1204" s="1" t="s">
        <v>8989</v>
      </c>
      <c r="P1204" s="1" t="s">
        <v>8955</v>
      </c>
      <c r="Q1204" s="1" t="s">
        <v>8956</v>
      </c>
      <c r="R1204" s="1" t="s">
        <v>8957</v>
      </c>
      <c r="S1204" s="1" t="s">
        <v>8975</v>
      </c>
      <c r="T1204" s="1" t="s">
        <v>3321</v>
      </c>
      <c r="U1204" s="1" t="s">
        <v>11</v>
      </c>
      <c r="V1204" s="1" t="s">
        <v>27</v>
      </c>
      <c r="W1204" s="1"/>
    </row>
    <row r="1205" spans="1:23" x14ac:dyDescent="0.2">
      <c r="A1205" s="88" t="s">
        <v>16542</v>
      </c>
      <c r="B1205" s="1" t="e">
        <v>#N/A</v>
      </c>
      <c r="C1205" s="1" t="e">
        <v>#N/A</v>
      </c>
      <c r="D1205" s="1" t="s">
        <v>3322</v>
      </c>
      <c r="E1205" s="1" t="s">
        <v>3323</v>
      </c>
      <c r="F1205" s="1" t="s">
        <v>9310</v>
      </c>
      <c r="G1205" s="1" t="s">
        <v>8957</v>
      </c>
      <c r="H1205" t="s">
        <v>8959</v>
      </c>
      <c r="I1205" s="1" t="s">
        <v>9100</v>
      </c>
      <c r="J1205" s="1" t="s">
        <v>8949</v>
      </c>
      <c r="K1205" s="1" t="s">
        <v>20723</v>
      </c>
      <c r="L1205" s="1" t="s">
        <v>8951</v>
      </c>
      <c r="M1205" s="1">
        <v>700</v>
      </c>
      <c r="N1205" s="1" t="s">
        <v>9059</v>
      </c>
      <c r="O1205" s="1" t="s">
        <v>8954</v>
      </c>
      <c r="P1205" s="1" t="e">
        <v>#N/A</v>
      </c>
      <c r="Q1205" s="1" t="e">
        <v>#N/A</v>
      </c>
      <c r="R1205" s="1">
        <f t="shared" ref="R1205:R1210" si="356">1+LEN(T1205)-LEN(SUBSTITUTE(T1205,",",))</f>
        <v>5</v>
      </c>
      <c r="S1205" s="1" t="str">
        <f t="shared" ref="S1205:S1210" si="357">IF(R1205&gt;4,IF(R1205&lt;8,"4-7",IF(R1205&gt;7,"&gt;7")),"&lt;4")</f>
        <v>4-7</v>
      </c>
      <c r="T1205" s="1" t="s">
        <v>19191</v>
      </c>
      <c r="U1205" s="1" t="s">
        <v>17</v>
      </c>
      <c r="V1205" s="1" t="s">
        <v>2248</v>
      </c>
      <c r="W1205" s="1"/>
    </row>
    <row r="1206" spans="1:23" x14ac:dyDescent="0.2">
      <c r="A1206" s="88" t="s">
        <v>16543</v>
      </c>
      <c r="B1206" s="1" t="e">
        <v>#N/A</v>
      </c>
      <c r="C1206" s="1" t="e">
        <v>#N/A</v>
      </c>
      <c r="D1206" s="1" t="s">
        <v>3324</v>
      </c>
      <c r="E1206" s="1" t="s">
        <v>3325</v>
      </c>
      <c r="F1206" s="1" t="s">
        <v>18502</v>
      </c>
      <c r="G1206" s="1" t="s">
        <v>8957</v>
      </c>
      <c r="H1206" t="s">
        <v>8959</v>
      </c>
      <c r="I1206" s="1" t="s">
        <v>9035</v>
      </c>
      <c r="J1206" s="1" t="s">
        <v>8998</v>
      </c>
      <c r="K1206" s="1" t="s">
        <v>21313</v>
      </c>
      <c r="L1206" s="1" t="s">
        <v>8973</v>
      </c>
      <c r="M1206" s="1">
        <f>377+50+1018</f>
        <v>1445</v>
      </c>
      <c r="N1206" s="1" t="s">
        <v>9059</v>
      </c>
      <c r="O1206" s="1" t="s">
        <v>8954</v>
      </c>
      <c r="P1206" s="1" t="e">
        <v>#N/A</v>
      </c>
      <c r="Q1206" s="1" t="e">
        <v>#N/A</v>
      </c>
      <c r="R1206" s="1">
        <f t="shared" si="356"/>
        <v>8</v>
      </c>
      <c r="S1206" s="1" t="str">
        <f t="shared" si="357"/>
        <v>&gt;7</v>
      </c>
      <c r="T1206" s="1" t="s">
        <v>19192</v>
      </c>
      <c r="U1206" s="1" t="s">
        <v>17</v>
      </c>
      <c r="V1206" s="1" t="s">
        <v>61</v>
      </c>
      <c r="W1206" s="1"/>
    </row>
    <row r="1207" spans="1:23" x14ac:dyDescent="0.2">
      <c r="A1207" s="88" t="s">
        <v>16544</v>
      </c>
      <c r="B1207" s="1" t="e">
        <v>#N/A</v>
      </c>
      <c r="C1207" s="1" t="e">
        <v>#N/A</v>
      </c>
      <c r="D1207" s="1" t="s">
        <v>3326</v>
      </c>
      <c r="E1207" s="1" t="s">
        <v>3327</v>
      </c>
      <c r="F1207" s="1" t="s">
        <v>18502</v>
      </c>
      <c r="G1207" s="1" t="s">
        <v>8957</v>
      </c>
      <c r="H1207" t="s">
        <v>8959</v>
      </c>
      <c r="I1207" s="1" t="s">
        <v>8948</v>
      </c>
      <c r="J1207" s="1" t="s">
        <v>9155</v>
      </c>
      <c r="K1207" s="1" t="s">
        <v>20838</v>
      </c>
      <c r="L1207" s="1" t="s">
        <v>8973</v>
      </c>
      <c r="M1207" s="1">
        <v>258</v>
      </c>
      <c r="N1207" s="1" t="s">
        <v>8953</v>
      </c>
      <c r="O1207" s="1" t="s">
        <v>8954</v>
      </c>
      <c r="P1207" s="1" t="e">
        <v>#N/A</v>
      </c>
      <c r="Q1207" s="1" t="e">
        <v>#N/A</v>
      </c>
      <c r="R1207" s="1">
        <f t="shared" si="356"/>
        <v>8</v>
      </c>
      <c r="S1207" s="1" t="str">
        <f t="shared" si="357"/>
        <v>&gt;7</v>
      </c>
      <c r="T1207" s="1" t="s">
        <v>19193</v>
      </c>
      <c r="U1207" s="1" t="s">
        <v>7</v>
      </c>
      <c r="V1207" s="1" t="s">
        <v>378</v>
      </c>
      <c r="W1207" s="1"/>
    </row>
    <row r="1208" spans="1:23" x14ac:dyDescent="0.2">
      <c r="A1208" s="88" t="s">
        <v>16545</v>
      </c>
      <c r="B1208" s="1" t="e">
        <v>#N/A</v>
      </c>
      <c r="C1208" s="1" t="e">
        <v>#N/A</v>
      </c>
      <c r="D1208" s="1" t="s">
        <v>3328</v>
      </c>
      <c r="E1208" s="1" t="s">
        <v>3329</v>
      </c>
      <c r="F1208" s="1" t="s">
        <v>18502</v>
      </c>
      <c r="G1208" s="1" t="s">
        <v>8957</v>
      </c>
      <c r="H1208" t="s">
        <v>8959</v>
      </c>
      <c r="I1208" s="1" t="s">
        <v>9035</v>
      </c>
      <c r="J1208" s="1" t="s">
        <v>9155</v>
      </c>
      <c r="K1208" s="1" t="s">
        <v>10629</v>
      </c>
      <c r="L1208" s="1" t="s">
        <v>8973</v>
      </c>
      <c r="M1208" s="1">
        <v>1536</v>
      </c>
      <c r="N1208" s="1" t="s">
        <v>8953</v>
      </c>
      <c r="O1208" s="1" t="s">
        <v>8989</v>
      </c>
      <c r="P1208" s="1" t="e">
        <v>#N/A</v>
      </c>
      <c r="Q1208" s="1" t="e">
        <v>#N/A</v>
      </c>
      <c r="R1208" s="1">
        <f t="shared" si="356"/>
        <v>7</v>
      </c>
      <c r="S1208" s="1" t="str">
        <f t="shared" si="357"/>
        <v>4-7</v>
      </c>
      <c r="T1208" s="1" t="s">
        <v>19194</v>
      </c>
      <c r="U1208" s="1" t="s">
        <v>17</v>
      </c>
      <c r="V1208" s="1" t="s">
        <v>93</v>
      </c>
      <c r="W1208" s="1"/>
    </row>
    <row r="1209" spans="1:23" x14ac:dyDescent="0.2">
      <c r="A1209" s="92" t="s">
        <v>16546</v>
      </c>
      <c r="B1209" s="1" t="e">
        <v>#N/A</v>
      </c>
      <c r="C1209" s="1" t="e">
        <v>#N/A</v>
      </c>
      <c r="D1209" s="1" t="s">
        <v>3330</v>
      </c>
      <c r="E1209" s="1" t="s">
        <v>3331</v>
      </c>
      <c r="F1209" s="1" t="e">
        <v>#N/A</v>
      </c>
      <c r="G1209" s="1" t="e">
        <v>#N/A</v>
      </c>
      <c r="H1209" t="e">
        <v>#N/A</v>
      </c>
      <c r="I1209" s="1" t="e">
        <v>#N/A</v>
      </c>
      <c r="J1209" s="1" t="e">
        <v>#N/A</v>
      </c>
      <c r="K1209" s="1" t="e">
        <v>#N/A</v>
      </c>
      <c r="L1209" s="1" t="e">
        <v>#N/A</v>
      </c>
      <c r="M1209" s="1" t="e">
        <v>#N/A</v>
      </c>
      <c r="N1209" s="1" t="e">
        <v>#N/A</v>
      </c>
      <c r="O1209" s="1" t="e">
        <v>#N/A</v>
      </c>
      <c r="P1209" s="1" t="e">
        <v>#N/A</v>
      </c>
      <c r="Q1209" s="1" t="e">
        <v>#N/A</v>
      </c>
      <c r="R1209" s="1">
        <f t="shared" si="356"/>
        <v>5</v>
      </c>
      <c r="S1209" s="1" t="str">
        <f t="shared" si="357"/>
        <v>4-7</v>
      </c>
      <c r="T1209" s="1" t="s">
        <v>19195</v>
      </c>
      <c r="U1209" s="1" t="s">
        <v>7</v>
      </c>
      <c r="V1209" s="1" t="s">
        <v>1328</v>
      </c>
      <c r="W1209" s="1"/>
    </row>
    <row r="1210" spans="1:23" x14ac:dyDescent="0.2">
      <c r="A1210" s="88" t="s">
        <v>16547</v>
      </c>
      <c r="B1210" s="1" t="e">
        <v>#N/A</v>
      </c>
      <c r="C1210" s="1" t="e">
        <v>#N/A</v>
      </c>
      <c r="D1210" s="1" t="s">
        <v>3332</v>
      </c>
      <c r="E1210" s="1" t="s">
        <v>3333</v>
      </c>
      <c r="F1210" s="1" t="s">
        <v>9213</v>
      </c>
      <c r="G1210" s="1" t="s">
        <v>8957</v>
      </c>
      <c r="H1210" t="s">
        <v>8959</v>
      </c>
      <c r="I1210" s="1" t="s">
        <v>9035</v>
      </c>
      <c r="J1210" s="1" t="s">
        <v>8998</v>
      </c>
      <c r="K1210" s="1" t="s">
        <v>20785</v>
      </c>
      <c r="L1210" s="1" t="s">
        <v>9076</v>
      </c>
      <c r="M1210" s="1">
        <v>446</v>
      </c>
      <c r="N1210" s="1" t="s">
        <v>8953</v>
      </c>
      <c r="O1210" s="1" t="s">
        <v>8989</v>
      </c>
      <c r="P1210" s="1" t="e">
        <v>#N/A</v>
      </c>
      <c r="Q1210" s="1" t="e">
        <v>#N/A</v>
      </c>
      <c r="R1210" s="1">
        <f t="shared" si="356"/>
        <v>4</v>
      </c>
      <c r="S1210" s="1" t="str">
        <f t="shared" si="357"/>
        <v>&lt;4</v>
      </c>
      <c r="T1210" s="1" t="s">
        <v>19196</v>
      </c>
      <c r="U1210" s="1" t="s">
        <v>7</v>
      </c>
      <c r="V1210" s="1" t="s">
        <v>27</v>
      </c>
      <c r="W1210" s="1"/>
    </row>
    <row r="1211" spans="1:23" x14ac:dyDescent="0.2">
      <c r="A1211" s="88" t="s">
        <v>16548</v>
      </c>
      <c r="B1211" s="1" t="e">
        <v>#N/A</v>
      </c>
      <c r="C1211" s="1" t="s">
        <v>10876</v>
      </c>
      <c r="D1211" s="1" t="s">
        <v>3334</v>
      </c>
      <c r="E1211" s="1" t="s">
        <v>3335</v>
      </c>
      <c r="F1211" s="1" t="s">
        <v>9310</v>
      </c>
      <c r="G1211" s="1" t="s">
        <v>8959</v>
      </c>
      <c r="H1211" t="s">
        <v>8959</v>
      </c>
      <c r="I1211" s="1" t="s">
        <v>9049</v>
      </c>
      <c r="J1211" s="1" t="s">
        <v>9050</v>
      </c>
      <c r="K1211" s="1" t="s">
        <v>10879</v>
      </c>
      <c r="L1211" s="1" t="s">
        <v>8973</v>
      </c>
      <c r="M1211" s="1">
        <v>650</v>
      </c>
      <c r="N1211" s="1" t="s">
        <v>8953</v>
      </c>
      <c r="O1211" s="1" t="s">
        <v>8989</v>
      </c>
      <c r="P1211" s="1" t="s">
        <v>8955</v>
      </c>
      <c r="Q1211" s="1" t="s">
        <v>8990</v>
      </c>
      <c r="R1211" s="1" t="s">
        <v>8959</v>
      </c>
      <c r="S1211" s="1" t="s">
        <v>8975</v>
      </c>
      <c r="T1211" s="1" t="s">
        <v>3336</v>
      </c>
      <c r="U1211" s="1" t="s">
        <v>11</v>
      </c>
      <c r="V1211" s="1" t="s">
        <v>46</v>
      </c>
      <c r="W1211" s="1"/>
    </row>
    <row r="1212" spans="1:23" x14ac:dyDescent="0.2">
      <c r="A1212" s="88" t="s">
        <v>16549</v>
      </c>
      <c r="B1212" s="1" t="e">
        <v>#N/A</v>
      </c>
      <c r="C1212" s="1" t="e">
        <v>#N/A</v>
      </c>
      <c r="D1212" s="1" t="s">
        <v>3337</v>
      </c>
      <c r="E1212" s="1" t="s">
        <v>3338</v>
      </c>
      <c r="F1212" s="1" t="s">
        <v>18502</v>
      </c>
      <c r="G1212" s="1" t="s">
        <v>8957</v>
      </c>
      <c r="H1212" t="s">
        <v>9061</v>
      </c>
      <c r="I1212" s="1" t="s">
        <v>20712</v>
      </c>
      <c r="J1212" s="1" t="s">
        <v>8998</v>
      </c>
      <c r="K1212" s="1" t="s">
        <v>21441</v>
      </c>
      <c r="L1212" s="1" t="s">
        <v>9076</v>
      </c>
      <c r="M1212" s="1">
        <v>16</v>
      </c>
      <c r="N1212" s="1" t="s">
        <v>9059</v>
      </c>
      <c r="O1212" s="1" t="s">
        <v>8954</v>
      </c>
      <c r="P1212" s="1" t="e">
        <v>#N/A</v>
      </c>
      <c r="Q1212" s="1" t="e">
        <v>#N/A</v>
      </c>
      <c r="R1212" s="1">
        <f t="shared" ref="R1212:R1213" si="358">1+LEN(T1212)-LEN(SUBSTITUTE(T1212,",",))</f>
        <v>6</v>
      </c>
      <c r="S1212" s="1" t="str">
        <f t="shared" ref="S1212:S1213" si="359">IF(R1212&gt;4,IF(R1212&lt;8,"4-7",IF(R1212&gt;7,"&gt;7")),"&lt;4")</f>
        <v>4-7</v>
      </c>
      <c r="T1212" s="1" t="s">
        <v>19197</v>
      </c>
      <c r="U1212" s="1" t="s">
        <v>17</v>
      </c>
      <c r="V1212" s="1" t="s">
        <v>61</v>
      </c>
      <c r="W1212" s="1"/>
    </row>
    <row r="1213" spans="1:23" x14ac:dyDescent="0.2">
      <c r="A1213" s="88" t="s">
        <v>16550</v>
      </c>
      <c r="B1213" s="1" t="e">
        <v>#N/A</v>
      </c>
      <c r="C1213" s="1" t="e">
        <v>#N/A</v>
      </c>
      <c r="D1213" s="1" t="s">
        <v>3339</v>
      </c>
      <c r="E1213" s="1" t="s">
        <v>3340</v>
      </c>
      <c r="F1213" s="1" t="s">
        <v>9310</v>
      </c>
      <c r="G1213" s="1" t="s">
        <v>8957</v>
      </c>
      <c r="H1213" t="s">
        <v>9061</v>
      </c>
      <c r="I1213" s="1" t="s">
        <v>9035</v>
      </c>
      <c r="J1213" s="1" t="s">
        <v>8998</v>
      </c>
      <c r="K1213" s="1" t="s">
        <v>10492</v>
      </c>
      <c r="L1213" s="1" t="s">
        <v>9464</v>
      </c>
      <c r="M1213" s="1">
        <v>54</v>
      </c>
      <c r="N1213" s="1" t="s">
        <v>9059</v>
      </c>
      <c r="O1213" s="1" t="s">
        <v>8954</v>
      </c>
      <c r="P1213" s="1" t="e">
        <v>#N/A</v>
      </c>
      <c r="Q1213" s="1" t="e">
        <v>#N/A</v>
      </c>
      <c r="R1213" s="1">
        <f t="shared" si="358"/>
        <v>4</v>
      </c>
      <c r="S1213" s="1" t="str">
        <f t="shared" si="359"/>
        <v>&lt;4</v>
      </c>
      <c r="T1213" s="1" t="s">
        <v>19198</v>
      </c>
      <c r="U1213" s="1" t="s">
        <v>7</v>
      </c>
      <c r="V1213" s="1" t="s">
        <v>378</v>
      </c>
      <c r="W1213" s="1"/>
    </row>
    <row r="1214" spans="1:23" x14ac:dyDescent="0.2">
      <c r="A1214" s="88" t="s">
        <v>16551</v>
      </c>
      <c r="B1214" s="1" t="e">
        <v>#N/A</v>
      </c>
      <c r="C1214" s="1" t="s">
        <v>12433</v>
      </c>
      <c r="D1214" s="1" t="s">
        <v>3341</v>
      </c>
      <c r="E1214" s="1" t="s">
        <v>3342</v>
      </c>
      <c r="F1214" s="1" t="s">
        <v>9380</v>
      </c>
      <c r="G1214" s="1" t="s">
        <v>8957</v>
      </c>
      <c r="H1214" t="s">
        <v>9183</v>
      </c>
      <c r="I1214" s="1" t="s">
        <v>9049</v>
      </c>
      <c r="J1214" s="1" t="s">
        <v>9121</v>
      </c>
      <c r="K1214" s="1" t="s">
        <v>9658</v>
      </c>
      <c r="L1214" s="1" t="s">
        <v>8973</v>
      </c>
      <c r="M1214" s="1">
        <v>133</v>
      </c>
      <c r="N1214" s="1" t="s">
        <v>8953</v>
      </c>
      <c r="O1214" s="1" t="s">
        <v>8954</v>
      </c>
      <c r="P1214" s="1" t="s">
        <v>8955</v>
      </c>
      <c r="Q1214" s="1" t="s">
        <v>8956</v>
      </c>
      <c r="R1214" s="1" t="s">
        <v>8957</v>
      </c>
      <c r="S1214" s="1" t="s">
        <v>8958</v>
      </c>
      <c r="T1214" s="1" t="s">
        <v>3343</v>
      </c>
      <c r="U1214" s="1" t="s">
        <v>11</v>
      </c>
      <c r="V1214" s="1" t="s">
        <v>43</v>
      </c>
      <c r="W1214" s="1"/>
    </row>
    <row r="1215" spans="1:23" x14ac:dyDescent="0.2">
      <c r="A1215" s="88" t="s">
        <v>16552</v>
      </c>
      <c r="B1215" s="1" t="e">
        <v>#N/A</v>
      </c>
      <c r="C1215" s="1" t="e">
        <v>#N/A</v>
      </c>
      <c r="D1215" s="1" t="s">
        <v>3344</v>
      </c>
      <c r="E1215" s="1" t="s">
        <v>3345</v>
      </c>
      <c r="F1215" s="1" t="s">
        <v>9310</v>
      </c>
      <c r="G1215" s="1" t="s">
        <v>8957</v>
      </c>
      <c r="H1215" t="s">
        <v>8959</v>
      </c>
      <c r="I1215" s="1" t="s">
        <v>9252</v>
      </c>
      <c r="J1215" s="1" t="s">
        <v>8949</v>
      </c>
      <c r="K1215" s="1" t="s">
        <v>21442</v>
      </c>
      <c r="L1215" s="1" t="s">
        <v>20844</v>
      </c>
      <c r="M1215" s="1">
        <v>75</v>
      </c>
      <c r="N1215" s="1" t="s">
        <v>9059</v>
      </c>
      <c r="O1215" s="1" t="s">
        <v>8989</v>
      </c>
      <c r="P1215" s="1" t="e">
        <v>#N/A</v>
      </c>
      <c r="Q1215" s="1" t="e">
        <v>#N/A</v>
      </c>
      <c r="R1215" s="1">
        <f t="shared" ref="R1215:R1217" si="360">1+LEN(T1215)-LEN(SUBSTITUTE(T1215,",",))</f>
        <v>6</v>
      </c>
      <c r="S1215" s="1" t="str">
        <f t="shared" ref="S1215:S1217" si="361">IF(R1215&gt;4,IF(R1215&lt;8,"4-7",IF(R1215&gt;7,"&gt;7")),"&lt;4")</f>
        <v>4-7</v>
      </c>
      <c r="T1215" s="1" t="s">
        <v>19199</v>
      </c>
      <c r="U1215" s="1" t="s">
        <v>7</v>
      </c>
      <c r="V1215" s="1" t="s">
        <v>1010</v>
      </c>
      <c r="W1215" s="1"/>
    </row>
    <row r="1216" spans="1:23" x14ac:dyDescent="0.2">
      <c r="A1216" s="88" t="s">
        <v>16553</v>
      </c>
      <c r="B1216" s="1" t="e">
        <v>#N/A</v>
      </c>
      <c r="C1216" s="1" t="e">
        <v>#N/A</v>
      </c>
      <c r="D1216" s="1" t="s">
        <v>3346</v>
      </c>
      <c r="E1216" s="1" t="s">
        <v>3347</v>
      </c>
      <c r="F1216" s="1" t="s">
        <v>10873</v>
      </c>
      <c r="G1216" s="1" t="s">
        <v>8957</v>
      </c>
      <c r="H1216" t="s">
        <v>8959</v>
      </c>
      <c r="I1216" s="1" t="s">
        <v>9605</v>
      </c>
      <c r="J1216" s="1" t="s">
        <v>8971</v>
      </c>
      <c r="K1216" s="1" t="s">
        <v>18497</v>
      </c>
      <c r="L1216" s="1" t="s">
        <v>9292</v>
      </c>
      <c r="M1216" s="1">
        <v>73681</v>
      </c>
      <c r="N1216" s="1" t="s">
        <v>8953</v>
      </c>
      <c r="O1216" s="1" t="s">
        <v>8989</v>
      </c>
      <c r="P1216" s="1" t="e">
        <v>#N/A</v>
      </c>
      <c r="Q1216" s="1" t="e">
        <v>#N/A</v>
      </c>
      <c r="R1216" s="1">
        <f t="shared" si="360"/>
        <v>6</v>
      </c>
      <c r="S1216" s="1" t="str">
        <f t="shared" si="361"/>
        <v>4-7</v>
      </c>
      <c r="T1216" s="1" t="s">
        <v>19200</v>
      </c>
      <c r="U1216" s="1" t="s">
        <v>7</v>
      </c>
      <c r="V1216" s="1" t="s">
        <v>921</v>
      </c>
      <c r="W1216" s="1"/>
    </row>
    <row r="1217" spans="1:23" x14ac:dyDescent="0.2">
      <c r="A1217" s="94" t="s">
        <v>16554</v>
      </c>
      <c r="B1217" s="1" t="e">
        <v>#N/A</v>
      </c>
      <c r="C1217" s="1" t="e">
        <v>#N/A</v>
      </c>
      <c r="D1217" s="1" t="s">
        <v>3348</v>
      </c>
      <c r="E1217" s="1" t="s">
        <v>3349</v>
      </c>
      <c r="F1217" s="1" t="e">
        <v>#N/A</v>
      </c>
      <c r="G1217" s="1" t="e">
        <v>#N/A</v>
      </c>
      <c r="H1217" t="e">
        <v>#N/A</v>
      </c>
      <c r="I1217" s="1" t="e">
        <v>#N/A</v>
      </c>
      <c r="J1217" s="1" t="e">
        <v>#N/A</v>
      </c>
      <c r="K1217" s="1" t="e">
        <v>#N/A</v>
      </c>
      <c r="L1217" s="1" t="e">
        <v>#N/A</v>
      </c>
      <c r="M1217" s="1" t="e">
        <v>#N/A</v>
      </c>
      <c r="N1217" s="1" t="e">
        <v>#N/A</v>
      </c>
      <c r="O1217" s="1" t="e">
        <v>#N/A</v>
      </c>
      <c r="P1217" s="1" t="e">
        <v>#N/A</v>
      </c>
      <c r="Q1217" s="1" t="e">
        <v>#N/A</v>
      </c>
      <c r="R1217" s="1">
        <f t="shared" si="360"/>
        <v>5</v>
      </c>
      <c r="S1217" s="1" t="str">
        <f t="shared" si="361"/>
        <v>4-7</v>
      </c>
      <c r="T1217" s="1" t="s">
        <v>19201</v>
      </c>
      <c r="U1217" s="1" t="s">
        <v>7</v>
      </c>
      <c r="V1217" s="1" t="s">
        <v>1050</v>
      </c>
      <c r="W1217" s="1"/>
    </row>
    <row r="1218" spans="1:23" x14ac:dyDescent="0.2">
      <c r="A1218" s="88" t="s">
        <v>16555</v>
      </c>
      <c r="B1218" s="1" t="e">
        <v>#N/A</v>
      </c>
      <c r="C1218" s="1" t="s">
        <v>10716</v>
      </c>
      <c r="D1218" s="1" t="s">
        <v>3350</v>
      </c>
      <c r="E1218" s="1" t="s">
        <v>3351</v>
      </c>
      <c r="F1218" s="1" t="s">
        <v>9650</v>
      </c>
      <c r="G1218" s="1" t="s">
        <v>8957</v>
      </c>
      <c r="H1218" t="s">
        <v>8959</v>
      </c>
      <c r="I1218" s="1" t="s">
        <v>9605</v>
      </c>
      <c r="J1218" s="1" t="s">
        <v>9121</v>
      </c>
      <c r="K1218" s="1" t="s">
        <v>9018</v>
      </c>
      <c r="L1218" s="1" t="s">
        <v>9157</v>
      </c>
      <c r="M1218" s="1">
        <v>33342</v>
      </c>
      <c r="N1218" s="1" t="s">
        <v>8953</v>
      </c>
      <c r="O1218" s="1" t="s">
        <v>8954</v>
      </c>
      <c r="P1218" s="1" t="s">
        <v>8955</v>
      </c>
      <c r="Q1218" s="1" t="s">
        <v>8956</v>
      </c>
      <c r="R1218" s="1" t="s">
        <v>8957</v>
      </c>
      <c r="S1218" s="1" t="s">
        <v>8975</v>
      </c>
      <c r="T1218" s="1" t="s">
        <v>3352</v>
      </c>
      <c r="U1218" s="1" t="s">
        <v>11</v>
      </c>
      <c r="V1218" s="1" t="s">
        <v>808</v>
      </c>
      <c r="W1218" s="1"/>
    </row>
    <row r="1219" spans="1:23" x14ac:dyDescent="0.2">
      <c r="A1219" s="88" t="s">
        <v>16556</v>
      </c>
      <c r="B1219" s="1" t="e">
        <v>#N/A</v>
      </c>
      <c r="C1219" s="1" t="e">
        <v>#N/A</v>
      </c>
      <c r="D1219" s="1" t="s">
        <v>3353</v>
      </c>
      <c r="E1219" s="1" t="s">
        <v>3354</v>
      </c>
      <c r="F1219" s="1" t="s">
        <v>9650</v>
      </c>
      <c r="G1219" s="1" t="s">
        <v>8957</v>
      </c>
      <c r="H1219" t="s">
        <v>8959</v>
      </c>
      <c r="I1219" s="1" t="s">
        <v>9092</v>
      </c>
      <c r="J1219" s="1" t="s">
        <v>9308</v>
      </c>
      <c r="K1219" s="1" t="s">
        <v>21250</v>
      </c>
      <c r="L1219" s="1" t="s">
        <v>8987</v>
      </c>
      <c r="M1219" s="1">
        <v>1347</v>
      </c>
      <c r="N1219" s="1" t="s">
        <v>8953</v>
      </c>
      <c r="O1219" s="1" t="s">
        <v>8989</v>
      </c>
      <c r="P1219" s="1" t="e">
        <v>#N/A</v>
      </c>
      <c r="Q1219" s="1" t="e">
        <v>#N/A</v>
      </c>
      <c r="R1219" s="1">
        <f t="shared" ref="R1219:R1223" si="362">1+LEN(T1219)-LEN(SUBSTITUTE(T1219,",",))</f>
        <v>8</v>
      </c>
      <c r="S1219" s="1" t="str">
        <f t="shared" ref="S1219:S1223" si="363">IF(R1219&gt;4,IF(R1219&lt;8,"4-7",IF(R1219&gt;7,"&gt;7")),"&lt;4")</f>
        <v>&gt;7</v>
      </c>
      <c r="T1219" s="1" t="s">
        <v>19202</v>
      </c>
      <c r="U1219" s="1" t="s">
        <v>7</v>
      </c>
      <c r="V1219" s="1" t="s">
        <v>64</v>
      </c>
      <c r="W1219" s="1"/>
    </row>
    <row r="1220" spans="1:23" x14ac:dyDescent="0.2">
      <c r="A1220" s="88" t="s">
        <v>16557</v>
      </c>
      <c r="B1220" s="1" t="e">
        <v>#N/A</v>
      </c>
      <c r="C1220" s="1" t="e">
        <v>#N/A</v>
      </c>
      <c r="D1220" s="1" t="s">
        <v>3355</v>
      </c>
      <c r="E1220" s="1" t="s">
        <v>3356</v>
      </c>
      <c r="F1220" s="1" t="s">
        <v>9310</v>
      </c>
      <c r="G1220" s="1" t="s">
        <v>8957</v>
      </c>
      <c r="H1220" t="s">
        <v>8959</v>
      </c>
      <c r="I1220" s="1" t="s">
        <v>20714</v>
      </c>
      <c r="J1220" s="1" t="s">
        <v>9050</v>
      </c>
      <c r="K1220" s="1" t="s">
        <v>21326</v>
      </c>
      <c r="L1220" s="1" t="s">
        <v>8973</v>
      </c>
      <c r="M1220" s="1">
        <v>1200</v>
      </c>
      <c r="N1220" s="1" t="s">
        <v>8953</v>
      </c>
      <c r="O1220" s="1" t="s">
        <v>8989</v>
      </c>
      <c r="P1220" s="1" t="e">
        <v>#N/A</v>
      </c>
      <c r="Q1220" s="1" t="e">
        <v>#N/A</v>
      </c>
      <c r="R1220" s="1">
        <f t="shared" si="362"/>
        <v>5</v>
      </c>
      <c r="S1220" s="1" t="str">
        <f t="shared" si="363"/>
        <v>4-7</v>
      </c>
      <c r="T1220" s="1" t="s">
        <v>19203</v>
      </c>
      <c r="U1220" s="1" t="s">
        <v>7</v>
      </c>
      <c r="V1220" s="1" t="s">
        <v>2723</v>
      </c>
      <c r="W1220" s="1"/>
    </row>
    <row r="1221" spans="1:23" x14ac:dyDescent="0.2">
      <c r="A1221" s="88" t="s">
        <v>16558</v>
      </c>
      <c r="B1221" s="1" t="e">
        <v>#N/A</v>
      </c>
      <c r="C1221" s="1" t="e">
        <v>#N/A</v>
      </c>
      <c r="D1221" s="1" t="s">
        <v>3357</v>
      </c>
      <c r="E1221" s="1" t="s">
        <v>3358</v>
      </c>
      <c r="F1221" s="1" t="s">
        <v>9310</v>
      </c>
      <c r="G1221" s="1" t="s">
        <v>8957</v>
      </c>
      <c r="H1221" t="s">
        <v>8959</v>
      </c>
      <c r="I1221" s="1" t="s">
        <v>9035</v>
      </c>
      <c r="J1221" s="1" t="s">
        <v>8998</v>
      </c>
      <c r="K1221" s="1" t="s">
        <v>20768</v>
      </c>
      <c r="L1221" s="1" t="s">
        <v>9133</v>
      </c>
      <c r="M1221" s="1">
        <v>11356</v>
      </c>
      <c r="N1221" s="1" t="s">
        <v>8953</v>
      </c>
      <c r="O1221" s="1" t="s">
        <v>8954</v>
      </c>
      <c r="P1221" s="1" t="e">
        <v>#N/A</v>
      </c>
      <c r="Q1221" s="1" t="e">
        <v>#N/A</v>
      </c>
      <c r="R1221" s="1">
        <f t="shared" si="362"/>
        <v>11</v>
      </c>
      <c r="S1221" s="1" t="str">
        <f t="shared" si="363"/>
        <v>&gt;7</v>
      </c>
      <c r="T1221" s="1" t="s">
        <v>19204</v>
      </c>
      <c r="U1221" s="1" t="s">
        <v>7</v>
      </c>
      <c r="V1221" s="1" t="s">
        <v>580</v>
      </c>
      <c r="W1221" s="1"/>
    </row>
    <row r="1222" spans="1:23" x14ac:dyDescent="0.2">
      <c r="A1222" s="88" t="s">
        <v>16559</v>
      </c>
      <c r="B1222" s="1" t="e">
        <v>#N/A</v>
      </c>
      <c r="C1222" s="1" t="e">
        <v>#N/A</v>
      </c>
      <c r="D1222" s="1" t="s">
        <v>3359</v>
      </c>
      <c r="E1222" s="1" t="s">
        <v>3360</v>
      </c>
      <c r="F1222" s="1" t="s">
        <v>9310</v>
      </c>
      <c r="G1222" s="1" t="s">
        <v>8957</v>
      </c>
      <c r="H1222" t="s">
        <v>8959</v>
      </c>
      <c r="I1222" s="1" t="s">
        <v>9100</v>
      </c>
      <c r="J1222" s="1" t="s">
        <v>8959</v>
      </c>
      <c r="K1222" s="1" t="s">
        <v>21443</v>
      </c>
      <c r="L1222" s="1" t="s">
        <v>20844</v>
      </c>
      <c r="M1222" s="1">
        <v>3216</v>
      </c>
      <c r="N1222" s="1" t="s">
        <v>8953</v>
      </c>
      <c r="O1222" s="1" t="s">
        <v>8989</v>
      </c>
      <c r="P1222" s="1" t="e">
        <v>#N/A</v>
      </c>
      <c r="Q1222" s="1" t="e">
        <v>#N/A</v>
      </c>
      <c r="R1222" s="1">
        <f t="shared" si="362"/>
        <v>13</v>
      </c>
      <c r="S1222" s="1" t="str">
        <f t="shared" si="363"/>
        <v>&gt;7</v>
      </c>
      <c r="T1222" s="1" t="s">
        <v>19205</v>
      </c>
      <c r="U1222" s="1" t="s">
        <v>7</v>
      </c>
      <c r="V1222" s="1" t="s">
        <v>2044</v>
      </c>
      <c r="W1222" s="1"/>
    </row>
    <row r="1223" spans="1:23" x14ac:dyDescent="0.2">
      <c r="A1223" s="88" t="s">
        <v>16560</v>
      </c>
      <c r="B1223" s="1" t="e">
        <v>#N/A</v>
      </c>
      <c r="C1223" s="1" t="e">
        <v>#N/A</v>
      </c>
      <c r="D1223" s="1" t="s">
        <v>3361</v>
      </c>
      <c r="E1223" s="1" t="s">
        <v>3362</v>
      </c>
      <c r="F1223" s="1" t="s">
        <v>9213</v>
      </c>
      <c r="G1223" s="1" t="s">
        <v>8957</v>
      </c>
      <c r="H1223" t="s">
        <v>9061</v>
      </c>
      <c r="I1223" s="1" t="s">
        <v>9035</v>
      </c>
      <c r="J1223" s="1" t="s">
        <v>8998</v>
      </c>
      <c r="K1223" s="1" t="s">
        <v>10492</v>
      </c>
      <c r="L1223" s="1" t="s">
        <v>8951</v>
      </c>
      <c r="M1223" s="1">
        <v>51100</v>
      </c>
      <c r="N1223" s="1" t="s">
        <v>8953</v>
      </c>
      <c r="O1223" s="1" t="s">
        <v>8954</v>
      </c>
      <c r="P1223" s="1" t="e">
        <v>#N/A</v>
      </c>
      <c r="Q1223" s="1" t="e">
        <v>#N/A</v>
      </c>
      <c r="R1223" s="1">
        <f t="shared" si="362"/>
        <v>3</v>
      </c>
      <c r="S1223" s="1" t="str">
        <f t="shared" si="363"/>
        <v>&lt;4</v>
      </c>
      <c r="T1223" s="1" t="s">
        <v>19206</v>
      </c>
      <c r="U1223" s="1" t="s">
        <v>17</v>
      </c>
      <c r="V1223" s="1" t="s">
        <v>378</v>
      </c>
      <c r="W1223" s="1"/>
    </row>
    <row r="1224" spans="1:23" x14ac:dyDescent="0.2">
      <c r="A1224" s="88" t="s">
        <v>16561</v>
      </c>
      <c r="B1224" s="1" t="e">
        <v>#N/A</v>
      </c>
      <c r="C1224" s="1" t="s">
        <v>12846</v>
      </c>
      <c r="D1224" s="1" t="s">
        <v>3363</v>
      </c>
      <c r="E1224" s="1" t="s">
        <v>3364</v>
      </c>
      <c r="F1224" s="1" t="s">
        <v>9310</v>
      </c>
      <c r="G1224" s="1" t="s">
        <v>8974</v>
      </c>
      <c r="H1224" t="s">
        <v>8959</v>
      </c>
      <c r="I1224" s="1" t="s">
        <v>8984</v>
      </c>
      <c r="J1224" s="1" t="s">
        <v>8998</v>
      </c>
      <c r="K1224" s="1" t="s">
        <v>9036</v>
      </c>
      <c r="L1224" s="1" t="s">
        <v>8951</v>
      </c>
      <c r="M1224" s="1">
        <v>888</v>
      </c>
      <c r="N1224" s="1" t="s">
        <v>8953</v>
      </c>
      <c r="O1224" s="1" t="s">
        <v>8989</v>
      </c>
      <c r="P1224" s="1" t="s">
        <v>8955</v>
      </c>
      <c r="Q1224" s="1" t="s">
        <v>8956</v>
      </c>
      <c r="R1224" s="1" t="s">
        <v>8974</v>
      </c>
      <c r="S1224" s="1" t="s">
        <v>8958</v>
      </c>
      <c r="T1224" s="1" t="s">
        <v>3365</v>
      </c>
      <c r="U1224" s="1" t="s">
        <v>11</v>
      </c>
      <c r="V1224" s="1" t="s">
        <v>93</v>
      </c>
      <c r="W1224" s="1"/>
    </row>
    <row r="1225" spans="1:23" x14ac:dyDescent="0.2">
      <c r="A1225" s="88" t="s">
        <v>16562</v>
      </c>
      <c r="B1225" s="1" t="e">
        <v>#N/A</v>
      </c>
      <c r="C1225" s="1" t="e">
        <v>#N/A</v>
      </c>
      <c r="D1225" s="1" t="s">
        <v>3366</v>
      </c>
      <c r="E1225" s="1" t="s">
        <v>3367</v>
      </c>
      <c r="F1225" s="1" t="s">
        <v>9310</v>
      </c>
      <c r="G1225" s="1" t="s">
        <v>8957</v>
      </c>
      <c r="H1225" t="s">
        <v>9183</v>
      </c>
      <c r="I1225" s="1" t="s">
        <v>20714</v>
      </c>
      <c r="J1225" s="1" t="s">
        <v>9050</v>
      </c>
      <c r="K1225" s="1" t="s">
        <v>21327</v>
      </c>
      <c r="L1225" s="1" t="s">
        <v>20839</v>
      </c>
      <c r="M1225" s="1">
        <v>3014</v>
      </c>
      <c r="N1225" s="1" t="s">
        <v>8953</v>
      </c>
      <c r="O1225" s="1" t="s">
        <v>8989</v>
      </c>
      <c r="P1225" s="1" t="e">
        <v>#N/A</v>
      </c>
      <c r="Q1225" s="1" t="e">
        <v>#N/A</v>
      </c>
      <c r="R1225" s="1">
        <f t="shared" ref="R1225:R1232" si="364">1+LEN(T1225)-LEN(SUBSTITUTE(T1225,",",))</f>
        <v>11</v>
      </c>
      <c r="S1225" s="1" t="str">
        <f t="shared" ref="S1225:S1232" si="365">IF(R1225&gt;4,IF(R1225&lt;8,"4-7",IF(R1225&gt;7,"&gt;7")),"&lt;4")</f>
        <v>&gt;7</v>
      </c>
      <c r="T1225" s="1" t="s">
        <v>19207</v>
      </c>
      <c r="U1225" s="1" t="s">
        <v>7</v>
      </c>
      <c r="V1225" s="1" t="s">
        <v>24</v>
      </c>
      <c r="W1225" s="1"/>
    </row>
    <row r="1226" spans="1:23" x14ac:dyDescent="0.2">
      <c r="A1226" s="88" t="s">
        <v>16563</v>
      </c>
      <c r="B1226" s="1" t="e">
        <v>#N/A</v>
      </c>
      <c r="C1226" s="1" t="e">
        <v>#N/A</v>
      </c>
      <c r="D1226" s="1" t="s">
        <v>3368</v>
      </c>
      <c r="E1226" s="1" t="s">
        <v>3369</v>
      </c>
      <c r="F1226" s="1" t="s">
        <v>18502</v>
      </c>
      <c r="G1226" s="1" t="s">
        <v>8957</v>
      </c>
      <c r="H1226" t="s">
        <v>8959</v>
      </c>
      <c r="I1226" s="1" t="s">
        <v>9605</v>
      </c>
      <c r="J1226" s="1" t="s">
        <v>9101</v>
      </c>
      <c r="K1226" s="1" t="s">
        <v>10492</v>
      </c>
      <c r="L1226" s="1" t="s">
        <v>9076</v>
      </c>
      <c r="M1226" s="1">
        <v>200</v>
      </c>
      <c r="N1226" s="1" t="s">
        <v>8953</v>
      </c>
      <c r="O1226" s="1" t="s">
        <v>8989</v>
      </c>
      <c r="P1226" s="1" t="e">
        <v>#N/A</v>
      </c>
      <c r="Q1226" s="1" t="e">
        <v>#N/A</v>
      </c>
      <c r="R1226" s="1">
        <f t="shared" si="364"/>
        <v>9</v>
      </c>
      <c r="S1226" s="1" t="str">
        <f t="shared" si="365"/>
        <v>&gt;7</v>
      </c>
      <c r="T1226" s="1" t="s">
        <v>19208</v>
      </c>
      <c r="U1226" s="1" t="s">
        <v>7</v>
      </c>
      <c r="V1226" s="1" t="s">
        <v>580</v>
      </c>
      <c r="W1226" s="1"/>
    </row>
    <row r="1227" spans="1:23" x14ac:dyDescent="0.2">
      <c r="A1227" s="94" t="s">
        <v>16564</v>
      </c>
      <c r="B1227" s="1" t="e">
        <v>#N/A</v>
      </c>
      <c r="C1227" s="1" t="e">
        <v>#N/A</v>
      </c>
      <c r="D1227" s="1" t="s">
        <v>3370</v>
      </c>
      <c r="E1227" s="1" t="s">
        <v>3371</v>
      </c>
      <c r="F1227" s="1"/>
      <c r="G1227" s="1" t="e">
        <v>#N/A</v>
      </c>
      <c r="I1227" s="1"/>
      <c r="J1227" s="1"/>
      <c r="K1227" s="1" t="e">
        <v>#N/A</v>
      </c>
      <c r="L1227" s="1" t="e">
        <v>#N/A</v>
      </c>
      <c r="M1227" s="1"/>
      <c r="N1227" s="1" t="e">
        <v>#N/A</v>
      </c>
      <c r="O1227" s="1" t="e">
        <v>#N/A</v>
      </c>
      <c r="P1227" s="1" t="e">
        <v>#N/A</v>
      </c>
      <c r="Q1227" s="1" t="e">
        <v>#N/A</v>
      </c>
      <c r="R1227" s="1">
        <f t="shared" si="364"/>
        <v>7</v>
      </c>
      <c r="S1227" s="1" t="str">
        <f t="shared" si="365"/>
        <v>4-7</v>
      </c>
      <c r="T1227" s="1" t="s">
        <v>19209</v>
      </c>
      <c r="U1227" s="1" t="s">
        <v>7</v>
      </c>
      <c r="V1227" s="1" t="s">
        <v>8</v>
      </c>
      <c r="W1227" s="1"/>
    </row>
    <row r="1228" spans="1:23" x14ac:dyDescent="0.2">
      <c r="A1228" s="94" t="s">
        <v>16565</v>
      </c>
      <c r="B1228" s="1" t="e">
        <v>#N/A</v>
      </c>
      <c r="C1228" s="1" t="e">
        <v>#N/A</v>
      </c>
      <c r="D1228" s="1" t="s">
        <v>3372</v>
      </c>
      <c r="E1228" s="1" t="s">
        <v>3373</v>
      </c>
      <c r="F1228" s="1" t="s">
        <v>9310</v>
      </c>
      <c r="G1228" s="1" t="e">
        <v>#N/A</v>
      </c>
      <c r="H1228" t="s">
        <v>9183</v>
      </c>
      <c r="I1228" s="1" t="s">
        <v>9092</v>
      </c>
      <c r="J1228" s="1" t="s">
        <v>8959</v>
      </c>
      <c r="K1228" s="1"/>
      <c r="L1228" s="1" t="e">
        <v>#N/A</v>
      </c>
      <c r="M1228" s="1" t="e">
        <v>#N/A</v>
      </c>
      <c r="N1228" s="1" t="e">
        <v>#N/A</v>
      </c>
      <c r="O1228" s="1" t="e">
        <v>#N/A</v>
      </c>
      <c r="P1228" s="1" t="e">
        <v>#N/A</v>
      </c>
      <c r="Q1228" s="1" t="e">
        <v>#N/A</v>
      </c>
      <c r="R1228" s="1">
        <f t="shared" si="364"/>
        <v>4</v>
      </c>
      <c r="S1228" s="1" t="str">
        <f t="shared" si="365"/>
        <v>&lt;4</v>
      </c>
      <c r="T1228" s="1" t="s">
        <v>19210</v>
      </c>
      <c r="U1228" s="1" t="s">
        <v>17</v>
      </c>
      <c r="V1228" s="1" t="s">
        <v>3374</v>
      </c>
      <c r="W1228" s="1"/>
    </row>
    <row r="1229" spans="1:23" x14ac:dyDescent="0.2">
      <c r="A1229" s="88" t="s">
        <v>16566</v>
      </c>
      <c r="B1229" s="1" t="e">
        <v>#N/A</v>
      </c>
      <c r="C1229" s="1" t="e">
        <v>#N/A</v>
      </c>
      <c r="D1229" s="1" t="s">
        <v>3375</v>
      </c>
      <c r="E1229" s="1" t="s">
        <v>3376</v>
      </c>
      <c r="F1229" s="1" t="s">
        <v>9310</v>
      </c>
      <c r="G1229" s="1" t="s">
        <v>8957</v>
      </c>
      <c r="H1229" t="s">
        <v>8959</v>
      </c>
      <c r="I1229" s="1" t="s">
        <v>9605</v>
      </c>
      <c r="J1229" s="1" t="s">
        <v>8959</v>
      </c>
      <c r="K1229" s="1" t="s">
        <v>20813</v>
      </c>
      <c r="L1229" s="1" t="s">
        <v>9292</v>
      </c>
      <c r="M1229" s="1">
        <v>80</v>
      </c>
      <c r="N1229" s="1" t="s">
        <v>11658</v>
      </c>
      <c r="O1229" s="1" t="s">
        <v>8954</v>
      </c>
      <c r="P1229" s="1" t="e">
        <v>#N/A</v>
      </c>
      <c r="Q1229" s="1" t="e">
        <v>#N/A</v>
      </c>
      <c r="R1229" s="1">
        <f t="shared" si="364"/>
        <v>7</v>
      </c>
      <c r="S1229" s="1" t="str">
        <f t="shared" si="365"/>
        <v>4-7</v>
      </c>
      <c r="T1229" s="1" t="s">
        <v>19211</v>
      </c>
      <c r="U1229" s="1" t="s">
        <v>7</v>
      </c>
      <c r="V1229" s="1" t="s">
        <v>126</v>
      </c>
      <c r="W1229" s="1"/>
    </row>
    <row r="1230" spans="1:23" x14ac:dyDescent="0.2">
      <c r="A1230" s="94" t="s">
        <v>16567</v>
      </c>
      <c r="B1230" s="1" t="e">
        <v>#N/A</v>
      </c>
      <c r="C1230" s="1" t="e">
        <v>#N/A</v>
      </c>
      <c r="D1230" s="1" t="s">
        <v>3377</v>
      </c>
      <c r="E1230" s="1" t="s">
        <v>3378</v>
      </c>
      <c r="F1230" s="1" t="s">
        <v>18502</v>
      </c>
      <c r="G1230" s="1" t="e">
        <v>#N/A</v>
      </c>
      <c r="H1230" t="s">
        <v>9061</v>
      </c>
      <c r="I1230" s="1" t="s">
        <v>20712</v>
      </c>
      <c r="J1230" s="1" t="s">
        <v>8998</v>
      </c>
      <c r="K1230" s="1" t="e">
        <v>#N/A</v>
      </c>
      <c r="L1230" s="1" t="e">
        <v>#N/A</v>
      </c>
      <c r="M1230" s="1">
        <v>644</v>
      </c>
      <c r="N1230" s="1" t="e">
        <v>#N/A</v>
      </c>
      <c r="O1230" s="1" t="e">
        <v>#N/A</v>
      </c>
      <c r="P1230" s="1" t="e">
        <v>#N/A</v>
      </c>
      <c r="Q1230" s="1" t="e">
        <v>#N/A</v>
      </c>
      <c r="R1230" s="1">
        <f t="shared" si="364"/>
        <v>3</v>
      </c>
      <c r="S1230" s="1" t="str">
        <f t="shared" si="365"/>
        <v>&lt;4</v>
      </c>
      <c r="T1230" s="1" t="s">
        <v>19212</v>
      </c>
      <c r="U1230" s="1" t="s">
        <v>17</v>
      </c>
      <c r="V1230" s="1" t="s">
        <v>126</v>
      </c>
      <c r="W1230" s="1"/>
    </row>
    <row r="1231" spans="1:23" x14ac:dyDescent="0.2">
      <c r="A1231" s="88" t="s">
        <v>16568</v>
      </c>
      <c r="B1231" s="1" t="e">
        <v>#N/A</v>
      </c>
      <c r="C1231" s="1" t="e">
        <v>#N/A</v>
      </c>
      <c r="D1231" s="1" t="s">
        <v>3379</v>
      </c>
      <c r="E1231" s="1" t="s">
        <v>3380</v>
      </c>
      <c r="F1231" s="1" t="s">
        <v>9213</v>
      </c>
      <c r="G1231" s="1" t="s">
        <v>8957</v>
      </c>
      <c r="H1231" t="s">
        <v>9061</v>
      </c>
      <c r="I1231" s="1" t="s">
        <v>9100</v>
      </c>
      <c r="J1231" s="1" t="s">
        <v>8949</v>
      </c>
      <c r="K1231" s="1" t="s">
        <v>10492</v>
      </c>
      <c r="L1231" s="1" t="s">
        <v>9076</v>
      </c>
      <c r="M1231" s="1">
        <v>62</v>
      </c>
      <c r="N1231" s="1" t="s">
        <v>9059</v>
      </c>
      <c r="O1231" s="1" t="s">
        <v>8989</v>
      </c>
      <c r="P1231" s="1" t="e">
        <v>#N/A</v>
      </c>
      <c r="Q1231" s="1" t="e">
        <v>#N/A</v>
      </c>
      <c r="R1231" s="1">
        <f t="shared" si="364"/>
        <v>2</v>
      </c>
      <c r="S1231" s="1" t="str">
        <f t="shared" si="365"/>
        <v>&lt;4</v>
      </c>
      <c r="T1231" s="1" t="s">
        <v>19213</v>
      </c>
      <c r="U1231" s="1" t="s">
        <v>7</v>
      </c>
      <c r="V1231" s="1" t="s">
        <v>93</v>
      </c>
      <c r="W1231" s="1"/>
    </row>
    <row r="1232" spans="1:23" x14ac:dyDescent="0.2">
      <c r="A1232" s="88" t="s">
        <v>20846</v>
      </c>
      <c r="B1232" s="1" t="e">
        <v>#N/A</v>
      </c>
      <c r="C1232" s="1" t="e">
        <v>#N/A</v>
      </c>
      <c r="D1232" s="1" t="s">
        <v>3381</v>
      </c>
      <c r="E1232" s="1" t="s">
        <v>3382</v>
      </c>
      <c r="F1232" s="1" t="s">
        <v>18502</v>
      </c>
      <c r="G1232" s="1" t="s">
        <v>9060</v>
      </c>
      <c r="H1232" t="s">
        <v>9061</v>
      </c>
      <c r="I1232" s="1" t="s">
        <v>9100</v>
      </c>
      <c r="J1232" s="1" t="s">
        <v>9725</v>
      </c>
      <c r="K1232" s="1" t="s">
        <v>20779</v>
      </c>
      <c r="L1232" s="1" t="s">
        <v>8987</v>
      </c>
      <c r="M1232" s="1">
        <v>300</v>
      </c>
      <c r="N1232" s="1" t="s">
        <v>8953</v>
      </c>
      <c r="O1232" s="1" t="s">
        <v>8954</v>
      </c>
      <c r="P1232" s="1" t="e">
        <v>#N/A</v>
      </c>
      <c r="Q1232" s="1" t="e">
        <v>#N/A</v>
      </c>
      <c r="R1232" s="1">
        <f t="shared" si="364"/>
        <v>4</v>
      </c>
      <c r="S1232" s="1" t="str">
        <f t="shared" si="365"/>
        <v>&lt;4</v>
      </c>
      <c r="T1232" s="1" t="s">
        <v>19214</v>
      </c>
      <c r="U1232" s="1" t="s">
        <v>7</v>
      </c>
      <c r="V1232" s="1" t="s">
        <v>15</v>
      </c>
      <c r="W1232" s="1"/>
    </row>
    <row r="1233" spans="1:23" x14ac:dyDescent="0.2">
      <c r="A1233" s="88" t="s">
        <v>16569</v>
      </c>
      <c r="B1233" s="1" t="e">
        <v>#N/A</v>
      </c>
      <c r="C1233" s="1" t="s">
        <v>13665</v>
      </c>
      <c r="D1233" s="1" t="s">
        <v>3383</v>
      </c>
      <c r="E1233" s="1" t="s">
        <v>3384</v>
      </c>
      <c r="F1233" s="1" t="s">
        <v>9213</v>
      </c>
      <c r="G1233" s="1" t="s">
        <v>9060</v>
      </c>
      <c r="H1233" t="s">
        <v>9009</v>
      </c>
      <c r="I1233" s="1" t="s">
        <v>9100</v>
      </c>
      <c r="J1233" s="1" t="s">
        <v>9101</v>
      </c>
      <c r="K1233" s="1" t="s">
        <v>9036</v>
      </c>
      <c r="L1233" s="1" t="s">
        <v>9464</v>
      </c>
      <c r="M1233" s="1">
        <v>128</v>
      </c>
      <c r="N1233" s="1" t="s">
        <v>8953</v>
      </c>
      <c r="O1233" s="1" t="s">
        <v>8989</v>
      </c>
      <c r="P1233" s="1" t="s">
        <v>8955</v>
      </c>
      <c r="Q1233" s="1" t="s">
        <v>8990</v>
      </c>
      <c r="R1233" s="1" t="s">
        <v>9060</v>
      </c>
      <c r="S1233" s="1" t="s">
        <v>8975</v>
      </c>
      <c r="T1233" s="1" t="s">
        <v>3385</v>
      </c>
      <c r="U1233" s="1" t="s">
        <v>4</v>
      </c>
      <c r="V1233" s="1" t="s">
        <v>3386</v>
      </c>
      <c r="W1233" s="1"/>
    </row>
    <row r="1234" spans="1:23" x14ac:dyDescent="0.2">
      <c r="A1234" s="88" t="s">
        <v>16570</v>
      </c>
      <c r="B1234" s="1" t="e">
        <v>#N/A</v>
      </c>
      <c r="C1234" s="1" t="s">
        <v>14666</v>
      </c>
      <c r="D1234" s="1" t="s">
        <v>3387</v>
      </c>
      <c r="E1234" s="1" t="s">
        <v>3388</v>
      </c>
      <c r="F1234" s="1" t="s">
        <v>9968</v>
      </c>
      <c r="G1234" s="1" t="s">
        <v>8957</v>
      </c>
      <c r="H1234" t="s">
        <v>8959</v>
      </c>
      <c r="I1234" s="1" t="s">
        <v>9092</v>
      </c>
      <c r="J1234" s="1" t="s">
        <v>8998</v>
      </c>
      <c r="K1234" s="1" t="s">
        <v>8972</v>
      </c>
      <c r="L1234" s="1" t="s">
        <v>8973</v>
      </c>
      <c r="M1234" s="1">
        <v>475</v>
      </c>
      <c r="N1234" s="1" t="s">
        <v>8953</v>
      </c>
      <c r="O1234" s="1" t="s">
        <v>8989</v>
      </c>
      <c r="P1234" s="1" t="s">
        <v>8955</v>
      </c>
      <c r="Q1234" s="1" t="s">
        <v>8956</v>
      </c>
      <c r="R1234" s="1" t="s">
        <v>8957</v>
      </c>
      <c r="S1234" s="1" t="s">
        <v>8958</v>
      </c>
      <c r="T1234" s="1" t="s">
        <v>3389</v>
      </c>
      <c r="U1234" s="1" t="s">
        <v>7</v>
      </c>
      <c r="V1234" s="1" t="s">
        <v>184</v>
      </c>
      <c r="W1234" s="1"/>
    </row>
    <row r="1235" spans="1:23" x14ac:dyDescent="0.2">
      <c r="A1235" s="88" t="s">
        <v>16571</v>
      </c>
      <c r="B1235" s="1" t="e">
        <v>#N/A</v>
      </c>
      <c r="C1235" s="1" t="e">
        <v>#N/A</v>
      </c>
      <c r="D1235" s="1" t="s">
        <v>3390</v>
      </c>
      <c r="E1235" s="1" t="s">
        <v>3391</v>
      </c>
      <c r="F1235" s="1" t="s">
        <v>9380</v>
      </c>
      <c r="G1235" s="1" t="s">
        <v>8957</v>
      </c>
      <c r="H1235" t="s">
        <v>9061</v>
      </c>
      <c r="I1235" s="1" t="s">
        <v>8948</v>
      </c>
      <c r="J1235" s="1" t="s">
        <v>8949</v>
      </c>
      <c r="K1235" s="1" t="s">
        <v>20785</v>
      </c>
      <c r="L1235" s="1" t="s">
        <v>9076</v>
      </c>
      <c r="M1235" s="1">
        <v>53</v>
      </c>
      <c r="N1235" s="1" t="s">
        <v>9059</v>
      </c>
      <c r="O1235" s="1" t="s">
        <v>8989</v>
      </c>
      <c r="P1235" s="1" t="e">
        <v>#N/A</v>
      </c>
      <c r="Q1235" s="1" t="e">
        <v>#N/A</v>
      </c>
      <c r="R1235" s="1">
        <f t="shared" ref="R1235:R1237" si="366">1+LEN(T1235)-LEN(SUBSTITUTE(T1235,",",))</f>
        <v>2</v>
      </c>
      <c r="S1235" s="1" t="str">
        <f t="shared" ref="S1235:S1237" si="367">IF(R1235&gt;4,IF(R1235&lt;8,"4-7",IF(R1235&gt;7,"&gt;7")),"&lt;4")</f>
        <v>&lt;4</v>
      </c>
      <c r="T1235" s="1" t="s">
        <v>19215</v>
      </c>
      <c r="U1235" s="1" t="s">
        <v>17</v>
      </c>
      <c r="V1235" s="1" t="s">
        <v>161</v>
      </c>
      <c r="W1235" s="1"/>
    </row>
    <row r="1236" spans="1:23" x14ac:dyDescent="0.2">
      <c r="A1236" s="89" t="s">
        <v>3392</v>
      </c>
      <c r="B1236" s="1" t="e">
        <v>#N/A</v>
      </c>
      <c r="C1236" s="1" t="e">
        <v>#N/A</v>
      </c>
      <c r="D1236" s="1" t="s">
        <v>3393</v>
      </c>
      <c r="E1236" s="1" t="s">
        <v>3394</v>
      </c>
      <c r="F1236" s="1" t="e">
        <v>#N/A</v>
      </c>
      <c r="G1236" s="1" t="e">
        <v>#N/A</v>
      </c>
      <c r="H1236" t="e">
        <v>#N/A</v>
      </c>
      <c r="I1236" s="1" t="e">
        <v>#N/A</v>
      </c>
      <c r="J1236" s="1" t="e">
        <v>#N/A</v>
      </c>
      <c r="K1236" s="1" t="e">
        <v>#N/A</v>
      </c>
      <c r="L1236" s="1" t="e">
        <v>#N/A</v>
      </c>
      <c r="M1236" s="1" t="e">
        <v>#N/A</v>
      </c>
      <c r="N1236" s="1" t="e">
        <v>#N/A</v>
      </c>
      <c r="O1236" s="1" t="e">
        <v>#N/A</v>
      </c>
      <c r="P1236" s="1" t="e">
        <v>#N/A</v>
      </c>
      <c r="Q1236" s="1" t="e">
        <v>#N/A</v>
      </c>
      <c r="R1236" s="1">
        <f t="shared" si="366"/>
        <v>3</v>
      </c>
      <c r="S1236" s="1" t="str">
        <f t="shared" si="367"/>
        <v>&lt;4</v>
      </c>
      <c r="T1236" s="1" t="s">
        <v>19216</v>
      </c>
      <c r="U1236" s="1" t="s">
        <v>7</v>
      </c>
      <c r="V1236" s="1" t="s">
        <v>2903</v>
      </c>
      <c r="W1236" s="1"/>
    </row>
    <row r="1237" spans="1:23" x14ac:dyDescent="0.2">
      <c r="A1237" s="88" t="s">
        <v>16572</v>
      </c>
      <c r="B1237" s="1" t="e">
        <v>#N/A</v>
      </c>
      <c r="C1237" s="1" t="e">
        <v>#N/A</v>
      </c>
      <c r="D1237" s="1" t="s">
        <v>3395</v>
      </c>
      <c r="E1237" s="1" t="s">
        <v>3396</v>
      </c>
      <c r="F1237" s="1" t="s">
        <v>9465</v>
      </c>
      <c r="G1237" s="1" t="s">
        <v>8957</v>
      </c>
      <c r="H1237" t="s">
        <v>8959</v>
      </c>
      <c r="I1237" s="1" t="s">
        <v>8948</v>
      </c>
      <c r="J1237" s="1" t="s">
        <v>12453</v>
      </c>
      <c r="K1237" s="1" t="s">
        <v>10525</v>
      </c>
      <c r="L1237" s="1" t="s">
        <v>8987</v>
      </c>
      <c r="M1237" s="1">
        <v>267</v>
      </c>
      <c r="N1237" s="1" t="s">
        <v>9059</v>
      </c>
      <c r="O1237" s="1" t="s">
        <v>8989</v>
      </c>
      <c r="P1237" s="1" t="e">
        <v>#N/A</v>
      </c>
      <c r="Q1237" s="1" t="e">
        <v>#N/A</v>
      </c>
      <c r="R1237" s="1">
        <f t="shared" si="366"/>
        <v>6</v>
      </c>
      <c r="S1237" s="1" t="str">
        <f t="shared" si="367"/>
        <v>4-7</v>
      </c>
      <c r="T1237" s="1" t="s">
        <v>19217</v>
      </c>
      <c r="U1237" s="1" t="s">
        <v>17</v>
      </c>
      <c r="V1237" s="1" t="s">
        <v>2988</v>
      </c>
      <c r="W1237" s="1"/>
    </row>
    <row r="1238" spans="1:23" x14ac:dyDescent="0.2">
      <c r="A1238" s="88" t="s">
        <v>16573</v>
      </c>
      <c r="B1238" s="1" t="e">
        <v>#N/A</v>
      </c>
      <c r="C1238" s="1" t="s">
        <v>15119</v>
      </c>
      <c r="D1238" s="1" t="s">
        <v>3397</v>
      </c>
      <c r="E1238" s="1" t="s">
        <v>3398</v>
      </c>
      <c r="F1238" s="1" t="s">
        <v>9010</v>
      </c>
      <c r="G1238" s="1" t="s">
        <v>8957</v>
      </c>
      <c r="H1238" t="s">
        <v>9183</v>
      </c>
      <c r="I1238" s="1" t="s">
        <v>15122</v>
      </c>
      <c r="J1238" s="1" t="s">
        <v>9269</v>
      </c>
      <c r="K1238" s="1" t="s">
        <v>15123</v>
      </c>
      <c r="L1238" s="1" t="s">
        <v>8987</v>
      </c>
      <c r="M1238" s="1">
        <v>3000</v>
      </c>
      <c r="N1238" s="1" t="s">
        <v>8953</v>
      </c>
      <c r="O1238" s="1" t="s">
        <v>8989</v>
      </c>
      <c r="P1238" s="1" t="s">
        <v>8955</v>
      </c>
      <c r="Q1238" s="1" t="s">
        <v>8956</v>
      </c>
      <c r="R1238" s="1" t="s">
        <v>8957</v>
      </c>
      <c r="S1238" s="1" t="s">
        <v>8975</v>
      </c>
      <c r="T1238" s="1" t="s">
        <v>3399</v>
      </c>
      <c r="U1238" s="1" t="s">
        <v>17</v>
      </c>
      <c r="V1238" s="1" t="s">
        <v>3400</v>
      </c>
      <c r="W1238" s="1"/>
    </row>
    <row r="1239" spans="1:23" x14ac:dyDescent="0.2">
      <c r="A1239" s="88" t="s">
        <v>16574</v>
      </c>
      <c r="B1239" s="1" t="e">
        <v>#N/A</v>
      </c>
      <c r="C1239" s="1" t="e">
        <v>#N/A</v>
      </c>
      <c r="D1239" s="1" t="s">
        <v>3401</v>
      </c>
      <c r="E1239" s="1" t="s">
        <v>3402</v>
      </c>
      <c r="F1239" s="1" t="s">
        <v>20847</v>
      </c>
      <c r="G1239" s="1" t="s">
        <v>9060</v>
      </c>
      <c r="H1239" t="s">
        <v>8959</v>
      </c>
      <c r="I1239" s="1" t="s">
        <v>8948</v>
      </c>
      <c r="J1239" s="1" t="s">
        <v>8949</v>
      </c>
      <c r="K1239" s="1" t="s">
        <v>20779</v>
      </c>
      <c r="L1239" s="1" t="s">
        <v>8951</v>
      </c>
      <c r="M1239" s="1">
        <f>104+12395+1264</f>
        <v>13763</v>
      </c>
      <c r="N1239" s="1" t="s">
        <v>8953</v>
      </c>
      <c r="O1239" s="1" t="s">
        <v>8954</v>
      </c>
      <c r="P1239" s="1" t="e">
        <v>#N/A</v>
      </c>
      <c r="Q1239" s="1" t="e">
        <v>#N/A</v>
      </c>
      <c r="R1239" s="1">
        <f>1+LEN(T1239)-LEN(SUBSTITUTE(T1239,",",))</f>
        <v>9</v>
      </c>
      <c r="S1239" s="1" t="str">
        <f>IF(R1239&gt;4,IF(R1239&lt;8,"4-7",IF(R1239&gt;7,"&gt;7")),"&lt;4")</f>
        <v>&gt;7</v>
      </c>
      <c r="T1239" s="1" t="s">
        <v>19218</v>
      </c>
      <c r="U1239" s="1" t="s">
        <v>17</v>
      </c>
      <c r="V1239" s="1" t="s">
        <v>580</v>
      </c>
      <c r="W1239" s="1"/>
    </row>
    <row r="1240" spans="1:23" x14ac:dyDescent="0.2">
      <c r="A1240" s="88" t="s">
        <v>16575</v>
      </c>
      <c r="B1240" s="1" t="e">
        <v>#N/A</v>
      </c>
      <c r="C1240" s="1" t="s">
        <v>9526</v>
      </c>
      <c r="D1240" s="1" t="s">
        <v>3403</v>
      </c>
      <c r="E1240" s="1" t="s">
        <v>3404</v>
      </c>
      <c r="F1240" s="1" t="s">
        <v>9465</v>
      </c>
      <c r="G1240" s="1" t="s">
        <v>8957</v>
      </c>
      <c r="H1240" t="s">
        <v>8959</v>
      </c>
      <c r="I1240" s="1" t="s">
        <v>9035</v>
      </c>
      <c r="J1240" s="1" t="s">
        <v>8998</v>
      </c>
      <c r="K1240" s="1" t="s">
        <v>9112</v>
      </c>
      <c r="L1240" s="1" t="s">
        <v>8987</v>
      </c>
      <c r="M1240" s="1" t="s">
        <v>9479</v>
      </c>
      <c r="N1240" s="1" t="s">
        <v>8953</v>
      </c>
      <c r="O1240" s="1" t="s">
        <v>8989</v>
      </c>
      <c r="P1240" s="1" t="s">
        <v>8955</v>
      </c>
      <c r="Q1240" s="1" t="s">
        <v>8956</v>
      </c>
      <c r="R1240" s="1" t="s">
        <v>8957</v>
      </c>
      <c r="S1240" s="1" t="s">
        <v>8958</v>
      </c>
      <c r="T1240" s="1" t="s">
        <v>3405</v>
      </c>
      <c r="U1240" s="1" t="s">
        <v>17</v>
      </c>
      <c r="V1240" s="1" t="s">
        <v>126</v>
      </c>
      <c r="W1240" s="1"/>
    </row>
    <row r="1241" spans="1:23" x14ac:dyDescent="0.2">
      <c r="A1241" s="92" t="s">
        <v>16576</v>
      </c>
      <c r="B1241" s="1" t="e">
        <v>#N/A</v>
      </c>
      <c r="C1241" s="1" t="e">
        <v>#N/A</v>
      </c>
      <c r="D1241" s="1" t="s">
        <v>3406</v>
      </c>
      <c r="E1241" s="1" t="s">
        <v>3407</v>
      </c>
      <c r="F1241" s="1" t="e">
        <v>#N/A</v>
      </c>
      <c r="G1241" s="1" t="e">
        <v>#N/A</v>
      </c>
      <c r="H1241" t="e">
        <v>#N/A</v>
      </c>
      <c r="I1241" s="1" t="e">
        <v>#N/A</v>
      </c>
      <c r="J1241" s="1" t="e">
        <v>#N/A</v>
      </c>
      <c r="K1241" s="1" t="e">
        <v>#N/A</v>
      </c>
      <c r="L1241" s="1" t="e">
        <v>#N/A</v>
      </c>
      <c r="M1241" s="1" t="e">
        <v>#N/A</v>
      </c>
      <c r="N1241" s="1" t="e">
        <v>#N/A</v>
      </c>
      <c r="O1241" s="1" t="e">
        <v>#N/A</v>
      </c>
      <c r="P1241" s="1" t="e">
        <v>#N/A</v>
      </c>
      <c r="Q1241" s="1" t="e">
        <v>#N/A</v>
      </c>
      <c r="R1241" s="1">
        <f>1+LEN(T1241)-LEN(SUBSTITUTE(T1241,",",))</f>
        <v>3</v>
      </c>
      <c r="S1241" s="1" t="str">
        <f>IF(R1241&gt;4,IF(R1241&lt;8,"4-7",IF(R1241&gt;7,"&gt;7")),"&lt;4")</f>
        <v>&lt;4</v>
      </c>
      <c r="T1241" s="1" t="s">
        <v>19219</v>
      </c>
      <c r="U1241" s="1" t="s">
        <v>7</v>
      </c>
      <c r="V1241" s="1" t="s">
        <v>1328</v>
      </c>
      <c r="W1241" s="1"/>
    </row>
    <row r="1242" spans="1:23" x14ac:dyDescent="0.2">
      <c r="A1242" s="88" t="s">
        <v>16577</v>
      </c>
      <c r="B1242" s="1" t="e">
        <v>#N/A</v>
      </c>
      <c r="C1242" s="1" t="s">
        <v>12070</v>
      </c>
      <c r="D1242" s="1" t="s">
        <v>3408</v>
      </c>
      <c r="E1242" s="1" t="s">
        <v>3409</v>
      </c>
      <c r="F1242" s="1" t="s">
        <v>9310</v>
      </c>
      <c r="G1242" s="1" t="s">
        <v>8957</v>
      </c>
      <c r="H1242" t="s">
        <v>9183</v>
      </c>
      <c r="I1242" s="1" t="s">
        <v>9100</v>
      </c>
      <c r="J1242" s="1" t="s">
        <v>8949</v>
      </c>
      <c r="K1242" s="1" t="s">
        <v>21205</v>
      </c>
      <c r="L1242" s="1" t="s">
        <v>9133</v>
      </c>
      <c r="M1242" s="1">
        <v>170</v>
      </c>
      <c r="N1242" s="1" t="s">
        <v>8953</v>
      </c>
      <c r="O1242" s="1" t="s">
        <v>8989</v>
      </c>
      <c r="P1242" s="1" t="s">
        <v>8955</v>
      </c>
      <c r="Q1242" s="1" t="s">
        <v>8956</v>
      </c>
      <c r="R1242" s="1" t="s">
        <v>8957</v>
      </c>
      <c r="S1242" s="1" t="s">
        <v>8958</v>
      </c>
      <c r="T1242" s="1" t="s">
        <v>3410</v>
      </c>
      <c r="U1242" s="1" t="s">
        <v>17</v>
      </c>
      <c r="V1242" s="1" t="s">
        <v>2061</v>
      </c>
      <c r="W1242" s="1"/>
    </row>
    <row r="1243" spans="1:23" x14ac:dyDescent="0.2">
      <c r="A1243" s="88" t="s">
        <v>16578</v>
      </c>
      <c r="B1243" s="1" t="e">
        <v>#N/A</v>
      </c>
      <c r="C1243" s="1" t="s">
        <v>9647</v>
      </c>
      <c r="D1243" s="1" t="s">
        <v>3411</v>
      </c>
      <c r="E1243" s="1" t="s">
        <v>3412</v>
      </c>
      <c r="F1243" s="1" t="s">
        <v>9650</v>
      </c>
      <c r="G1243" s="1" t="s">
        <v>8957</v>
      </c>
      <c r="H1243" t="s">
        <v>8959</v>
      </c>
      <c r="I1243" s="1" t="s">
        <v>9100</v>
      </c>
      <c r="J1243" s="1" t="s">
        <v>8949</v>
      </c>
      <c r="K1243" s="1" t="s">
        <v>9007</v>
      </c>
      <c r="L1243" s="1" t="s">
        <v>9157</v>
      </c>
      <c r="M1243" s="1">
        <v>210</v>
      </c>
      <c r="N1243" s="1" t="s">
        <v>8953</v>
      </c>
      <c r="O1243" s="1" t="s">
        <v>8989</v>
      </c>
      <c r="P1243" s="1" t="s">
        <v>8955</v>
      </c>
      <c r="Q1243" s="1" t="s">
        <v>8956</v>
      </c>
      <c r="R1243" s="1" t="s">
        <v>8957</v>
      </c>
      <c r="S1243" s="1" t="s">
        <v>8958</v>
      </c>
      <c r="T1243" s="1" t="s">
        <v>3413</v>
      </c>
      <c r="U1243" s="1" t="s">
        <v>17</v>
      </c>
      <c r="V1243" s="1" t="s">
        <v>200</v>
      </c>
      <c r="W1243" s="1"/>
    </row>
    <row r="1244" spans="1:23" x14ac:dyDescent="0.2">
      <c r="A1244" s="88" t="s">
        <v>16579</v>
      </c>
      <c r="B1244" s="1" t="e">
        <v>#N/A</v>
      </c>
      <c r="C1244" s="1" t="e">
        <v>#N/A</v>
      </c>
      <c r="D1244" s="1" t="s">
        <v>3414</v>
      </c>
      <c r="E1244" s="1" t="s">
        <v>3415</v>
      </c>
      <c r="F1244" s="1" t="s">
        <v>9310</v>
      </c>
      <c r="G1244" s="1" t="s">
        <v>8959</v>
      </c>
      <c r="H1244" t="s">
        <v>9061</v>
      </c>
      <c r="I1244" s="1" t="s">
        <v>9154</v>
      </c>
      <c r="J1244" s="1" t="s">
        <v>8998</v>
      </c>
      <c r="K1244" s="1" t="s">
        <v>10492</v>
      </c>
      <c r="L1244" s="1" t="s">
        <v>8973</v>
      </c>
      <c r="M1244" s="1">
        <v>100</v>
      </c>
      <c r="N1244" s="1" t="s">
        <v>9059</v>
      </c>
      <c r="O1244" s="1" t="s">
        <v>8989</v>
      </c>
      <c r="P1244" s="1" t="e">
        <v>#N/A</v>
      </c>
      <c r="Q1244" s="1" t="e">
        <v>#N/A</v>
      </c>
      <c r="R1244" s="1">
        <f>1+LEN(T1244)-LEN(SUBSTITUTE(T1244,",",))</f>
        <v>9</v>
      </c>
      <c r="S1244" s="1" t="str">
        <f>IF(R1244&gt;4,IF(R1244&lt;8,"4-7",IF(R1244&gt;7,"&gt;7")),"&lt;4")</f>
        <v>&gt;7</v>
      </c>
      <c r="T1244" s="1" t="s">
        <v>19220</v>
      </c>
      <c r="U1244" s="1" t="s">
        <v>7</v>
      </c>
      <c r="V1244" s="1" t="s">
        <v>93</v>
      </c>
      <c r="W1244" s="1"/>
    </row>
    <row r="1245" spans="1:23" x14ac:dyDescent="0.2">
      <c r="A1245" s="88" t="s">
        <v>16580</v>
      </c>
      <c r="B1245" s="1" t="e">
        <v>#N/A</v>
      </c>
      <c r="C1245" s="1" t="s">
        <v>11003</v>
      </c>
      <c r="D1245" s="1" t="s">
        <v>3416</v>
      </c>
      <c r="E1245" s="1" t="s">
        <v>3417</v>
      </c>
      <c r="F1245" s="1" t="s">
        <v>9213</v>
      </c>
      <c r="G1245" s="1" t="s">
        <v>8957</v>
      </c>
      <c r="H1245" t="s">
        <v>9183</v>
      </c>
      <c r="I1245" s="1" t="s">
        <v>9154</v>
      </c>
      <c r="J1245" s="1" t="s">
        <v>8971</v>
      </c>
      <c r="K1245" s="1" t="s">
        <v>11006</v>
      </c>
      <c r="L1245" s="1" t="s">
        <v>8951</v>
      </c>
      <c r="M1245" s="1">
        <v>12325</v>
      </c>
      <c r="N1245" s="1" t="s">
        <v>8953</v>
      </c>
      <c r="O1245" s="1" t="s">
        <v>8954</v>
      </c>
      <c r="P1245" s="1" t="s">
        <v>8955</v>
      </c>
      <c r="Q1245" s="1" t="s">
        <v>8956</v>
      </c>
      <c r="R1245" s="1" t="s">
        <v>8957</v>
      </c>
      <c r="S1245" s="1" t="s">
        <v>8975</v>
      </c>
      <c r="T1245" s="1" t="s">
        <v>3418</v>
      </c>
      <c r="U1245" s="1" t="s">
        <v>17</v>
      </c>
      <c r="V1245" s="1" t="s">
        <v>5</v>
      </c>
      <c r="W1245" s="1"/>
    </row>
    <row r="1246" spans="1:23" x14ac:dyDescent="0.2">
      <c r="A1246" s="88" t="s">
        <v>16581</v>
      </c>
      <c r="B1246" s="1" t="e">
        <v>#N/A</v>
      </c>
      <c r="C1246" s="1" t="s">
        <v>12171</v>
      </c>
      <c r="D1246" s="1" t="s">
        <v>3419</v>
      </c>
      <c r="E1246" s="1" t="s">
        <v>3420</v>
      </c>
      <c r="F1246" s="1" t="s">
        <v>9213</v>
      </c>
      <c r="G1246" s="1" t="s">
        <v>8957</v>
      </c>
      <c r="H1246" t="s">
        <v>9183</v>
      </c>
      <c r="I1246" s="1" t="s">
        <v>8948</v>
      </c>
      <c r="J1246" s="1" t="s">
        <v>8949</v>
      </c>
      <c r="K1246" s="1" t="s">
        <v>9036</v>
      </c>
      <c r="L1246" s="1" t="s">
        <v>8951</v>
      </c>
      <c r="M1246" s="1">
        <v>65</v>
      </c>
      <c r="N1246" s="1" t="s">
        <v>9059</v>
      </c>
      <c r="O1246" s="1" t="s">
        <v>8989</v>
      </c>
      <c r="P1246" s="1" t="s">
        <v>8955</v>
      </c>
      <c r="Q1246" s="1" t="s">
        <v>8956</v>
      </c>
      <c r="R1246" s="1" t="s">
        <v>8957</v>
      </c>
      <c r="S1246" s="1" t="s">
        <v>8975</v>
      </c>
      <c r="T1246" s="1" t="s">
        <v>3421</v>
      </c>
      <c r="U1246" s="1" t="s">
        <v>11</v>
      </c>
      <c r="V1246" s="1" t="s">
        <v>24</v>
      </c>
      <c r="W1246" s="1"/>
    </row>
    <row r="1247" spans="1:23" x14ac:dyDescent="0.2">
      <c r="A1247" s="88" t="s">
        <v>16582</v>
      </c>
      <c r="B1247" s="1" t="e">
        <v>#N/A</v>
      </c>
      <c r="C1247" s="1" t="e">
        <v>#N/A</v>
      </c>
      <c r="D1247" s="1" t="s">
        <v>3422</v>
      </c>
      <c r="E1247" s="1" t="s">
        <v>3423</v>
      </c>
      <c r="F1247" s="1" t="s">
        <v>9213</v>
      </c>
      <c r="G1247" s="1" t="s">
        <v>8957</v>
      </c>
      <c r="H1247" t="s">
        <v>8959</v>
      </c>
      <c r="I1247" s="1" t="s">
        <v>9154</v>
      </c>
      <c r="J1247" s="1" t="s">
        <v>8949</v>
      </c>
      <c r="K1247" s="1" t="s">
        <v>10492</v>
      </c>
      <c r="L1247" s="1" t="s">
        <v>9076</v>
      </c>
      <c r="M1247" s="1">
        <v>120</v>
      </c>
      <c r="N1247" s="1" t="s">
        <v>8953</v>
      </c>
      <c r="O1247" s="1" t="s">
        <v>8989</v>
      </c>
      <c r="P1247" s="1" t="e">
        <v>#N/A</v>
      </c>
      <c r="Q1247" s="1" t="e">
        <v>#N/A</v>
      </c>
      <c r="R1247" s="1">
        <f t="shared" ref="R1247:R1248" si="368">1+LEN(T1247)-LEN(SUBSTITUTE(T1247,",",))</f>
        <v>6</v>
      </c>
      <c r="S1247" s="1" t="str">
        <f t="shared" ref="S1247:S1248" si="369">IF(R1247&gt;4,IF(R1247&lt;8,"4-7",IF(R1247&gt;7,"&gt;7")),"&lt;4")</f>
        <v>4-7</v>
      </c>
      <c r="T1247" s="1" t="s">
        <v>19221</v>
      </c>
      <c r="U1247" s="1" t="s">
        <v>17</v>
      </c>
      <c r="V1247" s="1" t="s">
        <v>161</v>
      </c>
      <c r="W1247" s="1"/>
    </row>
    <row r="1248" spans="1:23" x14ac:dyDescent="0.2">
      <c r="A1248" s="88" t="s">
        <v>16583</v>
      </c>
      <c r="B1248" s="1" t="e">
        <v>#N/A</v>
      </c>
      <c r="C1248" s="1" t="e">
        <v>#N/A</v>
      </c>
      <c r="D1248" s="1" t="s">
        <v>3424</v>
      </c>
      <c r="E1248" s="1" t="s">
        <v>3425</v>
      </c>
      <c r="F1248" s="1" t="s">
        <v>18502</v>
      </c>
      <c r="G1248" s="1" t="s">
        <v>8957</v>
      </c>
      <c r="H1248" t="s">
        <v>9061</v>
      </c>
      <c r="I1248" s="1" t="s">
        <v>9075</v>
      </c>
      <c r="J1248" s="1" t="s">
        <v>8998</v>
      </c>
      <c r="K1248" s="1" t="s">
        <v>10492</v>
      </c>
      <c r="L1248" s="1" t="s">
        <v>8973</v>
      </c>
      <c r="M1248" s="1">
        <v>95000</v>
      </c>
      <c r="N1248" s="1" t="s">
        <v>8953</v>
      </c>
      <c r="O1248" s="1" t="s">
        <v>8989</v>
      </c>
      <c r="P1248" s="1" t="e">
        <v>#N/A</v>
      </c>
      <c r="Q1248" s="1" t="e">
        <v>#N/A</v>
      </c>
      <c r="R1248" s="1">
        <f t="shared" si="368"/>
        <v>6</v>
      </c>
      <c r="S1248" s="1" t="str">
        <f t="shared" si="369"/>
        <v>4-7</v>
      </c>
      <c r="T1248" s="1" t="s">
        <v>19222</v>
      </c>
      <c r="U1248" s="1" t="s">
        <v>17</v>
      </c>
      <c r="V1248" s="1" t="s">
        <v>3426</v>
      </c>
      <c r="W1248" s="1"/>
    </row>
    <row r="1249" spans="1:23" x14ac:dyDescent="0.2">
      <c r="A1249" s="88" t="s">
        <v>16584</v>
      </c>
      <c r="B1249" s="1" t="e">
        <v>#N/A</v>
      </c>
      <c r="C1249" s="1" t="s">
        <v>10709</v>
      </c>
      <c r="D1249" s="1" t="s">
        <v>3427</v>
      </c>
      <c r="E1249" s="1" t="s">
        <v>3428</v>
      </c>
      <c r="F1249" s="1" t="s">
        <v>9213</v>
      </c>
      <c r="G1249" s="1" t="s">
        <v>8957</v>
      </c>
      <c r="H1249" t="s">
        <v>8959</v>
      </c>
      <c r="I1249" s="1" t="s">
        <v>9035</v>
      </c>
      <c r="J1249" s="1" t="s">
        <v>8998</v>
      </c>
      <c r="K1249" s="1" t="s">
        <v>9036</v>
      </c>
      <c r="L1249" s="1" t="s">
        <v>8987</v>
      </c>
      <c r="M1249" s="1">
        <v>1906</v>
      </c>
      <c r="N1249" s="1" t="s">
        <v>8953</v>
      </c>
      <c r="O1249" s="1" t="s">
        <v>8954</v>
      </c>
      <c r="P1249" s="1" t="s">
        <v>8955</v>
      </c>
      <c r="Q1249" s="1" t="s">
        <v>8990</v>
      </c>
      <c r="R1249" s="1" t="s">
        <v>8957</v>
      </c>
      <c r="S1249" s="1" t="s">
        <v>8958</v>
      </c>
      <c r="T1249" s="1" t="s">
        <v>3429</v>
      </c>
      <c r="U1249" s="1" t="s">
        <v>11</v>
      </c>
      <c r="V1249" s="1" t="s">
        <v>1017</v>
      </c>
      <c r="W1249" s="1"/>
    </row>
    <row r="1250" spans="1:23" x14ac:dyDescent="0.2">
      <c r="A1250" s="88" t="s">
        <v>16585</v>
      </c>
      <c r="B1250" s="1" t="e">
        <v>#N/A</v>
      </c>
      <c r="C1250" s="1" t="s">
        <v>11521</v>
      </c>
      <c r="D1250" s="1" t="s">
        <v>3430</v>
      </c>
      <c r="E1250" s="1" t="s">
        <v>3431</v>
      </c>
      <c r="F1250" s="1" t="s">
        <v>9213</v>
      </c>
      <c r="G1250" s="1" t="s">
        <v>8957</v>
      </c>
      <c r="H1250" t="s">
        <v>9183</v>
      </c>
      <c r="I1250" s="1" t="s">
        <v>9252</v>
      </c>
      <c r="J1250" s="1" t="s">
        <v>9253</v>
      </c>
      <c r="K1250" s="1" t="s">
        <v>21364</v>
      </c>
      <c r="L1250" s="1" t="s">
        <v>8951</v>
      </c>
      <c r="M1250" s="1">
        <v>632</v>
      </c>
      <c r="N1250" s="1" t="s">
        <v>8953</v>
      </c>
      <c r="O1250" s="1" t="s">
        <v>8989</v>
      </c>
      <c r="P1250" s="1" t="s">
        <v>8955</v>
      </c>
      <c r="Q1250" s="1" t="s">
        <v>8956</v>
      </c>
      <c r="R1250" s="1" t="s">
        <v>8957</v>
      </c>
      <c r="S1250" s="1" t="s">
        <v>8975</v>
      </c>
      <c r="T1250" s="1" t="s">
        <v>3432</v>
      </c>
      <c r="U1250" s="1" t="s">
        <v>11</v>
      </c>
      <c r="V1250" s="1" t="s">
        <v>110</v>
      </c>
      <c r="W1250" s="1"/>
    </row>
    <row r="1251" spans="1:23" x14ac:dyDescent="0.2">
      <c r="A1251" s="94" t="s">
        <v>16586</v>
      </c>
      <c r="B1251" s="1" t="e">
        <v>#N/A</v>
      </c>
      <c r="C1251" s="1" t="e">
        <v>#N/A</v>
      </c>
      <c r="D1251" s="1" t="s">
        <v>3433</v>
      </c>
      <c r="E1251" s="1" t="s">
        <v>3434</v>
      </c>
      <c r="F1251" s="1" t="s">
        <v>18502</v>
      </c>
      <c r="G1251" s="1" t="e">
        <v>#N/A</v>
      </c>
      <c r="H1251" t="s">
        <v>8959</v>
      </c>
      <c r="I1251" s="1" t="s">
        <v>9075</v>
      </c>
      <c r="J1251" s="1" t="s">
        <v>8998</v>
      </c>
      <c r="K1251" s="1" t="s">
        <v>10492</v>
      </c>
      <c r="L1251" s="1" t="s">
        <v>8973</v>
      </c>
      <c r="M1251" s="1">
        <v>10</v>
      </c>
      <c r="N1251" s="1" t="e">
        <v>#N/A</v>
      </c>
      <c r="O1251" s="1" t="e">
        <v>#N/A</v>
      </c>
      <c r="P1251" s="1" t="e">
        <v>#N/A</v>
      </c>
      <c r="Q1251" s="1" t="e">
        <v>#N/A</v>
      </c>
      <c r="R1251" s="1">
        <f>1+LEN(T1251)-LEN(SUBSTITUTE(T1251,",",))</f>
        <v>5</v>
      </c>
      <c r="S1251" s="1" t="str">
        <f>IF(R1251&gt;4,IF(R1251&lt;8,"4-7",IF(R1251&gt;7,"&gt;7")),"&lt;4")</f>
        <v>4-7</v>
      </c>
      <c r="T1251" s="1" t="s">
        <v>19223</v>
      </c>
      <c r="U1251" s="1" t="s">
        <v>17</v>
      </c>
      <c r="V1251" s="1" t="s">
        <v>378</v>
      </c>
      <c r="W1251" s="1"/>
    </row>
    <row r="1252" spans="1:23" x14ac:dyDescent="0.2">
      <c r="A1252" s="88" t="s">
        <v>16587</v>
      </c>
      <c r="B1252" s="1" t="e">
        <v>#N/A</v>
      </c>
      <c r="C1252" s="1" t="s">
        <v>13419</v>
      </c>
      <c r="D1252" s="1" t="s">
        <v>3435</v>
      </c>
      <c r="E1252" s="1" t="s">
        <v>3436</v>
      </c>
      <c r="F1252" s="1" t="s">
        <v>9213</v>
      </c>
      <c r="G1252" s="1" t="s">
        <v>8957</v>
      </c>
      <c r="H1252" t="s">
        <v>8959</v>
      </c>
      <c r="I1252" s="1" t="s">
        <v>13422</v>
      </c>
      <c r="J1252" s="1" t="s">
        <v>9155</v>
      </c>
      <c r="K1252" s="1" t="s">
        <v>9036</v>
      </c>
      <c r="L1252" s="1" t="s">
        <v>8973</v>
      </c>
      <c r="M1252" s="1">
        <v>36000</v>
      </c>
      <c r="N1252" s="1" t="s">
        <v>8953</v>
      </c>
      <c r="O1252" s="1" t="s">
        <v>8954</v>
      </c>
      <c r="P1252" s="1" t="s">
        <v>8955</v>
      </c>
      <c r="Q1252" s="1" t="s">
        <v>8956</v>
      </c>
      <c r="R1252" s="1" t="s">
        <v>8957</v>
      </c>
      <c r="S1252" s="1" t="s">
        <v>9103</v>
      </c>
      <c r="T1252" s="1" t="s">
        <v>3437</v>
      </c>
      <c r="U1252" s="1" t="s">
        <v>4</v>
      </c>
      <c r="V1252" s="1" t="s">
        <v>46</v>
      </c>
      <c r="W1252" s="1"/>
    </row>
    <row r="1253" spans="1:23" x14ac:dyDescent="0.2">
      <c r="A1253" s="89" t="s">
        <v>3438</v>
      </c>
      <c r="B1253" s="1" t="e">
        <v>#N/A</v>
      </c>
      <c r="C1253" s="1" t="s">
        <v>11864</v>
      </c>
      <c r="D1253" s="1" t="s">
        <v>3439</v>
      </c>
      <c r="E1253" s="1" t="s">
        <v>3440</v>
      </c>
      <c r="F1253" s="1" t="s">
        <v>9317</v>
      </c>
      <c r="G1253" s="1" t="s">
        <v>8957</v>
      </c>
      <c r="H1253" t="s">
        <v>9061</v>
      </c>
      <c r="I1253" s="1" t="s">
        <v>9100</v>
      </c>
      <c r="J1253" s="1" t="s">
        <v>8998</v>
      </c>
      <c r="K1253" s="1" t="s">
        <v>9036</v>
      </c>
      <c r="L1253" s="1" t="s">
        <v>8951</v>
      </c>
      <c r="M1253" s="1">
        <v>3756</v>
      </c>
      <c r="N1253" s="1" t="s">
        <v>8953</v>
      </c>
      <c r="O1253" s="1" t="s">
        <v>8989</v>
      </c>
      <c r="P1253" s="1" t="s">
        <v>8955</v>
      </c>
      <c r="Q1253" s="1" t="s">
        <v>8956</v>
      </c>
      <c r="R1253" s="1" t="s">
        <v>8957</v>
      </c>
      <c r="S1253" s="1" t="s">
        <v>9103</v>
      </c>
      <c r="T1253" s="1" t="s">
        <v>3441</v>
      </c>
      <c r="U1253" s="1" t="s">
        <v>11</v>
      </c>
      <c r="V1253" s="1" t="s">
        <v>713</v>
      </c>
      <c r="W1253" s="1"/>
    </row>
    <row r="1254" spans="1:23" x14ac:dyDescent="0.2">
      <c r="A1254" s="88" t="s">
        <v>16588</v>
      </c>
      <c r="B1254" s="1" t="e">
        <v>#N/A</v>
      </c>
      <c r="C1254" s="1" t="e">
        <v>#N/A</v>
      </c>
      <c r="D1254" s="1" t="s">
        <v>3442</v>
      </c>
      <c r="E1254" s="1" t="s">
        <v>3443</v>
      </c>
      <c r="F1254" s="1" t="e">
        <v>#N/A</v>
      </c>
      <c r="G1254" s="1" t="e">
        <v>#N/A</v>
      </c>
      <c r="H1254" t="e">
        <v>#N/A</v>
      </c>
      <c r="I1254" s="1" t="e">
        <v>#N/A</v>
      </c>
      <c r="J1254" s="1" t="e">
        <v>#N/A</v>
      </c>
      <c r="K1254" s="1" t="e">
        <v>#N/A</v>
      </c>
      <c r="L1254" s="1" t="e">
        <v>#N/A</v>
      </c>
      <c r="M1254" s="1" t="e">
        <v>#N/A</v>
      </c>
      <c r="N1254" s="1" t="e">
        <v>#N/A</v>
      </c>
      <c r="O1254" s="1" t="e">
        <v>#N/A</v>
      </c>
      <c r="P1254" s="1" t="e">
        <v>#N/A</v>
      </c>
      <c r="Q1254" s="1" t="e">
        <v>#N/A</v>
      </c>
      <c r="R1254" s="1">
        <f t="shared" ref="R1254:R1256" si="370">1+LEN(T1254)-LEN(SUBSTITUTE(T1254,",",))</f>
        <v>4</v>
      </c>
      <c r="S1254" s="1" t="str">
        <f t="shared" ref="S1254:S1256" si="371">IF(R1254&gt;4,IF(R1254&lt;8,"4-7",IF(R1254&gt;7,"&gt;7")),"&lt;4")</f>
        <v>&lt;4</v>
      </c>
      <c r="T1254" s="1" t="s">
        <v>19224</v>
      </c>
      <c r="U1254" s="1" t="s">
        <v>252</v>
      </c>
      <c r="V1254" s="1" t="s">
        <v>184</v>
      </c>
      <c r="W1254" s="1"/>
    </row>
    <row r="1255" spans="1:23" x14ac:dyDescent="0.2">
      <c r="A1255" s="88" t="s">
        <v>16589</v>
      </c>
      <c r="B1255" s="1" t="e">
        <v>#N/A</v>
      </c>
      <c r="C1255" s="1" t="e">
        <v>#N/A</v>
      </c>
      <c r="D1255" s="1" t="s">
        <v>3444</v>
      </c>
      <c r="E1255" s="1" t="s">
        <v>3445</v>
      </c>
      <c r="F1255" s="1" t="s">
        <v>18502</v>
      </c>
      <c r="G1255" s="1" t="s">
        <v>8959</v>
      </c>
      <c r="H1255" t="s">
        <v>8959</v>
      </c>
      <c r="I1255" s="1" t="s">
        <v>20714</v>
      </c>
      <c r="J1255" s="1" t="s">
        <v>9050</v>
      </c>
      <c r="K1255" s="1" t="s">
        <v>21365</v>
      </c>
      <c r="L1255" s="1" t="s">
        <v>8973</v>
      </c>
      <c r="M1255" s="1">
        <v>501</v>
      </c>
      <c r="N1255" s="1" t="s">
        <v>8953</v>
      </c>
      <c r="O1255" s="1" t="s">
        <v>8954</v>
      </c>
      <c r="P1255" s="1" t="e">
        <v>#N/A</v>
      </c>
      <c r="Q1255" s="1" t="e">
        <v>#N/A</v>
      </c>
      <c r="R1255" s="1">
        <f t="shared" si="370"/>
        <v>3</v>
      </c>
      <c r="S1255" s="1" t="str">
        <f t="shared" si="371"/>
        <v>&lt;4</v>
      </c>
      <c r="T1255" s="1" t="s">
        <v>19225</v>
      </c>
      <c r="U1255" s="1" t="s">
        <v>7</v>
      </c>
      <c r="V1255" s="1" t="s">
        <v>64</v>
      </c>
      <c r="W1255" s="1"/>
    </row>
    <row r="1256" spans="1:23" x14ac:dyDescent="0.2">
      <c r="A1256" s="88" t="s">
        <v>16590</v>
      </c>
      <c r="B1256" s="1" t="e">
        <v>#N/A</v>
      </c>
      <c r="C1256" s="1" t="e">
        <v>#N/A</v>
      </c>
      <c r="D1256" s="1" t="s">
        <v>3446</v>
      </c>
      <c r="E1256" s="1" t="s">
        <v>3447</v>
      </c>
      <c r="F1256" s="1" t="s">
        <v>18502</v>
      </c>
      <c r="G1256" s="1" t="s">
        <v>8959</v>
      </c>
      <c r="H1256" t="s">
        <v>8959</v>
      </c>
      <c r="I1256" s="1" t="s">
        <v>8984</v>
      </c>
      <c r="J1256" s="1" t="s">
        <v>20848</v>
      </c>
      <c r="K1256" s="1" t="s">
        <v>21228</v>
      </c>
      <c r="L1256" s="1" t="s">
        <v>9133</v>
      </c>
      <c r="M1256" s="1">
        <v>800</v>
      </c>
      <c r="N1256" s="1" t="s">
        <v>8953</v>
      </c>
      <c r="O1256" s="1" t="s">
        <v>8989</v>
      </c>
      <c r="P1256" s="1" t="e">
        <v>#N/A</v>
      </c>
      <c r="Q1256" s="1" t="e">
        <v>#N/A</v>
      </c>
      <c r="R1256" s="1">
        <f t="shared" si="370"/>
        <v>10</v>
      </c>
      <c r="S1256" s="1" t="str">
        <f t="shared" si="371"/>
        <v>&gt;7</v>
      </c>
      <c r="T1256" s="1" t="s">
        <v>19226</v>
      </c>
      <c r="U1256" s="1" t="s">
        <v>7</v>
      </c>
      <c r="V1256" s="1" t="s">
        <v>378</v>
      </c>
      <c r="W1256" s="1"/>
    </row>
    <row r="1257" spans="1:23" x14ac:dyDescent="0.2">
      <c r="A1257" s="88" t="s">
        <v>16591</v>
      </c>
      <c r="B1257" s="1" t="e">
        <v>#N/A</v>
      </c>
      <c r="C1257" s="1" t="s">
        <v>10282</v>
      </c>
      <c r="D1257" s="1" t="s">
        <v>3448</v>
      </c>
      <c r="E1257" s="1" t="s">
        <v>3449</v>
      </c>
      <c r="F1257" s="1" t="s">
        <v>9815</v>
      </c>
      <c r="G1257" s="1" t="s">
        <v>8959</v>
      </c>
      <c r="H1257" t="s">
        <v>8959</v>
      </c>
      <c r="I1257" s="1" t="s">
        <v>9035</v>
      </c>
      <c r="J1257" s="1" t="s">
        <v>8998</v>
      </c>
      <c r="K1257" s="1" t="s">
        <v>9036</v>
      </c>
      <c r="L1257" s="1" t="s">
        <v>8987</v>
      </c>
      <c r="M1257" s="1">
        <v>598</v>
      </c>
      <c r="N1257" s="1" t="s">
        <v>8953</v>
      </c>
      <c r="O1257" s="1" t="s">
        <v>8989</v>
      </c>
      <c r="P1257" s="1" t="s">
        <v>8955</v>
      </c>
      <c r="Q1257" s="1" t="s">
        <v>8956</v>
      </c>
      <c r="R1257" s="1" t="s">
        <v>8959</v>
      </c>
      <c r="S1257" s="1" t="s">
        <v>9103</v>
      </c>
      <c r="T1257" s="1" t="s">
        <v>3450</v>
      </c>
      <c r="U1257" s="1" t="s">
        <v>17</v>
      </c>
      <c r="V1257" s="1" t="s">
        <v>3451</v>
      </c>
      <c r="W1257" s="1"/>
    </row>
    <row r="1258" spans="1:23" x14ac:dyDescent="0.2">
      <c r="A1258" s="89" t="s">
        <v>3452</v>
      </c>
      <c r="B1258" s="1" t="e">
        <v>#N/A</v>
      </c>
      <c r="C1258" s="1" t="e">
        <v>#N/A</v>
      </c>
      <c r="D1258" s="1" t="s">
        <v>3453</v>
      </c>
      <c r="E1258" s="1" t="s">
        <v>3454</v>
      </c>
      <c r="F1258" s="1" t="e">
        <v>#N/A</v>
      </c>
      <c r="G1258" s="1" t="e">
        <v>#N/A</v>
      </c>
      <c r="H1258" t="e">
        <v>#N/A</v>
      </c>
      <c r="I1258" s="1" t="e">
        <v>#N/A</v>
      </c>
      <c r="J1258" s="1" t="e">
        <v>#N/A</v>
      </c>
      <c r="K1258" s="1" t="e">
        <v>#N/A</v>
      </c>
      <c r="L1258" s="1" t="e">
        <v>#N/A</v>
      </c>
      <c r="M1258" s="1" t="e">
        <v>#N/A</v>
      </c>
      <c r="N1258" s="1" t="e">
        <v>#N/A</v>
      </c>
      <c r="O1258" s="1" t="e">
        <v>#N/A</v>
      </c>
      <c r="P1258" s="1" t="e">
        <v>#N/A</v>
      </c>
      <c r="Q1258" s="1" t="e">
        <v>#N/A</v>
      </c>
      <c r="R1258" s="1">
        <f>1+LEN(T1258)-LEN(SUBSTITUTE(T1258,",",))</f>
        <v>2</v>
      </c>
      <c r="S1258" s="1" t="str">
        <f>IF(R1258&gt;4,IF(R1258&lt;8,"4-7",IF(R1258&gt;7,"&gt;7")),"&lt;4")</f>
        <v>&lt;4</v>
      </c>
      <c r="T1258" s="1" t="s">
        <v>19227</v>
      </c>
      <c r="U1258" s="1" t="s">
        <v>17</v>
      </c>
      <c r="V1258" s="1" t="s">
        <v>2183</v>
      </c>
      <c r="W1258" s="1"/>
    </row>
    <row r="1259" spans="1:23" x14ac:dyDescent="0.2">
      <c r="A1259" s="88" t="s">
        <v>16592</v>
      </c>
      <c r="B1259" s="1" t="e">
        <v>#N/A</v>
      </c>
      <c r="C1259" s="1" t="s">
        <v>11703</v>
      </c>
      <c r="D1259" s="1" t="s">
        <v>3455</v>
      </c>
      <c r="E1259" s="1" t="s">
        <v>3456</v>
      </c>
      <c r="F1259" s="1" t="s">
        <v>9333</v>
      </c>
      <c r="G1259" s="1" t="s">
        <v>8957</v>
      </c>
      <c r="H1259" t="s">
        <v>9183</v>
      </c>
      <c r="I1259" s="1" t="s">
        <v>9075</v>
      </c>
      <c r="J1259" s="1" t="s">
        <v>8998</v>
      </c>
      <c r="K1259" s="1" t="s">
        <v>9036</v>
      </c>
      <c r="L1259" s="1" t="s">
        <v>8951</v>
      </c>
      <c r="M1259" s="1">
        <v>60</v>
      </c>
      <c r="N1259" s="1" t="s">
        <v>9059</v>
      </c>
      <c r="O1259" s="1" t="s">
        <v>8954</v>
      </c>
      <c r="P1259" s="1" t="s">
        <v>8955</v>
      </c>
      <c r="Q1259" s="1" t="s">
        <v>8956</v>
      </c>
      <c r="R1259" s="1" t="s">
        <v>8957</v>
      </c>
      <c r="S1259" s="1" t="s">
        <v>8975</v>
      </c>
      <c r="T1259" s="1" t="s">
        <v>3457</v>
      </c>
      <c r="U1259" s="1" t="s">
        <v>11</v>
      </c>
      <c r="V1259" s="1" t="s">
        <v>2183</v>
      </c>
      <c r="W1259" s="1"/>
    </row>
    <row r="1260" spans="1:23" x14ac:dyDescent="0.2">
      <c r="A1260" s="88" t="s">
        <v>16593</v>
      </c>
      <c r="B1260" s="1" t="e">
        <v>#N/A</v>
      </c>
      <c r="C1260" s="1" t="s">
        <v>14419</v>
      </c>
      <c r="D1260" s="1" t="s">
        <v>3458</v>
      </c>
      <c r="E1260" s="1" t="s">
        <v>3459</v>
      </c>
      <c r="F1260" s="1" t="s">
        <v>12526</v>
      </c>
      <c r="G1260" s="1" t="s">
        <v>8957</v>
      </c>
      <c r="H1260" t="s">
        <v>9009</v>
      </c>
      <c r="I1260" s="1" t="s">
        <v>9252</v>
      </c>
      <c r="J1260" s="1" t="s">
        <v>9253</v>
      </c>
      <c r="K1260" s="1" t="s">
        <v>21201</v>
      </c>
      <c r="L1260" s="1" t="s">
        <v>8973</v>
      </c>
      <c r="M1260" s="1">
        <v>2737</v>
      </c>
      <c r="N1260" s="1" t="s">
        <v>8953</v>
      </c>
      <c r="O1260" s="1" t="s">
        <v>8954</v>
      </c>
      <c r="P1260" s="1" t="s">
        <v>8955</v>
      </c>
      <c r="Q1260" s="1" t="s">
        <v>8956</v>
      </c>
      <c r="R1260" s="1" t="s">
        <v>8957</v>
      </c>
      <c r="S1260" s="1" t="s">
        <v>8975</v>
      </c>
      <c r="T1260" s="1" t="s">
        <v>3460</v>
      </c>
      <c r="U1260" s="1" t="s">
        <v>242</v>
      </c>
      <c r="V1260" s="1" t="s">
        <v>61</v>
      </c>
      <c r="W1260" s="1"/>
    </row>
    <row r="1261" spans="1:23" x14ac:dyDescent="0.2">
      <c r="A1261" s="89" t="s">
        <v>3461</v>
      </c>
      <c r="B1261" s="1" t="e">
        <v>#N/A</v>
      </c>
      <c r="C1261" s="1" t="e">
        <v>#N/A</v>
      </c>
      <c r="D1261" s="5" t="s">
        <v>3462</v>
      </c>
      <c r="E1261" s="1" t="s">
        <v>3463</v>
      </c>
      <c r="F1261" s="1" t="e">
        <v>#N/A</v>
      </c>
      <c r="G1261" s="1" t="e">
        <v>#N/A</v>
      </c>
      <c r="H1261" t="e">
        <v>#N/A</v>
      </c>
      <c r="I1261" s="1" t="e">
        <v>#N/A</v>
      </c>
      <c r="J1261" s="1" t="e">
        <v>#N/A</v>
      </c>
      <c r="K1261" s="1" t="e">
        <v>#N/A</v>
      </c>
      <c r="L1261" s="1" t="e">
        <v>#N/A</v>
      </c>
      <c r="M1261" s="1" t="e">
        <v>#N/A</v>
      </c>
      <c r="N1261" s="1" t="e">
        <v>#N/A</v>
      </c>
      <c r="O1261" s="1" t="e">
        <v>#N/A</v>
      </c>
      <c r="P1261" s="1" t="e">
        <v>#N/A</v>
      </c>
      <c r="Q1261" s="1" t="e">
        <v>#N/A</v>
      </c>
      <c r="R1261" s="1">
        <f t="shared" ref="R1261:R1262" si="372">1+LEN(T1261)-LEN(SUBSTITUTE(T1261,",",))</f>
        <v>10</v>
      </c>
      <c r="S1261" s="1" t="str">
        <f t="shared" ref="S1261:S1262" si="373">IF(R1261&gt;4,IF(R1261&lt;8,"4-7",IF(R1261&gt;7,"&gt;7")),"&lt;4")</f>
        <v>&gt;7</v>
      </c>
      <c r="T1261" s="1" t="s">
        <v>20615</v>
      </c>
      <c r="U1261" s="1" t="s">
        <v>7</v>
      </c>
      <c r="V1261" s="1" t="s">
        <v>1472</v>
      </c>
      <c r="W1261" s="1"/>
    </row>
    <row r="1262" spans="1:23" x14ac:dyDescent="0.2">
      <c r="A1262" s="94" t="s">
        <v>16594</v>
      </c>
      <c r="B1262" s="1" t="e">
        <v>#N/A</v>
      </c>
      <c r="C1262" s="1" t="e">
        <v>#N/A</v>
      </c>
      <c r="D1262" s="1" t="s">
        <v>3464</v>
      </c>
      <c r="E1262" s="1" t="s">
        <v>3465</v>
      </c>
      <c r="F1262" s="1" t="e">
        <v>#N/A</v>
      </c>
      <c r="G1262" s="1" t="e">
        <v>#N/A</v>
      </c>
      <c r="H1262" t="e">
        <v>#N/A</v>
      </c>
      <c r="I1262" s="1" t="e">
        <v>#N/A</v>
      </c>
      <c r="J1262" s="1" t="e">
        <v>#N/A</v>
      </c>
      <c r="K1262" s="1" t="e">
        <v>#N/A</v>
      </c>
      <c r="L1262" s="1" t="e">
        <v>#N/A</v>
      </c>
      <c r="M1262" s="1" t="e">
        <v>#N/A</v>
      </c>
      <c r="N1262" s="1" t="e">
        <v>#N/A</v>
      </c>
      <c r="O1262" s="1" t="e">
        <v>#N/A</v>
      </c>
      <c r="P1262" s="1" t="e">
        <v>#N/A</v>
      </c>
      <c r="Q1262" s="1" t="e">
        <v>#N/A</v>
      </c>
      <c r="R1262" s="1">
        <f t="shared" si="372"/>
        <v>5</v>
      </c>
      <c r="S1262" s="1" t="str">
        <f t="shared" si="373"/>
        <v>4-7</v>
      </c>
      <c r="T1262" s="1" t="s">
        <v>20616</v>
      </c>
      <c r="U1262" s="1" t="s">
        <v>17</v>
      </c>
      <c r="V1262" s="1" t="s">
        <v>110</v>
      </c>
      <c r="W1262" s="1"/>
    </row>
    <row r="1263" spans="1:23" x14ac:dyDescent="0.2">
      <c r="A1263" s="88" t="s">
        <v>16595</v>
      </c>
      <c r="B1263" s="1" t="e">
        <v>#N/A</v>
      </c>
      <c r="C1263" s="1" t="s">
        <v>9366</v>
      </c>
      <c r="D1263" s="1" t="s">
        <v>3466</v>
      </c>
      <c r="E1263" s="1" t="s">
        <v>3467</v>
      </c>
      <c r="F1263" s="1" t="s">
        <v>9010</v>
      </c>
      <c r="G1263" s="1" t="s">
        <v>8957</v>
      </c>
      <c r="H1263" t="s">
        <v>9061</v>
      </c>
      <c r="I1263" s="1" t="s">
        <v>8948</v>
      </c>
      <c r="J1263" s="1" t="s">
        <v>8949</v>
      </c>
      <c r="K1263" s="1" t="s">
        <v>9036</v>
      </c>
      <c r="L1263" s="1" t="s">
        <v>8951</v>
      </c>
      <c r="M1263" s="1">
        <v>351</v>
      </c>
      <c r="N1263" s="1" t="s">
        <v>8953</v>
      </c>
      <c r="O1263" s="1" t="s">
        <v>8989</v>
      </c>
      <c r="P1263" s="1" t="s">
        <v>8955</v>
      </c>
      <c r="Q1263" s="1" t="s">
        <v>8990</v>
      </c>
      <c r="R1263" s="1" t="s">
        <v>8957</v>
      </c>
      <c r="S1263" s="1" t="s">
        <v>8958</v>
      </c>
      <c r="T1263" s="1" t="s">
        <v>3468</v>
      </c>
      <c r="U1263" s="1" t="s">
        <v>7</v>
      </c>
      <c r="V1263" s="1" t="s">
        <v>61</v>
      </c>
      <c r="W1263" s="1"/>
    </row>
    <row r="1264" spans="1:23" x14ac:dyDescent="0.2">
      <c r="A1264" s="88" t="s">
        <v>16596</v>
      </c>
      <c r="B1264" s="1" t="e">
        <v>#N/A</v>
      </c>
      <c r="C1264" s="1" t="s">
        <v>9745</v>
      </c>
      <c r="D1264" s="1" t="s">
        <v>3469</v>
      </c>
      <c r="E1264" s="1" t="s">
        <v>3470</v>
      </c>
      <c r="F1264" s="1" t="s">
        <v>9010</v>
      </c>
      <c r="G1264" s="1" t="s">
        <v>8957</v>
      </c>
      <c r="H1264" t="s">
        <v>9061</v>
      </c>
      <c r="I1264" s="1" t="s">
        <v>8948</v>
      </c>
      <c r="J1264" s="1" t="s">
        <v>8949</v>
      </c>
      <c r="K1264" s="1" t="s">
        <v>9036</v>
      </c>
      <c r="L1264" s="1" t="s">
        <v>9133</v>
      </c>
      <c r="M1264" s="1">
        <v>351</v>
      </c>
      <c r="N1264" s="1" t="s">
        <v>8953</v>
      </c>
      <c r="O1264" s="1" t="s">
        <v>8954</v>
      </c>
      <c r="P1264" s="1" t="s">
        <v>8955</v>
      </c>
      <c r="Q1264" s="1" t="s">
        <v>8956</v>
      </c>
      <c r="R1264" s="1" t="s">
        <v>8957</v>
      </c>
      <c r="S1264" s="1" t="s">
        <v>9103</v>
      </c>
      <c r="T1264" s="1" t="s">
        <v>3471</v>
      </c>
      <c r="U1264" s="1" t="s">
        <v>11</v>
      </c>
      <c r="V1264" s="1" t="s">
        <v>921</v>
      </c>
      <c r="W1264" s="1"/>
    </row>
    <row r="1265" spans="1:23" x14ac:dyDescent="0.2">
      <c r="A1265" s="88" t="s">
        <v>16597</v>
      </c>
      <c r="B1265" s="1" t="e">
        <v>#N/A</v>
      </c>
      <c r="C1265" s="1" t="e">
        <v>#N/A</v>
      </c>
      <c r="D1265" s="1" t="s">
        <v>3472</v>
      </c>
      <c r="E1265" s="1" t="s">
        <v>3473</v>
      </c>
      <c r="F1265" s="1" t="s">
        <v>18502</v>
      </c>
      <c r="G1265" s="1" t="s">
        <v>8959</v>
      </c>
      <c r="H1265" t="s">
        <v>8959</v>
      </c>
      <c r="I1265" s="1" t="s">
        <v>9100</v>
      </c>
      <c r="J1265" s="1" t="s">
        <v>8949</v>
      </c>
      <c r="K1265" s="1" t="s">
        <v>20804</v>
      </c>
      <c r="L1265" s="1" t="s">
        <v>9133</v>
      </c>
      <c r="M1265" s="1">
        <f>46+16+18+96</f>
        <v>176</v>
      </c>
      <c r="N1265" s="1" t="s">
        <v>9059</v>
      </c>
      <c r="O1265" s="1" t="s">
        <v>8989</v>
      </c>
      <c r="P1265" s="1" t="e">
        <v>#N/A</v>
      </c>
      <c r="Q1265" s="1" t="e">
        <v>#N/A</v>
      </c>
      <c r="R1265" s="1">
        <f>1+LEN(T1265)-LEN(SUBSTITUTE(T1265,",",))</f>
        <v>7</v>
      </c>
      <c r="S1265" s="1" t="str">
        <f>IF(R1265&gt;4,IF(R1265&lt;8,"4-7",IF(R1265&gt;7,"&gt;7")),"&lt;4")</f>
        <v>4-7</v>
      </c>
      <c r="T1265" s="1" t="s">
        <v>19228</v>
      </c>
      <c r="U1265" s="1" t="s">
        <v>7</v>
      </c>
      <c r="V1265" s="1" t="s">
        <v>46</v>
      </c>
      <c r="W1265" s="1"/>
    </row>
    <row r="1266" spans="1:23" x14ac:dyDescent="0.2">
      <c r="A1266" s="88" t="s">
        <v>16598</v>
      </c>
      <c r="B1266" s="1" t="e">
        <v>#N/A</v>
      </c>
      <c r="C1266" s="1" t="s">
        <v>13258</v>
      </c>
      <c r="D1266" s="1" t="s">
        <v>3474</v>
      </c>
      <c r="E1266" s="1" t="s">
        <v>3475</v>
      </c>
      <c r="F1266" s="1" t="s">
        <v>9333</v>
      </c>
      <c r="G1266" s="1" t="s">
        <v>9060</v>
      </c>
      <c r="H1266" t="s">
        <v>9009</v>
      </c>
      <c r="I1266" s="1" t="s">
        <v>9605</v>
      </c>
      <c r="J1266" s="1" t="s">
        <v>9121</v>
      </c>
      <c r="K1266" s="1" t="s">
        <v>9036</v>
      </c>
      <c r="L1266" s="1" t="s">
        <v>8987</v>
      </c>
      <c r="M1266" s="1">
        <v>103019</v>
      </c>
      <c r="N1266" s="1" t="s">
        <v>8953</v>
      </c>
      <c r="O1266" s="1" t="s">
        <v>8989</v>
      </c>
      <c r="P1266" s="1" t="s">
        <v>8955</v>
      </c>
      <c r="Q1266" s="1" t="s">
        <v>8956</v>
      </c>
      <c r="R1266" s="1" t="s">
        <v>9060</v>
      </c>
      <c r="S1266" s="1" t="s">
        <v>8975</v>
      </c>
      <c r="T1266" s="1" t="s">
        <v>3476</v>
      </c>
      <c r="U1266" s="1" t="s">
        <v>4</v>
      </c>
      <c r="V1266" s="1" t="s">
        <v>24</v>
      </c>
      <c r="W1266" s="1"/>
    </row>
    <row r="1267" spans="1:23" x14ac:dyDescent="0.2">
      <c r="A1267" s="88" t="s">
        <v>16599</v>
      </c>
      <c r="B1267" s="1" t="e">
        <v>#N/A</v>
      </c>
      <c r="C1267" s="1" t="e">
        <v>#N/A</v>
      </c>
      <c r="D1267" s="1" t="s">
        <v>3477</v>
      </c>
      <c r="E1267" s="1" t="s">
        <v>3478</v>
      </c>
      <c r="F1267" s="1" t="s">
        <v>9333</v>
      </c>
      <c r="G1267" s="1" t="s">
        <v>8959</v>
      </c>
      <c r="H1267" t="s">
        <v>8959</v>
      </c>
      <c r="I1267" s="1" t="s">
        <v>20714</v>
      </c>
      <c r="J1267" s="1" t="s">
        <v>20725</v>
      </c>
      <c r="K1267" s="1" t="s">
        <v>18497</v>
      </c>
      <c r="L1267" s="1" t="s">
        <v>9133</v>
      </c>
      <c r="M1267" s="1">
        <f>304+239</f>
        <v>543</v>
      </c>
      <c r="N1267" s="1" t="s">
        <v>9059</v>
      </c>
      <c r="O1267" s="1" t="s">
        <v>8989</v>
      </c>
      <c r="P1267" s="1" t="e">
        <v>#N/A</v>
      </c>
      <c r="Q1267" s="1" t="e">
        <v>#N/A</v>
      </c>
      <c r="R1267" s="1">
        <f>1+LEN(T1267)-LEN(SUBSTITUTE(T1267,",",))</f>
        <v>8</v>
      </c>
      <c r="S1267" s="1" t="str">
        <f>IF(R1267&gt;4,IF(R1267&lt;8,"4-7",IF(R1267&gt;7,"&gt;7")),"&lt;4")</f>
        <v>&gt;7</v>
      </c>
      <c r="T1267" s="1" t="s">
        <v>19229</v>
      </c>
      <c r="U1267" s="1" t="s">
        <v>17</v>
      </c>
      <c r="V1267" s="1" t="s">
        <v>1915</v>
      </c>
      <c r="W1267" s="1"/>
    </row>
    <row r="1268" spans="1:23" x14ac:dyDescent="0.2">
      <c r="A1268" s="89" t="s">
        <v>3479</v>
      </c>
      <c r="B1268" s="1" t="e">
        <v>#N/A</v>
      </c>
      <c r="C1268" s="1" t="s">
        <v>11353</v>
      </c>
      <c r="D1268" s="1" t="s">
        <v>3480</v>
      </c>
      <c r="E1268" s="1" t="s">
        <v>3481</v>
      </c>
      <c r="F1268" s="1" t="s">
        <v>9333</v>
      </c>
      <c r="G1268" s="1" t="s">
        <v>8957</v>
      </c>
      <c r="H1268" t="s">
        <v>9183</v>
      </c>
      <c r="I1268" s="1" t="s">
        <v>9092</v>
      </c>
      <c r="J1268" s="1" t="s">
        <v>8998</v>
      </c>
      <c r="K1268" s="1" t="s">
        <v>9436</v>
      </c>
      <c r="L1268" s="1" t="s">
        <v>8973</v>
      </c>
      <c r="M1268" s="1">
        <v>10</v>
      </c>
      <c r="N1268" s="1" t="s">
        <v>8953</v>
      </c>
      <c r="O1268" s="1" t="s">
        <v>8989</v>
      </c>
      <c r="P1268" s="1" t="s">
        <v>8955</v>
      </c>
      <c r="Q1268" s="1" t="s">
        <v>8956</v>
      </c>
      <c r="R1268" s="1" t="s">
        <v>8957</v>
      </c>
      <c r="S1268" s="1" t="s">
        <v>9103</v>
      </c>
      <c r="T1268" s="1" t="s">
        <v>3482</v>
      </c>
      <c r="U1268" s="1" t="s">
        <v>11</v>
      </c>
      <c r="V1268" s="1" t="s">
        <v>204</v>
      </c>
      <c r="W1268" s="1"/>
    </row>
    <row r="1269" spans="1:23" x14ac:dyDescent="0.2">
      <c r="A1269" s="89" t="s">
        <v>3483</v>
      </c>
      <c r="B1269" s="1" t="e">
        <v>#N/A</v>
      </c>
      <c r="C1269" s="1" t="e">
        <v>#N/A</v>
      </c>
      <c r="D1269" s="1" t="s">
        <v>3484</v>
      </c>
      <c r="E1269" s="1" t="s">
        <v>3485</v>
      </c>
      <c r="F1269" s="1" t="e">
        <v>#N/A</v>
      </c>
      <c r="G1269" s="1" t="e">
        <v>#N/A</v>
      </c>
      <c r="H1269" t="e">
        <v>#N/A</v>
      </c>
      <c r="I1269" s="1" t="e">
        <v>#N/A</v>
      </c>
      <c r="J1269" s="1" t="e">
        <v>#N/A</v>
      </c>
      <c r="K1269" s="1" t="e">
        <v>#N/A</v>
      </c>
      <c r="L1269" s="1" t="e">
        <v>#N/A</v>
      </c>
      <c r="M1269" s="1" t="e">
        <v>#N/A</v>
      </c>
      <c r="N1269" s="1" t="e">
        <v>#N/A</v>
      </c>
      <c r="O1269" s="1" t="e">
        <v>#N/A</v>
      </c>
      <c r="P1269" s="1" t="e">
        <v>#N/A</v>
      </c>
      <c r="Q1269" s="1" t="e">
        <v>#N/A</v>
      </c>
      <c r="R1269" s="1">
        <f t="shared" ref="R1269:R1274" si="374">1+LEN(T1269)-LEN(SUBSTITUTE(T1269,",",))</f>
        <v>1</v>
      </c>
      <c r="S1269" s="1" t="str">
        <f t="shared" ref="S1269:S1274" si="375">IF(R1269&gt;4,IF(R1269&lt;8,"4-7",IF(R1269&gt;7,"&gt;7")),"&lt;4")</f>
        <v>&lt;4</v>
      </c>
      <c r="T1269" s="1" t="s">
        <v>3482</v>
      </c>
      <c r="U1269" s="1" t="s">
        <v>7</v>
      </c>
      <c r="V1269" s="1" t="s">
        <v>204</v>
      </c>
      <c r="W1269" s="1"/>
    </row>
    <row r="1270" spans="1:23" x14ac:dyDescent="0.2">
      <c r="A1270" s="94" t="s">
        <v>16600</v>
      </c>
      <c r="B1270" s="1" t="e">
        <v>#N/A</v>
      </c>
      <c r="C1270" s="1" t="e">
        <v>#N/A</v>
      </c>
      <c r="D1270" s="1" t="s">
        <v>3486</v>
      </c>
      <c r="E1270" s="1" t="s">
        <v>3487</v>
      </c>
      <c r="F1270" s="1" t="e">
        <v>#N/A</v>
      </c>
      <c r="G1270" s="1" t="e">
        <v>#N/A</v>
      </c>
      <c r="H1270" t="e">
        <v>#N/A</v>
      </c>
      <c r="I1270" s="1" t="e">
        <v>#N/A</v>
      </c>
      <c r="J1270" s="1" t="e">
        <v>#N/A</v>
      </c>
      <c r="K1270" s="1" t="e">
        <v>#N/A</v>
      </c>
      <c r="L1270" s="1" t="e">
        <v>#N/A</v>
      </c>
      <c r="M1270" s="1" t="e">
        <v>#N/A</v>
      </c>
      <c r="N1270" s="1" t="e">
        <v>#N/A</v>
      </c>
      <c r="O1270" s="1" t="e">
        <v>#N/A</v>
      </c>
      <c r="P1270" s="1" t="e">
        <v>#N/A</v>
      </c>
      <c r="Q1270" s="1" t="e">
        <v>#N/A</v>
      </c>
      <c r="R1270" s="1">
        <f t="shared" si="374"/>
        <v>3</v>
      </c>
      <c r="S1270" s="1" t="str">
        <f t="shared" si="375"/>
        <v>&lt;4</v>
      </c>
      <c r="T1270" s="1" t="s">
        <v>19230</v>
      </c>
      <c r="U1270" s="1" t="s">
        <v>17</v>
      </c>
      <c r="V1270" s="1" t="s">
        <v>342</v>
      </c>
      <c r="W1270" s="1"/>
    </row>
    <row r="1271" spans="1:23" x14ac:dyDescent="0.2">
      <c r="A1271" s="88" t="s">
        <v>16601</v>
      </c>
      <c r="B1271" s="1" t="e">
        <v>#N/A</v>
      </c>
      <c r="C1271" s="1" t="e">
        <v>#N/A</v>
      </c>
      <c r="D1271" s="1" t="s">
        <v>3488</v>
      </c>
      <c r="E1271" s="1" t="s">
        <v>3489</v>
      </c>
      <c r="F1271" s="1" t="s">
        <v>18502</v>
      </c>
      <c r="G1271" s="1" t="s">
        <v>8957</v>
      </c>
      <c r="H1271" t="s">
        <v>9061</v>
      </c>
      <c r="I1271" s="1" t="s">
        <v>8984</v>
      </c>
      <c r="J1271" s="1" t="s">
        <v>9131</v>
      </c>
      <c r="K1271" s="1" t="s">
        <v>21423</v>
      </c>
      <c r="L1271" s="1" t="s">
        <v>20849</v>
      </c>
      <c r="M1271" s="1">
        <f>8* 225+8*75+600</f>
        <v>3000</v>
      </c>
      <c r="N1271" s="1" t="s">
        <v>8953</v>
      </c>
      <c r="O1271" s="1" t="s">
        <v>8954</v>
      </c>
      <c r="P1271" s="1" t="e">
        <v>#N/A</v>
      </c>
      <c r="Q1271" s="1" t="e">
        <v>#N/A</v>
      </c>
      <c r="R1271" s="1">
        <f t="shared" si="374"/>
        <v>2</v>
      </c>
      <c r="S1271" s="1" t="str">
        <f t="shared" si="375"/>
        <v>&lt;4</v>
      </c>
      <c r="T1271" s="1" t="s">
        <v>19231</v>
      </c>
      <c r="U1271" s="1" t="s">
        <v>17</v>
      </c>
      <c r="V1271" s="1" t="s">
        <v>46</v>
      </c>
      <c r="W1271" s="1"/>
    </row>
    <row r="1272" spans="1:23" x14ac:dyDescent="0.2">
      <c r="A1272" s="88" t="s">
        <v>16602</v>
      </c>
      <c r="B1272" s="1" t="e">
        <v>#N/A</v>
      </c>
      <c r="C1272" s="1" t="e">
        <v>#N/A</v>
      </c>
      <c r="D1272" s="1" t="s">
        <v>3490</v>
      </c>
      <c r="E1272" s="1" t="s">
        <v>3491</v>
      </c>
      <c r="F1272" s="1" t="s">
        <v>18502</v>
      </c>
      <c r="G1272" s="1" t="s">
        <v>8957</v>
      </c>
      <c r="H1272" t="s">
        <v>8959</v>
      </c>
      <c r="I1272" s="1" t="s">
        <v>9605</v>
      </c>
      <c r="J1272" s="1" t="s">
        <v>8959</v>
      </c>
      <c r="K1272" s="1" t="s">
        <v>20850</v>
      </c>
      <c r="L1272" s="1" t="s">
        <v>8987</v>
      </c>
      <c r="M1272" s="1">
        <f>1968+2450+591</f>
        <v>5009</v>
      </c>
      <c r="N1272" s="1" t="s">
        <v>8953</v>
      </c>
      <c r="O1272" s="1" t="s">
        <v>8989</v>
      </c>
      <c r="P1272" s="1" t="e">
        <v>#N/A</v>
      </c>
      <c r="Q1272" s="1" t="e">
        <v>#N/A</v>
      </c>
      <c r="R1272" s="1">
        <f t="shared" si="374"/>
        <v>12</v>
      </c>
      <c r="S1272" s="1" t="str">
        <f t="shared" si="375"/>
        <v>&gt;7</v>
      </c>
      <c r="T1272" s="1" t="s">
        <v>20617</v>
      </c>
      <c r="U1272" s="1" t="s">
        <v>17</v>
      </c>
      <c r="V1272" s="1" t="s">
        <v>3492</v>
      </c>
      <c r="W1272" s="1"/>
    </row>
    <row r="1273" spans="1:23" x14ac:dyDescent="0.2">
      <c r="A1273" s="88" t="s">
        <v>16603</v>
      </c>
      <c r="B1273" s="1" t="e">
        <v>#N/A</v>
      </c>
      <c r="C1273" s="1" t="e">
        <v>#N/A</v>
      </c>
      <c r="D1273" s="1" t="s">
        <v>3493</v>
      </c>
      <c r="E1273" s="1" t="s">
        <v>3494</v>
      </c>
      <c r="F1273" s="1" t="e">
        <v>#N/A</v>
      </c>
      <c r="G1273" s="1" t="e">
        <v>#N/A</v>
      </c>
      <c r="H1273" t="e">
        <v>#N/A</v>
      </c>
      <c r="I1273" s="1" t="e">
        <v>#N/A</v>
      </c>
      <c r="J1273" s="1" t="e">
        <v>#N/A</v>
      </c>
      <c r="K1273" s="1" t="e">
        <v>#N/A</v>
      </c>
      <c r="L1273" s="1" t="e">
        <v>#N/A</v>
      </c>
      <c r="M1273" s="1" t="e">
        <v>#N/A</v>
      </c>
      <c r="N1273" s="1" t="e">
        <v>#N/A</v>
      </c>
      <c r="O1273" s="1" t="e">
        <v>#N/A</v>
      </c>
      <c r="P1273" s="1" t="e">
        <v>#N/A</v>
      </c>
      <c r="Q1273" s="1" t="e">
        <v>#N/A</v>
      </c>
      <c r="R1273" s="1">
        <f t="shared" si="374"/>
        <v>4</v>
      </c>
      <c r="S1273" s="1" t="str">
        <f t="shared" si="375"/>
        <v>&lt;4</v>
      </c>
      <c r="T1273" s="1" t="s">
        <v>20618</v>
      </c>
      <c r="U1273" s="1" t="s">
        <v>252</v>
      </c>
      <c r="V1273" s="1" t="s">
        <v>61</v>
      </c>
      <c r="W1273" s="1"/>
    </row>
    <row r="1274" spans="1:23" x14ac:dyDescent="0.2">
      <c r="A1274" s="88" t="s">
        <v>16604</v>
      </c>
      <c r="B1274" s="1" t="e">
        <v>#N/A</v>
      </c>
      <c r="C1274" s="1" t="e">
        <v>#N/A</v>
      </c>
      <c r="D1274" s="1" t="s">
        <v>3495</v>
      </c>
      <c r="E1274" s="1" t="s">
        <v>3496</v>
      </c>
      <c r="F1274" s="1" t="e">
        <v>#N/A</v>
      </c>
      <c r="G1274" s="1" t="e">
        <v>#N/A</v>
      </c>
      <c r="H1274" t="e">
        <v>#N/A</v>
      </c>
      <c r="I1274" s="1" t="e">
        <v>#N/A</v>
      </c>
      <c r="J1274" s="1" t="e">
        <v>#N/A</v>
      </c>
      <c r="K1274" s="1" t="e">
        <v>#N/A</v>
      </c>
      <c r="L1274" s="1" t="e">
        <v>#N/A</v>
      </c>
      <c r="M1274" s="1" t="e">
        <v>#N/A</v>
      </c>
      <c r="N1274" s="1" t="e">
        <v>#N/A</v>
      </c>
      <c r="O1274" s="1" t="e">
        <v>#N/A</v>
      </c>
      <c r="P1274" s="1" t="e">
        <v>#N/A</v>
      </c>
      <c r="Q1274" s="1" t="e">
        <v>#N/A</v>
      </c>
      <c r="R1274" s="1">
        <f t="shared" si="374"/>
        <v>7</v>
      </c>
      <c r="S1274" s="1" t="str">
        <f t="shared" si="375"/>
        <v>4-7</v>
      </c>
      <c r="T1274" s="1" t="s">
        <v>20619</v>
      </c>
      <c r="U1274" s="1" t="s">
        <v>252</v>
      </c>
      <c r="V1274" s="1" t="s">
        <v>3497</v>
      </c>
      <c r="W1274" s="1"/>
    </row>
    <row r="1275" spans="1:23" x14ac:dyDescent="0.2">
      <c r="A1275" s="88" t="s">
        <v>16605</v>
      </c>
      <c r="B1275" s="1" t="e">
        <v>#N/A</v>
      </c>
      <c r="C1275" s="1" t="s">
        <v>12303</v>
      </c>
      <c r="D1275" s="1" t="s">
        <v>3498</v>
      </c>
      <c r="E1275" s="1" t="s">
        <v>3499</v>
      </c>
      <c r="F1275" s="1" t="s">
        <v>9213</v>
      </c>
      <c r="G1275" s="1" t="s">
        <v>8957</v>
      </c>
      <c r="H1275" t="s">
        <v>8959</v>
      </c>
      <c r="I1275" s="1" t="s">
        <v>9092</v>
      </c>
      <c r="J1275" s="1" t="s">
        <v>8998</v>
      </c>
      <c r="K1275" s="1" t="s">
        <v>9679</v>
      </c>
      <c r="L1275" s="1" t="s">
        <v>9464</v>
      </c>
      <c r="M1275" s="1">
        <v>3236</v>
      </c>
      <c r="N1275" s="1" t="s">
        <v>8953</v>
      </c>
      <c r="O1275" s="1" t="s">
        <v>8989</v>
      </c>
      <c r="P1275" s="1" t="s">
        <v>8955</v>
      </c>
      <c r="Q1275" s="1" t="s">
        <v>8956</v>
      </c>
      <c r="R1275" s="1" t="s">
        <v>8957</v>
      </c>
      <c r="S1275" s="1" t="s">
        <v>8958</v>
      </c>
      <c r="T1275" s="1" t="s">
        <v>3500</v>
      </c>
      <c r="U1275" s="1" t="s">
        <v>11</v>
      </c>
      <c r="V1275" s="1" t="s">
        <v>61</v>
      </c>
      <c r="W1275" s="1"/>
    </row>
    <row r="1276" spans="1:23" x14ac:dyDescent="0.2">
      <c r="A1276" s="88" t="s">
        <v>16606</v>
      </c>
      <c r="B1276" s="1" t="e">
        <v>#N/A</v>
      </c>
      <c r="C1276" s="1" t="s">
        <v>10828</v>
      </c>
      <c r="D1276" s="1" t="s">
        <v>3501</v>
      </c>
      <c r="E1276" s="1" t="s">
        <v>3502</v>
      </c>
      <c r="F1276" s="1" t="s">
        <v>9213</v>
      </c>
      <c r="G1276" s="1" t="s">
        <v>8957</v>
      </c>
      <c r="H1276" t="s">
        <v>8959</v>
      </c>
      <c r="I1276" s="1" t="s">
        <v>9154</v>
      </c>
      <c r="J1276" s="1" t="s">
        <v>8998</v>
      </c>
      <c r="K1276" s="1" t="s">
        <v>9051</v>
      </c>
      <c r="L1276" s="1" t="s">
        <v>9464</v>
      </c>
      <c r="M1276" s="1">
        <v>100</v>
      </c>
      <c r="N1276" s="1" t="s">
        <v>8953</v>
      </c>
      <c r="O1276" s="1" t="s">
        <v>8954</v>
      </c>
      <c r="P1276" s="1" t="s">
        <v>8955</v>
      </c>
      <c r="Q1276" s="1" t="s">
        <v>8956</v>
      </c>
      <c r="R1276" s="1" t="s">
        <v>8957</v>
      </c>
      <c r="S1276" s="1" t="s">
        <v>8958</v>
      </c>
      <c r="T1276" s="1" t="s">
        <v>3503</v>
      </c>
      <c r="U1276" s="1" t="s">
        <v>17</v>
      </c>
      <c r="V1276" s="1" t="s">
        <v>93</v>
      </c>
      <c r="W1276" s="1"/>
    </row>
    <row r="1277" spans="1:23" x14ac:dyDescent="0.2">
      <c r="A1277" s="88" t="s">
        <v>16607</v>
      </c>
      <c r="B1277" s="1" t="e">
        <v>#N/A</v>
      </c>
      <c r="C1277" s="1" t="s">
        <v>13486</v>
      </c>
      <c r="D1277" s="1" t="s">
        <v>3504</v>
      </c>
      <c r="E1277" s="1" t="s">
        <v>3505</v>
      </c>
      <c r="F1277" s="1" t="s">
        <v>9213</v>
      </c>
      <c r="G1277" s="1" t="s">
        <v>8957</v>
      </c>
      <c r="H1277" t="s">
        <v>9009</v>
      </c>
      <c r="I1277" s="1" t="s">
        <v>9100</v>
      </c>
      <c r="J1277" s="1" t="s">
        <v>8998</v>
      </c>
      <c r="K1277" s="1" t="s">
        <v>9658</v>
      </c>
      <c r="L1277" s="1" t="s">
        <v>9076</v>
      </c>
      <c r="M1277" s="1">
        <v>20</v>
      </c>
      <c r="N1277" s="1" t="s">
        <v>9059</v>
      </c>
      <c r="O1277" s="1" t="s">
        <v>8989</v>
      </c>
      <c r="P1277" s="1" t="s">
        <v>8955</v>
      </c>
      <c r="Q1277" s="1" t="s">
        <v>8956</v>
      </c>
      <c r="R1277" s="1" t="s">
        <v>8957</v>
      </c>
      <c r="S1277" s="1" t="s">
        <v>9103</v>
      </c>
      <c r="T1277" s="1" t="s">
        <v>3506</v>
      </c>
      <c r="U1277" s="1" t="s">
        <v>4</v>
      </c>
      <c r="V1277" s="1" t="s">
        <v>93</v>
      </c>
      <c r="W1277" s="1"/>
    </row>
    <row r="1278" spans="1:23" x14ac:dyDescent="0.2">
      <c r="A1278" s="88" t="s">
        <v>20851</v>
      </c>
      <c r="B1278" s="1" t="e">
        <v>#N/A</v>
      </c>
      <c r="C1278" s="1" t="e">
        <v>#N/A</v>
      </c>
      <c r="D1278" s="1" t="s">
        <v>3507</v>
      </c>
      <c r="E1278" s="1" t="s">
        <v>3508</v>
      </c>
      <c r="F1278" s="1" t="s">
        <v>18502</v>
      </c>
      <c r="G1278" s="1" t="s">
        <v>8957</v>
      </c>
      <c r="H1278" t="s">
        <v>8959</v>
      </c>
      <c r="I1278" s="1" t="s">
        <v>9605</v>
      </c>
      <c r="J1278" s="1" t="s">
        <v>9101</v>
      </c>
      <c r="K1278" s="1" t="s">
        <v>20852</v>
      </c>
      <c r="L1278" s="1" t="s">
        <v>9292</v>
      </c>
      <c r="M1278" s="1">
        <v>100000</v>
      </c>
      <c r="N1278" s="1" t="s">
        <v>8953</v>
      </c>
      <c r="O1278" s="1" t="s">
        <v>8989</v>
      </c>
      <c r="P1278" s="1" t="e">
        <v>#N/A</v>
      </c>
      <c r="Q1278" s="1" t="e">
        <v>#N/A</v>
      </c>
      <c r="R1278" s="1">
        <f t="shared" ref="R1278:R1279" si="376">1+LEN(T1278)-LEN(SUBSTITUTE(T1278,",",))</f>
        <v>3</v>
      </c>
      <c r="S1278" s="1" t="str">
        <f t="shared" ref="S1278:S1279" si="377">IF(R1278&gt;4,IF(R1278&lt;8,"4-7",IF(R1278&gt;7,"&gt;7")),"&lt;4")</f>
        <v>&lt;4</v>
      </c>
      <c r="T1278" s="1" t="s">
        <v>19232</v>
      </c>
      <c r="U1278" s="1" t="s">
        <v>7</v>
      </c>
      <c r="V1278" s="1" t="s">
        <v>3509</v>
      </c>
      <c r="W1278" s="1"/>
    </row>
    <row r="1279" spans="1:23" x14ac:dyDescent="0.2">
      <c r="A1279" s="88" t="s">
        <v>3510</v>
      </c>
      <c r="B1279" s="1" t="e">
        <v>#N/A</v>
      </c>
      <c r="C1279" s="1" t="e">
        <v>#N/A</v>
      </c>
      <c r="D1279" s="1" t="s">
        <v>3511</v>
      </c>
      <c r="E1279" s="1" t="s">
        <v>3512</v>
      </c>
      <c r="F1279" s="1" t="s">
        <v>9213</v>
      </c>
      <c r="G1279" s="1" t="s">
        <v>8957</v>
      </c>
      <c r="H1279" t="s">
        <v>8959</v>
      </c>
      <c r="I1279" s="1" t="s">
        <v>9100</v>
      </c>
      <c r="J1279" s="1" t="s">
        <v>9725</v>
      </c>
      <c r="K1279" s="1" t="s">
        <v>21415</v>
      </c>
      <c r="L1279" s="1" t="s">
        <v>9076</v>
      </c>
      <c r="M1279" s="1">
        <v>685100</v>
      </c>
      <c r="N1279" s="1" t="s">
        <v>8953</v>
      </c>
      <c r="O1279" s="1" t="s">
        <v>8989</v>
      </c>
      <c r="P1279" s="1" t="e">
        <v>#N/A</v>
      </c>
      <c r="Q1279" s="1" t="e">
        <v>#N/A</v>
      </c>
      <c r="R1279" s="1">
        <f t="shared" si="376"/>
        <v>8</v>
      </c>
      <c r="S1279" s="1" t="str">
        <f t="shared" si="377"/>
        <v>&gt;7</v>
      </c>
      <c r="T1279" s="1" t="s">
        <v>19233</v>
      </c>
      <c r="U1279" s="1" t="s">
        <v>11</v>
      </c>
      <c r="V1279" s="1" t="s">
        <v>2988</v>
      </c>
      <c r="W1279" s="1"/>
    </row>
    <row r="1280" spans="1:23" x14ac:dyDescent="0.2">
      <c r="A1280" s="88" t="s">
        <v>16608</v>
      </c>
      <c r="B1280" s="1" t="e">
        <v>#N/A</v>
      </c>
      <c r="C1280" s="1" t="s">
        <v>11498</v>
      </c>
      <c r="D1280" s="1" t="s">
        <v>3513</v>
      </c>
      <c r="E1280" s="1" t="s">
        <v>3514</v>
      </c>
      <c r="F1280" s="1" t="s">
        <v>9010</v>
      </c>
      <c r="G1280" s="1" t="s">
        <v>8959</v>
      </c>
      <c r="H1280" t="s">
        <v>9183</v>
      </c>
      <c r="I1280" s="1" t="s">
        <v>8948</v>
      </c>
      <c r="J1280" s="1" t="s">
        <v>8998</v>
      </c>
      <c r="K1280" s="1" t="s">
        <v>9036</v>
      </c>
      <c r="L1280" s="1" t="s">
        <v>9292</v>
      </c>
      <c r="M1280" s="1">
        <v>2875</v>
      </c>
      <c r="N1280" s="1" t="s">
        <v>8953</v>
      </c>
      <c r="O1280" s="1" t="s">
        <v>8989</v>
      </c>
      <c r="P1280" s="1" t="s">
        <v>8955</v>
      </c>
      <c r="Q1280" s="1" t="s">
        <v>8956</v>
      </c>
      <c r="R1280" s="1" t="s">
        <v>8959</v>
      </c>
      <c r="S1280" s="1" t="s">
        <v>8975</v>
      </c>
      <c r="T1280" s="1" t="s">
        <v>3515</v>
      </c>
      <c r="U1280" s="1" t="s">
        <v>11</v>
      </c>
      <c r="V1280" s="1" t="s">
        <v>24</v>
      </c>
      <c r="W1280" s="1"/>
    </row>
    <row r="1281" spans="1:23" x14ac:dyDescent="0.2">
      <c r="A1281" s="88" t="s">
        <v>16609</v>
      </c>
      <c r="B1281" s="1" t="e">
        <v>#N/A</v>
      </c>
      <c r="C1281" s="1" t="e">
        <v>#N/A</v>
      </c>
      <c r="D1281" s="1" t="s">
        <v>3516</v>
      </c>
      <c r="E1281" s="1" t="s">
        <v>3517</v>
      </c>
      <c r="F1281" s="1" t="s">
        <v>18502</v>
      </c>
      <c r="G1281" s="1" t="s">
        <v>8957</v>
      </c>
      <c r="H1281" t="s">
        <v>9061</v>
      </c>
      <c r="I1281" s="1" t="s">
        <v>8948</v>
      </c>
      <c r="J1281" s="1" t="s">
        <v>8998</v>
      </c>
      <c r="K1281" s="1" t="s">
        <v>20779</v>
      </c>
      <c r="L1281" s="1" t="s">
        <v>9292</v>
      </c>
      <c r="M1281" s="1">
        <f>2875+70</f>
        <v>2945</v>
      </c>
      <c r="N1281" s="1" t="s">
        <v>8953</v>
      </c>
      <c r="O1281" s="1" t="s">
        <v>8954</v>
      </c>
      <c r="P1281" s="1" t="e">
        <v>#N/A</v>
      </c>
      <c r="Q1281" s="1" t="e">
        <v>#N/A</v>
      </c>
      <c r="R1281" s="1">
        <f t="shared" ref="R1281:R1289" si="378">1+LEN(T1281)-LEN(SUBSTITUTE(T1281,",",))</f>
        <v>12</v>
      </c>
      <c r="S1281" s="1" t="str">
        <f t="shared" ref="S1281:S1289" si="379">IF(R1281&gt;4,IF(R1281&lt;8,"4-7",IF(R1281&gt;7,"&gt;7")),"&lt;4")</f>
        <v>&gt;7</v>
      </c>
      <c r="T1281" s="1" t="s">
        <v>19234</v>
      </c>
      <c r="U1281" s="1" t="s">
        <v>7</v>
      </c>
      <c r="V1281" s="1" t="s">
        <v>3518</v>
      </c>
      <c r="W1281" s="1"/>
    </row>
    <row r="1282" spans="1:23" x14ac:dyDescent="0.2">
      <c r="A1282" s="88" t="s">
        <v>16610</v>
      </c>
      <c r="B1282" s="1" t="e">
        <v>#N/A</v>
      </c>
      <c r="C1282" s="1" t="e">
        <v>#N/A</v>
      </c>
      <c r="D1282" s="1" t="s">
        <v>3519</v>
      </c>
      <c r="E1282" s="1" t="s">
        <v>3520</v>
      </c>
      <c r="F1282" s="1" t="s">
        <v>18502</v>
      </c>
      <c r="G1282" s="1" t="s">
        <v>8959</v>
      </c>
      <c r="H1282" t="s">
        <v>8959</v>
      </c>
      <c r="I1282" s="1" t="s">
        <v>20712</v>
      </c>
      <c r="J1282" s="1" t="s">
        <v>9725</v>
      </c>
      <c r="K1282" s="1" t="s">
        <v>20779</v>
      </c>
      <c r="L1282" s="1" t="s">
        <v>9464</v>
      </c>
      <c r="M1282" s="1">
        <v>875</v>
      </c>
      <c r="N1282" s="1" t="s">
        <v>8953</v>
      </c>
      <c r="O1282" s="1" t="s">
        <v>8989</v>
      </c>
      <c r="P1282" s="1" t="e">
        <v>#N/A</v>
      </c>
      <c r="Q1282" s="1" t="e">
        <v>#N/A</v>
      </c>
      <c r="R1282" s="1">
        <f t="shared" si="378"/>
        <v>2</v>
      </c>
      <c r="S1282" s="1" t="str">
        <f t="shared" si="379"/>
        <v>&lt;4</v>
      </c>
      <c r="T1282" s="1" t="s">
        <v>19235</v>
      </c>
      <c r="U1282" s="1" t="s">
        <v>17</v>
      </c>
      <c r="V1282" s="1" t="s">
        <v>87</v>
      </c>
      <c r="W1282" s="1"/>
    </row>
    <row r="1283" spans="1:23" x14ac:dyDescent="0.2">
      <c r="A1283" s="88" t="s">
        <v>16611</v>
      </c>
      <c r="B1283" s="1" t="e">
        <v>#N/A</v>
      </c>
      <c r="C1283" s="1" t="e">
        <v>#N/A</v>
      </c>
      <c r="D1283" s="1" t="s">
        <v>3521</v>
      </c>
      <c r="E1283" s="1" t="s">
        <v>3522</v>
      </c>
      <c r="F1283" s="1" t="s">
        <v>18502</v>
      </c>
      <c r="G1283" s="1" t="s">
        <v>8957</v>
      </c>
      <c r="H1283" t="s">
        <v>8959</v>
      </c>
      <c r="I1283" s="1" t="s">
        <v>9154</v>
      </c>
      <c r="J1283" s="1" t="s">
        <v>8971</v>
      </c>
      <c r="K1283" s="1" t="s">
        <v>20838</v>
      </c>
      <c r="L1283" s="1" t="s">
        <v>9292</v>
      </c>
      <c r="M1283" s="1">
        <v>162</v>
      </c>
      <c r="N1283" s="1" t="s">
        <v>9059</v>
      </c>
      <c r="O1283" s="1" t="s">
        <v>8954</v>
      </c>
      <c r="P1283" s="1" t="e">
        <v>#N/A</v>
      </c>
      <c r="Q1283" s="1" t="e">
        <v>#N/A</v>
      </c>
      <c r="R1283" s="1">
        <f t="shared" si="378"/>
        <v>7</v>
      </c>
      <c r="S1283" s="1" t="str">
        <f t="shared" si="379"/>
        <v>4-7</v>
      </c>
      <c r="T1283" s="1" t="s">
        <v>20620</v>
      </c>
      <c r="U1283" s="1" t="s">
        <v>7</v>
      </c>
      <c r="V1283" s="1" t="s">
        <v>3523</v>
      </c>
      <c r="W1283" s="1"/>
    </row>
    <row r="1284" spans="1:23" x14ac:dyDescent="0.2">
      <c r="A1284" s="88" t="s">
        <v>16612</v>
      </c>
      <c r="B1284" s="1" t="e">
        <v>#N/A</v>
      </c>
      <c r="C1284" s="1" t="e">
        <v>#N/A</v>
      </c>
      <c r="D1284" s="1" t="s">
        <v>3524</v>
      </c>
      <c r="E1284" s="1" t="s">
        <v>3525</v>
      </c>
      <c r="F1284" s="1" t="s">
        <v>10873</v>
      </c>
      <c r="G1284" s="1" t="s">
        <v>8957</v>
      </c>
      <c r="H1284" t="s">
        <v>8959</v>
      </c>
      <c r="I1284" s="1" t="s">
        <v>9605</v>
      </c>
      <c r="J1284" s="1" t="s">
        <v>9101</v>
      </c>
      <c r="K1284" s="1" t="s">
        <v>21273</v>
      </c>
      <c r="L1284" s="1" t="s">
        <v>8973</v>
      </c>
      <c r="M1284" s="1">
        <v>517</v>
      </c>
      <c r="N1284" s="1" t="s">
        <v>8953</v>
      </c>
      <c r="O1284" s="1" t="s">
        <v>8989</v>
      </c>
      <c r="P1284" s="1" t="e">
        <v>#N/A</v>
      </c>
      <c r="Q1284" s="1" t="e">
        <v>#N/A</v>
      </c>
      <c r="R1284" s="1">
        <f t="shared" si="378"/>
        <v>6</v>
      </c>
      <c r="S1284" s="1" t="str">
        <f t="shared" si="379"/>
        <v>4-7</v>
      </c>
      <c r="T1284" s="1" t="s">
        <v>19236</v>
      </c>
      <c r="U1284" s="1" t="s">
        <v>7</v>
      </c>
      <c r="V1284" s="1" t="s">
        <v>110</v>
      </c>
      <c r="W1284" s="1"/>
    </row>
    <row r="1285" spans="1:23" x14ac:dyDescent="0.2">
      <c r="A1285" s="88" t="s">
        <v>16613</v>
      </c>
      <c r="B1285" s="1" t="e">
        <v>#N/A</v>
      </c>
      <c r="C1285" s="1" t="e">
        <v>#N/A</v>
      </c>
      <c r="D1285" s="1" t="s">
        <v>3526</v>
      </c>
      <c r="E1285" s="1" t="s">
        <v>3527</v>
      </c>
      <c r="F1285" s="1" t="s">
        <v>10873</v>
      </c>
      <c r="G1285" s="1" t="s">
        <v>8957</v>
      </c>
      <c r="H1285" t="s">
        <v>8959</v>
      </c>
      <c r="I1285" s="1" t="s">
        <v>9035</v>
      </c>
      <c r="J1285" s="1" t="s">
        <v>9308</v>
      </c>
      <c r="K1285" s="1" t="s">
        <v>21366</v>
      </c>
      <c r="L1285" s="1" t="s">
        <v>8951</v>
      </c>
      <c r="M1285" s="1">
        <f>145*3+275*2+270</f>
        <v>1255</v>
      </c>
      <c r="N1285" s="1" t="s">
        <v>8953</v>
      </c>
      <c r="O1285" s="1" t="s">
        <v>8954</v>
      </c>
      <c r="P1285" s="1" t="e">
        <v>#N/A</v>
      </c>
      <c r="Q1285" s="1" t="e">
        <v>#N/A</v>
      </c>
      <c r="R1285" s="1">
        <f t="shared" si="378"/>
        <v>2</v>
      </c>
      <c r="S1285" s="1" t="str">
        <f t="shared" si="379"/>
        <v>&lt;4</v>
      </c>
      <c r="T1285" s="1" t="s">
        <v>19237</v>
      </c>
      <c r="U1285" s="1" t="s">
        <v>7</v>
      </c>
      <c r="V1285" s="1" t="s">
        <v>74</v>
      </c>
      <c r="W1285" s="1"/>
    </row>
    <row r="1286" spans="1:23" x14ac:dyDescent="0.2">
      <c r="A1286" s="89" t="s">
        <v>16614</v>
      </c>
      <c r="B1286" s="1" t="e">
        <v>#N/A</v>
      </c>
      <c r="C1286" s="1" t="e">
        <v>#N/A</v>
      </c>
      <c r="D1286" s="1" t="s">
        <v>3528</v>
      </c>
      <c r="E1286" s="1" t="s">
        <v>3529</v>
      </c>
      <c r="F1286" s="1" t="e">
        <v>#N/A</v>
      </c>
      <c r="G1286" s="1" t="e">
        <v>#N/A</v>
      </c>
      <c r="H1286" t="e">
        <v>#N/A</v>
      </c>
      <c r="I1286" s="1" t="e">
        <v>#N/A</v>
      </c>
      <c r="J1286" s="1" t="e">
        <v>#N/A</v>
      </c>
      <c r="K1286" s="1" t="e">
        <v>#N/A</v>
      </c>
      <c r="L1286" s="1" t="e">
        <v>#N/A</v>
      </c>
      <c r="M1286" s="1" t="e">
        <v>#N/A</v>
      </c>
      <c r="N1286" s="1" t="e">
        <v>#N/A</v>
      </c>
      <c r="O1286" s="1" t="e">
        <v>#N/A</v>
      </c>
      <c r="P1286" s="1" t="e">
        <v>#N/A</v>
      </c>
      <c r="Q1286" s="1" t="e">
        <v>#N/A</v>
      </c>
      <c r="R1286" s="1">
        <f t="shared" si="378"/>
        <v>4</v>
      </c>
      <c r="S1286" s="1" t="str">
        <f t="shared" si="379"/>
        <v>&lt;4</v>
      </c>
      <c r="T1286" s="1" t="s">
        <v>19238</v>
      </c>
      <c r="U1286" s="1" t="s">
        <v>7</v>
      </c>
      <c r="V1286" s="1" t="s">
        <v>3530</v>
      </c>
      <c r="W1286" s="1"/>
    </row>
    <row r="1287" spans="1:23" x14ac:dyDescent="0.2">
      <c r="A1287" s="88" t="s">
        <v>16615</v>
      </c>
      <c r="B1287" s="1" t="e">
        <v>#N/A</v>
      </c>
      <c r="C1287" s="1" t="e">
        <v>#N/A</v>
      </c>
      <c r="D1287" s="1" t="s">
        <v>3531</v>
      </c>
      <c r="E1287" s="1" t="s">
        <v>3532</v>
      </c>
      <c r="F1287" s="1" t="s">
        <v>18502</v>
      </c>
      <c r="G1287" s="1" t="s">
        <v>8957</v>
      </c>
      <c r="H1287" t="s">
        <v>8959</v>
      </c>
      <c r="I1287" s="1" t="s">
        <v>9605</v>
      </c>
      <c r="J1287" s="1" t="s">
        <v>9101</v>
      </c>
      <c r="K1287" s="1" t="s">
        <v>20779</v>
      </c>
      <c r="L1287" s="1" t="s">
        <v>8951</v>
      </c>
      <c r="M1287" s="1">
        <v>6</v>
      </c>
      <c r="N1287" s="1" t="s">
        <v>9059</v>
      </c>
      <c r="O1287" s="1" t="s">
        <v>8989</v>
      </c>
      <c r="P1287" s="1" t="e">
        <v>#N/A</v>
      </c>
      <c r="Q1287" s="1" t="e">
        <v>#N/A</v>
      </c>
      <c r="R1287" s="1">
        <f t="shared" si="378"/>
        <v>7</v>
      </c>
      <c r="S1287" s="1" t="str">
        <f t="shared" si="379"/>
        <v>4-7</v>
      </c>
      <c r="T1287" s="1" t="s">
        <v>20621</v>
      </c>
      <c r="U1287" s="1" t="s">
        <v>17</v>
      </c>
      <c r="V1287" s="1" t="s">
        <v>257</v>
      </c>
      <c r="W1287" s="1"/>
    </row>
    <row r="1288" spans="1:23" x14ac:dyDescent="0.2">
      <c r="A1288" s="89" t="s">
        <v>16616</v>
      </c>
      <c r="B1288" s="1" t="e">
        <v>#N/A</v>
      </c>
      <c r="C1288" s="1" t="e">
        <v>#N/A</v>
      </c>
      <c r="D1288" s="1" t="s">
        <v>3533</v>
      </c>
      <c r="E1288" s="1" t="s">
        <v>3534</v>
      </c>
      <c r="F1288" s="1" t="s">
        <v>18502</v>
      </c>
      <c r="G1288" s="1" t="s">
        <v>8957</v>
      </c>
      <c r="H1288" t="s">
        <v>9061</v>
      </c>
      <c r="I1288" s="1" t="e">
        <v>#N/A</v>
      </c>
      <c r="J1288" s="1" t="e">
        <v>#N/A</v>
      </c>
      <c r="K1288" s="1" t="e">
        <v>#N/A</v>
      </c>
      <c r="L1288" s="1" t="e">
        <v>#N/A</v>
      </c>
      <c r="M1288" s="1" t="e">
        <v>#N/A</v>
      </c>
      <c r="N1288" s="1" t="e">
        <v>#N/A</v>
      </c>
      <c r="O1288" s="1" t="e">
        <v>#N/A</v>
      </c>
      <c r="P1288" s="1" t="e">
        <v>#N/A</v>
      </c>
      <c r="Q1288" s="1" t="e">
        <v>#N/A</v>
      </c>
      <c r="R1288" s="1">
        <f t="shared" si="378"/>
        <v>4</v>
      </c>
      <c r="S1288" s="1" t="str">
        <f t="shared" si="379"/>
        <v>&lt;4</v>
      </c>
      <c r="T1288" s="1" t="s">
        <v>19239</v>
      </c>
      <c r="U1288" s="1" t="s">
        <v>7</v>
      </c>
      <c r="V1288" s="1" t="s">
        <v>126</v>
      </c>
      <c r="W1288" s="1"/>
    </row>
    <row r="1289" spans="1:23" x14ac:dyDescent="0.2">
      <c r="A1289" s="88" t="s">
        <v>16617</v>
      </c>
      <c r="B1289" s="1" t="e">
        <v>#N/A</v>
      </c>
      <c r="C1289" s="1" t="e">
        <v>#N/A</v>
      </c>
      <c r="D1289" s="1" t="s">
        <v>3535</v>
      </c>
      <c r="E1289" s="1" t="s">
        <v>3536</v>
      </c>
      <c r="F1289" s="1" t="s">
        <v>18502</v>
      </c>
      <c r="G1289" s="1" t="s">
        <v>8957</v>
      </c>
      <c r="H1289" t="s">
        <v>9061</v>
      </c>
      <c r="I1289" s="1" t="s">
        <v>8948</v>
      </c>
      <c r="J1289" s="1" t="s">
        <v>8949</v>
      </c>
      <c r="K1289" s="1" t="s">
        <v>20779</v>
      </c>
      <c r="L1289" s="1" t="s">
        <v>8951</v>
      </c>
      <c r="M1289" s="1">
        <v>88</v>
      </c>
      <c r="N1289" s="1" t="s">
        <v>9059</v>
      </c>
      <c r="O1289" s="1" t="s">
        <v>20853</v>
      </c>
      <c r="P1289" s="1" t="e">
        <v>#N/A</v>
      </c>
      <c r="Q1289" s="1" t="e">
        <v>#N/A</v>
      </c>
      <c r="R1289" s="1">
        <f t="shared" si="378"/>
        <v>10</v>
      </c>
      <c r="S1289" s="1" t="str">
        <f t="shared" si="379"/>
        <v>&gt;7</v>
      </c>
      <c r="T1289" s="1" t="s">
        <v>19240</v>
      </c>
      <c r="U1289" s="1" t="s">
        <v>7</v>
      </c>
      <c r="V1289" s="1" t="s">
        <v>1050</v>
      </c>
      <c r="W1289" s="1"/>
    </row>
    <row r="1290" spans="1:23" x14ac:dyDescent="0.2">
      <c r="A1290" s="88" t="s">
        <v>16618</v>
      </c>
      <c r="B1290" s="1" t="e">
        <v>#N/A</v>
      </c>
      <c r="C1290" s="1" t="s">
        <v>12457</v>
      </c>
      <c r="D1290" s="1" t="s">
        <v>3537</v>
      </c>
      <c r="E1290" s="1" t="s">
        <v>3538</v>
      </c>
      <c r="F1290" s="1" t="s">
        <v>9380</v>
      </c>
      <c r="G1290" s="1" t="s">
        <v>8974</v>
      </c>
      <c r="H1290" t="s">
        <v>8959</v>
      </c>
      <c r="I1290" s="1" t="s">
        <v>9075</v>
      </c>
      <c r="J1290" s="1" t="s">
        <v>8949</v>
      </c>
      <c r="K1290" s="1" t="s">
        <v>9036</v>
      </c>
      <c r="L1290" s="1" t="s">
        <v>8973</v>
      </c>
      <c r="M1290" s="1">
        <v>49</v>
      </c>
      <c r="N1290" s="1" t="s">
        <v>8953</v>
      </c>
      <c r="O1290" s="1" t="s">
        <v>8954</v>
      </c>
      <c r="P1290" s="1" t="s">
        <v>8955</v>
      </c>
      <c r="Q1290" s="1" t="s">
        <v>8956</v>
      </c>
      <c r="R1290" s="1" t="s">
        <v>8974</v>
      </c>
      <c r="S1290" s="1" t="s">
        <v>8958</v>
      </c>
      <c r="T1290" s="1" t="s">
        <v>3539</v>
      </c>
      <c r="U1290" s="1" t="s">
        <v>11</v>
      </c>
      <c r="V1290" s="1" t="s">
        <v>64</v>
      </c>
      <c r="W1290" s="1"/>
    </row>
    <row r="1291" spans="1:23" x14ac:dyDescent="0.2">
      <c r="A1291" s="88" t="s">
        <v>16619</v>
      </c>
      <c r="B1291" s="1" t="e">
        <v>#N/A</v>
      </c>
      <c r="C1291" s="1" t="s">
        <v>9377</v>
      </c>
      <c r="D1291" s="1" t="s">
        <v>3540</v>
      </c>
      <c r="E1291" s="1" t="s">
        <v>3541</v>
      </c>
      <c r="F1291" s="1" t="s">
        <v>9380</v>
      </c>
      <c r="G1291" s="1" t="s">
        <v>9060</v>
      </c>
      <c r="H1291" t="s">
        <v>8959</v>
      </c>
      <c r="I1291" s="1" t="s">
        <v>9075</v>
      </c>
      <c r="J1291" s="1" t="s">
        <v>8971</v>
      </c>
      <c r="K1291" s="1" t="s">
        <v>9036</v>
      </c>
      <c r="L1291" s="1" t="s">
        <v>8973</v>
      </c>
      <c r="M1291" s="1">
        <v>675</v>
      </c>
      <c r="N1291" s="1" t="s">
        <v>8953</v>
      </c>
      <c r="O1291" s="1" t="s">
        <v>8954</v>
      </c>
      <c r="P1291" s="1" t="s">
        <v>8955</v>
      </c>
      <c r="Q1291" s="1" t="s">
        <v>8956</v>
      </c>
      <c r="R1291" s="1" t="s">
        <v>9060</v>
      </c>
      <c r="S1291" s="1" t="s">
        <v>8975</v>
      </c>
      <c r="T1291" s="1" t="s">
        <v>3542</v>
      </c>
      <c r="U1291" s="1" t="s">
        <v>17</v>
      </c>
      <c r="V1291" s="1" t="s">
        <v>126</v>
      </c>
      <c r="W1291" s="1"/>
    </row>
    <row r="1292" spans="1:23" x14ac:dyDescent="0.2">
      <c r="A1292" s="88" t="s">
        <v>16620</v>
      </c>
      <c r="B1292" s="1" t="e">
        <v>#N/A</v>
      </c>
      <c r="C1292" s="1" t="e">
        <v>#N/A</v>
      </c>
      <c r="D1292" s="1" t="s">
        <v>3543</v>
      </c>
      <c r="E1292" s="1" t="s">
        <v>3544</v>
      </c>
      <c r="F1292" s="1" t="s">
        <v>18502</v>
      </c>
      <c r="G1292" s="1" t="s">
        <v>8957</v>
      </c>
      <c r="H1292" t="s">
        <v>8959</v>
      </c>
      <c r="I1292" s="1" t="s">
        <v>9154</v>
      </c>
      <c r="J1292" s="1" t="s">
        <v>8949</v>
      </c>
      <c r="K1292" s="1" t="s">
        <v>10629</v>
      </c>
      <c r="L1292" s="1" t="s">
        <v>8973</v>
      </c>
      <c r="M1292" s="1">
        <v>64</v>
      </c>
      <c r="N1292" s="1" t="s">
        <v>9059</v>
      </c>
      <c r="O1292" s="1" t="s">
        <v>8989</v>
      </c>
      <c r="P1292" s="1" t="e">
        <v>#N/A</v>
      </c>
      <c r="Q1292" s="1" t="e">
        <v>#N/A</v>
      </c>
      <c r="R1292" s="1">
        <f t="shared" ref="R1292:R1294" si="380">1+LEN(T1292)-LEN(SUBSTITUTE(T1292,",",))</f>
        <v>6</v>
      </c>
      <c r="S1292" s="1" t="str">
        <f t="shared" ref="S1292:S1294" si="381">IF(R1292&gt;4,IF(R1292&lt;8,"4-7",IF(R1292&gt;7,"&gt;7")),"&lt;4")</f>
        <v>4-7</v>
      </c>
      <c r="T1292" s="1" t="s">
        <v>19241</v>
      </c>
      <c r="U1292" s="1" t="s">
        <v>7</v>
      </c>
      <c r="V1292" s="1" t="s">
        <v>571</v>
      </c>
      <c r="W1292" s="1"/>
    </row>
    <row r="1293" spans="1:23" x14ac:dyDescent="0.2">
      <c r="A1293" s="89" t="s">
        <v>3545</v>
      </c>
      <c r="B1293" s="1" t="e">
        <v>#N/A</v>
      </c>
      <c r="C1293" s="1" t="e">
        <v>#N/A</v>
      </c>
      <c r="D1293" s="5" t="s">
        <v>3546</v>
      </c>
      <c r="E1293" s="1" t="s">
        <v>3547</v>
      </c>
      <c r="F1293" s="1" t="e">
        <v>#N/A</v>
      </c>
      <c r="G1293" s="1" t="e">
        <v>#N/A</v>
      </c>
      <c r="H1293" t="e">
        <v>#N/A</v>
      </c>
      <c r="I1293" s="1" t="e">
        <v>#N/A</v>
      </c>
      <c r="J1293" s="1" t="e">
        <v>#N/A</v>
      </c>
      <c r="K1293" s="1" t="e">
        <v>#N/A</v>
      </c>
      <c r="L1293" s="1" t="e">
        <v>#N/A</v>
      </c>
      <c r="M1293" s="1" t="e">
        <v>#N/A</v>
      </c>
      <c r="N1293" s="1" t="e">
        <v>#N/A</v>
      </c>
      <c r="O1293" s="1" t="e">
        <v>#N/A</v>
      </c>
      <c r="P1293" s="1" t="e">
        <v>#N/A</v>
      </c>
      <c r="Q1293" s="1" t="e">
        <v>#N/A</v>
      </c>
      <c r="R1293" s="1">
        <f t="shared" si="380"/>
        <v>4</v>
      </c>
      <c r="S1293" s="1" t="str">
        <f t="shared" si="381"/>
        <v>&lt;4</v>
      </c>
      <c r="T1293" s="1" t="s">
        <v>20622</v>
      </c>
      <c r="U1293" s="1" t="s">
        <v>7</v>
      </c>
      <c r="V1293" s="1" t="s">
        <v>184</v>
      </c>
      <c r="W1293" s="1"/>
    </row>
    <row r="1294" spans="1:23" x14ac:dyDescent="0.2">
      <c r="A1294" s="88" t="s">
        <v>16621</v>
      </c>
      <c r="B1294" s="1" t="e">
        <v>#N/A</v>
      </c>
      <c r="C1294" s="1" t="e">
        <v>#N/A</v>
      </c>
      <c r="D1294" s="1" t="s">
        <v>3548</v>
      </c>
      <c r="E1294" s="1" t="s">
        <v>3549</v>
      </c>
      <c r="F1294" s="1" t="e">
        <v>#N/A</v>
      </c>
      <c r="G1294" s="1" t="e">
        <v>#N/A</v>
      </c>
      <c r="H1294" t="e">
        <v>#N/A</v>
      </c>
      <c r="I1294" s="1" t="e">
        <v>#N/A</v>
      </c>
      <c r="J1294" s="1" t="e">
        <v>#N/A</v>
      </c>
      <c r="K1294" s="1" t="e">
        <v>#N/A</v>
      </c>
      <c r="L1294" s="1" t="e">
        <v>#N/A</v>
      </c>
      <c r="M1294" s="1" t="e">
        <v>#N/A</v>
      </c>
      <c r="N1294" s="1" t="e">
        <v>#N/A</v>
      </c>
      <c r="O1294" s="1" t="e">
        <v>#N/A</v>
      </c>
      <c r="P1294" s="1" t="e">
        <v>#N/A</v>
      </c>
      <c r="Q1294" s="1" t="e">
        <v>#N/A</v>
      </c>
      <c r="R1294" s="1">
        <f t="shared" si="380"/>
        <v>3</v>
      </c>
      <c r="S1294" s="1" t="str">
        <f t="shared" si="381"/>
        <v>&lt;4</v>
      </c>
      <c r="T1294" s="1" t="s">
        <v>19242</v>
      </c>
      <c r="U1294" s="1" t="s">
        <v>252</v>
      </c>
      <c r="V1294" s="1" t="s">
        <v>3550</v>
      </c>
      <c r="W1294" s="1"/>
    </row>
    <row r="1295" spans="1:23" x14ac:dyDescent="0.2">
      <c r="A1295" s="88" t="s">
        <v>16622</v>
      </c>
      <c r="B1295" s="1" t="e">
        <v>#N/A</v>
      </c>
      <c r="C1295" s="1" t="s">
        <v>10408</v>
      </c>
      <c r="D1295" s="1" t="s">
        <v>3551</v>
      </c>
      <c r="E1295" s="1" t="s">
        <v>3552</v>
      </c>
      <c r="F1295" s="1" t="s">
        <v>9317</v>
      </c>
      <c r="G1295" s="1" t="s">
        <v>8957</v>
      </c>
      <c r="H1295" t="s">
        <v>9009</v>
      </c>
      <c r="I1295" s="1" t="s">
        <v>8984</v>
      </c>
      <c r="J1295" s="1" t="s">
        <v>9269</v>
      </c>
      <c r="K1295" s="1" t="s">
        <v>9018</v>
      </c>
      <c r="L1295" s="1" t="s">
        <v>9157</v>
      </c>
      <c r="M1295" s="1">
        <v>948</v>
      </c>
      <c r="N1295" s="1" t="s">
        <v>8953</v>
      </c>
      <c r="O1295" s="1" t="s">
        <v>8954</v>
      </c>
      <c r="P1295" s="1" t="s">
        <v>8955</v>
      </c>
      <c r="Q1295" s="1" t="s">
        <v>8956</v>
      </c>
      <c r="R1295" s="1" t="s">
        <v>8957</v>
      </c>
      <c r="S1295" s="1" t="s">
        <v>8975</v>
      </c>
      <c r="T1295" s="1" t="s">
        <v>3553</v>
      </c>
      <c r="U1295" s="1" t="s">
        <v>17</v>
      </c>
      <c r="V1295" s="1" t="s">
        <v>771</v>
      </c>
      <c r="W1295" s="1"/>
    </row>
    <row r="1296" spans="1:23" x14ac:dyDescent="0.2">
      <c r="A1296" s="88" t="s">
        <v>16623</v>
      </c>
      <c r="B1296" s="1" t="e">
        <v>#N/A</v>
      </c>
      <c r="C1296" s="1" t="e">
        <v>#N/A</v>
      </c>
      <c r="D1296" s="1" t="s">
        <v>3554</v>
      </c>
      <c r="E1296" s="1" t="s">
        <v>3555</v>
      </c>
      <c r="F1296" s="1" t="s">
        <v>9387</v>
      </c>
      <c r="G1296" s="1" t="s">
        <v>8959</v>
      </c>
      <c r="H1296" t="s">
        <v>9183</v>
      </c>
      <c r="I1296" s="1" t="s">
        <v>8948</v>
      </c>
      <c r="J1296" s="1" t="s">
        <v>9308</v>
      </c>
      <c r="K1296" s="1" t="s">
        <v>10492</v>
      </c>
      <c r="L1296" s="1" t="s">
        <v>20839</v>
      </c>
      <c r="M1296" s="1">
        <v>112</v>
      </c>
      <c r="N1296" s="1" t="s">
        <v>8953</v>
      </c>
      <c r="O1296" s="1" t="s">
        <v>8989</v>
      </c>
      <c r="P1296" s="1" t="e">
        <v>#N/A</v>
      </c>
      <c r="Q1296" s="1" t="e">
        <v>#N/A</v>
      </c>
      <c r="R1296" s="1">
        <f t="shared" ref="R1296:R1301" si="382">1+LEN(T1296)-LEN(SUBSTITUTE(T1296,",",))</f>
        <v>4</v>
      </c>
      <c r="S1296" s="1" t="str">
        <f t="shared" ref="S1296:S1301" si="383">IF(R1296&gt;4,IF(R1296&lt;8,"4-7",IF(R1296&gt;7,"&gt;7")),"&lt;4")</f>
        <v>&lt;4</v>
      </c>
      <c r="T1296" s="1" t="s">
        <v>19243</v>
      </c>
      <c r="U1296" s="1" t="s">
        <v>7</v>
      </c>
      <c r="V1296" s="1" t="s">
        <v>3556</v>
      </c>
      <c r="W1296" s="1"/>
    </row>
    <row r="1297" spans="1:23" x14ac:dyDescent="0.2">
      <c r="A1297" s="88">
        <v>1</v>
      </c>
      <c r="B1297" t="e">
        <v>#N/A</v>
      </c>
      <c r="C1297" t="e">
        <v>#N/A</v>
      </c>
      <c r="D1297" s="1" t="s">
        <v>3557</v>
      </c>
      <c r="E1297" s="1" t="s">
        <v>3558</v>
      </c>
      <c r="F1297" s="1" t="s">
        <v>9387</v>
      </c>
      <c r="G1297" s="1" t="s">
        <v>8959</v>
      </c>
      <c r="H1297" t="s">
        <v>9183</v>
      </c>
      <c r="I1297" s="1" t="s">
        <v>8948</v>
      </c>
      <c r="J1297" s="1" t="s">
        <v>9308</v>
      </c>
      <c r="K1297" s="1" t="s">
        <v>20783</v>
      </c>
      <c r="L1297" s="1" t="s">
        <v>8951</v>
      </c>
      <c r="M1297" s="1">
        <v>65</v>
      </c>
      <c r="N1297" s="1" t="s">
        <v>8953</v>
      </c>
      <c r="O1297" s="1" t="s">
        <v>8989</v>
      </c>
      <c r="P1297" s="1" t="e">
        <v>#N/A</v>
      </c>
      <c r="Q1297" s="1" t="e">
        <v>#N/A</v>
      </c>
      <c r="R1297" s="1">
        <f t="shared" si="382"/>
        <v>4</v>
      </c>
      <c r="S1297" s="1" t="str">
        <f t="shared" si="383"/>
        <v>&lt;4</v>
      </c>
      <c r="T1297" s="1" t="s">
        <v>19244</v>
      </c>
      <c r="U1297" s="1" t="s">
        <v>17</v>
      </c>
      <c r="V1297" s="1"/>
      <c r="W1297" s="1"/>
    </row>
    <row r="1298" spans="1:23" x14ac:dyDescent="0.2">
      <c r="A1298" s="88" t="s">
        <v>16624</v>
      </c>
      <c r="B1298" s="1" t="e">
        <v>#N/A</v>
      </c>
      <c r="C1298" s="1" t="e">
        <v>#N/A</v>
      </c>
      <c r="D1298" s="1" t="s">
        <v>3559</v>
      </c>
      <c r="E1298" s="1" t="s">
        <v>3560</v>
      </c>
      <c r="F1298" s="1" t="s">
        <v>9317</v>
      </c>
      <c r="G1298" s="1" t="s">
        <v>8974</v>
      </c>
      <c r="H1298" t="s">
        <v>9061</v>
      </c>
      <c r="I1298" s="1" t="s">
        <v>9092</v>
      </c>
      <c r="J1298" s="1" t="s">
        <v>8998</v>
      </c>
      <c r="K1298" s="1" t="s">
        <v>20779</v>
      </c>
      <c r="L1298" s="1" t="s">
        <v>9076</v>
      </c>
      <c r="M1298" s="1">
        <v>241</v>
      </c>
      <c r="N1298" s="1" t="s">
        <v>9059</v>
      </c>
      <c r="O1298" s="1" t="s">
        <v>8989</v>
      </c>
      <c r="P1298" s="1" t="e">
        <v>#N/A</v>
      </c>
      <c r="Q1298" s="1" t="e">
        <v>#N/A</v>
      </c>
      <c r="R1298" s="1">
        <f t="shared" si="382"/>
        <v>9</v>
      </c>
      <c r="S1298" s="1" t="str">
        <f t="shared" si="383"/>
        <v>&gt;7</v>
      </c>
      <c r="T1298" s="1" t="s">
        <v>19245</v>
      </c>
      <c r="U1298" s="1" t="s">
        <v>7</v>
      </c>
      <c r="V1298" s="1" t="s">
        <v>64</v>
      </c>
      <c r="W1298" s="1"/>
    </row>
    <row r="1299" spans="1:23" x14ac:dyDescent="0.2">
      <c r="A1299" s="88" t="s">
        <v>16625</v>
      </c>
      <c r="B1299" s="1" t="e">
        <v>#N/A</v>
      </c>
      <c r="C1299" s="1" t="e">
        <v>#N/A</v>
      </c>
      <c r="D1299" s="1" t="s">
        <v>3561</v>
      </c>
      <c r="E1299" s="1" t="s">
        <v>3562</v>
      </c>
      <c r="F1299" s="1" t="s">
        <v>9333</v>
      </c>
      <c r="G1299" s="1" t="s">
        <v>8957</v>
      </c>
      <c r="H1299" t="s">
        <v>8959</v>
      </c>
      <c r="I1299" s="1" t="s">
        <v>9943</v>
      </c>
      <c r="J1299" s="1" t="s">
        <v>9155</v>
      </c>
      <c r="K1299" s="1" t="s">
        <v>20779</v>
      </c>
      <c r="L1299" s="1" t="s">
        <v>8951</v>
      </c>
      <c r="M1299" s="1">
        <f>1794+46+46</f>
        <v>1886</v>
      </c>
      <c r="N1299" s="1" t="s">
        <v>8953</v>
      </c>
      <c r="O1299" s="1" t="s">
        <v>8989</v>
      </c>
      <c r="P1299" s="1" t="e">
        <v>#N/A</v>
      </c>
      <c r="Q1299" s="1" t="e">
        <v>#N/A</v>
      </c>
      <c r="R1299" s="1">
        <f t="shared" si="382"/>
        <v>5</v>
      </c>
      <c r="S1299" s="1" t="str">
        <f t="shared" si="383"/>
        <v>4-7</v>
      </c>
      <c r="T1299" s="1" t="s">
        <v>19246</v>
      </c>
      <c r="U1299" s="1" t="s">
        <v>7</v>
      </c>
      <c r="V1299" s="1" t="s">
        <v>24</v>
      </c>
      <c r="W1299" s="1"/>
    </row>
    <row r="1300" spans="1:23" x14ac:dyDescent="0.2">
      <c r="A1300" s="88" t="s">
        <v>16626</v>
      </c>
      <c r="B1300" s="1" t="e">
        <v>#N/A</v>
      </c>
      <c r="C1300" s="1" t="e">
        <v>#N/A</v>
      </c>
      <c r="D1300" s="1" t="s">
        <v>3563</v>
      </c>
      <c r="E1300" s="1" t="s">
        <v>3564</v>
      </c>
      <c r="F1300" s="1" t="s">
        <v>14748</v>
      </c>
      <c r="G1300" s="1" t="s">
        <v>8957</v>
      </c>
      <c r="H1300" t="s">
        <v>8959</v>
      </c>
      <c r="I1300" s="1" t="s">
        <v>8984</v>
      </c>
      <c r="J1300" s="1" t="s">
        <v>8998</v>
      </c>
      <c r="K1300" s="1" t="s">
        <v>10492</v>
      </c>
      <c r="L1300" s="1" t="s">
        <v>8973</v>
      </c>
      <c r="M1300" s="1">
        <f>597+1325</f>
        <v>1922</v>
      </c>
      <c r="N1300" s="1" t="s">
        <v>8953</v>
      </c>
      <c r="O1300" s="1" t="s">
        <v>8989</v>
      </c>
      <c r="P1300" s="1" t="e">
        <v>#N/A</v>
      </c>
      <c r="Q1300" s="1" t="e">
        <v>#N/A</v>
      </c>
      <c r="R1300" s="1">
        <f t="shared" si="382"/>
        <v>13</v>
      </c>
      <c r="S1300" s="1" t="str">
        <f t="shared" si="383"/>
        <v>&gt;7</v>
      </c>
      <c r="T1300" s="1" t="s">
        <v>19247</v>
      </c>
      <c r="U1300" s="1" t="s">
        <v>7</v>
      </c>
      <c r="V1300" s="1" t="s">
        <v>1868</v>
      </c>
      <c r="W1300" s="1"/>
    </row>
    <row r="1301" spans="1:23" x14ac:dyDescent="0.2">
      <c r="A1301" s="88" t="s">
        <v>16627</v>
      </c>
      <c r="B1301" s="1" t="e">
        <v>#N/A</v>
      </c>
      <c r="C1301" s="1" t="e">
        <v>#N/A</v>
      </c>
      <c r="D1301" s="1" t="s">
        <v>3565</v>
      </c>
      <c r="E1301" s="1" t="s">
        <v>3566</v>
      </c>
      <c r="F1301" s="1" t="e">
        <v>#N/A</v>
      </c>
      <c r="G1301" s="1" t="e">
        <v>#N/A</v>
      </c>
      <c r="H1301" t="e">
        <v>#N/A</v>
      </c>
      <c r="I1301" s="1" t="e">
        <v>#N/A</v>
      </c>
      <c r="J1301" s="1" t="e">
        <v>#N/A</v>
      </c>
      <c r="K1301" s="1" t="e">
        <v>#N/A</v>
      </c>
      <c r="L1301" s="1" t="e">
        <v>#N/A</v>
      </c>
      <c r="M1301" s="1" t="e">
        <v>#N/A</v>
      </c>
      <c r="N1301" s="1" t="e">
        <v>#N/A</v>
      </c>
      <c r="O1301" s="1" t="e">
        <v>#N/A</v>
      </c>
      <c r="P1301" s="1" t="e">
        <v>#N/A</v>
      </c>
      <c r="Q1301" s="1" t="e">
        <v>#N/A</v>
      </c>
      <c r="R1301" s="1">
        <f t="shared" si="382"/>
        <v>4</v>
      </c>
      <c r="S1301" s="1" t="str">
        <f t="shared" si="383"/>
        <v>&lt;4</v>
      </c>
      <c r="T1301" s="1" t="s">
        <v>19248</v>
      </c>
      <c r="U1301" s="1" t="s">
        <v>252</v>
      </c>
      <c r="V1301" s="1" t="s">
        <v>74</v>
      </c>
      <c r="W1301" s="1"/>
    </row>
    <row r="1302" spans="1:23" x14ac:dyDescent="0.2">
      <c r="A1302" s="88" t="s">
        <v>16628</v>
      </c>
      <c r="B1302" s="1" t="e">
        <v>#N/A</v>
      </c>
      <c r="C1302" s="1" t="s">
        <v>14264</v>
      </c>
      <c r="D1302" s="1" t="s">
        <v>3567</v>
      </c>
      <c r="E1302" s="1" t="s">
        <v>3568</v>
      </c>
      <c r="F1302" s="1" t="s">
        <v>9380</v>
      </c>
      <c r="G1302" s="1" t="s">
        <v>8957</v>
      </c>
      <c r="H1302" t="s">
        <v>9061</v>
      </c>
      <c r="I1302" s="1" t="s">
        <v>8948</v>
      </c>
      <c r="J1302" s="1" t="s">
        <v>9121</v>
      </c>
      <c r="K1302" s="1" t="s">
        <v>9036</v>
      </c>
      <c r="L1302" s="1" t="s">
        <v>9133</v>
      </c>
      <c r="M1302" s="1">
        <v>168</v>
      </c>
      <c r="N1302" s="1" t="s">
        <v>8953</v>
      </c>
      <c r="O1302" s="1" t="s">
        <v>8989</v>
      </c>
      <c r="P1302" s="1" t="s">
        <v>8955</v>
      </c>
      <c r="Q1302" s="1" t="s">
        <v>8956</v>
      </c>
      <c r="R1302" s="1" t="s">
        <v>8957</v>
      </c>
      <c r="S1302" s="1" t="s">
        <v>8975</v>
      </c>
      <c r="T1302" s="1" t="s">
        <v>3569</v>
      </c>
      <c r="U1302" s="1" t="s">
        <v>4</v>
      </c>
      <c r="V1302" s="1" t="s">
        <v>392</v>
      </c>
      <c r="W1302" s="1"/>
    </row>
    <row r="1303" spans="1:23" x14ac:dyDescent="0.2">
      <c r="A1303" s="88" t="s">
        <v>16629</v>
      </c>
      <c r="B1303" s="1" t="e">
        <v>#N/A</v>
      </c>
      <c r="C1303" s="1" t="e">
        <v>#N/A</v>
      </c>
      <c r="D1303" s="1" t="s">
        <v>3570</v>
      </c>
      <c r="E1303" s="1" t="s">
        <v>3571</v>
      </c>
      <c r="F1303" s="1" t="s">
        <v>9333</v>
      </c>
      <c r="G1303" s="1" t="s">
        <v>8957</v>
      </c>
      <c r="H1303" t="s">
        <v>8959</v>
      </c>
      <c r="I1303" s="1" t="s">
        <v>20712</v>
      </c>
      <c r="J1303" s="1" t="s">
        <v>9155</v>
      </c>
      <c r="K1303" s="1" t="s">
        <v>20841</v>
      </c>
      <c r="L1303" s="1" t="s">
        <v>8951</v>
      </c>
      <c r="M1303" s="1">
        <v>3500</v>
      </c>
      <c r="N1303" s="1" t="s">
        <v>8953</v>
      </c>
      <c r="O1303" s="1" t="s">
        <v>8989</v>
      </c>
      <c r="P1303" s="1" t="e">
        <v>#N/A</v>
      </c>
      <c r="Q1303" s="1" t="e">
        <v>#N/A</v>
      </c>
      <c r="R1303" s="1">
        <f t="shared" ref="R1303:R1312" si="384">1+LEN(T1303)-LEN(SUBSTITUTE(T1303,",",))</f>
        <v>7</v>
      </c>
      <c r="S1303" s="1" t="str">
        <f t="shared" ref="S1303:S1312" si="385">IF(R1303&gt;4,IF(R1303&lt;8,"4-7",IF(R1303&gt;7,"&gt;7")),"&lt;4")</f>
        <v>4-7</v>
      </c>
      <c r="T1303" s="1" t="s">
        <v>19249</v>
      </c>
      <c r="U1303" s="1" t="s">
        <v>7</v>
      </c>
      <c r="V1303" s="1" t="s">
        <v>907</v>
      </c>
      <c r="W1303" s="1"/>
    </row>
    <row r="1304" spans="1:23" x14ac:dyDescent="0.2">
      <c r="A1304" s="88" t="s">
        <v>16630</v>
      </c>
      <c r="B1304" s="1" t="e">
        <v>#N/A</v>
      </c>
      <c r="C1304" s="1" t="e">
        <v>#N/A</v>
      </c>
      <c r="D1304" s="1" t="s">
        <v>3572</v>
      </c>
      <c r="E1304" s="1" t="s">
        <v>3573</v>
      </c>
      <c r="F1304" s="1" t="s">
        <v>9333</v>
      </c>
      <c r="G1304" s="1" t="s">
        <v>8957</v>
      </c>
      <c r="H1304" t="s">
        <v>8959</v>
      </c>
      <c r="I1304" s="1" t="s">
        <v>20712</v>
      </c>
      <c r="J1304" s="1" t="s">
        <v>9155</v>
      </c>
      <c r="K1304" s="1" t="s">
        <v>18497</v>
      </c>
      <c r="L1304" s="1" t="s">
        <v>8987</v>
      </c>
      <c r="M1304" s="1">
        <v>3485</v>
      </c>
      <c r="N1304" s="1" t="s">
        <v>8953</v>
      </c>
      <c r="O1304" s="1" t="s">
        <v>8989</v>
      </c>
      <c r="P1304" s="1" t="e">
        <v>#N/A</v>
      </c>
      <c r="Q1304" s="1" t="e">
        <v>#N/A</v>
      </c>
      <c r="R1304" s="1">
        <f t="shared" si="384"/>
        <v>8</v>
      </c>
      <c r="S1304" s="1" t="str">
        <f t="shared" si="385"/>
        <v>&gt;7</v>
      </c>
      <c r="T1304" s="1" t="s">
        <v>19250</v>
      </c>
      <c r="U1304" s="1" t="s">
        <v>7</v>
      </c>
      <c r="V1304" s="1" t="s">
        <v>3574</v>
      </c>
      <c r="W1304" s="1"/>
    </row>
    <row r="1305" spans="1:23" x14ac:dyDescent="0.2">
      <c r="A1305" s="89" t="s">
        <v>3575</v>
      </c>
      <c r="B1305" s="1" t="e">
        <v>#N/A</v>
      </c>
      <c r="C1305" s="1" t="e">
        <v>#N/A</v>
      </c>
      <c r="D1305" s="1" t="s">
        <v>3576</v>
      </c>
      <c r="E1305" s="1" t="s">
        <v>3577</v>
      </c>
      <c r="F1305" s="1" t="e">
        <v>#N/A</v>
      </c>
      <c r="G1305" s="1" t="e">
        <v>#N/A</v>
      </c>
      <c r="H1305" t="e">
        <v>#N/A</v>
      </c>
      <c r="I1305" s="1" t="e">
        <v>#N/A</v>
      </c>
      <c r="J1305" s="1" t="e">
        <v>#N/A</v>
      </c>
      <c r="K1305" s="1" t="e">
        <v>#N/A</v>
      </c>
      <c r="L1305" s="1" t="e">
        <v>#N/A</v>
      </c>
      <c r="M1305" s="1" t="e">
        <v>#N/A</v>
      </c>
      <c r="N1305" s="1" t="e">
        <v>#N/A</v>
      </c>
      <c r="O1305" s="1" t="e">
        <v>#N/A</v>
      </c>
      <c r="P1305" s="1" t="e">
        <v>#N/A</v>
      </c>
      <c r="Q1305" s="1" t="e">
        <v>#N/A</v>
      </c>
      <c r="R1305" s="1">
        <f t="shared" si="384"/>
        <v>11</v>
      </c>
      <c r="S1305" s="1" t="str">
        <f t="shared" si="385"/>
        <v>&gt;7</v>
      </c>
      <c r="T1305" s="1" t="s">
        <v>19251</v>
      </c>
      <c r="U1305" s="1" t="s">
        <v>7</v>
      </c>
      <c r="V1305" s="1" t="s">
        <v>571</v>
      </c>
      <c r="W1305" s="1"/>
    </row>
    <row r="1306" spans="1:23" x14ac:dyDescent="0.2">
      <c r="A1306" s="88" t="s">
        <v>16631</v>
      </c>
      <c r="B1306" s="1" t="e">
        <v>#N/A</v>
      </c>
      <c r="C1306" s="1" t="e">
        <v>#N/A</v>
      </c>
      <c r="D1306" s="1" t="s">
        <v>3578</v>
      </c>
      <c r="E1306" s="1" t="s">
        <v>3579</v>
      </c>
      <c r="F1306" s="1" t="s">
        <v>18502</v>
      </c>
      <c r="G1306" s="1" t="s">
        <v>8959</v>
      </c>
      <c r="H1306" t="s">
        <v>9061</v>
      </c>
      <c r="I1306" s="1" t="s">
        <v>8948</v>
      </c>
      <c r="J1306" s="1" t="s">
        <v>9155</v>
      </c>
      <c r="K1306" s="1" t="s">
        <v>10629</v>
      </c>
      <c r="L1306" s="1" t="s">
        <v>9076</v>
      </c>
      <c r="M1306" s="1">
        <v>77</v>
      </c>
      <c r="N1306" s="1" t="s">
        <v>9059</v>
      </c>
      <c r="O1306" s="1" t="s">
        <v>8989</v>
      </c>
      <c r="P1306" s="1" t="e">
        <v>#N/A</v>
      </c>
      <c r="Q1306" s="1" t="e">
        <v>#N/A</v>
      </c>
      <c r="R1306" s="1">
        <f t="shared" si="384"/>
        <v>8</v>
      </c>
      <c r="S1306" s="1" t="str">
        <f t="shared" si="385"/>
        <v>&gt;7</v>
      </c>
      <c r="T1306" s="1" t="s">
        <v>19252</v>
      </c>
      <c r="U1306" s="1" t="s">
        <v>17</v>
      </c>
      <c r="V1306" s="1" t="s">
        <v>1780</v>
      </c>
      <c r="W1306" s="1"/>
    </row>
    <row r="1307" spans="1:23" x14ac:dyDescent="0.2">
      <c r="A1307" s="92" t="s">
        <v>16632</v>
      </c>
      <c r="B1307" s="1" t="e">
        <v>#N/A</v>
      </c>
      <c r="C1307" s="1" t="e">
        <v>#N/A</v>
      </c>
      <c r="D1307" s="1" t="s">
        <v>3580</v>
      </c>
      <c r="E1307" s="1" t="s">
        <v>3581</v>
      </c>
      <c r="F1307" s="1" t="s">
        <v>9310</v>
      </c>
      <c r="G1307" s="1" t="e">
        <v>#N/A</v>
      </c>
      <c r="H1307" t="s">
        <v>9183</v>
      </c>
      <c r="I1307" s="1" t="s">
        <v>8948</v>
      </c>
      <c r="J1307" s="1" t="s">
        <v>8998</v>
      </c>
      <c r="K1307" s="1" t="s">
        <v>10492</v>
      </c>
      <c r="L1307" s="1" t="s">
        <v>8973</v>
      </c>
      <c r="M1307" s="1" t="e">
        <v>#N/A</v>
      </c>
      <c r="N1307" s="1" t="e">
        <v>#N/A</v>
      </c>
      <c r="O1307" s="1" t="e">
        <v>#N/A</v>
      </c>
      <c r="P1307" s="1" t="e">
        <v>#N/A</v>
      </c>
      <c r="Q1307" s="1" t="e">
        <v>#N/A</v>
      </c>
      <c r="R1307" s="1">
        <f t="shared" si="384"/>
        <v>7</v>
      </c>
      <c r="S1307" s="1" t="str">
        <f t="shared" si="385"/>
        <v>4-7</v>
      </c>
      <c r="T1307" s="1" t="s">
        <v>19253</v>
      </c>
      <c r="U1307" s="1" t="s">
        <v>7</v>
      </c>
      <c r="V1307" s="1" t="s">
        <v>3582</v>
      </c>
      <c r="W1307" s="1"/>
    </row>
    <row r="1308" spans="1:23" x14ac:dyDescent="0.2">
      <c r="A1308" s="88" t="s">
        <v>16633</v>
      </c>
      <c r="B1308" s="1" t="e">
        <v>#N/A</v>
      </c>
      <c r="C1308" s="1" t="e">
        <v>#N/A</v>
      </c>
      <c r="D1308" s="1" t="s">
        <v>3583</v>
      </c>
      <c r="E1308" s="1" t="s">
        <v>3584</v>
      </c>
      <c r="F1308" s="1" t="s">
        <v>9310</v>
      </c>
      <c r="G1308" s="1" t="s">
        <v>8959</v>
      </c>
      <c r="H1308" t="s">
        <v>8959</v>
      </c>
      <c r="I1308" s="1" t="s">
        <v>9154</v>
      </c>
      <c r="J1308" s="1" t="s">
        <v>8949</v>
      </c>
      <c r="K1308" s="1" t="s">
        <v>20779</v>
      </c>
      <c r="L1308" s="1" t="s">
        <v>9076</v>
      </c>
      <c r="M1308" s="1">
        <v>386</v>
      </c>
      <c r="N1308" s="1" t="s">
        <v>8953</v>
      </c>
      <c r="O1308" s="1" t="s">
        <v>8989</v>
      </c>
      <c r="P1308" s="1" t="e">
        <v>#N/A</v>
      </c>
      <c r="Q1308" s="1" t="e">
        <v>#N/A</v>
      </c>
      <c r="R1308" s="1">
        <f t="shared" si="384"/>
        <v>6</v>
      </c>
      <c r="S1308" s="1" t="str">
        <f t="shared" si="385"/>
        <v>4-7</v>
      </c>
      <c r="T1308" s="1" t="s">
        <v>19254</v>
      </c>
      <c r="U1308" s="1" t="s">
        <v>7</v>
      </c>
      <c r="V1308" s="1" t="s">
        <v>378</v>
      </c>
      <c r="W1308" s="1"/>
    </row>
    <row r="1309" spans="1:23" x14ac:dyDescent="0.2">
      <c r="A1309" s="88" t="s">
        <v>16634</v>
      </c>
      <c r="B1309" s="1" t="e">
        <v>#N/A</v>
      </c>
      <c r="C1309" s="1" t="e">
        <v>#N/A</v>
      </c>
      <c r="D1309" s="1" t="s">
        <v>3585</v>
      </c>
      <c r="E1309" s="1" t="s">
        <v>3586</v>
      </c>
      <c r="F1309" s="1" t="s">
        <v>9176</v>
      </c>
      <c r="G1309" s="1" t="s">
        <v>8957</v>
      </c>
      <c r="H1309" t="s">
        <v>9183</v>
      </c>
      <c r="I1309" s="1" t="s">
        <v>20714</v>
      </c>
      <c r="J1309" s="1" t="s">
        <v>9050</v>
      </c>
      <c r="K1309" s="1" t="s">
        <v>20838</v>
      </c>
      <c r="L1309" s="1" t="s">
        <v>8951</v>
      </c>
      <c r="M1309" s="1">
        <f>86162+56113</f>
        <v>142275</v>
      </c>
      <c r="N1309" s="1" t="s">
        <v>8953</v>
      </c>
      <c r="O1309" s="1" t="s">
        <v>8954</v>
      </c>
      <c r="P1309" s="1" t="e">
        <v>#N/A</v>
      </c>
      <c r="Q1309" s="1" t="e">
        <v>#N/A</v>
      </c>
      <c r="R1309" s="1">
        <f t="shared" si="384"/>
        <v>13</v>
      </c>
      <c r="S1309" s="1" t="str">
        <f t="shared" si="385"/>
        <v>&gt;7</v>
      </c>
      <c r="T1309" s="1" t="s">
        <v>19255</v>
      </c>
      <c r="U1309" s="1" t="s">
        <v>17</v>
      </c>
      <c r="V1309" s="1" t="s">
        <v>3587</v>
      </c>
      <c r="W1309" s="1"/>
    </row>
    <row r="1310" spans="1:23" x14ac:dyDescent="0.2">
      <c r="A1310" s="89" t="s">
        <v>3588</v>
      </c>
      <c r="B1310" s="1" t="e">
        <v>#N/A</v>
      </c>
      <c r="C1310" s="1" t="e">
        <v>#N/A</v>
      </c>
      <c r="D1310" s="1" t="s">
        <v>3589</v>
      </c>
      <c r="E1310" s="1" t="s">
        <v>3590</v>
      </c>
      <c r="F1310" s="1" t="e">
        <v>#N/A</v>
      </c>
      <c r="G1310" s="1" t="e">
        <v>#N/A</v>
      </c>
      <c r="H1310" t="e">
        <v>#N/A</v>
      </c>
      <c r="I1310" s="1" t="e">
        <v>#N/A</v>
      </c>
      <c r="J1310" s="1" t="e">
        <v>#N/A</v>
      </c>
      <c r="K1310" s="1" t="e">
        <v>#N/A</v>
      </c>
      <c r="L1310" s="1" t="e">
        <v>#N/A</v>
      </c>
      <c r="M1310" s="1" t="e">
        <v>#N/A</v>
      </c>
      <c r="N1310" s="1" t="e">
        <v>#N/A</v>
      </c>
      <c r="O1310" s="1" t="e">
        <v>#N/A</v>
      </c>
      <c r="P1310" s="1" t="e">
        <v>#N/A</v>
      </c>
      <c r="Q1310" s="1" t="e">
        <v>#N/A</v>
      </c>
      <c r="R1310" s="1">
        <f t="shared" si="384"/>
        <v>30</v>
      </c>
      <c r="S1310" s="1" t="str">
        <f t="shared" si="385"/>
        <v>&gt;7</v>
      </c>
      <c r="T1310" s="1" t="s">
        <v>19256</v>
      </c>
      <c r="U1310" s="1" t="s">
        <v>17</v>
      </c>
      <c r="V1310" s="1" t="s">
        <v>619</v>
      </c>
      <c r="W1310" s="1"/>
    </row>
    <row r="1311" spans="1:23" x14ac:dyDescent="0.2">
      <c r="A1311" s="88" t="s">
        <v>16635</v>
      </c>
      <c r="B1311" s="1" t="e">
        <v>#N/A</v>
      </c>
      <c r="C1311" s="1" t="e">
        <v>#N/A</v>
      </c>
      <c r="D1311" s="1" t="s">
        <v>3591</v>
      </c>
      <c r="E1311" s="1" t="s">
        <v>3592</v>
      </c>
      <c r="F1311" s="1" t="s">
        <v>18502</v>
      </c>
      <c r="G1311" s="1" t="s">
        <v>8957</v>
      </c>
      <c r="H1311" t="s">
        <v>8959</v>
      </c>
      <c r="I1311" s="1" t="s">
        <v>20714</v>
      </c>
      <c r="J1311" s="1" t="s">
        <v>9050</v>
      </c>
      <c r="K1311" s="1" t="s">
        <v>18489</v>
      </c>
      <c r="L1311" s="1" t="s">
        <v>8951</v>
      </c>
      <c r="M1311" s="1">
        <v>59812</v>
      </c>
      <c r="N1311" s="1" t="s">
        <v>8953</v>
      </c>
      <c r="O1311" s="1" t="s">
        <v>8954</v>
      </c>
      <c r="P1311" s="1" t="e">
        <v>#N/A</v>
      </c>
      <c r="Q1311" s="1" t="e">
        <v>#N/A</v>
      </c>
      <c r="R1311" s="1">
        <f t="shared" si="384"/>
        <v>8</v>
      </c>
      <c r="S1311" s="1" t="str">
        <f t="shared" si="385"/>
        <v>&gt;7</v>
      </c>
      <c r="T1311" s="1" t="s">
        <v>19257</v>
      </c>
      <c r="U1311" s="1" t="s">
        <v>17</v>
      </c>
      <c r="V1311" s="1" t="s">
        <v>447</v>
      </c>
      <c r="W1311" s="1"/>
    </row>
    <row r="1312" spans="1:23" x14ac:dyDescent="0.2">
      <c r="A1312" s="88" t="s">
        <v>16636</v>
      </c>
      <c r="B1312" s="1" t="e">
        <v>#N/A</v>
      </c>
      <c r="C1312" s="1" t="e">
        <v>#N/A</v>
      </c>
      <c r="D1312" s="1" t="s">
        <v>3593</v>
      </c>
      <c r="E1312" s="1" t="s">
        <v>3594</v>
      </c>
      <c r="F1312" s="1" t="s">
        <v>18502</v>
      </c>
      <c r="G1312" s="1" t="s">
        <v>9060</v>
      </c>
      <c r="H1312" t="s">
        <v>8959</v>
      </c>
      <c r="I1312" s="1" t="s">
        <v>9100</v>
      </c>
      <c r="J1312" s="1" t="s">
        <v>8949</v>
      </c>
      <c r="K1312" s="1" t="s">
        <v>20779</v>
      </c>
      <c r="L1312" s="1" t="s">
        <v>8951</v>
      </c>
      <c r="M1312" s="1">
        <v>2500000</v>
      </c>
      <c r="N1312" s="1" t="s">
        <v>8953</v>
      </c>
      <c r="O1312" s="1" t="s">
        <v>8954</v>
      </c>
      <c r="P1312" s="1" t="e">
        <v>#N/A</v>
      </c>
      <c r="Q1312" s="1" t="e">
        <v>#N/A</v>
      </c>
      <c r="R1312" s="1">
        <f t="shared" si="384"/>
        <v>5</v>
      </c>
      <c r="S1312" s="1" t="str">
        <f t="shared" si="385"/>
        <v>4-7</v>
      </c>
      <c r="T1312" s="1" t="s">
        <v>19258</v>
      </c>
      <c r="U1312" s="1" t="s">
        <v>11</v>
      </c>
      <c r="V1312" s="1" t="s">
        <v>538</v>
      </c>
      <c r="W1312" s="1"/>
    </row>
    <row r="1313" spans="1:23" x14ac:dyDescent="0.2">
      <c r="A1313" s="88" t="s">
        <v>16637</v>
      </c>
      <c r="B1313" s="1" t="e">
        <v>#N/A</v>
      </c>
      <c r="C1313" s="1" t="s">
        <v>14782</v>
      </c>
      <c r="D1313" s="1" t="s">
        <v>3595</v>
      </c>
      <c r="E1313" s="1" t="s">
        <v>3596</v>
      </c>
      <c r="F1313" s="1" t="s">
        <v>9010</v>
      </c>
      <c r="G1313" s="1" t="s">
        <v>8957</v>
      </c>
      <c r="H1313" t="s">
        <v>8959</v>
      </c>
      <c r="I1313" s="1" t="s">
        <v>8948</v>
      </c>
      <c r="J1313" s="1" t="s">
        <v>8998</v>
      </c>
      <c r="K1313" s="1" t="s">
        <v>9036</v>
      </c>
      <c r="L1313" s="1" t="s">
        <v>8987</v>
      </c>
      <c r="M1313" s="1">
        <v>2000</v>
      </c>
      <c r="N1313" s="1" t="s">
        <v>8953</v>
      </c>
      <c r="O1313" s="1" t="s">
        <v>8989</v>
      </c>
      <c r="P1313" s="1" t="s">
        <v>8955</v>
      </c>
      <c r="Q1313" s="1" t="s">
        <v>8956</v>
      </c>
      <c r="R1313" s="1" t="s">
        <v>8957</v>
      </c>
      <c r="S1313" s="1" t="s">
        <v>8958</v>
      </c>
      <c r="T1313" s="1" t="s">
        <v>3597</v>
      </c>
      <c r="U1313" s="1" t="s">
        <v>17</v>
      </c>
      <c r="V1313" s="1" t="s">
        <v>53</v>
      </c>
      <c r="W1313" s="1"/>
    </row>
    <row r="1314" spans="1:23" x14ac:dyDescent="0.2">
      <c r="A1314" s="88" t="s">
        <v>16638</v>
      </c>
      <c r="B1314" s="1" t="e">
        <v>#N/A</v>
      </c>
      <c r="C1314" s="1" t="e">
        <v>#N/A</v>
      </c>
      <c r="D1314" s="1" t="s">
        <v>3598</v>
      </c>
      <c r="E1314" s="1" t="s">
        <v>3599</v>
      </c>
      <c r="F1314" s="1" t="s">
        <v>9968</v>
      </c>
      <c r="G1314" s="1" t="s">
        <v>8957</v>
      </c>
      <c r="H1314" t="s">
        <v>8959</v>
      </c>
      <c r="I1314" s="1" t="s">
        <v>9154</v>
      </c>
      <c r="J1314" s="1" t="s">
        <v>8949</v>
      </c>
      <c r="K1314" s="1" t="s">
        <v>20854</v>
      </c>
      <c r="L1314" s="1" t="s">
        <v>8951</v>
      </c>
      <c r="M1314" s="1">
        <f>3250+1320</f>
        <v>4570</v>
      </c>
      <c r="N1314" s="1" t="s">
        <v>8953</v>
      </c>
      <c r="O1314" s="1" t="s">
        <v>8954</v>
      </c>
      <c r="P1314" s="1" t="e">
        <v>#N/A</v>
      </c>
      <c r="Q1314" s="1" t="e">
        <v>#N/A</v>
      </c>
      <c r="R1314" s="1">
        <f>1+LEN(T1314)-LEN(SUBSTITUTE(T1314,",",))</f>
        <v>4</v>
      </c>
      <c r="S1314" s="1" t="str">
        <f>IF(R1314&gt;4,IF(R1314&lt;8,"4-7",IF(R1314&gt;7,"&gt;7")),"&lt;4")</f>
        <v>&lt;4</v>
      </c>
      <c r="T1314" s="1" t="s">
        <v>19259</v>
      </c>
      <c r="U1314" s="1" t="s">
        <v>7</v>
      </c>
      <c r="V1314" s="1" t="s">
        <v>2434</v>
      </c>
      <c r="W1314" s="1"/>
    </row>
    <row r="1315" spans="1:23" x14ac:dyDescent="0.2">
      <c r="A1315" s="88" t="s">
        <v>16639</v>
      </c>
      <c r="B1315" s="1" t="e">
        <v>#N/A</v>
      </c>
      <c r="C1315" s="1" t="s">
        <v>12876</v>
      </c>
      <c r="D1315" s="1" t="s">
        <v>3600</v>
      </c>
      <c r="E1315" s="1" t="s">
        <v>3601</v>
      </c>
      <c r="F1315" s="1" t="s">
        <v>9010</v>
      </c>
      <c r="G1315" s="1" t="s">
        <v>9060</v>
      </c>
      <c r="H1315" t="s">
        <v>9009</v>
      </c>
      <c r="I1315" s="1" t="s">
        <v>9049</v>
      </c>
      <c r="J1315" s="1" t="s">
        <v>9325</v>
      </c>
      <c r="K1315" s="1" t="s">
        <v>9036</v>
      </c>
      <c r="L1315" s="1" t="s">
        <v>9133</v>
      </c>
      <c r="M1315" s="1">
        <v>207130</v>
      </c>
      <c r="N1315" s="1" t="s">
        <v>8953</v>
      </c>
      <c r="O1315" s="1" t="s">
        <v>8989</v>
      </c>
      <c r="P1315" s="1" t="s">
        <v>8955</v>
      </c>
      <c r="Q1315" s="1" t="s">
        <v>8956</v>
      </c>
      <c r="R1315" s="1" t="s">
        <v>9060</v>
      </c>
      <c r="S1315" s="1" t="s">
        <v>8975</v>
      </c>
      <c r="T1315" s="1" t="s">
        <v>3602</v>
      </c>
      <c r="U1315" s="1" t="s">
        <v>11</v>
      </c>
      <c r="V1315" s="1" t="s">
        <v>1462</v>
      </c>
      <c r="W1315" s="1"/>
    </row>
    <row r="1316" spans="1:23" x14ac:dyDescent="0.2">
      <c r="A1316" s="88" t="s">
        <v>16640</v>
      </c>
      <c r="B1316" s="1" t="e">
        <v>#N/A</v>
      </c>
      <c r="C1316" s="1" t="s">
        <v>10194</v>
      </c>
      <c r="D1316" s="1" t="s">
        <v>3603</v>
      </c>
      <c r="E1316" s="1" t="s">
        <v>3604</v>
      </c>
      <c r="F1316" s="1" t="s">
        <v>9380</v>
      </c>
      <c r="G1316" s="1" t="s">
        <v>9060</v>
      </c>
      <c r="H1316" t="s">
        <v>8959</v>
      </c>
      <c r="I1316" s="1" t="s">
        <v>9605</v>
      </c>
      <c r="J1316" s="1" t="s">
        <v>8949</v>
      </c>
      <c r="K1316" s="1" t="s">
        <v>9036</v>
      </c>
      <c r="L1316" s="1" t="s">
        <v>8973</v>
      </c>
      <c r="M1316" s="1">
        <v>173</v>
      </c>
      <c r="N1316" s="1" t="s">
        <v>8953</v>
      </c>
      <c r="O1316" s="1" t="s">
        <v>8954</v>
      </c>
      <c r="P1316" s="1" t="s">
        <v>8955</v>
      </c>
      <c r="Q1316" s="1" t="s">
        <v>8990</v>
      </c>
      <c r="R1316" s="1" t="s">
        <v>9060</v>
      </c>
      <c r="S1316" s="1" t="s">
        <v>8958</v>
      </c>
      <c r="T1316" s="1" t="s">
        <v>3605</v>
      </c>
      <c r="U1316" s="1" t="s">
        <v>17</v>
      </c>
      <c r="V1316" s="1" t="s">
        <v>126</v>
      </c>
      <c r="W1316" s="1"/>
    </row>
    <row r="1317" spans="1:23" x14ac:dyDescent="0.2">
      <c r="A1317" s="94" t="s">
        <v>16641</v>
      </c>
      <c r="B1317" s="1" t="e">
        <v>#N/A</v>
      </c>
      <c r="C1317" s="1" t="e">
        <v>#N/A</v>
      </c>
      <c r="D1317" s="1" t="s">
        <v>3606</v>
      </c>
      <c r="E1317" s="1" t="s">
        <v>3607</v>
      </c>
      <c r="F1317" s="1" t="s">
        <v>18502</v>
      </c>
      <c r="G1317" s="1" t="e">
        <v>#N/A</v>
      </c>
      <c r="H1317" t="s">
        <v>8959</v>
      </c>
      <c r="I1317" s="1" t="s">
        <v>9605</v>
      </c>
      <c r="J1317" s="1" t="e">
        <v>#N/A</v>
      </c>
      <c r="K1317" s="1" t="e">
        <v>#N/A</v>
      </c>
      <c r="L1317" s="1" t="s">
        <v>8973</v>
      </c>
      <c r="M1317" s="1" t="e">
        <v>#N/A</v>
      </c>
      <c r="N1317" s="1" t="e">
        <v>#N/A</v>
      </c>
      <c r="O1317" s="1" t="e">
        <v>#N/A</v>
      </c>
      <c r="P1317" s="1" t="e">
        <v>#N/A</v>
      </c>
      <c r="Q1317" s="1" t="e">
        <v>#N/A</v>
      </c>
      <c r="R1317" s="1">
        <f t="shared" ref="R1317:R1324" si="386">1+LEN(T1317)-LEN(SUBSTITUTE(T1317,",",))</f>
        <v>5</v>
      </c>
      <c r="S1317" s="1" t="str">
        <f t="shared" ref="S1317:S1324" si="387">IF(R1317&gt;4,IF(R1317&lt;8,"4-7",IF(R1317&gt;7,"&gt;7")),"&lt;4")</f>
        <v>4-7</v>
      </c>
      <c r="T1317" s="1" t="s">
        <v>19260</v>
      </c>
      <c r="U1317" s="1" t="s">
        <v>17</v>
      </c>
      <c r="V1317" s="1" t="s">
        <v>24</v>
      </c>
      <c r="W1317" s="1"/>
    </row>
    <row r="1318" spans="1:23" x14ac:dyDescent="0.2">
      <c r="A1318" s="88" t="s">
        <v>16642</v>
      </c>
      <c r="B1318" s="1" t="e">
        <v>#N/A</v>
      </c>
      <c r="C1318" s="1" t="e">
        <v>#N/A</v>
      </c>
      <c r="D1318" s="1" t="s">
        <v>3608</v>
      </c>
      <c r="E1318" s="1" t="s">
        <v>3609</v>
      </c>
      <c r="F1318" s="1" t="s">
        <v>20718</v>
      </c>
      <c r="G1318" s="1" t="s">
        <v>8959</v>
      </c>
      <c r="H1318" t="s">
        <v>8959</v>
      </c>
      <c r="I1318" s="1" t="s">
        <v>9035</v>
      </c>
      <c r="J1318" s="1" t="s">
        <v>8998</v>
      </c>
      <c r="K1318" s="1" t="s">
        <v>20833</v>
      </c>
      <c r="L1318" s="1" t="s">
        <v>8987</v>
      </c>
      <c r="M1318" s="1">
        <f>349+463</f>
        <v>812</v>
      </c>
      <c r="N1318" s="1" t="s">
        <v>8953</v>
      </c>
      <c r="O1318" s="1" t="s">
        <v>8954</v>
      </c>
      <c r="P1318" s="1" t="e">
        <v>#N/A</v>
      </c>
      <c r="Q1318" s="1" t="e">
        <v>#N/A</v>
      </c>
      <c r="R1318" s="1">
        <f t="shared" si="386"/>
        <v>6</v>
      </c>
      <c r="S1318" s="1" t="str">
        <f t="shared" si="387"/>
        <v>4-7</v>
      </c>
      <c r="T1318" s="1" t="s">
        <v>19261</v>
      </c>
      <c r="U1318" s="1" t="s">
        <v>7</v>
      </c>
      <c r="V1318" s="1" t="s">
        <v>3610</v>
      </c>
      <c r="W1318" s="1"/>
    </row>
    <row r="1319" spans="1:23" x14ac:dyDescent="0.2">
      <c r="A1319" s="88" t="s">
        <v>16643</v>
      </c>
      <c r="B1319" s="1" t="e">
        <v>#N/A</v>
      </c>
      <c r="C1319" s="1" t="e">
        <v>#N/A</v>
      </c>
      <c r="D1319" s="1" t="s">
        <v>3611</v>
      </c>
      <c r="E1319" s="1" t="s">
        <v>3612</v>
      </c>
      <c r="F1319" s="1" t="s">
        <v>9246</v>
      </c>
      <c r="G1319" s="1" t="s">
        <v>8957</v>
      </c>
      <c r="H1319" t="s">
        <v>9061</v>
      </c>
      <c r="I1319" s="1" t="s">
        <v>8948</v>
      </c>
      <c r="J1319" s="1" t="s">
        <v>8949</v>
      </c>
      <c r="K1319" s="1" t="s">
        <v>10492</v>
      </c>
      <c r="L1319" s="1" t="s">
        <v>8973</v>
      </c>
      <c r="M1319" s="1">
        <v>126</v>
      </c>
      <c r="N1319" s="1" t="s">
        <v>8953</v>
      </c>
      <c r="O1319" s="1" t="s">
        <v>8989</v>
      </c>
      <c r="P1319" s="1" t="e">
        <v>#N/A</v>
      </c>
      <c r="Q1319" s="1" t="e">
        <v>#N/A</v>
      </c>
      <c r="R1319" s="1">
        <f t="shared" si="386"/>
        <v>9</v>
      </c>
      <c r="S1319" s="1" t="str">
        <f t="shared" si="387"/>
        <v>&gt;7</v>
      </c>
      <c r="T1319" s="1" t="s">
        <v>19262</v>
      </c>
      <c r="U1319" s="1" t="s">
        <v>17</v>
      </c>
      <c r="V1319" s="1" t="s">
        <v>21</v>
      </c>
      <c r="W1319" s="1"/>
    </row>
    <row r="1320" spans="1:23" x14ac:dyDescent="0.2">
      <c r="A1320" s="88" t="s">
        <v>16644</v>
      </c>
      <c r="B1320" s="1" t="e">
        <v>#N/A</v>
      </c>
      <c r="C1320" s="1" t="e">
        <v>#N/A</v>
      </c>
      <c r="D1320" s="1" t="s">
        <v>3613</v>
      </c>
      <c r="E1320" s="1" t="s">
        <v>3614</v>
      </c>
      <c r="F1320" s="1" t="s">
        <v>9246</v>
      </c>
      <c r="G1320" s="1" t="s">
        <v>8957</v>
      </c>
      <c r="H1320" t="s">
        <v>9061</v>
      </c>
      <c r="I1320" s="1" t="s">
        <v>8948</v>
      </c>
      <c r="J1320" s="1" t="s">
        <v>8949</v>
      </c>
      <c r="K1320" s="1" t="s">
        <v>10492</v>
      </c>
      <c r="L1320" s="1" t="s">
        <v>8973</v>
      </c>
      <c r="M1320" s="1">
        <f>45+17+18</f>
        <v>80</v>
      </c>
      <c r="N1320" s="1" t="s">
        <v>9059</v>
      </c>
      <c r="O1320" s="1" t="s">
        <v>8954</v>
      </c>
      <c r="P1320" s="1" t="e">
        <v>#N/A</v>
      </c>
      <c r="Q1320" s="1" t="e">
        <v>#N/A</v>
      </c>
      <c r="R1320" s="1">
        <f t="shared" si="386"/>
        <v>11</v>
      </c>
      <c r="S1320" s="1" t="str">
        <f t="shared" si="387"/>
        <v>&gt;7</v>
      </c>
      <c r="T1320" s="1" t="s">
        <v>19263</v>
      </c>
      <c r="U1320" s="1" t="s">
        <v>17</v>
      </c>
      <c r="V1320" s="1" t="s">
        <v>57</v>
      </c>
      <c r="W1320" s="1"/>
    </row>
    <row r="1321" spans="1:23" x14ac:dyDescent="0.2">
      <c r="A1321" s="88" t="s">
        <v>16645</v>
      </c>
      <c r="B1321" s="1" t="e">
        <v>#N/A</v>
      </c>
      <c r="C1321" s="1" t="e">
        <v>#N/A</v>
      </c>
      <c r="D1321" s="1" t="s">
        <v>3615</v>
      </c>
      <c r="E1321" s="1" t="s">
        <v>3616</v>
      </c>
      <c r="F1321" s="1" t="s">
        <v>9815</v>
      </c>
      <c r="G1321" s="1" t="s">
        <v>8959</v>
      </c>
      <c r="H1321" t="s">
        <v>8959</v>
      </c>
      <c r="I1321" s="1" t="s">
        <v>9035</v>
      </c>
      <c r="J1321" s="1" t="s">
        <v>9308</v>
      </c>
      <c r="K1321" s="1" t="s">
        <v>20850</v>
      </c>
      <c r="L1321" s="1" t="s">
        <v>9133</v>
      </c>
      <c r="M1321" s="1">
        <v>1300</v>
      </c>
      <c r="N1321" s="1" t="s">
        <v>8953</v>
      </c>
      <c r="O1321" s="1" t="s">
        <v>8954</v>
      </c>
      <c r="P1321" s="1" t="e">
        <v>#N/A</v>
      </c>
      <c r="Q1321" s="1" t="e">
        <v>#N/A</v>
      </c>
      <c r="R1321" s="1">
        <f t="shared" si="386"/>
        <v>3</v>
      </c>
      <c r="S1321" s="1" t="str">
        <f t="shared" si="387"/>
        <v>&lt;4</v>
      </c>
      <c r="T1321" s="1" t="s">
        <v>19264</v>
      </c>
      <c r="U1321" s="1" t="s">
        <v>7</v>
      </c>
      <c r="V1321" s="1" t="s">
        <v>184</v>
      </c>
      <c r="W1321" s="1"/>
    </row>
    <row r="1322" spans="1:23" x14ac:dyDescent="0.2">
      <c r="A1322" s="88" t="s">
        <v>16646</v>
      </c>
      <c r="B1322" s="1" t="e">
        <v>#N/A</v>
      </c>
      <c r="C1322" s="1" t="e">
        <v>#N/A</v>
      </c>
      <c r="D1322" s="1" t="s">
        <v>3617</v>
      </c>
      <c r="E1322" s="1" t="s">
        <v>3618</v>
      </c>
      <c r="F1322" s="1" t="s">
        <v>9310</v>
      </c>
      <c r="G1322" s="1" t="s">
        <v>8957</v>
      </c>
      <c r="H1322" t="s">
        <v>8959</v>
      </c>
      <c r="I1322" s="1" t="s">
        <v>9100</v>
      </c>
      <c r="J1322" s="1" t="s">
        <v>8949</v>
      </c>
      <c r="K1322" s="1" t="s">
        <v>21274</v>
      </c>
      <c r="L1322" s="1" t="s">
        <v>8987</v>
      </c>
      <c r="M1322" s="1">
        <v>253</v>
      </c>
      <c r="N1322" s="1" t="s">
        <v>8953</v>
      </c>
      <c r="O1322" s="1" t="s">
        <v>8954</v>
      </c>
      <c r="P1322" s="1" t="e">
        <v>#N/A</v>
      </c>
      <c r="Q1322" s="1" t="e">
        <v>#N/A</v>
      </c>
      <c r="R1322" s="1">
        <f t="shared" si="386"/>
        <v>4</v>
      </c>
      <c r="S1322" s="1" t="str">
        <f t="shared" si="387"/>
        <v>&lt;4</v>
      </c>
      <c r="T1322" s="1" t="s">
        <v>19265</v>
      </c>
      <c r="U1322" s="1" t="s">
        <v>7</v>
      </c>
      <c r="V1322" s="1" t="s">
        <v>2248</v>
      </c>
      <c r="W1322" s="1"/>
    </row>
    <row r="1323" spans="1:23" x14ac:dyDescent="0.2">
      <c r="A1323" s="88" t="s">
        <v>16647</v>
      </c>
      <c r="B1323" s="1" t="e">
        <v>#N/A</v>
      </c>
      <c r="C1323" s="1" t="e">
        <v>#N/A</v>
      </c>
      <c r="D1323" s="1" t="s">
        <v>3619</v>
      </c>
      <c r="E1323" s="1" t="s">
        <v>3620</v>
      </c>
      <c r="F1323" s="1" t="s">
        <v>9213</v>
      </c>
      <c r="G1323" s="1" t="s">
        <v>8957</v>
      </c>
      <c r="H1323" t="s">
        <v>8959</v>
      </c>
      <c r="I1323" s="1" t="s">
        <v>8948</v>
      </c>
      <c r="J1323" s="1" t="s">
        <v>9131</v>
      </c>
      <c r="K1323" s="1" t="s">
        <v>21229</v>
      </c>
      <c r="L1323" s="1" t="s">
        <v>8951</v>
      </c>
      <c r="M1323" s="1">
        <v>2484</v>
      </c>
      <c r="N1323" s="1" t="s">
        <v>8953</v>
      </c>
      <c r="O1323" s="1" t="s">
        <v>8989</v>
      </c>
      <c r="P1323" s="1" t="e">
        <v>#N/A</v>
      </c>
      <c r="Q1323" s="1" t="e">
        <v>#N/A</v>
      </c>
      <c r="R1323" s="1">
        <f t="shared" si="386"/>
        <v>8</v>
      </c>
      <c r="S1323" s="1" t="str">
        <f t="shared" si="387"/>
        <v>&gt;7</v>
      </c>
      <c r="T1323" s="1" t="s">
        <v>19266</v>
      </c>
      <c r="U1323" s="1" t="s">
        <v>7</v>
      </c>
      <c r="V1323" s="1" t="s">
        <v>342</v>
      </c>
      <c r="W1323" s="1"/>
    </row>
    <row r="1324" spans="1:23" x14ac:dyDescent="0.2">
      <c r="A1324" s="89" t="s">
        <v>3621</v>
      </c>
      <c r="B1324" s="1" t="e">
        <v>#N/A</v>
      </c>
      <c r="C1324" s="1" t="e">
        <v>#N/A</v>
      </c>
      <c r="D1324" s="1" t="s">
        <v>3622</v>
      </c>
      <c r="E1324" s="1" t="s">
        <v>3623</v>
      </c>
      <c r="F1324" s="1" t="e">
        <v>#N/A</v>
      </c>
      <c r="G1324" s="1" t="e">
        <v>#N/A</v>
      </c>
      <c r="H1324" t="e">
        <v>#N/A</v>
      </c>
      <c r="I1324" s="1" t="e">
        <v>#N/A</v>
      </c>
      <c r="J1324" s="1" t="e">
        <v>#N/A</v>
      </c>
      <c r="K1324" s="1" t="e">
        <v>#N/A</v>
      </c>
      <c r="L1324" s="1" t="e">
        <v>#N/A</v>
      </c>
      <c r="M1324" s="1" t="e">
        <v>#N/A</v>
      </c>
      <c r="N1324" s="1" t="e">
        <v>#N/A</v>
      </c>
      <c r="O1324" s="1" t="e">
        <v>#N/A</v>
      </c>
      <c r="P1324" s="1" t="e">
        <v>#N/A</v>
      </c>
      <c r="Q1324" s="1" t="e">
        <v>#N/A</v>
      </c>
      <c r="R1324" s="1">
        <f t="shared" si="386"/>
        <v>15</v>
      </c>
      <c r="S1324" s="1" t="str">
        <f t="shared" si="387"/>
        <v>&gt;7</v>
      </c>
      <c r="T1324" s="1" t="s">
        <v>19267</v>
      </c>
      <c r="U1324" s="1" t="s">
        <v>17</v>
      </c>
      <c r="V1324" s="1" t="s">
        <v>850</v>
      </c>
      <c r="W1324" s="1"/>
    </row>
    <row r="1325" spans="1:23" x14ac:dyDescent="0.2">
      <c r="A1325" s="88" t="s">
        <v>16648</v>
      </c>
      <c r="B1325" s="1" t="e">
        <v>#N/A</v>
      </c>
      <c r="C1325" s="1" t="s">
        <v>13114</v>
      </c>
      <c r="D1325" s="1" t="s">
        <v>3624</v>
      </c>
      <c r="E1325" s="1" t="s">
        <v>3625</v>
      </c>
      <c r="F1325" s="1" t="s">
        <v>9380</v>
      </c>
      <c r="G1325" s="1" t="s">
        <v>8957</v>
      </c>
      <c r="H1325" t="s">
        <v>9009</v>
      </c>
      <c r="I1325" s="1" t="s">
        <v>9173</v>
      </c>
      <c r="J1325" s="1" t="s">
        <v>9174</v>
      </c>
      <c r="K1325" s="1" t="s">
        <v>9036</v>
      </c>
      <c r="L1325" s="1" t="s">
        <v>8951</v>
      </c>
      <c r="M1325" s="1">
        <v>600</v>
      </c>
      <c r="N1325" s="1" t="s">
        <v>8953</v>
      </c>
      <c r="O1325" s="1" t="s">
        <v>8989</v>
      </c>
      <c r="P1325" s="1" t="s">
        <v>8955</v>
      </c>
      <c r="Q1325" s="1" t="s">
        <v>8956</v>
      </c>
      <c r="R1325" s="1" t="s">
        <v>8957</v>
      </c>
      <c r="S1325" s="1" t="s">
        <v>8958</v>
      </c>
      <c r="T1325" s="1" t="s">
        <v>3626</v>
      </c>
      <c r="U1325" s="1" t="s">
        <v>11</v>
      </c>
      <c r="V1325" s="1" t="s">
        <v>97</v>
      </c>
      <c r="W1325" s="1"/>
    </row>
    <row r="1326" spans="1:23" x14ac:dyDescent="0.2">
      <c r="A1326" s="89" t="s">
        <v>3627</v>
      </c>
      <c r="B1326" s="1" t="e">
        <v>#N/A</v>
      </c>
      <c r="C1326" s="1" t="e">
        <v>#N/A</v>
      </c>
      <c r="D1326" s="1" t="s">
        <v>3628</v>
      </c>
      <c r="E1326" s="1" t="s">
        <v>3629</v>
      </c>
      <c r="F1326" s="1" t="e">
        <v>#N/A</v>
      </c>
      <c r="G1326" s="1" t="e">
        <v>#N/A</v>
      </c>
      <c r="H1326" t="e">
        <v>#N/A</v>
      </c>
      <c r="I1326" s="1" t="e">
        <v>#N/A</v>
      </c>
      <c r="J1326" s="1" t="e">
        <v>#N/A</v>
      </c>
      <c r="K1326" s="1" t="e">
        <v>#N/A</v>
      </c>
      <c r="L1326" s="1" t="e">
        <v>#N/A</v>
      </c>
      <c r="M1326" s="1" t="e">
        <v>#N/A</v>
      </c>
      <c r="N1326" s="1" t="e">
        <v>#N/A</v>
      </c>
      <c r="O1326" s="1" t="e">
        <v>#N/A</v>
      </c>
      <c r="P1326" s="1" t="e">
        <v>#N/A</v>
      </c>
      <c r="Q1326" s="1" t="e">
        <v>#N/A</v>
      </c>
      <c r="R1326" s="1">
        <f>1+LEN(T1326)-LEN(SUBSTITUTE(T1326,",",))</f>
        <v>3</v>
      </c>
      <c r="S1326" s="1" t="str">
        <f>IF(R1326&gt;4,IF(R1326&lt;8,"4-7",IF(R1326&gt;7,"&gt;7")),"&lt;4")</f>
        <v>&lt;4</v>
      </c>
      <c r="T1326" s="1" t="s">
        <v>19268</v>
      </c>
      <c r="U1326" s="1" t="s">
        <v>7</v>
      </c>
      <c r="V1326" s="1" t="s">
        <v>3630</v>
      </c>
      <c r="W1326" s="1"/>
    </row>
    <row r="1327" spans="1:23" x14ac:dyDescent="0.2">
      <c r="A1327" s="88" t="s">
        <v>16649</v>
      </c>
      <c r="B1327" s="1" t="e">
        <v>#N/A</v>
      </c>
      <c r="C1327" s="1" t="s">
        <v>11111</v>
      </c>
      <c r="D1327" s="1" t="s">
        <v>3631</v>
      </c>
      <c r="E1327" s="1" t="s">
        <v>3632</v>
      </c>
      <c r="F1327" s="1" t="s">
        <v>9815</v>
      </c>
      <c r="G1327" s="1" t="s">
        <v>8959</v>
      </c>
      <c r="H1327" t="s">
        <v>9183</v>
      </c>
      <c r="I1327" s="1" t="s">
        <v>9154</v>
      </c>
      <c r="J1327" s="1" t="s">
        <v>8949</v>
      </c>
      <c r="K1327" s="1" t="s">
        <v>11114</v>
      </c>
      <c r="L1327" s="1" t="s">
        <v>9133</v>
      </c>
      <c r="M1327" s="1">
        <v>850</v>
      </c>
      <c r="N1327" s="1" t="s">
        <v>9059</v>
      </c>
      <c r="O1327" s="1" t="s">
        <v>8954</v>
      </c>
      <c r="P1327" s="1" t="s">
        <v>8955</v>
      </c>
      <c r="Q1327" s="1" t="s">
        <v>8956</v>
      </c>
      <c r="R1327" s="1" t="s">
        <v>8959</v>
      </c>
      <c r="S1327" s="1" t="s">
        <v>9103</v>
      </c>
      <c r="T1327" s="1" t="s">
        <v>3633</v>
      </c>
      <c r="U1327" s="1" t="s">
        <v>17</v>
      </c>
      <c r="V1327" s="1" t="s">
        <v>126</v>
      </c>
      <c r="W1327" s="1"/>
    </row>
    <row r="1328" spans="1:23" x14ac:dyDescent="0.2">
      <c r="A1328" s="88" t="s">
        <v>16650</v>
      </c>
      <c r="B1328" s="1" t="e">
        <v>#N/A</v>
      </c>
      <c r="C1328" s="1" t="s">
        <v>11802</v>
      </c>
      <c r="D1328" s="1" t="s">
        <v>3634</v>
      </c>
      <c r="E1328" s="1" t="s">
        <v>3635</v>
      </c>
      <c r="F1328" s="1" t="s">
        <v>9380</v>
      </c>
      <c r="G1328" s="1" t="s">
        <v>8957</v>
      </c>
      <c r="H1328" t="s">
        <v>9183</v>
      </c>
      <c r="I1328" s="1" t="s">
        <v>9173</v>
      </c>
      <c r="J1328" s="1" t="s">
        <v>9174</v>
      </c>
      <c r="K1328" s="1" t="s">
        <v>9036</v>
      </c>
      <c r="L1328" s="1" t="s">
        <v>8951</v>
      </c>
      <c r="M1328" s="1">
        <v>8</v>
      </c>
      <c r="N1328" s="1" t="s">
        <v>9059</v>
      </c>
      <c r="O1328" s="1" t="s">
        <v>8989</v>
      </c>
      <c r="P1328" s="1" t="s">
        <v>8955</v>
      </c>
      <c r="Q1328" s="1" t="s">
        <v>8956</v>
      </c>
      <c r="R1328" s="1" t="s">
        <v>8957</v>
      </c>
      <c r="S1328" s="1" t="s">
        <v>8958</v>
      </c>
      <c r="T1328" s="1" t="s">
        <v>3636</v>
      </c>
      <c r="U1328" s="1" t="s">
        <v>11</v>
      </c>
      <c r="V1328" s="1" t="s">
        <v>3637</v>
      </c>
      <c r="W1328" s="1"/>
    </row>
    <row r="1329" spans="1:23" x14ac:dyDescent="0.2">
      <c r="A1329" s="88" t="s">
        <v>16651</v>
      </c>
      <c r="B1329" s="1" t="e">
        <v>#N/A</v>
      </c>
      <c r="C1329" s="1" t="s">
        <v>11083</v>
      </c>
      <c r="D1329" s="1" t="s">
        <v>3638</v>
      </c>
      <c r="E1329" s="1" t="s">
        <v>3639</v>
      </c>
      <c r="F1329" s="1" t="s">
        <v>9176</v>
      </c>
      <c r="G1329" s="1" t="s">
        <v>8957</v>
      </c>
      <c r="H1329" t="s">
        <v>9183</v>
      </c>
      <c r="I1329" s="1" t="s">
        <v>9049</v>
      </c>
      <c r="J1329" s="1" t="s">
        <v>9050</v>
      </c>
      <c r="K1329" s="1" t="s">
        <v>9036</v>
      </c>
      <c r="L1329" s="1" t="s">
        <v>8951</v>
      </c>
      <c r="M1329" s="1">
        <v>209</v>
      </c>
      <c r="N1329" s="1" t="s">
        <v>8953</v>
      </c>
      <c r="O1329" s="1" t="s">
        <v>8954</v>
      </c>
      <c r="P1329" s="1" t="s">
        <v>8955</v>
      </c>
      <c r="Q1329" s="1" t="s">
        <v>8956</v>
      </c>
      <c r="R1329" s="1" t="s">
        <v>8957</v>
      </c>
      <c r="S1329" s="1" t="s">
        <v>9103</v>
      </c>
      <c r="T1329" s="1" t="s">
        <v>3640</v>
      </c>
      <c r="U1329" s="1" t="s">
        <v>11</v>
      </c>
      <c r="V1329" s="1" t="s">
        <v>3641</v>
      </c>
      <c r="W1329" s="1"/>
    </row>
    <row r="1330" spans="1:23" x14ac:dyDescent="0.2">
      <c r="A1330" s="88" t="s">
        <v>16652</v>
      </c>
      <c r="B1330" s="1" t="e">
        <v>#N/A</v>
      </c>
      <c r="C1330" s="1" t="e">
        <v>#N/A</v>
      </c>
      <c r="D1330" s="1" t="s">
        <v>3642</v>
      </c>
      <c r="E1330" s="1" t="s">
        <v>3643</v>
      </c>
      <c r="F1330" s="1" t="s">
        <v>9176</v>
      </c>
      <c r="G1330" s="1" t="s">
        <v>8957</v>
      </c>
      <c r="H1330" t="s">
        <v>8959</v>
      </c>
      <c r="I1330" s="1" t="s">
        <v>20714</v>
      </c>
      <c r="J1330" s="1" t="s">
        <v>9050</v>
      </c>
      <c r="K1330" s="1" t="s">
        <v>18497</v>
      </c>
      <c r="L1330" s="1" t="s">
        <v>8951</v>
      </c>
      <c r="M1330" s="1">
        <f>89+47</f>
        <v>136</v>
      </c>
      <c r="N1330" s="1" t="s">
        <v>8953</v>
      </c>
      <c r="O1330" s="1" t="s">
        <v>8954</v>
      </c>
      <c r="P1330" s="1" t="e">
        <v>#N/A</v>
      </c>
      <c r="Q1330" s="1" t="e">
        <v>#N/A</v>
      </c>
      <c r="R1330" s="1">
        <f t="shared" ref="R1330:R1332" si="388">1+LEN(T1330)-LEN(SUBSTITUTE(T1330,",",))</f>
        <v>7</v>
      </c>
      <c r="S1330" s="1" t="str">
        <f t="shared" ref="S1330:S1332" si="389">IF(R1330&gt;4,IF(R1330&lt;8,"4-7",IF(R1330&gt;7,"&gt;7")),"&lt;4")</f>
        <v>4-7</v>
      </c>
      <c r="T1330" s="1" t="s">
        <v>19269</v>
      </c>
      <c r="U1330" s="1" t="s">
        <v>17</v>
      </c>
      <c r="V1330" s="1" t="s">
        <v>74</v>
      </c>
      <c r="W1330" s="1"/>
    </row>
    <row r="1331" spans="1:23" x14ac:dyDescent="0.2">
      <c r="A1331" s="88" t="s">
        <v>16653</v>
      </c>
      <c r="B1331" s="1" t="e">
        <v>#N/A</v>
      </c>
      <c r="C1331" s="1" t="e">
        <v>#N/A</v>
      </c>
      <c r="D1331" s="1" t="s">
        <v>3644</v>
      </c>
      <c r="E1331" s="1" t="s">
        <v>3645</v>
      </c>
      <c r="F1331" s="1" t="s">
        <v>20794</v>
      </c>
      <c r="G1331" s="1" t="s">
        <v>8959</v>
      </c>
      <c r="H1331" t="s">
        <v>8959</v>
      </c>
      <c r="I1331" s="1" t="s">
        <v>9035</v>
      </c>
      <c r="J1331" s="1" t="s">
        <v>9308</v>
      </c>
      <c r="K1331" s="1" t="s">
        <v>21328</v>
      </c>
      <c r="L1331" s="1" t="s">
        <v>8973</v>
      </c>
      <c r="M1331" s="1">
        <v>247</v>
      </c>
      <c r="N1331" s="1" t="s">
        <v>8953</v>
      </c>
      <c r="O1331" s="1" t="s">
        <v>8954</v>
      </c>
      <c r="P1331" s="1" t="e">
        <v>#N/A</v>
      </c>
      <c r="Q1331" s="1" t="e">
        <v>#N/A</v>
      </c>
      <c r="R1331" s="1">
        <f t="shared" si="388"/>
        <v>8</v>
      </c>
      <c r="S1331" s="1" t="str">
        <f t="shared" si="389"/>
        <v>&gt;7</v>
      </c>
      <c r="T1331" s="1" t="s">
        <v>19270</v>
      </c>
      <c r="U1331" s="1" t="s">
        <v>7</v>
      </c>
      <c r="V1331" s="1" t="s">
        <v>64</v>
      </c>
      <c r="W1331" s="1"/>
    </row>
    <row r="1332" spans="1:23" x14ac:dyDescent="0.2">
      <c r="A1332" s="88" t="s">
        <v>16654</v>
      </c>
      <c r="B1332" s="1" t="e">
        <v>#N/A</v>
      </c>
      <c r="C1332" s="1" t="e">
        <v>#N/A</v>
      </c>
      <c r="D1332" s="1" t="s">
        <v>3646</v>
      </c>
      <c r="E1332" s="1" t="s">
        <v>3647</v>
      </c>
      <c r="F1332" s="1" t="s">
        <v>9380</v>
      </c>
      <c r="G1332" s="1" t="s">
        <v>8957</v>
      </c>
      <c r="H1332" t="s">
        <v>8959</v>
      </c>
      <c r="I1332" s="1" t="s">
        <v>9252</v>
      </c>
      <c r="J1332" s="1" t="s">
        <v>9155</v>
      </c>
      <c r="K1332" s="1" t="s">
        <v>10492</v>
      </c>
      <c r="L1332" s="1" t="s">
        <v>9076</v>
      </c>
      <c r="M1332" s="1">
        <v>1200</v>
      </c>
      <c r="N1332" s="1" t="s">
        <v>8953</v>
      </c>
      <c r="O1332" s="1" t="s">
        <v>8989</v>
      </c>
      <c r="P1332" s="1" t="e">
        <v>#N/A</v>
      </c>
      <c r="Q1332" s="1" t="e">
        <v>#N/A</v>
      </c>
      <c r="R1332" s="1">
        <f t="shared" si="388"/>
        <v>3</v>
      </c>
      <c r="S1332" s="1" t="str">
        <f t="shared" si="389"/>
        <v>&lt;4</v>
      </c>
      <c r="T1332" s="1" t="s">
        <v>19271</v>
      </c>
      <c r="U1332" s="1" t="s">
        <v>17</v>
      </c>
      <c r="V1332" s="1" t="s">
        <v>210</v>
      </c>
      <c r="W1332" s="1"/>
    </row>
    <row r="1333" spans="1:23" x14ac:dyDescent="0.2">
      <c r="A1333" s="88" t="s">
        <v>16655</v>
      </c>
      <c r="B1333" s="1" t="e">
        <v>#N/A</v>
      </c>
      <c r="C1333" s="1" t="s">
        <v>15285</v>
      </c>
      <c r="D1333" s="1" t="s">
        <v>3648</v>
      </c>
      <c r="E1333" s="1" t="s">
        <v>3649</v>
      </c>
      <c r="F1333" s="1" t="s">
        <v>9010</v>
      </c>
      <c r="G1333" s="1" t="s">
        <v>8957</v>
      </c>
      <c r="H1333" t="s">
        <v>8959</v>
      </c>
      <c r="I1333" s="1" t="s">
        <v>15288</v>
      </c>
      <c r="J1333" s="1" t="s">
        <v>9155</v>
      </c>
      <c r="K1333" s="1" t="s">
        <v>9036</v>
      </c>
      <c r="L1333" s="1" t="s">
        <v>9133</v>
      </c>
      <c r="M1333" s="1">
        <v>6960</v>
      </c>
      <c r="N1333" s="1" t="s">
        <v>18494</v>
      </c>
      <c r="O1333" s="1" t="s">
        <v>8954</v>
      </c>
      <c r="P1333" s="1" t="s">
        <v>8955</v>
      </c>
      <c r="Q1333" s="1" t="s">
        <v>8956</v>
      </c>
      <c r="R1333" s="1" t="s">
        <v>8957</v>
      </c>
      <c r="S1333" s="1" t="s">
        <v>8958</v>
      </c>
      <c r="T1333" s="1" t="s">
        <v>3650</v>
      </c>
      <c r="U1333" s="1" t="s">
        <v>17</v>
      </c>
      <c r="V1333" s="1" t="s">
        <v>126</v>
      </c>
      <c r="W1333" s="1"/>
    </row>
    <row r="1334" spans="1:23" x14ac:dyDescent="0.2">
      <c r="A1334" s="88" t="s">
        <v>16656</v>
      </c>
      <c r="B1334" s="1" t="e">
        <v>#N/A</v>
      </c>
      <c r="C1334" s="1" t="e">
        <v>#N/A</v>
      </c>
      <c r="D1334" s="1" t="s">
        <v>3651</v>
      </c>
      <c r="E1334" s="1" t="s">
        <v>3652</v>
      </c>
      <c r="F1334" s="1" t="s">
        <v>9333</v>
      </c>
      <c r="G1334" s="1" t="s">
        <v>8957</v>
      </c>
      <c r="H1334" t="s">
        <v>9061</v>
      </c>
      <c r="I1334" s="1" t="s">
        <v>9075</v>
      </c>
      <c r="J1334" s="1" t="s">
        <v>8998</v>
      </c>
      <c r="K1334" s="1" t="s">
        <v>20785</v>
      </c>
      <c r="L1334" s="1" t="s">
        <v>9464</v>
      </c>
      <c r="M1334" s="1">
        <f>2*2795</f>
        <v>5590</v>
      </c>
      <c r="N1334" s="1" t="s">
        <v>8953</v>
      </c>
      <c r="O1334" s="1" t="s">
        <v>8989</v>
      </c>
      <c r="P1334" s="1" t="e">
        <v>#N/A</v>
      </c>
      <c r="Q1334" s="1" t="e">
        <v>#N/A</v>
      </c>
      <c r="R1334" s="1">
        <f t="shared" ref="R1334:R1337" si="390">1+LEN(T1334)-LEN(SUBSTITUTE(T1334,",",))</f>
        <v>9</v>
      </c>
      <c r="S1334" s="1" t="str">
        <f t="shared" ref="S1334:S1337" si="391">IF(R1334&gt;4,IF(R1334&lt;8,"4-7",IF(R1334&gt;7,"&gt;7")),"&lt;4")</f>
        <v>&gt;7</v>
      </c>
      <c r="T1334" s="1" t="s">
        <v>19272</v>
      </c>
      <c r="U1334" s="1" t="s">
        <v>7</v>
      </c>
      <c r="V1334" s="1" t="s">
        <v>93</v>
      </c>
      <c r="W1334" s="1"/>
    </row>
    <row r="1335" spans="1:23" x14ac:dyDescent="0.2">
      <c r="A1335" s="89" t="s">
        <v>3653</v>
      </c>
      <c r="B1335" s="1" t="e">
        <v>#N/A</v>
      </c>
      <c r="C1335" s="1" t="e">
        <v>#N/A</v>
      </c>
      <c r="D1335" s="1" t="s">
        <v>3654</v>
      </c>
      <c r="E1335" s="1" t="s">
        <v>3655</v>
      </c>
      <c r="F1335" s="1" t="e">
        <v>#N/A</v>
      </c>
      <c r="G1335" s="1" t="e">
        <v>#N/A</v>
      </c>
      <c r="H1335" t="e">
        <v>#N/A</v>
      </c>
      <c r="I1335" s="1" t="e">
        <v>#N/A</v>
      </c>
      <c r="J1335" s="1" t="e">
        <v>#N/A</v>
      </c>
      <c r="K1335" s="1" t="e">
        <v>#N/A</v>
      </c>
      <c r="L1335" s="1" t="e">
        <v>#N/A</v>
      </c>
      <c r="M1335" s="1" t="e">
        <v>#N/A</v>
      </c>
      <c r="N1335" s="1" t="e">
        <v>#N/A</v>
      </c>
      <c r="O1335" s="1" t="e">
        <v>#N/A</v>
      </c>
      <c r="P1335" s="1" t="e">
        <v>#N/A</v>
      </c>
      <c r="Q1335" s="1" t="e">
        <v>#N/A</v>
      </c>
      <c r="R1335" s="1">
        <f t="shared" si="390"/>
        <v>3</v>
      </c>
      <c r="S1335" s="1" t="str">
        <f t="shared" si="391"/>
        <v>&lt;4</v>
      </c>
      <c r="T1335" s="1" t="s">
        <v>19273</v>
      </c>
      <c r="U1335" s="1" t="s">
        <v>7</v>
      </c>
      <c r="V1335" s="1" t="s">
        <v>204</v>
      </c>
      <c r="W1335" s="1"/>
    </row>
    <row r="1336" spans="1:23" x14ac:dyDescent="0.2">
      <c r="A1336" s="88" t="s">
        <v>16657</v>
      </c>
      <c r="B1336" s="1" t="e">
        <v>#N/A</v>
      </c>
      <c r="C1336" s="1" t="e">
        <v>#N/A</v>
      </c>
      <c r="D1336" s="1" t="s">
        <v>3656</v>
      </c>
      <c r="E1336" s="1" t="s">
        <v>3657</v>
      </c>
      <c r="F1336" s="1" t="s">
        <v>9333</v>
      </c>
      <c r="G1336" s="1" t="s">
        <v>8959</v>
      </c>
      <c r="H1336" t="s">
        <v>9061</v>
      </c>
      <c r="I1336" s="1" t="s">
        <v>8948</v>
      </c>
      <c r="J1336" s="1" t="s">
        <v>8949</v>
      </c>
      <c r="K1336" s="1" t="s">
        <v>20779</v>
      </c>
      <c r="L1336" s="1" t="s">
        <v>9076</v>
      </c>
      <c r="M1336" s="1">
        <v>1320</v>
      </c>
      <c r="N1336" s="1" t="s">
        <v>8953</v>
      </c>
      <c r="O1336" s="1" t="s">
        <v>8954</v>
      </c>
      <c r="P1336" s="1" t="e">
        <v>#N/A</v>
      </c>
      <c r="Q1336" s="1" t="e">
        <v>#N/A</v>
      </c>
      <c r="R1336" s="1">
        <f t="shared" si="390"/>
        <v>11</v>
      </c>
      <c r="S1336" s="1" t="str">
        <f t="shared" si="391"/>
        <v>&gt;7</v>
      </c>
      <c r="T1336" s="1" t="s">
        <v>19274</v>
      </c>
      <c r="U1336" s="1" t="s">
        <v>7</v>
      </c>
      <c r="V1336" s="1" t="s">
        <v>3658</v>
      </c>
      <c r="W1336" s="1"/>
    </row>
    <row r="1337" spans="1:23" x14ac:dyDescent="0.2">
      <c r="A1337" s="88" t="s">
        <v>16658</v>
      </c>
      <c r="B1337" s="1" t="e">
        <v>#N/A</v>
      </c>
      <c r="C1337" s="1" t="e">
        <v>#N/A</v>
      </c>
      <c r="D1337" s="1" t="s">
        <v>3659</v>
      </c>
      <c r="E1337" s="1" t="s">
        <v>3660</v>
      </c>
      <c r="F1337" s="1" t="s">
        <v>10873</v>
      </c>
      <c r="G1337" s="1" t="s">
        <v>8957</v>
      </c>
      <c r="H1337" t="s">
        <v>8959</v>
      </c>
      <c r="I1337" s="1" t="s">
        <v>8948</v>
      </c>
      <c r="J1337" s="1" t="s">
        <v>9155</v>
      </c>
      <c r="K1337" s="1" t="s">
        <v>20785</v>
      </c>
      <c r="L1337" s="1" t="s">
        <v>8973</v>
      </c>
      <c r="M1337" s="1">
        <v>229</v>
      </c>
      <c r="N1337" s="1" t="s">
        <v>8953</v>
      </c>
      <c r="O1337" s="1" t="s">
        <v>8989</v>
      </c>
      <c r="P1337" s="1" t="e">
        <v>#N/A</v>
      </c>
      <c r="Q1337" s="1" t="e">
        <v>#N/A</v>
      </c>
      <c r="R1337" s="1">
        <f t="shared" si="390"/>
        <v>4</v>
      </c>
      <c r="S1337" s="1" t="str">
        <f t="shared" si="391"/>
        <v>&lt;4</v>
      </c>
      <c r="T1337" s="1" t="s">
        <v>19275</v>
      </c>
      <c r="U1337" s="1" t="s">
        <v>7</v>
      </c>
      <c r="V1337" s="1" t="s">
        <v>93</v>
      </c>
      <c r="W1337" s="1"/>
    </row>
    <row r="1338" spans="1:23" x14ac:dyDescent="0.2">
      <c r="A1338" s="88" t="s">
        <v>16659</v>
      </c>
      <c r="B1338" s="1" t="e">
        <v>#N/A</v>
      </c>
      <c r="C1338" s="1" t="s">
        <v>15158</v>
      </c>
      <c r="D1338" s="1" t="s">
        <v>3661</v>
      </c>
      <c r="E1338" s="1" t="s">
        <v>3662</v>
      </c>
      <c r="F1338" s="1" t="s">
        <v>9010</v>
      </c>
      <c r="G1338" s="1" t="s">
        <v>8957</v>
      </c>
      <c r="H1338" t="s">
        <v>9183</v>
      </c>
      <c r="I1338" s="1" t="s">
        <v>9049</v>
      </c>
      <c r="J1338" s="1" t="s">
        <v>9325</v>
      </c>
      <c r="K1338" s="1" t="s">
        <v>9018</v>
      </c>
      <c r="L1338" s="1" t="s">
        <v>8987</v>
      </c>
      <c r="M1338" s="1">
        <v>1708</v>
      </c>
      <c r="N1338" s="1" t="s">
        <v>8953</v>
      </c>
      <c r="O1338" s="1" t="s">
        <v>8954</v>
      </c>
      <c r="P1338" s="1" t="s">
        <v>8955</v>
      </c>
      <c r="Q1338" s="1" t="s">
        <v>8956</v>
      </c>
      <c r="R1338" s="1" t="s">
        <v>8957</v>
      </c>
      <c r="S1338" s="1" t="s">
        <v>8975</v>
      </c>
      <c r="T1338" s="1" t="s">
        <v>3663</v>
      </c>
      <c r="U1338" s="1" t="s">
        <v>17</v>
      </c>
      <c r="V1338" s="1" t="s">
        <v>1918</v>
      </c>
      <c r="W1338" s="1"/>
    </row>
    <row r="1339" spans="1:23" x14ac:dyDescent="0.2">
      <c r="A1339" s="89" t="s">
        <v>3664</v>
      </c>
      <c r="B1339" s="1" t="e">
        <v>#N/A</v>
      </c>
      <c r="C1339" s="1" t="e">
        <v>#N/A</v>
      </c>
      <c r="D1339" s="1" t="s">
        <v>3665</v>
      </c>
      <c r="E1339" s="1" t="s">
        <v>3666</v>
      </c>
      <c r="F1339" s="1" t="e">
        <v>#N/A</v>
      </c>
      <c r="G1339" s="1" t="e">
        <v>#N/A</v>
      </c>
      <c r="H1339" t="e">
        <v>#N/A</v>
      </c>
      <c r="I1339" s="1" t="e">
        <v>#N/A</v>
      </c>
      <c r="J1339" s="1" t="e">
        <v>#N/A</v>
      </c>
      <c r="K1339" s="1" t="e">
        <v>#N/A</v>
      </c>
      <c r="L1339" s="1" t="e">
        <v>#N/A</v>
      </c>
      <c r="M1339" s="1" t="e">
        <v>#N/A</v>
      </c>
      <c r="N1339" s="1" t="e">
        <v>#N/A</v>
      </c>
      <c r="O1339" s="1" t="e">
        <v>#N/A</v>
      </c>
      <c r="P1339" s="1" t="e">
        <v>#N/A</v>
      </c>
      <c r="Q1339" s="1" t="e">
        <v>#N/A</v>
      </c>
      <c r="R1339" s="1">
        <f t="shared" ref="R1339:R1340" si="392">1+LEN(T1339)-LEN(SUBSTITUTE(T1339,",",))</f>
        <v>4</v>
      </c>
      <c r="S1339" s="1" t="str">
        <f t="shared" ref="S1339:S1340" si="393">IF(R1339&gt;4,IF(R1339&lt;8,"4-7",IF(R1339&gt;7,"&gt;7")),"&lt;4")</f>
        <v>&lt;4</v>
      </c>
      <c r="T1339" s="1" t="s">
        <v>19276</v>
      </c>
      <c r="U1339" s="1" t="s">
        <v>7</v>
      </c>
      <c r="V1339" s="1" t="s">
        <v>619</v>
      </c>
      <c r="W1339" s="1"/>
    </row>
    <row r="1340" spans="1:23" x14ac:dyDescent="0.2">
      <c r="A1340" s="88" t="s">
        <v>16660</v>
      </c>
      <c r="B1340" s="1" t="e">
        <v>#N/A</v>
      </c>
      <c r="C1340" s="1" t="e">
        <v>#N/A</v>
      </c>
      <c r="D1340" s="1" t="s">
        <v>3667</v>
      </c>
      <c r="E1340" s="1" t="s">
        <v>3668</v>
      </c>
      <c r="F1340" s="1" t="s">
        <v>9213</v>
      </c>
      <c r="G1340" s="1" t="s">
        <v>8957</v>
      </c>
      <c r="H1340" t="s">
        <v>8959</v>
      </c>
      <c r="I1340" s="1" t="s">
        <v>9154</v>
      </c>
      <c r="J1340" s="1" t="s">
        <v>8998</v>
      </c>
      <c r="K1340" s="1" t="s">
        <v>21426</v>
      </c>
      <c r="L1340" s="1" t="s">
        <v>9464</v>
      </c>
      <c r="M1340" s="1">
        <v>2100</v>
      </c>
      <c r="N1340" s="1" t="s">
        <v>8953</v>
      </c>
      <c r="O1340" s="1" t="s">
        <v>8989</v>
      </c>
      <c r="P1340" s="1" t="e">
        <v>#N/A</v>
      </c>
      <c r="Q1340" s="1" t="e">
        <v>#N/A</v>
      </c>
      <c r="R1340" s="1">
        <f t="shared" si="392"/>
        <v>4</v>
      </c>
      <c r="S1340" s="1" t="str">
        <f t="shared" si="393"/>
        <v>&lt;4</v>
      </c>
      <c r="T1340" s="1" t="s">
        <v>19277</v>
      </c>
      <c r="U1340" s="1" t="s">
        <v>17</v>
      </c>
      <c r="V1340" s="1" t="s">
        <v>93</v>
      </c>
      <c r="W1340" s="1"/>
    </row>
    <row r="1341" spans="1:23" x14ac:dyDescent="0.2">
      <c r="A1341" s="88" t="s">
        <v>16661</v>
      </c>
      <c r="B1341" s="1" t="e">
        <v>#N/A</v>
      </c>
      <c r="C1341" s="1" t="s">
        <v>13159</v>
      </c>
      <c r="D1341" s="1" t="s">
        <v>3669</v>
      </c>
      <c r="E1341" s="1" t="s">
        <v>3670</v>
      </c>
      <c r="F1341" s="1" t="s">
        <v>10873</v>
      </c>
      <c r="G1341" s="1" t="s">
        <v>8957</v>
      </c>
      <c r="H1341" t="s">
        <v>9009</v>
      </c>
      <c r="I1341" s="1" t="s">
        <v>9092</v>
      </c>
      <c r="J1341" s="1" t="s">
        <v>9308</v>
      </c>
      <c r="K1341" s="1" t="s">
        <v>9036</v>
      </c>
      <c r="L1341" s="1" t="s">
        <v>8951</v>
      </c>
      <c r="M1341" s="1">
        <v>11112</v>
      </c>
      <c r="N1341" s="1" t="s">
        <v>8953</v>
      </c>
      <c r="O1341" s="1" t="s">
        <v>8989</v>
      </c>
      <c r="P1341" s="1" t="s">
        <v>8955</v>
      </c>
      <c r="Q1341" s="1" t="s">
        <v>8990</v>
      </c>
      <c r="R1341" s="1" t="s">
        <v>8957</v>
      </c>
      <c r="S1341" s="1" t="s">
        <v>9103</v>
      </c>
      <c r="T1341" s="1" t="s">
        <v>3671</v>
      </c>
      <c r="U1341" s="1" t="s">
        <v>11</v>
      </c>
      <c r="V1341" s="1" t="s">
        <v>77</v>
      </c>
      <c r="W1341" s="1"/>
    </row>
    <row r="1342" spans="1:23" x14ac:dyDescent="0.2">
      <c r="A1342" s="89" t="s">
        <v>16662</v>
      </c>
      <c r="B1342" s="1" t="e">
        <v>#N/A</v>
      </c>
      <c r="C1342" s="1" t="e">
        <v>#N/A</v>
      </c>
      <c r="D1342" s="1" t="s">
        <v>3672</v>
      </c>
      <c r="E1342" s="1" t="s">
        <v>3673</v>
      </c>
      <c r="F1342" s="1" t="e">
        <v>#N/A</v>
      </c>
      <c r="G1342" s="1" t="e">
        <v>#N/A</v>
      </c>
      <c r="H1342" t="e">
        <v>#N/A</v>
      </c>
      <c r="I1342" s="1" t="e">
        <v>#N/A</v>
      </c>
      <c r="J1342" s="1" t="e">
        <v>#N/A</v>
      </c>
      <c r="K1342" s="1" t="e">
        <v>#N/A</v>
      </c>
      <c r="L1342" s="1" t="e">
        <v>#N/A</v>
      </c>
      <c r="M1342" s="1" t="e">
        <v>#N/A</v>
      </c>
      <c r="N1342" s="1" t="e">
        <v>#N/A</v>
      </c>
      <c r="O1342" s="1" t="e">
        <v>#N/A</v>
      </c>
      <c r="P1342" s="1" t="e">
        <v>#N/A</v>
      </c>
      <c r="Q1342" s="1" t="e">
        <v>#N/A</v>
      </c>
      <c r="R1342" s="1">
        <f t="shared" ref="R1342:R1343" si="394">1+LEN(T1342)-LEN(SUBSTITUTE(T1342,",",))</f>
        <v>5</v>
      </c>
      <c r="S1342" s="1" t="str">
        <f t="shared" ref="S1342:S1343" si="395">IF(R1342&gt;4,IF(R1342&lt;8,"4-7",IF(R1342&gt;7,"&gt;7")),"&lt;4")</f>
        <v>4-7</v>
      </c>
      <c r="T1342" s="1" t="s">
        <v>19278</v>
      </c>
      <c r="U1342" s="1" t="s">
        <v>17</v>
      </c>
      <c r="V1342" s="1" t="s">
        <v>138</v>
      </c>
      <c r="W1342" s="1"/>
    </row>
    <row r="1343" spans="1:23" x14ac:dyDescent="0.2">
      <c r="A1343" s="94" t="s">
        <v>16663</v>
      </c>
      <c r="B1343" s="1" t="e">
        <v>#N/A</v>
      </c>
      <c r="C1343" s="1" t="e">
        <v>#N/A</v>
      </c>
      <c r="D1343" s="1" t="s">
        <v>3674</v>
      </c>
      <c r="E1343" s="1" t="s">
        <v>3675</v>
      </c>
      <c r="F1343" s="1" t="e">
        <v>#N/A</v>
      </c>
      <c r="G1343" s="1" t="e">
        <v>#N/A</v>
      </c>
      <c r="H1343" t="e">
        <v>#N/A</v>
      </c>
      <c r="I1343" s="1" t="e">
        <v>#N/A</v>
      </c>
      <c r="J1343" s="1" t="e">
        <v>#N/A</v>
      </c>
      <c r="K1343" s="1" t="e">
        <v>#N/A</v>
      </c>
      <c r="L1343" s="1" t="e">
        <v>#N/A</v>
      </c>
      <c r="M1343" s="1" t="e">
        <v>#N/A</v>
      </c>
      <c r="N1343" s="1" t="e">
        <v>#N/A</v>
      </c>
      <c r="O1343" s="1" t="e">
        <v>#N/A</v>
      </c>
      <c r="P1343" s="1" t="e">
        <v>#N/A</v>
      </c>
      <c r="Q1343" s="1" t="e">
        <v>#N/A</v>
      </c>
      <c r="R1343" s="1">
        <f t="shared" si="394"/>
        <v>8</v>
      </c>
      <c r="S1343" s="1" t="str">
        <f t="shared" si="395"/>
        <v>&gt;7</v>
      </c>
      <c r="T1343" s="1" t="s">
        <v>19279</v>
      </c>
      <c r="U1343" s="1" t="s">
        <v>7</v>
      </c>
      <c r="V1343" s="1" t="s">
        <v>110</v>
      </c>
      <c r="W1343" s="1"/>
    </row>
    <row r="1344" spans="1:23" x14ac:dyDescent="0.2">
      <c r="A1344" s="88" t="s">
        <v>16664</v>
      </c>
      <c r="B1344" s="1" t="e">
        <v>#N/A</v>
      </c>
      <c r="C1344" s="1" t="s">
        <v>12993</v>
      </c>
      <c r="D1344" s="1" t="s">
        <v>3676</v>
      </c>
      <c r="E1344" s="1" t="s">
        <v>3677</v>
      </c>
      <c r="F1344" s="1" t="s">
        <v>9213</v>
      </c>
      <c r="G1344" s="1" t="s">
        <v>8957</v>
      </c>
      <c r="H1344" t="s">
        <v>9061</v>
      </c>
      <c r="I1344" s="1" t="s">
        <v>9252</v>
      </c>
      <c r="J1344" s="1" t="s">
        <v>9253</v>
      </c>
      <c r="K1344" s="1" t="s">
        <v>9599</v>
      </c>
      <c r="L1344" s="1" t="s">
        <v>9076</v>
      </c>
      <c r="M1344" s="1">
        <v>29107</v>
      </c>
      <c r="N1344" s="1" t="s">
        <v>8953</v>
      </c>
      <c r="O1344" s="1" t="s">
        <v>8954</v>
      </c>
      <c r="P1344" s="1" t="s">
        <v>8955</v>
      </c>
      <c r="Q1344" s="1" t="s">
        <v>8956</v>
      </c>
      <c r="R1344" s="1" t="s">
        <v>8957</v>
      </c>
      <c r="S1344" s="1" t="s">
        <v>8958</v>
      </c>
      <c r="T1344" s="1" t="s">
        <v>3678</v>
      </c>
      <c r="U1344" s="1" t="s">
        <v>11</v>
      </c>
      <c r="V1344" s="1" t="s">
        <v>24</v>
      </c>
      <c r="W1344" s="1"/>
    </row>
    <row r="1345" spans="1:23" x14ac:dyDescent="0.2">
      <c r="A1345" s="88" t="s">
        <v>16665</v>
      </c>
      <c r="B1345" s="1" t="e">
        <v>#N/A</v>
      </c>
      <c r="C1345" s="1" t="s">
        <v>13464</v>
      </c>
      <c r="D1345" s="1" t="s">
        <v>3679</v>
      </c>
      <c r="E1345" s="1" t="s">
        <v>3680</v>
      </c>
      <c r="F1345" s="1" t="s">
        <v>9213</v>
      </c>
      <c r="G1345" s="1" t="s">
        <v>9060</v>
      </c>
      <c r="H1345" t="s">
        <v>8959</v>
      </c>
      <c r="I1345" s="1" t="s">
        <v>9035</v>
      </c>
      <c r="J1345" s="1" t="s">
        <v>8998</v>
      </c>
      <c r="K1345" s="1" t="s">
        <v>10613</v>
      </c>
      <c r="L1345" s="1" t="s">
        <v>8987</v>
      </c>
      <c r="M1345" s="1">
        <v>600</v>
      </c>
      <c r="N1345" s="1" t="s">
        <v>8953</v>
      </c>
      <c r="O1345" s="1" t="s">
        <v>8954</v>
      </c>
      <c r="P1345" s="1" t="s">
        <v>8955</v>
      </c>
      <c r="Q1345" s="1" t="s">
        <v>8956</v>
      </c>
      <c r="R1345" s="1" t="s">
        <v>9060</v>
      </c>
      <c r="S1345" s="1" t="s">
        <v>8975</v>
      </c>
      <c r="T1345" s="1" t="s">
        <v>3681</v>
      </c>
      <c r="U1345" s="1" t="s">
        <v>11</v>
      </c>
      <c r="V1345" s="1" t="s">
        <v>87</v>
      </c>
      <c r="W1345" s="1"/>
    </row>
    <row r="1346" spans="1:23" x14ac:dyDescent="0.2">
      <c r="A1346" s="88" t="s">
        <v>16666</v>
      </c>
      <c r="B1346" s="1" t="e">
        <v>#N/A</v>
      </c>
      <c r="C1346" s="1" t="e">
        <v>#N/A</v>
      </c>
      <c r="D1346" s="1" t="s">
        <v>3682</v>
      </c>
      <c r="E1346" s="1" t="s">
        <v>3683</v>
      </c>
      <c r="F1346" s="1" t="s">
        <v>9213</v>
      </c>
      <c r="G1346" s="1" t="s">
        <v>8957</v>
      </c>
      <c r="H1346" t="s">
        <v>9061</v>
      </c>
      <c r="I1346" s="1" t="s">
        <v>9035</v>
      </c>
      <c r="J1346" s="1" t="s">
        <v>8998</v>
      </c>
      <c r="K1346" s="1" t="s">
        <v>20838</v>
      </c>
      <c r="L1346" s="1" t="s">
        <v>9157</v>
      </c>
      <c r="M1346" s="1">
        <v>908</v>
      </c>
      <c r="N1346" s="1" t="s">
        <v>9059</v>
      </c>
      <c r="O1346" s="1" t="s">
        <v>8954</v>
      </c>
      <c r="P1346" s="1" t="e">
        <v>#N/A</v>
      </c>
      <c r="Q1346" s="1" t="e">
        <v>#N/A</v>
      </c>
      <c r="R1346" s="1">
        <f t="shared" ref="R1346:R1348" si="396">1+LEN(T1346)-LEN(SUBSTITUTE(T1346,",",))</f>
        <v>5</v>
      </c>
      <c r="S1346" s="1" t="str">
        <f t="shared" ref="S1346:S1348" si="397">IF(R1346&gt;4,IF(R1346&lt;8,"4-7",IF(R1346&gt;7,"&gt;7")),"&lt;4")</f>
        <v>4-7</v>
      </c>
      <c r="T1346" s="1" t="s">
        <v>19280</v>
      </c>
      <c r="U1346" s="1" t="s">
        <v>7</v>
      </c>
      <c r="V1346" s="1" t="s">
        <v>180</v>
      </c>
      <c r="W1346" s="1"/>
    </row>
    <row r="1347" spans="1:23" x14ac:dyDescent="0.2">
      <c r="A1347" s="88" t="s">
        <v>16667</v>
      </c>
      <c r="B1347" s="1" t="e">
        <v>#N/A</v>
      </c>
      <c r="C1347" s="1" t="e">
        <v>#N/A</v>
      </c>
      <c r="D1347" s="1" t="s">
        <v>3684</v>
      </c>
      <c r="E1347" s="1" t="s">
        <v>3685</v>
      </c>
      <c r="F1347" s="1" t="s">
        <v>9213</v>
      </c>
      <c r="G1347" s="1" t="s">
        <v>8957</v>
      </c>
      <c r="H1347" t="s">
        <v>9061</v>
      </c>
      <c r="I1347" s="1" t="s">
        <v>9035</v>
      </c>
      <c r="J1347" s="1" t="s">
        <v>8998</v>
      </c>
      <c r="K1347" s="1" t="s">
        <v>20723</v>
      </c>
      <c r="L1347" s="1" t="s">
        <v>8987</v>
      </c>
      <c r="M1347" s="1">
        <v>626</v>
      </c>
      <c r="N1347" s="1" t="s">
        <v>9059</v>
      </c>
      <c r="O1347" s="1" t="s">
        <v>8989</v>
      </c>
      <c r="P1347" s="1" t="e">
        <v>#N/A</v>
      </c>
      <c r="Q1347" s="1" t="e">
        <v>#N/A</v>
      </c>
      <c r="R1347" s="1">
        <f t="shared" si="396"/>
        <v>7</v>
      </c>
      <c r="S1347" s="1" t="str">
        <f t="shared" si="397"/>
        <v>4-7</v>
      </c>
      <c r="T1347" s="1" t="s">
        <v>19281</v>
      </c>
      <c r="U1347" s="1" t="s">
        <v>7</v>
      </c>
      <c r="V1347" s="1" t="s">
        <v>147</v>
      </c>
      <c r="W1347" s="1"/>
    </row>
    <row r="1348" spans="1:23" x14ac:dyDescent="0.2">
      <c r="A1348" s="88" t="s">
        <v>16668</v>
      </c>
      <c r="B1348" s="1" t="e">
        <v>#N/A</v>
      </c>
      <c r="C1348" s="1" t="e">
        <v>#N/A</v>
      </c>
      <c r="D1348" s="1" t="s">
        <v>3686</v>
      </c>
      <c r="E1348" s="1" t="s">
        <v>3687</v>
      </c>
      <c r="F1348" s="1" t="s">
        <v>9213</v>
      </c>
      <c r="G1348" s="1" t="s">
        <v>8957</v>
      </c>
      <c r="H1348" t="s">
        <v>9061</v>
      </c>
      <c r="I1348" s="1" t="s">
        <v>9035</v>
      </c>
      <c r="J1348" s="1" t="s">
        <v>9308</v>
      </c>
      <c r="K1348" s="1" t="s">
        <v>20838</v>
      </c>
      <c r="L1348" s="1" t="s">
        <v>8951</v>
      </c>
      <c r="M1348" s="1">
        <v>169</v>
      </c>
      <c r="N1348" s="1" t="s">
        <v>9059</v>
      </c>
      <c r="O1348" s="1" t="s">
        <v>8989</v>
      </c>
      <c r="P1348" s="1" t="e">
        <v>#N/A</v>
      </c>
      <c r="Q1348" s="1" t="e">
        <v>#N/A</v>
      </c>
      <c r="R1348" s="1">
        <f t="shared" si="396"/>
        <v>3</v>
      </c>
      <c r="S1348" s="1" t="str">
        <f t="shared" si="397"/>
        <v>&lt;4</v>
      </c>
      <c r="T1348" s="1" t="s">
        <v>19282</v>
      </c>
      <c r="U1348" s="1" t="s">
        <v>7</v>
      </c>
      <c r="V1348" s="1" t="s">
        <v>147</v>
      </c>
      <c r="W1348" s="1"/>
    </row>
    <row r="1349" spans="1:23" x14ac:dyDescent="0.2">
      <c r="A1349" s="88" t="s">
        <v>16669</v>
      </c>
      <c r="B1349" s="1" t="e">
        <v>#N/A</v>
      </c>
      <c r="C1349" s="1" t="s">
        <v>11165</v>
      </c>
      <c r="D1349" s="1" t="s">
        <v>3688</v>
      </c>
      <c r="E1349" s="1" t="s">
        <v>3689</v>
      </c>
      <c r="F1349" s="1" t="s">
        <v>9213</v>
      </c>
      <c r="G1349" s="1" t="s">
        <v>8957</v>
      </c>
      <c r="H1349" t="s">
        <v>9061</v>
      </c>
      <c r="I1349" s="1" t="s">
        <v>8948</v>
      </c>
      <c r="J1349" s="1" t="s">
        <v>8949</v>
      </c>
      <c r="K1349" s="1" t="s">
        <v>9041</v>
      </c>
      <c r="L1349" s="1" t="s">
        <v>9464</v>
      </c>
      <c r="M1349" s="1">
        <v>10</v>
      </c>
      <c r="N1349" s="1" t="s">
        <v>9059</v>
      </c>
      <c r="O1349" s="1" t="s">
        <v>8989</v>
      </c>
      <c r="P1349" s="1" t="s">
        <v>8955</v>
      </c>
      <c r="Q1349" s="1" t="s">
        <v>8956</v>
      </c>
      <c r="R1349" s="1" t="s">
        <v>8957</v>
      </c>
      <c r="S1349" s="1" t="s">
        <v>9103</v>
      </c>
      <c r="T1349" s="1" t="s">
        <v>3690</v>
      </c>
      <c r="U1349" s="1" t="s">
        <v>17</v>
      </c>
      <c r="V1349" s="1" t="s">
        <v>392</v>
      </c>
      <c r="W1349" s="1"/>
    </row>
    <row r="1350" spans="1:23" x14ac:dyDescent="0.2">
      <c r="A1350" s="88" t="s">
        <v>16670</v>
      </c>
      <c r="B1350" s="1" t="e">
        <v>#N/A</v>
      </c>
      <c r="C1350" s="1" t="e">
        <v>#N/A</v>
      </c>
      <c r="D1350" s="1" t="s">
        <v>3691</v>
      </c>
      <c r="E1350" s="1" t="s">
        <v>3692</v>
      </c>
      <c r="F1350" s="1" t="s">
        <v>9213</v>
      </c>
      <c r="G1350" s="1" t="s">
        <v>8957</v>
      </c>
      <c r="H1350" t="s">
        <v>8959</v>
      </c>
      <c r="I1350" s="1" t="s">
        <v>8948</v>
      </c>
      <c r="J1350" s="1" t="s">
        <v>8971</v>
      </c>
      <c r="K1350" s="1" t="s">
        <v>10525</v>
      </c>
      <c r="L1350" s="1" t="s">
        <v>9133</v>
      </c>
      <c r="M1350" s="1">
        <v>172</v>
      </c>
      <c r="N1350" s="1" t="s">
        <v>8953</v>
      </c>
      <c r="O1350" s="1" t="s">
        <v>8989</v>
      </c>
      <c r="P1350" s="1" t="e">
        <v>#N/A</v>
      </c>
      <c r="Q1350" s="1" t="e">
        <v>#N/A</v>
      </c>
      <c r="R1350" s="1">
        <f t="shared" ref="R1350:R1352" si="398">1+LEN(T1350)-LEN(SUBSTITUTE(T1350,",",))</f>
        <v>6</v>
      </c>
      <c r="S1350" s="1" t="str">
        <f t="shared" ref="S1350:S1352" si="399">IF(R1350&gt;4,IF(R1350&lt;8,"4-7",IF(R1350&gt;7,"&gt;7")),"&lt;4")</f>
        <v>4-7</v>
      </c>
      <c r="T1350" s="1" t="s">
        <v>19283</v>
      </c>
      <c r="U1350" s="1" t="s">
        <v>17</v>
      </c>
      <c r="V1350" s="1" t="s">
        <v>2633</v>
      </c>
      <c r="W1350" s="1"/>
    </row>
    <row r="1351" spans="1:23" x14ac:dyDescent="0.2">
      <c r="A1351" s="88" t="s">
        <v>16671</v>
      </c>
      <c r="B1351" s="1" t="e">
        <v>#N/A</v>
      </c>
      <c r="C1351" s="1" t="e">
        <v>#N/A</v>
      </c>
      <c r="D1351" s="1" t="s">
        <v>3693</v>
      </c>
      <c r="E1351" s="1" t="s">
        <v>3694</v>
      </c>
      <c r="F1351" s="1" t="s">
        <v>9213</v>
      </c>
      <c r="G1351" s="1" t="s">
        <v>8957</v>
      </c>
      <c r="H1351" t="s">
        <v>8959</v>
      </c>
      <c r="I1351" s="1" t="s">
        <v>9100</v>
      </c>
      <c r="J1351" s="1" t="s">
        <v>9155</v>
      </c>
      <c r="K1351" s="1" t="s">
        <v>20805</v>
      </c>
      <c r="L1351" s="1" t="s">
        <v>8987</v>
      </c>
      <c r="M1351" s="1">
        <v>1245</v>
      </c>
      <c r="N1351" s="1" t="s">
        <v>8953</v>
      </c>
      <c r="O1351" s="1" t="s">
        <v>8954</v>
      </c>
      <c r="P1351" s="1" t="e">
        <v>#N/A</v>
      </c>
      <c r="Q1351" s="1" t="e">
        <v>#N/A</v>
      </c>
      <c r="R1351" s="1">
        <f t="shared" si="398"/>
        <v>6</v>
      </c>
      <c r="S1351" s="1" t="str">
        <f t="shared" si="399"/>
        <v>4-7</v>
      </c>
      <c r="T1351" s="1" t="s">
        <v>19284</v>
      </c>
      <c r="U1351" s="1" t="s">
        <v>7</v>
      </c>
      <c r="V1351" s="1" t="s">
        <v>1598</v>
      </c>
      <c r="W1351" s="1"/>
    </row>
    <row r="1352" spans="1:23" x14ac:dyDescent="0.2">
      <c r="A1352" s="88" t="s">
        <v>16672</v>
      </c>
      <c r="B1352" s="1" t="e">
        <v>#N/A</v>
      </c>
      <c r="C1352" s="1" t="e">
        <v>#N/A</v>
      </c>
      <c r="D1352" s="1" t="s">
        <v>3695</v>
      </c>
      <c r="E1352" s="1" t="s">
        <v>3696</v>
      </c>
      <c r="F1352" s="1" t="s">
        <v>18502</v>
      </c>
      <c r="G1352" s="1" t="s">
        <v>8957</v>
      </c>
      <c r="H1352" t="s">
        <v>8959</v>
      </c>
      <c r="I1352" s="1" t="s">
        <v>8948</v>
      </c>
      <c r="J1352" s="1" t="s">
        <v>8998</v>
      </c>
      <c r="K1352" s="1" t="s">
        <v>10525</v>
      </c>
      <c r="L1352" s="1" t="s">
        <v>8987</v>
      </c>
      <c r="M1352" s="1">
        <v>77850</v>
      </c>
      <c r="N1352" s="1" t="s">
        <v>8953</v>
      </c>
      <c r="O1352" s="1" t="s">
        <v>8989</v>
      </c>
      <c r="P1352" s="1" t="e">
        <v>#N/A</v>
      </c>
      <c r="Q1352" s="1" t="e">
        <v>#N/A</v>
      </c>
      <c r="R1352" s="1">
        <f t="shared" si="398"/>
        <v>8</v>
      </c>
      <c r="S1352" s="1" t="str">
        <f t="shared" si="399"/>
        <v>&gt;7</v>
      </c>
      <c r="T1352" s="1" t="s">
        <v>19285</v>
      </c>
      <c r="U1352" s="1" t="s">
        <v>7</v>
      </c>
      <c r="V1352" s="1" t="s">
        <v>46</v>
      </c>
      <c r="W1352" s="1"/>
    </row>
    <row r="1353" spans="1:23" x14ac:dyDescent="0.2">
      <c r="A1353" s="88" t="s">
        <v>16673</v>
      </c>
      <c r="B1353" s="1" t="e">
        <v>#N/A</v>
      </c>
      <c r="C1353" s="1" t="s">
        <v>9926</v>
      </c>
      <c r="D1353" s="1" t="s">
        <v>3697</v>
      </c>
      <c r="E1353" s="1" t="s">
        <v>3698</v>
      </c>
      <c r="F1353" s="1" t="s">
        <v>9010</v>
      </c>
      <c r="G1353" s="1" t="s">
        <v>8957</v>
      </c>
      <c r="H1353" t="s">
        <v>8959</v>
      </c>
      <c r="I1353" s="1" t="s">
        <v>9929</v>
      </c>
      <c r="J1353" s="1" t="s">
        <v>9155</v>
      </c>
      <c r="K1353" s="1" t="s">
        <v>9018</v>
      </c>
      <c r="L1353" s="1" t="s">
        <v>8987</v>
      </c>
      <c r="M1353" s="1">
        <v>42000</v>
      </c>
      <c r="N1353" s="1" t="s">
        <v>8953</v>
      </c>
      <c r="O1353" s="1" t="s">
        <v>8954</v>
      </c>
      <c r="P1353" s="1" t="s">
        <v>8955</v>
      </c>
      <c r="Q1353" s="1" t="s">
        <v>8956</v>
      </c>
      <c r="R1353" s="1" t="s">
        <v>8957</v>
      </c>
      <c r="S1353" s="1" t="s">
        <v>9103</v>
      </c>
      <c r="T1353" s="1" t="s">
        <v>3699</v>
      </c>
      <c r="U1353" s="1" t="s">
        <v>17</v>
      </c>
      <c r="V1353" s="1" t="s">
        <v>2024</v>
      </c>
      <c r="W1353" s="1"/>
    </row>
    <row r="1354" spans="1:23" x14ac:dyDescent="0.2">
      <c r="A1354" s="88" t="s">
        <v>16674</v>
      </c>
      <c r="B1354" s="1" t="e">
        <v>#N/A</v>
      </c>
      <c r="C1354" s="1" t="s">
        <v>14522</v>
      </c>
      <c r="D1354" s="1" t="s">
        <v>3700</v>
      </c>
      <c r="E1354" s="1" t="s">
        <v>3701</v>
      </c>
      <c r="F1354" s="1" t="s">
        <v>9213</v>
      </c>
      <c r="G1354" s="1" t="s">
        <v>8957</v>
      </c>
      <c r="H1354" t="s">
        <v>8959</v>
      </c>
      <c r="I1354" s="1" t="s">
        <v>8948</v>
      </c>
      <c r="J1354" s="1" t="s">
        <v>8949</v>
      </c>
      <c r="K1354" s="1" t="s">
        <v>21465</v>
      </c>
      <c r="L1354" s="1" t="s">
        <v>8987</v>
      </c>
      <c r="M1354" s="1">
        <v>147</v>
      </c>
      <c r="N1354" s="1" t="s">
        <v>9059</v>
      </c>
      <c r="O1354" s="1" t="s">
        <v>8989</v>
      </c>
      <c r="P1354" s="1" t="s">
        <v>8955</v>
      </c>
      <c r="Q1354" s="1" t="s">
        <v>8956</v>
      </c>
      <c r="R1354" s="1" t="s">
        <v>8957</v>
      </c>
      <c r="S1354" s="1" t="s">
        <v>8958</v>
      </c>
      <c r="T1354" s="1" t="s">
        <v>3702</v>
      </c>
      <c r="U1354" s="1" t="s">
        <v>242</v>
      </c>
      <c r="V1354" s="1" t="s">
        <v>392</v>
      </c>
      <c r="W1354" s="1"/>
    </row>
    <row r="1355" spans="1:23" x14ac:dyDescent="0.2">
      <c r="A1355" s="94" t="s">
        <v>16675</v>
      </c>
      <c r="B1355" s="1" t="e">
        <v>#N/A</v>
      </c>
      <c r="C1355" s="1" t="e">
        <v>#N/A</v>
      </c>
      <c r="D1355" s="1" t="s">
        <v>3703</v>
      </c>
      <c r="E1355" s="1" t="s">
        <v>3704</v>
      </c>
      <c r="F1355" s="1" t="e">
        <v>#N/A</v>
      </c>
      <c r="G1355" s="1" t="e">
        <v>#N/A</v>
      </c>
      <c r="H1355" t="e">
        <v>#N/A</v>
      </c>
      <c r="I1355" s="1" t="e">
        <v>#N/A</v>
      </c>
      <c r="J1355" s="1" t="e">
        <v>#N/A</v>
      </c>
      <c r="K1355" s="1" t="e">
        <v>#N/A</v>
      </c>
      <c r="L1355" s="1" t="e">
        <v>#N/A</v>
      </c>
      <c r="M1355" s="1" t="e">
        <v>#N/A</v>
      </c>
      <c r="N1355" s="1" t="e">
        <v>#N/A</v>
      </c>
      <c r="O1355" s="1" t="e">
        <v>#N/A</v>
      </c>
      <c r="P1355" s="1" t="e">
        <v>#N/A</v>
      </c>
      <c r="Q1355" s="1" t="e">
        <v>#N/A</v>
      </c>
      <c r="R1355" s="1">
        <f t="shared" ref="R1355:R1358" si="400">1+LEN(T1355)-LEN(SUBSTITUTE(T1355,",",))</f>
        <v>4</v>
      </c>
      <c r="S1355" s="1" t="str">
        <f t="shared" ref="S1355:S1358" si="401">IF(R1355&gt;4,IF(R1355&lt;8,"4-7",IF(R1355&gt;7,"&gt;7")),"&lt;4")</f>
        <v>&lt;4</v>
      </c>
      <c r="T1355" s="1" t="s">
        <v>19286</v>
      </c>
      <c r="U1355" s="1" t="s">
        <v>4</v>
      </c>
      <c r="V1355" s="1" t="s">
        <v>342</v>
      </c>
      <c r="W1355" s="1"/>
    </row>
    <row r="1356" spans="1:23" x14ac:dyDescent="0.2">
      <c r="A1356" s="88" t="s">
        <v>3705</v>
      </c>
      <c r="B1356" s="1" t="e">
        <v>#N/A</v>
      </c>
      <c r="C1356" s="1" t="e">
        <v>#N/A</v>
      </c>
      <c r="D1356" s="1" t="s">
        <v>3706</v>
      </c>
      <c r="E1356" s="1" t="s">
        <v>3707</v>
      </c>
      <c r="F1356" s="1" t="s">
        <v>9213</v>
      </c>
      <c r="G1356" s="1" t="s">
        <v>8957</v>
      </c>
      <c r="H1356" t="s">
        <v>8959</v>
      </c>
      <c r="I1356" s="1" t="s">
        <v>9100</v>
      </c>
      <c r="J1356" s="1" t="s">
        <v>9155</v>
      </c>
      <c r="K1356" s="1" t="s">
        <v>20852</v>
      </c>
      <c r="L1356" s="1" t="s">
        <v>9292</v>
      </c>
      <c r="M1356" s="1">
        <f>51+99+52</f>
        <v>202</v>
      </c>
      <c r="N1356" s="1" t="s">
        <v>9059</v>
      </c>
      <c r="O1356" s="1" t="s">
        <v>8954</v>
      </c>
      <c r="P1356" s="1" t="e">
        <v>#N/A</v>
      </c>
      <c r="Q1356" s="1" t="e">
        <v>#N/A</v>
      </c>
      <c r="R1356" s="1">
        <f t="shared" si="400"/>
        <v>2</v>
      </c>
      <c r="S1356" s="1" t="str">
        <f t="shared" si="401"/>
        <v>&lt;4</v>
      </c>
      <c r="T1356" s="1" t="s">
        <v>19287</v>
      </c>
      <c r="U1356" s="1" t="s">
        <v>11</v>
      </c>
      <c r="V1356" s="1" t="s">
        <v>2988</v>
      </c>
      <c r="W1356" s="1"/>
    </row>
    <row r="1357" spans="1:23" x14ac:dyDescent="0.2">
      <c r="A1357" s="88" t="s">
        <v>16676</v>
      </c>
      <c r="B1357" s="1" t="e">
        <v>#N/A</v>
      </c>
      <c r="C1357" s="1" t="e">
        <v>#N/A</v>
      </c>
      <c r="D1357" s="1" t="s">
        <v>3708</v>
      </c>
      <c r="E1357" s="1" t="s">
        <v>3709</v>
      </c>
      <c r="F1357" s="1" t="s">
        <v>9213</v>
      </c>
      <c r="G1357" s="1" t="s">
        <v>8957</v>
      </c>
      <c r="H1357" t="s">
        <v>8959</v>
      </c>
      <c r="I1357" s="1" t="s">
        <v>8948</v>
      </c>
      <c r="J1357" s="1" t="s">
        <v>9308</v>
      </c>
      <c r="K1357" s="1" t="s">
        <v>20779</v>
      </c>
      <c r="L1357" s="1" t="s">
        <v>8951</v>
      </c>
      <c r="M1357" s="1">
        <v>12179</v>
      </c>
      <c r="N1357" s="1" t="s">
        <v>8953</v>
      </c>
      <c r="O1357" s="1" t="s">
        <v>8989</v>
      </c>
      <c r="P1357" s="1" t="e">
        <v>#N/A</v>
      </c>
      <c r="Q1357" s="1" t="e">
        <v>#N/A</v>
      </c>
      <c r="R1357" s="1">
        <f t="shared" si="400"/>
        <v>4</v>
      </c>
      <c r="S1357" s="1" t="str">
        <f t="shared" si="401"/>
        <v>&lt;4</v>
      </c>
      <c r="T1357" s="1" t="s">
        <v>19288</v>
      </c>
      <c r="U1357" s="1" t="s">
        <v>17</v>
      </c>
      <c r="V1357" s="1" t="s">
        <v>24</v>
      </c>
      <c r="W1357" s="1"/>
    </row>
    <row r="1358" spans="1:23" x14ac:dyDescent="0.2">
      <c r="A1358" s="88" t="s">
        <v>16677</v>
      </c>
      <c r="B1358" s="1" t="e">
        <v>#N/A</v>
      </c>
      <c r="C1358" s="1" t="e">
        <v>#N/A</v>
      </c>
      <c r="D1358" s="1" t="s">
        <v>3710</v>
      </c>
      <c r="E1358" s="1" t="s">
        <v>3711</v>
      </c>
      <c r="F1358" s="1" t="s">
        <v>9213</v>
      </c>
      <c r="G1358" s="1" t="s">
        <v>8959</v>
      </c>
      <c r="H1358" t="s">
        <v>8959</v>
      </c>
      <c r="I1358" s="1" t="s">
        <v>8984</v>
      </c>
      <c r="J1358" s="1" t="s">
        <v>8949</v>
      </c>
      <c r="K1358" s="1" t="s">
        <v>21251</v>
      </c>
      <c r="L1358" s="1" t="s">
        <v>8951</v>
      </c>
      <c r="M1358" s="1">
        <f>41485+51160</f>
        <v>92645</v>
      </c>
      <c r="N1358" s="1" t="s">
        <v>8953</v>
      </c>
      <c r="O1358" s="1" t="s">
        <v>8954</v>
      </c>
      <c r="P1358" s="1" t="e">
        <v>#N/A</v>
      </c>
      <c r="Q1358" s="1" t="e">
        <v>#N/A</v>
      </c>
      <c r="R1358" s="1">
        <f t="shared" si="400"/>
        <v>5</v>
      </c>
      <c r="S1358" s="1" t="str">
        <f t="shared" si="401"/>
        <v>4-7</v>
      </c>
      <c r="T1358" s="1" t="s">
        <v>19289</v>
      </c>
      <c r="U1358" s="1" t="s">
        <v>7</v>
      </c>
      <c r="V1358" s="1" t="s">
        <v>24</v>
      </c>
      <c r="W1358" s="1"/>
    </row>
    <row r="1359" spans="1:23" x14ac:dyDescent="0.2">
      <c r="A1359" s="88" t="s">
        <v>16678</v>
      </c>
      <c r="B1359" s="1" t="e">
        <v>#N/A</v>
      </c>
      <c r="C1359" s="1" t="s">
        <v>13578</v>
      </c>
      <c r="D1359" s="1" t="s">
        <v>3712</v>
      </c>
      <c r="E1359" s="1" t="s">
        <v>3713</v>
      </c>
      <c r="F1359" s="1" t="s">
        <v>9213</v>
      </c>
      <c r="G1359" s="1" t="s">
        <v>8959</v>
      </c>
      <c r="H1359" t="s">
        <v>9061</v>
      </c>
      <c r="I1359" s="1" t="s">
        <v>9092</v>
      </c>
      <c r="J1359" s="1" t="s">
        <v>9308</v>
      </c>
      <c r="K1359" s="1" t="s">
        <v>13581</v>
      </c>
      <c r="L1359" s="1" t="s">
        <v>9133</v>
      </c>
      <c r="M1359" s="1">
        <v>18940</v>
      </c>
      <c r="N1359" s="1" t="s">
        <v>8953</v>
      </c>
      <c r="O1359" s="1" t="s">
        <v>8989</v>
      </c>
      <c r="P1359" s="1" t="s">
        <v>8955</v>
      </c>
      <c r="Q1359" s="1" t="s">
        <v>8956</v>
      </c>
      <c r="R1359" s="1" t="s">
        <v>8959</v>
      </c>
      <c r="S1359" s="1" t="s">
        <v>8958</v>
      </c>
      <c r="T1359" s="1" t="s">
        <v>3714</v>
      </c>
      <c r="U1359" s="1" t="s">
        <v>4</v>
      </c>
      <c r="V1359" s="1" t="s">
        <v>496</v>
      </c>
      <c r="W1359" s="1"/>
    </row>
    <row r="1360" spans="1:23" x14ac:dyDescent="0.2">
      <c r="A1360" s="88" t="s">
        <v>16679</v>
      </c>
      <c r="B1360" s="1" t="e">
        <v>#N/A</v>
      </c>
      <c r="C1360" s="1" t="e">
        <v>#N/A</v>
      </c>
      <c r="D1360" s="1" t="s">
        <v>3715</v>
      </c>
      <c r="E1360" s="1" t="s">
        <v>3716</v>
      </c>
      <c r="F1360" s="1" t="s">
        <v>9213</v>
      </c>
      <c r="G1360" s="1" t="s">
        <v>8957</v>
      </c>
      <c r="H1360" t="s">
        <v>9061</v>
      </c>
      <c r="I1360" s="1" t="s">
        <v>9092</v>
      </c>
      <c r="J1360" s="1" t="s">
        <v>8949</v>
      </c>
      <c r="K1360" s="1" t="s">
        <v>10525</v>
      </c>
      <c r="L1360" s="1" t="s">
        <v>8951</v>
      </c>
      <c r="M1360" s="1">
        <v>240</v>
      </c>
      <c r="N1360" s="1" t="s">
        <v>9059</v>
      </c>
      <c r="O1360" s="1" t="s">
        <v>8989</v>
      </c>
      <c r="P1360" s="1" t="e">
        <v>#N/A</v>
      </c>
      <c r="Q1360" s="1" t="e">
        <v>#N/A</v>
      </c>
      <c r="R1360" s="1">
        <f>1+LEN(T1360)-LEN(SUBSTITUTE(T1360,",",))</f>
        <v>11</v>
      </c>
      <c r="S1360" s="1" t="str">
        <f>IF(R1360&gt;4,IF(R1360&lt;8,"4-7",IF(R1360&gt;7,"&gt;7")),"&lt;4")</f>
        <v>&gt;7</v>
      </c>
      <c r="T1360" s="1" t="s">
        <v>19290</v>
      </c>
      <c r="U1360" s="1" t="s">
        <v>17</v>
      </c>
      <c r="V1360" s="1" t="s">
        <v>184</v>
      </c>
      <c r="W1360" s="1"/>
    </row>
    <row r="1361" spans="1:23" x14ac:dyDescent="0.2">
      <c r="A1361" s="88" t="s">
        <v>16680</v>
      </c>
      <c r="B1361" s="1" t="e">
        <v>#N/A</v>
      </c>
      <c r="C1361" s="1" t="s">
        <v>11587</v>
      </c>
      <c r="D1361" s="1" t="s">
        <v>3717</v>
      </c>
      <c r="E1361" s="1" t="s">
        <v>3718</v>
      </c>
      <c r="F1361" s="1" t="s">
        <v>9213</v>
      </c>
      <c r="G1361" s="1" t="s">
        <v>8957</v>
      </c>
      <c r="H1361" t="s">
        <v>9183</v>
      </c>
      <c r="I1361" s="1" t="s">
        <v>9092</v>
      </c>
      <c r="J1361" s="1" t="s">
        <v>8949</v>
      </c>
      <c r="K1361" s="1" t="s">
        <v>9036</v>
      </c>
      <c r="L1361" s="1" t="s">
        <v>9133</v>
      </c>
      <c r="M1361" s="1">
        <v>161</v>
      </c>
      <c r="N1361" s="1" t="s">
        <v>8953</v>
      </c>
      <c r="O1361" s="1" t="s">
        <v>8954</v>
      </c>
      <c r="P1361" s="1" t="s">
        <v>8955</v>
      </c>
      <c r="Q1361" s="1" t="s">
        <v>8956</v>
      </c>
      <c r="R1361" s="1" t="s">
        <v>8957</v>
      </c>
      <c r="S1361" s="1" t="s">
        <v>8958</v>
      </c>
      <c r="T1361" s="1" t="s">
        <v>3719</v>
      </c>
      <c r="U1361" s="1" t="s">
        <v>11</v>
      </c>
      <c r="V1361" s="1" t="s">
        <v>24</v>
      </c>
      <c r="W1361" s="1"/>
    </row>
    <row r="1362" spans="1:23" x14ac:dyDescent="0.2">
      <c r="A1362" s="88" t="s">
        <v>16681</v>
      </c>
      <c r="B1362" s="1" t="e">
        <v>#N/A</v>
      </c>
      <c r="C1362" s="1" t="s">
        <v>12262</v>
      </c>
      <c r="D1362" s="1" t="s">
        <v>3720</v>
      </c>
      <c r="E1362" s="1" t="s">
        <v>3721</v>
      </c>
      <c r="F1362" s="1" t="s">
        <v>9213</v>
      </c>
      <c r="G1362" s="1" t="s">
        <v>8957</v>
      </c>
      <c r="H1362" t="s">
        <v>9183</v>
      </c>
      <c r="I1362" s="1" t="s">
        <v>9100</v>
      </c>
      <c r="J1362" s="1" t="s">
        <v>9725</v>
      </c>
      <c r="K1362" s="1" t="s">
        <v>9036</v>
      </c>
      <c r="L1362" s="1" t="s">
        <v>9076</v>
      </c>
      <c r="M1362" s="1">
        <v>4050</v>
      </c>
      <c r="N1362" s="1" t="s">
        <v>8953</v>
      </c>
      <c r="O1362" s="1" t="s">
        <v>8954</v>
      </c>
      <c r="P1362" s="1" t="s">
        <v>8955</v>
      </c>
      <c r="Q1362" s="1" t="s">
        <v>8956</v>
      </c>
      <c r="R1362" s="1" t="s">
        <v>8957</v>
      </c>
      <c r="S1362" s="1" t="s">
        <v>8975</v>
      </c>
      <c r="T1362" s="1" t="s">
        <v>3722</v>
      </c>
      <c r="U1362" s="1" t="s">
        <v>11</v>
      </c>
      <c r="V1362" s="1" t="s">
        <v>61</v>
      </c>
      <c r="W1362" s="1"/>
    </row>
    <row r="1363" spans="1:23" x14ac:dyDescent="0.2">
      <c r="A1363" s="88" t="s">
        <v>16682</v>
      </c>
      <c r="B1363" s="1" t="e">
        <v>#N/A</v>
      </c>
      <c r="C1363" s="1" t="s">
        <v>13166</v>
      </c>
      <c r="D1363" s="1" t="s">
        <v>3723</v>
      </c>
      <c r="E1363" s="1" t="s">
        <v>3724</v>
      </c>
      <c r="F1363" s="1" t="s">
        <v>9010</v>
      </c>
      <c r="G1363" s="1" t="s">
        <v>8957</v>
      </c>
      <c r="H1363" t="s">
        <v>9009</v>
      </c>
      <c r="I1363" s="1" t="s">
        <v>8948</v>
      </c>
      <c r="J1363" s="1" t="s">
        <v>9121</v>
      </c>
      <c r="K1363" s="1" t="s">
        <v>9036</v>
      </c>
      <c r="L1363" s="1" t="s">
        <v>9464</v>
      </c>
      <c r="M1363" s="1">
        <v>114</v>
      </c>
      <c r="N1363" s="1" t="s">
        <v>8953</v>
      </c>
      <c r="O1363" s="1" t="s">
        <v>8954</v>
      </c>
      <c r="P1363" s="1" t="s">
        <v>8955</v>
      </c>
      <c r="Q1363" s="1" t="s">
        <v>8956</v>
      </c>
      <c r="R1363" s="1" t="s">
        <v>8957</v>
      </c>
      <c r="S1363" s="1" t="s">
        <v>9103</v>
      </c>
      <c r="T1363" s="1" t="s">
        <v>3725</v>
      </c>
      <c r="U1363" s="1" t="s">
        <v>11</v>
      </c>
      <c r="V1363" s="1" t="s">
        <v>180</v>
      </c>
      <c r="W1363" s="1"/>
    </row>
    <row r="1364" spans="1:23" x14ac:dyDescent="0.2">
      <c r="A1364" s="88" t="s">
        <v>16683</v>
      </c>
      <c r="B1364" s="1" t="e">
        <v>#N/A</v>
      </c>
      <c r="C1364" s="1" t="s">
        <v>12514</v>
      </c>
      <c r="D1364" s="1" t="s">
        <v>3726</v>
      </c>
      <c r="E1364" s="1" t="s">
        <v>3727</v>
      </c>
      <c r="F1364" s="1" t="s">
        <v>9213</v>
      </c>
      <c r="G1364" s="1" t="s">
        <v>8957</v>
      </c>
      <c r="H1364" t="s">
        <v>8959</v>
      </c>
      <c r="I1364" s="1" t="s">
        <v>8948</v>
      </c>
      <c r="J1364" s="1" t="s">
        <v>8949</v>
      </c>
      <c r="K1364" s="1" t="s">
        <v>9051</v>
      </c>
      <c r="L1364" s="1" t="s">
        <v>9076</v>
      </c>
      <c r="M1364" s="1">
        <v>274</v>
      </c>
      <c r="N1364" s="1" t="s">
        <v>8953</v>
      </c>
      <c r="O1364" s="1" t="s">
        <v>8954</v>
      </c>
      <c r="P1364" s="1" t="s">
        <v>8955</v>
      </c>
      <c r="Q1364" s="1" t="s">
        <v>8956</v>
      </c>
      <c r="R1364" s="1" t="s">
        <v>8957</v>
      </c>
      <c r="S1364" s="1" t="s">
        <v>9103</v>
      </c>
      <c r="T1364" s="1" t="s">
        <v>3728</v>
      </c>
      <c r="U1364" s="1" t="s">
        <v>11</v>
      </c>
      <c r="V1364" s="1" t="s">
        <v>93</v>
      </c>
      <c r="W1364" s="1"/>
    </row>
    <row r="1365" spans="1:23" x14ac:dyDescent="0.2">
      <c r="A1365" s="89" t="s">
        <v>16684</v>
      </c>
      <c r="B1365" s="1" t="e">
        <v>#N/A</v>
      </c>
      <c r="C1365" s="1" t="e">
        <v>#N/A</v>
      </c>
      <c r="D1365" s="1" t="s">
        <v>3729</v>
      </c>
      <c r="E1365" s="1" t="s">
        <v>3730</v>
      </c>
      <c r="F1365" s="1" t="e">
        <v>#N/A</v>
      </c>
      <c r="G1365" s="1" t="e">
        <v>#N/A</v>
      </c>
      <c r="H1365" t="e">
        <v>#N/A</v>
      </c>
      <c r="I1365" s="1" t="e">
        <v>#N/A</v>
      </c>
      <c r="J1365" s="1" t="e">
        <v>#N/A</v>
      </c>
      <c r="K1365" s="1" t="e">
        <v>#N/A</v>
      </c>
      <c r="L1365" s="1" t="e">
        <v>#N/A</v>
      </c>
      <c r="M1365" s="1" t="e">
        <v>#N/A</v>
      </c>
      <c r="N1365" s="1" t="e">
        <v>#N/A</v>
      </c>
      <c r="O1365" s="1" t="e">
        <v>#N/A</v>
      </c>
      <c r="P1365" s="1" t="e">
        <v>#N/A</v>
      </c>
      <c r="Q1365" s="1" t="e">
        <v>#N/A</v>
      </c>
      <c r="R1365" s="1">
        <f t="shared" ref="R1365:R1366" si="402">1+LEN(T1365)-LEN(SUBSTITUTE(T1365,",",))</f>
        <v>7</v>
      </c>
      <c r="S1365" s="1" t="str">
        <f t="shared" ref="S1365:S1366" si="403">IF(R1365&gt;4,IF(R1365&lt;8,"4-7",IF(R1365&gt;7,"&gt;7")),"&lt;4")</f>
        <v>4-7</v>
      </c>
      <c r="T1365" s="1" t="s">
        <v>19291</v>
      </c>
      <c r="U1365" s="1" t="s">
        <v>17</v>
      </c>
      <c r="V1365" s="1" t="s">
        <v>3732</v>
      </c>
      <c r="W1365" s="1"/>
    </row>
    <row r="1366" spans="1:23" x14ac:dyDescent="0.2">
      <c r="A1366" s="89" t="s">
        <v>16685</v>
      </c>
      <c r="B1366" s="1" t="e">
        <v>#N/A</v>
      </c>
      <c r="C1366" s="1" t="e">
        <v>#N/A</v>
      </c>
      <c r="D1366" s="1" t="s">
        <v>3729</v>
      </c>
      <c r="E1366" s="1" t="s">
        <v>3731</v>
      </c>
      <c r="F1366" s="1" t="e">
        <v>#N/A</v>
      </c>
      <c r="G1366" s="1" t="e">
        <v>#N/A</v>
      </c>
      <c r="H1366" t="e">
        <v>#N/A</v>
      </c>
      <c r="I1366" s="1" t="e">
        <v>#N/A</v>
      </c>
      <c r="J1366" s="1" t="e">
        <v>#N/A</v>
      </c>
      <c r="K1366" s="1" t="e">
        <v>#N/A</v>
      </c>
      <c r="L1366" s="1" t="e">
        <v>#N/A</v>
      </c>
      <c r="M1366" s="1" t="e">
        <v>#N/A</v>
      </c>
      <c r="N1366" s="1" t="e">
        <v>#N/A</v>
      </c>
      <c r="O1366" s="1" t="e">
        <v>#N/A</v>
      </c>
      <c r="P1366" s="1" t="e">
        <v>#N/A</v>
      </c>
      <c r="Q1366" s="1" t="e">
        <v>#N/A</v>
      </c>
      <c r="R1366" s="1">
        <f t="shared" si="402"/>
        <v>1</v>
      </c>
      <c r="S1366" s="1" t="str">
        <f t="shared" si="403"/>
        <v>&lt;4</v>
      </c>
      <c r="U1366" s="1" t="s">
        <v>7</v>
      </c>
      <c r="V1366" s="1" t="s">
        <v>3732</v>
      </c>
      <c r="W1366" s="1"/>
    </row>
    <row r="1367" spans="1:23" x14ac:dyDescent="0.2">
      <c r="A1367" s="88" t="s">
        <v>16686</v>
      </c>
      <c r="B1367" s="1" t="e">
        <v>#N/A</v>
      </c>
      <c r="C1367" s="1" t="s">
        <v>10475</v>
      </c>
      <c r="D1367" s="1" t="s">
        <v>3733</v>
      </c>
      <c r="E1367" s="1" t="s">
        <v>3734</v>
      </c>
      <c r="F1367" s="1" t="s">
        <v>9213</v>
      </c>
      <c r="G1367" s="1" t="s">
        <v>8957</v>
      </c>
      <c r="H1367" t="s">
        <v>8959</v>
      </c>
      <c r="I1367" s="1" t="s">
        <v>9092</v>
      </c>
      <c r="J1367" s="1" t="s">
        <v>8949</v>
      </c>
      <c r="K1367" s="1" t="s">
        <v>8972</v>
      </c>
      <c r="L1367" s="1" t="s">
        <v>8973</v>
      </c>
      <c r="M1367" s="1">
        <v>500</v>
      </c>
      <c r="N1367" s="1" t="s">
        <v>8953</v>
      </c>
      <c r="O1367" s="1" t="s">
        <v>8989</v>
      </c>
      <c r="P1367" s="1" t="s">
        <v>8955</v>
      </c>
      <c r="Q1367" s="1" t="s">
        <v>8956</v>
      </c>
      <c r="R1367" s="1" t="s">
        <v>8957</v>
      </c>
      <c r="S1367" s="1" t="s">
        <v>8958</v>
      </c>
      <c r="T1367" s="1" t="s">
        <v>3735</v>
      </c>
      <c r="U1367" s="1" t="s">
        <v>11</v>
      </c>
      <c r="V1367" s="1" t="s">
        <v>3736</v>
      </c>
      <c r="W1367" s="1"/>
    </row>
    <row r="1368" spans="1:23" x14ac:dyDescent="0.2">
      <c r="A1368" s="88" t="s">
        <v>16687</v>
      </c>
      <c r="B1368" s="1" t="e">
        <v>#N/A</v>
      </c>
      <c r="C1368" s="1" t="e">
        <v>#N/A</v>
      </c>
      <c r="D1368" s="1" t="s">
        <v>3737</v>
      </c>
      <c r="E1368" s="1" t="s">
        <v>3738</v>
      </c>
      <c r="F1368" s="1" t="s">
        <v>9213</v>
      </c>
      <c r="G1368" s="1" t="s">
        <v>8957</v>
      </c>
      <c r="H1368" t="s">
        <v>9061</v>
      </c>
      <c r="I1368" s="1" t="s">
        <v>8984</v>
      </c>
      <c r="J1368" s="1" t="s">
        <v>9308</v>
      </c>
      <c r="K1368" s="1" t="s">
        <v>20841</v>
      </c>
      <c r="L1368" s="1" t="s">
        <v>8951</v>
      </c>
      <c r="M1368" s="1">
        <f>681+75</f>
        <v>756</v>
      </c>
      <c r="N1368" s="1" t="s">
        <v>9059</v>
      </c>
      <c r="O1368" s="1" t="s">
        <v>8989</v>
      </c>
      <c r="P1368" s="1" t="e">
        <v>#N/A</v>
      </c>
      <c r="Q1368" s="1" t="e">
        <v>#N/A</v>
      </c>
      <c r="R1368" s="1">
        <f>1+LEN(T1368)-LEN(SUBSTITUTE(T1368,",",))</f>
        <v>9</v>
      </c>
      <c r="S1368" s="1" t="str">
        <f>IF(R1368&gt;4,IF(R1368&lt;8,"4-7",IF(R1368&gt;7,"&gt;7")),"&lt;4")</f>
        <v>&gt;7</v>
      </c>
      <c r="T1368" s="1" t="s">
        <v>19292</v>
      </c>
      <c r="U1368" s="1" t="s">
        <v>17</v>
      </c>
      <c r="V1368" s="1" t="s">
        <v>24</v>
      </c>
      <c r="W1368" s="1"/>
    </row>
    <row r="1369" spans="1:23" x14ac:dyDescent="0.2">
      <c r="A1369" s="88" t="s">
        <v>16688</v>
      </c>
      <c r="B1369" s="1" t="e">
        <v>#N/A</v>
      </c>
      <c r="C1369" s="1" t="s">
        <v>10817</v>
      </c>
      <c r="D1369" s="1" t="s">
        <v>3739</v>
      </c>
      <c r="E1369" s="1" t="s">
        <v>3740</v>
      </c>
      <c r="F1369" s="1" t="s">
        <v>9010</v>
      </c>
      <c r="G1369" s="1" t="s">
        <v>9060</v>
      </c>
      <c r="H1369" t="s">
        <v>8959</v>
      </c>
      <c r="I1369" s="1" t="s">
        <v>9605</v>
      </c>
      <c r="J1369" s="1" t="s">
        <v>9101</v>
      </c>
      <c r="K1369" s="1" t="s">
        <v>10820</v>
      </c>
      <c r="L1369" s="1" t="s">
        <v>9076</v>
      </c>
      <c r="M1369" s="1">
        <v>31</v>
      </c>
      <c r="N1369" s="1" t="s">
        <v>8953</v>
      </c>
      <c r="O1369" s="1" t="s">
        <v>8989</v>
      </c>
      <c r="P1369" s="1" t="s">
        <v>8955</v>
      </c>
      <c r="Q1369" s="1" t="s">
        <v>8956</v>
      </c>
      <c r="R1369" s="1" t="s">
        <v>9060</v>
      </c>
      <c r="S1369" s="1" t="s">
        <v>8975</v>
      </c>
      <c r="T1369" s="1" t="s">
        <v>3741</v>
      </c>
      <c r="U1369" s="1" t="s">
        <v>11</v>
      </c>
      <c r="V1369" s="1" t="s">
        <v>24</v>
      </c>
      <c r="W1369" s="1"/>
    </row>
    <row r="1370" spans="1:23" x14ac:dyDescent="0.2">
      <c r="A1370" s="88" t="s">
        <v>16689</v>
      </c>
      <c r="B1370" s="1" t="e">
        <v>#N/A</v>
      </c>
      <c r="C1370" s="1" t="s">
        <v>10697</v>
      </c>
      <c r="D1370" s="1" t="s">
        <v>3742</v>
      </c>
      <c r="E1370" s="1" t="s">
        <v>3743</v>
      </c>
      <c r="F1370" s="1" t="s">
        <v>9213</v>
      </c>
      <c r="G1370" s="1" t="s">
        <v>8957</v>
      </c>
      <c r="H1370" t="s">
        <v>8959</v>
      </c>
      <c r="I1370" s="1" t="s">
        <v>9252</v>
      </c>
      <c r="J1370" s="1" t="s">
        <v>9253</v>
      </c>
      <c r="K1370" s="1" t="s">
        <v>9018</v>
      </c>
      <c r="L1370" s="1" t="s">
        <v>9133</v>
      </c>
      <c r="M1370" s="1">
        <v>340</v>
      </c>
      <c r="N1370" s="1" t="s">
        <v>8953</v>
      </c>
      <c r="O1370" s="1" t="s">
        <v>8989</v>
      </c>
      <c r="P1370" s="1" t="s">
        <v>8955</v>
      </c>
      <c r="Q1370" s="1" t="s">
        <v>8956</v>
      </c>
      <c r="R1370" s="1" t="s">
        <v>8957</v>
      </c>
      <c r="S1370" s="1" t="s">
        <v>8958</v>
      </c>
      <c r="T1370" s="1" t="s">
        <v>3744</v>
      </c>
      <c r="U1370" s="1" t="s">
        <v>11</v>
      </c>
      <c r="V1370" s="1" t="s">
        <v>378</v>
      </c>
      <c r="W1370" s="1"/>
    </row>
    <row r="1371" spans="1:23" x14ac:dyDescent="0.2">
      <c r="A1371" s="88" t="s">
        <v>16690</v>
      </c>
      <c r="B1371" s="1" t="e">
        <v>#N/A</v>
      </c>
      <c r="C1371" s="1" t="s">
        <v>10543</v>
      </c>
      <c r="D1371" s="1" t="s">
        <v>3745</v>
      </c>
      <c r="E1371" s="1" t="s">
        <v>3746</v>
      </c>
      <c r="F1371" s="1" t="s">
        <v>9213</v>
      </c>
      <c r="G1371" s="1" t="s">
        <v>8957</v>
      </c>
      <c r="H1371" t="s">
        <v>9183</v>
      </c>
      <c r="I1371" s="1" t="s">
        <v>8948</v>
      </c>
      <c r="J1371" s="1" t="s">
        <v>9308</v>
      </c>
      <c r="K1371" s="1" t="s">
        <v>9036</v>
      </c>
      <c r="L1371" s="1" t="s">
        <v>8951</v>
      </c>
      <c r="M1371" s="1">
        <v>753</v>
      </c>
      <c r="N1371" s="1" t="s">
        <v>8953</v>
      </c>
      <c r="O1371" s="1" t="s">
        <v>8954</v>
      </c>
      <c r="P1371" s="1" t="s">
        <v>8955</v>
      </c>
      <c r="Q1371" s="1" t="s">
        <v>8956</v>
      </c>
      <c r="R1371" s="1" t="s">
        <v>8957</v>
      </c>
      <c r="S1371" s="1" t="s">
        <v>8975</v>
      </c>
      <c r="T1371" s="1" t="s">
        <v>3747</v>
      </c>
      <c r="U1371" s="1" t="s">
        <v>17</v>
      </c>
      <c r="V1371" s="1" t="s">
        <v>1421</v>
      </c>
      <c r="W1371" s="1"/>
    </row>
    <row r="1372" spans="1:23" x14ac:dyDescent="0.2">
      <c r="A1372" s="88" t="s">
        <v>16691</v>
      </c>
      <c r="B1372" s="1" t="e">
        <v>#N/A</v>
      </c>
      <c r="C1372" s="1" t="e">
        <v>#N/A</v>
      </c>
      <c r="D1372" s="1" t="s">
        <v>3748</v>
      </c>
      <c r="E1372" s="1" t="s">
        <v>3749</v>
      </c>
      <c r="F1372" s="1" t="s">
        <v>18502</v>
      </c>
      <c r="G1372" s="1" t="s">
        <v>8957</v>
      </c>
      <c r="H1372" t="s">
        <v>9061</v>
      </c>
      <c r="I1372" s="1" t="s">
        <v>9035</v>
      </c>
      <c r="J1372" s="1" t="s">
        <v>8949</v>
      </c>
      <c r="K1372" s="1" t="s">
        <v>21205</v>
      </c>
      <c r="L1372" s="1" t="s">
        <v>9076</v>
      </c>
      <c r="M1372" s="1">
        <v>4</v>
      </c>
      <c r="N1372" s="1" t="s">
        <v>9059</v>
      </c>
      <c r="O1372" s="1" t="s">
        <v>8989</v>
      </c>
      <c r="P1372" s="1" t="e">
        <v>#N/A</v>
      </c>
      <c r="Q1372" s="1" t="e">
        <v>#N/A</v>
      </c>
      <c r="R1372" s="1">
        <f t="shared" ref="R1372:R1374" si="404">1+LEN(T1372)-LEN(SUBSTITUTE(T1372,",",))</f>
        <v>5</v>
      </c>
      <c r="S1372" s="1" t="str">
        <f t="shared" ref="S1372:S1374" si="405">IF(R1372&gt;4,IF(R1372&lt;8,"4-7",IF(R1372&gt;7,"&gt;7")),"&lt;4")</f>
        <v>4-7</v>
      </c>
      <c r="T1372" s="1" t="s">
        <v>19293</v>
      </c>
      <c r="U1372" s="1" t="s">
        <v>17</v>
      </c>
      <c r="V1372" s="1" t="s">
        <v>93</v>
      </c>
      <c r="W1372" s="1"/>
    </row>
    <row r="1373" spans="1:23" x14ac:dyDescent="0.2">
      <c r="A1373" s="89" t="s">
        <v>3750</v>
      </c>
      <c r="B1373" s="1" t="e">
        <v>#N/A</v>
      </c>
      <c r="C1373" s="1" t="e">
        <v>#N/A</v>
      </c>
      <c r="D1373" s="1" t="s">
        <v>3751</v>
      </c>
      <c r="E1373" s="1" t="s">
        <v>3752</v>
      </c>
      <c r="F1373" s="1" t="e">
        <v>#N/A</v>
      </c>
      <c r="G1373" s="1" t="e">
        <v>#N/A</v>
      </c>
      <c r="H1373" t="e">
        <v>#N/A</v>
      </c>
      <c r="I1373" s="1" t="e">
        <v>#N/A</v>
      </c>
      <c r="J1373" s="1" t="e">
        <v>#N/A</v>
      </c>
      <c r="K1373" s="1" t="e">
        <v>#N/A</v>
      </c>
      <c r="L1373" s="1" t="e">
        <v>#N/A</v>
      </c>
      <c r="M1373" s="1" t="e">
        <v>#N/A</v>
      </c>
      <c r="N1373" s="1" t="e">
        <v>#N/A</v>
      </c>
      <c r="O1373" s="1" t="e">
        <v>#N/A</v>
      </c>
      <c r="P1373" s="1" t="e">
        <v>#N/A</v>
      </c>
      <c r="Q1373" s="1" t="e">
        <v>#N/A</v>
      </c>
      <c r="R1373" s="1">
        <f t="shared" si="404"/>
        <v>7</v>
      </c>
      <c r="S1373" s="1" t="str">
        <f t="shared" si="405"/>
        <v>4-7</v>
      </c>
      <c r="T1373" s="1" t="s">
        <v>19294</v>
      </c>
      <c r="U1373" s="1" t="s">
        <v>7</v>
      </c>
      <c r="V1373" s="1" t="s">
        <v>3753</v>
      </c>
      <c r="W1373" s="1"/>
    </row>
    <row r="1374" spans="1:23" x14ac:dyDescent="0.2">
      <c r="A1374" s="88" t="s">
        <v>16692</v>
      </c>
      <c r="B1374" s="1" t="e">
        <v>#N/A</v>
      </c>
      <c r="C1374" s="1" t="e">
        <v>#N/A</v>
      </c>
      <c r="D1374" s="1" t="s">
        <v>3754</v>
      </c>
      <c r="E1374" s="1" t="s">
        <v>3755</v>
      </c>
      <c r="F1374" s="1" t="s">
        <v>9213</v>
      </c>
      <c r="G1374" s="1" t="s">
        <v>8957</v>
      </c>
      <c r="H1374" t="s">
        <v>9061</v>
      </c>
      <c r="I1374" s="1" t="s">
        <v>9092</v>
      </c>
      <c r="J1374" s="1" t="s">
        <v>8949</v>
      </c>
      <c r="K1374" s="1" t="s">
        <v>18497</v>
      </c>
      <c r="L1374" s="1" t="s">
        <v>8987</v>
      </c>
      <c r="M1374" s="1">
        <f>1095+6793</f>
        <v>7888</v>
      </c>
      <c r="N1374" s="1" t="s">
        <v>8953</v>
      </c>
      <c r="O1374" s="1" t="s">
        <v>8989</v>
      </c>
      <c r="P1374" s="1" t="e">
        <v>#N/A</v>
      </c>
      <c r="Q1374" s="1" t="e">
        <v>#N/A</v>
      </c>
      <c r="R1374" s="1">
        <f t="shared" si="404"/>
        <v>8</v>
      </c>
      <c r="S1374" s="1" t="str">
        <f t="shared" si="405"/>
        <v>&gt;7</v>
      </c>
      <c r="T1374" s="1" t="s">
        <v>19295</v>
      </c>
      <c r="U1374" s="1" t="s">
        <v>7</v>
      </c>
      <c r="V1374" s="1" t="s">
        <v>147</v>
      </c>
      <c r="W1374" s="1"/>
    </row>
    <row r="1375" spans="1:23" x14ac:dyDescent="0.2">
      <c r="A1375" s="88" t="s">
        <v>16693</v>
      </c>
      <c r="B1375" s="1" t="e">
        <v>#N/A</v>
      </c>
      <c r="C1375" s="1" t="s">
        <v>11793</v>
      </c>
      <c r="D1375" s="1" t="s">
        <v>3756</v>
      </c>
      <c r="E1375" s="1" t="s">
        <v>3757</v>
      </c>
      <c r="F1375" s="1" t="s">
        <v>9213</v>
      </c>
      <c r="G1375" s="1" t="s">
        <v>8957</v>
      </c>
      <c r="H1375" t="s">
        <v>9183</v>
      </c>
      <c r="I1375" s="1" t="s">
        <v>8948</v>
      </c>
      <c r="J1375" s="1" t="s">
        <v>9308</v>
      </c>
      <c r="K1375" s="1" t="s">
        <v>9036</v>
      </c>
      <c r="L1375" s="1" t="s">
        <v>9133</v>
      </c>
      <c r="M1375" s="1">
        <v>9000</v>
      </c>
      <c r="N1375" s="1" t="s">
        <v>9059</v>
      </c>
      <c r="O1375" s="1" t="s">
        <v>8954</v>
      </c>
      <c r="P1375" s="1" t="s">
        <v>8955</v>
      </c>
      <c r="Q1375" s="1" t="s">
        <v>8956</v>
      </c>
      <c r="R1375" s="1" t="s">
        <v>8957</v>
      </c>
      <c r="S1375" s="1" t="s">
        <v>8975</v>
      </c>
      <c r="T1375" s="1" t="s">
        <v>3758</v>
      </c>
      <c r="U1375" s="1" t="s">
        <v>17</v>
      </c>
      <c r="V1375" s="1" t="s">
        <v>666</v>
      </c>
      <c r="W1375" s="1"/>
    </row>
    <row r="1376" spans="1:23" x14ac:dyDescent="0.2">
      <c r="A1376" s="88" t="s">
        <v>16694</v>
      </c>
      <c r="B1376" s="1" t="e">
        <v>#N/A</v>
      </c>
      <c r="C1376" s="1" t="e">
        <v>#N/A</v>
      </c>
      <c r="D1376" s="1" t="s">
        <v>3759</v>
      </c>
      <c r="E1376" s="1" t="s">
        <v>3760</v>
      </c>
      <c r="F1376" s="1" t="s">
        <v>9213</v>
      </c>
      <c r="G1376" s="1" t="s">
        <v>8957</v>
      </c>
      <c r="H1376" t="s">
        <v>8959</v>
      </c>
      <c r="I1376" s="1" t="s">
        <v>9154</v>
      </c>
      <c r="J1376" s="1" t="s">
        <v>8949</v>
      </c>
      <c r="K1376" s="1" t="s">
        <v>10492</v>
      </c>
      <c r="L1376" s="1" t="s">
        <v>8973</v>
      </c>
      <c r="M1376" s="1">
        <f>13535+4148</f>
        <v>17683</v>
      </c>
      <c r="N1376" s="1" t="s">
        <v>8953</v>
      </c>
      <c r="O1376" s="1" t="s">
        <v>8989</v>
      </c>
      <c r="P1376" s="1" t="e">
        <v>#N/A</v>
      </c>
      <c r="Q1376" s="1" t="e">
        <v>#N/A</v>
      </c>
      <c r="R1376" s="1">
        <f t="shared" ref="R1376:R1384" si="406">1+LEN(T1376)-LEN(SUBSTITUTE(T1376,",",))</f>
        <v>6</v>
      </c>
      <c r="S1376" s="1" t="str">
        <f t="shared" ref="S1376:S1384" si="407">IF(R1376&gt;4,IF(R1376&lt;8,"4-7",IF(R1376&gt;7,"&gt;7")),"&lt;4")</f>
        <v>4-7</v>
      </c>
      <c r="T1376" s="1" t="s">
        <v>19296</v>
      </c>
      <c r="U1376" s="1" t="s">
        <v>17</v>
      </c>
      <c r="V1376" s="1" t="s">
        <v>74</v>
      </c>
      <c r="W1376" s="1"/>
    </row>
    <row r="1377" spans="1:23" x14ac:dyDescent="0.2">
      <c r="A1377" s="88" t="s">
        <v>16695</v>
      </c>
      <c r="B1377" s="1" t="e">
        <v>#N/A</v>
      </c>
      <c r="C1377" s="1" t="e">
        <v>#N/A</v>
      </c>
      <c r="D1377" s="1" t="s">
        <v>3761</v>
      </c>
      <c r="E1377" s="1" t="s">
        <v>3762</v>
      </c>
      <c r="F1377" s="1" t="s">
        <v>9213</v>
      </c>
      <c r="G1377" s="1" t="s">
        <v>8957</v>
      </c>
      <c r="H1377" t="s">
        <v>8959</v>
      </c>
      <c r="I1377" s="1" t="s">
        <v>9100</v>
      </c>
      <c r="J1377" s="1" t="s">
        <v>8949</v>
      </c>
      <c r="K1377" s="1" t="s">
        <v>10492</v>
      </c>
      <c r="L1377" s="1" t="s">
        <v>8973</v>
      </c>
      <c r="M1377" s="1">
        <f>1124+389</f>
        <v>1513</v>
      </c>
      <c r="N1377" s="1" t="s">
        <v>8953</v>
      </c>
      <c r="O1377" s="1" t="s">
        <v>8954</v>
      </c>
      <c r="P1377" s="1" t="e">
        <v>#N/A</v>
      </c>
      <c r="Q1377" s="1" t="e">
        <v>#N/A</v>
      </c>
      <c r="R1377" s="1">
        <f t="shared" si="406"/>
        <v>13</v>
      </c>
      <c r="S1377" s="1" t="str">
        <f t="shared" si="407"/>
        <v>&gt;7</v>
      </c>
      <c r="T1377" s="1" t="s">
        <v>19297</v>
      </c>
      <c r="U1377" s="1" t="s">
        <v>17</v>
      </c>
      <c r="V1377" s="1" t="s">
        <v>544</v>
      </c>
      <c r="W1377" s="1"/>
    </row>
    <row r="1378" spans="1:23" x14ac:dyDescent="0.2">
      <c r="A1378" s="88" t="s">
        <v>16696</v>
      </c>
      <c r="B1378" s="1" t="e">
        <v>#N/A</v>
      </c>
      <c r="C1378" s="1" t="e">
        <v>#N/A</v>
      </c>
      <c r="D1378" s="1" t="s">
        <v>3763</v>
      </c>
      <c r="E1378" s="1" t="s">
        <v>3764</v>
      </c>
      <c r="F1378" s="1" t="s">
        <v>9213</v>
      </c>
      <c r="G1378" s="1" t="s">
        <v>8957</v>
      </c>
      <c r="H1378" t="s">
        <v>9183</v>
      </c>
      <c r="I1378" s="1" t="s">
        <v>20714</v>
      </c>
      <c r="J1378" s="1" t="s">
        <v>9050</v>
      </c>
      <c r="K1378" s="1" t="s">
        <v>18497</v>
      </c>
      <c r="L1378" s="1" t="s">
        <v>8951</v>
      </c>
      <c r="M1378" s="1">
        <v>412026</v>
      </c>
      <c r="N1378" s="1" t="s">
        <v>8953</v>
      </c>
      <c r="O1378" s="1" t="s">
        <v>8989</v>
      </c>
      <c r="P1378" s="1" t="e">
        <v>#N/A</v>
      </c>
      <c r="Q1378" s="1" t="e">
        <v>#N/A</v>
      </c>
      <c r="R1378" s="1">
        <f t="shared" si="406"/>
        <v>10</v>
      </c>
      <c r="S1378" s="1" t="str">
        <f t="shared" si="407"/>
        <v>&gt;7</v>
      </c>
      <c r="T1378" s="1" t="s">
        <v>19298</v>
      </c>
      <c r="U1378" s="1" t="s">
        <v>7</v>
      </c>
      <c r="V1378" s="1" t="s">
        <v>24</v>
      </c>
      <c r="W1378" s="1"/>
    </row>
    <row r="1379" spans="1:23" x14ac:dyDescent="0.2">
      <c r="A1379" s="88" t="s">
        <v>16697</v>
      </c>
      <c r="B1379" s="1" t="e">
        <v>#N/A</v>
      </c>
      <c r="C1379" s="1" t="e">
        <v>#N/A</v>
      </c>
      <c r="D1379" s="1" t="s">
        <v>3765</v>
      </c>
      <c r="E1379" s="1" t="s">
        <v>3766</v>
      </c>
      <c r="F1379" s="1" t="s">
        <v>9213</v>
      </c>
      <c r="G1379" s="1" t="s">
        <v>8957</v>
      </c>
      <c r="H1379" t="s">
        <v>8959</v>
      </c>
      <c r="I1379" s="1" t="s">
        <v>9035</v>
      </c>
      <c r="J1379" s="1" t="s">
        <v>9308</v>
      </c>
      <c r="K1379" s="1" t="s">
        <v>20829</v>
      </c>
      <c r="L1379" s="1" t="s">
        <v>8951</v>
      </c>
      <c r="M1379" s="1">
        <v>2088</v>
      </c>
      <c r="N1379" s="1" t="s">
        <v>8953</v>
      </c>
      <c r="O1379" s="1" t="s">
        <v>8954</v>
      </c>
      <c r="P1379" s="1" t="e">
        <v>#N/A</v>
      </c>
      <c r="Q1379" s="1" t="e">
        <v>#N/A</v>
      </c>
      <c r="R1379" s="1">
        <f t="shared" si="406"/>
        <v>6</v>
      </c>
      <c r="S1379" s="1" t="str">
        <f t="shared" si="407"/>
        <v>4-7</v>
      </c>
      <c r="T1379" s="1" t="s">
        <v>19299</v>
      </c>
      <c r="U1379" s="1" t="s">
        <v>7</v>
      </c>
      <c r="V1379" s="1" t="s">
        <v>147</v>
      </c>
      <c r="W1379" s="1"/>
    </row>
    <row r="1380" spans="1:23" x14ac:dyDescent="0.2">
      <c r="A1380" s="88" t="s">
        <v>16698</v>
      </c>
      <c r="B1380" s="1" t="e">
        <v>#N/A</v>
      </c>
      <c r="C1380" s="1" t="e">
        <v>#N/A</v>
      </c>
      <c r="D1380" s="1" t="s">
        <v>3767</v>
      </c>
      <c r="E1380" s="1" t="s">
        <v>3768</v>
      </c>
      <c r="F1380" s="1" t="s">
        <v>9213</v>
      </c>
      <c r="G1380" s="1" t="s">
        <v>8957</v>
      </c>
      <c r="H1380" t="s">
        <v>8959</v>
      </c>
      <c r="I1380" s="1" t="s">
        <v>9092</v>
      </c>
      <c r="J1380" s="1" t="s">
        <v>8998</v>
      </c>
      <c r="K1380" s="1" t="s">
        <v>10492</v>
      </c>
      <c r="L1380" s="1" t="s">
        <v>8973</v>
      </c>
      <c r="M1380" s="1">
        <v>344</v>
      </c>
      <c r="N1380" s="1" t="s">
        <v>8953</v>
      </c>
      <c r="O1380" s="1" t="s">
        <v>8989</v>
      </c>
      <c r="P1380" s="1" t="e">
        <v>#N/A</v>
      </c>
      <c r="Q1380" s="1" t="e">
        <v>#N/A</v>
      </c>
      <c r="R1380" s="1">
        <f t="shared" si="406"/>
        <v>3</v>
      </c>
      <c r="S1380" s="1" t="str">
        <f t="shared" si="407"/>
        <v>&lt;4</v>
      </c>
      <c r="T1380" s="1" t="s">
        <v>19300</v>
      </c>
      <c r="U1380" s="1" t="s">
        <v>7</v>
      </c>
      <c r="V1380" s="1" t="s">
        <v>3769</v>
      </c>
      <c r="W1380" s="1"/>
    </row>
    <row r="1381" spans="1:23" x14ac:dyDescent="0.2">
      <c r="A1381" s="88" t="s">
        <v>16699</v>
      </c>
      <c r="B1381" s="1" t="e">
        <v>#N/A</v>
      </c>
      <c r="C1381" s="1" t="e">
        <v>#N/A</v>
      </c>
      <c r="D1381" s="1" t="s">
        <v>3770</v>
      </c>
      <c r="E1381" s="1" t="s">
        <v>3771</v>
      </c>
      <c r="F1381" s="1" t="s">
        <v>9213</v>
      </c>
      <c r="G1381" s="1" t="s">
        <v>8959</v>
      </c>
      <c r="H1381" t="s">
        <v>9009</v>
      </c>
      <c r="I1381" s="1" t="s">
        <v>9173</v>
      </c>
      <c r="J1381" s="1" t="s">
        <v>9174</v>
      </c>
      <c r="K1381" s="1" t="s">
        <v>20779</v>
      </c>
      <c r="L1381" s="1" t="s">
        <v>9292</v>
      </c>
      <c r="M1381" s="1">
        <f>780+578</f>
        <v>1358</v>
      </c>
      <c r="N1381" s="1" t="s">
        <v>8953</v>
      </c>
      <c r="O1381" s="1" t="s">
        <v>8989</v>
      </c>
      <c r="P1381" s="1" t="e">
        <v>#N/A</v>
      </c>
      <c r="Q1381" s="1" t="e">
        <v>#N/A</v>
      </c>
      <c r="R1381" s="1">
        <f t="shared" si="406"/>
        <v>4</v>
      </c>
      <c r="S1381" s="1" t="str">
        <f t="shared" si="407"/>
        <v>&lt;4</v>
      </c>
      <c r="T1381" s="1" t="s">
        <v>19301</v>
      </c>
      <c r="U1381" s="1" t="s">
        <v>7</v>
      </c>
      <c r="V1381" s="1" t="s">
        <v>110</v>
      </c>
      <c r="W1381" s="1"/>
    </row>
    <row r="1382" spans="1:23" x14ac:dyDescent="0.2">
      <c r="A1382" s="94" t="s">
        <v>16700</v>
      </c>
      <c r="B1382" s="1" t="e">
        <v>#N/A</v>
      </c>
      <c r="C1382" s="1" t="e">
        <v>#N/A</v>
      </c>
      <c r="D1382" s="1" t="s">
        <v>3772</v>
      </c>
      <c r="E1382" s="1" t="s">
        <v>3773</v>
      </c>
      <c r="F1382" s="1" t="s">
        <v>9213</v>
      </c>
      <c r="G1382" s="1" t="e">
        <v>#N/A</v>
      </c>
      <c r="H1382" t="s">
        <v>8959</v>
      </c>
      <c r="I1382" s="1" t="s">
        <v>9035</v>
      </c>
      <c r="J1382" s="1" t="s">
        <v>8998</v>
      </c>
      <c r="K1382" s="1" t="e">
        <v>#N/A</v>
      </c>
      <c r="L1382" s="1" t="s">
        <v>9076</v>
      </c>
      <c r="M1382" s="1" t="e">
        <v>#N/A</v>
      </c>
      <c r="N1382" s="1" t="e">
        <v>#N/A</v>
      </c>
      <c r="O1382" s="1" t="e">
        <v>#N/A</v>
      </c>
      <c r="P1382" s="1" t="e">
        <v>#N/A</v>
      </c>
      <c r="Q1382" s="1" t="e">
        <v>#N/A</v>
      </c>
      <c r="R1382" s="1">
        <f t="shared" si="406"/>
        <v>4</v>
      </c>
      <c r="S1382" s="1" t="str">
        <f t="shared" si="407"/>
        <v>&lt;4</v>
      </c>
      <c r="T1382" s="1" t="s">
        <v>19302</v>
      </c>
      <c r="U1382" s="1" t="s">
        <v>17</v>
      </c>
      <c r="V1382" s="1" t="s">
        <v>1010</v>
      </c>
      <c r="W1382" s="1"/>
    </row>
    <row r="1383" spans="1:23" x14ac:dyDescent="0.2">
      <c r="A1383" s="88" t="s">
        <v>16701</v>
      </c>
      <c r="B1383" s="1" t="e">
        <v>#N/A</v>
      </c>
      <c r="C1383" s="1" t="e">
        <v>#N/A</v>
      </c>
      <c r="D1383" s="1" t="s">
        <v>3774</v>
      </c>
      <c r="E1383" s="1" t="s">
        <v>3775</v>
      </c>
      <c r="F1383" s="1" t="s">
        <v>9636</v>
      </c>
      <c r="G1383" s="1" t="s">
        <v>8957</v>
      </c>
      <c r="H1383" t="s">
        <v>9009</v>
      </c>
      <c r="I1383" s="1" t="s">
        <v>9173</v>
      </c>
      <c r="J1383" s="1" t="s">
        <v>20800</v>
      </c>
      <c r="K1383" s="1" t="s">
        <v>10525</v>
      </c>
      <c r="L1383" s="1" t="s">
        <v>9292</v>
      </c>
      <c r="M1383" s="1">
        <v>820</v>
      </c>
      <c r="N1383" s="1" t="s">
        <v>8953</v>
      </c>
      <c r="O1383" s="1" t="s">
        <v>8954</v>
      </c>
      <c r="P1383" s="1" t="e">
        <v>#N/A</v>
      </c>
      <c r="Q1383" s="1" t="e">
        <v>#N/A</v>
      </c>
      <c r="R1383" s="1">
        <f t="shared" si="406"/>
        <v>12</v>
      </c>
      <c r="S1383" s="1" t="str">
        <f t="shared" si="407"/>
        <v>&gt;7</v>
      </c>
      <c r="T1383" s="1" t="s">
        <v>20623</v>
      </c>
      <c r="U1383" s="1" t="s">
        <v>7</v>
      </c>
      <c r="V1383" s="1" t="s">
        <v>3776</v>
      </c>
      <c r="W1383" s="1"/>
    </row>
    <row r="1384" spans="1:23" x14ac:dyDescent="0.2">
      <c r="A1384" s="88" t="s">
        <v>16702</v>
      </c>
      <c r="B1384" s="1" t="e">
        <v>#N/A</v>
      </c>
      <c r="C1384" s="1" t="e">
        <v>#N/A</v>
      </c>
      <c r="D1384" s="1" t="s">
        <v>3777</v>
      </c>
      <c r="E1384" s="1" t="s">
        <v>3778</v>
      </c>
      <c r="F1384" s="1" t="s">
        <v>9333</v>
      </c>
      <c r="G1384" s="1" t="s">
        <v>8959</v>
      </c>
      <c r="H1384" t="s">
        <v>9009</v>
      </c>
      <c r="I1384" s="1" t="s">
        <v>9605</v>
      </c>
      <c r="J1384" s="1" t="s">
        <v>9422</v>
      </c>
      <c r="K1384" s="1" t="s">
        <v>20779</v>
      </c>
      <c r="L1384" s="1" t="s">
        <v>9133</v>
      </c>
      <c r="M1384" s="1">
        <v>703970</v>
      </c>
      <c r="N1384" s="1" t="s">
        <v>8953</v>
      </c>
      <c r="O1384" s="1" t="s">
        <v>8989</v>
      </c>
      <c r="P1384" s="1" t="e">
        <v>#N/A</v>
      </c>
      <c r="Q1384" s="1" t="e">
        <v>#N/A</v>
      </c>
      <c r="R1384" s="1">
        <f t="shared" si="406"/>
        <v>10</v>
      </c>
      <c r="S1384" s="1" t="str">
        <f t="shared" si="407"/>
        <v>&gt;7</v>
      </c>
      <c r="T1384" s="1" t="s">
        <v>19303</v>
      </c>
      <c r="U1384" s="1" t="s">
        <v>17</v>
      </c>
      <c r="V1384" s="1" t="s">
        <v>24</v>
      </c>
      <c r="W1384" s="1"/>
    </row>
    <row r="1385" spans="1:23" x14ac:dyDescent="0.2">
      <c r="A1385" s="88" t="s">
        <v>16703</v>
      </c>
      <c r="B1385" s="1" t="e">
        <v>#N/A</v>
      </c>
      <c r="C1385" s="1" t="s">
        <v>10702</v>
      </c>
      <c r="D1385" s="1" t="s">
        <v>3779</v>
      </c>
      <c r="E1385" s="1" t="s">
        <v>3780</v>
      </c>
      <c r="F1385" s="1" t="s">
        <v>10049</v>
      </c>
      <c r="G1385" s="1" t="s">
        <v>8957</v>
      </c>
      <c r="H1385" t="s">
        <v>8959</v>
      </c>
      <c r="I1385" s="1" t="s">
        <v>9035</v>
      </c>
      <c r="J1385" s="1" t="s">
        <v>9155</v>
      </c>
      <c r="K1385" s="1" t="s">
        <v>9036</v>
      </c>
      <c r="L1385" s="1" t="s">
        <v>8987</v>
      </c>
      <c r="M1385" s="1">
        <v>472</v>
      </c>
      <c r="N1385" s="1" t="s">
        <v>9059</v>
      </c>
      <c r="O1385" s="1" t="s">
        <v>8989</v>
      </c>
      <c r="P1385" s="1" t="s">
        <v>8955</v>
      </c>
      <c r="Q1385" s="1" t="s">
        <v>8990</v>
      </c>
      <c r="R1385" s="1" t="s">
        <v>8957</v>
      </c>
      <c r="S1385" s="1" t="s">
        <v>8975</v>
      </c>
      <c r="T1385" s="1" t="s">
        <v>3781</v>
      </c>
      <c r="U1385" s="1" t="s">
        <v>11</v>
      </c>
      <c r="V1385" s="1" t="s">
        <v>1848</v>
      </c>
      <c r="W1385" s="1"/>
    </row>
    <row r="1386" spans="1:23" x14ac:dyDescent="0.2">
      <c r="A1386" s="94" t="s">
        <v>16704</v>
      </c>
      <c r="B1386" s="1" t="e">
        <v>#N/A</v>
      </c>
      <c r="C1386" s="1" t="e">
        <v>#N/A</v>
      </c>
      <c r="D1386" s="1" t="s">
        <v>3782</v>
      </c>
      <c r="E1386" s="1" t="s">
        <v>3783</v>
      </c>
      <c r="F1386" s="1" t="s">
        <v>9317</v>
      </c>
      <c r="G1386" s="1" t="e">
        <v>#N/A</v>
      </c>
      <c r="H1386" t="s">
        <v>9009</v>
      </c>
      <c r="I1386" s="1" t="s">
        <v>9100</v>
      </c>
      <c r="J1386" s="1" t="s">
        <v>8949</v>
      </c>
      <c r="K1386" s="1" t="e">
        <v>#N/A</v>
      </c>
      <c r="L1386" s="1" t="s">
        <v>8973</v>
      </c>
      <c r="M1386" s="1">
        <f>24+10</f>
        <v>34</v>
      </c>
      <c r="N1386" s="1" t="s">
        <v>9059</v>
      </c>
      <c r="O1386" s="1" t="s">
        <v>8989</v>
      </c>
      <c r="P1386" s="1" t="e">
        <v>#N/A</v>
      </c>
      <c r="Q1386" s="1" t="e">
        <v>#N/A</v>
      </c>
      <c r="R1386" s="1">
        <f t="shared" ref="R1386:R1387" si="408">1+LEN(T1386)-LEN(SUBSTITUTE(T1386,",",))</f>
        <v>5</v>
      </c>
      <c r="S1386" s="1" t="str">
        <f t="shared" ref="S1386:S1387" si="409">IF(R1386&gt;4,IF(R1386&lt;8,"4-7",IF(R1386&gt;7,"&gt;7")),"&lt;4")</f>
        <v>4-7</v>
      </c>
      <c r="T1386" s="1" t="s">
        <v>19304</v>
      </c>
      <c r="U1386" s="1" t="s">
        <v>17</v>
      </c>
      <c r="V1386" s="1" t="s">
        <v>3784</v>
      </c>
      <c r="W1386" s="1"/>
    </row>
    <row r="1387" spans="1:23" x14ac:dyDescent="0.2">
      <c r="A1387" s="88" t="s">
        <v>16705</v>
      </c>
      <c r="B1387" s="1" t="e">
        <v>#N/A</v>
      </c>
      <c r="C1387" s="1" t="e">
        <v>#N/A</v>
      </c>
      <c r="D1387" s="1" t="s">
        <v>3785</v>
      </c>
      <c r="E1387" s="1" t="s">
        <v>3786</v>
      </c>
      <c r="F1387" s="1" t="s">
        <v>9333</v>
      </c>
      <c r="G1387" s="1" t="s">
        <v>8959</v>
      </c>
      <c r="H1387" t="s">
        <v>9061</v>
      </c>
      <c r="I1387" s="1" t="s">
        <v>9100</v>
      </c>
      <c r="J1387" s="1" t="s">
        <v>8949</v>
      </c>
      <c r="K1387" s="1" t="s">
        <v>20779</v>
      </c>
      <c r="L1387" s="1" t="s">
        <v>9133</v>
      </c>
      <c r="M1387" s="1">
        <v>419</v>
      </c>
      <c r="N1387" s="1" t="s">
        <v>9059</v>
      </c>
      <c r="O1387" s="1" t="s">
        <v>8989</v>
      </c>
      <c r="P1387" s="1" t="e">
        <v>#N/A</v>
      </c>
      <c r="Q1387" s="1" t="e">
        <v>#N/A</v>
      </c>
      <c r="R1387" s="1">
        <f t="shared" si="408"/>
        <v>9</v>
      </c>
      <c r="S1387" s="1" t="str">
        <f t="shared" si="409"/>
        <v>&gt;7</v>
      </c>
      <c r="T1387" s="1" t="s">
        <v>19305</v>
      </c>
      <c r="U1387" s="1" t="s">
        <v>17</v>
      </c>
      <c r="V1387" s="1" t="s">
        <v>147</v>
      </c>
      <c r="W1387" s="1"/>
    </row>
    <row r="1388" spans="1:23" x14ac:dyDescent="0.2">
      <c r="A1388" s="88" t="s">
        <v>16706</v>
      </c>
      <c r="B1388" s="1" t="e">
        <v>#N/A</v>
      </c>
      <c r="C1388" s="1" t="s">
        <v>9792</v>
      </c>
      <c r="D1388" s="1" t="s">
        <v>3787</v>
      </c>
      <c r="E1388" s="1" t="s">
        <v>3788</v>
      </c>
      <c r="F1388" s="1" t="s">
        <v>9333</v>
      </c>
      <c r="G1388" s="1" t="s">
        <v>8957</v>
      </c>
      <c r="H1388" t="s">
        <v>9061</v>
      </c>
      <c r="I1388" s="1" t="s">
        <v>8948</v>
      </c>
      <c r="J1388" s="1" t="s">
        <v>8998</v>
      </c>
      <c r="K1388" s="1" t="s">
        <v>9658</v>
      </c>
      <c r="L1388" s="1" t="s">
        <v>9133</v>
      </c>
      <c r="M1388" s="1">
        <v>500</v>
      </c>
      <c r="N1388" s="1" t="s">
        <v>8953</v>
      </c>
      <c r="O1388" s="1" t="s">
        <v>8954</v>
      </c>
      <c r="P1388" s="1" t="s">
        <v>8955</v>
      </c>
      <c r="Q1388" s="1" t="s">
        <v>8956</v>
      </c>
      <c r="R1388" s="1" t="s">
        <v>8957</v>
      </c>
      <c r="S1388" s="1" t="s">
        <v>8975</v>
      </c>
      <c r="T1388" s="1" t="s">
        <v>3789</v>
      </c>
      <c r="U1388" s="1" t="s">
        <v>17</v>
      </c>
      <c r="V1388" s="1" t="s">
        <v>2895</v>
      </c>
      <c r="W1388" s="1"/>
    </row>
    <row r="1389" spans="1:23" x14ac:dyDescent="0.2">
      <c r="A1389" s="88" t="s">
        <v>16707</v>
      </c>
      <c r="B1389" s="1" t="e">
        <v>#N/A</v>
      </c>
      <c r="C1389" s="1" t="e">
        <v>#N/A</v>
      </c>
      <c r="D1389" s="1" t="s">
        <v>3790</v>
      </c>
      <c r="E1389" s="1" t="s">
        <v>3791</v>
      </c>
      <c r="F1389" s="1" t="s">
        <v>9333</v>
      </c>
      <c r="G1389" s="1" t="s">
        <v>8957</v>
      </c>
      <c r="H1389" t="s">
        <v>9061</v>
      </c>
      <c r="I1389" s="1" t="s">
        <v>8948</v>
      </c>
      <c r="J1389" s="1" t="s">
        <v>8971</v>
      </c>
      <c r="K1389" s="1" t="s">
        <v>10525</v>
      </c>
      <c r="L1389" s="1" t="s">
        <v>9133</v>
      </c>
      <c r="M1389" s="1">
        <v>8000</v>
      </c>
      <c r="N1389" s="1" t="s">
        <v>8953</v>
      </c>
      <c r="O1389" s="1" t="s">
        <v>8989</v>
      </c>
      <c r="P1389" s="1" t="e">
        <v>#N/A</v>
      </c>
      <c r="Q1389" s="1" t="e">
        <v>#N/A</v>
      </c>
      <c r="R1389" s="1">
        <f t="shared" ref="R1389:R1392" si="410">1+LEN(T1389)-LEN(SUBSTITUTE(T1389,",",))</f>
        <v>12</v>
      </c>
      <c r="S1389" s="1" t="str">
        <f t="shared" ref="S1389:S1392" si="411">IF(R1389&gt;4,IF(R1389&lt;8,"4-7",IF(R1389&gt;7,"&gt;7")),"&lt;4")</f>
        <v>&gt;7</v>
      </c>
      <c r="T1389" s="1" t="s">
        <v>19306</v>
      </c>
      <c r="U1389" s="1" t="s">
        <v>7</v>
      </c>
      <c r="V1389" s="1" t="s">
        <v>2895</v>
      </c>
      <c r="W1389" s="1"/>
    </row>
    <row r="1390" spans="1:23" x14ac:dyDescent="0.2">
      <c r="A1390" s="92" t="s">
        <v>16708</v>
      </c>
      <c r="B1390" s="1" t="e">
        <v>#N/A</v>
      </c>
      <c r="C1390" s="1" t="e">
        <v>#N/A</v>
      </c>
      <c r="D1390" s="1" t="s">
        <v>3792</v>
      </c>
      <c r="E1390" s="1" t="s">
        <v>3793</v>
      </c>
      <c r="F1390" s="1" t="e">
        <v>#N/A</v>
      </c>
      <c r="G1390" s="1" t="e">
        <v>#N/A</v>
      </c>
      <c r="H1390" t="e">
        <v>#N/A</v>
      </c>
      <c r="I1390" s="1" t="e">
        <v>#N/A</v>
      </c>
      <c r="J1390" s="1" t="e">
        <v>#N/A</v>
      </c>
      <c r="K1390" s="1" t="e">
        <v>#N/A</v>
      </c>
      <c r="L1390" s="1" t="e">
        <v>#N/A</v>
      </c>
      <c r="M1390" s="1" t="e">
        <v>#N/A</v>
      </c>
      <c r="N1390" s="1" t="e">
        <v>#N/A</v>
      </c>
      <c r="O1390" s="1" t="e">
        <v>#N/A</v>
      </c>
      <c r="P1390" s="1" t="e">
        <v>#N/A</v>
      </c>
      <c r="Q1390" s="1" t="e">
        <v>#N/A</v>
      </c>
      <c r="R1390" s="1">
        <f t="shared" si="410"/>
        <v>3</v>
      </c>
      <c r="S1390" s="1" t="str">
        <f t="shared" si="411"/>
        <v>&lt;4</v>
      </c>
      <c r="T1390" s="1" t="s">
        <v>19307</v>
      </c>
      <c r="U1390" s="1" t="s">
        <v>7</v>
      </c>
      <c r="V1390" s="1" t="s">
        <v>1945</v>
      </c>
      <c r="W1390" s="1"/>
    </row>
    <row r="1391" spans="1:23" x14ac:dyDescent="0.2">
      <c r="A1391" s="88" t="s">
        <v>16709</v>
      </c>
      <c r="B1391" s="1" t="e">
        <v>#N/A</v>
      </c>
      <c r="C1391" s="1" t="e">
        <v>#N/A</v>
      </c>
      <c r="D1391" s="1" t="s">
        <v>3794</v>
      </c>
      <c r="E1391" s="1" t="s">
        <v>3795</v>
      </c>
      <c r="F1391" s="1" t="s">
        <v>18502</v>
      </c>
      <c r="G1391" s="1" t="s">
        <v>8957</v>
      </c>
      <c r="H1391" t="s">
        <v>9061</v>
      </c>
      <c r="I1391" s="1" t="s">
        <v>9092</v>
      </c>
      <c r="J1391" s="1" t="s">
        <v>8959</v>
      </c>
      <c r="K1391" s="1" t="s">
        <v>21275</v>
      </c>
      <c r="L1391" s="1" t="s">
        <v>8951</v>
      </c>
      <c r="M1391" s="1">
        <v>1441</v>
      </c>
      <c r="N1391" s="1" t="s">
        <v>8953</v>
      </c>
      <c r="O1391" s="1" t="s">
        <v>8989</v>
      </c>
      <c r="P1391" s="1" t="e">
        <v>#N/A</v>
      </c>
      <c r="Q1391" s="1" t="e">
        <v>#N/A</v>
      </c>
      <c r="R1391" s="1">
        <f t="shared" si="410"/>
        <v>4</v>
      </c>
      <c r="S1391" s="1" t="str">
        <f t="shared" si="411"/>
        <v>&lt;4</v>
      </c>
      <c r="T1391" s="1" t="s">
        <v>19308</v>
      </c>
      <c r="U1391" s="1" t="s">
        <v>17</v>
      </c>
      <c r="V1391" s="1" t="s">
        <v>87</v>
      </c>
      <c r="W1391" s="1"/>
    </row>
    <row r="1392" spans="1:23" x14ac:dyDescent="0.2">
      <c r="A1392" s="88" t="s">
        <v>16710</v>
      </c>
      <c r="B1392" s="1" t="e">
        <v>#N/A</v>
      </c>
      <c r="C1392" s="1" t="e">
        <v>#N/A</v>
      </c>
      <c r="D1392" s="1" t="s">
        <v>3796</v>
      </c>
      <c r="E1392" s="1" t="s">
        <v>3797</v>
      </c>
      <c r="F1392" s="1" t="s">
        <v>18502</v>
      </c>
      <c r="G1392" s="1" t="s">
        <v>8957</v>
      </c>
      <c r="H1392" t="s">
        <v>9061</v>
      </c>
      <c r="I1392" s="1" t="s">
        <v>9035</v>
      </c>
      <c r="J1392" s="1" t="s">
        <v>9308</v>
      </c>
      <c r="K1392" s="1" t="s">
        <v>20779</v>
      </c>
      <c r="L1392" s="1" t="s">
        <v>8951</v>
      </c>
      <c r="M1392" s="1">
        <f>159+682+48+1287</f>
        <v>2176</v>
      </c>
      <c r="N1392" s="1" t="s">
        <v>8953</v>
      </c>
      <c r="O1392" s="1" t="s">
        <v>8989</v>
      </c>
      <c r="P1392" s="1" t="e">
        <v>#N/A</v>
      </c>
      <c r="Q1392" s="1" t="e">
        <v>#N/A</v>
      </c>
      <c r="R1392" s="1">
        <f t="shared" si="410"/>
        <v>2</v>
      </c>
      <c r="S1392" s="1" t="str">
        <f t="shared" si="411"/>
        <v>&lt;4</v>
      </c>
      <c r="T1392" s="1" t="s">
        <v>19309</v>
      </c>
      <c r="U1392" s="1" t="s">
        <v>7</v>
      </c>
      <c r="V1392" s="1" t="s">
        <v>3798</v>
      </c>
      <c r="W1392" s="1"/>
    </row>
    <row r="1393" spans="1:23" x14ac:dyDescent="0.2">
      <c r="A1393" s="88" t="s">
        <v>16711</v>
      </c>
      <c r="B1393" s="1" t="e">
        <v>#N/A</v>
      </c>
      <c r="C1393" s="1" t="s">
        <v>9562</v>
      </c>
      <c r="D1393" s="1" t="s">
        <v>3799</v>
      </c>
      <c r="E1393" s="1" t="s">
        <v>3800</v>
      </c>
      <c r="F1393" s="1" t="s">
        <v>9333</v>
      </c>
      <c r="G1393" s="1" t="s">
        <v>8957</v>
      </c>
      <c r="H1393" t="s">
        <v>8959</v>
      </c>
      <c r="I1393" s="1" t="s">
        <v>8984</v>
      </c>
      <c r="J1393" s="1" t="s">
        <v>8949</v>
      </c>
      <c r="K1393" s="1" t="s">
        <v>9565</v>
      </c>
      <c r="L1393" s="1" t="s">
        <v>8973</v>
      </c>
      <c r="M1393" s="1">
        <v>140</v>
      </c>
      <c r="N1393" s="1" t="s">
        <v>8953</v>
      </c>
      <c r="O1393" s="1" t="s">
        <v>8954</v>
      </c>
      <c r="P1393" s="1" t="s">
        <v>8955</v>
      </c>
      <c r="Q1393" s="1" t="s">
        <v>8956</v>
      </c>
      <c r="R1393" s="1" t="s">
        <v>8957</v>
      </c>
      <c r="S1393" s="1" t="s">
        <v>8958</v>
      </c>
      <c r="T1393" s="1" t="s">
        <v>3801</v>
      </c>
      <c r="U1393" s="1" t="s">
        <v>17</v>
      </c>
      <c r="V1393" s="1" t="s">
        <v>43</v>
      </c>
      <c r="W1393" s="1"/>
    </row>
    <row r="1394" spans="1:23" x14ac:dyDescent="0.2">
      <c r="A1394" s="88" t="s">
        <v>16712</v>
      </c>
      <c r="B1394" s="1" t="e">
        <v>#N/A</v>
      </c>
      <c r="C1394" s="1" t="e">
        <v>#N/A</v>
      </c>
      <c r="D1394" s="1" t="s">
        <v>3802</v>
      </c>
      <c r="E1394" s="1" t="s">
        <v>3803</v>
      </c>
      <c r="F1394" s="1" t="s">
        <v>18502</v>
      </c>
      <c r="G1394" s="1" t="s">
        <v>8957</v>
      </c>
      <c r="H1394" t="s">
        <v>8959</v>
      </c>
      <c r="I1394" s="1" t="s">
        <v>8948</v>
      </c>
      <c r="J1394" s="1" t="s">
        <v>9155</v>
      </c>
      <c r="K1394" s="1" t="s">
        <v>20785</v>
      </c>
      <c r="L1394" s="1" t="s">
        <v>9076</v>
      </c>
      <c r="M1394" s="1">
        <v>23</v>
      </c>
      <c r="N1394" s="1" t="s">
        <v>8953</v>
      </c>
      <c r="O1394" s="1" t="s">
        <v>8989</v>
      </c>
      <c r="P1394" s="1" t="e">
        <v>#N/A</v>
      </c>
      <c r="Q1394" s="1" t="e">
        <v>#N/A</v>
      </c>
      <c r="R1394" s="1">
        <f t="shared" ref="R1394:R1396" si="412">1+LEN(T1394)-LEN(SUBSTITUTE(T1394,",",))</f>
        <v>8</v>
      </c>
      <c r="S1394" s="1" t="str">
        <f t="shared" ref="S1394:S1396" si="413">IF(R1394&gt;4,IF(R1394&lt;8,"4-7",IF(R1394&gt;7,"&gt;7")),"&lt;4")</f>
        <v>&gt;7</v>
      </c>
      <c r="T1394" s="1" t="s">
        <v>19310</v>
      </c>
      <c r="U1394" s="1" t="s">
        <v>7</v>
      </c>
      <c r="V1394" s="1" t="s">
        <v>93</v>
      </c>
      <c r="W1394" s="1"/>
    </row>
    <row r="1395" spans="1:23" x14ac:dyDescent="0.2">
      <c r="A1395" s="88" t="s">
        <v>20855</v>
      </c>
      <c r="B1395" s="1" t="e">
        <v>#N/A</v>
      </c>
      <c r="C1395" s="1" t="e">
        <v>#N/A</v>
      </c>
      <c r="D1395" s="1" t="s">
        <v>3804</v>
      </c>
      <c r="E1395" s="1" t="s">
        <v>3805</v>
      </c>
      <c r="F1395" s="1" t="s">
        <v>9317</v>
      </c>
      <c r="G1395" s="1" t="s">
        <v>8959</v>
      </c>
      <c r="H1395" t="s">
        <v>9061</v>
      </c>
      <c r="I1395" s="1" t="s">
        <v>9100</v>
      </c>
      <c r="J1395" s="1" t="s">
        <v>8949</v>
      </c>
      <c r="K1395" s="1" t="s">
        <v>10492</v>
      </c>
      <c r="L1395" s="1" t="s">
        <v>9464</v>
      </c>
      <c r="M1395" s="1">
        <v>116</v>
      </c>
      <c r="N1395" s="1" t="s">
        <v>9059</v>
      </c>
      <c r="O1395" s="1" t="s">
        <v>8989</v>
      </c>
      <c r="P1395" s="1" t="e">
        <v>#N/A</v>
      </c>
      <c r="Q1395" s="1" t="e">
        <v>#N/A</v>
      </c>
      <c r="R1395" s="1">
        <f t="shared" si="412"/>
        <v>13</v>
      </c>
      <c r="S1395" s="1" t="str">
        <f t="shared" si="413"/>
        <v>&gt;7</v>
      </c>
      <c r="T1395" s="1" t="s">
        <v>19311</v>
      </c>
      <c r="U1395" s="1" t="s">
        <v>17</v>
      </c>
      <c r="V1395" s="1" t="s">
        <v>666</v>
      </c>
      <c r="W1395" s="1"/>
    </row>
    <row r="1396" spans="1:23" x14ac:dyDescent="0.2">
      <c r="A1396" s="92" t="s">
        <v>16713</v>
      </c>
      <c r="B1396" s="1" t="e">
        <v>#N/A</v>
      </c>
      <c r="C1396" s="1" t="e">
        <v>#N/A</v>
      </c>
      <c r="D1396" s="1" t="s">
        <v>3806</v>
      </c>
      <c r="E1396" s="1" t="s">
        <v>3807</v>
      </c>
      <c r="F1396" s="1" t="e">
        <v>#N/A</v>
      </c>
      <c r="G1396" s="1" t="e">
        <v>#N/A</v>
      </c>
      <c r="H1396" t="e">
        <v>#N/A</v>
      </c>
      <c r="I1396" s="1" t="e">
        <v>#N/A</v>
      </c>
      <c r="J1396" s="1" t="e">
        <v>#N/A</v>
      </c>
      <c r="K1396" s="1" t="e">
        <v>#N/A</v>
      </c>
      <c r="L1396" s="1" t="e">
        <v>#N/A</v>
      </c>
      <c r="M1396" s="1" t="e">
        <v>#N/A</v>
      </c>
      <c r="N1396" s="1" t="e">
        <v>#N/A</v>
      </c>
      <c r="O1396" s="1" t="e">
        <v>#N/A</v>
      </c>
      <c r="P1396" s="1" t="e">
        <v>#N/A</v>
      </c>
      <c r="Q1396" s="1" t="e">
        <v>#N/A</v>
      </c>
      <c r="R1396" s="1">
        <f t="shared" si="412"/>
        <v>6</v>
      </c>
      <c r="S1396" s="1" t="str">
        <f t="shared" si="413"/>
        <v>4-7</v>
      </c>
      <c r="T1396" s="1" t="s">
        <v>19312</v>
      </c>
      <c r="U1396" s="1" t="s">
        <v>7</v>
      </c>
      <c r="V1396" s="1" t="s">
        <v>1678</v>
      </c>
      <c r="W1396" s="1"/>
    </row>
    <row r="1397" spans="1:23" x14ac:dyDescent="0.2">
      <c r="A1397" s="88" t="s">
        <v>16714</v>
      </c>
      <c r="B1397" s="1" t="e">
        <v>#N/A</v>
      </c>
      <c r="C1397" s="1" t="s">
        <v>14455</v>
      </c>
      <c r="D1397" s="1" t="s">
        <v>3808</v>
      </c>
      <c r="E1397" s="1" t="s">
        <v>3809</v>
      </c>
      <c r="F1397" s="1" t="s">
        <v>9317</v>
      </c>
      <c r="G1397" s="1" t="s">
        <v>8957</v>
      </c>
      <c r="H1397" t="s">
        <v>9061</v>
      </c>
      <c r="I1397" s="1" t="s">
        <v>8948</v>
      </c>
      <c r="J1397" s="1" t="s">
        <v>8949</v>
      </c>
      <c r="K1397" s="1" t="s">
        <v>9036</v>
      </c>
      <c r="L1397" s="1" t="s">
        <v>8973</v>
      </c>
      <c r="M1397" s="1">
        <v>358</v>
      </c>
      <c r="N1397" s="1" t="s">
        <v>8953</v>
      </c>
      <c r="O1397" s="1" t="s">
        <v>8954</v>
      </c>
      <c r="P1397" s="1" t="s">
        <v>8955</v>
      </c>
      <c r="Q1397" s="1" t="s">
        <v>8956</v>
      </c>
      <c r="R1397" s="1" t="s">
        <v>8957</v>
      </c>
      <c r="S1397" s="1" t="s">
        <v>8958</v>
      </c>
      <c r="T1397" s="1" t="s">
        <v>3810</v>
      </c>
      <c r="U1397" s="1" t="s">
        <v>242</v>
      </c>
      <c r="V1397" s="1" t="s">
        <v>392</v>
      </c>
      <c r="W1397" s="1"/>
    </row>
    <row r="1398" spans="1:23" x14ac:dyDescent="0.2">
      <c r="A1398" s="88" t="s">
        <v>16715</v>
      </c>
      <c r="B1398" s="1" t="e">
        <v>#N/A</v>
      </c>
      <c r="C1398" s="1" t="s">
        <v>10998</v>
      </c>
      <c r="D1398" s="1" t="s">
        <v>3811</v>
      </c>
      <c r="E1398" s="1" t="s">
        <v>3812</v>
      </c>
      <c r="F1398" s="1" t="s">
        <v>9317</v>
      </c>
      <c r="G1398" s="1" t="s">
        <v>8957</v>
      </c>
      <c r="H1398" t="s">
        <v>9183</v>
      </c>
      <c r="I1398" s="1" t="s">
        <v>9092</v>
      </c>
      <c r="J1398" s="1" t="s">
        <v>8998</v>
      </c>
      <c r="K1398" s="1" t="s">
        <v>8972</v>
      </c>
      <c r="L1398" s="1" t="s">
        <v>8973</v>
      </c>
      <c r="M1398" s="1">
        <v>6800</v>
      </c>
      <c r="N1398" s="1" t="s">
        <v>8953</v>
      </c>
      <c r="O1398" s="1" t="s">
        <v>8954</v>
      </c>
      <c r="P1398" s="1" t="s">
        <v>8955</v>
      </c>
      <c r="Q1398" s="1" t="s">
        <v>8956</v>
      </c>
      <c r="R1398" s="1" t="s">
        <v>8957</v>
      </c>
      <c r="S1398" s="1" t="s">
        <v>9103</v>
      </c>
      <c r="T1398" s="1" t="s">
        <v>3813</v>
      </c>
      <c r="U1398" s="1" t="s">
        <v>17</v>
      </c>
      <c r="V1398" s="1" t="s">
        <v>64</v>
      </c>
      <c r="W1398" s="1"/>
    </row>
    <row r="1399" spans="1:23" x14ac:dyDescent="0.2">
      <c r="A1399" s="88" t="s">
        <v>16716</v>
      </c>
      <c r="B1399" s="1" t="e">
        <v>#N/A</v>
      </c>
      <c r="C1399" s="1" t="e">
        <v>#N/A</v>
      </c>
      <c r="D1399" s="1" t="s">
        <v>3814</v>
      </c>
      <c r="E1399" s="1" t="s">
        <v>3815</v>
      </c>
      <c r="F1399" s="1" t="s">
        <v>9317</v>
      </c>
      <c r="G1399" s="1" t="s">
        <v>8957</v>
      </c>
      <c r="H1399" t="s">
        <v>9183</v>
      </c>
      <c r="I1399" s="1" t="s">
        <v>8948</v>
      </c>
      <c r="J1399" s="1" t="s">
        <v>20800</v>
      </c>
      <c r="K1399" s="1" t="s">
        <v>21329</v>
      </c>
      <c r="L1399" s="1" t="s">
        <v>9157</v>
      </c>
      <c r="M1399" s="1">
        <v>273</v>
      </c>
      <c r="N1399" s="1" t="s">
        <v>9059</v>
      </c>
      <c r="O1399" s="1" t="s">
        <v>8954</v>
      </c>
      <c r="P1399" s="1" t="e">
        <v>#N/A</v>
      </c>
      <c r="Q1399" s="1" t="e">
        <v>#N/A</v>
      </c>
      <c r="R1399" s="1">
        <f>1+LEN(T1399)-LEN(SUBSTITUTE(T1399,",",))</f>
        <v>18</v>
      </c>
      <c r="S1399" s="1" t="str">
        <f>IF(R1399&gt;4,IF(R1399&lt;8,"4-7",IF(R1399&gt;7,"&gt;7")),"&lt;4")</f>
        <v>&gt;7</v>
      </c>
      <c r="T1399" s="1" t="s">
        <v>19313</v>
      </c>
      <c r="U1399" s="1" t="s">
        <v>7</v>
      </c>
      <c r="V1399" s="1" t="s">
        <v>39</v>
      </c>
      <c r="W1399" s="1"/>
    </row>
    <row r="1400" spans="1:23" x14ac:dyDescent="0.2">
      <c r="A1400" s="88" t="s">
        <v>16717</v>
      </c>
      <c r="B1400" s="1" t="e">
        <v>#N/A</v>
      </c>
      <c r="C1400" s="1" t="s">
        <v>14857</v>
      </c>
      <c r="D1400" s="1" t="s">
        <v>3816</v>
      </c>
      <c r="E1400" s="1" t="s">
        <v>3817</v>
      </c>
      <c r="F1400" s="1" t="s">
        <v>10687</v>
      </c>
      <c r="G1400" s="1" t="s">
        <v>8959</v>
      </c>
      <c r="H1400" t="s">
        <v>9061</v>
      </c>
      <c r="I1400" s="1" t="s">
        <v>8948</v>
      </c>
      <c r="J1400" s="1" t="s">
        <v>8998</v>
      </c>
      <c r="K1400" s="1" t="s">
        <v>8972</v>
      </c>
      <c r="L1400" s="1" t="s">
        <v>8973</v>
      </c>
      <c r="M1400" s="1">
        <v>19443</v>
      </c>
      <c r="N1400" s="1" t="s">
        <v>8953</v>
      </c>
      <c r="O1400" s="1" t="s">
        <v>8989</v>
      </c>
      <c r="P1400" s="1" t="s">
        <v>8955</v>
      </c>
      <c r="Q1400" s="1" t="s">
        <v>8956</v>
      </c>
      <c r="R1400" s="1" t="s">
        <v>8959</v>
      </c>
      <c r="S1400" s="1" t="s">
        <v>8958</v>
      </c>
      <c r="T1400" s="1" t="s">
        <v>3818</v>
      </c>
      <c r="U1400" s="1" t="s">
        <v>17</v>
      </c>
      <c r="V1400" s="1" t="s">
        <v>1343</v>
      </c>
      <c r="W1400" s="1"/>
    </row>
    <row r="1401" spans="1:23" x14ac:dyDescent="0.2">
      <c r="A1401" s="88" t="s">
        <v>16718</v>
      </c>
      <c r="B1401" s="1" t="e">
        <v>#N/A</v>
      </c>
      <c r="C1401" s="1" t="e">
        <v>#N/A</v>
      </c>
      <c r="D1401" s="1" t="s">
        <v>3819</v>
      </c>
      <c r="E1401" s="1" t="s">
        <v>3820</v>
      </c>
      <c r="F1401" s="1" t="s">
        <v>10687</v>
      </c>
      <c r="G1401" s="1" t="s">
        <v>8959</v>
      </c>
      <c r="H1401" t="s">
        <v>9061</v>
      </c>
      <c r="I1401" s="1" t="s">
        <v>8948</v>
      </c>
      <c r="J1401" s="1" t="s">
        <v>8998</v>
      </c>
      <c r="K1401" s="1" t="s">
        <v>10492</v>
      </c>
      <c r="L1401" s="1" t="s">
        <v>8973</v>
      </c>
      <c r="M1401" s="1">
        <v>131</v>
      </c>
      <c r="N1401" s="1" t="s">
        <v>8953</v>
      </c>
      <c r="O1401" s="1" t="s">
        <v>8989</v>
      </c>
      <c r="P1401" s="1" t="e">
        <v>#N/A</v>
      </c>
      <c r="Q1401" s="1" t="e">
        <v>#N/A</v>
      </c>
      <c r="R1401" s="1">
        <f>1+LEN(T1401)-LEN(SUBSTITUTE(T1401,",",))</f>
        <v>6</v>
      </c>
      <c r="S1401" s="1" t="str">
        <f>IF(R1401&gt;4,IF(R1401&lt;8,"4-7",IF(R1401&gt;7,"&gt;7")),"&lt;4")</f>
        <v>4-7</v>
      </c>
      <c r="T1401" s="1" t="s">
        <v>19314</v>
      </c>
      <c r="U1401" s="1" t="s">
        <v>7</v>
      </c>
      <c r="V1401" s="1" t="s">
        <v>110</v>
      </c>
      <c r="W1401" s="1"/>
    </row>
    <row r="1402" spans="1:23" x14ac:dyDescent="0.2">
      <c r="A1402" s="88" t="s">
        <v>16719</v>
      </c>
      <c r="B1402" s="1" t="e">
        <v>#N/A</v>
      </c>
      <c r="C1402" s="1" t="s">
        <v>13854</v>
      </c>
      <c r="D1402" s="1" t="s">
        <v>3821</v>
      </c>
      <c r="E1402" s="1" t="s">
        <v>3822</v>
      </c>
      <c r="F1402" s="1" t="s">
        <v>9010</v>
      </c>
      <c r="G1402" s="1" t="s">
        <v>8957</v>
      </c>
      <c r="H1402" t="s">
        <v>9061</v>
      </c>
      <c r="I1402" s="1" t="s">
        <v>9075</v>
      </c>
      <c r="J1402" s="1" t="s">
        <v>8949</v>
      </c>
      <c r="K1402" s="1" t="s">
        <v>9036</v>
      </c>
      <c r="L1402" s="1" t="s">
        <v>8973</v>
      </c>
      <c r="M1402" s="1">
        <v>2000</v>
      </c>
      <c r="N1402" s="1" t="s">
        <v>9059</v>
      </c>
      <c r="O1402" s="1" t="s">
        <v>8989</v>
      </c>
      <c r="P1402" s="1" t="s">
        <v>8955</v>
      </c>
      <c r="Q1402" s="1" t="s">
        <v>8956</v>
      </c>
      <c r="R1402" s="1" t="s">
        <v>8957</v>
      </c>
      <c r="S1402" s="1" t="s">
        <v>8975</v>
      </c>
      <c r="T1402" s="1" t="s">
        <v>3823</v>
      </c>
      <c r="U1402" s="1" t="s">
        <v>4</v>
      </c>
      <c r="V1402" s="1" t="s">
        <v>87</v>
      </c>
      <c r="W1402" s="1"/>
    </row>
    <row r="1403" spans="1:23" x14ac:dyDescent="0.2">
      <c r="A1403" s="88" t="s">
        <v>16720</v>
      </c>
      <c r="B1403" s="1" t="e">
        <v>#N/A</v>
      </c>
      <c r="C1403" s="1" t="e">
        <v>#N/A</v>
      </c>
      <c r="D1403" s="1" t="s">
        <v>3824</v>
      </c>
      <c r="E1403" s="1" t="s">
        <v>3825</v>
      </c>
      <c r="F1403" s="1" t="s">
        <v>9317</v>
      </c>
      <c r="G1403" s="1" t="s">
        <v>8957</v>
      </c>
      <c r="H1403" t="s">
        <v>8959</v>
      </c>
      <c r="I1403" s="1" t="s">
        <v>8984</v>
      </c>
      <c r="J1403" s="1" t="s">
        <v>8998</v>
      </c>
      <c r="K1403" s="1" t="s">
        <v>10492</v>
      </c>
      <c r="L1403" s="1" t="s">
        <v>8973</v>
      </c>
      <c r="M1403" s="1">
        <v>300</v>
      </c>
      <c r="N1403" s="1" t="s">
        <v>9059</v>
      </c>
      <c r="O1403" s="1" t="s">
        <v>8989</v>
      </c>
      <c r="P1403" s="1" t="e">
        <v>#N/A</v>
      </c>
      <c r="Q1403" s="1" t="e">
        <v>#N/A</v>
      </c>
      <c r="R1403" s="1">
        <f t="shared" ref="R1403:R1422" si="414">1+LEN(T1403)-LEN(SUBSTITUTE(T1403,",",))</f>
        <v>7</v>
      </c>
      <c r="S1403" s="1" t="str">
        <f t="shared" ref="S1403:S1422" si="415">IF(R1403&gt;4,IF(R1403&lt;8,"4-7",IF(R1403&gt;7,"&gt;7")),"&lt;4")</f>
        <v>4-7</v>
      </c>
      <c r="T1403" s="1" t="s">
        <v>19315</v>
      </c>
      <c r="U1403" s="1" t="s">
        <v>7</v>
      </c>
      <c r="V1403" s="1" t="s">
        <v>24</v>
      </c>
      <c r="W1403" s="1"/>
    </row>
    <row r="1404" spans="1:23" x14ac:dyDescent="0.2">
      <c r="A1404" s="88" t="s">
        <v>3826</v>
      </c>
      <c r="B1404" s="1" t="e">
        <v>#N/A</v>
      </c>
      <c r="C1404" s="1" t="e">
        <v>#N/A</v>
      </c>
      <c r="D1404" s="1" t="s">
        <v>3827</v>
      </c>
      <c r="E1404" s="1" t="s">
        <v>3828</v>
      </c>
      <c r="F1404" s="1" t="s">
        <v>18502</v>
      </c>
      <c r="G1404" s="1" t="s">
        <v>8957</v>
      </c>
      <c r="H1404" t="s">
        <v>8959</v>
      </c>
      <c r="I1404" s="1" t="s">
        <v>9092</v>
      </c>
      <c r="J1404" s="1" t="s">
        <v>8949</v>
      </c>
      <c r="K1404" s="1" t="s">
        <v>20779</v>
      </c>
      <c r="L1404" s="1" t="s">
        <v>9076</v>
      </c>
      <c r="M1404" s="1">
        <v>500</v>
      </c>
      <c r="N1404" s="1" t="s">
        <v>8953</v>
      </c>
      <c r="O1404" s="1" t="s">
        <v>8989</v>
      </c>
      <c r="P1404" s="1" t="e">
        <v>#N/A</v>
      </c>
      <c r="Q1404" s="1" t="e">
        <v>#N/A</v>
      </c>
      <c r="R1404" s="1">
        <f t="shared" si="414"/>
        <v>6</v>
      </c>
      <c r="S1404" s="1" t="str">
        <f t="shared" si="415"/>
        <v>4-7</v>
      </c>
      <c r="T1404" s="1" t="s">
        <v>19316</v>
      </c>
      <c r="U1404" s="1" t="s">
        <v>17</v>
      </c>
      <c r="V1404" s="1" t="s">
        <v>161</v>
      </c>
      <c r="W1404" s="1"/>
    </row>
    <row r="1405" spans="1:23" x14ac:dyDescent="0.2">
      <c r="A1405" s="88" t="s">
        <v>16721</v>
      </c>
      <c r="B1405" s="1" t="e">
        <v>#N/A</v>
      </c>
      <c r="C1405" s="1" t="e">
        <v>#N/A</v>
      </c>
      <c r="D1405" s="1" t="s">
        <v>3829</v>
      </c>
      <c r="E1405" s="1" t="s">
        <v>3830</v>
      </c>
      <c r="F1405" s="1" t="s">
        <v>9213</v>
      </c>
      <c r="G1405" s="1" t="s">
        <v>8957</v>
      </c>
      <c r="H1405" t="s">
        <v>8959</v>
      </c>
      <c r="I1405" s="1" t="s">
        <v>9035</v>
      </c>
      <c r="J1405" s="1" t="s">
        <v>8998</v>
      </c>
      <c r="K1405" s="1" t="s">
        <v>21276</v>
      </c>
      <c r="L1405" s="1" t="s">
        <v>9133</v>
      </c>
      <c r="M1405" s="1">
        <v>3993</v>
      </c>
      <c r="N1405" s="1" t="s">
        <v>9059</v>
      </c>
      <c r="O1405" s="1" t="s">
        <v>8954</v>
      </c>
      <c r="P1405" s="1" t="e">
        <v>#N/A</v>
      </c>
      <c r="Q1405" s="1" t="e">
        <v>#N/A</v>
      </c>
      <c r="R1405" s="1">
        <f t="shared" si="414"/>
        <v>11</v>
      </c>
      <c r="S1405" s="1" t="str">
        <f t="shared" si="415"/>
        <v>&gt;7</v>
      </c>
      <c r="T1405" s="1" t="s">
        <v>19317</v>
      </c>
      <c r="U1405" s="1" t="s">
        <v>7</v>
      </c>
      <c r="V1405" s="1" t="s">
        <v>2284</v>
      </c>
      <c r="W1405" s="1"/>
    </row>
    <row r="1406" spans="1:23" x14ac:dyDescent="0.2">
      <c r="A1406" s="88" t="s">
        <v>16722</v>
      </c>
      <c r="B1406" s="1" t="e">
        <v>#N/A</v>
      </c>
      <c r="C1406" s="1" t="e">
        <v>#N/A</v>
      </c>
      <c r="D1406" s="1" t="s">
        <v>3831</v>
      </c>
      <c r="E1406" s="1" t="s">
        <v>3832</v>
      </c>
      <c r="F1406" s="1" t="s">
        <v>9213</v>
      </c>
      <c r="G1406" s="1" t="s">
        <v>8957</v>
      </c>
      <c r="H1406" t="s">
        <v>8959</v>
      </c>
      <c r="I1406" s="1" t="s">
        <v>9100</v>
      </c>
      <c r="J1406" s="1" t="s">
        <v>8998</v>
      </c>
      <c r="K1406" s="1" t="s">
        <v>20850</v>
      </c>
      <c r="L1406" s="1" t="s">
        <v>20856</v>
      </c>
      <c r="M1406" s="1">
        <f>727392+4516842</f>
        <v>5244234</v>
      </c>
      <c r="N1406" s="1" t="s">
        <v>8953</v>
      </c>
      <c r="O1406" s="1" t="s">
        <v>8954</v>
      </c>
      <c r="P1406" s="1" t="e">
        <v>#N/A</v>
      </c>
      <c r="Q1406" s="1" t="e">
        <v>#N/A</v>
      </c>
      <c r="R1406" s="1">
        <f t="shared" si="414"/>
        <v>4</v>
      </c>
      <c r="S1406" s="1" t="str">
        <f t="shared" si="415"/>
        <v>&lt;4</v>
      </c>
      <c r="T1406" s="1" t="s">
        <v>19318</v>
      </c>
      <c r="U1406" s="1" t="s">
        <v>7</v>
      </c>
      <c r="V1406" s="1" t="s">
        <v>46</v>
      </c>
      <c r="W1406" s="1"/>
    </row>
    <row r="1407" spans="1:23" x14ac:dyDescent="0.2">
      <c r="A1407" s="88" t="s">
        <v>16723</v>
      </c>
      <c r="B1407" s="1" t="e">
        <v>#N/A</v>
      </c>
      <c r="C1407" s="1" t="e">
        <v>#N/A</v>
      </c>
      <c r="D1407" s="1" t="s">
        <v>3833</v>
      </c>
      <c r="E1407" s="1" t="s">
        <v>3834</v>
      </c>
      <c r="F1407" s="1" t="s">
        <v>9213</v>
      </c>
      <c r="G1407" s="1" t="s">
        <v>8957</v>
      </c>
      <c r="H1407" t="s">
        <v>8959</v>
      </c>
      <c r="I1407" s="1" t="s">
        <v>9173</v>
      </c>
      <c r="J1407" s="1" t="s">
        <v>9174</v>
      </c>
      <c r="K1407" s="1" t="s">
        <v>20785</v>
      </c>
      <c r="L1407" s="1" t="s">
        <v>9076</v>
      </c>
      <c r="M1407" s="1">
        <v>7</v>
      </c>
      <c r="N1407" s="1" t="s">
        <v>9059</v>
      </c>
      <c r="O1407" s="1" t="s">
        <v>8989</v>
      </c>
      <c r="P1407" s="1" t="e">
        <v>#N/A</v>
      </c>
      <c r="Q1407" s="1" t="e">
        <v>#N/A</v>
      </c>
      <c r="R1407" s="1">
        <f t="shared" si="414"/>
        <v>3</v>
      </c>
      <c r="S1407" s="1" t="str">
        <f t="shared" si="415"/>
        <v>&lt;4</v>
      </c>
      <c r="T1407" s="1" t="s">
        <v>19319</v>
      </c>
      <c r="U1407" s="1" t="s">
        <v>17</v>
      </c>
      <c r="V1407" s="1" t="s">
        <v>83</v>
      </c>
      <c r="W1407" s="1"/>
    </row>
    <row r="1408" spans="1:23" x14ac:dyDescent="0.2">
      <c r="A1408" s="88" t="s">
        <v>16724</v>
      </c>
      <c r="B1408" s="1" t="e">
        <v>#N/A</v>
      </c>
      <c r="C1408" s="1" t="e">
        <v>#N/A</v>
      </c>
      <c r="D1408" s="1" t="s">
        <v>3835</v>
      </c>
      <c r="E1408" s="1" t="s">
        <v>3836</v>
      </c>
      <c r="F1408" s="1" t="s">
        <v>9213</v>
      </c>
      <c r="G1408" s="1" t="s">
        <v>8957</v>
      </c>
      <c r="H1408" t="s">
        <v>9061</v>
      </c>
      <c r="I1408" s="1" t="s">
        <v>9943</v>
      </c>
      <c r="J1408" s="1" t="s">
        <v>8971</v>
      </c>
      <c r="K1408" s="1" t="s">
        <v>10525</v>
      </c>
      <c r="L1408" s="1" t="s">
        <v>9133</v>
      </c>
      <c r="M1408" s="1">
        <v>589</v>
      </c>
      <c r="N1408" s="1" t="s">
        <v>8953</v>
      </c>
      <c r="O1408" s="1" t="s">
        <v>8989</v>
      </c>
      <c r="P1408" s="1" t="e">
        <v>#N/A</v>
      </c>
      <c r="Q1408" s="1" t="e">
        <v>#N/A</v>
      </c>
      <c r="R1408" s="1">
        <f t="shared" si="414"/>
        <v>12</v>
      </c>
      <c r="S1408" s="1" t="str">
        <f t="shared" si="415"/>
        <v>&gt;7</v>
      </c>
      <c r="T1408" s="1" t="s">
        <v>19320</v>
      </c>
      <c r="U1408" s="1" t="s">
        <v>17</v>
      </c>
      <c r="V1408" s="1" t="s">
        <v>3837</v>
      </c>
      <c r="W1408" s="1"/>
    </row>
    <row r="1409" spans="1:23" x14ac:dyDescent="0.2">
      <c r="A1409" s="88" t="s">
        <v>16725</v>
      </c>
      <c r="B1409" s="1" t="e">
        <v>#N/A</v>
      </c>
      <c r="C1409" s="1" t="e">
        <v>#N/A</v>
      </c>
      <c r="D1409" s="1" t="s">
        <v>3838</v>
      </c>
      <c r="E1409" s="1" t="s">
        <v>3839</v>
      </c>
      <c r="F1409" s="1" t="s">
        <v>9310</v>
      </c>
      <c r="G1409" s="1" t="s">
        <v>8957</v>
      </c>
      <c r="H1409" t="s">
        <v>9183</v>
      </c>
      <c r="I1409" s="1" t="s">
        <v>20714</v>
      </c>
      <c r="J1409" s="1" t="s">
        <v>9050</v>
      </c>
      <c r="K1409" s="1" t="s">
        <v>10525</v>
      </c>
      <c r="L1409" s="1" t="s">
        <v>8951</v>
      </c>
      <c r="M1409" s="1">
        <v>944</v>
      </c>
      <c r="N1409" s="1" t="s">
        <v>8953</v>
      </c>
      <c r="O1409" s="1" t="s">
        <v>8989</v>
      </c>
      <c r="P1409" s="1" t="e">
        <v>#N/A</v>
      </c>
      <c r="Q1409" s="1" t="e">
        <v>#N/A</v>
      </c>
      <c r="R1409" s="1">
        <f t="shared" si="414"/>
        <v>8</v>
      </c>
      <c r="S1409" s="1" t="str">
        <f t="shared" si="415"/>
        <v>&gt;7</v>
      </c>
      <c r="T1409" s="1" t="s">
        <v>19321</v>
      </c>
      <c r="U1409" s="1" t="s">
        <v>7</v>
      </c>
      <c r="V1409" s="1" t="s">
        <v>110</v>
      </c>
      <c r="W1409" s="1"/>
    </row>
    <row r="1410" spans="1:23" x14ac:dyDescent="0.2">
      <c r="A1410" s="89" t="s">
        <v>3840</v>
      </c>
      <c r="B1410" s="1" t="e">
        <v>#N/A</v>
      </c>
      <c r="C1410" s="1" t="e">
        <v>#N/A</v>
      </c>
      <c r="D1410" s="1" t="s">
        <v>3841</v>
      </c>
      <c r="E1410" s="1" t="s">
        <v>3842</v>
      </c>
      <c r="F1410" s="1" t="e">
        <v>#N/A</v>
      </c>
      <c r="G1410" s="1" t="e">
        <v>#N/A</v>
      </c>
      <c r="H1410" t="e">
        <v>#N/A</v>
      </c>
      <c r="I1410" s="1" t="e">
        <v>#N/A</v>
      </c>
      <c r="J1410" s="1" t="e">
        <v>#N/A</v>
      </c>
      <c r="K1410" s="1" t="e">
        <v>#N/A</v>
      </c>
      <c r="L1410" s="1" t="e">
        <v>#N/A</v>
      </c>
      <c r="M1410" s="1" t="e">
        <v>#N/A</v>
      </c>
      <c r="N1410" s="1" t="e">
        <v>#N/A</v>
      </c>
      <c r="O1410" s="1" t="e">
        <v>#N/A</v>
      </c>
      <c r="P1410" s="1" t="e">
        <v>#N/A</v>
      </c>
      <c r="Q1410" s="1" t="e">
        <v>#N/A</v>
      </c>
      <c r="R1410" s="1">
        <f t="shared" si="414"/>
        <v>5</v>
      </c>
      <c r="S1410" s="1" t="str">
        <f t="shared" si="415"/>
        <v>4-7</v>
      </c>
      <c r="T1410" s="1" t="s">
        <v>19322</v>
      </c>
      <c r="U1410" s="1" t="s">
        <v>7</v>
      </c>
      <c r="V1410" s="1" t="s">
        <v>496</v>
      </c>
      <c r="W1410" s="1"/>
    </row>
    <row r="1411" spans="1:23" x14ac:dyDescent="0.2">
      <c r="A1411" s="89" t="s">
        <v>3843</v>
      </c>
      <c r="B1411" s="1" t="e">
        <v>#N/A</v>
      </c>
      <c r="C1411" s="1" t="e">
        <v>#N/A</v>
      </c>
      <c r="D1411" s="1" t="s">
        <v>3844</v>
      </c>
      <c r="E1411" s="1" t="s">
        <v>3845</v>
      </c>
      <c r="F1411" s="1" t="e">
        <v>#N/A</v>
      </c>
      <c r="G1411" s="1" t="e">
        <v>#N/A</v>
      </c>
      <c r="H1411" t="e">
        <v>#N/A</v>
      </c>
      <c r="I1411" s="1" t="e">
        <v>#N/A</v>
      </c>
      <c r="J1411" s="1" t="e">
        <v>#N/A</v>
      </c>
      <c r="K1411" s="1" t="e">
        <v>#N/A</v>
      </c>
      <c r="L1411" s="1" t="e">
        <v>#N/A</v>
      </c>
      <c r="M1411" s="1" t="e">
        <v>#N/A</v>
      </c>
      <c r="N1411" s="1" t="e">
        <v>#N/A</v>
      </c>
      <c r="O1411" s="1" t="e">
        <v>#N/A</v>
      </c>
      <c r="P1411" s="1" t="e">
        <v>#N/A</v>
      </c>
      <c r="Q1411" s="1" t="e">
        <v>#N/A</v>
      </c>
      <c r="R1411" s="1">
        <f t="shared" si="414"/>
        <v>4</v>
      </c>
      <c r="S1411" s="1" t="str">
        <f t="shared" si="415"/>
        <v>&lt;4</v>
      </c>
      <c r="T1411" s="1" t="s">
        <v>19323</v>
      </c>
      <c r="U1411" s="1" t="s">
        <v>7</v>
      </c>
      <c r="V1411" s="1" t="s">
        <v>500</v>
      </c>
      <c r="W1411" s="1"/>
    </row>
    <row r="1412" spans="1:23" x14ac:dyDescent="0.2">
      <c r="A1412" s="88" t="s">
        <v>16726</v>
      </c>
      <c r="B1412" s="1" t="e">
        <v>#N/A</v>
      </c>
      <c r="C1412" s="1" t="e">
        <v>#N/A</v>
      </c>
      <c r="D1412" s="1" t="s">
        <v>3846</v>
      </c>
      <c r="E1412" s="1" t="s">
        <v>3847</v>
      </c>
      <c r="F1412" s="1" t="s">
        <v>9317</v>
      </c>
      <c r="G1412" s="1" t="s">
        <v>8957</v>
      </c>
      <c r="H1412" t="s">
        <v>9061</v>
      </c>
      <c r="I1412" s="1" t="s">
        <v>8948</v>
      </c>
      <c r="J1412" s="1" t="s">
        <v>9155</v>
      </c>
      <c r="K1412" s="1" t="s">
        <v>10492</v>
      </c>
      <c r="L1412" s="1" t="s">
        <v>9076</v>
      </c>
      <c r="M1412" s="1">
        <v>19</v>
      </c>
      <c r="N1412" s="1" t="s">
        <v>9059</v>
      </c>
      <c r="O1412" s="1" t="s">
        <v>8989</v>
      </c>
      <c r="P1412" s="1" t="e">
        <v>#N/A</v>
      </c>
      <c r="Q1412" s="1" t="e">
        <v>#N/A</v>
      </c>
      <c r="R1412" s="1">
        <f t="shared" si="414"/>
        <v>7</v>
      </c>
      <c r="S1412" s="1" t="str">
        <f t="shared" si="415"/>
        <v>4-7</v>
      </c>
      <c r="T1412" s="1" t="s">
        <v>19324</v>
      </c>
      <c r="U1412" s="1" t="s">
        <v>7</v>
      </c>
      <c r="V1412" s="1" t="s">
        <v>378</v>
      </c>
      <c r="W1412" s="1"/>
    </row>
    <row r="1413" spans="1:23" x14ac:dyDescent="0.2">
      <c r="A1413" s="88" t="s">
        <v>16727</v>
      </c>
      <c r="B1413" s="1" t="e">
        <v>#N/A</v>
      </c>
      <c r="C1413" s="1" t="e">
        <v>#N/A</v>
      </c>
      <c r="D1413" s="1" t="s">
        <v>3848</v>
      </c>
      <c r="E1413" s="1" t="s">
        <v>3849</v>
      </c>
      <c r="F1413" s="1" t="s">
        <v>9213</v>
      </c>
      <c r="G1413" s="1" t="s">
        <v>8957</v>
      </c>
      <c r="H1413" t="s">
        <v>9061</v>
      </c>
      <c r="I1413" s="1" t="s">
        <v>9943</v>
      </c>
      <c r="J1413" s="1" t="s">
        <v>8971</v>
      </c>
      <c r="K1413" s="97" t="s">
        <v>21515</v>
      </c>
      <c r="L1413" s="1" t="s">
        <v>9133</v>
      </c>
      <c r="M1413" s="1">
        <v>15375</v>
      </c>
      <c r="N1413" s="1" t="s">
        <v>8953</v>
      </c>
      <c r="O1413" s="1" t="s">
        <v>8954</v>
      </c>
      <c r="P1413" s="1" t="e">
        <v>#N/A</v>
      </c>
      <c r="Q1413" s="1" t="e">
        <v>#N/A</v>
      </c>
      <c r="R1413" s="1">
        <f t="shared" si="414"/>
        <v>14</v>
      </c>
      <c r="S1413" s="1" t="str">
        <f t="shared" si="415"/>
        <v>&gt;7</v>
      </c>
      <c r="T1413" s="1" t="s">
        <v>19325</v>
      </c>
      <c r="U1413" s="1" t="s">
        <v>7</v>
      </c>
      <c r="V1413" s="1" t="s">
        <v>24</v>
      </c>
      <c r="W1413" s="1"/>
    </row>
    <row r="1414" spans="1:23" x14ac:dyDescent="0.2">
      <c r="A1414" s="88" t="s">
        <v>16728</v>
      </c>
      <c r="B1414" s="1" t="e">
        <v>#N/A</v>
      </c>
      <c r="C1414" s="1" t="e">
        <v>#N/A</v>
      </c>
      <c r="D1414" s="1" t="s">
        <v>3850</v>
      </c>
      <c r="E1414" s="1" t="s">
        <v>3851</v>
      </c>
      <c r="F1414" s="1" t="s">
        <v>9333</v>
      </c>
      <c r="G1414" s="1" t="s">
        <v>8957</v>
      </c>
      <c r="H1414" t="s">
        <v>9061</v>
      </c>
      <c r="I1414" s="1" t="s">
        <v>8948</v>
      </c>
      <c r="J1414" s="1" t="s">
        <v>9155</v>
      </c>
      <c r="K1414" s="1" t="s">
        <v>20785</v>
      </c>
      <c r="L1414" s="1" t="s">
        <v>9076</v>
      </c>
      <c r="M1414" s="1">
        <v>580</v>
      </c>
      <c r="N1414" s="1" t="s">
        <v>8953</v>
      </c>
      <c r="O1414" s="1" t="s">
        <v>20828</v>
      </c>
      <c r="P1414" s="1" t="e">
        <v>#N/A</v>
      </c>
      <c r="Q1414" s="1" t="e">
        <v>#N/A</v>
      </c>
      <c r="R1414" s="1">
        <f t="shared" si="414"/>
        <v>10</v>
      </c>
      <c r="S1414" s="1" t="str">
        <f t="shared" si="415"/>
        <v>&gt;7</v>
      </c>
      <c r="T1414" s="1" t="s">
        <v>19326</v>
      </c>
      <c r="U1414" s="1" t="s">
        <v>7</v>
      </c>
      <c r="V1414" s="1" t="s">
        <v>3852</v>
      </c>
      <c r="W1414" s="1"/>
    </row>
    <row r="1415" spans="1:23" x14ac:dyDescent="0.2">
      <c r="A1415" s="88" t="s">
        <v>16729</v>
      </c>
      <c r="B1415" s="1" t="e">
        <v>#N/A</v>
      </c>
      <c r="C1415" s="1" t="e">
        <v>#N/A</v>
      </c>
      <c r="D1415" s="1" t="s">
        <v>3853</v>
      </c>
      <c r="E1415" s="1" t="s">
        <v>3854</v>
      </c>
      <c r="F1415" s="1" t="s">
        <v>9333</v>
      </c>
      <c r="G1415" s="1" t="s">
        <v>8957</v>
      </c>
      <c r="H1415" t="s">
        <v>9061</v>
      </c>
      <c r="I1415" s="1" t="s">
        <v>8948</v>
      </c>
      <c r="J1415" s="1" t="s">
        <v>8998</v>
      </c>
      <c r="K1415" s="1" t="s">
        <v>10492</v>
      </c>
      <c r="L1415" s="1" t="s">
        <v>9076</v>
      </c>
      <c r="M1415" s="1">
        <v>7922</v>
      </c>
      <c r="N1415" s="1" t="s">
        <v>8953</v>
      </c>
      <c r="O1415" s="1" t="s">
        <v>8989</v>
      </c>
      <c r="P1415" s="1" t="e">
        <v>#N/A</v>
      </c>
      <c r="Q1415" s="1" t="e">
        <v>#N/A</v>
      </c>
      <c r="R1415" s="1">
        <f t="shared" si="414"/>
        <v>10</v>
      </c>
      <c r="S1415" s="1" t="str">
        <f t="shared" si="415"/>
        <v>&gt;7</v>
      </c>
      <c r="T1415" s="1" t="s">
        <v>19327</v>
      </c>
      <c r="U1415" s="1" t="s">
        <v>7</v>
      </c>
      <c r="V1415" s="1" t="s">
        <v>93</v>
      </c>
      <c r="W1415" s="1"/>
    </row>
    <row r="1416" spans="1:23" x14ac:dyDescent="0.2">
      <c r="A1416" s="89" t="s">
        <v>3855</v>
      </c>
      <c r="B1416" s="1" t="e">
        <v>#N/A</v>
      </c>
      <c r="C1416" s="1" t="e">
        <v>#N/A</v>
      </c>
      <c r="D1416" s="1" t="s">
        <v>3856</v>
      </c>
      <c r="E1416" s="1" t="s">
        <v>3857</v>
      </c>
      <c r="F1416" s="1" t="e">
        <v>#N/A</v>
      </c>
      <c r="G1416" s="1" t="e">
        <v>#N/A</v>
      </c>
      <c r="H1416" t="e">
        <v>#N/A</v>
      </c>
      <c r="I1416" s="1" t="e">
        <v>#N/A</v>
      </c>
      <c r="J1416" s="1" t="e">
        <v>#N/A</v>
      </c>
      <c r="K1416" s="1" t="e">
        <v>#N/A</v>
      </c>
      <c r="L1416" s="1" t="e">
        <v>#N/A</v>
      </c>
      <c r="M1416" s="1" t="e">
        <v>#N/A</v>
      </c>
      <c r="N1416" s="1" t="e">
        <v>#N/A</v>
      </c>
      <c r="O1416" s="1" t="e">
        <v>#N/A</v>
      </c>
      <c r="P1416" s="1" t="e">
        <v>#N/A</v>
      </c>
      <c r="Q1416" s="1" t="e">
        <v>#N/A</v>
      </c>
      <c r="R1416" s="1">
        <f t="shared" si="414"/>
        <v>4</v>
      </c>
      <c r="S1416" s="1" t="str">
        <f t="shared" si="415"/>
        <v>&lt;4</v>
      </c>
      <c r="T1416" s="1" t="s">
        <v>19328</v>
      </c>
      <c r="U1416" s="1" t="s">
        <v>17</v>
      </c>
      <c r="V1416" s="1" t="s">
        <v>716</v>
      </c>
      <c r="W1416" s="1"/>
    </row>
    <row r="1417" spans="1:23" x14ac:dyDescent="0.2">
      <c r="A1417" s="89" t="s">
        <v>16730</v>
      </c>
      <c r="B1417" s="1" t="e">
        <v>#N/A</v>
      </c>
      <c r="C1417" s="1" t="e">
        <v>#N/A</v>
      </c>
      <c r="D1417" s="1" t="s">
        <v>3858</v>
      </c>
      <c r="E1417" s="1" t="s">
        <v>3859</v>
      </c>
      <c r="F1417" s="1" t="s">
        <v>9815</v>
      </c>
      <c r="G1417" s="1" t="s">
        <v>8957</v>
      </c>
      <c r="H1417" t="s">
        <v>8959</v>
      </c>
      <c r="I1417" s="1" t="s">
        <v>9092</v>
      </c>
      <c r="J1417" s="1" t="s">
        <v>8971</v>
      </c>
      <c r="K1417" s="1" t="s">
        <v>20829</v>
      </c>
      <c r="L1417" s="1" t="s">
        <v>8973</v>
      </c>
      <c r="M1417" s="1" t="e">
        <v>#N/A</v>
      </c>
      <c r="N1417" s="1" t="s">
        <v>8953</v>
      </c>
      <c r="O1417" s="1" t="e">
        <v>#N/A</v>
      </c>
      <c r="P1417" s="1" t="e">
        <v>#N/A</v>
      </c>
      <c r="Q1417" s="1" t="e">
        <v>#N/A</v>
      </c>
      <c r="R1417" s="1">
        <f t="shared" si="414"/>
        <v>8</v>
      </c>
      <c r="S1417" s="1" t="str">
        <f t="shared" si="415"/>
        <v>&gt;7</v>
      </c>
      <c r="T1417" s="1" t="s">
        <v>20624</v>
      </c>
      <c r="U1417" s="1" t="s">
        <v>17</v>
      </c>
      <c r="V1417" s="1" t="s">
        <v>46</v>
      </c>
      <c r="W1417" s="1"/>
    </row>
    <row r="1418" spans="1:23" x14ac:dyDescent="0.2">
      <c r="A1418" s="88" t="s">
        <v>16731</v>
      </c>
      <c r="B1418" s="1" t="e">
        <v>#N/A</v>
      </c>
      <c r="C1418" s="1" t="e">
        <v>#N/A</v>
      </c>
      <c r="D1418" s="1" t="s">
        <v>3860</v>
      </c>
      <c r="E1418" s="1" t="s">
        <v>3861</v>
      </c>
      <c r="F1418" s="1" t="s">
        <v>9333</v>
      </c>
      <c r="G1418" s="1" t="s">
        <v>8959</v>
      </c>
      <c r="H1418" t="s">
        <v>9183</v>
      </c>
      <c r="I1418" s="1" t="s">
        <v>20714</v>
      </c>
      <c r="J1418" s="1" t="s">
        <v>9155</v>
      </c>
      <c r="K1418" s="1" t="s">
        <v>10525</v>
      </c>
      <c r="L1418" s="1" t="s">
        <v>8951</v>
      </c>
      <c r="M1418" s="1">
        <v>400</v>
      </c>
      <c r="N1418" s="1" t="s">
        <v>8953</v>
      </c>
      <c r="O1418" s="1" t="s">
        <v>8989</v>
      </c>
      <c r="P1418" s="1" t="e">
        <v>#N/A</v>
      </c>
      <c r="Q1418" s="1" t="e">
        <v>#N/A</v>
      </c>
      <c r="R1418" s="1">
        <f t="shared" si="414"/>
        <v>7</v>
      </c>
      <c r="S1418" s="1" t="str">
        <f t="shared" si="415"/>
        <v>4-7</v>
      </c>
      <c r="T1418" s="1" t="s">
        <v>19329</v>
      </c>
      <c r="U1418" s="1" t="s">
        <v>7</v>
      </c>
      <c r="V1418" s="1" t="s">
        <v>24</v>
      </c>
      <c r="W1418" s="1"/>
    </row>
    <row r="1419" spans="1:23" x14ac:dyDescent="0.2">
      <c r="A1419" s="88" t="s">
        <v>16732</v>
      </c>
      <c r="B1419" s="1" t="e">
        <v>#N/A</v>
      </c>
      <c r="C1419" s="1" t="e">
        <v>#N/A</v>
      </c>
      <c r="D1419" s="1" t="s">
        <v>3862</v>
      </c>
      <c r="E1419" s="1" t="s">
        <v>3863</v>
      </c>
      <c r="F1419" s="1" t="s">
        <v>18502</v>
      </c>
      <c r="G1419" s="1" t="s">
        <v>8959</v>
      </c>
      <c r="H1419" t="s">
        <v>8959</v>
      </c>
      <c r="I1419" s="1" t="s">
        <v>9154</v>
      </c>
      <c r="J1419" s="1" t="s">
        <v>9155</v>
      </c>
      <c r="K1419" s="1" t="s">
        <v>20779</v>
      </c>
      <c r="L1419" s="1" t="s">
        <v>8973</v>
      </c>
      <c r="M1419" s="1">
        <v>80</v>
      </c>
      <c r="N1419" s="1" t="s">
        <v>8953</v>
      </c>
      <c r="O1419" s="1" t="s">
        <v>8989</v>
      </c>
      <c r="P1419" s="1" t="e">
        <v>#N/A</v>
      </c>
      <c r="Q1419" s="1" t="e">
        <v>#N/A</v>
      </c>
      <c r="R1419" s="1">
        <f t="shared" si="414"/>
        <v>2</v>
      </c>
      <c r="S1419" s="1" t="str">
        <f t="shared" si="415"/>
        <v>&lt;4</v>
      </c>
      <c r="T1419" s="1" t="s">
        <v>19330</v>
      </c>
      <c r="U1419" s="1" t="s">
        <v>7</v>
      </c>
      <c r="V1419" s="1" t="s">
        <v>3864</v>
      </c>
      <c r="W1419" s="1"/>
    </row>
    <row r="1420" spans="1:23" x14ac:dyDescent="0.2">
      <c r="A1420" s="88" t="s">
        <v>16733</v>
      </c>
      <c r="B1420" s="1" t="e">
        <v>#N/A</v>
      </c>
      <c r="C1420" s="1" t="e">
        <v>#N/A</v>
      </c>
      <c r="D1420" s="1" t="s">
        <v>3865</v>
      </c>
      <c r="E1420" s="1" t="s">
        <v>3866</v>
      </c>
      <c r="F1420" s="1" t="s">
        <v>18502</v>
      </c>
      <c r="G1420" s="1" t="s">
        <v>8957</v>
      </c>
      <c r="H1420" t="s">
        <v>8959</v>
      </c>
      <c r="I1420" s="1" t="s">
        <v>8948</v>
      </c>
      <c r="J1420" s="1" t="s">
        <v>8949</v>
      </c>
      <c r="K1420" s="1" t="s">
        <v>20779</v>
      </c>
      <c r="L1420" s="1" t="s">
        <v>8973</v>
      </c>
      <c r="M1420" s="1">
        <v>800</v>
      </c>
      <c r="N1420" s="1" t="s">
        <v>8953</v>
      </c>
      <c r="O1420" s="1" t="s">
        <v>8989</v>
      </c>
      <c r="P1420" s="1" t="e">
        <v>#N/A</v>
      </c>
      <c r="Q1420" s="1" t="e">
        <v>#N/A</v>
      </c>
      <c r="R1420" s="1">
        <f t="shared" si="414"/>
        <v>4</v>
      </c>
      <c r="S1420" s="1" t="str">
        <f t="shared" si="415"/>
        <v>&lt;4</v>
      </c>
      <c r="T1420" s="1" t="s">
        <v>19331</v>
      </c>
      <c r="U1420" s="1" t="s">
        <v>17</v>
      </c>
      <c r="V1420" s="1" t="s">
        <v>35</v>
      </c>
      <c r="W1420" s="1"/>
    </row>
    <row r="1421" spans="1:23" x14ac:dyDescent="0.2">
      <c r="A1421" s="89" t="s">
        <v>16734</v>
      </c>
      <c r="B1421" s="1" t="e">
        <v>#N/A</v>
      </c>
      <c r="C1421" s="1" t="e">
        <v>#N/A</v>
      </c>
      <c r="D1421" s="1" t="s">
        <v>3867</v>
      </c>
      <c r="E1421" s="1" t="s">
        <v>3868</v>
      </c>
      <c r="F1421" s="80" t="e">
        <v>#N/A</v>
      </c>
      <c r="G1421" s="1" t="e">
        <v>#N/A</v>
      </c>
      <c r="H1421" t="e">
        <v>#N/A</v>
      </c>
      <c r="I1421" s="1" t="e">
        <v>#N/A</v>
      </c>
      <c r="J1421" s="1" t="e">
        <v>#N/A</v>
      </c>
      <c r="K1421" s="1" t="e">
        <v>#N/A</v>
      </c>
      <c r="L1421" s="1" t="e">
        <v>#N/A</v>
      </c>
      <c r="M1421" s="1" t="e">
        <v>#N/A</v>
      </c>
      <c r="N1421" s="1" t="e">
        <v>#N/A</v>
      </c>
      <c r="O1421" s="1" t="e">
        <v>#N/A</v>
      </c>
      <c r="P1421" s="1" t="e">
        <v>#N/A</v>
      </c>
      <c r="Q1421" s="1" t="e">
        <v>#N/A</v>
      </c>
      <c r="R1421" s="1">
        <f t="shared" si="414"/>
        <v>1</v>
      </c>
      <c r="S1421" s="1" t="str">
        <f t="shared" si="415"/>
        <v>&lt;4</v>
      </c>
      <c r="U1421" s="1" t="s">
        <v>17</v>
      </c>
      <c r="V1421" s="1" t="s">
        <v>180</v>
      </c>
      <c r="W1421" s="1"/>
    </row>
    <row r="1422" spans="1:23" x14ac:dyDescent="0.2">
      <c r="A1422" s="88" t="s">
        <v>16735</v>
      </c>
      <c r="B1422" s="1" t="e">
        <v>#N/A</v>
      </c>
      <c r="C1422" s="1" t="e">
        <v>#N/A</v>
      </c>
      <c r="D1422" s="1" t="s">
        <v>3869</v>
      </c>
      <c r="E1422" s="1" t="s">
        <v>3870</v>
      </c>
      <c r="F1422" s="1" t="s">
        <v>9213</v>
      </c>
      <c r="G1422" s="1" t="s">
        <v>8957</v>
      </c>
      <c r="H1422" t="s">
        <v>9061</v>
      </c>
      <c r="I1422" s="1" t="s">
        <v>9154</v>
      </c>
      <c r="J1422" s="1" t="s">
        <v>8998</v>
      </c>
      <c r="K1422" s="1" t="s">
        <v>10525</v>
      </c>
      <c r="L1422" s="1" t="s">
        <v>8973</v>
      </c>
      <c r="M1422" s="1">
        <v>1000</v>
      </c>
      <c r="N1422" s="1" t="s">
        <v>9059</v>
      </c>
      <c r="O1422" s="1" t="s">
        <v>8989</v>
      </c>
      <c r="P1422" s="1" t="e">
        <v>#N/A</v>
      </c>
      <c r="Q1422" s="1" t="e">
        <v>#N/A</v>
      </c>
      <c r="R1422" s="1">
        <f t="shared" si="414"/>
        <v>7</v>
      </c>
      <c r="S1422" s="1" t="str">
        <f t="shared" si="415"/>
        <v>4-7</v>
      </c>
      <c r="T1422" s="1" t="s">
        <v>19332</v>
      </c>
      <c r="U1422" s="1" t="s">
        <v>7</v>
      </c>
      <c r="V1422" s="1" t="s">
        <v>138</v>
      </c>
      <c r="W1422" s="1"/>
    </row>
    <row r="1423" spans="1:23" x14ac:dyDescent="0.2">
      <c r="A1423" s="88" t="s">
        <v>16736</v>
      </c>
      <c r="B1423" s="1" t="e">
        <v>#N/A</v>
      </c>
      <c r="C1423" s="1" t="s">
        <v>14316</v>
      </c>
      <c r="D1423" s="1" t="s">
        <v>3871</v>
      </c>
      <c r="E1423" s="1" t="s">
        <v>3872</v>
      </c>
      <c r="F1423" s="1" t="s">
        <v>9246</v>
      </c>
      <c r="G1423" s="1" t="s">
        <v>8957</v>
      </c>
      <c r="H1423" t="s">
        <v>9061</v>
      </c>
      <c r="I1423" s="1" t="s">
        <v>9252</v>
      </c>
      <c r="J1423" s="1" t="s">
        <v>9253</v>
      </c>
      <c r="K1423" s="1" t="s">
        <v>9036</v>
      </c>
      <c r="L1423" s="1" t="s">
        <v>8951</v>
      </c>
      <c r="M1423" s="1">
        <v>44090</v>
      </c>
      <c r="N1423" s="1" t="s">
        <v>8953</v>
      </c>
      <c r="O1423" s="1" t="s">
        <v>8989</v>
      </c>
      <c r="P1423" s="1" t="s">
        <v>8955</v>
      </c>
      <c r="Q1423" s="1" t="s">
        <v>8956</v>
      </c>
      <c r="R1423" s="1" t="s">
        <v>8957</v>
      </c>
      <c r="S1423" s="1" t="s">
        <v>8975</v>
      </c>
      <c r="T1423" s="1" t="s">
        <v>3873</v>
      </c>
      <c r="U1423" s="1" t="s">
        <v>4</v>
      </c>
      <c r="V1423" s="1" t="s">
        <v>126</v>
      </c>
      <c r="W1423" s="1"/>
    </row>
    <row r="1424" spans="1:23" x14ac:dyDescent="0.2">
      <c r="A1424" s="88" t="s">
        <v>16737</v>
      </c>
      <c r="B1424" s="1" t="e">
        <v>#N/A</v>
      </c>
      <c r="C1424" s="1" t="s">
        <v>14159</v>
      </c>
      <c r="D1424" s="1" t="s">
        <v>3874</v>
      </c>
      <c r="E1424" s="1" t="s">
        <v>3875</v>
      </c>
      <c r="F1424" s="1" t="s">
        <v>9246</v>
      </c>
      <c r="G1424" s="1" t="s">
        <v>8957</v>
      </c>
      <c r="H1424" t="s">
        <v>9061</v>
      </c>
      <c r="I1424" s="1" t="s">
        <v>9252</v>
      </c>
      <c r="J1424" s="1" t="s">
        <v>9253</v>
      </c>
      <c r="K1424" s="1" t="s">
        <v>9036</v>
      </c>
      <c r="L1424" s="1" t="s">
        <v>8987</v>
      </c>
      <c r="M1424" s="1">
        <v>1804</v>
      </c>
      <c r="N1424" s="1" t="s">
        <v>8953</v>
      </c>
      <c r="O1424" s="1" t="s">
        <v>8954</v>
      </c>
      <c r="P1424" s="1" t="s">
        <v>8955</v>
      </c>
      <c r="Q1424" s="1" t="s">
        <v>8956</v>
      </c>
      <c r="R1424" s="1" t="s">
        <v>8957</v>
      </c>
      <c r="S1424" s="1" t="s">
        <v>8958</v>
      </c>
      <c r="T1424" s="1" t="s">
        <v>3876</v>
      </c>
      <c r="U1424" s="1" t="s">
        <v>4</v>
      </c>
      <c r="V1424" s="1" t="s">
        <v>93</v>
      </c>
      <c r="W1424" s="1"/>
    </row>
    <row r="1425" spans="1:23" x14ac:dyDescent="0.2">
      <c r="A1425" s="88" t="s">
        <v>16738</v>
      </c>
      <c r="B1425" s="1" t="e">
        <v>#N/A</v>
      </c>
      <c r="C1425" s="1" t="e">
        <v>#N/A</v>
      </c>
      <c r="D1425" s="1" t="s">
        <v>3877</v>
      </c>
      <c r="E1425" s="1" t="s">
        <v>3878</v>
      </c>
      <c r="F1425" s="1" t="s">
        <v>9317</v>
      </c>
      <c r="G1425" s="1" t="s">
        <v>8957</v>
      </c>
      <c r="H1425" t="s">
        <v>8959</v>
      </c>
      <c r="I1425" s="1" t="s">
        <v>9605</v>
      </c>
      <c r="J1425" s="1" t="s">
        <v>9101</v>
      </c>
      <c r="K1425" s="1" t="s">
        <v>21444</v>
      </c>
      <c r="L1425" s="1" t="s">
        <v>20844</v>
      </c>
      <c r="M1425" s="1">
        <v>82</v>
      </c>
      <c r="N1425" s="1" t="s">
        <v>8953</v>
      </c>
      <c r="O1425" s="1" t="s">
        <v>8989</v>
      </c>
      <c r="P1425" s="1" t="e">
        <v>#N/A</v>
      </c>
      <c r="Q1425" s="1" t="e">
        <v>#N/A</v>
      </c>
      <c r="R1425" s="1">
        <f t="shared" ref="R1425:R1426" si="416">1+LEN(T1425)-LEN(SUBSTITUTE(T1425,",",))</f>
        <v>6</v>
      </c>
      <c r="S1425" s="1" t="str">
        <f t="shared" ref="S1425:S1426" si="417">IF(R1425&gt;4,IF(R1425&lt;8,"4-7",IF(R1425&gt;7,"&gt;7")),"&lt;4")</f>
        <v>4-7</v>
      </c>
      <c r="T1425" s="1" t="s">
        <v>20625</v>
      </c>
      <c r="U1425" s="1" t="s">
        <v>7</v>
      </c>
      <c r="V1425" s="1" t="s">
        <v>808</v>
      </c>
      <c r="W1425" s="1"/>
    </row>
    <row r="1426" spans="1:23" x14ac:dyDescent="0.2">
      <c r="A1426" s="89" t="s">
        <v>3879</v>
      </c>
      <c r="B1426" s="1" t="e">
        <v>#N/A</v>
      </c>
      <c r="C1426" s="1" t="e">
        <v>#N/A</v>
      </c>
      <c r="D1426" s="1" t="s">
        <v>3880</v>
      </c>
      <c r="E1426" s="1" t="s">
        <v>3881</v>
      </c>
      <c r="F1426" s="1" t="e">
        <v>#N/A</v>
      </c>
      <c r="G1426" s="1" t="e">
        <v>#N/A</v>
      </c>
      <c r="H1426" t="e">
        <v>#N/A</v>
      </c>
      <c r="I1426" s="1" t="e">
        <v>#N/A</v>
      </c>
      <c r="J1426" s="1" t="e">
        <v>#N/A</v>
      </c>
      <c r="K1426" s="1" t="e">
        <v>#N/A</v>
      </c>
      <c r="L1426" s="1" t="e">
        <v>#N/A</v>
      </c>
      <c r="M1426" s="1" t="e">
        <v>#N/A</v>
      </c>
      <c r="N1426" s="1" t="e">
        <v>#N/A</v>
      </c>
      <c r="O1426" s="1" t="e">
        <v>#N/A</v>
      </c>
      <c r="P1426" s="1" t="e">
        <v>#N/A</v>
      </c>
      <c r="Q1426" s="1" t="e">
        <v>#N/A</v>
      </c>
      <c r="R1426" s="1">
        <f t="shared" si="416"/>
        <v>2</v>
      </c>
      <c r="S1426" s="1" t="str">
        <f t="shared" si="417"/>
        <v>&lt;4</v>
      </c>
      <c r="T1426" s="1" t="s">
        <v>19333</v>
      </c>
      <c r="U1426" s="1" t="s">
        <v>17</v>
      </c>
      <c r="V1426" s="1" t="s">
        <v>77</v>
      </c>
      <c r="W1426" s="1"/>
    </row>
    <row r="1427" spans="1:23" x14ac:dyDescent="0.2">
      <c r="A1427" s="88" t="s">
        <v>16739</v>
      </c>
      <c r="B1427" s="1" t="e">
        <v>#N/A</v>
      </c>
      <c r="C1427" s="1" t="s">
        <v>13683</v>
      </c>
      <c r="D1427" s="1" t="s">
        <v>3882</v>
      </c>
      <c r="E1427" s="1" t="s">
        <v>3883</v>
      </c>
      <c r="F1427" s="1" t="s">
        <v>9010</v>
      </c>
      <c r="G1427" s="1" t="s">
        <v>8957</v>
      </c>
      <c r="H1427" t="s">
        <v>9061</v>
      </c>
      <c r="I1427" s="1" t="s">
        <v>8948</v>
      </c>
      <c r="J1427" s="1" t="s">
        <v>8949</v>
      </c>
      <c r="K1427" s="1" t="s">
        <v>10258</v>
      </c>
      <c r="L1427" s="1" t="s">
        <v>9464</v>
      </c>
      <c r="M1427" s="1">
        <v>155</v>
      </c>
      <c r="N1427" s="1" t="s">
        <v>8953</v>
      </c>
      <c r="O1427" s="1" t="s">
        <v>8989</v>
      </c>
      <c r="P1427" s="1" t="s">
        <v>8955</v>
      </c>
      <c r="Q1427" s="1" t="s">
        <v>8956</v>
      </c>
      <c r="R1427" s="1" t="s">
        <v>8957</v>
      </c>
      <c r="S1427" s="1" t="s">
        <v>8958</v>
      </c>
      <c r="T1427" s="1" t="s">
        <v>3884</v>
      </c>
      <c r="U1427" s="1" t="s">
        <v>4</v>
      </c>
      <c r="V1427" s="1" t="s">
        <v>87</v>
      </c>
      <c r="W1427" s="1"/>
    </row>
    <row r="1428" spans="1:23" x14ac:dyDescent="0.2">
      <c r="A1428" s="88" t="s">
        <v>20857</v>
      </c>
      <c r="B1428" s="1" t="e">
        <v>#N/A</v>
      </c>
      <c r="C1428" s="1" t="e">
        <v>#N/A</v>
      </c>
      <c r="D1428" s="1" t="s">
        <v>3885</v>
      </c>
      <c r="E1428" s="1" t="s">
        <v>3886</v>
      </c>
      <c r="F1428" s="1" t="s">
        <v>9310</v>
      </c>
      <c r="G1428" s="1" t="s">
        <v>8957</v>
      </c>
      <c r="H1428" t="s">
        <v>8959</v>
      </c>
      <c r="I1428" s="1" t="s">
        <v>20714</v>
      </c>
      <c r="J1428" s="1" t="s">
        <v>9050</v>
      </c>
      <c r="K1428" s="1" t="s">
        <v>10492</v>
      </c>
      <c r="L1428" s="1" t="s">
        <v>8973</v>
      </c>
      <c r="M1428" s="1">
        <f>81+463</f>
        <v>544</v>
      </c>
      <c r="N1428" s="1" t="s">
        <v>8953</v>
      </c>
      <c r="O1428" s="1" t="s">
        <v>8954</v>
      </c>
      <c r="P1428" s="1" t="e">
        <v>#N/A</v>
      </c>
      <c r="Q1428" s="1" t="e">
        <v>#N/A</v>
      </c>
      <c r="R1428" s="1">
        <f t="shared" ref="R1428:R1430" si="418">1+LEN(T1428)-LEN(SUBSTITUTE(T1428,",",))</f>
        <v>5</v>
      </c>
      <c r="S1428" s="1" t="str">
        <f t="shared" ref="S1428:S1430" si="419">IF(R1428&gt;4,IF(R1428&lt;8,"4-7",IF(R1428&gt;7,"&gt;7")),"&lt;4")</f>
        <v>4-7</v>
      </c>
      <c r="T1428" s="1" t="s">
        <v>19334</v>
      </c>
      <c r="U1428" s="1" t="s">
        <v>17</v>
      </c>
      <c r="V1428" s="1" t="s">
        <v>286</v>
      </c>
      <c r="W1428" s="1"/>
    </row>
    <row r="1429" spans="1:23" x14ac:dyDescent="0.2">
      <c r="A1429" s="88" t="s">
        <v>16740</v>
      </c>
      <c r="B1429" s="1" t="e">
        <v>#N/A</v>
      </c>
      <c r="C1429" s="1" t="e">
        <v>#N/A</v>
      </c>
      <c r="D1429" s="1" t="s">
        <v>3887</v>
      </c>
      <c r="E1429" s="1" t="s">
        <v>3888</v>
      </c>
      <c r="F1429" s="1" t="e">
        <v>#N/A</v>
      </c>
      <c r="G1429" s="1" t="e">
        <v>#N/A</v>
      </c>
      <c r="H1429" t="e">
        <v>#N/A</v>
      </c>
      <c r="I1429" s="1" t="e">
        <v>#N/A</v>
      </c>
      <c r="J1429" s="1" t="e">
        <v>#N/A</v>
      </c>
      <c r="K1429" s="1" t="e">
        <v>#N/A</v>
      </c>
      <c r="L1429" s="1" t="e">
        <v>#N/A</v>
      </c>
      <c r="M1429" s="1" t="e">
        <v>#N/A</v>
      </c>
      <c r="N1429" s="1" t="e">
        <v>#N/A</v>
      </c>
      <c r="O1429" s="1" t="e">
        <v>#N/A</v>
      </c>
      <c r="P1429" s="1" t="e">
        <v>#N/A</v>
      </c>
      <c r="Q1429" s="1" t="e">
        <v>#N/A</v>
      </c>
      <c r="R1429" s="1">
        <f t="shared" si="418"/>
        <v>6</v>
      </c>
      <c r="S1429" s="1" t="str">
        <f t="shared" si="419"/>
        <v>4-7</v>
      </c>
      <c r="T1429" s="1" t="s">
        <v>19335</v>
      </c>
      <c r="U1429" s="1" t="s">
        <v>252</v>
      </c>
      <c r="V1429" s="1" t="s">
        <v>3889</v>
      </c>
      <c r="W1429" s="1"/>
    </row>
    <row r="1430" spans="1:23" x14ac:dyDescent="0.2">
      <c r="A1430" s="88" t="s">
        <v>16741</v>
      </c>
      <c r="B1430" s="1" t="e">
        <v>#N/A</v>
      </c>
      <c r="C1430" s="1" t="e">
        <v>#N/A</v>
      </c>
      <c r="D1430" s="1" t="s">
        <v>3890</v>
      </c>
      <c r="E1430" s="1" t="s">
        <v>3891</v>
      </c>
      <c r="F1430" s="1" t="s">
        <v>20858</v>
      </c>
      <c r="G1430" s="1" t="s">
        <v>8957</v>
      </c>
      <c r="H1430" t="s">
        <v>8959</v>
      </c>
      <c r="I1430" s="1" t="s">
        <v>9075</v>
      </c>
      <c r="J1430" s="1" t="s">
        <v>9101</v>
      </c>
      <c r="K1430" s="1" t="s">
        <v>20859</v>
      </c>
      <c r="L1430" s="1" t="s">
        <v>8987</v>
      </c>
      <c r="M1430" s="1">
        <v>8664</v>
      </c>
      <c r="N1430" s="1" t="s">
        <v>8953</v>
      </c>
      <c r="O1430" s="1" t="s">
        <v>8954</v>
      </c>
      <c r="P1430" s="1" t="e">
        <v>#N/A</v>
      </c>
      <c r="Q1430" s="1" t="e">
        <v>#N/A</v>
      </c>
      <c r="R1430" s="1">
        <f t="shared" si="418"/>
        <v>4</v>
      </c>
      <c r="S1430" s="1" t="str">
        <f t="shared" si="419"/>
        <v>&lt;4</v>
      </c>
      <c r="T1430" s="1" t="s">
        <v>19336</v>
      </c>
      <c r="U1430" s="1" t="s">
        <v>17</v>
      </c>
      <c r="V1430" s="1" t="s">
        <v>74</v>
      </c>
      <c r="W1430" s="1"/>
    </row>
    <row r="1431" spans="1:23" x14ac:dyDescent="0.2">
      <c r="A1431" s="88" t="s">
        <v>16742</v>
      </c>
      <c r="B1431" s="1" t="e">
        <v>#N/A</v>
      </c>
      <c r="C1431" s="1" t="s">
        <v>14356</v>
      </c>
      <c r="D1431" s="1" t="s">
        <v>3892</v>
      </c>
      <c r="E1431" s="1" t="s">
        <v>3893</v>
      </c>
      <c r="F1431" s="1" t="s">
        <v>9380</v>
      </c>
      <c r="G1431" s="1" t="s">
        <v>8957</v>
      </c>
      <c r="H1431" t="s">
        <v>8959</v>
      </c>
      <c r="I1431" s="1" t="s">
        <v>9605</v>
      </c>
      <c r="J1431" s="1" t="s">
        <v>9101</v>
      </c>
      <c r="K1431" s="1" t="s">
        <v>9036</v>
      </c>
      <c r="L1431" s="1" t="s">
        <v>8987</v>
      </c>
      <c r="M1431" s="1">
        <v>2880</v>
      </c>
      <c r="N1431" s="1" t="s">
        <v>8953</v>
      </c>
      <c r="O1431" s="1" t="s">
        <v>8954</v>
      </c>
      <c r="P1431" s="1" t="s">
        <v>8955</v>
      </c>
      <c r="Q1431" s="1" t="s">
        <v>8956</v>
      </c>
      <c r="R1431" s="1" t="s">
        <v>8957</v>
      </c>
      <c r="S1431" s="1" t="s">
        <v>9103</v>
      </c>
      <c r="T1431" s="1" t="s">
        <v>3894</v>
      </c>
      <c r="U1431" s="1" t="s">
        <v>242</v>
      </c>
      <c r="V1431" s="1" t="s">
        <v>493</v>
      </c>
      <c r="W1431" s="1"/>
    </row>
    <row r="1432" spans="1:23" x14ac:dyDescent="0.2">
      <c r="A1432" s="89" t="s">
        <v>3895</v>
      </c>
      <c r="B1432" s="1" t="e">
        <v>#N/A</v>
      </c>
      <c r="C1432" s="1" t="e">
        <v>#N/A</v>
      </c>
      <c r="D1432" s="1" t="s">
        <v>3896</v>
      </c>
      <c r="E1432" s="1" t="s">
        <v>3897</v>
      </c>
      <c r="F1432" s="1" t="e">
        <v>#N/A</v>
      </c>
      <c r="G1432" s="1" t="e">
        <v>#N/A</v>
      </c>
      <c r="H1432" t="e">
        <v>#N/A</v>
      </c>
      <c r="I1432" s="1" t="e">
        <v>#N/A</v>
      </c>
      <c r="J1432" s="1" t="e">
        <v>#N/A</v>
      </c>
      <c r="K1432" s="1" t="e">
        <v>#N/A</v>
      </c>
      <c r="L1432" s="1" t="e">
        <v>#N/A</v>
      </c>
      <c r="M1432" s="1" t="e">
        <v>#N/A</v>
      </c>
      <c r="N1432" s="1" t="e">
        <v>#N/A</v>
      </c>
      <c r="O1432" s="1" t="e">
        <v>#N/A</v>
      </c>
      <c r="P1432" s="1" t="e">
        <v>#N/A</v>
      </c>
      <c r="Q1432" s="1" t="e">
        <v>#N/A</v>
      </c>
      <c r="R1432" s="1">
        <f>1+LEN(T1432)-LEN(SUBSTITUTE(T1432,",",))</f>
        <v>2</v>
      </c>
      <c r="S1432" s="1" t="str">
        <f>IF(R1432&gt;4,IF(R1432&lt;8,"4-7",IF(R1432&gt;7,"&gt;7")),"&lt;4")</f>
        <v>&lt;4</v>
      </c>
      <c r="T1432" s="1" t="s">
        <v>19337</v>
      </c>
      <c r="U1432" s="1" t="s">
        <v>242</v>
      </c>
      <c r="V1432" s="1" t="s">
        <v>3898</v>
      </c>
      <c r="W1432" s="1"/>
    </row>
    <row r="1433" spans="1:23" x14ac:dyDescent="0.2">
      <c r="A1433" s="88" t="s">
        <v>16743</v>
      </c>
      <c r="B1433" s="1" t="e">
        <v>#N/A</v>
      </c>
      <c r="C1433" s="1" t="s">
        <v>13930</v>
      </c>
      <c r="D1433" s="1" t="s">
        <v>3899</v>
      </c>
      <c r="E1433" s="1" t="s">
        <v>3900</v>
      </c>
      <c r="F1433" s="1" t="s">
        <v>9380</v>
      </c>
      <c r="G1433" s="1" t="s">
        <v>8957</v>
      </c>
      <c r="H1433" t="s">
        <v>8959</v>
      </c>
      <c r="I1433" s="1" t="s">
        <v>9605</v>
      </c>
      <c r="J1433" s="1" t="s">
        <v>9101</v>
      </c>
      <c r="K1433" s="1" t="s">
        <v>9036</v>
      </c>
      <c r="L1433" s="1" t="s">
        <v>8987</v>
      </c>
      <c r="M1433" s="1">
        <v>22000</v>
      </c>
      <c r="N1433" s="1" t="s">
        <v>8953</v>
      </c>
      <c r="O1433" s="1" t="s">
        <v>8989</v>
      </c>
      <c r="P1433" s="1" t="s">
        <v>8955</v>
      </c>
      <c r="Q1433" s="1" t="s">
        <v>8956</v>
      </c>
      <c r="R1433" s="1" t="s">
        <v>8957</v>
      </c>
      <c r="S1433" s="1" t="s">
        <v>8958</v>
      </c>
      <c r="T1433" s="1" t="s">
        <v>3901</v>
      </c>
      <c r="U1433" s="1" t="s">
        <v>4</v>
      </c>
      <c r="V1433" s="1" t="s">
        <v>3902</v>
      </c>
      <c r="W1433" s="1"/>
    </row>
    <row r="1434" spans="1:23" x14ac:dyDescent="0.2">
      <c r="A1434" s="94" t="s">
        <v>16744</v>
      </c>
      <c r="B1434" s="1" t="e">
        <v>#N/A</v>
      </c>
      <c r="C1434" s="1" t="e">
        <v>#N/A</v>
      </c>
      <c r="D1434" s="1" t="s">
        <v>3903</v>
      </c>
      <c r="E1434" s="1" t="s">
        <v>3904</v>
      </c>
      <c r="F1434" s="1" t="e">
        <v>#N/A</v>
      </c>
      <c r="G1434" s="1" t="e">
        <v>#N/A</v>
      </c>
      <c r="H1434" t="e">
        <v>#N/A</v>
      </c>
      <c r="I1434" s="1" t="e">
        <v>#N/A</v>
      </c>
      <c r="J1434" s="1" t="e">
        <v>#N/A</v>
      </c>
      <c r="K1434" s="1" t="e">
        <v>#N/A</v>
      </c>
      <c r="L1434" s="1" t="e">
        <v>#N/A</v>
      </c>
      <c r="M1434" s="1" t="e">
        <v>#N/A</v>
      </c>
      <c r="N1434" s="1" t="e">
        <v>#N/A</v>
      </c>
      <c r="O1434" s="1" t="e">
        <v>#N/A</v>
      </c>
      <c r="P1434" s="1" t="e">
        <v>#N/A</v>
      </c>
      <c r="Q1434" s="1" t="e">
        <v>#N/A</v>
      </c>
      <c r="R1434" s="1">
        <f t="shared" ref="R1434:R1442" si="420">1+LEN(T1434)-LEN(SUBSTITUTE(T1434,",",))</f>
        <v>4</v>
      </c>
      <c r="S1434" s="1" t="str">
        <f t="shared" ref="S1434:S1442" si="421">IF(R1434&gt;4,IF(R1434&lt;8,"4-7",IF(R1434&gt;7,"&gt;7")),"&lt;4")</f>
        <v>&lt;4</v>
      </c>
      <c r="T1434" s="1" t="s">
        <v>19338</v>
      </c>
      <c r="U1434" s="1" t="s">
        <v>7</v>
      </c>
      <c r="V1434" s="1" t="s">
        <v>3905</v>
      </c>
      <c r="W1434" s="1"/>
    </row>
    <row r="1435" spans="1:23" x14ac:dyDescent="0.2">
      <c r="A1435" s="88" t="s">
        <v>16745</v>
      </c>
      <c r="B1435" s="1" t="e">
        <v>#N/A</v>
      </c>
      <c r="C1435" s="1" t="e">
        <v>#N/A</v>
      </c>
      <c r="D1435" s="1" t="s">
        <v>3906</v>
      </c>
      <c r="E1435" s="1" t="s">
        <v>3907</v>
      </c>
      <c r="F1435" s="1" t="s">
        <v>18502</v>
      </c>
      <c r="G1435" s="1" t="s">
        <v>8957</v>
      </c>
      <c r="H1435" t="s">
        <v>8959</v>
      </c>
      <c r="I1435" s="1" t="s">
        <v>9154</v>
      </c>
      <c r="J1435" s="1" t="s">
        <v>8949</v>
      </c>
      <c r="K1435" s="1" t="s">
        <v>20779</v>
      </c>
      <c r="L1435" s="1" t="s">
        <v>9464</v>
      </c>
      <c r="M1435" s="1">
        <v>334</v>
      </c>
      <c r="N1435" s="1" t="s">
        <v>8953</v>
      </c>
      <c r="O1435" s="1" t="s">
        <v>8954</v>
      </c>
      <c r="P1435" s="1" t="e">
        <v>#N/A</v>
      </c>
      <c r="Q1435" s="1" t="e">
        <v>#N/A</v>
      </c>
      <c r="R1435" s="1">
        <f t="shared" si="420"/>
        <v>5</v>
      </c>
      <c r="S1435" s="1" t="str">
        <f t="shared" si="421"/>
        <v>4-7</v>
      </c>
      <c r="T1435" s="1" t="s">
        <v>19339</v>
      </c>
      <c r="U1435" s="1" t="s">
        <v>17</v>
      </c>
      <c r="V1435" s="1" t="s">
        <v>61</v>
      </c>
      <c r="W1435" s="1"/>
    </row>
    <row r="1436" spans="1:23" x14ac:dyDescent="0.2">
      <c r="A1436" s="88" t="s">
        <v>16746</v>
      </c>
      <c r="B1436" s="1" t="e">
        <v>#N/A</v>
      </c>
      <c r="C1436" s="1" t="e">
        <v>#N/A</v>
      </c>
      <c r="D1436" s="1" t="s">
        <v>3908</v>
      </c>
      <c r="E1436" s="1" t="s">
        <v>3909</v>
      </c>
      <c r="F1436" s="1" t="s">
        <v>18502</v>
      </c>
      <c r="G1436" s="1" t="s">
        <v>8959</v>
      </c>
      <c r="H1436" t="s">
        <v>9061</v>
      </c>
      <c r="I1436" s="1" t="s">
        <v>9092</v>
      </c>
      <c r="J1436" s="1" t="s">
        <v>8998</v>
      </c>
      <c r="K1436" s="1" t="s">
        <v>10492</v>
      </c>
      <c r="L1436" s="1" t="s">
        <v>9133</v>
      </c>
      <c r="M1436" s="1">
        <v>1843</v>
      </c>
      <c r="N1436" s="1" t="s">
        <v>8953</v>
      </c>
      <c r="O1436" s="1" t="s">
        <v>8954</v>
      </c>
      <c r="P1436" s="1" t="e">
        <v>#N/A</v>
      </c>
      <c r="Q1436" s="1" t="e">
        <v>#N/A</v>
      </c>
      <c r="R1436" s="1">
        <f t="shared" si="420"/>
        <v>8</v>
      </c>
      <c r="S1436" s="1" t="str">
        <f t="shared" si="421"/>
        <v>&gt;7</v>
      </c>
      <c r="T1436" s="1" t="s">
        <v>19340</v>
      </c>
      <c r="U1436" s="1" t="s">
        <v>17</v>
      </c>
      <c r="V1436" s="1" t="s">
        <v>174</v>
      </c>
      <c r="W1436" s="1"/>
    </row>
    <row r="1437" spans="1:23" x14ac:dyDescent="0.2">
      <c r="A1437" s="89" t="s">
        <v>3910</v>
      </c>
      <c r="B1437" s="1" t="e">
        <v>#N/A</v>
      </c>
      <c r="C1437" s="1" t="e">
        <v>#N/A</v>
      </c>
      <c r="D1437" s="1" t="s">
        <v>3911</v>
      </c>
      <c r="E1437" s="1" t="s">
        <v>3912</v>
      </c>
      <c r="F1437" s="1" t="e">
        <v>#N/A</v>
      </c>
      <c r="G1437" s="1" t="e">
        <v>#N/A</v>
      </c>
      <c r="H1437" t="e">
        <v>#N/A</v>
      </c>
      <c r="I1437" s="1" t="e">
        <v>#N/A</v>
      </c>
      <c r="J1437" s="1" t="e">
        <v>#N/A</v>
      </c>
      <c r="K1437" s="1" t="e">
        <v>#N/A</v>
      </c>
      <c r="L1437" s="1" t="e">
        <v>#N/A</v>
      </c>
      <c r="M1437" s="1" t="e">
        <v>#N/A</v>
      </c>
      <c r="N1437" s="1" t="e">
        <v>#N/A</v>
      </c>
      <c r="O1437" s="1" t="e">
        <v>#N/A</v>
      </c>
      <c r="P1437" s="1" t="e">
        <v>#N/A</v>
      </c>
      <c r="Q1437" s="1" t="e">
        <v>#N/A</v>
      </c>
      <c r="R1437" s="1">
        <f t="shared" si="420"/>
        <v>10</v>
      </c>
      <c r="S1437" s="1" t="str">
        <f t="shared" si="421"/>
        <v>&gt;7</v>
      </c>
      <c r="T1437" s="1" t="s">
        <v>19341</v>
      </c>
      <c r="U1437" s="1" t="s">
        <v>17</v>
      </c>
      <c r="V1437" s="1" t="s">
        <v>3913</v>
      </c>
      <c r="W1437" s="1"/>
    </row>
    <row r="1438" spans="1:23" x14ac:dyDescent="0.2">
      <c r="A1438" s="88" t="s">
        <v>16747</v>
      </c>
      <c r="B1438" s="1" t="e">
        <v>#N/A</v>
      </c>
      <c r="C1438" s="1" t="e">
        <v>#N/A</v>
      </c>
      <c r="D1438" s="1" t="s">
        <v>3914</v>
      </c>
      <c r="E1438" s="1" t="s">
        <v>3915</v>
      </c>
      <c r="F1438" s="1" t="s">
        <v>9317</v>
      </c>
      <c r="G1438" s="1" t="s">
        <v>8957</v>
      </c>
      <c r="H1438" t="s">
        <v>9183</v>
      </c>
      <c r="I1438" s="1" t="s">
        <v>8948</v>
      </c>
      <c r="J1438" s="1" t="s">
        <v>9308</v>
      </c>
      <c r="K1438" s="1" t="s">
        <v>20779</v>
      </c>
      <c r="L1438" s="1" t="s">
        <v>8951</v>
      </c>
      <c r="M1438" s="1">
        <v>2100</v>
      </c>
      <c r="N1438" s="1" t="s">
        <v>8953</v>
      </c>
      <c r="O1438" s="1" t="s">
        <v>8989</v>
      </c>
      <c r="P1438" s="1" t="e">
        <v>#N/A</v>
      </c>
      <c r="Q1438" s="1" t="e">
        <v>#N/A</v>
      </c>
      <c r="R1438" s="1">
        <f t="shared" si="420"/>
        <v>8</v>
      </c>
      <c r="S1438" s="1" t="str">
        <f t="shared" si="421"/>
        <v>&gt;7</v>
      </c>
      <c r="T1438" s="1" t="s">
        <v>19342</v>
      </c>
      <c r="U1438" s="1" t="s">
        <v>17</v>
      </c>
      <c r="V1438" s="1" t="s">
        <v>24</v>
      </c>
      <c r="W1438" s="1"/>
    </row>
    <row r="1439" spans="1:23" x14ac:dyDescent="0.2">
      <c r="A1439" s="88" t="s">
        <v>16748</v>
      </c>
      <c r="B1439" s="1" t="e">
        <v>#N/A</v>
      </c>
      <c r="C1439" s="1" t="e">
        <v>#N/A</v>
      </c>
      <c r="D1439" s="1" t="s">
        <v>3916</v>
      </c>
      <c r="E1439" s="1" t="s">
        <v>3917</v>
      </c>
      <c r="F1439" s="1" t="s">
        <v>20860</v>
      </c>
      <c r="G1439" s="1" t="s">
        <v>8957</v>
      </c>
      <c r="H1439" t="s">
        <v>8959</v>
      </c>
      <c r="I1439" s="1" t="s">
        <v>9100</v>
      </c>
      <c r="J1439" s="1" t="s">
        <v>8949</v>
      </c>
      <c r="K1439" s="1" t="s">
        <v>10492</v>
      </c>
      <c r="L1439" s="1" t="s">
        <v>8973</v>
      </c>
      <c r="M1439" s="1">
        <v>122</v>
      </c>
      <c r="N1439" s="1" t="s">
        <v>9059</v>
      </c>
      <c r="O1439" s="1" t="s">
        <v>8989</v>
      </c>
      <c r="P1439" s="1" t="e">
        <v>#N/A</v>
      </c>
      <c r="Q1439" s="1" t="e">
        <v>#N/A</v>
      </c>
      <c r="R1439" s="1">
        <f t="shared" si="420"/>
        <v>12</v>
      </c>
      <c r="S1439" s="1" t="str">
        <f t="shared" si="421"/>
        <v>&gt;7</v>
      </c>
      <c r="T1439" s="1" t="s">
        <v>19343</v>
      </c>
      <c r="U1439" s="1" t="s">
        <v>17</v>
      </c>
      <c r="V1439" s="1" t="s">
        <v>3918</v>
      </c>
      <c r="W1439" s="1"/>
    </row>
    <row r="1440" spans="1:23" x14ac:dyDescent="0.2">
      <c r="A1440" s="89" t="s">
        <v>16749</v>
      </c>
      <c r="B1440" s="1" t="e">
        <v>#N/A</v>
      </c>
      <c r="C1440" s="1" t="e">
        <v>#N/A</v>
      </c>
      <c r="D1440" s="1" t="s">
        <v>3919</v>
      </c>
      <c r="E1440" s="1" t="s">
        <v>3920</v>
      </c>
      <c r="F1440" s="1" t="e">
        <v>#N/A</v>
      </c>
      <c r="G1440" s="1" t="e">
        <v>#N/A</v>
      </c>
      <c r="H1440" t="e">
        <v>#N/A</v>
      </c>
      <c r="I1440" s="1" t="e">
        <v>#N/A</v>
      </c>
      <c r="J1440" s="1" t="e">
        <v>#N/A</v>
      </c>
      <c r="K1440" s="1" t="e">
        <v>#N/A</v>
      </c>
      <c r="L1440" s="1" t="e">
        <v>#N/A</v>
      </c>
      <c r="M1440" s="1" t="e">
        <v>#N/A</v>
      </c>
      <c r="N1440" s="1" t="e">
        <v>#N/A</v>
      </c>
      <c r="O1440" s="1" t="e">
        <v>#N/A</v>
      </c>
      <c r="P1440" s="1" t="e">
        <v>#N/A</v>
      </c>
      <c r="Q1440" s="1" t="e">
        <v>#N/A</v>
      </c>
      <c r="R1440" s="1">
        <f t="shared" si="420"/>
        <v>1</v>
      </c>
      <c r="S1440" s="1" t="str">
        <f t="shared" si="421"/>
        <v>&lt;4</v>
      </c>
      <c r="U1440" s="1" t="s">
        <v>11</v>
      </c>
      <c r="V1440" s="1" t="s">
        <v>180</v>
      </c>
      <c r="W1440" s="1"/>
    </row>
    <row r="1441" spans="1:23" x14ac:dyDescent="0.2">
      <c r="A1441" s="88" t="s">
        <v>16750</v>
      </c>
      <c r="B1441" s="1" t="e">
        <v>#N/A</v>
      </c>
      <c r="C1441" s="1" t="e">
        <v>#N/A</v>
      </c>
      <c r="D1441" s="1" t="s">
        <v>3921</v>
      </c>
      <c r="E1441" s="1" t="s">
        <v>3922</v>
      </c>
      <c r="F1441" s="1" t="s">
        <v>9310</v>
      </c>
      <c r="G1441" s="1" t="s">
        <v>8957</v>
      </c>
      <c r="H1441" t="s">
        <v>9183</v>
      </c>
      <c r="I1441" s="1" t="s">
        <v>9092</v>
      </c>
      <c r="J1441" s="1" t="s">
        <v>8949</v>
      </c>
      <c r="K1441" s="1" t="s">
        <v>20779</v>
      </c>
      <c r="L1441" s="1" t="s">
        <v>8973</v>
      </c>
      <c r="M1441" s="1">
        <v>243</v>
      </c>
      <c r="N1441" s="1" t="s">
        <v>9059</v>
      </c>
      <c r="O1441" s="1" t="s">
        <v>8989</v>
      </c>
      <c r="P1441" s="1" t="e">
        <v>#N/A</v>
      </c>
      <c r="Q1441" s="1" t="e">
        <v>#N/A</v>
      </c>
      <c r="R1441" s="1">
        <f t="shared" si="420"/>
        <v>5</v>
      </c>
      <c r="S1441" s="1" t="str">
        <f t="shared" si="421"/>
        <v>4-7</v>
      </c>
      <c r="T1441" s="1" t="s">
        <v>19344</v>
      </c>
      <c r="U1441" s="1" t="s">
        <v>7</v>
      </c>
      <c r="V1441" s="1" t="s">
        <v>46</v>
      </c>
      <c r="W1441" s="1"/>
    </row>
    <row r="1442" spans="1:23" x14ac:dyDescent="0.2">
      <c r="A1442" s="88" t="s">
        <v>16751</v>
      </c>
      <c r="B1442" s="1" t="e">
        <v>#N/A</v>
      </c>
      <c r="C1442" s="1" t="e">
        <v>#N/A</v>
      </c>
      <c r="D1442" s="1" t="s">
        <v>3923</v>
      </c>
      <c r="E1442" s="1" t="s">
        <v>3924</v>
      </c>
      <c r="F1442" s="1" t="s">
        <v>10687</v>
      </c>
      <c r="G1442" s="1" t="s">
        <v>8957</v>
      </c>
      <c r="H1442" t="s">
        <v>8959</v>
      </c>
      <c r="I1442" s="1" t="s">
        <v>9173</v>
      </c>
      <c r="J1442" s="1" t="s">
        <v>8985</v>
      </c>
      <c r="K1442" s="1" t="s">
        <v>20861</v>
      </c>
      <c r="L1442" s="1" t="s">
        <v>8973</v>
      </c>
      <c r="M1442" s="1">
        <v>70</v>
      </c>
      <c r="N1442" s="1" t="s">
        <v>8953</v>
      </c>
      <c r="O1442" s="1" t="s">
        <v>8954</v>
      </c>
      <c r="P1442" s="1" t="e">
        <v>#N/A</v>
      </c>
      <c r="Q1442" s="1" t="e">
        <v>#N/A</v>
      </c>
      <c r="R1442" s="1">
        <f t="shared" si="420"/>
        <v>5</v>
      </c>
      <c r="S1442" s="1" t="str">
        <f t="shared" si="421"/>
        <v>4-7</v>
      </c>
      <c r="T1442" s="1" t="s">
        <v>19345</v>
      </c>
      <c r="U1442" s="1" t="s">
        <v>7</v>
      </c>
      <c r="V1442" s="1" t="s">
        <v>210</v>
      </c>
      <c r="W1442" s="1"/>
    </row>
    <row r="1443" spans="1:23" x14ac:dyDescent="0.2">
      <c r="A1443" s="88" t="s">
        <v>16752</v>
      </c>
      <c r="B1443" s="1" t="e">
        <v>#N/A</v>
      </c>
      <c r="C1443" s="1" t="s">
        <v>14718</v>
      </c>
      <c r="D1443" s="1" t="s">
        <v>3925</v>
      </c>
      <c r="E1443" s="1" t="s">
        <v>3926</v>
      </c>
      <c r="F1443" s="1" t="s">
        <v>9815</v>
      </c>
      <c r="G1443" s="1" t="s">
        <v>8957</v>
      </c>
      <c r="H1443" t="s">
        <v>8959</v>
      </c>
      <c r="I1443" s="1" t="s">
        <v>9075</v>
      </c>
      <c r="J1443" s="1" t="s">
        <v>9121</v>
      </c>
      <c r="K1443" s="1" t="s">
        <v>21247</v>
      </c>
      <c r="L1443" s="1" t="s">
        <v>8987</v>
      </c>
      <c r="M1443" s="1">
        <v>1644</v>
      </c>
      <c r="N1443" s="1" t="s">
        <v>8953</v>
      </c>
      <c r="O1443" s="1" t="s">
        <v>8954</v>
      </c>
      <c r="P1443" s="1" t="s">
        <v>8955</v>
      </c>
      <c r="Q1443" s="1" t="s">
        <v>8956</v>
      </c>
      <c r="R1443" s="1" t="s">
        <v>8957</v>
      </c>
      <c r="S1443" s="1" t="s">
        <v>9103</v>
      </c>
      <c r="T1443" s="1" t="s">
        <v>3927</v>
      </c>
      <c r="U1443" s="1" t="s">
        <v>7</v>
      </c>
      <c r="V1443" s="1" t="s">
        <v>87</v>
      </c>
      <c r="W1443" s="1"/>
    </row>
    <row r="1444" spans="1:23" x14ac:dyDescent="0.2">
      <c r="A1444" s="88" t="s">
        <v>16753</v>
      </c>
      <c r="B1444" s="1" t="e">
        <v>#N/A</v>
      </c>
      <c r="C1444" s="1" t="e">
        <v>#N/A</v>
      </c>
      <c r="D1444" s="1" t="s">
        <v>3928</v>
      </c>
      <c r="E1444" s="1" t="s">
        <v>3929</v>
      </c>
      <c r="F1444" s="1" t="s">
        <v>9176</v>
      </c>
      <c r="G1444" s="1" t="s">
        <v>8974</v>
      </c>
      <c r="H1444" t="s">
        <v>9061</v>
      </c>
      <c r="I1444" s="1" t="s">
        <v>20714</v>
      </c>
      <c r="J1444" s="1" t="s">
        <v>20725</v>
      </c>
      <c r="K1444" s="1" t="s">
        <v>10492</v>
      </c>
      <c r="L1444" s="1" t="s">
        <v>8973</v>
      </c>
      <c r="M1444" s="1">
        <f>300+294+240+60</f>
        <v>894</v>
      </c>
      <c r="N1444" s="1" t="s">
        <v>8953</v>
      </c>
      <c r="O1444" s="1" t="s">
        <v>8989</v>
      </c>
      <c r="P1444" s="1" t="e">
        <v>#N/A</v>
      </c>
      <c r="Q1444" s="1" t="e">
        <v>#N/A</v>
      </c>
      <c r="R1444" s="1">
        <f t="shared" ref="R1444:R1447" si="422">1+LEN(T1444)-LEN(SUBSTITUTE(T1444,",",))</f>
        <v>7</v>
      </c>
      <c r="S1444" s="1" t="str">
        <f t="shared" ref="S1444:S1447" si="423">IF(R1444&gt;4,IF(R1444&lt;8,"4-7",IF(R1444&gt;7,"&gt;7")),"&lt;4")</f>
        <v>4-7</v>
      </c>
      <c r="T1444" s="1" t="s">
        <v>19346</v>
      </c>
      <c r="U1444" s="1" t="s">
        <v>17</v>
      </c>
      <c r="V1444" s="1" t="s">
        <v>24</v>
      </c>
      <c r="W1444" s="1"/>
    </row>
    <row r="1445" spans="1:23" x14ac:dyDescent="0.2">
      <c r="A1445" s="88" t="s">
        <v>16754</v>
      </c>
      <c r="B1445" s="1" t="e">
        <v>#N/A</v>
      </c>
      <c r="C1445" s="1" t="e">
        <v>#N/A</v>
      </c>
      <c r="D1445" s="1" t="s">
        <v>3930</v>
      </c>
      <c r="E1445" s="1" t="s">
        <v>3931</v>
      </c>
      <c r="F1445" s="1" t="s">
        <v>9317</v>
      </c>
      <c r="G1445" s="1" t="s">
        <v>8957</v>
      </c>
      <c r="H1445" t="s">
        <v>8959</v>
      </c>
      <c r="I1445" s="1" t="s">
        <v>8948</v>
      </c>
      <c r="J1445" s="1" t="s">
        <v>9155</v>
      </c>
      <c r="K1445" s="1" t="s">
        <v>10525</v>
      </c>
      <c r="L1445" s="1" t="s">
        <v>9464</v>
      </c>
      <c r="M1445" s="1">
        <v>54540</v>
      </c>
      <c r="N1445" s="1" t="s">
        <v>8953</v>
      </c>
      <c r="O1445" s="1" t="s">
        <v>8989</v>
      </c>
      <c r="P1445" s="1" t="e">
        <v>#N/A</v>
      </c>
      <c r="Q1445" s="1" t="e">
        <v>#N/A</v>
      </c>
      <c r="R1445" s="1">
        <f t="shared" si="422"/>
        <v>8</v>
      </c>
      <c r="S1445" s="1" t="str">
        <f t="shared" si="423"/>
        <v>&gt;7</v>
      </c>
      <c r="T1445" s="1" t="s">
        <v>19347</v>
      </c>
      <c r="U1445" s="1" t="s">
        <v>7</v>
      </c>
      <c r="V1445" s="1" t="s">
        <v>64</v>
      </c>
      <c r="W1445" s="1"/>
    </row>
    <row r="1446" spans="1:23" x14ac:dyDescent="0.2">
      <c r="A1446" s="89" t="s">
        <v>3932</v>
      </c>
      <c r="B1446" s="1" t="e">
        <v>#N/A</v>
      </c>
      <c r="C1446" s="1" t="e">
        <v>#N/A</v>
      </c>
      <c r="D1446" s="5" t="s">
        <v>3933</v>
      </c>
      <c r="E1446" s="1" t="s">
        <v>3934</v>
      </c>
      <c r="F1446" s="1" t="e">
        <v>#N/A</v>
      </c>
      <c r="G1446" s="1" t="e">
        <v>#N/A</v>
      </c>
      <c r="H1446" t="e">
        <v>#N/A</v>
      </c>
      <c r="I1446" s="1" t="e">
        <v>#N/A</v>
      </c>
      <c r="J1446" s="1" t="e">
        <v>#N/A</v>
      </c>
      <c r="K1446" s="1" t="e">
        <v>#N/A</v>
      </c>
      <c r="L1446" s="1" t="e">
        <v>#N/A</v>
      </c>
      <c r="M1446" s="1" t="e">
        <v>#N/A</v>
      </c>
      <c r="N1446" s="1" t="e">
        <v>#N/A</v>
      </c>
      <c r="O1446" s="1" t="e">
        <v>#N/A</v>
      </c>
      <c r="P1446" s="1" t="e">
        <v>#N/A</v>
      </c>
      <c r="Q1446" s="1" t="e">
        <v>#N/A</v>
      </c>
      <c r="R1446" s="1">
        <f t="shared" si="422"/>
        <v>2</v>
      </c>
      <c r="S1446" s="1" t="str">
        <f t="shared" si="423"/>
        <v>&lt;4</v>
      </c>
      <c r="T1446" s="1" t="s">
        <v>19348</v>
      </c>
      <c r="U1446" s="1" t="s">
        <v>7</v>
      </c>
      <c r="V1446" s="1" t="s">
        <v>562</v>
      </c>
      <c r="W1446" s="1"/>
    </row>
    <row r="1447" spans="1:23" x14ac:dyDescent="0.2">
      <c r="A1447" s="89" t="s">
        <v>3935</v>
      </c>
      <c r="B1447" s="1" t="e">
        <v>#N/A</v>
      </c>
      <c r="C1447" s="1" t="e">
        <v>#N/A</v>
      </c>
      <c r="D1447" s="1" t="s">
        <v>3936</v>
      </c>
      <c r="E1447" s="1" t="s">
        <v>3937</v>
      </c>
      <c r="F1447" s="1" t="e">
        <v>#N/A</v>
      </c>
      <c r="G1447" s="1" t="e">
        <v>#N/A</v>
      </c>
      <c r="H1447" t="e">
        <v>#N/A</v>
      </c>
      <c r="I1447" s="1" t="e">
        <v>#N/A</v>
      </c>
      <c r="J1447" s="1" t="e">
        <v>#N/A</v>
      </c>
      <c r="K1447" s="1" t="e">
        <v>#N/A</v>
      </c>
      <c r="L1447" s="1" t="e">
        <v>#N/A</v>
      </c>
      <c r="M1447" s="1" t="e">
        <v>#N/A</v>
      </c>
      <c r="N1447" s="1" t="e">
        <v>#N/A</v>
      </c>
      <c r="O1447" s="1" t="e">
        <v>#N/A</v>
      </c>
      <c r="P1447" s="1" t="e">
        <v>#N/A</v>
      </c>
      <c r="Q1447" s="1" t="e">
        <v>#N/A</v>
      </c>
      <c r="R1447" s="1">
        <f t="shared" si="422"/>
        <v>4</v>
      </c>
      <c r="S1447" s="1" t="str">
        <f t="shared" si="423"/>
        <v>&lt;4</v>
      </c>
      <c r="T1447" s="1" t="s">
        <v>19349</v>
      </c>
      <c r="U1447" s="1" t="s">
        <v>7</v>
      </c>
      <c r="V1447" s="1" t="s">
        <v>562</v>
      </c>
      <c r="W1447" s="1"/>
    </row>
    <row r="1448" spans="1:23" x14ac:dyDescent="0.2">
      <c r="A1448" s="88" t="s">
        <v>16755</v>
      </c>
      <c r="B1448" s="1" t="e">
        <v>#N/A</v>
      </c>
      <c r="C1448" s="1" t="s">
        <v>14695</v>
      </c>
      <c r="D1448" s="1" t="s">
        <v>3938</v>
      </c>
      <c r="E1448" s="1" t="s">
        <v>3939</v>
      </c>
      <c r="F1448" s="1" t="s">
        <v>9317</v>
      </c>
      <c r="G1448" s="1" t="s">
        <v>8957</v>
      </c>
      <c r="H1448" t="s">
        <v>9183</v>
      </c>
      <c r="I1448" s="1" t="s">
        <v>8948</v>
      </c>
      <c r="J1448" s="1" t="s">
        <v>9308</v>
      </c>
      <c r="K1448" s="1" t="s">
        <v>9036</v>
      </c>
      <c r="L1448" s="1" t="s">
        <v>9133</v>
      </c>
      <c r="M1448" s="1">
        <v>1792</v>
      </c>
      <c r="N1448" s="1" t="s">
        <v>8953</v>
      </c>
      <c r="O1448" s="1" t="s">
        <v>8989</v>
      </c>
      <c r="P1448" s="1" t="s">
        <v>8955</v>
      </c>
      <c r="Q1448" s="1" t="s">
        <v>8956</v>
      </c>
      <c r="R1448" s="1" t="s">
        <v>8957</v>
      </c>
      <c r="S1448" s="1" t="s">
        <v>8958</v>
      </c>
      <c r="T1448" s="1" t="s">
        <v>3940</v>
      </c>
      <c r="U1448" s="1" t="s">
        <v>7</v>
      </c>
      <c r="V1448" s="1" t="s">
        <v>3941</v>
      </c>
      <c r="W1448" s="1"/>
    </row>
    <row r="1449" spans="1:23" x14ac:dyDescent="0.2">
      <c r="A1449" s="88" t="s">
        <v>16756</v>
      </c>
      <c r="B1449" s="1" t="e">
        <v>#N/A</v>
      </c>
      <c r="C1449" s="1" t="e">
        <v>#N/A</v>
      </c>
      <c r="D1449" s="1" t="s">
        <v>3942</v>
      </c>
      <c r="E1449" s="1" t="s">
        <v>3943</v>
      </c>
      <c r="F1449" s="1" t="s">
        <v>18502</v>
      </c>
      <c r="G1449" s="1" t="s">
        <v>8957</v>
      </c>
      <c r="H1449" t="s">
        <v>8959</v>
      </c>
      <c r="I1449" s="1" t="s">
        <v>9100</v>
      </c>
      <c r="J1449" s="1" t="s">
        <v>8998</v>
      </c>
      <c r="K1449" s="1" t="s">
        <v>18497</v>
      </c>
      <c r="L1449" s="1" t="s">
        <v>8951</v>
      </c>
      <c r="M1449" s="1">
        <v>4596</v>
      </c>
      <c r="N1449" s="1" t="s">
        <v>8953</v>
      </c>
      <c r="O1449" s="1" t="s">
        <v>8989</v>
      </c>
      <c r="P1449" s="1" t="e">
        <v>#N/A</v>
      </c>
      <c r="Q1449" s="1" t="e">
        <v>#N/A</v>
      </c>
      <c r="R1449" s="1">
        <f t="shared" ref="R1449:R1452" si="424">1+LEN(T1449)-LEN(SUBSTITUTE(T1449,",",))</f>
        <v>5</v>
      </c>
      <c r="S1449" s="1" t="str">
        <f t="shared" ref="S1449:S1452" si="425">IF(R1449&gt;4,IF(R1449&lt;8,"4-7",IF(R1449&gt;7,"&gt;7")),"&lt;4")</f>
        <v>4-7</v>
      </c>
      <c r="T1449" s="1" t="s">
        <v>19350</v>
      </c>
      <c r="U1449" s="1" t="s">
        <v>17</v>
      </c>
      <c r="V1449" s="1" t="s">
        <v>2121</v>
      </c>
      <c r="W1449" s="1"/>
    </row>
    <row r="1450" spans="1:23" x14ac:dyDescent="0.2">
      <c r="A1450" s="88" t="s">
        <v>16757</v>
      </c>
      <c r="B1450" s="1" t="e">
        <v>#N/A</v>
      </c>
      <c r="C1450" s="1" t="e">
        <v>#N/A</v>
      </c>
      <c r="D1450" s="1" t="s">
        <v>3944</v>
      </c>
      <c r="E1450" s="1" t="s">
        <v>3945</v>
      </c>
      <c r="F1450" s="1" t="s">
        <v>9310</v>
      </c>
      <c r="G1450" s="1" t="s">
        <v>8957</v>
      </c>
      <c r="H1450" t="s">
        <v>8959</v>
      </c>
      <c r="I1450" s="1" t="s">
        <v>9092</v>
      </c>
      <c r="J1450" s="1" t="s">
        <v>8971</v>
      </c>
      <c r="K1450" s="1" t="s">
        <v>21330</v>
      </c>
      <c r="L1450" s="1" t="s">
        <v>8973</v>
      </c>
      <c r="M1450" s="1">
        <v>1035</v>
      </c>
      <c r="N1450" s="1" t="s">
        <v>8953</v>
      </c>
      <c r="O1450" s="1" t="s">
        <v>8989</v>
      </c>
      <c r="P1450" s="1" t="e">
        <v>#N/A</v>
      </c>
      <c r="Q1450" s="1" t="e">
        <v>#N/A</v>
      </c>
      <c r="R1450" s="1">
        <f t="shared" si="424"/>
        <v>7</v>
      </c>
      <c r="S1450" s="1" t="str">
        <f t="shared" si="425"/>
        <v>4-7</v>
      </c>
      <c r="T1450" s="1" t="s">
        <v>19351</v>
      </c>
      <c r="U1450" s="1" t="s">
        <v>7</v>
      </c>
      <c r="V1450" s="1" t="s">
        <v>1598</v>
      </c>
      <c r="W1450" s="1"/>
    </row>
    <row r="1451" spans="1:23" x14ac:dyDescent="0.2">
      <c r="A1451" s="88" t="s">
        <v>16758</v>
      </c>
      <c r="B1451" s="1" t="e">
        <v>#N/A</v>
      </c>
      <c r="C1451" s="1" t="e">
        <v>#N/A</v>
      </c>
      <c r="D1451" s="1" t="s">
        <v>3946</v>
      </c>
      <c r="E1451" s="1" t="s">
        <v>3947</v>
      </c>
      <c r="F1451" s="1" t="s">
        <v>18502</v>
      </c>
      <c r="G1451" s="1" t="s">
        <v>8957</v>
      </c>
      <c r="H1451" t="s">
        <v>8959</v>
      </c>
      <c r="I1451" s="1" t="s">
        <v>9100</v>
      </c>
      <c r="J1451" s="1" t="s">
        <v>9155</v>
      </c>
      <c r="K1451" s="1" t="s">
        <v>21367</v>
      </c>
      <c r="L1451" s="1" t="s">
        <v>8987</v>
      </c>
      <c r="M1451" s="1">
        <f>2905+2235</f>
        <v>5140</v>
      </c>
      <c r="N1451" s="1" t="s">
        <v>8953</v>
      </c>
      <c r="O1451" s="1" t="s">
        <v>8954</v>
      </c>
      <c r="P1451" s="1" t="e">
        <v>#N/A</v>
      </c>
      <c r="Q1451" s="1" t="e">
        <v>#N/A</v>
      </c>
      <c r="R1451" s="1">
        <f t="shared" si="424"/>
        <v>24</v>
      </c>
      <c r="S1451" s="1" t="str">
        <f t="shared" si="425"/>
        <v>&gt;7</v>
      </c>
      <c r="T1451" s="1" t="s">
        <v>19352</v>
      </c>
      <c r="U1451" s="1" t="s">
        <v>7</v>
      </c>
      <c r="V1451" s="1" t="s">
        <v>938</v>
      </c>
      <c r="W1451" s="1"/>
    </row>
    <row r="1452" spans="1:23" x14ac:dyDescent="0.2">
      <c r="A1452" s="88" t="s">
        <v>16759</v>
      </c>
      <c r="B1452" s="1" t="e">
        <v>#N/A</v>
      </c>
      <c r="C1452" s="1" t="e">
        <v>#N/A</v>
      </c>
      <c r="D1452" s="1" t="s">
        <v>3948</v>
      </c>
      <c r="E1452" s="1" t="s">
        <v>3949</v>
      </c>
      <c r="F1452" s="1" t="s">
        <v>9317</v>
      </c>
      <c r="G1452" s="1" t="s">
        <v>8957</v>
      </c>
      <c r="H1452" t="s">
        <v>9061</v>
      </c>
      <c r="I1452" s="1" t="s">
        <v>9075</v>
      </c>
      <c r="J1452" s="1" t="s">
        <v>8998</v>
      </c>
      <c r="K1452" s="1" t="s">
        <v>20785</v>
      </c>
      <c r="L1452" s="1" t="s">
        <v>9464</v>
      </c>
      <c r="M1452" s="1">
        <v>33</v>
      </c>
      <c r="N1452" s="1" t="s">
        <v>9059</v>
      </c>
      <c r="O1452" s="1" t="s">
        <v>8989</v>
      </c>
      <c r="P1452" s="1" t="e">
        <v>#N/A</v>
      </c>
      <c r="Q1452" s="1" t="e">
        <v>#N/A</v>
      </c>
      <c r="R1452" s="1">
        <f t="shared" si="424"/>
        <v>10</v>
      </c>
      <c r="S1452" s="1" t="str">
        <f t="shared" si="425"/>
        <v>&gt;7</v>
      </c>
      <c r="T1452" s="1" t="s">
        <v>20626</v>
      </c>
      <c r="U1452" s="1" t="s">
        <v>17</v>
      </c>
      <c r="V1452" s="1" t="s">
        <v>378</v>
      </c>
      <c r="W1452" s="1"/>
    </row>
    <row r="1453" spans="1:23" x14ac:dyDescent="0.2">
      <c r="A1453" s="88" t="s">
        <v>16760</v>
      </c>
      <c r="B1453" s="1" t="e">
        <v>#N/A</v>
      </c>
      <c r="C1453" s="1" t="s">
        <v>12161</v>
      </c>
      <c r="D1453" s="1" t="s">
        <v>3950</v>
      </c>
      <c r="E1453" s="1" t="s">
        <v>3951</v>
      </c>
      <c r="F1453" s="1" t="s">
        <v>9650</v>
      </c>
      <c r="G1453" s="1" t="s">
        <v>8957</v>
      </c>
      <c r="H1453" t="s">
        <v>9183</v>
      </c>
      <c r="I1453" s="1" t="s">
        <v>8948</v>
      </c>
      <c r="J1453" s="1" t="s">
        <v>8949</v>
      </c>
      <c r="K1453" s="1" t="s">
        <v>9036</v>
      </c>
      <c r="L1453" s="1" t="s">
        <v>8973</v>
      </c>
      <c r="M1453" s="1">
        <v>134</v>
      </c>
      <c r="N1453" s="1" t="s">
        <v>9059</v>
      </c>
      <c r="O1453" s="1" t="s">
        <v>8954</v>
      </c>
      <c r="P1453" s="1" t="s">
        <v>8955</v>
      </c>
      <c r="Q1453" s="1" t="s">
        <v>8956</v>
      </c>
      <c r="R1453" s="1" t="s">
        <v>8957</v>
      </c>
      <c r="S1453" s="1" t="s">
        <v>8958</v>
      </c>
      <c r="T1453" s="1" t="s">
        <v>3952</v>
      </c>
      <c r="U1453" s="1" t="s">
        <v>11</v>
      </c>
      <c r="V1453" s="1" t="s">
        <v>126</v>
      </c>
      <c r="W1453" s="1"/>
    </row>
    <row r="1454" spans="1:23" x14ac:dyDescent="0.2">
      <c r="A1454" s="88" t="s">
        <v>16761</v>
      </c>
      <c r="B1454" s="1" t="e">
        <v>#N/A</v>
      </c>
      <c r="C1454" s="1" t="e">
        <v>#N/A</v>
      </c>
      <c r="D1454" s="1" t="s">
        <v>3953</v>
      </c>
      <c r="E1454" s="1" t="s">
        <v>3954</v>
      </c>
      <c r="F1454" s="1" t="s">
        <v>9317</v>
      </c>
      <c r="G1454" s="1" t="s">
        <v>8959</v>
      </c>
      <c r="H1454" t="s">
        <v>8959</v>
      </c>
      <c r="I1454" s="1" t="s">
        <v>20712</v>
      </c>
      <c r="J1454" s="1" t="s">
        <v>8949</v>
      </c>
      <c r="K1454" s="1" t="s">
        <v>21209</v>
      </c>
      <c r="L1454" s="1" t="s">
        <v>9076</v>
      </c>
      <c r="M1454" s="1">
        <f>1296+1116+1440</f>
        <v>3852</v>
      </c>
      <c r="N1454" s="1" t="s">
        <v>8953</v>
      </c>
      <c r="O1454" s="1" t="s">
        <v>8989</v>
      </c>
      <c r="P1454" s="1" t="e">
        <v>#N/A</v>
      </c>
      <c r="Q1454" s="1" t="e">
        <v>#N/A</v>
      </c>
      <c r="R1454" s="1">
        <f t="shared" ref="R1454:R1455" si="426">1+LEN(T1454)-LEN(SUBSTITUTE(T1454,",",))</f>
        <v>6</v>
      </c>
      <c r="S1454" s="1" t="str">
        <f t="shared" ref="S1454:S1455" si="427">IF(R1454&gt;4,IF(R1454&lt;8,"4-7",IF(R1454&gt;7,"&gt;7")),"&lt;4")</f>
        <v>4-7</v>
      </c>
      <c r="T1454" s="1" t="s">
        <v>19353</v>
      </c>
      <c r="U1454" s="1" t="s">
        <v>17</v>
      </c>
      <c r="V1454" s="1" t="s">
        <v>161</v>
      </c>
      <c r="W1454" s="1"/>
    </row>
    <row r="1455" spans="1:23" x14ac:dyDescent="0.2">
      <c r="A1455" s="88" t="s">
        <v>16762</v>
      </c>
      <c r="B1455" s="1" t="e">
        <v>#N/A</v>
      </c>
      <c r="C1455" s="1" t="e">
        <v>#N/A</v>
      </c>
      <c r="D1455" s="1" t="s">
        <v>3955</v>
      </c>
      <c r="E1455" s="1" t="s">
        <v>3956</v>
      </c>
      <c r="F1455" s="1" t="s">
        <v>10873</v>
      </c>
      <c r="G1455" s="1" t="s">
        <v>8957</v>
      </c>
      <c r="H1455" t="s">
        <v>9061</v>
      </c>
      <c r="I1455" s="1" t="s">
        <v>9154</v>
      </c>
      <c r="J1455" s="1" t="s">
        <v>8949</v>
      </c>
      <c r="K1455" s="1" t="s">
        <v>10492</v>
      </c>
      <c r="L1455" s="1" t="s">
        <v>9076</v>
      </c>
      <c r="M1455" s="1">
        <v>35</v>
      </c>
      <c r="N1455" s="1" t="s">
        <v>9059</v>
      </c>
      <c r="O1455" s="1" t="s">
        <v>8989</v>
      </c>
      <c r="P1455" s="1" t="e">
        <v>#N/A</v>
      </c>
      <c r="Q1455" s="1" t="e">
        <v>#N/A</v>
      </c>
      <c r="R1455" s="1">
        <f t="shared" si="426"/>
        <v>11</v>
      </c>
      <c r="S1455" s="1" t="str">
        <f t="shared" si="427"/>
        <v>&gt;7</v>
      </c>
      <c r="T1455" s="1" t="s">
        <v>19354</v>
      </c>
      <c r="U1455" s="1" t="s">
        <v>7</v>
      </c>
      <c r="V1455" s="1" t="s">
        <v>24</v>
      </c>
      <c r="W1455" s="1"/>
    </row>
    <row r="1456" spans="1:23" x14ac:dyDescent="0.2">
      <c r="A1456" s="88" t="s">
        <v>16763</v>
      </c>
      <c r="B1456" s="1" t="e">
        <v>#N/A</v>
      </c>
      <c r="C1456" s="1" t="s">
        <v>11842</v>
      </c>
      <c r="D1456" s="1" t="s">
        <v>3957</v>
      </c>
      <c r="E1456" s="1" t="s">
        <v>3958</v>
      </c>
      <c r="F1456" s="1" t="s">
        <v>9317</v>
      </c>
      <c r="G1456" s="1" t="s">
        <v>8957</v>
      </c>
      <c r="H1456" t="s">
        <v>9183</v>
      </c>
      <c r="I1456" s="1" t="s">
        <v>9605</v>
      </c>
      <c r="J1456" s="1" t="s">
        <v>8949</v>
      </c>
      <c r="K1456" s="1" t="s">
        <v>9036</v>
      </c>
      <c r="L1456" s="1" t="s">
        <v>9133</v>
      </c>
      <c r="M1456" s="1">
        <v>250</v>
      </c>
      <c r="N1456" s="1" t="s">
        <v>9059</v>
      </c>
      <c r="O1456" s="1" t="s">
        <v>8954</v>
      </c>
      <c r="P1456" s="1" t="s">
        <v>8955</v>
      </c>
      <c r="Q1456" s="1" t="s">
        <v>8956</v>
      </c>
      <c r="R1456" s="1" t="s">
        <v>8957</v>
      </c>
      <c r="S1456" s="1" t="s">
        <v>8975</v>
      </c>
      <c r="T1456" s="1" t="s">
        <v>3959</v>
      </c>
      <c r="U1456" s="1" t="s">
        <v>11</v>
      </c>
      <c r="V1456" s="1" t="s">
        <v>21</v>
      </c>
      <c r="W1456" s="1"/>
    </row>
    <row r="1457" spans="1:23" x14ac:dyDescent="0.2">
      <c r="A1457" s="89" t="s">
        <v>3960</v>
      </c>
      <c r="B1457" s="1" t="e">
        <v>#N/A</v>
      </c>
      <c r="C1457" s="1" t="e">
        <v>#N/A</v>
      </c>
      <c r="D1457" s="1" t="s">
        <v>3961</v>
      </c>
      <c r="E1457" s="1" t="s">
        <v>3962</v>
      </c>
      <c r="F1457" s="1" t="e">
        <v>#N/A</v>
      </c>
      <c r="G1457" s="1" t="e">
        <v>#N/A</v>
      </c>
      <c r="H1457" t="e">
        <v>#N/A</v>
      </c>
      <c r="I1457" s="1" t="e">
        <v>#N/A</v>
      </c>
      <c r="J1457" s="1" t="e">
        <v>#N/A</v>
      </c>
      <c r="K1457" s="1" t="e">
        <v>#N/A</v>
      </c>
      <c r="L1457" s="1" t="e">
        <v>#N/A</v>
      </c>
      <c r="M1457" s="1" t="e">
        <v>#N/A</v>
      </c>
      <c r="N1457" s="1" t="e">
        <v>#N/A</v>
      </c>
      <c r="O1457" s="1" t="e">
        <v>#N/A</v>
      </c>
      <c r="P1457" s="1" t="e">
        <v>#N/A</v>
      </c>
      <c r="Q1457" s="1" t="e">
        <v>#N/A</v>
      </c>
      <c r="R1457" s="1">
        <f t="shared" ref="R1457:R1458" si="428">1+LEN(T1457)-LEN(SUBSTITUTE(T1457,",",))</f>
        <v>1</v>
      </c>
      <c r="S1457" s="1" t="str">
        <f t="shared" ref="S1457:S1458" si="429">IF(R1457&gt;4,IF(R1457&lt;8,"4-7",IF(R1457&gt;7,"&gt;7")),"&lt;4")</f>
        <v>&lt;4</v>
      </c>
      <c r="T1457" s="1" t="s">
        <v>3963</v>
      </c>
      <c r="U1457" s="1" t="s">
        <v>7</v>
      </c>
      <c r="V1457" s="1" t="s">
        <v>1726</v>
      </c>
      <c r="W1457" s="1"/>
    </row>
    <row r="1458" spans="1:23" x14ac:dyDescent="0.2">
      <c r="A1458" s="88" t="s">
        <v>16764</v>
      </c>
      <c r="B1458" s="1" t="e">
        <v>#N/A</v>
      </c>
      <c r="C1458" s="1" t="e">
        <v>#N/A</v>
      </c>
      <c r="D1458" s="1" t="s">
        <v>3964</v>
      </c>
      <c r="E1458" s="1" t="s">
        <v>3965</v>
      </c>
      <c r="F1458" s="1" t="s">
        <v>9333</v>
      </c>
      <c r="G1458" s="1" t="s">
        <v>8957</v>
      </c>
      <c r="H1458" t="s">
        <v>9009</v>
      </c>
      <c r="I1458" s="1" t="s">
        <v>9154</v>
      </c>
      <c r="J1458" s="1" t="s">
        <v>11607</v>
      </c>
      <c r="K1458" s="1" t="s">
        <v>21368</v>
      </c>
      <c r="L1458" s="1" t="s">
        <v>8951</v>
      </c>
      <c r="M1458" s="1">
        <v>400</v>
      </c>
      <c r="N1458" s="1" t="s">
        <v>9059</v>
      </c>
      <c r="O1458" s="1" t="s">
        <v>8989</v>
      </c>
      <c r="P1458" s="1" t="e">
        <v>#N/A</v>
      </c>
      <c r="Q1458" s="1" t="e">
        <v>#N/A</v>
      </c>
      <c r="R1458" s="1">
        <f t="shared" si="428"/>
        <v>7</v>
      </c>
      <c r="S1458" s="1" t="str">
        <f t="shared" si="429"/>
        <v>4-7</v>
      </c>
      <c r="T1458" s="1" t="s">
        <v>19355</v>
      </c>
      <c r="U1458" s="1" t="s">
        <v>7</v>
      </c>
      <c r="V1458" s="1" t="s">
        <v>652</v>
      </c>
      <c r="W1458" s="1"/>
    </row>
    <row r="1459" spans="1:23" x14ac:dyDescent="0.2">
      <c r="A1459" s="89" t="s">
        <v>3966</v>
      </c>
      <c r="B1459" s="1" t="e">
        <v>#N/A</v>
      </c>
      <c r="C1459" s="1" t="s">
        <v>9485</v>
      </c>
      <c r="D1459" s="1" t="s">
        <v>3967</v>
      </c>
      <c r="E1459" s="1" t="s">
        <v>3968</v>
      </c>
      <c r="F1459" s="1" t="s">
        <v>9010</v>
      </c>
      <c r="G1459" s="1" t="s">
        <v>8957</v>
      </c>
      <c r="H1459" t="s">
        <v>9009</v>
      </c>
      <c r="I1459" s="1" t="s">
        <v>9154</v>
      </c>
      <c r="J1459" s="1" t="s">
        <v>8971</v>
      </c>
      <c r="K1459" s="1" t="s">
        <v>8972</v>
      </c>
      <c r="L1459" s="1" t="s">
        <v>9133</v>
      </c>
      <c r="M1459" s="1">
        <v>800000</v>
      </c>
      <c r="N1459" s="1" t="s">
        <v>8953</v>
      </c>
      <c r="O1459" s="1" t="s">
        <v>8954</v>
      </c>
      <c r="P1459" s="1" t="s">
        <v>8955</v>
      </c>
      <c r="Q1459" s="1" t="s">
        <v>8990</v>
      </c>
      <c r="R1459" s="1" t="s">
        <v>8957</v>
      </c>
      <c r="S1459" s="1" t="s">
        <v>8958</v>
      </c>
      <c r="T1459" s="1" t="s">
        <v>3969</v>
      </c>
      <c r="U1459" s="1" t="s">
        <v>17</v>
      </c>
      <c r="V1459" s="1" t="s">
        <v>3970</v>
      </c>
      <c r="W1459" s="1"/>
    </row>
    <row r="1460" spans="1:23" x14ac:dyDescent="0.2">
      <c r="A1460" s="88" t="s">
        <v>16765</v>
      </c>
      <c r="B1460" s="1" t="e">
        <v>#N/A</v>
      </c>
      <c r="C1460" s="1" t="e">
        <v>#N/A</v>
      </c>
      <c r="D1460" s="1" t="s">
        <v>3971</v>
      </c>
      <c r="E1460" s="1" t="s">
        <v>3972</v>
      </c>
      <c r="F1460" s="1" t="s">
        <v>9333</v>
      </c>
      <c r="G1460" s="1" t="s">
        <v>8959</v>
      </c>
      <c r="H1460" t="s">
        <v>9061</v>
      </c>
      <c r="I1460" s="1" t="s">
        <v>8948</v>
      </c>
      <c r="J1460" s="1" t="s">
        <v>9308</v>
      </c>
      <c r="K1460" s="1" t="s">
        <v>21252</v>
      </c>
      <c r="L1460" s="1" t="s">
        <v>20856</v>
      </c>
      <c r="M1460" s="1">
        <v>550</v>
      </c>
      <c r="N1460" s="1" t="s">
        <v>8953</v>
      </c>
      <c r="O1460" s="1" t="s">
        <v>8989</v>
      </c>
      <c r="P1460" s="1" t="e">
        <v>#N/A</v>
      </c>
      <c r="Q1460" s="1" t="e">
        <v>#N/A</v>
      </c>
      <c r="R1460" s="1">
        <f t="shared" ref="R1460:R1467" si="430">1+LEN(T1460)-LEN(SUBSTITUTE(T1460,",",))</f>
        <v>7</v>
      </c>
      <c r="S1460" s="1" t="str">
        <f t="shared" ref="S1460:S1467" si="431">IF(R1460&gt;4,IF(R1460&lt;8,"4-7",IF(R1460&gt;7,"&gt;7")),"&lt;4")</f>
        <v>4-7</v>
      </c>
      <c r="T1460" s="1" t="s">
        <v>19356</v>
      </c>
      <c r="U1460" s="1" t="s">
        <v>7</v>
      </c>
      <c r="V1460" s="1" t="s">
        <v>413</v>
      </c>
      <c r="W1460" s="1"/>
    </row>
    <row r="1461" spans="1:23" x14ac:dyDescent="0.2">
      <c r="A1461" s="89" t="s">
        <v>16766</v>
      </c>
      <c r="B1461" s="1" t="e">
        <v>#N/A</v>
      </c>
      <c r="C1461" s="1" t="e">
        <v>#N/A</v>
      </c>
      <c r="D1461" s="1" t="s">
        <v>3973</v>
      </c>
      <c r="E1461" s="1" t="s">
        <v>3974</v>
      </c>
      <c r="F1461" s="1" t="e">
        <v>#N/A</v>
      </c>
      <c r="G1461" s="1" t="e">
        <v>#N/A</v>
      </c>
      <c r="H1461" t="e">
        <v>#N/A</v>
      </c>
      <c r="I1461" s="1" t="e">
        <v>#N/A</v>
      </c>
      <c r="J1461" s="1" t="e">
        <v>#N/A</v>
      </c>
      <c r="K1461" s="1" t="e">
        <v>#N/A</v>
      </c>
      <c r="L1461" s="1" t="e">
        <v>#N/A</v>
      </c>
      <c r="M1461" s="1" t="e">
        <v>#N/A</v>
      </c>
      <c r="N1461" s="1" t="e">
        <v>#N/A</v>
      </c>
      <c r="O1461" s="1" t="e">
        <v>#N/A</v>
      </c>
      <c r="P1461" s="1" t="e">
        <v>#N/A</v>
      </c>
      <c r="Q1461" s="1" t="e">
        <v>#N/A</v>
      </c>
      <c r="R1461" s="1">
        <f t="shared" si="430"/>
        <v>8</v>
      </c>
      <c r="S1461" s="1" t="str">
        <f t="shared" si="431"/>
        <v>&gt;7</v>
      </c>
      <c r="T1461" s="1" t="s">
        <v>19357</v>
      </c>
      <c r="U1461" s="1" t="s">
        <v>7</v>
      </c>
      <c r="V1461" s="1" t="s">
        <v>3975</v>
      </c>
      <c r="W1461" s="1"/>
    </row>
    <row r="1462" spans="1:23" x14ac:dyDescent="0.2">
      <c r="A1462" s="88" t="s">
        <v>16767</v>
      </c>
      <c r="B1462" s="1" t="e">
        <v>#N/A</v>
      </c>
      <c r="C1462" s="1" t="e">
        <v>#N/A</v>
      </c>
      <c r="D1462" s="1" t="s">
        <v>3976</v>
      </c>
      <c r="E1462" s="1" t="s">
        <v>3977</v>
      </c>
      <c r="F1462" s="1" t="s">
        <v>9333</v>
      </c>
      <c r="G1462" s="1" t="s">
        <v>8957</v>
      </c>
      <c r="H1462" t="s">
        <v>9009</v>
      </c>
      <c r="I1462" s="1" t="s">
        <v>8984</v>
      </c>
      <c r="J1462" s="1" t="s">
        <v>9155</v>
      </c>
      <c r="K1462" s="1" t="s">
        <v>18497</v>
      </c>
      <c r="L1462" s="1" t="s">
        <v>9133</v>
      </c>
      <c r="M1462" s="1">
        <v>508160</v>
      </c>
      <c r="N1462" s="1" t="s">
        <v>8953</v>
      </c>
      <c r="O1462" s="1" t="s">
        <v>8989</v>
      </c>
      <c r="P1462" s="1" t="e">
        <v>#N/A</v>
      </c>
      <c r="Q1462" s="1" t="e">
        <v>#N/A</v>
      </c>
      <c r="R1462" s="1">
        <f t="shared" si="430"/>
        <v>14</v>
      </c>
      <c r="S1462" s="1" t="str">
        <f t="shared" si="431"/>
        <v>&gt;7</v>
      </c>
      <c r="T1462" s="1" t="s">
        <v>19358</v>
      </c>
      <c r="U1462" s="1" t="s">
        <v>17</v>
      </c>
      <c r="V1462" s="1" t="s">
        <v>3978</v>
      </c>
      <c r="W1462" s="1"/>
    </row>
    <row r="1463" spans="1:23" x14ac:dyDescent="0.2">
      <c r="A1463" s="88" t="s">
        <v>16768</v>
      </c>
      <c r="B1463" s="1" t="e">
        <v>#N/A</v>
      </c>
      <c r="C1463" s="1" t="e">
        <v>#N/A</v>
      </c>
      <c r="D1463" s="1" t="s">
        <v>3979</v>
      </c>
      <c r="E1463" s="1" t="s">
        <v>3980</v>
      </c>
      <c r="F1463" s="1" t="e">
        <v>#N/A</v>
      </c>
      <c r="G1463" s="1" t="e">
        <v>#N/A</v>
      </c>
      <c r="H1463" t="e">
        <v>#N/A</v>
      </c>
      <c r="I1463" s="1" t="e">
        <v>#N/A</v>
      </c>
      <c r="J1463" s="1" t="e">
        <v>#N/A</v>
      </c>
      <c r="K1463" s="1" t="e">
        <v>#N/A</v>
      </c>
      <c r="L1463" s="1" t="e">
        <v>#N/A</v>
      </c>
      <c r="M1463" s="1" t="e">
        <v>#N/A</v>
      </c>
      <c r="N1463" s="1" t="e">
        <v>#N/A</v>
      </c>
      <c r="O1463" s="1" t="e">
        <v>#N/A</v>
      </c>
      <c r="P1463" s="1" t="e">
        <v>#N/A</v>
      </c>
      <c r="Q1463" s="1" t="e">
        <v>#N/A</v>
      </c>
      <c r="R1463" s="1">
        <f t="shared" si="430"/>
        <v>10</v>
      </c>
      <c r="S1463" s="1" t="str">
        <f t="shared" si="431"/>
        <v>&gt;7</v>
      </c>
      <c r="T1463" s="1" t="s">
        <v>19359</v>
      </c>
      <c r="U1463" s="1" t="s">
        <v>252</v>
      </c>
      <c r="V1463" s="1" t="s">
        <v>2895</v>
      </c>
      <c r="W1463" s="1"/>
    </row>
    <row r="1464" spans="1:23" x14ac:dyDescent="0.2">
      <c r="A1464" s="88" t="s">
        <v>16769</v>
      </c>
      <c r="B1464" s="1" t="e">
        <v>#N/A</v>
      </c>
      <c r="C1464" s="1" t="e">
        <v>#N/A</v>
      </c>
      <c r="D1464" s="1" t="s">
        <v>3981</v>
      </c>
      <c r="E1464" s="1" t="s">
        <v>3982</v>
      </c>
      <c r="F1464" s="1" t="s">
        <v>9310</v>
      </c>
      <c r="G1464" s="1" t="s">
        <v>8957</v>
      </c>
      <c r="H1464" t="s">
        <v>8959</v>
      </c>
      <c r="I1464" s="1" t="s">
        <v>8948</v>
      </c>
      <c r="J1464" s="1" t="s">
        <v>8998</v>
      </c>
      <c r="K1464" s="1" t="s">
        <v>21311</v>
      </c>
      <c r="L1464" s="1" t="s">
        <v>8951</v>
      </c>
      <c r="M1464" s="1">
        <v>102</v>
      </c>
      <c r="N1464" s="1" t="s">
        <v>9059</v>
      </c>
      <c r="O1464" s="1" t="s">
        <v>8989</v>
      </c>
      <c r="P1464" s="1" t="e">
        <v>#N/A</v>
      </c>
      <c r="Q1464" s="1" t="e">
        <v>#N/A</v>
      </c>
      <c r="R1464" s="1">
        <f t="shared" si="430"/>
        <v>8</v>
      </c>
      <c r="S1464" s="1" t="str">
        <f t="shared" si="431"/>
        <v>&gt;7</v>
      </c>
      <c r="T1464" s="1" t="s">
        <v>19360</v>
      </c>
      <c r="U1464" s="1" t="s">
        <v>7</v>
      </c>
      <c r="V1464" s="1" t="s">
        <v>24</v>
      </c>
      <c r="W1464" s="1"/>
    </row>
    <row r="1465" spans="1:23" x14ac:dyDescent="0.2">
      <c r="A1465" s="89" t="s">
        <v>3983</v>
      </c>
      <c r="B1465" s="1" t="e">
        <v>#N/A</v>
      </c>
      <c r="C1465" s="1" t="e">
        <v>#N/A</v>
      </c>
      <c r="D1465" s="1" t="s">
        <v>3984</v>
      </c>
      <c r="E1465" s="1" t="s">
        <v>3985</v>
      </c>
      <c r="F1465" s="1" t="e">
        <v>#N/A</v>
      </c>
      <c r="G1465" s="1" t="e">
        <v>#N/A</v>
      </c>
      <c r="H1465" t="e">
        <v>#N/A</v>
      </c>
      <c r="I1465" s="1" t="e">
        <v>#N/A</v>
      </c>
      <c r="J1465" s="1" t="e">
        <v>#N/A</v>
      </c>
      <c r="K1465" s="1" t="e">
        <v>#N/A</v>
      </c>
      <c r="L1465" s="1" t="e">
        <v>#N/A</v>
      </c>
      <c r="M1465" s="1" t="e">
        <v>#N/A</v>
      </c>
      <c r="N1465" s="1" t="e">
        <v>#N/A</v>
      </c>
      <c r="O1465" s="1" t="e">
        <v>#N/A</v>
      </c>
      <c r="P1465" s="1" t="e">
        <v>#N/A</v>
      </c>
      <c r="Q1465" s="1" t="e">
        <v>#N/A</v>
      </c>
      <c r="R1465" s="1">
        <f t="shared" si="430"/>
        <v>2</v>
      </c>
      <c r="S1465" s="1" t="str">
        <f t="shared" si="431"/>
        <v>&lt;4</v>
      </c>
      <c r="T1465" s="1" t="s">
        <v>19361</v>
      </c>
      <c r="U1465" s="1" t="s">
        <v>17</v>
      </c>
      <c r="V1465" s="1" t="s">
        <v>656</v>
      </c>
      <c r="W1465" s="1"/>
    </row>
    <row r="1466" spans="1:23" x14ac:dyDescent="0.2">
      <c r="A1466" s="88" t="s">
        <v>16770</v>
      </c>
      <c r="B1466" s="1" t="e">
        <v>#N/A</v>
      </c>
      <c r="C1466" s="1" t="e">
        <v>#N/A</v>
      </c>
      <c r="D1466" s="1" t="s">
        <v>3986</v>
      </c>
      <c r="E1466" s="1" t="s">
        <v>3987</v>
      </c>
      <c r="F1466" s="1" t="s">
        <v>10687</v>
      </c>
      <c r="G1466" s="1" t="s">
        <v>8957</v>
      </c>
      <c r="H1466" t="s">
        <v>8959</v>
      </c>
      <c r="I1466" s="1" t="s">
        <v>8948</v>
      </c>
      <c r="J1466" s="1" t="s">
        <v>8959</v>
      </c>
      <c r="K1466" s="1" t="s">
        <v>20779</v>
      </c>
      <c r="L1466" s="1" t="s">
        <v>9464</v>
      </c>
      <c r="M1466" s="1">
        <v>40</v>
      </c>
      <c r="N1466" s="1" t="s">
        <v>9059</v>
      </c>
      <c r="O1466" s="1" t="s">
        <v>8989</v>
      </c>
      <c r="P1466" s="1" t="e">
        <v>#N/A</v>
      </c>
      <c r="Q1466" s="1" t="e">
        <v>#N/A</v>
      </c>
      <c r="R1466" s="1">
        <f t="shared" si="430"/>
        <v>4</v>
      </c>
      <c r="S1466" s="1" t="str">
        <f t="shared" si="431"/>
        <v>&lt;4</v>
      </c>
      <c r="T1466" s="1" t="s">
        <v>19362</v>
      </c>
      <c r="U1466" s="1" t="s">
        <v>17</v>
      </c>
      <c r="V1466" s="1" t="s">
        <v>46</v>
      </c>
      <c r="W1466" s="1"/>
    </row>
    <row r="1467" spans="1:23" x14ac:dyDescent="0.2">
      <c r="A1467" s="88" t="s">
        <v>16771</v>
      </c>
      <c r="B1467" s="1" t="e">
        <v>#N/A</v>
      </c>
      <c r="C1467" s="1" t="e">
        <v>#N/A</v>
      </c>
      <c r="D1467" s="1" t="s">
        <v>3988</v>
      </c>
      <c r="E1467" s="1" t="s">
        <v>3989</v>
      </c>
      <c r="F1467" s="1" t="s">
        <v>9213</v>
      </c>
      <c r="G1467" s="1" t="s">
        <v>8957</v>
      </c>
      <c r="H1467" t="s">
        <v>8959</v>
      </c>
      <c r="I1467" s="1" t="s">
        <v>8984</v>
      </c>
      <c r="J1467" s="1" t="s">
        <v>9308</v>
      </c>
      <c r="K1467" s="1" t="s">
        <v>18497</v>
      </c>
      <c r="L1467" s="1" t="s">
        <v>8951</v>
      </c>
      <c r="M1467" s="1">
        <f>9935+1449</f>
        <v>11384</v>
      </c>
      <c r="N1467" s="1" t="s">
        <v>8953</v>
      </c>
      <c r="O1467" s="1" t="s">
        <v>8954</v>
      </c>
      <c r="P1467" s="1" t="e">
        <v>#N/A</v>
      </c>
      <c r="Q1467" s="1" t="e">
        <v>#N/A</v>
      </c>
      <c r="R1467" s="1">
        <f t="shared" si="430"/>
        <v>8</v>
      </c>
      <c r="S1467" s="1" t="str">
        <f t="shared" si="431"/>
        <v>&gt;7</v>
      </c>
      <c r="T1467" s="1" t="s">
        <v>19363</v>
      </c>
      <c r="U1467" s="1" t="s">
        <v>7</v>
      </c>
      <c r="V1467" s="1" t="s">
        <v>24</v>
      </c>
      <c r="W1467" s="1"/>
    </row>
    <row r="1468" spans="1:23" x14ac:dyDescent="0.2">
      <c r="A1468" s="88" t="s">
        <v>16772</v>
      </c>
      <c r="B1468" s="1" t="e">
        <v>#N/A</v>
      </c>
      <c r="C1468" s="1" t="s">
        <v>10676</v>
      </c>
      <c r="D1468" s="1" t="s">
        <v>3990</v>
      </c>
      <c r="E1468" s="1" t="s">
        <v>3991</v>
      </c>
      <c r="F1468" s="1" t="s">
        <v>9213</v>
      </c>
      <c r="G1468" s="1" t="s">
        <v>8959</v>
      </c>
      <c r="H1468" t="s">
        <v>9009</v>
      </c>
      <c r="I1468" s="1" t="s">
        <v>9154</v>
      </c>
      <c r="J1468" s="1" t="s">
        <v>8971</v>
      </c>
      <c r="K1468" s="1" t="s">
        <v>9102</v>
      </c>
      <c r="L1468" s="1" t="s">
        <v>9157</v>
      </c>
      <c r="M1468" s="1">
        <v>25776</v>
      </c>
      <c r="N1468" s="1" t="s">
        <v>8953</v>
      </c>
      <c r="O1468" s="1" t="s">
        <v>8954</v>
      </c>
      <c r="P1468" s="1" t="s">
        <v>8955</v>
      </c>
      <c r="Q1468" s="1" t="s">
        <v>8956</v>
      </c>
      <c r="R1468" s="1" t="s">
        <v>8959</v>
      </c>
      <c r="S1468" s="1" t="s">
        <v>8958</v>
      </c>
      <c r="T1468" s="1" t="s">
        <v>3992</v>
      </c>
      <c r="U1468" s="1" t="s">
        <v>17</v>
      </c>
      <c r="V1468" s="1" t="s">
        <v>2232</v>
      </c>
      <c r="W1468" s="1"/>
    </row>
    <row r="1469" spans="1:23" x14ac:dyDescent="0.2">
      <c r="A1469" s="88" t="s">
        <v>16773</v>
      </c>
      <c r="B1469" s="1" t="e">
        <v>#N/A</v>
      </c>
      <c r="C1469" s="1" t="e">
        <v>#N/A</v>
      </c>
      <c r="D1469" s="1" t="s">
        <v>3993</v>
      </c>
      <c r="E1469" s="1" t="s">
        <v>3994</v>
      </c>
      <c r="F1469" s="1" t="s">
        <v>9213</v>
      </c>
      <c r="G1469" s="1" t="s">
        <v>8957</v>
      </c>
      <c r="H1469" t="s">
        <v>9061</v>
      </c>
      <c r="I1469" s="1" t="s">
        <v>8948</v>
      </c>
      <c r="J1469" s="1" t="s">
        <v>9308</v>
      </c>
      <c r="K1469" s="1" t="s">
        <v>20841</v>
      </c>
      <c r="L1469" s="1" t="s">
        <v>9133</v>
      </c>
      <c r="M1469" s="1">
        <v>1282</v>
      </c>
      <c r="N1469" s="1" t="s">
        <v>8953</v>
      </c>
      <c r="O1469" s="1" t="s">
        <v>8989</v>
      </c>
      <c r="P1469" s="1" t="e">
        <v>#N/A</v>
      </c>
      <c r="Q1469" s="1" t="e">
        <v>#N/A</v>
      </c>
      <c r="R1469" s="1">
        <f>1+LEN(T1469)-LEN(SUBSTITUTE(T1469,",",))</f>
        <v>9</v>
      </c>
      <c r="S1469" s="1" t="str">
        <f>IF(R1469&gt;4,IF(R1469&lt;8,"4-7",IF(R1469&gt;7,"&gt;7")),"&lt;4")</f>
        <v>&gt;7</v>
      </c>
      <c r="T1469" s="1" t="s">
        <v>19364</v>
      </c>
      <c r="U1469" s="1" t="s">
        <v>7</v>
      </c>
      <c r="V1469" s="1" t="s">
        <v>2895</v>
      </c>
      <c r="W1469" s="1"/>
    </row>
    <row r="1470" spans="1:23" x14ac:dyDescent="0.2">
      <c r="A1470" s="88" t="s">
        <v>16774</v>
      </c>
      <c r="B1470" s="1" t="e">
        <v>#N/A</v>
      </c>
      <c r="C1470" s="1" t="s">
        <v>13028</v>
      </c>
      <c r="D1470" s="1" t="s">
        <v>3995</v>
      </c>
      <c r="E1470" s="1" t="s">
        <v>3996</v>
      </c>
      <c r="F1470" s="1" t="s">
        <v>9465</v>
      </c>
      <c r="G1470" s="1" t="s">
        <v>8959</v>
      </c>
      <c r="H1470" t="s">
        <v>9061</v>
      </c>
      <c r="I1470" s="1" t="s">
        <v>8948</v>
      </c>
      <c r="J1470" s="1" t="s">
        <v>8949</v>
      </c>
      <c r="K1470" s="1" t="s">
        <v>9436</v>
      </c>
      <c r="L1470" s="1" t="s">
        <v>8951</v>
      </c>
      <c r="M1470" s="1">
        <v>30000</v>
      </c>
      <c r="N1470" s="1" t="s">
        <v>8953</v>
      </c>
      <c r="O1470" s="1" t="s">
        <v>8954</v>
      </c>
      <c r="P1470" s="1" t="s">
        <v>8955</v>
      </c>
      <c r="Q1470" s="1" t="s">
        <v>8956</v>
      </c>
      <c r="R1470" s="1" t="s">
        <v>8959</v>
      </c>
      <c r="S1470" s="1" t="s">
        <v>9103</v>
      </c>
      <c r="U1470" s="1" t="s">
        <v>11</v>
      </c>
      <c r="V1470" s="1" t="s">
        <v>161</v>
      </c>
      <c r="W1470" s="1"/>
    </row>
    <row r="1471" spans="1:23" x14ac:dyDescent="0.2">
      <c r="A1471" s="89" t="s">
        <v>16775</v>
      </c>
      <c r="B1471" s="1" t="e">
        <v>#N/A</v>
      </c>
      <c r="C1471" s="1" t="e">
        <v>#N/A</v>
      </c>
      <c r="D1471" s="1" t="s">
        <v>15480</v>
      </c>
      <c r="E1471" s="1" t="s">
        <v>3997</v>
      </c>
      <c r="F1471" s="1" t="e">
        <v>#N/A</v>
      </c>
      <c r="G1471" s="1" t="e">
        <v>#N/A</v>
      </c>
      <c r="H1471" t="e">
        <v>#N/A</v>
      </c>
      <c r="I1471" s="1" t="e">
        <v>#N/A</v>
      </c>
      <c r="J1471" s="1" t="e">
        <v>#N/A</v>
      </c>
      <c r="K1471" s="1" t="e">
        <v>#N/A</v>
      </c>
      <c r="L1471" s="1" t="e">
        <v>#N/A</v>
      </c>
      <c r="M1471" s="1" t="e">
        <v>#N/A</v>
      </c>
      <c r="N1471" s="1" t="e">
        <v>#N/A</v>
      </c>
      <c r="O1471" s="1" t="e">
        <v>#N/A</v>
      </c>
      <c r="P1471" s="1" t="e">
        <v>#N/A</v>
      </c>
      <c r="Q1471" s="1" t="e">
        <v>#N/A</v>
      </c>
      <c r="R1471" s="1">
        <f t="shared" ref="R1471:R1473" si="432">1+LEN(T1471)-LEN(SUBSTITUTE(T1471,",",))</f>
        <v>1</v>
      </c>
      <c r="S1471" s="1" t="str">
        <f t="shared" ref="S1471:S1473" si="433">IF(R1471&gt;4,IF(R1471&lt;8,"4-7",IF(R1471&gt;7,"&gt;7")),"&lt;4")</f>
        <v>&lt;4</v>
      </c>
      <c r="U1471" s="1" t="s">
        <v>11</v>
      </c>
      <c r="V1471" s="1" t="s">
        <v>752</v>
      </c>
      <c r="W1471" s="1"/>
    </row>
    <row r="1472" spans="1:23" x14ac:dyDescent="0.2">
      <c r="A1472" s="88" t="s">
        <v>16776</v>
      </c>
      <c r="B1472" s="1" t="e">
        <v>#N/A</v>
      </c>
      <c r="C1472" s="1" t="e">
        <v>#N/A</v>
      </c>
      <c r="D1472" s="1" t="s">
        <v>3998</v>
      </c>
      <c r="E1472" s="1" t="s">
        <v>3999</v>
      </c>
      <c r="F1472" s="1" t="s">
        <v>18502</v>
      </c>
      <c r="G1472" s="1" t="s">
        <v>8959</v>
      </c>
      <c r="H1472" t="s">
        <v>8959</v>
      </c>
      <c r="I1472" s="1" t="s">
        <v>20712</v>
      </c>
      <c r="J1472" s="1" t="s">
        <v>8949</v>
      </c>
      <c r="K1472" s="1" t="s">
        <v>20838</v>
      </c>
      <c r="L1472" s="1" t="s">
        <v>8951</v>
      </c>
      <c r="M1472" s="1">
        <v>700</v>
      </c>
      <c r="N1472" s="1" t="s">
        <v>20806</v>
      </c>
      <c r="O1472" s="1" t="s">
        <v>8989</v>
      </c>
      <c r="P1472" s="1" t="e">
        <v>#N/A</v>
      </c>
      <c r="Q1472" s="1" t="e">
        <v>#N/A</v>
      </c>
      <c r="R1472" s="1">
        <f t="shared" si="432"/>
        <v>3</v>
      </c>
      <c r="S1472" s="1" t="str">
        <f t="shared" si="433"/>
        <v>&lt;4</v>
      </c>
      <c r="T1472" s="1" t="s">
        <v>20627</v>
      </c>
      <c r="U1472" s="1" t="s">
        <v>7</v>
      </c>
      <c r="V1472" s="1" t="s">
        <v>161</v>
      </c>
      <c r="W1472" s="1"/>
    </row>
    <row r="1473" spans="1:23" x14ac:dyDescent="0.2">
      <c r="A1473" s="88" t="s">
        <v>16777</v>
      </c>
      <c r="B1473" s="1" t="e">
        <v>#N/A</v>
      </c>
      <c r="C1473" s="1" t="e">
        <v>#N/A</v>
      </c>
      <c r="D1473" s="1" t="s">
        <v>4000</v>
      </c>
      <c r="E1473" s="1" t="s">
        <v>4001</v>
      </c>
      <c r="F1473" s="1" t="s">
        <v>18502</v>
      </c>
      <c r="G1473" s="1" t="s">
        <v>8957</v>
      </c>
      <c r="H1473" t="s">
        <v>8959</v>
      </c>
      <c r="I1473" s="1" t="s">
        <v>9605</v>
      </c>
      <c r="J1473" s="1" t="s">
        <v>8949</v>
      </c>
      <c r="K1473" s="1" t="s">
        <v>18497</v>
      </c>
      <c r="L1473" s="1" t="s">
        <v>9076</v>
      </c>
      <c r="M1473" s="1">
        <v>36</v>
      </c>
      <c r="N1473" s="1" t="s">
        <v>8953</v>
      </c>
      <c r="O1473" s="1" t="s">
        <v>8989</v>
      </c>
      <c r="P1473" s="1" t="e">
        <v>#N/A</v>
      </c>
      <c r="Q1473" s="1" t="e">
        <v>#N/A</v>
      </c>
      <c r="R1473" s="1">
        <f t="shared" si="432"/>
        <v>5</v>
      </c>
      <c r="S1473" s="1" t="str">
        <f t="shared" si="433"/>
        <v>4-7</v>
      </c>
      <c r="T1473" s="1" t="s">
        <v>19365</v>
      </c>
      <c r="U1473" s="1" t="s">
        <v>7</v>
      </c>
      <c r="V1473" s="1" t="s">
        <v>921</v>
      </c>
      <c r="W1473" s="1"/>
    </row>
    <row r="1474" spans="1:23" x14ac:dyDescent="0.2">
      <c r="A1474" s="88" t="s">
        <v>16778</v>
      </c>
      <c r="B1474" s="1" t="e">
        <v>#N/A</v>
      </c>
      <c r="C1474" s="1" t="s">
        <v>11380</v>
      </c>
      <c r="D1474" s="1" t="s">
        <v>4002</v>
      </c>
      <c r="E1474" s="1" t="s">
        <v>4003</v>
      </c>
      <c r="F1474" s="1" t="s">
        <v>9310</v>
      </c>
      <c r="G1474" s="1" t="s">
        <v>8959</v>
      </c>
      <c r="H1474" t="s">
        <v>9183</v>
      </c>
      <c r="I1474" s="1" t="s">
        <v>9173</v>
      </c>
      <c r="J1474" s="1" t="s">
        <v>9155</v>
      </c>
      <c r="K1474" s="1" t="s">
        <v>9036</v>
      </c>
      <c r="L1474" s="1" t="s">
        <v>8987</v>
      </c>
      <c r="M1474" s="1">
        <v>809</v>
      </c>
      <c r="N1474" s="1" t="s">
        <v>8953</v>
      </c>
      <c r="O1474" s="1" t="s">
        <v>8954</v>
      </c>
      <c r="P1474" s="1" t="s">
        <v>8955</v>
      </c>
      <c r="Q1474" s="1" t="s">
        <v>8956</v>
      </c>
      <c r="R1474" s="1" t="s">
        <v>8959</v>
      </c>
      <c r="S1474" s="1" t="s">
        <v>9103</v>
      </c>
      <c r="T1474" s="1" t="s">
        <v>4004</v>
      </c>
      <c r="U1474" s="1" t="s">
        <v>11</v>
      </c>
      <c r="V1474" s="1" t="s">
        <v>1651</v>
      </c>
      <c r="W1474" s="1"/>
    </row>
    <row r="1475" spans="1:23" x14ac:dyDescent="0.2">
      <c r="A1475" s="89" t="s">
        <v>4005</v>
      </c>
      <c r="B1475" s="1" t="e">
        <v>#N/A</v>
      </c>
      <c r="C1475" s="1" t="e">
        <v>#N/A</v>
      </c>
      <c r="D1475" s="1" t="s">
        <v>4006</v>
      </c>
      <c r="E1475" s="1" t="s">
        <v>4007</v>
      </c>
      <c r="F1475" s="1" t="e">
        <v>#N/A</v>
      </c>
      <c r="G1475" s="1" t="e">
        <v>#N/A</v>
      </c>
      <c r="H1475" t="e">
        <v>#N/A</v>
      </c>
      <c r="I1475" s="1" t="e">
        <v>#N/A</v>
      </c>
      <c r="J1475" s="1" t="e">
        <v>#N/A</v>
      </c>
      <c r="K1475" s="1" t="e">
        <v>#N/A</v>
      </c>
      <c r="L1475" s="1" t="e">
        <v>#N/A</v>
      </c>
      <c r="M1475" s="1" t="e">
        <v>#N/A</v>
      </c>
      <c r="N1475" s="1" t="e">
        <v>#N/A</v>
      </c>
      <c r="O1475" s="1" t="e">
        <v>#N/A</v>
      </c>
      <c r="P1475" s="1" t="e">
        <v>#N/A</v>
      </c>
      <c r="Q1475" s="1" t="e">
        <v>#N/A</v>
      </c>
      <c r="R1475" s="1">
        <f t="shared" ref="R1475:R1476" si="434">1+LEN(T1475)-LEN(SUBSTITUTE(T1475,",",))</f>
        <v>5</v>
      </c>
      <c r="S1475" s="1" t="str">
        <f t="shared" ref="S1475:S1476" si="435">IF(R1475&gt;4,IF(R1475&lt;8,"4-7",IF(R1475&gt;7,"&gt;7")),"&lt;4")</f>
        <v>4-7</v>
      </c>
      <c r="T1475" s="1" t="s">
        <v>19366</v>
      </c>
      <c r="U1475" s="1" t="s">
        <v>11</v>
      </c>
      <c r="V1475" s="1" t="s">
        <v>87</v>
      </c>
      <c r="W1475" s="1"/>
    </row>
    <row r="1476" spans="1:23" x14ac:dyDescent="0.2">
      <c r="A1476" s="89" t="s">
        <v>16779</v>
      </c>
      <c r="B1476" s="1" t="e">
        <v>#N/A</v>
      </c>
      <c r="C1476" s="1" t="e">
        <v>#N/A</v>
      </c>
      <c r="D1476" s="1" t="s">
        <v>4008</v>
      </c>
      <c r="E1476" s="1" t="s">
        <v>4009</v>
      </c>
      <c r="F1476" s="1" t="e">
        <v>#N/A</v>
      </c>
      <c r="G1476" s="1" t="e">
        <v>#N/A</v>
      </c>
      <c r="H1476" t="e">
        <v>#N/A</v>
      </c>
      <c r="I1476" s="1" t="e">
        <v>#N/A</v>
      </c>
      <c r="J1476" s="1" t="e">
        <v>#N/A</v>
      </c>
      <c r="K1476" s="1" t="e">
        <v>#N/A</v>
      </c>
      <c r="L1476" s="1" t="e">
        <v>#N/A</v>
      </c>
      <c r="M1476" s="1" t="e">
        <v>#N/A</v>
      </c>
      <c r="N1476" s="1" t="e">
        <v>#N/A</v>
      </c>
      <c r="O1476" s="1" t="e">
        <v>#N/A</v>
      </c>
      <c r="P1476" s="1" t="e">
        <v>#N/A</v>
      </c>
      <c r="Q1476" s="1" t="e">
        <v>#N/A</v>
      </c>
      <c r="R1476" s="1">
        <f t="shared" si="434"/>
        <v>11</v>
      </c>
      <c r="S1476" s="1" t="str">
        <f t="shared" si="435"/>
        <v>&gt;7</v>
      </c>
      <c r="T1476" s="1" t="s">
        <v>20628</v>
      </c>
      <c r="U1476" s="1" t="s">
        <v>11</v>
      </c>
      <c r="V1476" s="1" t="s">
        <v>174</v>
      </c>
      <c r="W1476" s="1"/>
    </row>
    <row r="1477" spans="1:23" x14ac:dyDescent="0.2">
      <c r="A1477" s="88" t="s">
        <v>16780</v>
      </c>
      <c r="B1477" s="1" t="e">
        <v>#N/A</v>
      </c>
      <c r="C1477" s="1" t="s">
        <v>13914</v>
      </c>
      <c r="D1477" s="1" t="s">
        <v>4010</v>
      </c>
      <c r="E1477" s="1" t="s">
        <v>4011</v>
      </c>
      <c r="F1477" s="1" t="s">
        <v>9010</v>
      </c>
      <c r="G1477" s="1" t="s">
        <v>8959</v>
      </c>
      <c r="H1477" t="s">
        <v>9061</v>
      </c>
      <c r="I1477" s="1" t="s">
        <v>9035</v>
      </c>
      <c r="J1477" s="1" t="s">
        <v>8998</v>
      </c>
      <c r="K1477" s="1" t="s">
        <v>13917</v>
      </c>
      <c r="L1477" s="1" t="s">
        <v>8987</v>
      </c>
      <c r="M1477" s="1">
        <v>1007</v>
      </c>
      <c r="N1477" s="1" t="s">
        <v>8953</v>
      </c>
      <c r="O1477" s="1" t="s">
        <v>8954</v>
      </c>
      <c r="P1477" s="1" t="s">
        <v>8955</v>
      </c>
      <c r="Q1477" s="1" t="s">
        <v>8956</v>
      </c>
      <c r="R1477" s="1" t="s">
        <v>8959</v>
      </c>
      <c r="S1477" s="1" t="s">
        <v>9103</v>
      </c>
      <c r="T1477" s="1" t="s">
        <v>4012</v>
      </c>
      <c r="U1477" s="1" t="s">
        <v>4</v>
      </c>
      <c r="V1477" s="1" t="s">
        <v>180</v>
      </c>
      <c r="W1477" s="1"/>
    </row>
    <row r="1478" spans="1:23" x14ac:dyDescent="0.2">
      <c r="A1478" s="88" t="s">
        <v>16781</v>
      </c>
      <c r="B1478" s="1" t="e">
        <v>#N/A</v>
      </c>
      <c r="C1478" s="1" t="s">
        <v>13059</v>
      </c>
      <c r="D1478" s="1" t="s">
        <v>4013</v>
      </c>
      <c r="E1478" s="1" t="s">
        <v>4014</v>
      </c>
      <c r="F1478" s="1" t="s">
        <v>9010</v>
      </c>
      <c r="G1478" s="1" t="s">
        <v>8957</v>
      </c>
      <c r="H1478" t="s">
        <v>9009</v>
      </c>
      <c r="I1478" s="1" t="s">
        <v>9049</v>
      </c>
      <c r="J1478" s="1" t="s">
        <v>9050</v>
      </c>
      <c r="K1478" s="1" t="s">
        <v>13062</v>
      </c>
      <c r="L1478" s="1" t="s">
        <v>8951</v>
      </c>
      <c r="M1478" s="1">
        <v>1324</v>
      </c>
      <c r="N1478" s="1" t="s">
        <v>8953</v>
      </c>
      <c r="O1478" s="1" t="s">
        <v>8989</v>
      </c>
      <c r="P1478" s="1" t="s">
        <v>8955</v>
      </c>
      <c r="Q1478" s="1" t="s">
        <v>8956</v>
      </c>
      <c r="R1478" s="1" t="s">
        <v>8957</v>
      </c>
      <c r="S1478" s="1" t="s">
        <v>8958</v>
      </c>
      <c r="T1478" s="1" t="s">
        <v>4015</v>
      </c>
      <c r="U1478" s="1" t="s">
        <v>11</v>
      </c>
      <c r="V1478" s="1" t="s">
        <v>396</v>
      </c>
      <c r="W1478" s="1"/>
    </row>
    <row r="1479" spans="1:23" x14ac:dyDescent="0.2">
      <c r="A1479" s="88" t="s">
        <v>16782</v>
      </c>
      <c r="B1479" s="1" t="e">
        <v>#N/A</v>
      </c>
      <c r="C1479" s="1" t="e">
        <v>#N/A</v>
      </c>
      <c r="D1479" s="1" t="s">
        <v>4016</v>
      </c>
      <c r="E1479" s="1" t="s">
        <v>4017</v>
      </c>
      <c r="F1479" s="1" t="s">
        <v>9310</v>
      </c>
      <c r="G1479" s="1" t="s">
        <v>8957</v>
      </c>
      <c r="H1479" t="s">
        <v>9061</v>
      </c>
      <c r="I1479" s="1" t="s">
        <v>20714</v>
      </c>
      <c r="J1479" s="1" t="s">
        <v>9050</v>
      </c>
      <c r="K1479" s="1" t="s">
        <v>10492</v>
      </c>
      <c r="L1479" s="1" t="s">
        <v>9076</v>
      </c>
      <c r="M1479" s="1">
        <v>5100</v>
      </c>
      <c r="N1479" s="1" t="s">
        <v>8953</v>
      </c>
      <c r="O1479" s="1" t="s">
        <v>8954</v>
      </c>
      <c r="P1479" s="1" t="e">
        <v>#N/A</v>
      </c>
      <c r="Q1479" s="1" t="e">
        <v>#N/A</v>
      </c>
      <c r="R1479" s="1">
        <f t="shared" ref="R1479:R1486" si="436">1+LEN(T1479)-LEN(SUBSTITUTE(T1479,",",))</f>
        <v>5</v>
      </c>
      <c r="S1479" s="1" t="str">
        <f t="shared" ref="S1479:S1486" si="437">IF(R1479&gt;4,IF(R1479&lt;8,"4-7",IF(R1479&gt;7,"&gt;7")),"&lt;4")</f>
        <v>4-7</v>
      </c>
      <c r="T1479" s="1" t="s">
        <v>19367</v>
      </c>
      <c r="U1479" s="1" t="s">
        <v>7</v>
      </c>
      <c r="V1479" s="1" t="s">
        <v>4018</v>
      </c>
      <c r="W1479" s="1"/>
    </row>
    <row r="1480" spans="1:23" x14ac:dyDescent="0.2">
      <c r="A1480" s="88" t="s">
        <v>16783</v>
      </c>
      <c r="B1480" s="1" t="e">
        <v>#N/A</v>
      </c>
      <c r="C1480" s="1" t="e">
        <v>#N/A</v>
      </c>
      <c r="D1480" s="1" t="s">
        <v>4019</v>
      </c>
      <c r="E1480" s="1" t="s">
        <v>4020</v>
      </c>
      <c r="F1480" s="1" t="s">
        <v>9310</v>
      </c>
      <c r="G1480" s="1" t="s">
        <v>8957</v>
      </c>
      <c r="H1480" t="s">
        <v>9061</v>
      </c>
      <c r="I1480" s="1" t="s">
        <v>20714</v>
      </c>
      <c r="J1480" s="1" t="s">
        <v>8998</v>
      </c>
      <c r="K1480" s="1" t="s">
        <v>10492</v>
      </c>
      <c r="L1480" s="1" t="s">
        <v>9076</v>
      </c>
      <c r="M1480" s="1">
        <v>4000</v>
      </c>
      <c r="N1480" s="1" t="s">
        <v>8953</v>
      </c>
      <c r="O1480" s="1" t="s">
        <v>8989</v>
      </c>
      <c r="P1480" s="1" t="e">
        <v>#N/A</v>
      </c>
      <c r="Q1480" s="1" t="e">
        <v>#N/A</v>
      </c>
      <c r="R1480" s="1">
        <f t="shared" si="436"/>
        <v>4</v>
      </c>
      <c r="S1480" s="1" t="str">
        <f t="shared" si="437"/>
        <v>&lt;4</v>
      </c>
      <c r="T1480" s="1" t="s">
        <v>19368</v>
      </c>
      <c r="U1480" s="1" t="s">
        <v>17</v>
      </c>
      <c r="V1480" s="1" t="s">
        <v>46</v>
      </c>
      <c r="W1480" s="1"/>
    </row>
    <row r="1481" spans="1:23" x14ac:dyDescent="0.2">
      <c r="A1481" s="88" t="s">
        <v>16784</v>
      </c>
      <c r="B1481" s="1" t="e">
        <v>#N/A</v>
      </c>
      <c r="C1481" s="1" t="e">
        <v>#N/A</v>
      </c>
      <c r="D1481" s="1" t="s">
        <v>4021</v>
      </c>
      <c r="E1481" s="1" t="s">
        <v>4022</v>
      </c>
      <c r="F1481" s="1" t="s">
        <v>9310</v>
      </c>
      <c r="G1481" s="1" t="s">
        <v>8959</v>
      </c>
      <c r="H1481" t="s">
        <v>8959</v>
      </c>
      <c r="I1481" s="1" t="s">
        <v>20714</v>
      </c>
      <c r="J1481" s="1" t="s">
        <v>8998</v>
      </c>
      <c r="K1481" s="1" t="s">
        <v>10492</v>
      </c>
      <c r="L1481" s="1" t="s">
        <v>9076</v>
      </c>
      <c r="M1481" s="1">
        <v>5100</v>
      </c>
      <c r="N1481" s="1" t="s">
        <v>8953</v>
      </c>
      <c r="O1481" s="1" t="s">
        <v>8989</v>
      </c>
      <c r="P1481" s="1" t="e">
        <v>#N/A</v>
      </c>
      <c r="Q1481" s="1" t="e">
        <v>#N/A</v>
      </c>
      <c r="R1481" s="1">
        <f t="shared" si="436"/>
        <v>6</v>
      </c>
      <c r="S1481" s="1" t="str">
        <f t="shared" si="437"/>
        <v>4-7</v>
      </c>
      <c r="T1481" s="1" t="s">
        <v>19369</v>
      </c>
      <c r="U1481" s="1" t="s">
        <v>17</v>
      </c>
      <c r="V1481" s="1" t="s">
        <v>46</v>
      </c>
      <c r="W1481" s="1"/>
    </row>
    <row r="1482" spans="1:23" x14ac:dyDescent="0.2">
      <c r="A1482" s="88" t="s">
        <v>16785</v>
      </c>
      <c r="B1482" s="1" t="e">
        <v>#N/A</v>
      </c>
      <c r="C1482" s="1" t="e">
        <v>#N/A</v>
      </c>
      <c r="D1482" s="1" t="s">
        <v>4023</v>
      </c>
      <c r="E1482" s="1" t="s">
        <v>4024</v>
      </c>
      <c r="F1482" s="1" t="s">
        <v>9310</v>
      </c>
      <c r="G1482" s="1" t="s">
        <v>8957</v>
      </c>
      <c r="H1482" t="s">
        <v>9061</v>
      </c>
      <c r="I1482" s="1" t="s">
        <v>9035</v>
      </c>
      <c r="J1482" s="1" t="s">
        <v>8949</v>
      </c>
      <c r="K1482" s="1" t="s">
        <v>20862</v>
      </c>
      <c r="L1482" s="1" t="s">
        <v>8987</v>
      </c>
      <c r="M1482" s="1">
        <v>61</v>
      </c>
      <c r="N1482" s="1" t="s">
        <v>9059</v>
      </c>
      <c r="O1482" s="1" t="s">
        <v>8989</v>
      </c>
      <c r="P1482" s="1" t="e">
        <v>#N/A</v>
      </c>
      <c r="Q1482" s="1" t="e">
        <v>#N/A</v>
      </c>
      <c r="R1482" s="1">
        <f t="shared" si="436"/>
        <v>9</v>
      </c>
      <c r="S1482" s="1" t="str">
        <f t="shared" si="437"/>
        <v>&gt;7</v>
      </c>
      <c r="T1482" s="1" t="s">
        <v>19370</v>
      </c>
      <c r="U1482" s="1" t="s">
        <v>17</v>
      </c>
      <c r="V1482" s="1" t="s">
        <v>21</v>
      </c>
      <c r="W1482" s="1"/>
    </row>
    <row r="1483" spans="1:23" x14ac:dyDescent="0.2">
      <c r="A1483" s="94" t="s">
        <v>16786</v>
      </c>
      <c r="B1483" s="1" t="e">
        <v>#N/A</v>
      </c>
      <c r="C1483" s="1" t="e">
        <v>#N/A</v>
      </c>
      <c r="D1483" s="1" t="s">
        <v>4025</v>
      </c>
      <c r="E1483" s="1" t="s">
        <v>4026</v>
      </c>
      <c r="F1483" s="1" t="s">
        <v>9317</v>
      </c>
      <c r="G1483" s="1" t="e">
        <v>#N/A</v>
      </c>
      <c r="H1483" t="s">
        <v>9061</v>
      </c>
      <c r="I1483" s="1" t="s">
        <v>9092</v>
      </c>
      <c r="J1483" s="1" t="s">
        <v>8949</v>
      </c>
      <c r="K1483" s="1" t="e">
        <v>#N/A</v>
      </c>
      <c r="L1483" s="1" t="s">
        <v>8973</v>
      </c>
      <c r="M1483" s="1">
        <v>15</v>
      </c>
      <c r="N1483" s="1" t="s">
        <v>9059</v>
      </c>
      <c r="O1483" s="1" t="s">
        <v>8989</v>
      </c>
      <c r="P1483" s="1" t="e">
        <v>#N/A</v>
      </c>
      <c r="Q1483" s="1" t="e">
        <v>#N/A</v>
      </c>
      <c r="R1483" s="1">
        <f t="shared" si="436"/>
        <v>7</v>
      </c>
      <c r="S1483" s="1" t="str">
        <f t="shared" si="437"/>
        <v>4-7</v>
      </c>
      <c r="T1483" s="1" t="s">
        <v>19371</v>
      </c>
      <c r="U1483" s="1" t="s">
        <v>17</v>
      </c>
      <c r="V1483" s="1" t="s">
        <v>619</v>
      </c>
      <c r="W1483" s="1"/>
    </row>
    <row r="1484" spans="1:23" x14ac:dyDescent="0.2">
      <c r="A1484" s="94" t="s">
        <v>16787</v>
      </c>
      <c r="B1484" s="1" t="e">
        <v>#N/A</v>
      </c>
      <c r="C1484" s="1" t="e">
        <v>#N/A</v>
      </c>
      <c r="D1484" s="1" t="s">
        <v>4027</v>
      </c>
      <c r="E1484" s="1" t="s">
        <v>4028</v>
      </c>
      <c r="F1484" s="1" t="s">
        <v>9317</v>
      </c>
      <c r="G1484" s="1" t="e">
        <v>#N/A</v>
      </c>
      <c r="H1484" t="s">
        <v>8959</v>
      </c>
      <c r="I1484" s="1" t="e">
        <v>#N/A</v>
      </c>
      <c r="J1484" s="1" t="e">
        <v>#N/A</v>
      </c>
      <c r="K1484" s="1" t="e">
        <v>#N/A</v>
      </c>
      <c r="L1484" s="1" t="e">
        <v>#N/A</v>
      </c>
      <c r="M1484" s="1" t="e">
        <v>#N/A</v>
      </c>
      <c r="N1484" s="1" t="e">
        <v>#N/A</v>
      </c>
      <c r="O1484" s="1" t="e">
        <v>#N/A</v>
      </c>
      <c r="P1484" s="1" t="e">
        <v>#N/A</v>
      </c>
      <c r="Q1484" s="1" t="e">
        <v>#N/A</v>
      </c>
      <c r="R1484" s="1">
        <f t="shared" si="436"/>
        <v>5</v>
      </c>
      <c r="S1484" s="1" t="str">
        <f t="shared" si="437"/>
        <v>4-7</v>
      </c>
      <c r="T1484" s="1" t="s">
        <v>19372</v>
      </c>
      <c r="U1484" s="1" t="s">
        <v>17</v>
      </c>
      <c r="V1484" s="1" t="s">
        <v>110</v>
      </c>
      <c r="W1484" s="1"/>
    </row>
    <row r="1485" spans="1:23" x14ac:dyDescent="0.2">
      <c r="A1485" s="89" t="s">
        <v>16788</v>
      </c>
      <c r="B1485" s="1" t="e">
        <v>#N/A</v>
      </c>
      <c r="C1485" s="1" t="e">
        <v>#N/A</v>
      </c>
      <c r="D1485" s="1" t="s">
        <v>4029</v>
      </c>
      <c r="E1485" s="1" t="s">
        <v>4030</v>
      </c>
      <c r="F1485" s="1" t="e">
        <v>#N/A</v>
      </c>
      <c r="G1485" s="1" t="e">
        <v>#N/A</v>
      </c>
      <c r="H1485" t="e">
        <v>#N/A</v>
      </c>
      <c r="I1485" s="1" t="e">
        <v>#N/A</v>
      </c>
      <c r="J1485" s="1" t="e">
        <v>#N/A</v>
      </c>
      <c r="K1485" s="1" t="e">
        <v>#N/A</v>
      </c>
      <c r="L1485" s="1" t="e">
        <v>#N/A</v>
      </c>
      <c r="M1485" s="1" t="e">
        <v>#N/A</v>
      </c>
      <c r="N1485" s="1" t="e">
        <v>#N/A</v>
      </c>
      <c r="O1485" s="1" t="e">
        <v>#N/A</v>
      </c>
      <c r="P1485" s="1" t="e">
        <v>#N/A</v>
      </c>
      <c r="Q1485" s="1" t="e">
        <v>#N/A</v>
      </c>
      <c r="R1485" s="1">
        <f t="shared" si="436"/>
        <v>3</v>
      </c>
      <c r="S1485" s="1" t="str">
        <f t="shared" si="437"/>
        <v>&lt;4</v>
      </c>
      <c r="T1485" s="1" t="s">
        <v>19373</v>
      </c>
      <c r="U1485" s="1" t="s">
        <v>7</v>
      </c>
      <c r="V1485" s="1" t="s">
        <v>634</v>
      </c>
      <c r="W1485" s="1"/>
    </row>
    <row r="1486" spans="1:23" x14ac:dyDescent="0.2">
      <c r="A1486" s="88" t="s">
        <v>16789</v>
      </c>
      <c r="B1486" s="1" t="e">
        <v>#N/A</v>
      </c>
      <c r="C1486" s="1" t="e">
        <v>#N/A</v>
      </c>
      <c r="D1486" s="1" t="s">
        <v>4031</v>
      </c>
      <c r="E1486" s="1" t="s">
        <v>4032</v>
      </c>
      <c r="F1486" s="1" t="s">
        <v>11671</v>
      </c>
      <c r="G1486" s="1" t="s">
        <v>8957</v>
      </c>
      <c r="H1486" t="s">
        <v>9061</v>
      </c>
      <c r="I1486" s="1" t="s">
        <v>8984</v>
      </c>
      <c r="J1486" s="1" t="s">
        <v>8949</v>
      </c>
      <c r="K1486" s="1" t="s">
        <v>21439</v>
      </c>
      <c r="L1486" s="1" t="s">
        <v>8973</v>
      </c>
      <c r="M1486" s="1">
        <v>116</v>
      </c>
      <c r="N1486" s="1" t="s">
        <v>9059</v>
      </c>
      <c r="O1486" s="1" t="s">
        <v>8954</v>
      </c>
      <c r="P1486" s="1" t="e">
        <v>#N/A</v>
      </c>
      <c r="Q1486" s="1" t="e">
        <v>#N/A</v>
      </c>
      <c r="R1486" s="1">
        <f t="shared" si="436"/>
        <v>8</v>
      </c>
      <c r="S1486" s="1" t="str">
        <f t="shared" si="437"/>
        <v>&gt;7</v>
      </c>
      <c r="T1486" s="1" t="s">
        <v>19374</v>
      </c>
      <c r="U1486" s="1" t="s">
        <v>17</v>
      </c>
      <c r="V1486" s="1" t="s">
        <v>161</v>
      </c>
      <c r="W1486" s="1"/>
    </row>
    <row r="1487" spans="1:23" x14ac:dyDescent="0.2">
      <c r="A1487" s="88" t="s">
        <v>16790</v>
      </c>
      <c r="B1487" s="1" t="e">
        <v>#N/A</v>
      </c>
      <c r="C1487" s="1" t="s">
        <v>13600</v>
      </c>
      <c r="D1487" s="1" t="s">
        <v>4033</v>
      </c>
      <c r="E1487" s="1" t="s">
        <v>4034</v>
      </c>
      <c r="F1487" s="1" t="s">
        <v>9310</v>
      </c>
      <c r="G1487" s="1" t="s">
        <v>8957</v>
      </c>
      <c r="H1487" t="s">
        <v>8959</v>
      </c>
      <c r="I1487" s="1" t="s">
        <v>9100</v>
      </c>
      <c r="J1487" s="1" t="s">
        <v>8949</v>
      </c>
      <c r="K1487" s="1" t="s">
        <v>9036</v>
      </c>
      <c r="L1487" s="1" t="s">
        <v>8951</v>
      </c>
      <c r="M1487" s="1">
        <v>99707</v>
      </c>
      <c r="N1487" s="1" t="s">
        <v>8953</v>
      </c>
      <c r="O1487" s="1" t="s">
        <v>8954</v>
      </c>
      <c r="P1487" s="1" t="s">
        <v>8955</v>
      </c>
      <c r="Q1487" s="1" t="s">
        <v>8956</v>
      </c>
      <c r="R1487" s="1" t="s">
        <v>8957</v>
      </c>
      <c r="S1487" s="1" t="s">
        <v>8958</v>
      </c>
      <c r="T1487" s="1" t="s">
        <v>4035</v>
      </c>
      <c r="U1487" s="1" t="s">
        <v>4</v>
      </c>
      <c r="V1487" s="1" t="s">
        <v>24</v>
      </c>
      <c r="W1487" s="1"/>
    </row>
    <row r="1488" spans="1:23" x14ac:dyDescent="0.2">
      <c r="A1488" s="88" t="s">
        <v>16791</v>
      </c>
      <c r="B1488" s="1" t="e">
        <v>#N/A</v>
      </c>
      <c r="C1488" s="1" t="s">
        <v>13217</v>
      </c>
      <c r="D1488" s="1" t="s">
        <v>4036</v>
      </c>
      <c r="E1488" s="1" t="s">
        <v>4037</v>
      </c>
      <c r="F1488" s="1" t="s">
        <v>9380</v>
      </c>
      <c r="G1488" s="1" t="s">
        <v>8959</v>
      </c>
      <c r="H1488" t="s">
        <v>8959</v>
      </c>
      <c r="I1488" s="1" t="s">
        <v>8948</v>
      </c>
      <c r="J1488" s="1" t="s">
        <v>8971</v>
      </c>
      <c r="K1488" s="1" t="s">
        <v>9041</v>
      </c>
      <c r="L1488" s="1" t="s">
        <v>8973</v>
      </c>
      <c r="M1488" s="1">
        <v>180</v>
      </c>
      <c r="N1488" s="1" t="s">
        <v>8953</v>
      </c>
      <c r="O1488" s="1" t="s">
        <v>8989</v>
      </c>
      <c r="P1488" s="1" t="s">
        <v>8955</v>
      </c>
      <c r="Q1488" s="1" t="s">
        <v>8956</v>
      </c>
      <c r="R1488" s="1" t="s">
        <v>8959</v>
      </c>
      <c r="S1488" s="1" t="s">
        <v>9103</v>
      </c>
      <c r="T1488" s="1" t="s">
        <v>4038</v>
      </c>
      <c r="U1488" s="1" t="s">
        <v>11</v>
      </c>
      <c r="V1488" s="1" t="s">
        <v>126</v>
      </c>
      <c r="W1488" s="1"/>
    </row>
    <row r="1489" spans="1:23" x14ac:dyDescent="0.2">
      <c r="A1489" s="89" t="s">
        <v>4039</v>
      </c>
      <c r="B1489" s="1" t="e">
        <v>#N/A</v>
      </c>
      <c r="C1489" s="1" t="e">
        <v>#N/A</v>
      </c>
      <c r="D1489" s="5" t="s">
        <v>4040</v>
      </c>
      <c r="E1489" s="1" t="s">
        <v>4041</v>
      </c>
      <c r="F1489" s="1" t="e">
        <v>#N/A</v>
      </c>
      <c r="G1489" s="1" t="e">
        <v>#N/A</v>
      </c>
      <c r="H1489" t="e">
        <v>#N/A</v>
      </c>
      <c r="I1489" s="1" t="e">
        <v>#N/A</v>
      </c>
      <c r="J1489" s="1" t="e">
        <v>#N/A</v>
      </c>
      <c r="K1489" s="1" t="e">
        <v>#N/A</v>
      </c>
      <c r="L1489" s="1" t="e">
        <v>#N/A</v>
      </c>
      <c r="M1489" s="1" t="e">
        <v>#N/A</v>
      </c>
      <c r="N1489" s="1" t="e">
        <v>#N/A</v>
      </c>
      <c r="O1489" s="1" t="e">
        <v>#N/A</v>
      </c>
      <c r="P1489" s="1" t="e">
        <v>#N/A</v>
      </c>
      <c r="Q1489" s="1" t="e">
        <v>#N/A</v>
      </c>
      <c r="R1489" s="1">
        <f t="shared" ref="R1489:R1492" si="438">1+LEN(T1489)-LEN(SUBSTITUTE(T1489,",",))</f>
        <v>4</v>
      </c>
      <c r="S1489" s="1" t="str">
        <f t="shared" ref="S1489:S1492" si="439">IF(R1489&gt;4,IF(R1489&lt;8,"4-7",IF(R1489&gt;7,"&gt;7")),"&lt;4")</f>
        <v>&lt;4</v>
      </c>
      <c r="T1489" s="1" t="s">
        <v>20629</v>
      </c>
      <c r="U1489" s="1" t="s">
        <v>7</v>
      </c>
      <c r="V1489" s="1" t="s">
        <v>74</v>
      </c>
      <c r="W1489" s="1"/>
    </row>
    <row r="1490" spans="1:23" x14ac:dyDescent="0.2">
      <c r="A1490" s="88" t="s">
        <v>16792</v>
      </c>
      <c r="B1490" s="1" t="e">
        <v>#N/A</v>
      </c>
      <c r="C1490" s="1" t="e">
        <v>#N/A</v>
      </c>
      <c r="D1490" s="1" t="s">
        <v>4042</v>
      </c>
      <c r="E1490" s="1" t="s">
        <v>4043</v>
      </c>
      <c r="F1490" s="1" t="s">
        <v>10032</v>
      </c>
      <c r="G1490" s="1" t="s">
        <v>8957</v>
      </c>
      <c r="H1490" t="s">
        <v>8959</v>
      </c>
      <c r="I1490" s="1" t="s">
        <v>9075</v>
      </c>
      <c r="J1490" s="1" t="s">
        <v>9155</v>
      </c>
      <c r="K1490" s="1" t="s">
        <v>20776</v>
      </c>
      <c r="L1490" s="1" t="s">
        <v>9076</v>
      </c>
      <c r="M1490" s="1">
        <v>39</v>
      </c>
      <c r="N1490" s="1" t="s">
        <v>9059</v>
      </c>
      <c r="O1490" s="1" t="s">
        <v>8989</v>
      </c>
      <c r="P1490" s="1" t="e">
        <v>#N/A</v>
      </c>
      <c r="Q1490" s="1" t="e">
        <v>#N/A</v>
      </c>
      <c r="R1490" s="1">
        <f t="shared" si="438"/>
        <v>12</v>
      </c>
      <c r="S1490" s="1" t="str">
        <f t="shared" si="439"/>
        <v>&gt;7</v>
      </c>
      <c r="T1490" s="1" t="s">
        <v>19375</v>
      </c>
      <c r="U1490" s="1" t="s">
        <v>17</v>
      </c>
      <c r="V1490" s="1" t="s">
        <v>4044</v>
      </c>
      <c r="W1490" s="1"/>
    </row>
    <row r="1491" spans="1:23" x14ac:dyDescent="0.2">
      <c r="A1491" s="88" t="s">
        <v>16793</v>
      </c>
      <c r="B1491" s="1" t="e">
        <v>#N/A</v>
      </c>
      <c r="C1491" s="1" t="e">
        <v>#N/A</v>
      </c>
      <c r="D1491" s="1" t="s">
        <v>4045</v>
      </c>
      <c r="E1491" s="1" t="s">
        <v>4046</v>
      </c>
      <c r="F1491" s="1" t="s">
        <v>10032</v>
      </c>
      <c r="G1491" s="1" t="s">
        <v>8957</v>
      </c>
      <c r="H1491" t="s">
        <v>8959</v>
      </c>
      <c r="I1491" s="1" t="s">
        <v>8948</v>
      </c>
      <c r="J1491" s="1" t="s">
        <v>8949</v>
      </c>
      <c r="K1491" s="1" t="s">
        <v>21424</v>
      </c>
      <c r="L1491" s="1" t="s">
        <v>9076</v>
      </c>
      <c r="M1491" s="1">
        <v>8</v>
      </c>
      <c r="N1491" s="1" t="s">
        <v>9059</v>
      </c>
      <c r="O1491" s="1" t="s">
        <v>8989</v>
      </c>
      <c r="P1491" s="1" t="e">
        <v>#N/A</v>
      </c>
      <c r="Q1491" s="1" t="e">
        <v>#N/A</v>
      </c>
      <c r="R1491" s="1">
        <f t="shared" si="438"/>
        <v>11</v>
      </c>
      <c r="S1491" s="1" t="str">
        <f t="shared" si="439"/>
        <v>&gt;7</v>
      </c>
      <c r="T1491" s="1" t="s">
        <v>19376</v>
      </c>
      <c r="U1491" s="1" t="s">
        <v>7</v>
      </c>
      <c r="V1491" s="1" t="s">
        <v>765</v>
      </c>
      <c r="W1491" s="1"/>
    </row>
    <row r="1492" spans="1:23" x14ac:dyDescent="0.2">
      <c r="A1492" s="88" t="s">
        <v>16794</v>
      </c>
      <c r="B1492" s="1" t="e">
        <v>#N/A</v>
      </c>
      <c r="C1492" s="1" t="e">
        <v>#N/A</v>
      </c>
      <c r="D1492" s="1" t="s">
        <v>4047</v>
      </c>
      <c r="E1492" s="1" t="s">
        <v>4048</v>
      </c>
      <c r="F1492" s="1" t="s">
        <v>20810</v>
      </c>
      <c r="G1492" s="1" t="s">
        <v>8957</v>
      </c>
      <c r="H1492" t="s">
        <v>8959</v>
      </c>
      <c r="I1492" s="1" t="s">
        <v>9035</v>
      </c>
      <c r="J1492" s="1" t="s">
        <v>9308</v>
      </c>
      <c r="K1492" s="1" t="s">
        <v>21277</v>
      </c>
      <c r="L1492" s="1" t="s">
        <v>8987</v>
      </c>
      <c r="M1492" s="1">
        <f>224316+112120</f>
        <v>336436</v>
      </c>
      <c r="N1492" s="1" t="s">
        <v>8953</v>
      </c>
      <c r="O1492" s="1" t="s">
        <v>8954</v>
      </c>
      <c r="P1492" s="1" t="e">
        <v>#N/A</v>
      </c>
      <c r="Q1492" s="1" t="e">
        <v>#N/A</v>
      </c>
      <c r="R1492" s="1">
        <f t="shared" si="438"/>
        <v>5</v>
      </c>
      <c r="S1492" s="1" t="str">
        <f t="shared" si="439"/>
        <v>4-7</v>
      </c>
      <c r="T1492" s="1" t="s">
        <v>19377</v>
      </c>
      <c r="U1492" s="1" t="s">
        <v>7</v>
      </c>
      <c r="V1492" s="1" t="s">
        <v>2121</v>
      </c>
      <c r="W1492" s="1"/>
    </row>
    <row r="1493" spans="1:23" x14ac:dyDescent="0.2">
      <c r="A1493" s="88" t="s">
        <v>16795</v>
      </c>
      <c r="B1493" s="1" t="e">
        <v>#N/A</v>
      </c>
      <c r="C1493" s="1" t="s">
        <v>13352</v>
      </c>
      <c r="D1493" s="1" t="s">
        <v>4049</v>
      </c>
      <c r="E1493" s="1" t="s">
        <v>4050</v>
      </c>
      <c r="F1493" s="1" t="s">
        <v>9010</v>
      </c>
      <c r="G1493" s="1" t="s">
        <v>8959</v>
      </c>
      <c r="H1493" t="s">
        <v>9061</v>
      </c>
      <c r="I1493" s="1" t="s">
        <v>9092</v>
      </c>
      <c r="J1493" s="1" t="s">
        <v>9308</v>
      </c>
      <c r="K1493" s="1" t="s">
        <v>9036</v>
      </c>
      <c r="L1493" s="1" t="s">
        <v>8987</v>
      </c>
      <c r="M1493" s="1" t="s">
        <v>18495</v>
      </c>
      <c r="N1493" s="1" t="s">
        <v>8953</v>
      </c>
      <c r="O1493" s="1" t="s">
        <v>8954</v>
      </c>
      <c r="P1493" s="1" t="s">
        <v>8955</v>
      </c>
      <c r="Q1493" s="1" t="s">
        <v>8956</v>
      </c>
      <c r="R1493" s="1" t="s">
        <v>8959</v>
      </c>
      <c r="S1493" s="1" t="s">
        <v>8958</v>
      </c>
      <c r="T1493" s="1" t="s">
        <v>4051</v>
      </c>
      <c r="U1493" s="1" t="s">
        <v>11</v>
      </c>
      <c r="V1493" s="1" t="s">
        <v>180</v>
      </c>
      <c r="W1493" s="1"/>
    </row>
    <row r="1494" spans="1:23" x14ac:dyDescent="0.2">
      <c r="A1494" s="88" t="s">
        <v>16796</v>
      </c>
      <c r="B1494" s="1" t="e">
        <v>#N/A</v>
      </c>
      <c r="C1494" s="1" t="e">
        <v>#N/A</v>
      </c>
      <c r="D1494" s="1" t="s">
        <v>4052</v>
      </c>
      <c r="E1494" s="1" t="s">
        <v>4053</v>
      </c>
      <c r="F1494" s="1" t="s">
        <v>10032</v>
      </c>
      <c r="G1494" s="1" t="s">
        <v>8959</v>
      </c>
      <c r="H1494" t="s">
        <v>9061</v>
      </c>
      <c r="I1494" s="1" t="s">
        <v>20712</v>
      </c>
      <c r="J1494" s="1" t="s">
        <v>9155</v>
      </c>
      <c r="K1494" s="1" t="s">
        <v>20779</v>
      </c>
      <c r="L1494" s="1" t="s">
        <v>8951</v>
      </c>
      <c r="M1494" s="1">
        <v>5170</v>
      </c>
      <c r="N1494" s="1" t="s">
        <v>8953</v>
      </c>
      <c r="O1494" s="1" t="s">
        <v>8954</v>
      </c>
      <c r="P1494" s="1" t="e">
        <v>#N/A</v>
      </c>
      <c r="Q1494" s="1" t="e">
        <v>#N/A</v>
      </c>
      <c r="R1494" s="1">
        <f t="shared" ref="R1494:R1495" si="440">1+LEN(T1494)-LEN(SUBSTITUTE(T1494,",",))</f>
        <v>60</v>
      </c>
      <c r="S1494" s="1" t="str">
        <f t="shared" ref="S1494:S1495" si="441">IF(R1494&gt;4,IF(R1494&lt;8,"4-7",IF(R1494&gt;7,"&gt;7")),"&lt;4")</f>
        <v>&gt;7</v>
      </c>
      <c r="T1494" s="1" t="s">
        <v>19378</v>
      </c>
      <c r="U1494" s="1" t="s">
        <v>17</v>
      </c>
      <c r="V1494" s="1" t="s">
        <v>2865</v>
      </c>
      <c r="W1494" s="1"/>
    </row>
    <row r="1495" spans="1:23" x14ac:dyDescent="0.2">
      <c r="A1495" s="89" t="s">
        <v>16797</v>
      </c>
      <c r="B1495" s="1" t="e">
        <v>#N/A</v>
      </c>
      <c r="C1495" s="1" t="e">
        <v>#N/A</v>
      </c>
      <c r="D1495" s="1" t="s">
        <v>4054</v>
      </c>
      <c r="E1495" s="1" t="s">
        <v>4055</v>
      </c>
      <c r="F1495" s="1" t="s">
        <v>10049</v>
      </c>
      <c r="G1495" s="1" t="e">
        <v>#N/A</v>
      </c>
      <c r="H1495" t="s">
        <v>9061</v>
      </c>
      <c r="I1495" s="1" t="s">
        <v>9154</v>
      </c>
      <c r="J1495" s="1" t="s">
        <v>8998</v>
      </c>
      <c r="K1495" s="1" t="e">
        <v>#N/A</v>
      </c>
      <c r="L1495" s="1" t="e">
        <v>#N/A</v>
      </c>
      <c r="M1495" s="1" t="e">
        <v>#N/A</v>
      </c>
      <c r="N1495" s="1" t="e">
        <v>#N/A</v>
      </c>
      <c r="O1495" s="1" t="e">
        <v>#N/A</v>
      </c>
      <c r="P1495" s="1" t="e">
        <v>#N/A</v>
      </c>
      <c r="Q1495" s="1" t="e">
        <v>#N/A</v>
      </c>
      <c r="R1495" s="1">
        <f t="shared" si="440"/>
        <v>12</v>
      </c>
      <c r="S1495" s="1" t="str">
        <f t="shared" si="441"/>
        <v>&gt;7</v>
      </c>
      <c r="T1495" s="1" t="s">
        <v>19379</v>
      </c>
      <c r="U1495" s="1" t="s">
        <v>7</v>
      </c>
      <c r="V1495" s="1" t="s">
        <v>4056</v>
      </c>
      <c r="W1495" s="1"/>
    </row>
    <row r="1496" spans="1:23" x14ac:dyDescent="0.2">
      <c r="A1496" s="88" t="s">
        <v>16798</v>
      </c>
      <c r="B1496" s="1" t="e">
        <v>#N/A</v>
      </c>
      <c r="C1496" s="1" t="s">
        <v>9715</v>
      </c>
      <c r="D1496" s="1" t="s">
        <v>4057</v>
      </c>
      <c r="E1496" s="1" t="s">
        <v>4058</v>
      </c>
      <c r="F1496" s="1" t="s">
        <v>9317</v>
      </c>
      <c r="G1496" s="1" t="s">
        <v>8959</v>
      </c>
      <c r="H1496" t="s">
        <v>9183</v>
      </c>
      <c r="I1496" s="1" t="s">
        <v>9154</v>
      </c>
      <c r="J1496" s="1" t="s">
        <v>9325</v>
      </c>
      <c r="K1496" s="1" t="s">
        <v>9036</v>
      </c>
      <c r="L1496" s="1" t="s">
        <v>8987</v>
      </c>
      <c r="M1496" s="1">
        <v>200</v>
      </c>
      <c r="N1496" s="1" t="s">
        <v>8953</v>
      </c>
      <c r="O1496" s="1" t="s">
        <v>8989</v>
      </c>
      <c r="P1496" s="1" t="s">
        <v>8955</v>
      </c>
      <c r="Q1496" s="1" t="s">
        <v>8956</v>
      </c>
      <c r="R1496" s="1" t="s">
        <v>8959</v>
      </c>
      <c r="S1496" s="1" t="s">
        <v>8958</v>
      </c>
      <c r="T1496" s="1" t="s">
        <v>4059</v>
      </c>
      <c r="U1496" s="1" t="s">
        <v>17</v>
      </c>
      <c r="V1496" s="1" t="s">
        <v>4060</v>
      </c>
      <c r="W1496" s="1"/>
    </row>
    <row r="1497" spans="1:23" x14ac:dyDescent="0.2">
      <c r="A1497" s="88" t="s">
        <v>16799</v>
      </c>
      <c r="B1497" s="1" t="e">
        <v>#N/A</v>
      </c>
      <c r="C1497" s="1" t="s">
        <v>12143</v>
      </c>
      <c r="D1497" s="1" t="s">
        <v>4061</v>
      </c>
      <c r="E1497" s="1" t="s">
        <v>4062</v>
      </c>
      <c r="F1497" s="1" t="s">
        <v>9317</v>
      </c>
      <c r="G1497" s="1" t="s">
        <v>8959</v>
      </c>
      <c r="H1497" t="s">
        <v>9183</v>
      </c>
      <c r="I1497" s="1" t="s">
        <v>8948</v>
      </c>
      <c r="J1497" s="1" t="s">
        <v>8949</v>
      </c>
      <c r="K1497" s="1" t="s">
        <v>9036</v>
      </c>
      <c r="L1497" s="1" t="s">
        <v>12146</v>
      </c>
      <c r="M1497" s="1">
        <v>56</v>
      </c>
      <c r="N1497" s="1" t="s">
        <v>8953</v>
      </c>
      <c r="O1497" s="1" t="s">
        <v>8954</v>
      </c>
      <c r="P1497" s="1" t="s">
        <v>8955</v>
      </c>
      <c r="Q1497" s="1" t="s">
        <v>8956</v>
      </c>
      <c r="R1497" s="1" t="s">
        <v>8959</v>
      </c>
      <c r="S1497" s="1" t="s">
        <v>8975</v>
      </c>
      <c r="T1497" s="1" t="s">
        <v>4063</v>
      </c>
      <c r="U1497" s="1" t="s">
        <v>17</v>
      </c>
      <c r="V1497" s="1" t="s">
        <v>147</v>
      </c>
      <c r="W1497" s="1"/>
    </row>
    <row r="1498" spans="1:23" x14ac:dyDescent="0.2">
      <c r="A1498" s="89" t="s">
        <v>4064</v>
      </c>
      <c r="B1498" s="1" t="e">
        <v>#N/A</v>
      </c>
      <c r="C1498" s="1" t="e">
        <v>#N/A</v>
      </c>
      <c r="D1498" s="1" t="s">
        <v>4065</v>
      </c>
      <c r="E1498" s="1" t="s">
        <v>4066</v>
      </c>
      <c r="F1498" s="1" t="e">
        <v>#N/A</v>
      </c>
      <c r="G1498" s="1" t="e">
        <v>#N/A</v>
      </c>
      <c r="H1498" t="e">
        <v>#N/A</v>
      </c>
      <c r="I1498" s="1" t="e">
        <v>#N/A</v>
      </c>
      <c r="J1498" s="1" t="e">
        <v>#N/A</v>
      </c>
      <c r="K1498" s="1" t="e">
        <v>#N/A</v>
      </c>
      <c r="L1498" s="1" t="e">
        <v>#N/A</v>
      </c>
      <c r="M1498" s="1" t="e">
        <v>#N/A</v>
      </c>
      <c r="N1498" s="1" t="e">
        <v>#N/A</v>
      </c>
      <c r="O1498" s="1" t="e">
        <v>#N/A</v>
      </c>
      <c r="P1498" s="1" t="e">
        <v>#N/A</v>
      </c>
      <c r="Q1498" s="1" t="e">
        <v>#N/A</v>
      </c>
      <c r="R1498" s="1">
        <f t="shared" ref="R1498:R1502" si="442">1+LEN(T1498)-LEN(SUBSTITUTE(T1498,",",))</f>
        <v>5</v>
      </c>
      <c r="S1498" s="1" t="str">
        <f t="shared" ref="S1498:S1502" si="443">IF(R1498&gt;4,IF(R1498&lt;8,"4-7",IF(R1498&gt;7,"&gt;7")),"&lt;4")</f>
        <v>4-7</v>
      </c>
      <c r="T1498" s="1" t="s">
        <v>19380</v>
      </c>
      <c r="U1498" s="1" t="s">
        <v>17</v>
      </c>
      <c r="V1498" s="1" t="s">
        <v>77</v>
      </c>
      <c r="W1498" s="1"/>
    </row>
    <row r="1499" spans="1:23" x14ac:dyDescent="0.2">
      <c r="A1499" s="89" t="s">
        <v>4067</v>
      </c>
      <c r="B1499" s="1" t="e">
        <v>#N/A</v>
      </c>
      <c r="C1499" s="1" t="e">
        <v>#N/A</v>
      </c>
      <c r="D1499" s="1" t="s">
        <v>4068</v>
      </c>
      <c r="E1499" s="1" t="s">
        <v>4069</v>
      </c>
      <c r="F1499" s="1" t="e">
        <v>#N/A</v>
      </c>
      <c r="G1499" s="1" t="e">
        <v>#N/A</v>
      </c>
      <c r="H1499" t="e">
        <v>#N/A</v>
      </c>
      <c r="I1499" s="1" t="e">
        <v>#N/A</v>
      </c>
      <c r="J1499" s="1" t="e">
        <v>#N/A</v>
      </c>
      <c r="K1499" s="1" t="e">
        <v>#N/A</v>
      </c>
      <c r="L1499" s="1" t="e">
        <v>#N/A</v>
      </c>
      <c r="M1499" s="1" t="e">
        <v>#N/A</v>
      </c>
      <c r="N1499" s="1" t="e">
        <v>#N/A</v>
      </c>
      <c r="O1499" s="1" t="e">
        <v>#N/A</v>
      </c>
      <c r="P1499" s="1" t="e">
        <v>#N/A</v>
      </c>
      <c r="Q1499" s="1" t="e">
        <v>#N/A</v>
      </c>
      <c r="R1499" s="1">
        <f t="shared" si="442"/>
        <v>5</v>
      </c>
      <c r="S1499" s="1" t="str">
        <f t="shared" si="443"/>
        <v>4-7</v>
      </c>
      <c r="T1499" s="1" t="s">
        <v>19381</v>
      </c>
      <c r="U1499" s="1" t="s">
        <v>7</v>
      </c>
      <c r="V1499" s="1" t="s">
        <v>4070</v>
      </c>
      <c r="W1499" s="1"/>
    </row>
    <row r="1500" spans="1:23" x14ac:dyDescent="0.2">
      <c r="A1500" s="88" t="s">
        <v>16800</v>
      </c>
      <c r="B1500" s="1" t="e">
        <v>#N/A</v>
      </c>
      <c r="C1500" s="1" t="e">
        <v>#N/A</v>
      </c>
      <c r="D1500" s="1" t="s">
        <v>4071</v>
      </c>
      <c r="E1500" s="1" t="s">
        <v>4072</v>
      </c>
      <c r="F1500" s="1" t="s">
        <v>10032</v>
      </c>
      <c r="G1500" s="1" t="s">
        <v>8957</v>
      </c>
      <c r="H1500" t="s">
        <v>8959</v>
      </c>
      <c r="I1500" s="1" t="s">
        <v>9154</v>
      </c>
      <c r="J1500" s="1" t="s">
        <v>11607</v>
      </c>
      <c r="K1500" s="1" t="s">
        <v>10492</v>
      </c>
      <c r="L1500" s="1" t="s">
        <v>8973</v>
      </c>
      <c r="M1500" s="1">
        <v>500</v>
      </c>
      <c r="N1500" s="1" t="s">
        <v>9059</v>
      </c>
      <c r="O1500" s="1" t="s">
        <v>20828</v>
      </c>
      <c r="P1500" s="1" t="e">
        <v>#N/A</v>
      </c>
      <c r="Q1500" s="1" t="e">
        <v>#N/A</v>
      </c>
      <c r="R1500" s="1">
        <f t="shared" si="442"/>
        <v>14</v>
      </c>
      <c r="S1500" s="1" t="str">
        <f t="shared" si="443"/>
        <v>&gt;7</v>
      </c>
      <c r="T1500" s="1" t="s">
        <v>20630</v>
      </c>
      <c r="U1500" s="1" t="s">
        <v>17</v>
      </c>
      <c r="V1500" s="1" t="s">
        <v>61</v>
      </c>
      <c r="W1500" s="1"/>
    </row>
    <row r="1501" spans="1:23" x14ac:dyDescent="0.2">
      <c r="A1501" s="88" t="s">
        <v>16801</v>
      </c>
      <c r="B1501" s="1" t="e">
        <v>#N/A</v>
      </c>
      <c r="C1501" s="1" t="e">
        <v>#N/A</v>
      </c>
      <c r="D1501" s="1" t="s">
        <v>4073</v>
      </c>
      <c r="E1501" s="1" t="s">
        <v>4074</v>
      </c>
      <c r="F1501" s="1" t="s">
        <v>9213</v>
      </c>
      <c r="G1501" s="1" t="s">
        <v>8957</v>
      </c>
      <c r="H1501" t="s">
        <v>8959</v>
      </c>
      <c r="I1501" s="1" t="s">
        <v>8948</v>
      </c>
      <c r="J1501" s="1" t="s">
        <v>8949</v>
      </c>
      <c r="K1501" s="1" t="s">
        <v>21314</v>
      </c>
      <c r="L1501" s="1" t="s">
        <v>8973</v>
      </c>
      <c r="M1501" s="1">
        <f>176*50</f>
        <v>8800</v>
      </c>
      <c r="N1501" s="1" t="s">
        <v>8953</v>
      </c>
      <c r="O1501" s="1" t="s">
        <v>8989</v>
      </c>
      <c r="P1501" s="1" t="e">
        <v>#N/A</v>
      </c>
      <c r="Q1501" s="1" t="e">
        <v>#N/A</v>
      </c>
      <c r="R1501" s="1">
        <f t="shared" si="442"/>
        <v>3</v>
      </c>
      <c r="S1501" s="1" t="str">
        <f t="shared" si="443"/>
        <v>&lt;4</v>
      </c>
      <c r="T1501" s="1" t="s">
        <v>19382</v>
      </c>
      <c r="U1501" s="1" t="s">
        <v>7</v>
      </c>
      <c r="V1501" s="1" t="s">
        <v>110</v>
      </c>
      <c r="W1501" s="1"/>
    </row>
    <row r="1502" spans="1:23" x14ac:dyDescent="0.2">
      <c r="A1502" s="88" t="s">
        <v>16802</v>
      </c>
      <c r="B1502" s="1" t="e">
        <v>#N/A</v>
      </c>
      <c r="C1502" s="1" t="e">
        <v>#N/A</v>
      </c>
      <c r="D1502" s="1" t="s">
        <v>4075</v>
      </c>
      <c r="E1502" s="1" t="s">
        <v>4076</v>
      </c>
      <c r="F1502" s="1" t="s">
        <v>9213</v>
      </c>
      <c r="G1502" s="1" t="s">
        <v>8957</v>
      </c>
      <c r="H1502" t="s">
        <v>8959</v>
      </c>
      <c r="I1502" s="1" t="s">
        <v>9092</v>
      </c>
      <c r="J1502" s="1" t="s">
        <v>9308</v>
      </c>
      <c r="K1502" s="1" t="s">
        <v>21230</v>
      </c>
      <c r="L1502" s="1" t="s">
        <v>8987</v>
      </c>
      <c r="M1502" s="1">
        <v>786</v>
      </c>
      <c r="N1502" s="1" t="s">
        <v>8953</v>
      </c>
      <c r="O1502" s="1" t="s">
        <v>8989</v>
      </c>
      <c r="P1502" s="1" t="e">
        <v>#N/A</v>
      </c>
      <c r="Q1502" s="1" t="e">
        <v>#N/A</v>
      </c>
      <c r="R1502" s="1">
        <f t="shared" si="442"/>
        <v>6</v>
      </c>
      <c r="S1502" s="1" t="str">
        <f t="shared" si="443"/>
        <v>4-7</v>
      </c>
      <c r="T1502" s="1" t="s">
        <v>19383</v>
      </c>
      <c r="U1502" s="1" t="s">
        <v>7</v>
      </c>
      <c r="V1502" s="1" t="s">
        <v>24</v>
      </c>
      <c r="W1502" s="1"/>
    </row>
    <row r="1503" spans="1:23" x14ac:dyDescent="0.2">
      <c r="A1503" s="88" t="s">
        <v>16803</v>
      </c>
      <c r="B1503" s="1" t="e">
        <v>#N/A</v>
      </c>
      <c r="C1503" s="1" t="s">
        <v>9971</v>
      </c>
      <c r="D1503" s="1" t="s">
        <v>4077</v>
      </c>
      <c r="E1503" s="1" t="s">
        <v>4078</v>
      </c>
      <c r="F1503" s="1" t="s">
        <v>9010</v>
      </c>
      <c r="G1503" s="1" t="s">
        <v>8957</v>
      </c>
      <c r="H1503" t="s">
        <v>9183</v>
      </c>
      <c r="I1503" s="1" t="s">
        <v>9049</v>
      </c>
      <c r="J1503" s="1" t="s">
        <v>9325</v>
      </c>
      <c r="K1503" s="1" t="s">
        <v>21206</v>
      </c>
      <c r="L1503" s="1" t="s">
        <v>9076</v>
      </c>
      <c r="M1503" s="1">
        <v>401098</v>
      </c>
      <c r="N1503" s="1" t="s">
        <v>8953</v>
      </c>
      <c r="O1503" s="1" t="s">
        <v>8954</v>
      </c>
      <c r="P1503" s="1" t="s">
        <v>8955</v>
      </c>
      <c r="Q1503" s="1" t="s">
        <v>8956</v>
      </c>
      <c r="R1503" s="1" t="s">
        <v>8957</v>
      </c>
      <c r="S1503" s="1" t="s">
        <v>8975</v>
      </c>
      <c r="T1503" s="1" t="s">
        <v>4079</v>
      </c>
      <c r="U1503" s="1" t="s">
        <v>17</v>
      </c>
      <c r="V1503" s="1" t="s">
        <v>24</v>
      </c>
      <c r="W1503" s="1"/>
    </row>
    <row r="1504" spans="1:23" x14ac:dyDescent="0.2">
      <c r="A1504" s="88" t="s">
        <v>16804</v>
      </c>
      <c r="B1504" s="1" t="e">
        <v>#N/A</v>
      </c>
      <c r="C1504" s="1" t="s">
        <v>15199</v>
      </c>
      <c r="D1504" s="1" t="s">
        <v>4080</v>
      </c>
      <c r="E1504" s="1" t="s">
        <v>4081</v>
      </c>
      <c r="F1504" s="1" t="s">
        <v>10446</v>
      </c>
      <c r="G1504" s="1" t="s">
        <v>8959</v>
      </c>
      <c r="H1504" t="s">
        <v>8959</v>
      </c>
      <c r="I1504" s="1" t="s">
        <v>9252</v>
      </c>
      <c r="J1504" s="1" t="s">
        <v>8971</v>
      </c>
      <c r="K1504" s="1" t="s">
        <v>21465</v>
      </c>
      <c r="L1504" s="1" t="s">
        <v>8987</v>
      </c>
      <c r="M1504" s="1">
        <v>420</v>
      </c>
      <c r="N1504" s="1" t="s">
        <v>8953</v>
      </c>
      <c r="O1504" s="1" t="s">
        <v>8954</v>
      </c>
      <c r="P1504" s="1" t="s">
        <v>8955</v>
      </c>
      <c r="Q1504" s="1" t="s">
        <v>8956</v>
      </c>
      <c r="R1504" s="1" t="s">
        <v>8959</v>
      </c>
      <c r="S1504" s="1" t="s">
        <v>8958</v>
      </c>
      <c r="T1504" s="1" t="s">
        <v>4082</v>
      </c>
      <c r="U1504" s="1" t="s">
        <v>11</v>
      </c>
      <c r="V1504" s="1" t="s">
        <v>35</v>
      </c>
      <c r="W1504" s="1"/>
    </row>
    <row r="1505" spans="1:23" x14ac:dyDescent="0.2">
      <c r="A1505" s="88" t="s">
        <v>16805</v>
      </c>
      <c r="B1505" s="1" t="e">
        <v>#N/A</v>
      </c>
      <c r="C1505" s="1" t="s">
        <v>11170</v>
      </c>
      <c r="D1505" s="1" t="s">
        <v>4083</v>
      </c>
      <c r="E1505" s="1" t="s">
        <v>4084</v>
      </c>
      <c r="F1505" s="1" t="s">
        <v>9213</v>
      </c>
      <c r="G1505" s="1" t="s">
        <v>8957</v>
      </c>
      <c r="H1505" t="s">
        <v>9061</v>
      </c>
      <c r="I1505" s="1" t="s">
        <v>9100</v>
      </c>
      <c r="J1505" s="1" t="s">
        <v>8998</v>
      </c>
      <c r="K1505" s="1" t="s">
        <v>11173</v>
      </c>
      <c r="L1505" s="1" t="s">
        <v>9076</v>
      </c>
      <c r="M1505" s="1">
        <v>4682</v>
      </c>
      <c r="N1505" s="1" t="s">
        <v>8953</v>
      </c>
      <c r="O1505" s="1" t="s">
        <v>8989</v>
      </c>
      <c r="P1505" s="1" t="s">
        <v>8955</v>
      </c>
      <c r="Q1505" s="1" t="s">
        <v>8956</v>
      </c>
      <c r="R1505" s="1" t="s">
        <v>8957</v>
      </c>
      <c r="S1505" s="1" t="s">
        <v>9103</v>
      </c>
      <c r="T1505" s="1" t="s">
        <v>4085</v>
      </c>
      <c r="U1505" s="1" t="s">
        <v>17</v>
      </c>
      <c r="V1505" s="1" t="s">
        <v>93</v>
      </c>
      <c r="W1505" s="1"/>
    </row>
    <row r="1506" spans="1:23" x14ac:dyDescent="0.2">
      <c r="A1506" s="88" t="s">
        <v>16806</v>
      </c>
      <c r="B1506" s="1" t="e">
        <v>#N/A</v>
      </c>
      <c r="C1506" s="1" t="s">
        <v>9857</v>
      </c>
      <c r="D1506" s="1" t="s">
        <v>4086</v>
      </c>
      <c r="E1506" s="1" t="s">
        <v>4087</v>
      </c>
      <c r="F1506" s="1" t="s">
        <v>9213</v>
      </c>
      <c r="G1506" s="1" t="s">
        <v>8957</v>
      </c>
      <c r="H1506" t="s">
        <v>8959</v>
      </c>
      <c r="I1506" s="1" t="s">
        <v>9035</v>
      </c>
      <c r="J1506" s="1" t="s">
        <v>9308</v>
      </c>
      <c r="K1506" s="1" t="s">
        <v>8972</v>
      </c>
      <c r="L1506" s="1" t="s">
        <v>9076</v>
      </c>
      <c r="M1506" s="1">
        <v>1012</v>
      </c>
      <c r="N1506" s="1" t="s">
        <v>8953</v>
      </c>
      <c r="O1506" s="1" t="s">
        <v>8954</v>
      </c>
      <c r="P1506" s="1" t="s">
        <v>8955</v>
      </c>
      <c r="Q1506" s="1" t="s">
        <v>8990</v>
      </c>
      <c r="R1506" s="1" t="s">
        <v>8957</v>
      </c>
      <c r="S1506" s="1" t="s">
        <v>8958</v>
      </c>
      <c r="T1506" s="1" t="s">
        <v>4088</v>
      </c>
      <c r="U1506" s="1" t="s">
        <v>17</v>
      </c>
      <c r="V1506" s="1" t="s">
        <v>378</v>
      </c>
      <c r="W1506" s="1"/>
    </row>
    <row r="1507" spans="1:23" x14ac:dyDescent="0.2">
      <c r="A1507" s="88" t="s">
        <v>16807</v>
      </c>
      <c r="B1507" s="1" t="e">
        <v>#N/A</v>
      </c>
      <c r="C1507" s="1" t="s">
        <v>11482</v>
      </c>
      <c r="D1507" s="1" t="s">
        <v>4089</v>
      </c>
      <c r="E1507" s="1" t="s">
        <v>4090</v>
      </c>
      <c r="F1507" s="1" t="s">
        <v>9213</v>
      </c>
      <c r="G1507" s="1" t="s">
        <v>8957</v>
      </c>
      <c r="H1507" t="s">
        <v>9183</v>
      </c>
      <c r="I1507" s="1" t="s">
        <v>9035</v>
      </c>
      <c r="J1507" s="1" t="s">
        <v>8998</v>
      </c>
      <c r="K1507" s="1" t="s">
        <v>8972</v>
      </c>
      <c r="L1507" s="1" t="s">
        <v>9076</v>
      </c>
      <c r="M1507" s="1">
        <v>40</v>
      </c>
      <c r="N1507" s="1" t="s">
        <v>9059</v>
      </c>
      <c r="O1507" s="1" t="s">
        <v>8989</v>
      </c>
      <c r="P1507" s="1" t="s">
        <v>8955</v>
      </c>
      <c r="Q1507" s="1" t="s">
        <v>8956</v>
      </c>
      <c r="R1507" s="1" t="s">
        <v>8957</v>
      </c>
      <c r="S1507" s="1" t="s">
        <v>9103</v>
      </c>
      <c r="T1507" s="1" t="s">
        <v>4091</v>
      </c>
      <c r="U1507" s="1" t="s">
        <v>17</v>
      </c>
      <c r="V1507" s="1" t="s">
        <v>87</v>
      </c>
      <c r="W1507" s="1"/>
    </row>
    <row r="1508" spans="1:23" x14ac:dyDescent="0.2">
      <c r="A1508" s="88" t="s">
        <v>16808</v>
      </c>
      <c r="B1508" s="1" t="e">
        <v>#N/A</v>
      </c>
      <c r="C1508" s="1" t="s">
        <v>12043</v>
      </c>
      <c r="D1508" s="1" t="s">
        <v>4092</v>
      </c>
      <c r="E1508" s="1" t="s">
        <v>4093</v>
      </c>
      <c r="F1508" s="1" t="s">
        <v>9213</v>
      </c>
      <c r="G1508" s="1" t="s">
        <v>8957</v>
      </c>
      <c r="H1508" t="s">
        <v>9061</v>
      </c>
      <c r="I1508" s="1" t="s">
        <v>9100</v>
      </c>
      <c r="J1508" s="1" t="s">
        <v>8949</v>
      </c>
      <c r="K1508" s="1" t="s">
        <v>8972</v>
      </c>
      <c r="L1508" s="1" t="s">
        <v>9076</v>
      </c>
      <c r="M1508" s="1">
        <v>1200</v>
      </c>
      <c r="N1508" s="1" t="s">
        <v>8953</v>
      </c>
      <c r="O1508" s="1" t="s">
        <v>8954</v>
      </c>
      <c r="P1508" s="1" t="s">
        <v>8955</v>
      </c>
      <c r="Q1508" s="1" t="s">
        <v>8956</v>
      </c>
      <c r="R1508" s="1" t="s">
        <v>8957</v>
      </c>
      <c r="S1508" s="1" t="s">
        <v>8958</v>
      </c>
      <c r="T1508" s="1" t="s">
        <v>4094</v>
      </c>
      <c r="U1508" s="1" t="s">
        <v>11</v>
      </c>
      <c r="V1508" s="1" t="s">
        <v>1076</v>
      </c>
      <c r="W1508" s="1"/>
    </row>
    <row r="1509" spans="1:23" x14ac:dyDescent="0.2">
      <c r="A1509" s="88" t="s">
        <v>16809</v>
      </c>
      <c r="B1509" s="1" t="e">
        <v>#N/A</v>
      </c>
      <c r="C1509" s="1" t="e">
        <v>#N/A</v>
      </c>
      <c r="D1509" s="1" t="s">
        <v>4095</v>
      </c>
      <c r="E1509" s="1" t="s">
        <v>4096</v>
      </c>
      <c r="F1509" s="1" t="s">
        <v>9213</v>
      </c>
      <c r="G1509" s="1" t="s">
        <v>8957</v>
      </c>
      <c r="H1509" t="s">
        <v>9061</v>
      </c>
      <c r="I1509" s="1" t="s">
        <v>9100</v>
      </c>
      <c r="J1509" s="1" t="s">
        <v>8949</v>
      </c>
      <c r="K1509" s="1" t="s">
        <v>21210</v>
      </c>
      <c r="L1509" s="1" t="s">
        <v>9133</v>
      </c>
      <c r="M1509" s="1">
        <v>801</v>
      </c>
      <c r="N1509" s="1" t="s">
        <v>9059</v>
      </c>
      <c r="O1509" s="1" t="s">
        <v>8954</v>
      </c>
      <c r="P1509" s="1" t="e">
        <v>#N/A</v>
      </c>
      <c r="Q1509" s="1" t="e">
        <v>#N/A</v>
      </c>
      <c r="R1509" s="1">
        <f t="shared" ref="R1509:R1511" si="444">1+LEN(T1509)-LEN(SUBSTITUTE(T1509,",",))</f>
        <v>4</v>
      </c>
      <c r="S1509" s="1" t="str">
        <f t="shared" ref="S1509:S1511" si="445">IF(R1509&gt;4,IF(R1509&lt;8,"4-7",IF(R1509&gt;7,"&gt;7")),"&lt;4")</f>
        <v>&lt;4</v>
      </c>
      <c r="T1509" s="1" t="s">
        <v>19384</v>
      </c>
      <c r="U1509" s="1" t="s">
        <v>17</v>
      </c>
      <c r="V1509" s="1" t="s">
        <v>392</v>
      </c>
      <c r="W1509" s="1"/>
    </row>
    <row r="1510" spans="1:23" x14ac:dyDescent="0.2">
      <c r="A1510" s="88" t="s">
        <v>16810</v>
      </c>
      <c r="B1510" s="1" t="e">
        <v>#N/A</v>
      </c>
      <c r="C1510" s="1" t="e">
        <v>#N/A</v>
      </c>
      <c r="D1510" s="1" t="s">
        <v>4097</v>
      </c>
      <c r="E1510" s="1" t="s">
        <v>4098</v>
      </c>
      <c r="F1510" s="1" t="s">
        <v>18502</v>
      </c>
      <c r="G1510" s="1" t="s">
        <v>8957</v>
      </c>
      <c r="H1510" t="s">
        <v>8959</v>
      </c>
      <c r="I1510" s="1" t="s">
        <v>8984</v>
      </c>
      <c r="J1510" s="1" t="s">
        <v>9131</v>
      </c>
      <c r="K1510" s="1" t="s">
        <v>21423</v>
      </c>
      <c r="L1510" s="1" t="s">
        <v>8973</v>
      </c>
      <c r="M1510" s="1">
        <v>1600</v>
      </c>
      <c r="N1510" s="1" t="s">
        <v>8953</v>
      </c>
      <c r="O1510" s="1" t="s">
        <v>8954</v>
      </c>
      <c r="P1510" s="1" t="e">
        <v>#N/A</v>
      </c>
      <c r="Q1510" s="1" t="e">
        <v>#N/A</v>
      </c>
      <c r="R1510" s="1">
        <f t="shared" si="444"/>
        <v>5</v>
      </c>
      <c r="S1510" s="1" t="str">
        <f t="shared" si="445"/>
        <v>4-7</v>
      </c>
      <c r="T1510" s="1" t="s">
        <v>19385</v>
      </c>
      <c r="U1510" s="1" t="s">
        <v>17</v>
      </c>
      <c r="V1510" s="1" t="s">
        <v>2082</v>
      </c>
      <c r="W1510" s="1"/>
    </row>
    <row r="1511" spans="1:23" x14ac:dyDescent="0.2">
      <c r="A1511" s="88" t="s">
        <v>16811</v>
      </c>
      <c r="B1511" s="1" t="e">
        <v>#N/A</v>
      </c>
      <c r="C1511" s="1" t="e">
        <v>#N/A</v>
      </c>
      <c r="D1511" s="1" t="s">
        <v>4099</v>
      </c>
      <c r="E1511" s="1" t="s">
        <v>4100</v>
      </c>
      <c r="F1511" s="1" t="s">
        <v>9213</v>
      </c>
      <c r="G1511" s="1" t="s">
        <v>8957</v>
      </c>
      <c r="H1511" t="s">
        <v>8959</v>
      </c>
      <c r="I1511" s="1" t="s">
        <v>9100</v>
      </c>
      <c r="J1511" s="1" t="s">
        <v>8949</v>
      </c>
      <c r="K1511" s="1" t="s">
        <v>20863</v>
      </c>
      <c r="L1511" s="1" t="s">
        <v>9292</v>
      </c>
      <c r="M1511" s="1">
        <v>1618</v>
      </c>
      <c r="N1511" s="1" t="s">
        <v>9059</v>
      </c>
      <c r="O1511" s="1" t="s">
        <v>8954</v>
      </c>
      <c r="P1511" s="1" t="e">
        <v>#N/A</v>
      </c>
      <c r="Q1511" s="1" t="e">
        <v>#N/A</v>
      </c>
      <c r="R1511" s="1">
        <f t="shared" si="444"/>
        <v>5</v>
      </c>
      <c r="S1511" s="1" t="str">
        <f t="shared" si="445"/>
        <v>4-7</v>
      </c>
      <c r="T1511" s="1" t="s">
        <v>19386</v>
      </c>
      <c r="U1511" s="1" t="s">
        <v>17</v>
      </c>
      <c r="V1511" s="1" t="s">
        <v>24</v>
      </c>
      <c r="W1511" s="1"/>
    </row>
    <row r="1512" spans="1:23" x14ac:dyDescent="0.2">
      <c r="A1512" s="88" t="s">
        <v>16812</v>
      </c>
      <c r="B1512" s="1" t="e">
        <v>#N/A</v>
      </c>
      <c r="C1512" s="1" t="s">
        <v>12882</v>
      </c>
      <c r="D1512" s="1" t="s">
        <v>4101</v>
      </c>
      <c r="E1512" s="1" t="s">
        <v>4102</v>
      </c>
      <c r="F1512" s="1" t="s">
        <v>9213</v>
      </c>
      <c r="G1512" s="1" t="s">
        <v>8957</v>
      </c>
      <c r="H1512" t="s">
        <v>9183</v>
      </c>
      <c r="I1512" s="1" t="s">
        <v>8984</v>
      </c>
      <c r="J1512" s="1" t="s">
        <v>8998</v>
      </c>
      <c r="K1512" s="1" t="s">
        <v>21231</v>
      </c>
      <c r="L1512" s="1" t="s">
        <v>8987</v>
      </c>
      <c r="M1512" s="1">
        <v>80</v>
      </c>
      <c r="N1512" s="1" t="s">
        <v>8953</v>
      </c>
      <c r="O1512" s="1" t="s">
        <v>8989</v>
      </c>
      <c r="P1512" s="1" t="s">
        <v>8955</v>
      </c>
      <c r="Q1512" s="1" t="s">
        <v>8956</v>
      </c>
      <c r="R1512" s="1" t="s">
        <v>8957</v>
      </c>
      <c r="S1512" s="1" t="s">
        <v>8958</v>
      </c>
      <c r="T1512" s="1" t="s">
        <v>4103</v>
      </c>
      <c r="U1512" s="1" t="s">
        <v>11</v>
      </c>
      <c r="V1512" s="1" t="s">
        <v>93</v>
      </c>
      <c r="W1512" s="1"/>
    </row>
    <row r="1513" spans="1:23" x14ac:dyDescent="0.2">
      <c r="A1513" s="88" t="s">
        <v>16813</v>
      </c>
      <c r="B1513" s="1" t="e">
        <v>#N/A</v>
      </c>
      <c r="C1513" s="1" t="e">
        <v>#N/A</v>
      </c>
      <c r="D1513" s="1" t="s">
        <v>4104</v>
      </c>
      <c r="E1513" s="1" t="s">
        <v>4105</v>
      </c>
      <c r="F1513" s="1" t="s">
        <v>18502</v>
      </c>
      <c r="G1513" s="1" t="s">
        <v>8959</v>
      </c>
      <c r="H1513" t="s">
        <v>9061</v>
      </c>
      <c r="I1513" s="1" t="s">
        <v>20712</v>
      </c>
      <c r="J1513" s="1" t="s">
        <v>8998</v>
      </c>
      <c r="K1513" s="1" t="s">
        <v>18489</v>
      </c>
      <c r="L1513" s="1" t="s">
        <v>9076</v>
      </c>
      <c r="M1513" s="1">
        <v>720</v>
      </c>
      <c r="N1513" s="1" t="s">
        <v>8953</v>
      </c>
      <c r="O1513" s="1" t="s">
        <v>8989</v>
      </c>
      <c r="P1513" s="1" t="e">
        <v>#N/A</v>
      </c>
      <c r="Q1513" s="1" t="e">
        <v>#N/A</v>
      </c>
      <c r="R1513" s="1">
        <f>1+LEN(T1513)-LEN(SUBSTITUTE(T1513,",",))</f>
        <v>6</v>
      </c>
      <c r="S1513" s="1" t="str">
        <f>IF(R1513&gt;4,IF(R1513&lt;8,"4-7",IF(R1513&gt;7,"&gt;7")),"&lt;4")</f>
        <v>4-7</v>
      </c>
      <c r="T1513" s="1" t="s">
        <v>19387</v>
      </c>
      <c r="U1513" s="1" t="s">
        <v>17</v>
      </c>
      <c r="V1513" s="1" t="s">
        <v>24</v>
      </c>
      <c r="W1513" s="1"/>
    </row>
    <row r="1514" spans="1:23" x14ac:dyDescent="0.2">
      <c r="A1514" s="88" t="s">
        <v>16814</v>
      </c>
      <c r="B1514" s="1" t="e">
        <v>#N/A</v>
      </c>
      <c r="C1514" s="1" t="s">
        <v>13501</v>
      </c>
      <c r="D1514" s="1" t="s">
        <v>4106</v>
      </c>
      <c r="E1514" s="1" t="s">
        <v>4107</v>
      </c>
      <c r="F1514" s="1" t="s">
        <v>9010</v>
      </c>
      <c r="G1514" s="1" t="s">
        <v>8959</v>
      </c>
      <c r="H1514" t="s">
        <v>9061</v>
      </c>
      <c r="I1514" s="1" t="s">
        <v>9154</v>
      </c>
      <c r="J1514" s="1" t="s">
        <v>9174</v>
      </c>
      <c r="K1514" s="1" t="s">
        <v>9436</v>
      </c>
      <c r="L1514" s="1" t="s">
        <v>8951</v>
      </c>
      <c r="M1514" s="1">
        <v>2265</v>
      </c>
      <c r="N1514" s="1" t="s">
        <v>8953</v>
      </c>
      <c r="O1514" s="1" t="s">
        <v>8989</v>
      </c>
      <c r="P1514" s="1" t="s">
        <v>8955</v>
      </c>
      <c r="Q1514" s="1" t="s">
        <v>8956</v>
      </c>
      <c r="R1514" s="1" t="s">
        <v>8959</v>
      </c>
      <c r="S1514" s="1" t="s">
        <v>8958</v>
      </c>
      <c r="T1514" s="1" t="s">
        <v>4108</v>
      </c>
      <c r="U1514" s="1" t="s">
        <v>11</v>
      </c>
      <c r="V1514" s="1" t="s">
        <v>87</v>
      </c>
      <c r="W1514" s="1"/>
    </row>
    <row r="1515" spans="1:23" x14ac:dyDescent="0.2">
      <c r="A1515" s="89" t="s">
        <v>4109</v>
      </c>
      <c r="B1515" s="1" t="e">
        <v>#N/A</v>
      </c>
      <c r="C1515" s="1" t="e">
        <v>#N/A</v>
      </c>
      <c r="D1515" s="1" t="s">
        <v>4110</v>
      </c>
      <c r="E1515" s="1" t="s">
        <v>4111</v>
      </c>
      <c r="F1515" s="1" t="e">
        <v>#N/A</v>
      </c>
      <c r="G1515" s="1" t="e">
        <v>#N/A</v>
      </c>
      <c r="H1515" t="e">
        <v>#N/A</v>
      </c>
      <c r="I1515" s="1" t="e">
        <v>#N/A</v>
      </c>
      <c r="J1515" s="1" t="e">
        <v>#N/A</v>
      </c>
      <c r="K1515" s="1" t="e">
        <v>#N/A</v>
      </c>
      <c r="L1515" s="1" t="e">
        <v>#N/A</v>
      </c>
      <c r="M1515" s="1" t="e">
        <v>#N/A</v>
      </c>
      <c r="N1515" s="1" t="e">
        <v>#N/A</v>
      </c>
      <c r="O1515" s="1" t="e">
        <v>#N/A</v>
      </c>
      <c r="P1515" s="1" t="e">
        <v>#N/A</v>
      </c>
      <c r="Q1515" s="1" t="e">
        <v>#N/A</v>
      </c>
      <c r="R1515" s="1">
        <f>1+LEN(T1515)-LEN(SUBSTITUTE(T1515,",",))</f>
        <v>9</v>
      </c>
      <c r="S1515" s="1" t="str">
        <f>IF(R1515&gt;4,IF(R1515&lt;8,"4-7",IF(R1515&gt;7,"&gt;7")),"&lt;4")</f>
        <v>&gt;7</v>
      </c>
      <c r="T1515" s="1" t="s">
        <v>19388</v>
      </c>
      <c r="U1515" s="1" t="s">
        <v>7</v>
      </c>
      <c r="V1515" s="1" t="s">
        <v>1726</v>
      </c>
      <c r="W1515" s="1"/>
    </row>
    <row r="1516" spans="1:23" ht="42.75" x14ac:dyDescent="0.2">
      <c r="A1516" s="88" t="s">
        <v>16815</v>
      </c>
      <c r="B1516" s="1" t="e">
        <v>#N/A</v>
      </c>
      <c r="C1516" s="1" t="s">
        <v>14000</v>
      </c>
      <c r="D1516" s="1" t="s">
        <v>4112</v>
      </c>
      <c r="E1516" s="1" t="s">
        <v>4113</v>
      </c>
      <c r="F1516" s="1" t="s">
        <v>9010</v>
      </c>
      <c r="G1516" s="1" t="s">
        <v>8959</v>
      </c>
      <c r="H1516" t="s">
        <v>9009</v>
      </c>
      <c r="I1516" s="1" t="s">
        <v>9092</v>
      </c>
      <c r="J1516" s="1" t="s">
        <v>9308</v>
      </c>
      <c r="K1516" s="101" t="s">
        <v>21516</v>
      </c>
      <c r="L1516" s="1" t="s">
        <v>8973</v>
      </c>
      <c r="M1516" s="1">
        <v>8325</v>
      </c>
      <c r="N1516" s="1" t="s">
        <v>8953</v>
      </c>
      <c r="O1516" s="1" t="s">
        <v>8989</v>
      </c>
      <c r="P1516" s="1" t="s">
        <v>8955</v>
      </c>
      <c r="Q1516" s="1" t="s">
        <v>8956</v>
      </c>
      <c r="R1516" s="1" t="s">
        <v>8959</v>
      </c>
      <c r="S1516" s="1" t="s">
        <v>8975</v>
      </c>
      <c r="T1516" s="1" t="s">
        <v>4114</v>
      </c>
      <c r="U1516" s="1" t="s">
        <v>4</v>
      </c>
      <c r="V1516" s="1" t="s">
        <v>87</v>
      </c>
      <c r="W1516" s="1"/>
    </row>
    <row r="1517" spans="1:23" x14ac:dyDescent="0.2">
      <c r="A1517" s="88" t="s">
        <v>16816</v>
      </c>
      <c r="B1517" s="1" t="e">
        <v>#N/A</v>
      </c>
      <c r="C1517" s="1" t="s">
        <v>13793</v>
      </c>
      <c r="D1517" s="1" t="s">
        <v>4115</v>
      </c>
      <c r="E1517" s="1" t="s">
        <v>4116</v>
      </c>
      <c r="F1517" s="1" t="s">
        <v>9010</v>
      </c>
      <c r="G1517" s="1" t="s">
        <v>8957</v>
      </c>
      <c r="H1517" t="s">
        <v>9061</v>
      </c>
      <c r="I1517" s="1" t="s">
        <v>9092</v>
      </c>
      <c r="J1517" s="1" t="s">
        <v>8998</v>
      </c>
      <c r="K1517" s="1" t="s">
        <v>9436</v>
      </c>
      <c r="L1517" s="1" t="s">
        <v>8973</v>
      </c>
      <c r="M1517" s="1">
        <v>400</v>
      </c>
      <c r="N1517" s="1" t="s">
        <v>9059</v>
      </c>
      <c r="O1517" s="1" t="s">
        <v>8989</v>
      </c>
      <c r="P1517" s="1" t="s">
        <v>8955</v>
      </c>
      <c r="Q1517" s="1" t="s">
        <v>8956</v>
      </c>
      <c r="R1517" s="1" t="s">
        <v>8957</v>
      </c>
      <c r="S1517" s="1" t="s">
        <v>8958</v>
      </c>
      <c r="T1517" s="1" t="s">
        <v>4117</v>
      </c>
      <c r="U1517" s="1" t="s">
        <v>4</v>
      </c>
      <c r="V1517" s="1" t="s">
        <v>87</v>
      </c>
      <c r="W1517" s="1"/>
    </row>
    <row r="1518" spans="1:23" x14ac:dyDescent="0.2">
      <c r="A1518" s="88" t="s">
        <v>20864</v>
      </c>
      <c r="B1518" s="1" t="e">
        <v>#N/A</v>
      </c>
      <c r="C1518" s="1" t="e">
        <v>#N/A</v>
      </c>
      <c r="D1518" s="1" t="s">
        <v>4118</v>
      </c>
      <c r="E1518" s="1" t="s">
        <v>4119</v>
      </c>
      <c r="F1518" s="1" t="s">
        <v>9213</v>
      </c>
      <c r="G1518" s="1" t="s">
        <v>8957</v>
      </c>
      <c r="H1518" t="s">
        <v>8959</v>
      </c>
      <c r="I1518" s="1" t="s">
        <v>8948</v>
      </c>
      <c r="J1518" s="1" t="s">
        <v>8949</v>
      </c>
      <c r="K1518" s="1" t="s">
        <v>20779</v>
      </c>
      <c r="L1518" s="1" t="s">
        <v>9076</v>
      </c>
      <c r="M1518" s="1">
        <v>50000</v>
      </c>
      <c r="N1518" s="1" t="s">
        <v>8953</v>
      </c>
      <c r="O1518" s="1" t="s">
        <v>8989</v>
      </c>
      <c r="P1518" s="1" t="e">
        <v>#N/A</v>
      </c>
      <c r="Q1518" s="1" t="e">
        <v>#N/A</v>
      </c>
      <c r="R1518" s="1">
        <f t="shared" ref="R1518:R1526" si="446">1+LEN(T1518)-LEN(SUBSTITUTE(T1518,",",))</f>
        <v>2</v>
      </c>
      <c r="S1518" s="1" t="str">
        <f t="shared" ref="S1518:S1526" si="447">IF(R1518&gt;4,IF(R1518&lt;8,"4-7",IF(R1518&gt;7,"&gt;7")),"&lt;4")</f>
        <v>&lt;4</v>
      </c>
      <c r="T1518" s="1" t="s">
        <v>19389</v>
      </c>
      <c r="U1518" s="1" t="s">
        <v>17</v>
      </c>
      <c r="V1518" s="1" t="s">
        <v>161</v>
      </c>
      <c r="W1518" s="1"/>
    </row>
    <row r="1519" spans="1:23" x14ac:dyDescent="0.2">
      <c r="A1519" s="88" t="s">
        <v>16817</v>
      </c>
      <c r="B1519" s="1" t="e">
        <v>#N/A</v>
      </c>
      <c r="C1519" s="1" t="e">
        <v>#N/A</v>
      </c>
      <c r="D1519" s="1" t="s">
        <v>4120</v>
      </c>
      <c r="E1519" s="1" t="s">
        <v>4121</v>
      </c>
      <c r="F1519" s="1" t="e">
        <v>#N/A</v>
      </c>
      <c r="G1519" s="1" t="e">
        <v>#N/A</v>
      </c>
      <c r="H1519" t="e">
        <v>#N/A</v>
      </c>
      <c r="I1519" s="1" t="e">
        <v>#N/A</v>
      </c>
      <c r="J1519" s="1" t="e">
        <v>#N/A</v>
      </c>
      <c r="K1519" s="1" t="e">
        <v>#N/A</v>
      </c>
      <c r="L1519" s="1" t="e">
        <v>#N/A</v>
      </c>
      <c r="M1519" s="1" t="e">
        <v>#N/A</v>
      </c>
      <c r="N1519" s="1" t="e">
        <v>#N/A</v>
      </c>
      <c r="O1519" s="1" t="e">
        <v>#N/A</v>
      </c>
      <c r="P1519" s="1" t="e">
        <v>#N/A</v>
      </c>
      <c r="Q1519" s="1" t="e">
        <v>#N/A</v>
      </c>
      <c r="R1519" s="1">
        <f t="shared" si="446"/>
        <v>10</v>
      </c>
      <c r="S1519" s="1" t="str">
        <f t="shared" si="447"/>
        <v>&gt;7</v>
      </c>
      <c r="T1519" s="1" t="s">
        <v>19390</v>
      </c>
      <c r="U1519" s="1" t="s">
        <v>252</v>
      </c>
      <c r="V1519" s="1" t="s">
        <v>4122</v>
      </c>
      <c r="W1519" s="1"/>
    </row>
    <row r="1520" spans="1:23" x14ac:dyDescent="0.2">
      <c r="A1520" s="89" t="s">
        <v>16818</v>
      </c>
      <c r="B1520" s="1" t="e">
        <v>#N/A</v>
      </c>
      <c r="C1520" s="1" t="e">
        <v>#N/A</v>
      </c>
      <c r="D1520" s="1" t="s">
        <v>4123</v>
      </c>
      <c r="E1520" s="1" t="s">
        <v>4124</v>
      </c>
      <c r="F1520" s="1" t="e">
        <v>#N/A</v>
      </c>
      <c r="G1520" s="1" t="e">
        <v>#N/A</v>
      </c>
      <c r="H1520" t="e">
        <v>#N/A</v>
      </c>
      <c r="I1520" s="1" t="e">
        <v>#N/A</v>
      </c>
      <c r="J1520" s="1" t="e">
        <v>#N/A</v>
      </c>
      <c r="K1520" s="1" t="e">
        <v>#N/A</v>
      </c>
      <c r="L1520" s="1" t="e">
        <v>#N/A</v>
      </c>
      <c r="M1520" s="1" t="e">
        <v>#N/A</v>
      </c>
      <c r="N1520" s="1" t="e">
        <v>#N/A</v>
      </c>
      <c r="O1520" s="1" t="e">
        <v>#N/A</v>
      </c>
      <c r="P1520" s="1" t="e">
        <v>#N/A</v>
      </c>
      <c r="Q1520" s="1" t="e">
        <v>#N/A</v>
      </c>
      <c r="R1520" s="1">
        <f t="shared" si="446"/>
        <v>1</v>
      </c>
      <c r="S1520" s="1" t="str">
        <f t="shared" si="447"/>
        <v>&lt;4</v>
      </c>
      <c r="T1520" s="1" t="s">
        <v>4125</v>
      </c>
      <c r="U1520" s="1" t="s">
        <v>7</v>
      </c>
      <c r="V1520" s="1" t="s">
        <v>2284</v>
      </c>
      <c r="W1520" s="1"/>
    </row>
    <row r="1521" spans="1:23" x14ac:dyDescent="0.2">
      <c r="A1521" s="88" t="s">
        <v>16819</v>
      </c>
      <c r="B1521" s="1" t="e">
        <v>#N/A</v>
      </c>
      <c r="C1521" s="1" t="e">
        <v>#N/A</v>
      </c>
      <c r="D1521" s="1" t="s">
        <v>4126</v>
      </c>
      <c r="E1521" s="1" t="s">
        <v>4127</v>
      </c>
      <c r="F1521" s="1" t="s">
        <v>9213</v>
      </c>
      <c r="G1521" s="1" t="s">
        <v>8957</v>
      </c>
      <c r="H1521" t="s">
        <v>8959</v>
      </c>
      <c r="I1521" s="1" t="s">
        <v>8948</v>
      </c>
      <c r="J1521" s="1" t="s">
        <v>8949</v>
      </c>
      <c r="K1521" s="1" t="s">
        <v>10492</v>
      </c>
      <c r="L1521" s="1" t="s">
        <v>9076</v>
      </c>
      <c r="M1521" s="1">
        <v>50</v>
      </c>
      <c r="N1521" s="1" t="s">
        <v>8953</v>
      </c>
      <c r="O1521" s="1" t="s">
        <v>8989</v>
      </c>
      <c r="P1521" s="1" t="e">
        <v>#N/A</v>
      </c>
      <c r="Q1521" s="1" t="e">
        <v>#N/A</v>
      </c>
      <c r="R1521" s="1">
        <f t="shared" si="446"/>
        <v>5</v>
      </c>
      <c r="S1521" s="1" t="str">
        <f t="shared" si="447"/>
        <v>4-7</v>
      </c>
      <c r="T1521" s="1" t="s">
        <v>19391</v>
      </c>
      <c r="U1521" s="1" t="s">
        <v>17</v>
      </c>
      <c r="V1521" s="1" t="s">
        <v>161</v>
      </c>
      <c r="W1521" s="1"/>
    </row>
    <row r="1522" spans="1:23" x14ac:dyDescent="0.2">
      <c r="A1522" s="88" t="s">
        <v>16820</v>
      </c>
      <c r="B1522" s="1" t="e">
        <v>#N/A</v>
      </c>
      <c r="C1522" s="1" t="e">
        <v>#N/A</v>
      </c>
      <c r="D1522" s="1" t="s">
        <v>4128</v>
      </c>
      <c r="E1522" s="1" t="s">
        <v>4129</v>
      </c>
      <c r="F1522" s="1" t="s">
        <v>9213</v>
      </c>
      <c r="G1522" s="1" t="s">
        <v>8959</v>
      </c>
      <c r="H1522" t="s">
        <v>9183</v>
      </c>
      <c r="I1522" s="1" t="s">
        <v>20714</v>
      </c>
      <c r="J1522" s="1" t="s">
        <v>20725</v>
      </c>
      <c r="K1522" s="1" t="s">
        <v>20865</v>
      </c>
      <c r="L1522" s="1" t="s">
        <v>8951</v>
      </c>
      <c r="M1522" s="1">
        <v>200</v>
      </c>
      <c r="N1522" s="1" t="s">
        <v>9059</v>
      </c>
      <c r="O1522" s="1" t="s">
        <v>8989</v>
      </c>
      <c r="P1522" s="1" t="e">
        <v>#N/A</v>
      </c>
      <c r="Q1522" s="1" t="e">
        <v>#N/A</v>
      </c>
      <c r="R1522" s="1">
        <f t="shared" si="446"/>
        <v>4</v>
      </c>
      <c r="S1522" s="1" t="str">
        <f t="shared" si="447"/>
        <v>&lt;4</v>
      </c>
      <c r="T1522" s="1" t="s">
        <v>19392</v>
      </c>
      <c r="U1522" s="1" t="s">
        <v>17</v>
      </c>
      <c r="V1522" s="1" t="s">
        <v>213</v>
      </c>
      <c r="W1522" s="1"/>
    </row>
    <row r="1523" spans="1:23" x14ac:dyDescent="0.2">
      <c r="A1523" s="88" t="s">
        <v>16821</v>
      </c>
      <c r="B1523" s="1" t="e">
        <v>#N/A</v>
      </c>
      <c r="C1523" s="1" t="e">
        <v>#N/A</v>
      </c>
      <c r="D1523" s="1" t="s">
        <v>4130</v>
      </c>
      <c r="E1523" s="1" t="s">
        <v>4131</v>
      </c>
      <c r="F1523" s="1" t="s">
        <v>9213</v>
      </c>
      <c r="G1523" s="1" t="s">
        <v>8959</v>
      </c>
      <c r="H1523" t="s">
        <v>9183</v>
      </c>
      <c r="I1523" s="1" t="s">
        <v>20714</v>
      </c>
      <c r="J1523" s="1" t="s">
        <v>20725</v>
      </c>
      <c r="K1523" s="1" t="s">
        <v>21265</v>
      </c>
      <c r="L1523" s="1" t="s">
        <v>8951</v>
      </c>
      <c r="M1523" s="1">
        <v>825</v>
      </c>
      <c r="N1523" s="1" t="s">
        <v>8953</v>
      </c>
      <c r="O1523" s="1" t="s">
        <v>8989</v>
      </c>
      <c r="P1523" s="1" t="e">
        <v>#N/A</v>
      </c>
      <c r="Q1523" s="1" t="e">
        <v>#N/A</v>
      </c>
      <c r="R1523" s="1">
        <f t="shared" si="446"/>
        <v>8</v>
      </c>
      <c r="S1523" s="1" t="str">
        <f t="shared" si="447"/>
        <v>&gt;7</v>
      </c>
      <c r="T1523" s="1" t="s">
        <v>19393</v>
      </c>
      <c r="U1523" s="1" t="s">
        <v>7</v>
      </c>
      <c r="V1523" s="1" t="s">
        <v>24</v>
      </c>
      <c r="W1523" s="1"/>
    </row>
    <row r="1524" spans="1:23" x14ac:dyDescent="0.2">
      <c r="A1524" s="88" t="s">
        <v>16822</v>
      </c>
      <c r="B1524" s="1" t="e">
        <v>#N/A</v>
      </c>
      <c r="C1524" s="1" t="e">
        <v>#N/A</v>
      </c>
      <c r="D1524" s="1" t="s">
        <v>4132</v>
      </c>
      <c r="E1524" s="1" t="s">
        <v>4133</v>
      </c>
      <c r="F1524" s="1" t="s">
        <v>9213</v>
      </c>
      <c r="G1524" s="1" t="s">
        <v>8959</v>
      </c>
      <c r="H1524" t="s">
        <v>9183</v>
      </c>
      <c r="I1524" s="1" t="s">
        <v>20714</v>
      </c>
      <c r="J1524" s="1" t="s">
        <v>20725</v>
      </c>
      <c r="K1524" s="1" t="s">
        <v>20865</v>
      </c>
      <c r="L1524" s="1" t="s">
        <v>8951</v>
      </c>
      <c r="M1524" s="1">
        <f>350+307</f>
        <v>657</v>
      </c>
      <c r="N1524" s="1" t="s">
        <v>8953</v>
      </c>
      <c r="O1524" s="1" t="s">
        <v>8989</v>
      </c>
      <c r="P1524" s="1" t="e">
        <v>#N/A</v>
      </c>
      <c r="Q1524" s="1" t="e">
        <v>#N/A</v>
      </c>
      <c r="R1524" s="1">
        <f t="shared" si="446"/>
        <v>4</v>
      </c>
      <c r="S1524" s="1" t="str">
        <f t="shared" si="447"/>
        <v>&lt;4</v>
      </c>
      <c r="T1524" s="1" t="s">
        <v>19394</v>
      </c>
      <c r="U1524" s="1" t="s">
        <v>7</v>
      </c>
      <c r="V1524" s="1" t="s">
        <v>213</v>
      </c>
      <c r="W1524" s="1"/>
    </row>
    <row r="1525" spans="1:23" x14ac:dyDescent="0.2">
      <c r="A1525" s="88" t="s">
        <v>16823</v>
      </c>
      <c r="B1525" s="1" t="e">
        <v>#N/A</v>
      </c>
      <c r="C1525" s="1" t="e">
        <v>#N/A</v>
      </c>
      <c r="D1525" s="1" t="s">
        <v>4134</v>
      </c>
      <c r="E1525" s="1" t="s">
        <v>4135</v>
      </c>
      <c r="F1525" s="1" t="s">
        <v>18502</v>
      </c>
      <c r="G1525" s="1" t="s">
        <v>8957</v>
      </c>
      <c r="H1525" t="s">
        <v>8959</v>
      </c>
      <c r="I1525" s="1" t="s">
        <v>9154</v>
      </c>
      <c r="J1525" s="1" t="s">
        <v>20725</v>
      </c>
      <c r="K1525" s="1" t="s">
        <v>20779</v>
      </c>
      <c r="L1525" s="1" t="s">
        <v>8987</v>
      </c>
      <c r="M1525" s="1">
        <v>6556</v>
      </c>
      <c r="N1525" s="1" t="s">
        <v>8953</v>
      </c>
      <c r="O1525" s="1" t="s">
        <v>8989</v>
      </c>
      <c r="P1525" s="1" t="e">
        <v>#N/A</v>
      </c>
      <c r="Q1525" s="1" t="e">
        <v>#N/A</v>
      </c>
      <c r="R1525" s="1">
        <f t="shared" si="446"/>
        <v>8</v>
      </c>
      <c r="S1525" s="1" t="str">
        <f t="shared" si="447"/>
        <v>&gt;7</v>
      </c>
      <c r="T1525" s="1" t="s">
        <v>19395</v>
      </c>
      <c r="U1525" s="1" t="s">
        <v>7</v>
      </c>
      <c r="V1525" s="1" t="s">
        <v>24</v>
      </c>
      <c r="W1525" s="1"/>
    </row>
    <row r="1526" spans="1:23" x14ac:dyDescent="0.2">
      <c r="A1526" s="89" t="s">
        <v>4136</v>
      </c>
      <c r="B1526" s="1" t="e">
        <v>#N/A</v>
      </c>
      <c r="C1526" s="1" t="e">
        <v>#N/A</v>
      </c>
      <c r="D1526" s="1" t="s">
        <v>4137</v>
      </c>
      <c r="E1526" s="1" t="s">
        <v>4138</v>
      </c>
      <c r="F1526" s="1" t="e">
        <v>#N/A</v>
      </c>
      <c r="G1526" s="1" t="e">
        <v>#N/A</v>
      </c>
      <c r="H1526" t="e">
        <v>#N/A</v>
      </c>
      <c r="I1526" s="1" t="e">
        <v>#N/A</v>
      </c>
      <c r="J1526" s="1" t="e">
        <v>#N/A</v>
      </c>
      <c r="K1526" s="1" t="e">
        <v>#N/A</v>
      </c>
      <c r="L1526" s="1" t="e">
        <v>#N/A</v>
      </c>
      <c r="M1526" s="1" t="e">
        <v>#N/A</v>
      </c>
      <c r="N1526" s="1" t="e">
        <v>#N/A</v>
      </c>
      <c r="O1526" s="1" t="e">
        <v>#N/A</v>
      </c>
      <c r="P1526" s="1" t="e">
        <v>#N/A</v>
      </c>
      <c r="Q1526" s="1" t="e">
        <v>#N/A</v>
      </c>
      <c r="R1526" s="1">
        <f t="shared" si="446"/>
        <v>7</v>
      </c>
      <c r="S1526" s="1" t="str">
        <f t="shared" si="447"/>
        <v>4-7</v>
      </c>
      <c r="T1526" s="1" t="s">
        <v>19396</v>
      </c>
      <c r="U1526" s="1" t="s">
        <v>4</v>
      </c>
      <c r="V1526" s="1" t="s">
        <v>138</v>
      </c>
      <c r="W1526" s="1"/>
    </row>
    <row r="1527" spans="1:23" x14ac:dyDescent="0.2">
      <c r="A1527" s="88" t="s">
        <v>16824</v>
      </c>
      <c r="B1527" s="1" t="e">
        <v>#N/A</v>
      </c>
      <c r="C1527" s="1" t="s">
        <v>11642</v>
      </c>
      <c r="D1527" s="1" t="s">
        <v>4139</v>
      </c>
      <c r="E1527" s="1" t="s">
        <v>4140</v>
      </c>
      <c r="F1527" s="1" t="s">
        <v>9213</v>
      </c>
      <c r="G1527" s="1" t="s">
        <v>8959</v>
      </c>
      <c r="H1527" t="s">
        <v>9183</v>
      </c>
      <c r="I1527" s="1" t="s">
        <v>9943</v>
      </c>
      <c r="J1527" s="1" t="s">
        <v>8971</v>
      </c>
      <c r="K1527" s="1" t="s">
        <v>9036</v>
      </c>
      <c r="L1527" s="1" t="s">
        <v>9133</v>
      </c>
      <c r="M1527" s="1">
        <v>804</v>
      </c>
      <c r="N1527" s="1" t="s">
        <v>8953</v>
      </c>
      <c r="O1527" s="1" t="s">
        <v>8954</v>
      </c>
      <c r="P1527" s="1" t="s">
        <v>8955</v>
      </c>
      <c r="Q1527" s="1" t="s">
        <v>8956</v>
      </c>
      <c r="R1527" s="1" t="s">
        <v>8959</v>
      </c>
      <c r="S1527" s="1" t="s">
        <v>8958</v>
      </c>
      <c r="T1527" s="1" t="s">
        <v>4141</v>
      </c>
      <c r="U1527" s="1" t="s">
        <v>11</v>
      </c>
      <c r="V1527" s="1" t="s">
        <v>4142</v>
      </c>
      <c r="W1527" s="1"/>
    </row>
    <row r="1528" spans="1:23" x14ac:dyDescent="0.2">
      <c r="A1528" s="88" t="s">
        <v>16825</v>
      </c>
      <c r="B1528" s="1" t="e">
        <v>#N/A</v>
      </c>
      <c r="C1528" s="1" t="e">
        <v>#N/A</v>
      </c>
      <c r="D1528" s="1" t="s">
        <v>4143</v>
      </c>
      <c r="E1528" s="1" t="s">
        <v>4144</v>
      </c>
      <c r="F1528" s="1" t="s">
        <v>9213</v>
      </c>
      <c r="G1528" s="1" t="s">
        <v>8957</v>
      </c>
      <c r="H1528" t="s">
        <v>8959</v>
      </c>
      <c r="I1528" s="1" t="s">
        <v>9943</v>
      </c>
      <c r="J1528" s="1" t="s">
        <v>8998</v>
      </c>
      <c r="K1528" s="1" t="s">
        <v>20850</v>
      </c>
      <c r="L1528" s="1" t="s">
        <v>9133</v>
      </c>
      <c r="M1528" s="1">
        <v>3838</v>
      </c>
      <c r="N1528" s="1" t="s">
        <v>8953</v>
      </c>
      <c r="O1528" s="1" t="s">
        <v>8989</v>
      </c>
      <c r="P1528" s="1" t="e">
        <v>#N/A</v>
      </c>
      <c r="Q1528" s="1" t="e">
        <v>#N/A</v>
      </c>
      <c r="R1528" s="1">
        <f>1+LEN(T1528)-LEN(SUBSTITUTE(T1528,",",))</f>
        <v>8</v>
      </c>
      <c r="S1528" s="1" t="str">
        <f>IF(R1528&gt;4,IF(R1528&lt;8,"4-7",IF(R1528&gt;7,"&gt;7")),"&lt;4")</f>
        <v>&gt;7</v>
      </c>
      <c r="T1528" s="1" t="s">
        <v>19397</v>
      </c>
      <c r="U1528" s="1" t="s">
        <v>7</v>
      </c>
      <c r="V1528" s="1" t="s">
        <v>147</v>
      </c>
      <c r="W1528" s="1"/>
    </row>
    <row r="1529" spans="1:23" x14ac:dyDescent="0.2">
      <c r="A1529" s="88" t="s">
        <v>16826</v>
      </c>
      <c r="B1529" s="1" t="e">
        <v>#N/A</v>
      </c>
      <c r="C1529" s="1" t="s">
        <v>15094</v>
      </c>
      <c r="D1529" s="1" t="s">
        <v>4145</v>
      </c>
      <c r="E1529" s="1" t="s">
        <v>4146</v>
      </c>
      <c r="F1529" s="1" t="s">
        <v>9213</v>
      </c>
      <c r="G1529" s="1" t="s">
        <v>8957</v>
      </c>
      <c r="H1529" t="s">
        <v>9009</v>
      </c>
      <c r="I1529" s="1" t="s">
        <v>9943</v>
      </c>
      <c r="J1529" s="1" t="s">
        <v>8998</v>
      </c>
      <c r="K1529" s="1" t="s">
        <v>21369</v>
      </c>
      <c r="L1529" s="1" t="s">
        <v>8987</v>
      </c>
      <c r="M1529" s="1">
        <v>995</v>
      </c>
      <c r="N1529" s="1" t="s">
        <v>8953</v>
      </c>
      <c r="O1529" s="1" t="s">
        <v>8989</v>
      </c>
      <c r="P1529" s="1" t="s">
        <v>8955</v>
      </c>
      <c r="Q1529" s="1" t="s">
        <v>8956</v>
      </c>
      <c r="R1529" s="1" t="s">
        <v>8957</v>
      </c>
      <c r="S1529" s="1" t="s">
        <v>9103</v>
      </c>
      <c r="T1529" s="1" t="s">
        <v>4147</v>
      </c>
      <c r="U1529" s="1" t="s">
        <v>17</v>
      </c>
      <c r="V1529" s="1" t="s">
        <v>147</v>
      </c>
      <c r="W1529" s="1"/>
    </row>
    <row r="1530" spans="1:23" x14ac:dyDescent="0.2">
      <c r="A1530" s="88" t="s">
        <v>20866</v>
      </c>
      <c r="B1530" s="1" t="e">
        <v>#N/A</v>
      </c>
      <c r="C1530" s="1" t="e">
        <v>#N/A</v>
      </c>
      <c r="D1530" s="1" t="s">
        <v>4148</v>
      </c>
      <c r="E1530" s="1" t="s">
        <v>4149</v>
      </c>
      <c r="F1530" s="1" t="s">
        <v>9213</v>
      </c>
      <c r="G1530" s="1" t="s">
        <v>8959</v>
      </c>
      <c r="H1530" t="s">
        <v>9183</v>
      </c>
      <c r="I1530" s="1" t="s">
        <v>9092</v>
      </c>
      <c r="J1530" s="1" t="s">
        <v>9155</v>
      </c>
      <c r="K1530" s="1" t="s">
        <v>20785</v>
      </c>
      <c r="L1530" s="1" t="s">
        <v>9076</v>
      </c>
      <c r="M1530" s="1">
        <v>280</v>
      </c>
      <c r="N1530" s="1" t="s">
        <v>8953</v>
      </c>
      <c r="O1530" s="1" t="s">
        <v>8989</v>
      </c>
      <c r="P1530" s="1" t="e">
        <v>#N/A</v>
      </c>
      <c r="Q1530" s="1" t="e">
        <v>#N/A</v>
      </c>
      <c r="R1530" s="1">
        <f t="shared" ref="R1530:R1541" si="448">1+LEN(T1530)-LEN(SUBSTITUTE(T1530,",",))</f>
        <v>9</v>
      </c>
      <c r="S1530" s="1" t="str">
        <f t="shared" ref="S1530:S1541" si="449">IF(R1530&gt;4,IF(R1530&lt;8,"4-7",IF(R1530&gt;7,"&gt;7")),"&lt;4")</f>
        <v>&gt;7</v>
      </c>
      <c r="T1530" s="1" t="s">
        <v>19398</v>
      </c>
      <c r="U1530" s="1" t="s">
        <v>7</v>
      </c>
      <c r="V1530" s="1" t="s">
        <v>4150</v>
      </c>
      <c r="W1530" s="1"/>
    </row>
    <row r="1531" spans="1:23" x14ac:dyDescent="0.2">
      <c r="A1531" s="88" t="s">
        <v>16827</v>
      </c>
      <c r="B1531" s="1" t="e">
        <v>#N/A</v>
      </c>
      <c r="C1531" s="1" t="e">
        <v>#N/A</v>
      </c>
      <c r="D1531" s="1" t="s">
        <v>4151</v>
      </c>
      <c r="E1531" s="1" t="s">
        <v>4152</v>
      </c>
      <c r="F1531" s="1" t="s">
        <v>9213</v>
      </c>
      <c r="G1531" s="1" t="s">
        <v>8957</v>
      </c>
      <c r="H1531" t="s">
        <v>9061</v>
      </c>
      <c r="I1531" s="1" t="s">
        <v>8948</v>
      </c>
      <c r="J1531" s="1" t="s">
        <v>9308</v>
      </c>
      <c r="K1531" s="1" t="s">
        <v>20829</v>
      </c>
      <c r="L1531" s="1" t="s">
        <v>8973</v>
      </c>
      <c r="M1531" s="1">
        <v>846</v>
      </c>
      <c r="N1531" s="1" t="s">
        <v>8953</v>
      </c>
      <c r="O1531" s="1" t="s">
        <v>8989</v>
      </c>
      <c r="P1531" s="1" t="e">
        <v>#N/A</v>
      </c>
      <c r="Q1531" s="1" t="e">
        <v>#N/A</v>
      </c>
      <c r="R1531" s="1">
        <f t="shared" si="448"/>
        <v>5</v>
      </c>
      <c r="S1531" s="1" t="str">
        <f t="shared" si="449"/>
        <v>4-7</v>
      </c>
      <c r="T1531" s="1" t="s">
        <v>19399</v>
      </c>
      <c r="U1531" s="1" t="s">
        <v>7</v>
      </c>
      <c r="V1531" s="1" t="s">
        <v>413</v>
      </c>
      <c r="W1531" s="1"/>
    </row>
    <row r="1532" spans="1:23" x14ac:dyDescent="0.2">
      <c r="A1532" s="88" t="s">
        <v>16828</v>
      </c>
      <c r="B1532" s="1" t="e">
        <v>#N/A</v>
      </c>
      <c r="C1532" s="1" t="e">
        <v>#N/A</v>
      </c>
      <c r="D1532" s="1" t="s">
        <v>4153</v>
      </c>
      <c r="E1532" s="1" t="s">
        <v>4154</v>
      </c>
      <c r="F1532" s="1" t="s">
        <v>9213</v>
      </c>
      <c r="G1532" s="1" t="s">
        <v>8957</v>
      </c>
      <c r="H1532" t="s">
        <v>9183</v>
      </c>
      <c r="I1532" s="1" t="s">
        <v>8948</v>
      </c>
      <c r="J1532" s="1" t="s">
        <v>9308</v>
      </c>
      <c r="K1532" s="1" t="s">
        <v>21224</v>
      </c>
      <c r="L1532" s="1" t="s">
        <v>20867</v>
      </c>
      <c r="M1532" s="1">
        <f>5390+5380</f>
        <v>10770</v>
      </c>
      <c r="N1532" s="1" t="s">
        <v>20806</v>
      </c>
      <c r="O1532" s="1" t="s">
        <v>8989</v>
      </c>
      <c r="P1532" s="1" t="e">
        <v>#N/A</v>
      </c>
      <c r="Q1532" s="1" t="e">
        <v>#N/A</v>
      </c>
      <c r="R1532" s="1">
        <f t="shared" si="448"/>
        <v>2</v>
      </c>
      <c r="S1532" s="1" t="str">
        <f t="shared" si="449"/>
        <v>&lt;4</v>
      </c>
      <c r="T1532" s="1" t="s">
        <v>19400</v>
      </c>
      <c r="U1532" s="1" t="s">
        <v>7</v>
      </c>
      <c r="V1532" s="1" t="s">
        <v>267</v>
      </c>
      <c r="W1532" s="1"/>
    </row>
    <row r="1533" spans="1:23" x14ac:dyDescent="0.2">
      <c r="A1533" s="88" t="s">
        <v>16829</v>
      </c>
      <c r="B1533" s="1" t="e">
        <v>#N/A</v>
      </c>
      <c r="C1533" s="1" t="e">
        <v>#N/A</v>
      </c>
      <c r="D1533" s="1" t="s">
        <v>4155</v>
      </c>
      <c r="E1533" s="1" t="s">
        <v>4156</v>
      </c>
      <c r="F1533" s="1" t="s">
        <v>9213</v>
      </c>
      <c r="G1533" s="1" t="s">
        <v>8974</v>
      </c>
      <c r="H1533" t="s">
        <v>9061</v>
      </c>
      <c r="I1533" s="1" t="s">
        <v>8984</v>
      </c>
      <c r="J1533" s="1" t="s">
        <v>8971</v>
      </c>
      <c r="K1533" s="1" t="s">
        <v>10525</v>
      </c>
      <c r="L1533" s="1" t="s">
        <v>8987</v>
      </c>
      <c r="M1533" s="1">
        <f>300+1232+13608</f>
        <v>15140</v>
      </c>
      <c r="N1533" s="1" t="s">
        <v>20806</v>
      </c>
      <c r="O1533" s="1" t="s">
        <v>8954</v>
      </c>
      <c r="P1533" s="1" t="e">
        <v>#N/A</v>
      </c>
      <c r="Q1533" s="1" t="e">
        <v>#N/A</v>
      </c>
      <c r="R1533" s="1">
        <f t="shared" si="448"/>
        <v>11</v>
      </c>
      <c r="S1533" s="1" t="str">
        <f t="shared" si="449"/>
        <v>&gt;7</v>
      </c>
      <c r="T1533" s="1" t="s">
        <v>19401</v>
      </c>
      <c r="U1533" s="1" t="s">
        <v>7</v>
      </c>
      <c r="V1533" s="1" t="s">
        <v>147</v>
      </c>
      <c r="W1533" s="1"/>
    </row>
    <row r="1534" spans="1:23" x14ac:dyDescent="0.2">
      <c r="A1534" s="88" t="s">
        <v>16830</v>
      </c>
      <c r="B1534" s="1" t="e">
        <v>#N/A</v>
      </c>
      <c r="C1534" s="1" t="e">
        <v>#N/A</v>
      </c>
      <c r="D1534" s="1" t="s">
        <v>4157</v>
      </c>
      <c r="E1534" s="1" t="s">
        <v>4158</v>
      </c>
      <c r="F1534" s="1" t="s">
        <v>9213</v>
      </c>
      <c r="G1534" s="1" t="s">
        <v>8974</v>
      </c>
      <c r="H1534" t="s">
        <v>9183</v>
      </c>
      <c r="I1534" s="1" t="s">
        <v>8948</v>
      </c>
      <c r="J1534" s="1" t="s">
        <v>8998</v>
      </c>
      <c r="K1534" s="1" t="s">
        <v>21224</v>
      </c>
      <c r="L1534" s="1" t="s">
        <v>9133</v>
      </c>
      <c r="M1534" s="1">
        <f>68400+59200</f>
        <v>127600</v>
      </c>
      <c r="N1534" s="1" t="s">
        <v>8953</v>
      </c>
      <c r="O1534" s="1" t="s">
        <v>8989</v>
      </c>
      <c r="P1534" s="1" t="e">
        <v>#N/A</v>
      </c>
      <c r="Q1534" s="1" t="e">
        <v>#N/A</v>
      </c>
      <c r="R1534" s="1">
        <f t="shared" si="448"/>
        <v>3</v>
      </c>
      <c r="S1534" s="1" t="str">
        <f t="shared" si="449"/>
        <v>&lt;4</v>
      </c>
      <c r="T1534" s="1" t="s">
        <v>19402</v>
      </c>
      <c r="U1534" s="1" t="s">
        <v>7</v>
      </c>
      <c r="V1534" s="1" t="s">
        <v>3889</v>
      </c>
      <c r="W1534" s="1"/>
    </row>
    <row r="1535" spans="1:23" x14ac:dyDescent="0.2">
      <c r="A1535" s="88" t="s">
        <v>16831</v>
      </c>
      <c r="B1535" s="1" t="e">
        <v>#N/A</v>
      </c>
      <c r="C1535" s="1" t="e">
        <v>#N/A</v>
      </c>
      <c r="D1535" s="1" t="s">
        <v>4159</v>
      </c>
      <c r="E1535" s="1" t="s">
        <v>4160</v>
      </c>
      <c r="F1535" s="1" t="s">
        <v>9213</v>
      </c>
      <c r="G1535" s="1" t="s">
        <v>9060</v>
      </c>
      <c r="H1535" t="s">
        <v>8959</v>
      </c>
      <c r="I1535" s="1" t="s">
        <v>9092</v>
      </c>
      <c r="J1535" s="1" t="s">
        <v>9308</v>
      </c>
      <c r="K1535" s="1" t="s">
        <v>21232</v>
      </c>
      <c r="L1535" s="1" t="s">
        <v>9133</v>
      </c>
      <c r="M1535" s="1">
        <v>2800</v>
      </c>
      <c r="N1535" s="1" t="s">
        <v>8953</v>
      </c>
      <c r="O1535" s="1" t="s">
        <v>8954</v>
      </c>
      <c r="P1535" s="1" t="e">
        <v>#N/A</v>
      </c>
      <c r="Q1535" s="1" t="e">
        <v>#N/A</v>
      </c>
      <c r="R1535" s="1">
        <f t="shared" si="448"/>
        <v>3</v>
      </c>
      <c r="S1535" s="1" t="str">
        <f t="shared" si="449"/>
        <v>&lt;4</v>
      </c>
      <c r="T1535" s="1" t="s">
        <v>19403</v>
      </c>
      <c r="U1535" s="1" t="s">
        <v>7</v>
      </c>
      <c r="V1535" s="1" t="s">
        <v>4161</v>
      </c>
      <c r="W1535" s="1"/>
    </row>
    <row r="1536" spans="1:23" x14ac:dyDescent="0.2">
      <c r="A1536" s="88" t="s">
        <v>16832</v>
      </c>
      <c r="B1536" s="1" t="e">
        <v>#N/A</v>
      </c>
      <c r="C1536" s="1" t="e">
        <v>#N/A</v>
      </c>
      <c r="D1536" s="1" t="s">
        <v>4162</v>
      </c>
      <c r="E1536" s="1" t="s">
        <v>4163</v>
      </c>
      <c r="F1536" s="1" t="s">
        <v>9213</v>
      </c>
      <c r="G1536" s="1" t="s">
        <v>8957</v>
      </c>
      <c r="H1536" t="s">
        <v>9061</v>
      </c>
      <c r="I1536" s="1" t="s">
        <v>9035</v>
      </c>
      <c r="J1536" s="1" t="s">
        <v>9308</v>
      </c>
      <c r="K1536" s="1" t="s">
        <v>20838</v>
      </c>
      <c r="L1536" s="1" t="s">
        <v>8951</v>
      </c>
      <c r="M1536" s="1">
        <v>10285</v>
      </c>
      <c r="N1536" s="1" t="s">
        <v>8953</v>
      </c>
      <c r="O1536" s="1" t="s">
        <v>8989</v>
      </c>
      <c r="P1536" s="1" t="e">
        <v>#N/A</v>
      </c>
      <c r="Q1536" s="1" t="e">
        <v>#N/A</v>
      </c>
      <c r="R1536" s="1">
        <f t="shared" si="448"/>
        <v>7</v>
      </c>
      <c r="S1536" s="1" t="str">
        <f t="shared" si="449"/>
        <v>4-7</v>
      </c>
      <c r="T1536" s="1" t="s">
        <v>19404</v>
      </c>
      <c r="U1536" s="1" t="s">
        <v>7</v>
      </c>
      <c r="V1536" s="1" t="s">
        <v>180</v>
      </c>
      <c r="W1536" s="1"/>
    </row>
    <row r="1537" spans="1:23" x14ac:dyDescent="0.2">
      <c r="A1537" s="88" t="s">
        <v>16833</v>
      </c>
      <c r="B1537" s="1" t="e">
        <v>#N/A</v>
      </c>
      <c r="C1537" s="1" t="e">
        <v>#N/A</v>
      </c>
      <c r="D1537" s="1" t="s">
        <v>4164</v>
      </c>
      <c r="E1537" s="1" t="s">
        <v>4165</v>
      </c>
      <c r="F1537" s="1" t="s">
        <v>10850</v>
      </c>
      <c r="G1537" s="1" t="s">
        <v>8957</v>
      </c>
      <c r="H1537" t="s">
        <v>8959</v>
      </c>
      <c r="I1537" s="1" t="s">
        <v>9075</v>
      </c>
      <c r="J1537" s="1" t="s">
        <v>8971</v>
      </c>
      <c r="K1537" s="1" t="s">
        <v>18497</v>
      </c>
      <c r="L1537" s="1" t="s">
        <v>8973</v>
      </c>
      <c r="M1537" s="1">
        <v>996</v>
      </c>
      <c r="N1537" s="1" t="s">
        <v>8953</v>
      </c>
      <c r="O1537" s="1" t="s">
        <v>8989</v>
      </c>
      <c r="P1537" s="1" t="e">
        <v>#N/A</v>
      </c>
      <c r="Q1537" s="1" t="e">
        <v>#N/A</v>
      </c>
      <c r="R1537" s="1">
        <f t="shared" si="448"/>
        <v>7</v>
      </c>
      <c r="S1537" s="1" t="str">
        <f t="shared" si="449"/>
        <v>4-7</v>
      </c>
      <c r="T1537" s="1" t="s">
        <v>19405</v>
      </c>
      <c r="U1537" s="1" t="s">
        <v>7</v>
      </c>
      <c r="V1537" s="1" t="s">
        <v>64</v>
      </c>
      <c r="W1537" s="1"/>
    </row>
    <row r="1538" spans="1:23" x14ac:dyDescent="0.2">
      <c r="A1538" s="88" t="s">
        <v>16834</v>
      </c>
      <c r="B1538" s="1" t="e">
        <v>#N/A</v>
      </c>
      <c r="C1538" s="1" t="e">
        <v>#N/A</v>
      </c>
      <c r="D1538" s="1" t="s">
        <v>4166</v>
      </c>
      <c r="E1538" s="1" t="s">
        <v>4167</v>
      </c>
      <c r="F1538" s="1" t="s">
        <v>9213</v>
      </c>
      <c r="G1538" s="1" t="s">
        <v>8957</v>
      </c>
      <c r="H1538" t="s">
        <v>8959</v>
      </c>
      <c r="I1538" s="1" t="s">
        <v>9035</v>
      </c>
      <c r="J1538" s="1" t="s">
        <v>9308</v>
      </c>
      <c r="K1538" s="1" t="s">
        <v>10525</v>
      </c>
      <c r="L1538" s="1" t="s">
        <v>8987</v>
      </c>
      <c r="M1538" s="1">
        <v>1821</v>
      </c>
      <c r="N1538" s="1" t="s">
        <v>8953</v>
      </c>
      <c r="O1538" s="1" t="s">
        <v>8954</v>
      </c>
      <c r="P1538" s="1" t="e">
        <v>#N/A</v>
      </c>
      <c r="Q1538" s="1" t="e">
        <v>#N/A</v>
      </c>
      <c r="R1538" s="1">
        <f t="shared" si="448"/>
        <v>6</v>
      </c>
      <c r="S1538" s="1" t="str">
        <f t="shared" si="449"/>
        <v>4-7</v>
      </c>
      <c r="T1538" s="1" t="s">
        <v>19406</v>
      </c>
      <c r="U1538" s="1" t="s">
        <v>7</v>
      </c>
      <c r="V1538" s="1" t="s">
        <v>4168</v>
      </c>
      <c r="W1538" s="1"/>
    </row>
    <row r="1539" spans="1:23" x14ac:dyDescent="0.2">
      <c r="A1539" s="88" t="s">
        <v>16835</v>
      </c>
      <c r="B1539" s="1" t="e">
        <v>#N/A</v>
      </c>
      <c r="C1539" s="1" t="e">
        <v>#N/A</v>
      </c>
      <c r="D1539" s="1" t="s">
        <v>4169</v>
      </c>
      <c r="E1539" s="1" t="s">
        <v>4170</v>
      </c>
      <c r="F1539" s="1" t="s">
        <v>9213</v>
      </c>
      <c r="G1539" s="1" t="s">
        <v>8957</v>
      </c>
      <c r="H1539" t="s">
        <v>8959</v>
      </c>
      <c r="I1539" s="1" t="s">
        <v>9092</v>
      </c>
      <c r="J1539" s="1" t="s">
        <v>9308</v>
      </c>
      <c r="K1539" s="1" t="s">
        <v>21253</v>
      </c>
      <c r="L1539" s="1" t="s">
        <v>9292</v>
      </c>
      <c r="M1539" s="1">
        <v>336</v>
      </c>
      <c r="N1539" s="1" t="s">
        <v>8953</v>
      </c>
      <c r="O1539" s="1" t="s">
        <v>8989</v>
      </c>
      <c r="P1539" s="1" t="e">
        <v>#N/A</v>
      </c>
      <c r="Q1539" s="1" t="e">
        <v>#N/A</v>
      </c>
      <c r="R1539" s="1">
        <f t="shared" si="448"/>
        <v>5</v>
      </c>
      <c r="S1539" s="1" t="str">
        <f t="shared" si="449"/>
        <v>4-7</v>
      </c>
      <c r="T1539" s="1" t="s">
        <v>19407</v>
      </c>
      <c r="U1539" s="1" t="s">
        <v>7</v>
      </c>
      <c r="V1539" s="1" t="s">
        <v>1238</v>
      </c>
      <c r="W1539" s="1"/>
    </row>
    <row r="1540" spans="1:23" x14ac:dyDescent="0.2">
      <c r="A1540" s="88" t="s">
        <v>16836</v>
      </c>
      <c r="B1540" s="1" t="e">
        <v>#N/A</v>
      </c>
      <c r="C1540" s="1" t="e">
        <v>#N/A</v>
      </c>
      <c r="D1540" s="1" t="s">
        <v>4171</v>
      </c>
      <c r="E1540" s="1" t="s">
        <v>4172</v>
      </c>
      <c r="F1540" s="1" t="s">
        <v>9213</v>
      </c>
      <c r="G1540" s="1" t="s">
        <v>8957</v>
      </c>
      <c r="H1540" t="s">
        <v>8959</v>
      </c>
      <c r="I1540" s="1" t="s">
        <v>8984</v>
      </c>
      <c r="J1540" s="1" t="s">
        <v>8998</v>
      </c>
      <c r="K1540" s="1" t="s">
        <v>10525</v>
      </c>
      <c r="L1540" s="1" t="s">
        <v>9133</v>
      </c>
      <c r="M1540" s="1">
        <f>1269+750</f>
        <v>2019</v>
      </c>
      <c r="N1540" s="1" t="s">
        <v>9059</v>
      </c>
      <c r="O1540" s="1" t="s">
        <v>8989</v>
      </c>
      <c r="P1540" s="1" t="e">
        <v>#N/A</v>
      </c>
      <c r="Q1540" s="1" t="e">
        <v>#N/A</v>
      </c>
      <c r="R1540" s="1">
        <f t="shared" si="448"/>
        <v>6</v>
      </c>
      <c r="S1540" s="1" t="str">
        <f t="shared" si="449"/>
        <v>4-7</v>
      </c>
      <c r="T1540" s="1" t="s">
        <v>19408</v>
      </c>
      <c r="U1540" s="1" t="s">
        <v>7</v>
      </c>
      <c r="V1540" s="1" t="s">
        <v>15</v>
      </c>
      <c r="W1540" s="1"/>
    </row>
    <row r="1541" spans="1:23" x14ac:dyDescent="0.2">
      <c r="A1541" s="88" t="s">
        <v>16837</v>
      </c>
      <c r="B1541" s="1" t="e">
        <v>#N/A</v>
      </c>
      <c r="C1541" s="1" t="e">
        <v>#N/A</v>
      </c>
      <c r="D1541" s="1" t="s">
        <v>4173</v>
      </c>
      <c r="E1541" s="1" t="s">
        <v>4174</v>
      </c>
      <c r="F1541" s="1" t="s">
        <v>9333</v>
      </c>
      <c r="G1541" s="1" t="s">
        <v>8957</v>
      </c>
      <c r="H1541" t="s">
        <v>8959</v>
      </c>
      <c r="I1541" s="1" t="s">
        <v>9605</v>
      </c>
      <c r="J1541" s="1" t="s">
        <v>9101</v>
      </c>
      <c r="K1541" s="1" t="s">
        <v>20776</v>
      </c>
      <c r="L1541" s="1" t="s">
        <v>9464</v>
      </c>
      <c r="M1541" s="1">
        <v>2500</v>
      </c>
      <c r="N1541" s="1" t="s">
        <v>8953</v>
      </c>
      <c r="O1541" s="1" t="s">
        <v>8989</v>
      </c>
      <c r="P1541" s="1" t="e">
        <v>#N/A</v>
      </c>
      <c r="Q1541" s="1" t="e">
        <v>#N/A</v>
      </c>
      <c r="R1541" s="1">
        <f t="shared" si="448"/>
        <v>5</v>
      </c>
      <c r="S1541" s="1" t="str">
        <f t="shared" si="449"/>
        <v>4-7</v>
      </c>
      <c r="T1541" s="1" t="s">
        <v>19409</v>
      </c>
      <c r="U1541" s="1" t="s">
        <v>7</v>
      </c>
      <c r="V1541" s="1" t="s">
        <v>342</v>
      </c>
      <c r="W1541" s="1"/>
    </row>
    <row r="1542" spans="1:23" x14ac:dyDescent="0.2">
      <c r="A1542" s="88" t="s">
        <v>16838</v>
      </c>
      <c r="B1542" s="1" t="e">
        <v>#N/A</v>
      </c>
      <c r="C1542" s="1" t="s">
        <v>15175</v>
      </c>
      <c r="D1542" s="1" t="s">
        <v>4175</v>
      </c>
      <c r="E1542" s="1" t="s">
        <v>4176</v>
      </c>
      <c r="F1542" s="1" t="s">
        <v>9213</v>
      </c>
      <c r="G1542" s="1" t="s">
        <v>8974</v>
      </c>
      <c r="H1542" t="s">
        <v>8959</v>
      </c>
      <c r="I1542" s="1" t="s">
        <v>9092</v>
      </c>
      <c r="J1542" s="1" t="s">
        <v>8998</v>
      </c>
      <c r="K1542" s="1" t="s">
        <v>9018</v>
      </c>
      <c r="L1542" s="1" t="s">
        <v>9292</v>
      </c>
      <c r="M1542" s="1">
        <v>2700</v>
      </c>
      <c r="N1542" s="1" t="s">
        <v>8953</v>
      </c>
      <c r="O1542" s="1" t="s">
        <v>8989</v>
      </c>
      <c r="P1542" s="1" t="s">
        <v>8955</v>
      </c>
      <c r="Q1542" s="1" t="s">
        <v>8956</v>
      </c>
      <c r="R1542" s="1" t="s">
        <v>8974</v>
      </c>
      <c r="S1542" s="1" t="s">
        <v>8958</v>
      </c>
      <c r="T1542" s="1" t="s">
        <v>4177</v>
      </c>
      <c r="U1542" s="1" t="s">
        <v>17</v>
      </c>
      <c r="V1542" s="1" t="s">
        <v>378</v>
      </c>
      <c r="W1542" s="1"/>
    </row>
    <row r="1543" spans="1:23" x14ac:dyDescent="0.2">
      <c r="A1543" s="89" t="s">
        <v>4178</v>
      </c>
      <c r="B1543" s="1" t="e">
        <v>#N/A</v>
      </c>
      <c r="C1543" s="1" t="e">
        <v>#N/A</v>
      </c>
      <c r="D1543" s="1" t="s">
        <v>4179</v>
      </c>
      <c r="E1543" s="1" t="s">
        <v>4180</v>
      </c>
      <c r="F1543" s="1" t="e">
        <v>#N/A</v>
      </c>
      <c r="G1543" s="1" t="e">
        <v>#N/A</v>
      </c>
      <c r="H1543" t="e">
        <v>#N/A</v>
      </c>
      <c r="I1543" s="1" t="e">
        <v>#N/A</v>
      </c>
      <c r="J1543" s="1" t="e">
        <v>#N/A</v>
      </c>
      <c r="K1543" s="1" t="e">
        <v>#N/A</v>
      </c>
      <c r="L1543" s="1" t="e">
        <v>#N/A</v>
      </c>
      <c r="M1543" s="1" t="e">
        <v>#N/A</v>
      </c>
      <c r="N1543" s="1" t="e">
        <v>#N/A</v>
      </c>
      <c r="O1543" s="1" t="e">
        <v>#N/A</v>
      </c>
      <c r="P1543" s="1" t="e">
        <v>#N/A</v>
      </c>
      <c r="Q1543" s="1" t="e">
        <v>#N/A</v>
      </c>
      <c r="R1543" s="1">
        <f t="shared" ref="R1543:R1545" si="450">1+LEN(T1543)-LEN(SUBSTITUTE(T1543,",",))</f>
        <v>13</v>
      </c>
      <c r="S1543" s="1" t="str">
        <f t="shared" ref="S1543:S1545" si="451">IF(R1543&gt;4,IF(R1543&lt;8,"4-7",IF(R1543&gt;7,"&gt;7")),"&lt;4")</f>
        <v>&gt;7</v>
      </c>
      <c r="T1543" s="1" t="s">
        <v>19410</v>
      </c>
      <c r="U1543" s="1" t="s">
        <v>17</v>
      </c>
      <c r="V1543" s="1" t="s">
        <v>1161</v>
      </c>
      <c r="W1543" s="1"/>
    </row>
    <row r="1544" spans="1:23" x14ac:dyDescent="0.2">
      <c r="A1544" s="88" t="s">
        <v>4181</v>
      </c>
      <c r="B1544" s="1" t="e">
        <v>#N/A</v>
      </c>
      <c r="C1544" s="1" t="e">
        <v>#N/A</v>
      </c>
      <c r="D1544" s="1" t="s">
        <v>4182</v>
      </c>
      <c r="E1544" s="1" t="s">
        <v>4183</v>
      </c>
      <c r="F1544" s="1" t="s">
        <v>9213</v>
      </c>
      <c r="G1544" s="1" t="s">
        <v>8957</v>
      </c>
      <c r="H1544" t="s">
        <v>9061</v>
      </c>
      <c r="I1544" s="1" t="s">
        <v>9092</v>
      </c>
      <c r="J1544" s="1" t="s">
        <v>8949</v>
      </c>
      <c r="K1544" s="1" t="s">
        <v>20779</v>
      </c>
      <c r="L1544" s="1" t="s">
        <v>9076</v>
      </c>
      <c r="M1544" s="1">
        <f>5258+1018</f>
        <v>6276</v>
      </c>
      <c r="N1544" s="1" t="s">
        <v>8953</v>
      </c>
      <c r="O1544" s="1" t="s">
        <v>8989</v>
      </c>
      <c r="P1544" s="1" t="e">
        <v>#N/A</v>
      </c>
      <c r="Q1544" s="1" t="e">
        <v>#N/A</v>
      </c>
      <c r="R1544" s="1">
        <f t="shared" si="450"/>
        <v>1</v>
      </c>
      <c r="S1544" s="1" t="str">
        <f t="shared" si="451"/>
        <v>&lt;4</v>
      </c>
      <c r="T1544" s="1" t="s">
        <v>4184</v>
      </c>
      <c r="U1544" s="1" t="s">
        <v>11</v>
      </c>
      <c r="V1544" s="1" t="s">
        <v>87</v>
      </c>
      <c r="W1544" s="1"/>
    </row>
    <row r="1545" spans="1:23" x14ac:dyDescent="0.2">
      <c r="A1545" s="88" t="s">
        <v>16839</v>
      </c>
      <c r="B1545" s="1" t="e">
        <v>#N/A</v>
      </c>
      <c r="C1545" s="1" t="e">
        <v>#N/A</v>
      </c>
      <c r="D1545" s="1" t="s">
        <v>4185</v>
      </c>
      <c r="E1545" s="1" t="s">
        <v>4186</v>
      </c>
      <c r="F1545" s="1" t="s">
        <v>9310</v>
      </c>
      <c r="G1545" s="1" t="s">
        <v>8959</v>
      </c>
      <c r="H1545" t="s">
        <v>8959</v>
      </c>
      <c r="I1545" s="1" t="s">
        <v>9252</v>
      </c>
      <c r="J1545" s="1" t="s">
        <v>8971</v>
      </c>
      <c r="K1545" s="1" t="s">
        <v>20829</v>
      </c>
      <c r="L1545" s="1" t="s">
        <v>9133</v>
      </c>
      <c r="M1545" s="1">
        <v>153</v>
      </c>
      <c r="N1545" s="1" t="s">
        <v>9059</v>
      </c>
      <c r="O1545" s="1" t="s">
        <v>8989</v>
      </c>
      <c r="P1545" s="1" t="e">
        <v>#N/A</v>
      </c>
      <c r="Q1545" s="1" t="e">
        <v>#N/A</v>
      </c>
      <c r="R1545" s="1">
        <f t="shared" si="450"/>
        <v>4</v>
      </c>
      <c r="S1545" s="1" t="str">
        <f t="shared" si="451"/>
        <v>&lt;4</v>
      </c>
      <c r="T1545" s="1" t="s">
        <v>19411</v>
      </c>
      <c r="U1545" s="1" t="s">
        <v>7</v>
      </c>
      <c r="V1545" s="1" t="s">
        <v>74</v>
      </c>
      <c r="W1545" s="1"/>
    </row>
    <row r="1546" spans="1:23" x14ac:dyDescent="0.2">
      <c r="A1546" s="88" t="s">
        <v>16840</v>
      </c>
      <c r="B1546" s="1" t="e">
        <v>#N/A</v>
      </c>
      <c r="C1546" s="1" t="s">
        <v>11304</v>
      </c>
      <c r="D1546" s="1" t="s">
        <v>4187</v>
      </c>
      <c r="E1546" s="1" t="s">
        <v>4188</v>
      </c>
      <c r="F1546" s="1" t="s">
        <v>9010</v>
      </c>
      <c r="G1546" s="1" t="s">
        <v>8959</v>
      </c>
      <c r="H1546" t="s">
        <v>9183</v>
      </c>
      <c r="I1546" s="1" t="s">
        <v>9252</v>
      </c>
      <c r="J1546" s="1" t="s">
        <v>9253</v>
      </c>
      <c r="K1546" s="1" t="s">
        <v>10258</v>
      </c>
      <c r="L1546" s="1" t="s">
        <v>9133</v>
      </c>
      <c r="M1546" s="1">
        <v>8677</v>
      </c>
      <c r="N1546" s="1" t="s">
        <v>8953</v>
      </c>
      <c r="O1546" s="1" t="s">
        <v>8989</v>
      </c>
      <c r="P1546" s="1" t="s">
        <v>8955</v>
      </c>
      <c r="Q1546" s="1" t="s">
        <v>8956</v>
      </c>
      <c r="R1546" s="1" t="s">
        <v>8959</v>
      </c>
      <c r="S1546" s="1" t="s">
        <v>8958</v>
      </c>
      <c r="T1546" s="1" t="s">
        <v>4189</v>
      </c>
      <c r="U1546" s="1" t="s">
        <v>17</v>
      </c>
      <c r="V1546" s="1" t="s">
        <v>180</v>
      </c>
      <c r="W1546" s="1"/>
    </row>
    <row r="1547" spans="1:23" x14ac:dyDescent="0.2">
      <c r="A1547" s="88" t="s">
        <v>16841</v>
      </c>
      <c r="B1547" s="1" t="e">
        <v>#N/A</v>
      </c>
      <c r="C1547" s="1" t="e">
        <v>#N/A</v>
      </c>
      <c r="D1547" s="1" t="s">
        <v>4190</v>
      </c>
      <c r="E1547" s="1" t="s">
        <v>4191</v>
      </c>
      <c r="F1547" s="1" t="s">
        <v>18502</v>
      </c>
      <c r="G1547" s="1" t="s">
        <v>9060</v>
      </c>
      <c r="H1547" t="s">
        <v>9061</v>
      </c>
      <c r="I1547" s="1" t="s">
        <v>9075</v>
      </c>
      <c r="J1547" s="1" t="s">
        <v>9155</v>
      </c>
      <c r="K1547" s="1" t="s">
        <v>20868</v>
      </c>
      <c r="L1547" s="1" t="s">
        <v>8973</v>
      </c>
      <c r="M1547" s="1">
        <v>49</v>
      </c>
      <c r="N1547" s="1" t="s">
        <v>9059</v>
      </c>
      <c r="O1547" s="1" t="s">
        <v>8989</v>
      </c>
      <c r="P1547" s="1" t="e">
        <v>#N/A</v>
      </c>
      <c r="Q1547" s="1" t="e">
        <v>#N/A</v>
      </c>
      <c r="R1547" s="1">
        <f t="shared" ref="R1547:R1550" si="452">1+LEN(T1547)-LEN(SUBSTITUTE(T1547,",",))</f>
        <v>13</v>
      </c>
      <c r="S1547" s="1" t="str">
        <f t="shared" ref="S1547:S1550" si="453">IF(R1547&gt;4,IF(R1547&lt;8,"4-7",IF(R1547&gt;7,"&gt;7")),"&lt;4")</f>
        <v>&gt;7</v>
      </c>
      <c r="T1547" s="1" t="s">
        <v>19412</v>
      </c>
      <c r="U1547" s="1" t="s">
        <v>7</v>
      </c>
      <c r="V1547" s="1" t="s">
        <v>93</v>
      </c>
      <c r="W1547" s="1"/>
    </row>
    <row r="1548" spans="1:23" x14ac:dyDescent="0.2">
      <c r="A1548" s="88" t="s">
        <v>16842</v>
      </c>
      <c r="B1548" s="1" t="e">
        <v>#N/A</v>
      </c>
      <c r="C1548" s="1" t="e">
        <v>#N/A</v>
      </c>
      <c r="D1548" s="1" t="s">
        <v>4192</v>
      </c>
      <c r="E1548" s="1" t="s">
        <v>4193</v>
      </c>
      <c r="F1548" s="1" t="s">
        <v>18502</v>
      </c>
      <c r="G1548" s="1" t="s">
        <v>9060</v>
      </c>
      <c r="H1548" t="s">
        <v>9061</v>
      </c>
      <c r="I1548" s="1" t="s">
        <v>20712</v>
      </c>
      <c r="J1548" s="1" t="s">
        <v>9725</v>
      </c>
      <c r="K1548" s="1" t="s">
        <v>20868</v>
      </c>
      <c r="L1548" s="1" t="s">
        <v>9076</v>
      </c>
      <c r="M1548" s="1">
        <v>35</v>
      </c>
      <c r="N1548" s="1" t="s">
        <v>9059</v>
      </c>
      <c r="O1548" s="1" t="s">
        <v>8989</v>
      </c>
      <c r="P1548" s="1" t="e">
        <v>#N/A</v>
      </c>
      <c r="Q1548" s="1" t="e">
        <v>#N/A</v>
      </c>
      <c r="R1548" s="1">
        <f t="shared" si="452"/>
        <v>9</v>
      </c>
      <c r="S1548" s="1" t="str">
        <f t="shared" si="453"/>
        <v>&gt;7</v>
      </c>
      <c r="T1548" s="1" t="s">
        <v>19413</v>
      </c>
      <c r="U1548" s="1" t="s">
        <v>17</v>
      </c>
      <c r="V1548" s="1" t="s">
        <v>378</v>
      </c>
      <c r="W1548" s="1"/>
    </row>
    <row r="1549" spans="1:23" x14ac:dyDescent="0.2">
      <c r="A1549" s="88" t="s">
        <v>16843</v>
      </c>
      <c r="B1549" s="1" t="e">
        <v>#N/A</v>
      </c>
      <c r="C1549" s="1" t="e">
        <v>#N/A</v>
      </c>
      <c r="D1549" s="1" t="s">
        <v>4194</v>
      </c>
      <c r="E1549" s="1" t="s">
        <v>4195</v>
      </c>
      <c r="F1549" s="1" t="s">
        <v>18502</v>
      </c>
      <c r="G1549" s="1" t="s">
        <v>9060</v>
      </c>
      <c r="H1549" t="s">
        <v>9061</v>
      </c>
      <c r="I1549" s="1" t="s">
        <v>8984</v>
      </c>
      <c r="J1549" s="1" t="s">
        <v>8998</v>
      </c>
      <c r="K1549" s="1" t="s">
        <v>20868</v>
      </c>
      <c r="L1549" s="1" t="s">
        <v>9464</v>
      </c>
      <c r="M1549" s="1">
        <v>25</v>
      </c>
      <c r="N1549" s="1" t="s">
        <v>9059</v>
      </c>
      <c r="O1549" s="1" t="s">
        <v>8989</v>
      </c>
      <c r="P1549" s="1" t="e">
        <v>#N/A</v>
      </c>
      <c r="Q1549" s="1" t="e">
        <v>#N/A</v>
      </c>
      <c r="R1549" s="1">
        <f t="shared" si="452"/>
        <v>8</v>
      </c>
      <c r="S1549" s="1" t="str">
        <f t="shared" si="453"/>
        <v>&gt;7</v>
      </c>
      <c r="T1549" s="1" t="s">
        <v>19414</v>
      </c>
      <c r="U1549" s="1" t="s">
        <v>7</v>
      </c>
      <c r="V1549" s="1" t="s">
        <v>378</v>
      </c>
      <c r="W1549" s="1"/>
    </row>
    <row r="1550" spans="1:23" x14ac:dyDescent="0.2">
      <c r="A1550" s="88" t="s">
        <v>16844</v>
      </c>
      <c r="B1550" s="1" t="e">
        <v>#N/A</v>
      </c>
      <c r="C1550" s="1" t="e">
        <v>#N/A</v>
      </c>
      <c r="D1550" s="1" t="s">
        <v>4196</v>
      </c>
      <c r="E1550" s="1" t="s">
        <v>4197</v>
      </c>
      <c r="F1550" s="1" t="s">
        <v>18502</v>
      </c>
      <c r="G1550" s="1" t="s">
        <v>9060</v>
      </c>
      <c r="H1550" t="s">
        <v>9061</v>
      </c>
      <c r="I1550" s="1" t="s">
        <v>20712</v>
      </c>
      <c r="J1550" s="1" t="s">
        <v>9155</v>
      </c>
      <c r="K1550" s="1" t="s">
        <v>20785</v>
      </c>
      <c r="L1550" s="1" t="s">
        <v>9076</v>
      </c>
      <c r="M1550" s="1">
        <v>44</v>
      </c>
      <c r="N1550" s="1" t="s">
        <v>9059</v>
      </c>
      <c r="O1550" s="1" t="s">
        <v>8989</v>
      </c>
      <c r="P1550" s="1" t="e">
        <v>#N/A</v>
      </c>
      <c r="Q1550" s="1" t="e">
        <v>#N/A</v>
      </c>
      <c r="R1550" s="1">
        <f t="shared" si="452"/>
        <v>10</v>
      </c>
      <c r="S1550" s="1" t="str">
        <f t="shared" si="453"/>
        <v>&gt;7</v>
      </c>
      <c r="T1550" s="1" t="s">
        <v>19415</v>
      </c>
      <c r="U1550" s="1" t="s">
        <v>17</v>
      </c>
      <c r="V1550" s="1" t="s">
        <v>93</v>
      </c>
      <c r="W1550" s="1"/>
    </row>
    <row r="1551" spans="1:23" x14ac:dyDescent="0.2">
      <c r="A1551" s="88" t="s">
        <v>16845</v>
      </c>
      <c r="B1551" s="1" t="e">
        <v>#N/A</v>
      </c>
      <c r="C1551" s="1" t="s">
        <v>14972</v>
      </c>
      <c r="D1551" s="1" t="s">
        <v>4198</v>
      </c>
      <c r="E1551" s="1" t="s">
        <v>4199</v>
      </c>
      <c r="F1551" s="1" t="s">
        <v>9010</v>
      </c>
      <c r="G1551" s="1" t="s">
        <v>8957</v>
      </c>
      <c r="H1551" t="s">
        <v>9061</v>
      </c>
      <c r="I1551" s="1" t="s">
        <v>9075</v>
      </c>
      <c r="J1551" s="1" t="s">
        <v>8971</v>
      </c>
      <c r="K1551" s="1" t="s">
        <v>21445</v>
      </c>
      <c r="L1551" s="1" t="s">
        <v>8973</v>
      </c>
      <c r="M1551" s="1">
        <v>43</v>
      </c>
      <c r="N1551" s="1" t="s">
        <v>9059</v>
      </c>
      <c r="O1551" s="1" t="s">
        <v>8989</v>
      </c>
      <c r="P1551" s="1" t="s">
        <v>8955</v>
      </c>
      <c r="Q1551" s="1" t="s">
        <v>8956</v>
      </c>
      <c r="R1551" s="1" t="s">
        <v>8957</v>
      </c>
      <c r="S1551" s="1" t="s">
        <v>8975</v>
      </c>
      <c r="T1551" s="1" t="s">
        <v>4200</v>
      </c>
      <c r="U1551" s="1" t="s">
        <v>17</v>
      </c>
      <c r="V1551" s="1" t="s">
        <v>93</v>
      </c>
      <c r="W1551" s="1"/>
    </row>
    <row r="1552" spans="1:23" x14ac:dyDescent="0.2">
      <c r="A1552" s="88" t="s">
        <v>16846</v>
      </c>
      <c r="B1552" s="1" t="e">
        <v>#N/A</v>
      </c>
      <c r="C1552" s="1" t="s">
        <v>15007</v>
      </c>
      <c r="D1552" s="1" t="s">
        <v>4201</v>
      </c>
      <c r="E1552" s="1" t="s">
        <v>4202</v>
      </c>
      <c r="F1552" s="1" t="s">
        <v>9310</v>
      </c>
      <c r="G1552" s="1" t="s">
        <v>8957</v>
      </c>
      <c r="H1552" t="s">
        <v>8959</v>
      </c>
      <c r="I1552" s="1" t="s">
        <v>9605</v>
      </c>
      <c r="J1552" s="1" t="s">
        <v>9121</v>
      </c>
      <c r="K1552" s="1" t="s">
        <v>9036</v>
      </c>
      <c r="L1552" s="1" t="s">
        <v>9076</v>
      </c>
      <c r="M1552" s="1">
        <v>5000</v>
      </c>
      <c r="N1552" s="1" t="s">
        <v>8953</v>
      </c>
      <c r="O1552" s="1" t="s">
        <v>8989</v>
      </c>
      <c r="P1552" s="1" t="s">
        <v>8955</v>
      </c>
      <c r="Q1552" s="1" t="s">
        <v>8956</v>
      </c>
      <c r="R1552" s="1" t="s">
        <v>8957</v>
      </c>
      <c r="S1552" s="1" t="s">
        <v>8958</v>
      </c>
      <c r="T1552" s="1" t="s">
        <v>4203</v>
      </c>
      <c r="U1552" s="1" t="s">
        <v>17</v>
      </c>
      <c r="V1552" s="1" t="s">
        <v>3492</v>
      </c>
      <c r="W1552" s="1"/>
    </row>
    <row r="1553" spans="1:23" x14ac:dyDescent="0.2">
      <c r="A1553" s="88" t="s">
        <v>16847</v>
      </c>
      <c r="B1553" s="1" t="e">
        <v>#N/A</v>
      </c>
      <c r="C1553" s="1" t="s">
        <v>13181</v>
      </c>
      <c r="D1553" s="1" t="s">
        <v>4204</v>
      </c>
      <c r="E1553" s="1" t="s">
        <v>4205</v>
      </c>
      <c r="F1553" s="1" t="s">
        <v>9317</v>
      </c>
      <c r="G1553" s="1" t="s">
        <v>9060</v>
      </c>
      <c r="H1553" t="s">
        <v>9009</v>
      </c>
      <c r="I1553" s="1" t="s">
        <v>9049</v>
      </c>
      <c r="J1553" s="1" t="s">
        <v>9050</v>
      </c>
      <c r="K1553" s="1" t="s">
        <v>9041</v>
      </c>
      <c r="L1553" s="1" t="s">
        <v>8951</v>
      </c>
      <c r="M1553" s="1">
        <v>88702</v>
      </c>
      <c r="N1553" s="1" t="s">
        <v>8953</v>
      </c>
      <c r="O1553" s="1" t="s">
        <v>8989</v>
      </c>
      <c r="P1553" s="1" t="s">
        <v>8955</v>
      </c>
      <c r="Q1553" s="1" t="s">
        <v>8956</v>
      </c>
      <c r="R1553" s="1" t="s">
        <v>9060</v>
      </c>
      <c r="S1553" s="1" t="s">
        <v>8958</v>
      </c>
      <c r="T1553" s="1" t="s">
        <v>4206</v>
      </c>
      <c r="U1553" s="1" t="s">
        <v>4</v>
      </c>
      <c r="V1553" s="1" t="s">
        <v>24</v>
      </c>
      <c r="W1553" s="1"/>
    </row>
    <row r="1554" spans="1:23" x14ac:dyDescent="0.2">
      <c r="A1554" s="89" t="s">
        <v>16848</v>
      </c>
      <c r="B1554" s="1" t="e">
        <v>#N/A</v>
      </c>
      <c r="C1554" s="1" t="e">
        <v>#N/A</v>
      </c>
      <c r="D1554" s="1" t="s">
        <v>4207</v>
      </c>
      <c r="E1554" s="1" t="s">
        <v>4208</v>
      </c>
      <c r="F1554" s="1" t="e">
        <v>#N/A</v>
      </c>
      <c r="G1554" s="1" t="e">
        <v>#N/A</v>
      </c>
      <c r="H1554" t="e">
        <v>#N/A</v>
      </c>
      <c r="I1554" s="1" t="e">
        <v>#N/A</v>
      </c>
      <c r="J1554" s="1" t="e">
        <v>#N/A</v>
      </c>
      <c r="K1554" s="1" t="e">
        <v>#N/A</v>
      </c>
      <c r="L1554" s="1" t="e">
        <v>#N/A</v>
      </c>
      <c r="M1554" s="1" t="e">
        <v>#N/A</v>
      </c>
      <c r="N1554" s="1" t="e">
        <v>#N/A</v>
      </c>
      <c r="O1554" s="1" t="e">
        <v>#N/A</v>
      </c>
      <c r="P1554" s="1" t="e">
        <v>#N/A</v>
      </c>
      <c r="Q1554" s="1" t="e">
        <v>#N/A</v>
      </c>
      <c r="R1554" s="1">
        <f t="shared" ref="R1554:R1556" si="454">1+LEN(T1554)-LEN(SUBSTITUTE(T1554,",",))</f>
        <v>1</v>
      </c>
      <c r="S1554" s="1" t="str">
        <f t="shared" ref="S1554:S1556" si="455">IF(R1554&gt;4,IF(R1554&lt;8,"4-7",IF(R1554&gt;7,"&gt;7")),"&lt;4")</f>
        <v>&lt;4</v>
      </c>
      <c r="U1554" s="1" t="s">
        <v>17</v>
      </c>
      <c r="V1554" s="1" t="s">
        <v>180</v>
      </c>
      <c r="W1554" s="1"/>
    </row>
    <row r="1555" spans="1:23" x14ac:dyDescent="0.2">
      <c r="A1555" s="89" t="s">
        <v>4209</v>
      </c>
      <c r="B1555" s="1" t="e">
        <v>#N/A</v>
      </c>
      <c r="C1555" s="1" t="e">
        <v>#N/A</v>
      </c>
      <c r="D1555" s="1" t="s">
        <v>4210</v>
      </c>
      <c r="E1555" s="1" t="s">
        <v>4211</v>
      </c>
      <c r="F1555" s="1" t="e">
        <v>#N/A</v>
      </c>
      <c r="G1555" s="1" t="e">
        <v>#N/A</v>
      </c>
      <c r="H1555" t="e">
        <v>#N/A</v>
      </c>
      <c r="I1555" s="1" t="e">
        <v>#N/A</v>
      </c>
      <c r="J1555" s="1" t="e">
        <v>#N/A</v>
      </c>
      <c r="K1555" s="1" t="e">
        <v>#N/A</v>
      </c>
      <c r="L1555" s="1" t="e">
        <v>#N/A</v>
      </c>
      <c r="M1555" s="1" t="e">
        <v>#N/A</v>
      </c>
      <c r="N1555" s="1" t="e">
        <v>#N/A</v>
      </c>
      <c r="O1555" s="1" t="e">
        <v>#N/A</v>
      </c>
      <c r="P1555" s="1" t="e">
        <v>#N/A</v>
      </c>
      <c r="Q1555" s="1" t="e">
        <v>#N/A</v>
      </c>
      <c r="R1555" s="1">
        <f t="shared" si="454"/>
        <v>7</v>
      </c>
      <c r="S1555" s="1" t="str">
        <f t="shared" si="455"/>
        <v>4-7</v>
      </c>
      <c r="T1555" s="1" t="s">
        <v>19416</v>
      </c>
      <c r="U1555" s="1" t="s">
        <v>17</v>
      </c>
      <c r="V1555" s="1" t="s">
        <v>571</v>
      </c>
      <c r="W1555" s="1"/>
    </row>
    <row r="1556" spans="1:23" x14ac:dyDescent="0.2">
      <c r="A1556" s="88" t="s">
        <v>16849</v>
      </c>
      <c r="B1556" s="1" t="e">
        <v>#N/A</v>
      </c>
      <c r="C1556" s="1" t="e">
        <v>#N/A</v>
      </c>
      <c r="D1556" s="1" t="s">
        <v>4212</v>
      </c>
      <c r="E1556" s="1" t="s">
        <v>4213</v>
      </c>
      <c r="F1556" s="1" t="s">
        <v>9636</v>
      </c>
      <c r="G1556" s="1" t="s">
        <v>8959</v>
      </c>
      <c r="H1556" t="s">
        <v>8959</v>
      </c>
      <c r="I1556" s="1" t="s">
        <v>9092</v>
      </c>
      <c r="J1556" s="1" t="s">
        <v>8971</v>
      </c>
      <c r="K1556" s="1" t="s">
        <v>21370</v>
      </c>
      <c r="L1556" s="1" t="s">
        <v>8951</v>
      </c>
      <c r="M1556" s="1">
        <f>79+28</f>
        <v>107</v>
      </c>
      <c r="N1556" s="1" t="s">
        <v>9059</v>
      </c>
      <c r="O1556" s="1" t="s">
        <v>8989</v>
      </c>
      <c r="P1556" s="1" t="e">
        <v>#N/A</v>
      </c>
      <c r="Q1556" s="1" t="e">
        <v>#N/A</v>
      </c>
      <c r="R1556" s="1">
        <f t="shared" si="454"/>
        <v>7</v>
      </c>
      <c r="S1556" s="1" t="str">
        <f t="shared" si="455"/>
        <v>4-7</v>
      </c>
      <c r="T1556" s="1" t="s">
        <v>19417</v>
      </c>
      <c r="U1556" s="1" t="s">
        <v>7</v>
      </c>
      <c r="V1556" s="1" t="s">
        <v>46</v>
      </c>
      <c r="W1556" s="1"/>
    </row>
    <row r="1557" spans="1:23" x14ac:dyDescent="0.2">
      <c r="A1557" s="88" t="s">
        <v>16850</v>
      </c>
      <c r="B1557" s="1" t="e">
        <v>#N/A</v>
      </c>
      <c r="C1557" s="1" t="s">
        <v>14221</v>
      </c>
      <c r="D1557" s="1" t="s">
        <v>4214</v>
      </c>
      <c r="E1557" s="1" t="s">
        <v>4215</v>
      </c>
      <c r="F1557" s="1" t="s">
        <v>9650</v>
      </c>
      <c r="G1557" s="1" t="s">
        <v>8957</v>
      </c>
      <c r="H1557" t="s">
        <v>9061</v>
      </c>
      <c r="I1557" s="1" t="s">
        <v>8948</v>
      </c>
      <c r="J1557" s="1" t="s">
        <v>8971</v>
      </c>
      <c r="K1557" s="1" t="s">
        <v>9036</v>
      </c>
      <c r="L1557" s="1" t="s">
        <v>9292</v>
      </c>
      <c r="M1557" s="1">
        <v>90000</v>
      </c>
      <c r="N1557" s="1" t="s">
        <v>8953</v>
      </c>
      <c r="O1557" s="1" t="s">
        <v>8989</v>
      </c>
      <c r="P1557" s="1" t="s">
        <v>8955</v>
      </c>
      <c r="Q1557" s="1" t="s">
        <v>8956</v>
      </c>
      <c r="R1557" s="1" t="s">
        <v>8957</v>
      </c>
      <c r="S1557" s="1" t="s">
        <v>8975</v>
      </c>
      <c r="T1557" s="1" t="s">
        <v>4216</v>
      </c>
      <c r="U1557" s="1" t="s">
        <v>4</v>
      </c>
      <c r="V1557" s="1" t="s">
        <v>27</v>
      </c>
      <c r="W1557" s="1"/>
    </row>
    <row r="1558" spans="1:23" x14ac:dyDescent="0.2">
      <c r="A1558" s="89" t="s">
        <v>4217</v>
      </c>
      <c r="B1558" s="1" t="e">
        <v>#N/A</v>
      </c>
      <c r="C1558" s="1" t="e">
        <v>#N/A</v>
      </c>
      <c r="D1558" s="1" t="s">
        <v>4218</v>
      </c>
      <c r="E1558" s="1" t="s">
        <v>4219</v>
      </c>
      <c r="F1558" s="1" t="e">
        <v>#N/A</v>
      </c>
      <c r="G1558" s="1" t="e">
        <v>#N/A</v>
      </c>
      <c r="H1558" t="e">
        <v>#N/A</v>
      </c>
      <c r="I1558" s="1" t="e">
        <v>#N/A</v>
      </c>
      <c r="J1558" s="1" t="e">
        <v>#N/A</v>
      </c>
      <c r="K1558" s="1" t="e">
        <v>#N/A</v>
      </c>
      <c r="L1558" s="1" t="e">
        <v>#N/A</v>
      </c>
      <c r="M1558" s="1" t="e">
        <v>#N/A</v>
      </c>
      <c r="N1558" s="1" t="e">
        <v>#N/A</v>
      </c>
      <c r="O1558" s="1" t="e">
        <v>#N/A</v>
      </c>
      <c r="P1558" s="1" t="e">
        <v>#N/A</v>
      </c>
      <c r="Q1558" s="1" t="e">
        <v>#N/A</v>
      </c>
      <c r="R1558" s="1">
        <f>1+LEN(T1558)-LEN(SUBSTITUTE(T1558,",",))</f>
        <v>2</v>
      </c>
      <c r="S1558" s="1" t="str">
        <f>IF(R1558&gt;4,IF(R1558&lt;8,"4-7",IF(R1558&gt;7,"&gt;7")),"&lt;4")</f>
        <v>&lt;4</v>
      </c>
      <c r="T1558" s="1" t="s">
        <v>19418</v>
      </c>
      <c r="U1558" s="1" t="s">
        <v>7</v>
      </c>
      <c r="V1558" s="1" t="s">
        <v>666</v>
      </c>
      <c r="W1558" s="1"/>
    </row>
    <row r="1559" spans="1:23" x14ac:dyDescent="0.2">
      <c r="A1559" s="88" t="s">
        <v>16851</v>
      </c>
      <c r="B1559" s="1" t="e">
        <v>#N/A</v>
      </c>
      <c r="C1559" s="1" t="s">
        <v>10847</v>
      </c>
      <c r="D1559" s="1" t="s">
        <v>4220</v>
      </c>
      <c r="E1559" s="1" t="s">
        <v>4221</v>
      </c>
      <c r="F1559" s="1" t="s">
        <v>10850</v>
      </c>
      <c r="G1559" s="1" t="s">
        <v>8957</v>
      </c>
      <c r="H1559" t="s">
        <v>9009</v>
      </c>
      <c r="I1559" s="1" t="s">
        <v>9154</v>
      </c>
      <c r="J1559" s="1" t="s">
        <v>8949</v>
      </c>
      <c r="K1559" s="1" t="s">
        <v>9918</v>
      </c>
      <c r="L1559" s="1" t="s">
        <v>8973</v>
      </c>
      <c r="M1559" s="1">
        <v>4800</v>
      </c>
      <c r="N1559" s="1" t="s">
        <v>8953</v>
      </c>
      <c r="O1559" s="1" t="s">
        <v>8954</v>
      </c>
      <c r="P1559" s="1" t="s">
        <v>8955</v>
      </c>
      <c r="Q1559" s="1" t="s">
        <v>8990</v>
      </c>
      <c r="R1559" s="1" t="s">
        <v>8957</v>
      </c>
      <c r="S1559" s="1" t="s">
        <v>8975</v>
      </c>
      <c r="T1559" s="1" t="s">
        <v>4222</v>
      </c>
      <c r="U1559" s="1" t="s">
        <v>11</v>
      </c>
      <c r="V1559" s="1" t="s">
        <v>46</v>
      </c>
      <c r="W1559" s="1"/>
    </row>
    <row r="1560" spans="1:23" x14ac:dyDescent="0.2">
      <c r="A1560" s="88" t="s">
        <v>16852</v>
      </c>
      <c r="B1560" s="1" t="e">
        <v>#N/A</v>
      </c>
      <c r="C1560" s="1" t="s">
        <v>14132</v>
      </c>
      <c r="D1560" s="1" t="s">
        <v>4223</v>
      </c>
      <c r="E1560" s="1" t="s">
        <v>4224</v>
      </c>
      <c r="F1560" s="1" t="s">
        <v>9310</v>
      </c>
      <c r="G1560" s="1" t="s">
        <v>8959</v>
      </c>
      <c r="H1560" t="s">
        <v>8959</v>
      </c>
      <c r="I1560" s="1" t="s">
        <v>8984</v>
      </c>
      <c r="J1560" s="1" t="s">
        <v>9131</v>
      </c>
      <c r="K1560" s="1" t="s">
        <v>9436</v>
      </c>
      <c r="L1560" s="1" t="s">
        <v>8951</v>
      </c>
      <c r="M1560" s="1">
        <v>38</v>
      </c>
      <c r="N1560" s="1" t="s">
        <v>11658</v>
      </c>
      <c r="O1560" s="1" t="s">
        <v>8989</v>
      </c>
      <c r="P1560" s="1" t="s">
        <v>8955</v>
      </c>
      <c r="Q1560" s="1" t="s">
        <v>8956</v>
      </c>
      <c r="R1560" s="1" t="s">
        <v>8959</v>
      </c>
      <c r="S1560" s="1" t="s">
        <v>8958</v>
      </c>
      <c r="T1560" s="1" t="s">
        <v>4225</v>
      </c>
      <c r="U1560" s="1" t="s">
        <v>4</v>
      </c>
      <c r="V1560" s="1" t="s">
        <v>27</v>
      </c>
      <c r="W1560" s="1"/>
    </row>
    <row r="1561" spans="1:23" x14ac:dyDescent="0.2">
      <c r="A1561" s="88" t="s">
        <v>16853</v>
      </c>
      <c r="B1561" s="1" t="e">
        <v>#N/A</v>
      </c>
      <c r="C1561" s="1" t="e">
        <v>#N/A</v>
      </c>
      <c r="D1561" s="1" t="s">
        <v>4226</v>
      </c>
      <c r="E1561" s="1" t="s">
        <v>4227</v>
      </c>
      <c r="F1561" s="1" t="e">
        <v>#N/A</v>
      </c>
      <c r="G1561" s="1" t="e">
        <v>#N/A</v>
      </c>
      <c r="H1561" t="e">
        <v>#N/A</v>
      </c>
      <c r="I1561" s="1" t="e">
        <v>#N/A</v>
      </c>
      <c r="J1561" s="1" t="e">
        <v>#N/A</v>
      </c>
      <c r="K1561" s="1" t="e">
        <v>#N/A</v>
      </c>
      <c r="L1561" s="1" t="e">
        <v>#N/A</v>
      </c>
      <c r="M1561" s="1" t="e">
        <v>#N/A</v>
      </c>
      <c r="N1561" s="1" t="e">
        <v>#N/A</v>
      </c>
      <c r="O1561" s="1" t="e">
        <v>#N/A</v>
      </c>
      <c r="P1561" s="1" t="e">
        <v>#N/A</v>
      </c>
      <c r="Q1561" s="1" t="e">
        <v>#N/A</v>
      </c>
      <c r="R1561" s="1">
        <f>1+LEN(T1561)-LEN(SUBSTITUTE(T1561,",",))</f>
        <v>42</v>
      </c>
      <c r="S1561" s="1" t="str">
        <f>IF(R1561&gt;4,IF(R1561&lt;8,"4-7",IF(R1561&gt;7,"&gt;7")),"&lt;4")</f>
        <v>&gt;7</v>
      </c>
      <c r="T1561" s="1" t="s">
        <v>19419</v>
      </c>
      <c r="U1561" s="1" t="s">
        <v>252</v>
      </c>
      <c r="V1561" s="1" t="s">
        <v>180</v>
      </c>
      <c r="W1561" s="1"/>
    </row>
    <row r="1562" spans="1:23" x14ac:dyDescent="0.2">
      <c r="A1562" s="88" t="s">
        <v>16854</v>
      </c>
      <c r="B1562" s="1" t="e">
        <v>#N/A</v>
      </c>
      <c r="C1562" s="1" t="s">
        <v>15148</v>
      </c>
      <c r="D1562" s="1" t="s">
        <v>4228</v>
      </c>
      <c r="E1562" s="1" t="s">
        <v>4229</v>
      </c>
      <c r="F1562" s="1" t="s">
        <v>9246</v>
      </c>
      <c r="G1562" s="1" t="s">
        <v>8959</v>
      </c>
      <c r="H1562" t="s">
        <v>9061</v>
      </c>
      <c r="I1562" s="1" t="s">
        <v>9092</v>
      </c>
      <c r="J1562" s="1" t="s">
        <v>9155</v>
      </c>
      <c r="K1562" s="1" t="s">
        <v>8972</v>
      </c>
      <c r="L1562" s="1" t="s">
        <v>8973</v>
      </c>
      <c r="M1562" s="1">
        <v>113</v>
      </c>
      <c r="N1562" s="1" t="s">
        <v>8953</v>
      </c>
      <c r="O1562" s="1" t="s">
        <v>8954</v>
      </c>
      <c r="P1562" s="1" t="s">
        <v>8955</v>
      </c>
      <c r="Q1562" s="1" t="s">
        <v>8956</v>
      </c>
      <c r="R1562" s="1" t="s">
        <v>8959</v>
      </c>
      <c r="S1562" s="1" t="s">
        <v>8958</v>
      </c>
      <c r="T1562" s="1" t="s">
        <v>4230</v>
      </c>
      <c r="U1562" s="1" t="s">
        <v>17</v>
      </c>
      <c r="V1562" s="1" t="s">
        <v>126</v>
      </c>
      <c r="W1562" s="1"/>
    </row>
    <row r="1563" spans="1:23" x14ac:dyDescent="0.2">
      <c r="A1563" s="88" t="s">
        <v>16855</v>
      </c>
      <c r="B1563" s="1" t="e">
        <v>#N/A</v>
      </c>
      <c r="C1563" s="1" t="e">
        <v>#N/A</v>
      </c>
      <c r="D1563" s="1" t="s">
        <v>4231</v>
      </c>
      <c r="E1563" s="1" t="s">
        <v>4232</v>
      </c>
      <c r="F1563" s="1" t="s">
        <v>18502</v>
      </c>
      <c r="G1563" s="1" t="s">
        <v>9060</v>
      </c>
      <c r="H1563" t="s">
        <v>8959</v>
      </c>
      <c r="I1563" s="1" t="s">
        <v>9092</v>
      </c>
      <c r="J1563" s="1" t="s">
        <v>8949</v>
      </c>
      <c r="K1563" s="1" t="s">
        <v>20779</v>
      </c>
      <c r="L1563" s="1" t="s">
        <v>8987</v>
      </c>
      <c r="M1563" s="1">
        <v>19</v>
      </c>
      <c r="N1563" s="1" t="s">
        <v>9059</v>
      </c>
      <c r="O1563" s="1" t="s">
        <v>8989</v>
      </c>
      <c r="P1563" s="1" t="e">
        <v>#N/A</v>
      </c>
      <c r="Q1563" s="1" t="e">
        <v>#N/A</v>
      </c>
      <c r="R1563" s="1">
        <f t="shared" ref="R1563:R1564" si="456">1+LEN(T1563)-LEN(SUBSTITUTE(T1563,",",))</f>
        <v>12</v>
      </c>
      <c r="S1563" s="1" t="str">
        <f t="shared" ref="S1563:S1564" si="457">IF(R1563&gt;4,IF(R1563&lt;8,"4-7",IF(R1563&gt;7,"&gt;7")),"&lt;4")</f>
        <v>&gt;7</v>
      </c>
      <c r="T1563" s="1" t="s">
        <v>19420</v>
      </c>
      <c r="U1563" s="1" t="s">
        <v>7</v>
      </c>
      <c r="V1563" s="1" t="s">
        <v>4233</v>
      </c>
      <c r="W1563" s="1"/>
    </row>
    <row r="1564" spans="1:23" x14ac:dyDescent="0.2">
      <c r="A1564" s="88" t="s">
        <v>16856</v>
      </c>
      <c r="B1564" s="1" t="e">
        <v>#N/A</v>
      </c>
      <c r="C1564" s="1" t="e">
        <v>#N/A</v>
      </c>
      <c r="D1564" s="1" t="s">
        <v>4234</v>
      </c>
      <c r="E1564" s="1" t="s">
        <v>4235</v>
      </c>
      <c r="F1564" s="1" t="s">
        <v>18502</v>
      </c>
      <c r="G1564" s="1" t="s">
        <v>9060</v>
      </c>
      <c r="H1564" t="s">
        <v>8959</v>
      </c>
      <c r="I1564" s="1" t="s">
        <v>9092</v>
      </c>
      <c r="J1564" s="1" t="s">
        <v>9308</v>
      </c>
      <c r="K1564" s="1" t="s">
        <v>18497</v>
      </c>
      <c r="L1564" s="1" t="s">
        <v>9133</v>
      </c>
      <c r="M1564" s="1">
        <v>728</v>
      </c>
      <c r="N1564" s="1" t="s">
        <v>9059</v>
      </c>
      <c r="O1564" s="1" t="s">
        <v>8954</v>
      </c>
      <c r="P1564" s="1" t="e">
        <v>#N/A</v>
      </c>
      <c r="Q1564" s="1" t="e">
        <v>#N/A</v>
      </c>
      <c r="R1564" s="1">
        <f t="shared" si="456"/>
        <v>9</v>
      </c>
      <c r="S1564" s="1" t="str">
        <f t="shared" si="457"/>
        <v>&gt;7</v>
      </c>
      <c r="T1564" s="1" t="s">
        <v>19421</v>
      </c>
      <c r="U1564" s="1" t="s">
        <v>7</v>
      </c>
      <c r="V1564" s="1" t="s">
        <v>180</v>
      </c>
      <c r="W1564" s="1"/>
    </row>
    <row r="1565" spans="1:23" x14ac:dyDescent="0.2">
      <c r="A1565" s="88" t="s">
        <v>16857</v>
      </c>
      <c r="B1565" s="1" t="e">
        <v>#N/A</v>
      </c>
      <c r="C1565" s="1" t="s">
        <v>11511</v>
      </c>
      <c r="D1565" s="1" t="s">
        <v>4236</v>
      </c>
      <c r="E1565" s="1" t="s">
        <v>4237</v>
      </c>
      <c r="F1565" s="1" t="s">
        <v>9010</v>
      </c>
      <c r="G1565" s="1" t="s">
        <v>8959</v>
      </c>
      <c r="H1565" t="s">
        <v>9183</v>
      </c>
      <c r="I1565" s="1" t="s">
        <v>9035</v>
      </c>
      <c r="J1565" s="1" t="s">
        <v>8998</v>
      </c>
      <c r="K1565" s="1" t="s">
        <v>9036</v>
      </c>
      <c r="L1565" s="1" t="s">
        <v>8987</v>
      </c>
      <c r="M1565" s="1">
        <v>150</v>
      </c>
      <c r="N1565" s="1" t="s">
        <v>8953</v>
      </c>
      <c r="O1565" s="1" t="s">
        <v>8989</v>
      </c>
      <c r="P1565" s="1" t="s">
        <v>8955</v>
      </c>
      <c r="Q1565" s="1" t="s">
        <v>8990</v>
      </c>
      <c r="R1565" s="1" t="s">
        <v>8959</v>
      </c>
      <c r="S1565" s="1" t="s">
        <v>9103</v>
      </c>
      <c r="U1565" s="1" t="s">
        <v>11</v>
      </c>
      <c r="V1565" s="1" t="s">
        <v>2196</v>
      </c>
      <c r="W1565" s="1"/>
    </row>
    <row r="1566" spans="1:23" x14ac:dyDescent="0.2">
      <c r="A1566" s="88" t="s">
        <v>16858</v>
      </c>
      <c r="B1566" s="1" t="e">
        <v>#N/A</v>
      </c>
      <c r="C1566" s="1" t="e">
        <v>#N/A</v>
      </c>
      <c r="D1566" s="1" t="s">
        <v>4238</v>
      </c>
      <c r="E1566" s="1" t="s">
        <v>4239</v>
      </c>
      <c r="F1566" s="1" t="s">
        <v>9380</v>
      </c>
      <c r="G1566" s="1" t="s">
        <v>8957</v>
      </c>
      <c r="H1566" t="s">
        <v>8959</v>
      </c>
      <c r="I1566" s="1" t="s">
        <v>9605</v>
      </c>
      <c r="J1566" s="1" t="s">
        <v>8985</v>
      </c>
      <c r="K1566" s="1" t="s">
        <v>21424</v>
      </c>
      <c r="L1566" s="1" t="s">
        <v>9133</v>
      </c>
      <c r="M1566" s="1">
        <f>333+78+72+104+81+165+39+57+56+37</f>
        <v>1022</v>
      </c>
      <c r="N1566" s="1" t="s">
        <v>8953</v>
      </c>
      <c r="O1566" s="1" t="s">
        <v>8954</v>
      </c>
      <c r="P1566" s="1" t="e">
        <v>#N/A</v>
      </c>
      <c r="Q1566" s="1" t="e">
        <v>#N/A</v>
      </c>
      <c r="R1566" s="1">
        <f t="shared" ref="R1566:R1568" si="458">1+LEN(T1566)-LEN(SUBSTITUTE(T1566,",",))</f>
        <v>26</v>
      </c>
      <c r="S1566" s="1" t="str">
        <f t="shared" ref="S1566:S1568" si="459">IF(R1566&gt;4,IF(R1566&lt;8,"4-7",IF(R1566&gt;7,"&gt;7")),"&lt;4")</f>
        <v>&gt;7</v>
      </c>
      <c r="T1566" s="1" t="s">
        <v>19422</v>
      </c>
      <c r="U1566" s="1" t="s">
        <v>7</v>
      </c>
      <c r="V1566" s="1" t="s">
        <v>31</v>
      </c>
      <c r="W1566" s="1"/>
    </row>
    <row r="1567" spans="1:23" x14ac:dyDescent="0.2">
      <c r="A1567" s="89" t="s">
        <v>4240</v>
      </c>
      <c r="B1567" s="1" t="e">
        <v>#N/A</v>
      </c>
      <c r="C1567" s="1" t="e">
        <v>#N/A</v>
      </c>
      <c r="D1567" s="1" t="s">
        <v>4241</v>
      </c>
      <c r="E1567" s="1" t="s">
        <v>4242</v>
      </c>
      <c r="F1567" s="1" t="e">
        <v>#N/A</v>
      </c>
      <c r="G1567" s="1" t="e">
        <v>#N/A</v>
      </c>
      <c r="H1567" t="e">
        <v>#N/A</v>
      </c>
      <c r="I1567" s="1" t="e">
        <v>#N/A</v>
      </c>
      <c r="J1567" s="1" t="e">
        <v>#N/A</v>
      </c>
      <c r="K1567" s="1" t="e">
        <v>#N/A</v>
      </c>
      <c r="L1567" s="1" t="e">
        <v>#N/A</v>
      </c>
      <c r="M1567" s="1" t="e">
        <v>#N/A</v>
      </c>
      <c r="N1567" s="1" t="e">
        <v>#N/A</v>
      </c>
      <c r="O1567" s="1" t="e">
        <v>#N/A</v>
      </c>
      <c r="P1567" s="1" t="e">
        <v>#N/A</v>
      </c>
      <c r="Q1567" s="1" t="e">
        <v>#N/A</v>
      </c>
      <c r="R1567" s="1">
        <f t="shared" si="458"/>
        <v>6</v>
      </c>
      <c r="S1567" s="1" t="str">
        <f t="shared" si="459"/>
        <v>4-7</v>
      </c>
      <c r="T1567" s="1" t="s">
        <v>19423</v>
      </c>
      <c r="U1567" s="1" t="s">
        <v>17</v>
      </c>
      <c r="V1567" s="1" t="s">
        <v>4243</v>
      </c>
      <c r="W1567" s="1"/>
    </row>
    <row r="1568" spans="1:23" x14ac:dyDescent="0.2">
      <c r="A1568" s="88" t="s">
        <v>16859</v>
      </c>
      <c r="B1568" s="1" t="e">
        <v>#N/A</v>
      </c>
      <c r="C1568" s="1" t="e">
        <v>#N/A</v>
      </c>
      <c r="D1568" s="1" t="s">
        <v>4244</v>
      </c>
      <c r="E1568" s="1" t="s">
        <v>4245</v>
      </c>
      <c r="F1568" s="1" t="s">
        <v>18502</v>
      </c>
      <c r="G1568" s="1" t="s">
        <v>8959</v>
      </c>
      <c r="H1568" t="s">
        <v>9183</v>
      </c>
      <c r="I1568" s="1" t="s">
        <v>9092</v>
      </c>
      <c r="J1568" s="1" t="s">
        <v>8949</v>
      </c>
      <c r="K1568" s="1" t="s">
        <v>20779</v>
      </c>
      <c r="L1568" s="1" t="s">
        <v>8951</v>
      </c>
      <c r="M1568" s="1">
        <v>17800</v>
      </c>
      <c r="N1568" s="1" t="s">
        <v>8953</v>
      </c>
      <c r="O1568" s="1" t="s">
        <v>8989</v>
      </c>
      <c r="P1568" s="1" t="e">
        <v>#N/A</v>
      </c>
      <c r="Q1568" s="1" t="e">
        <v>#N/A</v>
      </c>
      <c r="R1568" s="1">
        <f t="shared" si="458"/>
        <v>7</v>
      </c>
      <c r="S1568" s="1" t="str">
        <f t="shared" si="459"/>
        <v>4-7</v>
      </c>
      <c r="T1568" s="1" t="s">
        <v>20631</v>
      </c>
      <c r="U1568" s="1" t="s">
        <v>7</v>
      </c>
      <c r="V1568" s="1" t="s">
        <v>4246</v>
      </c>
      <c r="W1568" s="1"/>
    </row>
    <row r="1569" spans="1:23" x14ac:dyDescent="0.2">
      <c r="A1569" s="88" t="s">
        <v>16860</v>
      </c>
      <c r="B1569" s="1" t="e">
        <v>#N/A</v>
      </c>
      <c r="C1569" s="1" t="s">
        <v>9038</v>
      </c>
      <c r="D1569" s="1" t="s">
        <v>4247</v>
      </c>
      <c r="E1569" s="1" t="s">
        <v>4248</v>
      </c>
      <c r="F1569" s="1" t="s">
        <v>9010</v>
      </c>
      <c r="G1569" s="1" t="s">
        <v>8959</v>
      </c>
      <c r="H1569" t="s">
        <v>8959</v>
      </c>
      <c r="I1569" s="1" t="s">
        <v>8948</v>
      </c>
      <c r="J1569" s="1" t="s">
        <v>8949</v>
      </c>
      <c r="K1569" s="1" t="s">
        <v>9041</v>
      </c>
      <c r="L1569" s="1" t="s">
        <v>8987</v>
      </c>
      <c r="M1569" s="1">
        <v>133869</v>
      </c>
      <c r="N1569" s="1" t="s">
        <v>8953</v>
      </c>
      <c r="O1569" s="1" t="s">
        <v>8954</v>
      </c>
      <c r="P1569" s="1" t="s">
        <v>8955</v>
      </c>
      <c r="Q1569" s="1" t="s">
        <v>8956</v>
      </c>
      <c r="R1569" s="1" t="s">
        <v>8959</v>
      </c>
      <c r="S1569" s="1" t="s">
        <v>8958</v>
      </c>
      <c r="T1569" s="1" t="s">
        <v>4249</v>
      </c>
      <c r="U1569" s="1" t="s">
        <v>7</v>
      </c>
      <c r="V1569" s="1" t="s">
        <v>322</v>
      </c>
      <c r="W1569" s="1"/>
    </row>
    <row r="1570" spans="1:23" x14ac:dyDescent="0.2">
      <c r="A1570" s="88" t="s">
        <v>16861</v>
      </c>
      <c r="B1570" s="1" t="e">
        <v>#N/A</v>
      </c>
      <c r="C1570" s="1" t="s">
        <v>13377</v>
      </c>
      <c r="D1570" s="1" t="s">
        <v>4250</v>
      </c>
      <c r="E1570" s="1" t="s">
        <v>4251</v>
      </c>
      <c r="F1570" s="1" t="s">
        <v>9010</v>
      </c>
      <c r="G1570" s="1" t="s">
        <v>8959</v>
      </c>
      <c r="H1570" t="s">
        <v>9061</v>
      </c>
      <c r="I1570" s="1" t="s">
        <v>9092</v>
      </c>
      <c r="J1570" s="1" t="s">
        <v>9155</v>
      </c>
      <c r="K1570" s="1" t="s">
        <v>9599</v>
      </c>
      <c r="L1570" s="1" t="s">
        <v>9076</v>
      </c>
      <c r="M1570" s="1">
        <v>90</v>
      </c>
      <c r="N1570" s="1" t="s">
        <v>8953</v>
      </c>
      <c r="O1570" s="1" t="s">
        <v>8989</v>
      </c>
      <c r="P1570" s="1" t="s">
        <v>8955</v>
      </c>
      <c r="Q1570" s="1" t="s">
        <v>8956</v>
      </c>
      <c r="R1570" s="1" t="s">
        <v>8959</v>
      </c>
      <c r="S1570" s="1" t="s">
        <v>8975</v>
      </c>
      <c r="T1570" s="1" t="s">
        <v>4252</v>
      </c>
      <c r="U1570" s="1" t="s">
        <v>11</v>
      </c>
      <c r="V1570" s="1" t="s">
        <v>733</v>
      </c>
      <c r="W1570" s="1"/>
    </row>
    <row r="1571" spans="1:23" x14ac:dyDescent="0.2">
      <c r="A1571" s="89" t="s">
        <v>16862</v>
      </c>
      <c r="B1571" s="1" t="e">
        <v>#N/A</v>
      </c>
      <c r="C1571" s="1" t="e">
        <v>#N/A</v>
      </c>
      <c r="D1571" s="1" t="s">
        <v>15481</v>
      </c>
      <c r="E1571" s="1" t="s">
        <v>4253</v>
      </c>
      <c r="F1571" s="1" t="e">
        <v>#N/A</v>
      </c>
      <c r="G1571" s="1" t="e">
        <v>#N/A</v>
      </c>
      <c r="H1571" t="e">
        <v>#N/A</v>
      </c>
      <c r="I1571" s="1" t="e">
        <v>#N/A</v>
      </c>
      <c r="J1571" s="1" t="e">
        <v>#N/A</v>
      </c>
      <c r="K1571" s="1" t="e">
        <v>#N/A</v>
      </c>
      <c r="L1571" s="1" t="e">
        <v>#N/A</v>
      </c>
      <c r="M1571" s="1" t="e">
        <v>#N/A</v>
      </c>
      <c r="N1571" s="1" t="e">
        <v>#N/A</v>
      </c>
      <c r="O1571" s="1" t="e">
        <v>#N/A</v>
      </c>
      <c r="P1571" s="1" t="e">
        <v>#N/A</v>
      </c>
      <c r="Q1571" s="1" t="e">
        <v>#N/A</v>
      </c>
      <c r="R1571" s="1">
        <f t="shared" ref="R1571:R1573" si="460">1+LEN(T1571)-LEN(SUBSTITUTE(T1571,",",))</f>
        <v>18</v>
      </c>
      <c r="S1571" s="1" t="str">
        <f t="shared" ref="S1571:S1573" si="461">IF(R1571&gt;4,IF(R1571&lt;8,"4-7",IF(R1571&gt;7,"&gt;7")),"&lt;4")</f>
        <v>&gt;7</v>
      </c>
      <c r="T1571" s="1" t="s">
        <v>19424</v>
      </c>
      <c r="U1571" s="1" t="s">
        <v>7</v>
      </c>
      <c r="V1571" s="1" t="s">
        <v>122</v>
      </c>
      <c r="W1571" s="1"/>
    </row>
    <row r="1572" spans="1:23" x14ac:dyDescent="0.2">
      <c r="A1572" s="88" t="s">
        <v>16863</v>
      </c>
      <c r="B1572" s="1" t="e">
        <v>#N/A</v>
      </c>
      <c r="C1572" s="1" t="e">
        <v>#N/A</v>
      </c>
      <c r="D1572" s="1" t="s">
        <v>4254</v>
      </c>
      <c r="E1572" s="1" t="s">
        <v>4255</v>
      </c>
      <c r="F1572" s="1" t="e">
        <v>#N/A</v>
      </c>
      <c r="G1572" s="1" t="e">
        <v>#N/A</v>
      </c>
      <c r="H1572" t="e">
        <v>#N/A</v>
      </c>
      <c r="I1572" s="1" t="e">
        <v>#N/A</v>
      </c>
      <c r="J1572" s="1" t="e">
        <v>#N/A</v>
      </c>
      <c r="K1572" s="1" t="e">
        <v>#N/A</v>
      </c>
      <c r="L1572" s="1" t="e">
        <v>#N/A</v>
      </c>
      <c r="M1572" s="1" t="e">
        <v>#N/A</v>
      </c>
      <c r="N1572" s="1" t="e">
        <v>#N/A</v>
      </c>
      <c r="O1572" s="1" t="e">
        <v>#N/A</v>
      </c>
      <c r="P1572" s="1" t="e">
        <v>#N/A</v>
      </c>
      <c r="Q1572" s="1" t="e">
        <v>#N/A</v>
      </c>
      <c r="R1572" s="1">
        <f t="shared" si="460"/>
        <v>7</v>
      </c>
      <c r="S1572" s="1" t="str">
        <f t="shared" si="461"/>
        <v>4-7</v>
      </c>
      <c r="T1572" s="1" t="s">
        <v>19425</v>
      </c>
      <c r="U1572" s="1" t="s">
        <v>252</v>
      </c>
      <c r="V1572" s="1" t="s">
        <v>359</v>
      </c>
      <c r="W1572" s="1"/>
    </row>
    <row r="1573" spans="1:23" x14ac:dyDescent="0.2">
      <c r="A1573" s="88" t="s">
        <v>16864</v>
      </c>
      <c r="B1573" s="1" t="e">
        <v>#N/A</v>
      </c>
      <c r="C1573" s="1" t="e">
        <v>#N/A</v>
      </c>
      <c r="D1573" s="1" t="s">
        <v>4256</v>
      </c>
      <c r="E1573" s="1" t="s">
        <v>4257</v>
      </c>
      <c r="F1573" s="1" t="s">
        <v>9310</v>
      </c>
      <c r="G1573" s="1" t="s">
        <v>8957</v>
      </c>
      <c r="H1573" t="s">
        <v>8959</v>
      </c>
      <c r="I1573" s="1" t="s">
        <v>9035</v>
      </c>
      <c r="J1573" s="1" t="s">
        <v>8998</v>
      </c>
      <c r="K1573" s="1" t="s">
        <v>18497</v>
      </c>
      <c r="L1573" s="1" t="s">
        <v>8987</v>
      </c>
      <c r="M1573" s="1">
        <v>217</v>
      </c>
      <c r="N1573" s="1" t="s">
        <v>9059</v>
      </c>
      <c r="O1573" s="1" t="s">
        <v>8954</v>
      </c>
      <c r="P1573" s="1" t="e">
        <v>#N/A</v>
      </c>
      <c r="Q1573" s="1" t="e">
        <v>#N/A</v>
      </c>
      <c r="R1573" s="1">
        <f t="shared" si="460"/>
        <v>10</v>
      </c>
      <c r="S1573" s="1" t="str">
        <f t="shared" si="461"/>
        <v>&gt;7</v>
      </c>
      <c r="T1573" s="1" t="s">
        <v>19426</v>
      </c>
      <c r="U1573" s="1" t="s">
        <v>7</v>
      </c>
      <c r="V1573" s="1" t="s">
        <v>27</v>
      </c>
      <c r="W1573" s="1"/>
    </row>
    <row r="1574" spans="1:23" x14ac:dyDescent="0.2">
      <c r="A1574" s="88" t="s">
        <v>16865</v>
      </c>
      <c r="B1574" s="1" t="e">
        <v>#N/A</v>
      </c>
      <c r="C1574" s="1" t="s">
        <v>10301</v>
      </c>
      <c r="D1574" s="1" t="s">
        <v>4258</v>
      </c>
      <c r="E1574" s="1" t="s">
        <v>4259</v>
      </c>
      <c r="F1574" s="1" t="s">
        <v>9310</v>
      </c>
      <c r="G1574" s="1" t="s">
        <v>8957</v>
      </c>
      <c r="H1574" t="s">
        <v>8959</v>
      </c>
      <c r="I1574" s="1" t="s">
        <v>9252</v>
      </c>
      <c r="J1574" s="1" t="s">
        <v>9422</v>
      </c>
      <c r="K1574" s="1" t="s">
        <v>9212</v>
      </c>
      <c r="L1574" s="1" t="s">
        <v>8973</v>
      </c>
      <c r="M1574" s="1">
        <v>2061</v>
      </c>
      <c r="N1574" s="1" t="s">
        <v>8953</v>
      </c>
      <c r="O1574" s="1" t="s">
        <v>8954</v>
      </c>
      <c r="P1574" s="1" t="s">
        <v>8955</v>
      </c>
      <c r="Q1574" s="1" t="s">
        <v>8956</v>
      </c>
      <c r="R1574" s="1" t="s">
        <v>8957</v>
      </c>
      <c r="S1574" s="1" t="s">
        <v>8958</v>
      </c>
      <c r="T1574" s="1" t="s">
        <v>4260</v>
      </c>
      <c r="U1574" s="1" t="s">
        <v>17</v>
      </c>
      <c r="V1574" s="1" t="s">
        <v>126</v>
      </c>
      <c r="W1574" s="1"/>
    </row>
    <row r="1575" spans="1:23" x14ac:dyDescent="0.2">
      <c r="A1575" s="88" t="s">
        <v>16866</v>
      </c>
      <c r="B1575" s="1" t="e">
        <v>#N/A</v>
      </c>
      <c r="C1575" s="1" t="e">
        <v>#N/A</v>
      </c>
      <c r="D1575" s="1" t="s">
        <v>4261</v>
      </c>
      <c r="E1575" s="1" t="s">
        <v>4262</v>
      </c>
      <c r="F1575" s="1" t="s">
        <v>9310</v>
      </c>
      <c r="G1575" s="1" t="s">
        <v>8957</v>
      </c>
      <c r="H1575" t="s">
        <v>8959</v>
      </c>
      <c r="I1575" s="1" t="s">
        <v>9252</v>
      </c>
      <c r="J1575" s="1" t="s">
        <v>9155</v>
      </c>
      <c r="K1575" s="1" t="s">
        <v>18497</v>
      </c>
      <c r="L1575" s="1" t="s">
        <v>8951</v>
      </c>
      <c r="M1575" s="1">
        <f>32120+2620</f>
        <v>34740</v>
      </c>
      <c r="N1575" s="1" t="s">
        <v>8953</v>
      </c>
      <c r="O1575" s="1" t="s">
        <v>8954</v>
      </c>
      <c r="P1575" s="1" t="e">
        <v>#N/A</v>
      </c>
      <c r="Q1575" s="1" t="e">
        <v>#N/A</v>
      </c>
      <c r="R1575" s="1">
        <f t="shared" ref="R1575:R1577" si="462">1+LEN(T1575)-LEN(SUBSTITUTE(T1575,",",))</f>
        <v>5</v>
      </c>
      <c r="S1575" s="1" t="str">
        <f t="shared" ref="S1575:S1577" si="463">IF(R1575&gt;4,IF(R1575&lt;8,"4-7",IF(R1575&gt;7,"&gt;7")),"&lt;4")</f>
        <v>4-7</v>
      </c>
      <c r="T1575" s="1" t="s">
        <v>19427</v>
      </c>
      <c r="U1575" s="1" t="s">
        <v>7</v>
      </c>
      <c r="V1575" s="1" t="s">
        <v>93</v>
      </c>
      <c r="W1575" s="1"/>
    </row>
    <row r="1576" spans="1:23" x14ac:dyDescent="0.2">
      <c r="A1576" s="88" t="s">
        <v>16867</v>
      </c>
      <c r="B1576" s="1" t="e">
        <v>#N/A</v>
      </c>
      <c r="C1576" s="1" t="e">
        <v>#N/A</v>
      </c>
      <c r="D1576" s="1" t="s">
        <v>4263</v>
      </c>
      <c r="E1576" s="1" t="s">
        <v>4264</v>
      </c>
      <c r="F1576" s="1" t="s">
        <v>18502</v>
      </c>
      <c r="G1576" s="1" t="s">
        <v>8957</v>
      </c>
      <c r="H1576" t="s">
        <v>9009</v>
      </c>
      <c r="I1576" s="1" t="s">
        <v>9605</v>
      </c>
      <c r="J1576" s="1" t="s">
        <v>8985</v>
      </c>
      <c r="K1576" s="1" t="s">
        <v>21427</v>
      </c>
      <c r="L1576" s="1" t="s">
        <v>9133</v>
      </c>
      <c r="M1576" s="1">
        <f>1005+402+163+184</f>
        <v>1754</v>
      </c>
      <c r="N1576" s="1" t="s">
        <v>9059</v>
      </c>
      <c r="O1576" s="1" t="s">
        <v>8954</v>
      </c>
      <c r="P1576" s="1" t="e">
        <v>#N/A</v>
      </c>
      <c r="Q1576" s="1" t="e">
        <v>#N/A</v>
      </c>
      <c r="R1576" s="1">
        <f t="shared" si="462"/>
        <v>8</v>
      </c>
      <c r="S1576" s="1" t="str">
        <f t="shared" si="463"/>
        <v>&gt;7</v>
      </c>
      <c r="T1576" s="1" t="s">
        <v>19428</v>
      </c>
      <c r="U1576" s="1" t="s">
        <v>7</v>
      </c>
      <c r="V1576" s="1" t="s">
        <v>580</v>
      </c>
      <c r="W1576" s="1"/>
    </row>
    <row r="1577" spans="1:23" x14ac:dyDescent="0.2">
      <c r="A1577" s="88" t="s">
        <v>16868</v>
      </c>
      <c r="B1577" s="1" t="e">
        <v>#N/A</v>
      </c>
      <c r="C1577" s="1" t="e">
        <v>#N/A</v>
      </c>
      <c r="D1577" s="1" t="s">
        <v>4265</v>
      </c>
      <c r="E1577" s="1" t="s">
        <v>4266</v>
      </c>
      <c r="F1577" s="1" t="s">
        <v>9310</v>
      </c>
      <c r="G1577" s="1" t="s">
        <v>8957</v>
      </c>
      <c r="H1577" t="s">
        <v>8959</v>
      </c>
      <c r="I1577" s="1" t="s">
        <v>9605</v>
      </c>
      <c r="J1577" s="1" t="s">
        <v>9155</v>
      </c>
      <c r="K1577" s="1" t="s">
        <v>20869</v>
      </c>
      <c r="L1577" s="1" t="s">
        <v>8973</v>
      </c>
      <c r="M1577" s="1">
        <f>393+320+34+215</f>
        <v>962</v>
      </c>
      <c r="N1577" s="1" t="s">
        <v>8953</v>
      </c>
      <c r="O1577" s="1" t="s">
        <v>8989</v>
      </c>
      <c r="P1577" s="1" t="e">
        <v>#N/A</v>
      </c>
      <c r="Q1577" s="1" t="e">
        <v>#N/A</v>
      </c>
      <c r="R1577" s="1">
        <f t="shared" si="462"/>
        <v>4</v>
      </c>
      <c r="S1577" s="1" t="str">
        <f t="shared" si="463"/>
        <v>&lt;4</v>
      </c>
      <c r="T1577" s="1" t="s">
        <v>19429</v>
      </c>
      <c r="U1577" s="1" t="s">
        <v>7</v>
      </c>
      <c r="V1577" s="1" t="s">
        <v>64</v>
      </c>
      <c r="W1577" s="1"/>
    </row>
    <row r="1578" spans="1:23" x14ac:dyDescent="0.2">
      <c r="A1578" s="88" t="s">
        <v>16869</v>
      </c>
      <c r="B1578" s="1" t="e">
        <v>#N/A</v>
      </c>
      <c r="C1578" s="1" t="s">
        <v>10522</v>
      </c>
      <c r="D1578" s="1" t="s">
        <v>4267</v>
      </c>
      <c r="E1578" s="1" t="s">
        <v>4268</v>
      </c>
      <c r="F1578" s="1" t="s">
        <v>9310</v>
      </c>
      <c r="G1578" s="1" t="s">
        <v>8957</v>
      </c>
      <c r="H1578" t="s">
        <v>8959</v>
      </c>
      <c r="I1578" s="1" t="s">
        <v>9049</v>
      </c>
      <c r="J1578" s="1" t="s">
        <v>9325</v>
      </c>
      <c r="K1578" s="1" t="s">
        <v>10525</v>
      </c>
      <c r="L1578" s="1" t="s">
        <v>8951</v>
      </c>
      <c r="M1578" s="1">
        <v>109312</v>
      </c>
      <c r="N1578" s="1" t="s">
        <v>8953</v>
      </c>
      <c r="O1578" s="1" t="s">
        <v>8954</v>
      </c>
      <c r="P1578" s="1" t="s">
        <v>8955</v>
      </c>
      <c r="Q1578" s="1" t="s">
        <v>8956</v>
      </c>
      <c r="R1578" s="1" t="s">
        <v>8957</v>
      </c>
      <c r="S1578" s="1" t="s">
        <v>8958</v>
      </c>
      <c r="T1578" s="1" t="s">
        <v>4269</v>
      </c>
      <c r="U1578" s="1" t="s">
        <v>17</v>
      </c>
      <c r="V1578" s="1" t="s">
        <v>4060</v>
      </c>
      <c r="W1578" s="1"/>
    </row>
    <row r="1579" spans="1:23" x14ac:dyDescent="0.2">
      <c r="A1579" s="88" t="s">
        <v>16870</v>
      </c>
      <c r="B1579" s="1" t="e">
        <v>#N/A</v>
      </c>
      <c r="C1579" s="1" t="s">
        <v>14700</v>
      </c>
      <c r="D1579" s="1" t="s">
        <v>4270</v>
      </c>
      <c r="E1579" s="1" t="s">
        <v>4271</v>
      </c>
      <c r="F1579" s="1" t="s">
        <v>9310</v>
      </c>
      <c r="G1579" s="1" t="s">
        <v>8957</v>
      </c>
      <c r="H1579" t="s">
        <v>8959</v>
      </c>
      <c r="I1579" s="1" t="s">
        <v>9049</v>
      </c>
      <c r="J1579" s="1" t="s">
        <v>9325</v>
      </c>
      <c r="K1579" s="1" t="s">
        <v>10258</v>
      </c>
      <c r="L1579" s="1" t="s">
        <v>8987</v>
      </c>
      <c r="M1579" s="1">
        <v>21357</v>
      </c>
      <c r="N1579" s="1" t="s">
        <v>8953</v>
      </c>
      <c r="O1579" s="1" t="s">
        <v>8954</v>
      </c>
      <c r="P1579" s="1" t="s">
        <v>8955</v>
      </c>
      <c r="Q1579" s="1" t="s">
        <v>8956</v>
      </c>
      <c r="R1579" s="1" t="s">
        <v>8957</v>
      </c>
      <c r="S1579" s="1" t="s">
        <v>8958</v>
      </c>
      <c r="T1579" s="1" t="s">
        <v>4272</v>
      </c>
      <c r="U1579" s="1" t="s">
        <v>17</v>
      </c>
      <c r="V1579" s="1" t="s">
        <v>1797</v>
      </c>
      <c r="W1579" s="1"/>
    </row>
    <row r="1580" spans="1:23" x14ac:dyDescent="0.2">
      <c r="A1580" s="88" t="s">
        <v>16871</v>
      </c>
      <c r="B1580" s="1" t="e">
        <v>#N/A</v>
      </c>
      <c r="C1580" s="1" t="s">
        <v>14532</v>
      </c>
      <c r="D1580" s="1" t="s">
        <v>4273</v>
      </c>
      <c r="E1580" s="1" t="s">
        <v>4274</v>
      </c>
      <c r="F1580" s="1" t="s">
        <v>9010</v>
      </c>
      <c r="G1580" s="1" t="s">
        <v>8957</v>
      </c>
      <c r="H1580" t="s">
        <v>8959</v>
      </c>
      <c r="I1580" s="1" t="s">
        <v>8948</v>
      </c>
      <c r="J1580" s="1" t="s">
        <v>9155</v>
      </c>
      <c r="K1580" s="1" t="s">
        <v>12818</v>
      </c>
      <c r="L1580" s="1" t="s">
        <v>9133</v>
      </c>
      <c r="M1580" s="1">
        <v>258</v>
      </c>
      <c r="N1580" s="1" t="s">
        <v>9059</v>
      </c>
      <c r="O1580" s="1" t="s">
        <v>8989</v>
      </c>
      <c r="P1580" s="1" t="s">
        <v>8955</v>
      </c>
      <c r="Q1580" s="1" t="s">
        <v>8956</v>
      </c>
      <c r="R1580" s="1" t="s">
        <v>8957</v>
      </c>
      <c r="S1580" s="1" t="s">
        <v>8958</v>
      </c>
      <c r="T1580" s="1" t="s">
        <v>4275</v>
      </c>
      <c r="U1580" s="1" t="s">
        <v>924</v>
      </c>
      <c r="V1580" s="1" t="s">
        <v>27</v>
      </c>
      <c r="W1580" s="1"/>
    </row>
    <row r="1581" spans="1:23" x14ac:dyDescent="0.2">
      <c r="A1581" s="88" t="s">
        <v>16872</v>
      </c>
      <c r="B1581" s="1" t="e">
        <v>#N/A</v>
      </c>
      <c r="C1581" s="1" t="e">
        <v>#N/A</v>
      </c>
      <c r="D1581" s="1" t="s">
        <v>4276</v>
      </c>
      <c r="E1581" s="1" t="s">
        <v>4277</v>
      </c>
      <c r="F1581" s="1" t="s">
        <v>9310</v>
      </c>
      <c r="G1581" s="1" t="s">
        <v>8957</v>
      </c>
      <c r="H1581" t="s">
        <v>8959</v>
      </c>
      <c r="I1581" s="1" t="s">
        <v>9100</v>
      </c>
      <c r="J1581" s="1" t="s">
        <v>8949</v>
      </c>
      <c r="K1581" s="1" t="s">
        <v>20852</v>
      </c>
      <c r="L1581" s="1" t="s">
        <v>8987</v>
      </c>
      <c r="M1581" s="1">
        <v>208</v>
      </c>
      <c r="N1581" s="1" t="s">
        <v>9059</v>
      </c>
      <c r="O1581" s="1" t="s">
        <v>8989</v>
      </c>
      <c r="P1581" s="1" t="e">
        <v>#N/A</v>
      </c>
      <c r="Q1581" s="1" t="e">
        <v>#N/A</v>
      </c>
      <c r="R1581" s="1">
        <f t="shared" ref="R1581:R1583" si="464">1+LEN(T1581)-LEN(SUBSTITUTE(T1581,",",))</f>
        <v>6</v>
      </c>
      <c r="S1581" s="1" t="str">
        <f t="shared" ref="S1581:S1583" si="465">IF(R1581&gt;4,IF(R1581&lt;8,"4-7",IF(R1581&gt;7,"&gt;7")),"&lt;4")</f>
        <v>4-7</v>
      </c>
      <c r="T1581" s="1" t="s">
        <v>19430</v>
      </c>
      <c r="U1581" s="1" t="s">
        <v>7</v>
      </c>
      <c r="V1581" s="1" t="s">
        <v>184</v>
      </c>
      <c r="W1581" s="1"/>
    </row>
    <row r="1582" spans="1:23" x14ac:dyDescent="0.2">
      <c r="A1582" s="88" t="s">
        <v>16873</v>
      </c>
      <c r="B1582" s="1" t="e">
        <v>#N/A</v>
      </c>
      <c r="C1582" s="1" t="e">
        <v>#N/A</v>
      </c>
      <c r="D1582" s="1" t="s">
        <v>4278</v>
      </c>
      <c r="E1582" s="1" t="s">
        <v>4279</v>
      </c>
      <c r="F1582" s="1" t="s">
        <v>18502</v>
      </c>
      <c r="G1582" s="1" t="s">
        <v>8957</v>
      </c>
      <c r="H1582" t="s">
        <v>9061</v>
      </c>
      <c r="I1582" s="1" t="s">
        <v>9100</v>
      </c>
      <c r="J1582" s="1" t="s">
        <v>8949</v>
      </c>
      <c r="K1582" s="1" t="s">
        <v>20813</v>
      </c>
      <c r="L1582" s="1" t="s">
        <v>9292</v>
      </c>
      <c r="M1582" s="1">
        <v>493</v>
      </c>
      <c r="N1582" s="1" t="s">
        <v>9059</v>
      </c>
      <c r="O1582" s="1" t="s">
        <v>8989</v>
      </c>
      <c r="P1582" s="1" t="e">
        <v>#N/A</v>
      </c>
      <c r="Q1582" s="1" t="e">
        <v>#N/A</v>
      </c>
      <c r="R1582" s="1">
        <f t="shared" si="464"/>
        <v>2</v>
      </c>
      <c r="S1582" s="1" t="str">
        <f t="shared" si="465"/>
        <v>&lt;4</v>
      </c>
      <c r="T1582" s="1" t="s">
        <v>19431</v>
      </c>
      <c r="U1582" s="1" t="s">
        <v>17</v>
      </c>
      <c r="V1582" s="1" t="s">
        <v>392</v>
      </c>
      <c r="W1582" s="1"/>
    </row>
    <row r="1583" spans="1:23" x14ac:dyDescent="0.2">
      <c r="A1583" s="88" t="s">
        <v>16874</v>
      </c>
      <c r="B1583" s="1" t="e">
        <v>#N/A</v>
      </c>
      <c r="C1583" s="1" t="e">
        <v>#N/A</v>
      </c>
      <c r="D1583" s="1" t="s">
        <v>4280</v>
      </c>
      <c r="E1583" s="1" t="s">
        <v>4281</v>
      </c>
      <c r="F1583" s="1" t="s">
        <v>18502</v>
      </c>
      <c r="G1583" s="1" t="s">
        <v>8957</v>
      </c>
      <c r="H1583" t="s">
        <v>9061</v>
      </c>
      <c r="I1583" s="1" t="s">
        <v>9100</v>
      </c>
      <c r="J1583" s="1" t="s">
        <v>8949</v>
      </c>
      <c r="K1583" s="1" t="s">
        <v>20779</v>
      </c>
      <c r="L1583" s="1" t="s">
        <v>9157</v>
      </c>
      <c r="M1583" s="1">
        <v>2146</v>
      </c>
      <c r="N1583" s="1" t="s">
        <v>9059</v>
      </c>
      <c r="O1583" s="1" t="s">
        <v>8954</v>
      </c>
      <c r="P1583" s="1" t="e">
        <v>#N/A</v>
      </c>
      <c r="Q1583" s="1" t="e">
        <v>#N/A</v>
      </c>
      <c r="R1583" s="1">
        <f t="shared" si="464"/>
        <v>4</v>
      </c>
      <c r="S1583" s="1" t="str">
        <f t="shared" si="465"/>
        <v>&lt;4</v>
      </c>
      <c r="T1583" s="1" t="s">
        <v>19432</v>
      </c>
      <c r="U1583" s="1" t="s">
        <v>17</v>
      </c>
      <c r="V1583" s="1" t="s">
        <v>3200</v>
      </c>
      <c r="W1583" s="1"/>
    </row>
    <row r="1584" spans="1:23" x14ac:dyDescent="0.2">
      <c r="A1584" s="88" t="s">
        <v>16875</v>
      </c>
      <c r="B1584" s="1" t="e">
        <v>#N/A</v>
      </c>
      <c r="C1584" s="1" t="s">
        <v>11662</v>
      </c>
      <c r="D1584" s="1" t="s">
        <v>4282</v>
      </c>
      <c r="E1584" s="1" t="s">
        <v>4283</v>
      </c>
      <c r="F1584" s="1" t="s">
        <v>9317</v>
      </c>
      <c r="G1584" s="1" t="s">
        <v>8957</v>
      </c>
      <c r="H1584" t="s">
        <v>9183</v>
      </c>
      <c r="I1584" s="1" t="s">
        <v>8948</v>
      </c>
      <c r="J1584" s="1" t="s">
        <v>8949</v>
      </c>
      <c r="K1584" s="1" t="s">
        <v>9036</v>
      </c>
      <c r="L1584" s="1" t="s">
        <v>8973</v>
      </c>
      <c r="M1584" s="1">
        <v>60</v>
      </c>
      <c r="N1584" s="1" t="s">
        <v>9059</v>
      </c>
      <c r="O1584" s="1" t="s">
        <v>8954</v>
      </c>
      <c r="P1584" s="1" t="s">
        <v>8955</v>
      </c>
      <c r="Q1584" s="1" t="s">
        <v>8956</v>
      </c>
      <c r="R1584" s="1" t="s">
        <v>8957</v>
      </c>
      <c r="S1584" s="1" t="s">
        <v>8958</v>
      </c>
      <c r="T1584" s="1" t="s">
        <v>4284</v>
      </c>
      <c r="U1584" s="1" t="s">
        <v>11</v>
      </c>
      <c r="V1584" s="1" t="s">
        <v>392</v>
      </c>
      <c r="W1584" s="1"/>
    </row>
    <row r="1585" spans="1:23" x14ac:dyDescent="0.2">
      <c r="A1585" s="88" t="s">
        <v>16876</v>
      </c>
      <c r="B1585" s="1" t="e">
        <v>#N/A</v>
      </c>
      <c r="C1585" s="1" t="s">
        <v>9915</v>
      </c>
      <c r="D1585" s="1" t="s">
        <v>4285</v>
      </c>
      <c r="E1585" s="1" t="s">
        <v>4286</v>
      </c>
      <c r="F1585" s="1" t="s">
        <v>9310</v>
      </c>
      <c r="G1585" s="1" t="s">
        <v>8957</v>
      </c>
      <c r="H1585" t="s">
        <v>8959</v>
      </c>
      <c r="I1585" s="1" t="s">
        <v>8948</v>
      </c>
      <c r="J1585" s="1" t="s">
        <v>8949</v>
      </c>
      <c r="K1585" s="1" t="s">
        <v>9918</v>
      </c>
      <c r="L1585" s="1" t="s">
        <v>8973</v>
      </c>
      <c r="M1585" s="1">
        <v>238365</v>
      </c>
      <c r="N1585" s="1" t="s">
        <v>8953</v>
      </c>
      <c r="O1585" s="1" t="s">
        <v>8954</v>
      </c>
      <c r="P1585" s="1" t="s">
        <v>8955</v>
      </c>
      <c r="Q1585" s="1" t="s">
        <v>8956</v>
      </c>
      <c r="R1585" s="1" t="s">
        <v>8957</v>
      </c>
      <c r="S1585" s="1" t="s">
        <v>9103</v>
      </c>
      <c r="T1585" s="1" t="s">
        <v>4287</v>
      </c>
      <c r="U1585" s="1" t="s">
        <v>17</v>
      </c>
      <c r="V1585" s="1" t="s">
        <v>74</v>
      </c>
      <c r="W1585" s="1"/>
    </row>
    <row r="1586" spans="1:23" x14ac:dyDescent="0.2">
      <c r="A1586" s="88" t="s">
        <v>16877</v>
      </c>
      <c r="B1586" s="1" t="e">
        <v>#N/A</v>
      </c>
      <c r="C1586" s="1" t="e">
        <v>#N/A</v>
      </c>
      <c r="D1586" s="1" t="s">
        <v>4288</v>
      </c>
      <c r="E1586" s="1" t="s">
        <v>4289</v>
      </c>
      <c r="F1586" s="1" t="s">
        <v>9317</v>
      </c>
      <c r="G1586" s="1" t="s">
        <v>8959</v>
      </c>
      <c r="H1586" t="s">
        <v>8959</v>
      </c>
      <c r="I1586" s="1" t="s">
        <v>8984</v>
      </c>
      <c r="J1586" s="1" t="s">
        <v>8998</v>
      </c>
      <c r="K1586" s="1" t="s">
        <v>20723</v>
      </c>
      <c r="L1586" s="1" t="s">
        <v>9133</v>
      </c>
      <c r="M1586" s="1">
        <v>206</v>
      </c>
      <c r="N1586" s="1" t="s">
        <v>9059</v>
      </c>
      <c r="O1586" s="1" t="s">
        <v>8989</v>
      </c>
      <c r="P1586" s="1" t="e">
        <v>#N/A</v>
      </c>
      <c r="Q1586" s="1" t="e">
        <v>#N/A</v>
      </c>
      <c r="R1586" s="1">
        <f>1+LEN(T1586)-LEN(SUBSTITUTE(T1586,",",))</f>
        <v>10</v>
      </c>
      <c r="S1586" s="1" t="str">
        <f>IF(R1586&gt;4,IF(R1586&lt;8,"4-7",IF(R1586&gt;7,"&gt;7")),"&lt;4")</f>
        <v>&gt;7</v>
      </c>
      <c r="T1586" s="1" t="s">
        <v>19433</v>
      </c>
      <c r="U1586" s="1" t="s">
        <v>17</v>
      </c>
      <c r="V1586" s="1" t="s">
        <v>46</v>
      </c>
      <c r="W1586" s="1"/>
    </row>
    <row r="1587" spans="1:23" x14ac:dyDescent="0.2">
      <c r="A1587" s="88" t="s">
        <v>16878</v>
      </c>
      <c r="B1587" s="1" t="e">
        <v>#N/A</v>
      </c>
      <c r="C1587" s="1" t="s">
        <v>12579</v>
      </c>
      <c r="D1587" s="1" t="s">
        <v>4290</v>
      </c>
      <c r="E1587" s="1" t="s">
        <v>4291</v>
      </c>
      <c r="F1587" s="1" t="s">
        <v>9310</v>
      </c>
      <c r="G1587" s="1" t="s">
        <v>8957</v>
      </c>
      <c r="H1587" t="s">
        <v>8959</v>
      </c>
      <c r="I1587" s="1" t="s">
        <v>9943</v>
      </c>
      <c r="J1587" s="1" t="s">
        <v>8971</v>
      </c>
      <c r="K1587" s="1" t="s">
        <v>10381</v>
      </c>
      <c r="L1587" s="1" t="s">
        <v>8951</v>
      </c>
      <c r="M1587" s="1">
        <v>300</v>
      </c>
      <c r="N1587" s="1" t="s">
        <v>8953</v>
      </c>
      <c r="O1587" s="1" t="s">
        <v>8989</v>
      </c>
      <c r="P1587" s="1" t="s">
        <v>8955</v>
      </c>
      <c r="Q1587" s="1" t="s">
        <v>8956</v>
      </c>
      <c r="R1587" s="1" t="s">
        <v>8957</v>
      </c>
      <c r="S1587" s="1" t="s">
        <v>8975</v>
      </c>
      <c r="T1587" s="1" t="s">
        <v>4292</v>
      </c>
      <c r="U1587" s="1" t="s">
        <v>11</v>
      </c>
      <c r="V1587" s="1" t="s">
        <v>24</v>
      </c>
      <c r="W1587" s="1"/>
    </row>
    <row r="1588" spans="1:23" x14ac:dyDescent="0.2">
      <c r="A1588" s="88" t="s">
        <v>16879</v>
      </c>
      <c r="B1588" s="1" t="e">
        <v>#N/A</v>
      </c>
      <c r="C1588" s="1" t="e">
        <v>#N/A</v>
      </c>
      <c r="D1588" s="1" t="s">
        <v>4293</v>
      </c>
      <c r="E1588" s="1" t="s">
        <v>4294</v>
      </c>
      <c r="F1588" s="1" t="s">
        <v>9310</v>
      </c>
      <c r="G1588" s="1" t="s">
        <v>8959</v>
      </c>
      <c r="H1588" t="s">
        <v>8959</v>
      </c>
      <c r="I1588" s="1" t="s">
        <v>9154</v>
      </c>
      <c r="J1588" s="1" t="s">
        <v>8998</v>
      </c>
      <c r="K1588" s="1" t="s">
        <v>20809</v>
      </c>
      <c r="L1588" s="1" t="s">
        <v>8973</v>
      </c>
      <c r="M1588" s="1">
        <v>68</v>
      </c>
      <c r="N1588" s="1" t="s">
        <v>8953</v>
      </c>
      <c r="O1588" s="1" t="s">
        <v>8989</v>
      </c>
      <c r="P1588" s="1" t="e">
        <v>#N/A</v>
      </c>
      <c r="Q1588" s="1" t="e">
        <v>#N/A</v>
      </c>
      <c r="R1588" s="1">
        <f t="shared" ref="R1588:R1592" si="466">1+LEN(T1588)-LEN(SUBSTITUTE(T1588,",",))</f>
        <v>6</v>
      </c>
      <c r="S1588" s="1" t="str">
        <f t="shared" ref="S1588:S1592" si="467">IF(R1588&gt;4,IF(R1588&lt;8,"4-7",IF(R1588&gt;7,"&gt;7")),"&lt;4")</f>
        <v>4-7</v>
      </c>
      <c r="T1588" s="1" t="s">
        <v>19434</v>
      </c>
      <c r="U1588" s="1" t="s">
        <v>7</v>
      </c>
      <c r="V1588" s="1" t="s">
        <v>46</v>
      </c>
      <c r="W1588" s="1"/>
    </row>
    <row r="1589" spans="1:23" x14ac:dyDescent="0.2">
      <c r="A1589" s="88" t="s">
        <v>16880</v>
      </c>
      <c r="B1589" s="1" t="e">
        <v>#N/A</v>
      </c>
      <c r="C1589" s="1" t="e">
        <v>#N/A</v>
      </c>
      <c r="D1589" s="1" t="s">
        <v>4295</v>
      </c>
      <c r="E1589" s="1" t="s">
        <v>4296</v>
      </c>
      <c r="F1589" s="1" t="s">
        <v>9310</v>
      </c>
      <c r="G1589" s="1" t="s">
        <v>8957</v>
      </c>
      <c r="H1589" t="s">
        <v>9061</v>
      </c>
      <c r="I1589" s="1" t="s">
        <v>8984</v>
      </c>
      <c r="J1589" s="1" t="s">
        <v>8998</v>
      </c>
      <c r="K1589" s="1" t="s">
        <v>20779</v>
      </c>
      <c r="L1589" s="1" t="s">
        <v>9157</v>
      </c>
      <c r="M1589" s="1">
        <v>204</v>
      </c>
      <c r="N1589" s="1" t="s">
        <v>9059</v>
      </c>
      <c r="O1589" s="1" t="s">
        <v>8989</v>
      </c>
      <c r="P1589" s="1" t="e">
        <v>#N/A</v>
      </c>
      <c r="Q1589" s="1" t="e">
        <v>#N/A</v>
      </c>
      <c r="R1589" s="1">
        <f t="shared" si="466"/>
        <v>7</v>
      </c>
      <c r="S1589" s="1" t="str">
        <f t="shared" si="467"/>
        <v>4-7</v>
      </c>
      <c r="T1589" s="1" t="s">
        <v>19435</v>
      </c>
      <c r="U1589" s="1" t="s">
        <v>7</v>
      </c>
      <c r="V1589" s="1" t="s">
        <v>147</v>
      </c>
      <c r="W1589" s="1"/>
    </row>
    <row r="1590" spans="1:23" x14ac:dyDescent="0.2">
      <c r="A1590" s="88" t="s">
        <v>16881</v>
      </c>
      <c r="B1590" s="1" t="e">
        <v>#N/A</v>
      </c>
      <c r="C1590" s="1" t="e">
        <v>#N/A</v>
      </c>
      <c r="D1590" s="1" t="s">
        <v>4297</v>
      </c>
      <c r="E1590" s="1" t="s">
        <v>4298</v>
      </c>
      <c r="F1590" s="1" t="s">
        <v>9310</v>
      </c>
      <c r="G1590" s="1" t="s">
        <v>8957</v>
      </c>
      <c r="H1590" t="s">
        <v>8959</v>
      </c>
      <c r="I1590" s="1" t="s">
        <v>9154</v>
      </c>
      <c r="J1590" s="1" t="s">
        <v>8949</v>
      </c>
      <c r="K1590" s="1" t="s">
        <v>20735</v>
      </c>
      <c r="L1590" s="1" t="s">
        <v>8973</v>
      </c>
      <c r="M1590" s="1">
        <v>243</v>
      </c>
      <c r="N1590" s="1" t="s">
        <v>8953</v>
      </c>
      <c r="O1590" s="1" t="s">
        <v>8989</v>
      </c>
      <c r="P1590" s="1" t="e">
        <v>#N/A</v>
      </c>
      <c r="Q1590" s="1" t="e">
        <v>#N/A</v>
      </c>
      <c r="R1590" s="1">
        <f t="shared" si="466"/>
        <v>5</v>
      </c>
      <c r="S1590" s="1" t="str">
        <f t="shared" si="467"/>
        <v>4-7</v>
      </c>
      <c r="T1590" s="1" t="s">
        <v>19436</v>
      </c>
      <c r="U1590" s="1" t="s">
        <v>17</v>
      </c>
      <c r="V1590" s="1" t="s">
        <v>1076</v>
      </c>
      <c r="W1590" s="1"/>
    </row>
    <row r="1591" spans="1:23" x14ac:dyDescent="0.2">
      <c r="A1591" s="88" t="s">
        <v>16882</v>
      </c>
      <c r="B1591" s="1" t="e">
        <v>#N/A</v>
      </c>
      <c r="C1591" s="1" t="e">
        <v>#N/A</v>
      </c>
      <c r="D1591" s="1" t="s">
        <v>4299</v>
      </c>
      <c r="E1591" s="1" t="s">
        <v>4300</v>
      </c>
      <c r="F1591" s="1" t="s">
        <v>18502</v>
      </c>
      <c r="G1591" s="1" t="s">
        <v>8957</v>
      </c>
      <c r="H1591" t="s">
        <v>8959</v>
      </c>
      <c r="I1591" s="1" t="s">
        <v>9605</v>
      </c>
      <c r="J1591" s="1" t="s">
        <v>9101</v>
      </c>
      <c r="K1591" s="1" t="s">
        <v>20870</v>
      </c>
      <c r="L1591" s="1" t="s">
        <v>8987</v>
      </c>
      <c r="M1591" s="1">
        <f>706+1478+5457</f>
        <v>7641</v>
      </c>
      <c r="N1591" s="1" t="s">
        <v>8953</v>
      </c>
      <c r="O1591" s="1" t="s">
        <v>8989</v>
      </c>
      <c r="P1591" s="1" t="e">
        <v>#N/A</v>
      </c>
      <c r="Q1591" s="1" t="e">
        <v>#N/A</v>
      </c>
      <c r="R1591" s="1">
        <f t="shared" si="466"/>
        <v>4</v>
      </c>
      <c r="S1591" s="1" t="str">
        <f t="shared" si="467"/>
        <v>&lt;4</v>
      </c>
      <c r="T1591" s="1" t="s">
        <v>19437</v>
      </c>
      <c r="U1591" s="1" t="s">
        <v>7</v>
      </c>
      <c r="V1591" s="1" t="s">
        <v>580</v>
      </c>
      <c r="W1591" s="1"/>
    </row>
    <row r="1592" spans="1:23" x14ac:dyDescent="0.2">
      <c r="A1592" s="89" t="s">
        <v>4301</v>
      </c>
      <c r="B1592" s="1" t="e">
        <v>#N/A</v>
      </c>
      <c r="C1592" s="1" t="e">
        <v>#N/A</v>
      </c>
      <c r="D1592" s="1" t="s">
        <v>4302</v>
      </c>
      <c r="E1592" s="1" t="s">
        <v>4303</v>
      </c>
      <c r="F1592" s="1" t="e">
        <v>#N/A</v>
      </c>
      <c r="G1592" s="1" t="e">
        <v>#N/A</v>
      </c>
      <c r="H1592" t="e">
        <v>#N/A</v>
      </c>
      <c r="I1592" s="1" t="e">
        <v>#N/A</v>
      </c>
      <c r="J1592" s="1" t="e">
        <v>#N/A</v>
      </c>
      <c r="K1592" s="1" t="e">
        <v>#N/A</v>
      </c>
      <c r="L1592" s="1" t="e">
        <v>#N/A</v>
      </c>
      <c r="M1592" s="1" t="e">
        <v>#N/A</v>
      </c>
      <c r="N1592" s="1" t="e">
        <v>#N/A</v>
      </c>
      <c r="O1592" s="1" t="e">
        <v>#N/A</v>
      </c>
      <c r="P1592" s="1" t="e">
        <v>#N/A</v>
      </c>
      <c r="Q1592" s="1" t="e">
        <v>#N/A</v>
      </c>
      <c r="R1592" s="1">
        <f t="shared" si="466"/>
        <v>2</v>
      </c>
      <c r="S1592" s="1" t="str">
        <f t="shared" si="467"/>
        <v>&lt;4</v>
      </c>
      <c r="T1592" s="1" t="s">
        <v>19438</v>
      </c>
      <c r="U1592" s="1" t="s">
        <v>17</v>
      </c>
      <c r="V1592" s="1" t="s">
        <v>4304</v>
      </c>
      <c r="W1592" s="1"/>
    </row>
    <row r="1593" spans="1:23" x14ac:dyDescent="0.2">
      <c r="A1593" s="88" t="s">
        <v>16883</v>
      </c>
      <c r="B1593" s="1" t="e">
        <v>#N/A</v>
      </c>
      <c r="C1593" s="1" t="s">
        <v>14839</v>
      </c>
      <c r="D1593" s="1" t="s">
        <v>4305</v>
      </c>
      <c r="E1593" s="1" t="s">
        <v>4306</v>
      </c>
      <c r="F1593" s="1" t="s">
        <v>9310</v>
      </c>
      <c r="G1593" s="1" t="s">
        <v>8957</v>
      </c>
      <c r="H1593" t="s">
        <v>8959</v>
      </c>
      <c r="I1593" s="1" t="s">
        <v>9154</v>
      </c>
      <c r="J1593" s="1" t="s">
        <v>9325</v>
      </c>
      <c r="K1593" s="1" t="s">
        <v>11623</v>
      </c>
      <c r="L1593" s="1" t="s">
        <v>8973</v>
      </c>
      <c r="M1593" s="1">
        <v>2000</v>
      </c>
      <c r="N1593" s="1" t="s">
        <v>8953</v>
      </c>
      <c r="O1593" s="1" t="s">
        <v>8954</v>
      </c>
      <c r="P1593" s="1" t="s">
        <v>8955</v>
      </c>
      <c r="Q1593" s="1" t="s">
        <v>8956</v>
      </c>
      <c r="R1593" s="1" t="s">
        <v>8957</v>
      </c>
      <c r="S1593" s="1" t="s">
        <v>9103</v>
      </c>
      <c r="T1593" s="1" t="s">
        <v>4307</v>
      </c>
      <c r="U1593" s="1" t="s">
        <v>17</v>
      </c>
      <c r="V1593" s="1" t="s">
        <v>4308</v>
      </c>
      <c r="W1593" s="1"/>
    </row>
    <row r="1594" spans="1:23" x14ac:dyDescent="0.2">
      <c r="A1594" s="88" t="s">
        <v>16884</v>
      </c>
      <c r="B1594" s="1" t="e">
        <v>#N/A</v>
      </c>
      <c r="C1594" s="1" t="e">
        <v>#N/A</v>
      </c>
      <c r="D1594" s="1" t="s">
        <v>4309</v>
      </c>
      <c r="E1594" s="1" t="s">
        <v>4310</v>
      </c>
      <c r="F1594" s="1" t="s">
        <v>9310</v>
      </c>
      <c r="G1594" s="1" t="s">
        <v>8959</v>
      </c>
      <c r="H1594" t="s">
        <v>9061</v>
      </c>
      <c r="I1594" s="1" t="s">
        <v>9035</v>
      </c>
      <c r="J1594" s="1" t="s">
        <v>8998</v>
      </c>
      <c r="K1594" s="1" t="s">
        <v>20779</v>
      </c>
      <c r="L1594" s="1" t="s">
        <v>8951</v>
      </c>
      <c r="M1594" s="1">
        <v>346</v>
      </c>
      <c r="N1594" s="1" t="s">
        <v>9059</v>
      </c>
      <c r="O1594" s="1" t="s">
        <v>8989</v>
      </c>
      <c r="P1594" s="1" t="e">
        <v>#N/A</v>
      </c>
      <c r="Q1594" s="1" t="e">
        <v>#N/A</v>
      </c>
      <c r="R1594" s="1">
        <f t="shared" ref="R1594:R1597" si="468">1+LEN(T1594)-LEN(SUBSTITUTE(T1594,",",))</f>
        <v>5</v>
      </c>
      <c r="S1594" s="1" t="str">
        <f t="shared" ref="S1594:S1597" si="469">IF(R1594&gt;4,IF(R1594&lt;8,"4-7",IF(R1594&gt;7,"&gt;7")),"&lt;4")</f>
        <v>4-7</v>
      </c>
      <c r="T1594" s="1" t="s">
        <v>19439</v>
      </c>
      <c r="U1594" s="1" t="s">
        <v>17</v>
      </c>
      <c r="V1594" s="1" t="s">
        <v>4311</v>
      </c>
      <c r="W1594" s="1"/>
    </row>
    <row r="1595" spans="1:23" x14ac:dyDescent="0.2">
      <c r="A1595" s="88" t="s">
        <v>16885</v>
      </c>
      <c r="B1595" s="1" t="e">
        <v>#N/A</v>
      </c>
      <c r="C1595" s="1" t="e">
        <v>#N/A</v>
      </c>
      <c r="D1595" s="1" t="s">
        <v>4312</v>
      </c>
      <c r="E1595" s="1" t="s">
        <v>4313</v>
      </c>
      <c r="F1595" s="1" t="s">
        <v>9310</v>
      </c>
      <c r="G1595" s="1" t="s">
        <v>8959</v>
      </c>
      <c r="H1595" t="s">
        <v>9061</v>
      </c>
      <c r="I1595" s="1" t="s">
        <v>9035</v>
      </c>
      <c r="J1595" s="1" t="s">
        <v>8998</v>
      </c>
      <c r="K1595" s="1" t="s">
        <v>18497</v>
      </c>
      <c r="L1595" s="1" t="s">
        <v>9133</v>
      </c>
      <c r="M1595" s="1">
        <v>4352</v>
      </c>
      <c r="N1595" s="1" t="s">
        <v>8953</v>
      </c>
      <c r="O1595" s="1" t="s">
        <v>8954</v>
      </c>
      <c r="P1595" s="1" t="e">
        <v>#N/A</v>
      </c>
      <c r="Q1595" s="1" t="e">
        <v>#N/A</v>
      </c>
      <c r="R1595" s="1">
        <f t="shared" si="468"/>
        <v>18</v>
      </c>
      <c r="S1595" s="1" t="str">
        <f t="shared" si="469"/>
        <v>&gt;7</v>
      </c>
      <c r="T1595" s="1" t="s">
        <v>19440</v>
      </c>
      <c r="U1595" s="1" t="s">
        <v>7</v>
      </c>
      <c r="V1595" s="1" t="s">
        <v>180</v>
      </c>
      <c r="W1595" s="1"/>
    </row>
    <row r="1596" spans="1:23" x14ac:dyDescent="0.2">
      <c r="A1596" s="88" t="s">
        <v>16886</v>
      </c>
      <c r="B1596" s="1" t="e">
        <v>#N/A</v>
      </c>
      <c r="C1596" s="1" t="e">
        <v>#N/A</v>
      </c>
      <c r="D1596" s="1" t="s">
        <v>4314</v>
      </c>
      <c r="E1596" s="1" t="s">
        <v>4315</v>
      </c>
      <c r="F1596" s="1" t="s">
        <v>9310</v>
      </c>
      <c r="G1596" s="1" t="s">
        <v>8959</v>
      </c>
      <c r="H1596" t="s">
        <v>9183</v>
      </c>
      <c r="I1596" s="1" t="s">
        <v>20714</v>
      </c>
      <c r="J1596" s="1" t="s">
        <v>8998</v>
      </c>
      <c r="K1596" s="1" t="s">
        <v>18489</v>
      </c>
      <c r="L1596" s="1" t="s">
        <v>8951</v>
      </c>
      <c r="M1596" s="1">
        <f>11774+1790+2789+349</f>
        <v>16702</v>
      </c>
      <c r="N1596" s="1" t="s">
        <v>8953</v>
      </c>
      <c r="O1596" s="1" t="s">
        <v>8989</v>
      </c>
      <c r="P1596" s="1" t="e">
        <v>#N/A</v>
      </c>
      <c r="Q1596" s="1" t="e">
        <v>#N/A</v>
      </c>
      <c r="R1596" s="1">
        <f t="shared" si="468"/>
        <v>8</v>
      </c>
      <c r="S1596" s="1" t="str">
        <f t="shared" si="469"/>
        <v>&gt;7</v>
      </c>
      <c r="T1596" s="1" t="s">
        <v>19441</v>
      </c>
      <c r="U1596" s="1" t="s">
        <v>7</v>
      </c>
      <c r="V1596" s="1" t="s">
        <v>4316</v>
      </c>
      <c r="W1596" s="1"/>
    </row>
    <row r="1597" spans="1:23" x14ac:dyDescent="0.2">
      <c r="A1597" s="88" t="s">
        <v>16887</v>
      </c>
      <c r="B1597" s="1" t="e">
        <v>#N/A</v>
      </c>
      <c r="C1597" s="1" t="e">
        <v>#N/A</v>
      </c>
      <c r="D1597" s="1" t="s">
        <v>4317</v>
      </c>
      <c r="E1597" s="1" t="s">
        <v>4318</v>
      </c>
      <c r="F1597" s="1" t="s">
        <v>9310</v>
      </c>
      <c r="G1597" s="1" t="s">
        <v>8959</v>
      </c>
      <c r="H1597" t="s">
        <v>8959</v>
      </c>
      <c r="I1597" s="1" t="s">
        <v>9100</v>
      </c>
      <c r="J1597" s="1" t="s">
        <v>8949</v>
      </c>
      <c r="K1597" s="1" t="s">
        <v>21254</v>
      </c>
      <c r="L1597" s="1" t="s">
        <v>8987</v>
      </c>
      <c r="M1597" s="1">
        <v>84</v>
      </c>
      <c r="N1597" s="1" t="s">
        <v>9059</v>
      </c>
      <c r="O1597" s="1" t="s">
        <v>8989</v>
      </c>
      <c r="P1597" s="1" t="e">
        <v>#N/A</v>
      </c>
      <c r="Q1597" s="1" t="e">
        <v>#N/A</v>
      </c>
      <c r="R1597" s="1">
        <f t="shared" si="468"/>
        <v>5</v>
      </c>
      <c r="S1597" s="1" t="str">
        <f t="shared" si="469"/>
        <v>4-7</v>
      </c>
      <c r="T1597" s="1" t="s">
        <v>19442</v>
      </c>
      <c r="U1597" s="1" t="s">
        <v>7</v>
      </c>
      <c r="V1597" s="1" t="s">
        <v>93</v>
      </c>
      <c r="W1597" s="1"/>
    </row>
    <row r="1598" spans="1:23" x14ac:dyDescent="0.2">
      <c r="A1598" s="88" t="s">
        <v>16888</v>
      </c>
      <c r="B1598" s="1" t="e">
        <v>#N/A</v>
      </c>
      <c r="C1598" s="1" t="s">
        <v>12483</v>
      </c>
      <c r="D1598" s="1" t="s">
        <v>4319</v>
      </c>
      <c r="E1598" s="1" t="s">
        <v>4320</v>
      </c>
      <c r="F1598" s="1" t="s">
        <v>9380</v>
      </c>
      <c r="G1598" s="1" t="s">
        <v>9060</v>
      </c>
      <c r="H1598" t="s">
        <v>8959</v>
      </c>
      <c r="I1598" s="1" t="s">
        <v>8948</v>
      </c>
      <c r="J1598" s="1" t="s">
        <v>9121</v>
      </c>
      <c r="K1598" s="1" t="s">
        <v>9036</v>
      </c>
      <c r="L1598" s="1" t="s">
        <v>9133</v>
      </c>
      <c r="M1598" s="1">
        <v>416</v>
      </c>
      <c r="N1598" s="1" t="s">
        <v>8953</v>
      </c>
      <c r="O1598" s="1" t="s">
        <v>8989</v>
      </c>
      <c r="P1598" s="1" t="s">
        <v>8955</v>
      </c>
      <c r="Q1598" s="1" t="s">
        <v>8956</v>
      </c>
      <c r="R1598" s="1" t="s">
        <v>9060</v>
      </c>
      <c r="S1598" s="1" t="s">
        <v>8958</v>
      </c>
      <c r="T1598" s="1" t="s">
        <v>4321</v>
      </c>
      <c r="U1598" s="1" t="s">
        <v>11</v>
      </c>
      <c r="V1598" s="1" t="s">
        <v>4322</v>
      </c>
      <c r="W1598" s="1"/>
    </row>
    <row r="1599" spans="1:23" x14ac:dyDescent="0.2">
      <c r="A1599" s="88" t="s">
        <v>16889</v>
      </c>
      <c r="B1599" s="1" t="e">
        <v>#N/A</v>
      </c>
      <c r="C1599" s="1" t="e">
        <v>#N/A</v>
      </c>
      <c r="D1599" s="1" t="s">
        <v>4323</v>
      </c>
      <c r="E1599" s="1" t="s">
        <v>4324</v>
      </c>
      <c r="F1599" s="1" t="s">
        <v>9310</v>
      </c>
      <c r="G1599" s="1" t="s">
        <v>8957</v>
      </c>
      <c r="H1599" t="s">
        <v>8959</v>
      </c>
      <c r="I1599" s="1" t="s">
        <v>8984</v>
      </c>
      <c r="J1599" s="1" t="s">
        <v>9101</v>
      </c>
      <c r="K1599" s="1" t="s">
        <v>20805</v>
      </c>
      <c r="L1599" s="1" t="s">
        <v>9292</v>
      </c>
      <c r="M1599" s="1">
        <v>107</v>
      </c>
      <c r="N1599" s="1" t="s">
        <v>8953</v>
      </c>
      <c r="O1599" s="1" t="s">
        <v>8989</v>
      </c>
      <c r="P1599" s="1" t="e">
        <v>#N/A</v>
      </c>
      <c r="Q1599" s="1" t="e">
        <v>#N/A</v>
      </c>
      <c r="R1599" s="1">
        <f t="shared" ref="R1599:R1601" si="470">1+LEN(T1599)-LEN(SUBSTITUTE(T1599,",",))</f>
        <v>11</v>
      </c>
      <c r="S1599" s="1" t="str">
        <f t="shared" ref="S1599:S1601" si="471">IF(R1599&gt;4,IF(R1599&lt;8,"4-7",IF(R1599&gt;7,"&gt;7")),"&lt;4")</f>
        <v>&gt;7</v>
      </c>
      <c r="T1599" s="1" t="s">
        <v>19443</v>
      </c>
      <c r="U1599" s="1" t="s">
        <v>7</v>
      </c>
      <c r="V1599" s="1" t="s">
        <v>4325</v>
      </c>
      <c r="W1599" s="1"/>
    </row>
    <row r="1600" spans="1:23" x14ac:dyDescent="0.2">
      <c r="A1600" s="88" t="s">
        <v>16890</v>
      </c>
      <c r="B1600" s="1" t="e">
        <v>#N/A</v>
      </c>
      <c r="C1600" s="1" t="e">
        <v>#N/A</v>
      </c>
      <c r="D1600" s="1" t="s">
        <v>4326</v>
      </c>
      <c r="E1600" s="1" t="s">
        <v>4327</v>
      </c>
      <c r="F1600" s="1" t="s">
        <v>9310</v>
      </c>
      <c r="G1600" s="1" t="s">
        <v>8957</v>
      </c>
      <c r="H1600" t="s">
        <v>8959</v>
      </c>
      <c r="I1600" s="1" t="s">
        <v>9100</v>
      </c>
      <c r="J1600" s="1" t="s">
        <v>9101</v>
      </c>
      <c r="K1600" s="1" t="s">
        <v>10492</v>
      </c>
      <c r="L1600" s="1" t="s">
        <v>8973</v>
      </c>
      <c r="M1600" s="1">
        <v>210</v>
      </c>
      <c r="N1600" s="1" t="s">
        <v>8953</v>
      </c>
      <c r="O1600" s="1" t="s">
        <v>8989</v>
      </c>
      <c r="P1600" s="1" t="e">
        <v>#N/A</v>
      </c>
      <c r="Q1600" s="1" t="e">
        <v>#N/A</v>
      </c>
      <c r="R1600" s="1">
        <f t="shared" si="470"/>
        <v>2</v>
      </c>
      <c r="S1600" s="1" t="str">
        <f t="shared" si="471"/>
        <v>&lt;4</v>
      </c>
      <c r="T1600" s="1" t="s">
        <v>19444</v>
      </c>
      <c r="U1600" s="1" t="s">
        <v>7</v>
      </c>
      <c r="V1600" s="1" t="s">
        <v>61</v>
      </c>
      <c r="W1600" s="1"/>
    </row>
    <row r="1601" spans="1:23" x14ac:dyDescent="0.2">
      <c r="A1601" s="94" t="s">
        <v>16891</v>
      </c>
      <c r="B1601" s="1" t="e">
        <v>#N/A</v>
      </c>
      <c r="C1601" s="1" t="e">
        <v>#N/A</v>
      </c>
      <c r="D1601" s="1" t="s">
        <v>4328</v>
      </c>
      <c r="E1601" s="1" t="s">
        <v>4329</v>
      </c>
      <c r="F1601" s="1" t="s">
        <v>18502</v>
      </c>
      <c r="G1601" s="1" t="e">
        <v>#N/A</v>
      </c>
      <c r="H1601" t="s">
        <v>8959</v>
      </c>
      <c r="I1601" s="1" t="s">
        <v>9035</v>
      </c>
      <c r="J1601" s="1" t="s">
        <v>9422</v>
      </c>
      <c r="K1601" s="1" t="e">
        <v>#N/A</v>
      </c>
      <c r="L1601" s="1" t="e">
        <v>#N/A</v>
      </c>
      <c r="M1601" s="1" t="e">
        <v>#N/A</v>
      </c>
      <c r="N1601" s="1" t="e">
        <v>#N/A</v>
      </c>
      <c r="O1601" s="1" t="e">
        <v>#N/A</v>
      </c>
      <c r="P1601" s="1" t="e">
        <v>#N/A</v>
      </c>
      <c r="Q1601" s="1" t="e">
        <v>#N/A</v>
      </c>
      <c r="R1601" s="1">
        <f t="shared" si="470"/>
        <v>7</v>
      </c>
      <c r="S1601" s="1" t="str">
        <f t="shared" si="471"/>
        <v>4-7</v>
      </c>
      <c r="T1601" s="1" t="s">
        <v>19445</v>
      </c>
      <c r="U1601" s="1" t="s">
        <v>17</v>
      </c>
      <c r="V1601" s="1" t="s">
        <v>4330</v>
      </c>
      <c r="W1601" s="1"/>
    </row>
    <row r="1602" spans="1:23" x14ac:dyDescent="0.2">
      <c r="A1602" s="88" t="s">
        <v>16892</v>
      </c>
      <c r="B1602" s="1" t="e">
        <v>#N/A</v>
      </c>
      <c r="C1602" s="1" t="s">
        <v>11044</v>
      </c>
      <c r="D1602" s="1" t="s">
        <v>4331</v>
      </c>
      <c r="E1602" s="1" t="s">
        <v>4332</v>
      </c>
      <c r="F1602" s="1" t="s">
        <v>9310</v>
      </c>
      <c r="G1602" s="1" t="s">
        <v>8957</v>
      </c>
      <c r="H1602" t="s">
        <v>9183</v>
      </c>
      <c r="I1602" s="1" t="s">
        <v>8948</v>
      </c>
      <c r="J1602" s="1" t="s">
        <v>8949</v>
      </c>
      <c r="K1602" s="1" t="s">
        <v>9036</v>
      </c>
      <c r="L1602" s="1" t="s">
        <v>8973</v>
      </c>
      <c r="M1602" s="1">
        <v>87</v>
      </c>
      <c r="N1602" s="1" t="s">
        <v>8953</v>
      </c>
      <c r="O1602" s="1" t="s">
        <v>8954</v>
      </c>
      <c r="P1602" s="1" t="s">
        <v>8955</v>
      </c>
      <c r="Q1602" s="1" t="s">
        <v>8956</v>
      </c>
      <c r="R1602" s="1" t="s">
        <v>8957</v>
      </c>
      <c r="S1602" s="1" t="s">
        <v>8975</v>
      </c>
      <c r="T1602" s="1" t="s">
        <v>4333</v>
      </c>
      <c r="U1602" s="1" t="s">
        <v>11</v>
      </c>
      <c r="V1602" s="1" t="s">
        <v>1343</v>
      </c>
      <c r="W1602" s="1"/>
    </row>
    <row r="1603" spans="1:23" x14ac:dyDescent="0.2">
      <c r="A1603" s="88" t="s">
        <v>16893</v>
      </c>
      <c r="B1603" s="1" t="e">
        <v>#N/A</v>
      </c>
      <c r="C1603" s="1" t="e">
        <v>#N/A</v>
      </c>
      <c r="D1603" s="1" t="s">
        <v>4334</v>
      </c>
      <c r="E1603" s="1" t="s">
        <v>4335</v>
      </c>
      <c r="F1603" s="1" t="s">
        <v>9310</v>
      </c>
      <c r="G1603" s="1" t="s">
        <v>8957</v>
      </c>
      <c r="H1603" t="s">
        <v>9061</v>
      </c>
      <c r="I1603" s="1" t="s">
        <v>8984</v>
      </c>
      <c r="J1603" s="1" t="s">
        <v>8998</v>
      </c>
      <c r="K1603" s="1" t="s">
        <v>18497</v>
      </c>
      <c r="L1603" s="1" t="s">
        <v>9133</v>
      </c>
      <c r="M1603" s="1">
        <v>1041</v>
      </c>
      <c r="N1603" s="1" t="s">
        <v>8953</v>
      </c>
      <c r="O1603" s="1" t="s">
        <v>8989</v>
      </c>
      <c r="P1603" s="1" t="e">
        <v>#N/A</v>
      </c>
      <c r="Q1603" s="1" t="e">
        <v>#N/A</v>
      </c>
      <c r="R1603" s="1">
        <f t="shared" ref="R1603:R1605" si="472">1+LEN(T1603)-LEN(SUBSTITUTE(T1603,",",))</f>
        <v>6</v>
      </c>
      <c r="S1603" s="1" t="str">
        <f t="shared" ref="S1603:S1605" si="473">IF(R1603&gt;4,IF(R1603&lt;8,"4-7",IF(R1603&gt;7,"&gt;7")),"&lt;4")</f>
        <v>4-7</v>
      </c>
      <c r="T1603" s="1" t="s">
        <v>19446</v>
      </c>
      <c r="U1603" s="1" t="s">
        <v>7</v>
      </c>
      <c r="V1603" s="1" t="s">
        <v>64</v>
      </c>
      <c r="W1603" s="1"/>
    </row>
    <row r="1604" spans="1:23" x14ac:dyDescent="0.2">
      <c r="A1604" s="88" t="s">
        <v>16894</v>
      </c>
      <c r="B1604" s="1" t="e">
        <v>#N/A</v>
      </c>
      <c r="C1604" s="1" t="e">
        <v>#N/A</v>
      </c>
      <c r="D1604" s="1" t="s">
        <v>4336</v>
      </c>
      <c r="E1604" s="1" t="s">
        <v>4337</v>
      </c>
      <c r="F1604" s="1" t="s">
        <v>9310</v>
      </c>
      <c r="G1604" s="1" t="s">
        <v>8959</v>
      </c>
      <c r="H1604" t="s">
        <v>8959</v>
      </c>
      <c r="I1604" s="1" t="s">
        <v>9075</v>
      </c>
      <c r="J1604" s="1" t="s">
        <v>8949</v>
      </c>
      <c r="K1604" s="1" t="s">
        <v>21211</v>
      </c>
      <c r="L1604" s="1" t="s">
        <v>8973</v>
      </c>
      <c r="M1604" s="1">
        <v>1092</v>
      </c>
      <c r="N1604" s="1" t="s">
        <v>8953</v>
      </c>
      <c r="O1604" s="1" t="s">
        <v>8989</v>
      </c>
      <c r="P1604" s="1" t="e">
        <v>#N/A</v>
      </c>
      <c r="Q1604" s="1" t="e">
        <v>#N/A</v>
      </c>
      <c r="R1604" s="1">
        <f t="shared" si="472"/>
        <v>4</v>
      </c>
      <c r="S1604" s="1" t="str">
        <f t="shared" si="473"/>
        <v>&lt;4</v>
      </c>
      <c r="T1604" s="1" t="s">
        <v>19447</v>
      </c>
      <c r="U1604" s="1" t="s">
        <v>7</v>
      </c>
      <c r="V1604" s="1" t="s">
        <v>46</v>
      </c>
      <c r="W1604" s="1"/>
    </row>
    <row r="1605" spans="1:23" x14ac:dyDescent="0.2">
      <c r="A1605" s="88" t="s">
        <v>16895</v>
      </c>
      <c r="B1605" s="1" t="e">
        <v>#N/A</v>
      </c>
      <c r="C1605" s="1" t="e">
        <v>#N/A</v>
      </c>
      <c r="D1605" s="1" t="s">
        <v>4338</v>
      </c>
      <c r="E1605" s="1" t="s">
        <v>4339</v>
      </c>
      <c r="F1605" s="1" t="s">
        <v>9310</v>
      </c>
      <c r="G1605" s="1" t="s">
        <v>8957</v>
      </c>
      <c r="H1605" t="s">
        <v>8959</v>
      </c>
      <c r="I1605" s="1" t="s">
        <v>20871</v>
      </c>
      <c r="J1605" s="1" t="s">
        <v>8959</v>
      </c>
      <c r="K1605" s="1" t="s">
        <v>20779</v>
      </c>
      <c r="L1605" s="1" t="s">
        <v>8987</v>
      </c>
      <c r="M1605" s="1">
        <v>300</v>
      </c>
      <c r="N1605" s="1" t="s">
        <v>8953</v>
      </c>
      <c r="O1605" s="1" t="s">
        <v>8989</v>
      </c>
      <c r="P1605" s="1" t="e">
        <v>#N/A</v>
      </c>
      <c r="Q1605" s="1" t="e">
        <v>#N/A</v>
      </c>
      <c r="R1605" s="1">
        <f t="shared" si="472"/>
        <v>10</v>
      </c>
      <c r="S1605" s="1" t="str">
        <f t="shared" si="473"/>
        <v>&gt;7</v>
      </c>
      <c r="T1605" s="1" t="s">
        <v>19448</v>
      </c>
      <c r="U1605" s="1" t="s">
        <v>7</v>
      </c>
      <c r="V1605" s="1" t="s">
        <v>808</v>
      </c>
      <c r="W1605" s="1"/>
    </row>
    <row r="1606" spans="1:23" x14ac:dyDescent="0.2">
      <c r="A1606" s="88" t="s">
        <v>16896</v>
      </c>
      <c r="B1606" s="1" t="e">
        <v>#N/A</v>
      </c>
      <c r="C1606" s="1" t="s">
        <v>13995</v>
      </c>
      <c r="D1606" s="1" t="s">
        <v>4340</v>
      </c>
      <c r="E1606" s="1" t="s">
        <v>4341</v>
      </c>
      <c r="F1606" s="1" t="s">
        <v>9010</v>
      </c>
      <c r="G1606" s="1" t="s">
        <v>8957</v>
      </c>
      <c r="H1606" t="s">
        <v>8959</v>
      </c>
      <c r="I1606" s="1" t="s">
        <v>8948</v>
      </c>
      <c r="J1606" s="1" t="s">
        <v>9101</v>
      </c>
      <c r="K1606" s="1" t="s">
        <v>9036</v>
      </c>
      <c r="L1606" s="1" t="s">
        <v>9076</v>
      </c>
      <c r="M1606" s="1">
        <v>68</v>
      </c>
      <c r="N1606" s="1" t="s">
        <v>8953</v>
      </c>
      <c r="O1606" s="1" t="s">
        <v>8954</v>
      </c>
      <c r="P1606" s="1" t="s">
        <v>8955</v>
      </c>
      <c r="Q1606" s="1" t="s">
        <v>8956</v>
      </c>
      <c r="R1606" s="1" t="s">
        <v>8957</v>
      </c>
      <c r="S1606" s="1" t="s">
        <v>8958</v>
      </c>
      <c r="T1606" s="1" t="s">
        <v>4342</v>
      </c>
      <c r="U1606" s="1" t="s">
        <v>4</v>
      </c>
      <c r="V1606" s="1" t="s">
        <v>61</v>
      </c>
      <c r="W1606" s="1"/>
    </row>
    <row r="1607" spans="1:23" x14ac:dyDescent="0.2">
      <c r="A1607" s="88" t="s">
        <v>16897</v>
      </c>
      <c r="B1607" s="1" t="e">
        <v>#N/A</v>
      </c>
      <c r="C1607" s="1" t="s">
        <v>14576</v>
      </c>
      <c r="D1607" s="1" t="s">
        <v>4343</v>
      </c>
      <c r="E1607" s="1" t="s">
        <v>4344</v>
      </c>
      <c r="F1607" s="1" t="s">
        <v>9010</v>
      </c>
      <c r="G1607" s="1" t="s">
        <v>8957</v>
      </c>
      <c r="H1607" t="s">
        <v>8959</v>
      </c>
      <c r="I1607" s="1" t="s">
        <v>8948</v>
      </c>
      <c r="J1607" s="1" t="s">
        <v>9155</v>
      </c>
      <c r="K1607" s="1" t="s">
        <v>9036</v>
      </c>
      <c r="L1607" s="1" t="s">
        <v>9133</v>
      </c>
      <c r="M1607" s="1">
        <v>830</v>
      </c>
      <c r="N1607" s="1" t="s">
        <v>9059</v>
      </c>
      <c r="O1607" s="1" t="s">
        <v>8989</v>
      </c>
      <c r="P1607" s="1" t="s">
        <v>8955</v>
      </c>
      <c r="Q1607" s="1" t="s">
        <v>8956</v>
      </c>
      <c r="R1607" s="1" t="s">
        <v>8957</v>
      </c>
      <c r="S1607" s="1" t="s">
        <v>8958</v>
      </c>
      <c r="T1607" s="1" t="s">
        <v>4345</v>
      </c>
      <c r="U1607" s="1" t="s">
        <v>929</v>
      </c>
      <c r="V1607" s="1" t="s">
        <v>921</v>
      </c>
      <c r="W1607" s="1"/>
    </row>
    <row r="1608" spans="1:23" x14ac:dyDescent="0.2">
      <c r="A1608" s="88" t="s">
        <v>16898</v>
      </c>
      <c r="B1608" s="1" t="e">
        <v>#N/A</v>
      </c>
      <c r="C1608" s="1" t="e">
        <v>#N/A</v>
      </c>
      <c r="D1608" s="1" t="s">
        <v>4346</v>
      </c>
      <c r="E1608" s="1" t="s">
        <v>4347</v>
      </c>
      <c r="F1608" s="1" t="s">
        <v>18502</v>
      </c>
      <c r="G1608" s="1" t="s">
        <v>8959</v>
      </c>
      <c r="H1608" t="s">
        <v>8959</v>
      </c>
      <c r="I1608" s="1" t="s">
        <v>9154</v>
      </c>
      <c r="J1608" s="1" t="s">
        <v>9308</v>
      </c>
      <c r="K1608" s="1" t="s">
        <v>9036</v>
      </c>
      <c r="L1608" s="1" t="s">
        <v>8951</v>
      </c>
      <c r="M1608" s="1">
        <v>792</v>
      </c>
      <c r="N1608" s="1" t="s">
        <v>8953</v>
      </c>
      <c r="O1608" s="1" t="s">
        <v>8989</v>
      </c>
      <c r="P1608" s="1" t="e">
        <v>#N/A</v>
      </c>
      <c r="Q1608" s="1" t="e">
        <v>#N/A</v>
      </c>
      <c r="R1608" s="1">
        <f>1+LEN(T1608)-LEN(SUBSTITUTE(T1608,",",))</f>
        <v>5</v>
      </c>
      <c r="S1608" s="1" t="str">
        <f>IF(R1608&gt;4,IF(R1608&lt;8,"4-7",IF(R1608&gt;7,"&gt;7")),"&lt;4")</f>
        <v>4-7</v>
      </c>
      <c r="T1608" s="1" t="s">
        <v>19449</v>
      </c>
      <c r="U1608" s="1" t="s">
        <v>7</v>
      </c>
      <c r="V1608" s="1" t="s">
        <v>853</v>
      </c>
      <c r="W1608" s="1"/>
    </row>
    <row r="1609" spans="1:23" x14ac:dyDescent="0.2">
      <c r="A1609" s="88" t="s">
        <v>16899</v>
      </c>
      <c r="B1609" s="1" t="e">
        <v>#N/A</v>
      </c>
      <c r="C1609" s="1" t="s">
        <v>13243</v>
      </c>
      <c r="D1609" s="1" t="s">
        <v>4348</v>
      </c>
      <c r="E1609" s="1" t="s">
        <v>4349</v>
      </c>
      <c r="F1609" s="1" t="s">
        <v>9310</v>
      </c>
      <c r="G1609" s="1" t="s">
        <v>8957</v>
      </c>
      <c r="H1609" t="s">
        <v>8959</v>
      </c>
      <c r="I1609" s="1" t="s">
        <v>9252</v>
      </c>
      <c r="J1609" s="1" t="s">
        <v>9253</v>
      </c>
      <c r="K1609" s="1" t="s">
        <v>9599</v>
      </c>
      <c r="L1609" s="1" t="s">
        <v>9464</v>
      </c>
      <c r="M1609" s="1">
        <v>661</v>
      </c>
      <c r="N1609" s="1" t="s">
        <v>8953</v>
      </c>
      <c r="O1609" s="1" t="s">
        <v>8989</v>
      </c>
      <c r="P1609" s="1" t="s">
        <v>8955</v>
      </c>
      <c r="Q1609" s="1" t="s">
        <v>8956</v>
      </c>
      <c r="R1609" s="1" t="s">
        <v>8957</v>
      </c>
      <c r="S1609" s="1" t="s">
        <v>8975</v>
      </c>
      <c r="T1609" s="1" t="s">
        <v>4350</v>
      </c>
      <c r="U1609" s="1" t="s">
        <v>11</v>
      </c>
      <c r="V1609" s="1" t="s">
        <v>378</v>
      </c>
      <c r="W1609" s="1"/>
    </row>
    <row r="1610" spans="1:23" x14ac:dyDescent="0.2">
      <c r="A1610" s="88" t="s">
        <v>16900</v>
      </c>
      <c r="B1610" s="1" t="e">
        <v>#N/A</v>
      </c>
      <c r="C1610" s="1" t="e">
        <v>#N/A</v>
      </c>
      <c r="D1610" s="1" t="s">
        <v>4351</v>
      </c>
      <c r="E1610" s="1" t="s">
        <v>4352</v>
      </c>
      <c r="F1610" s="1" t="s">
        <v>9310</v>
      </c>
      <c r="G1610" s="1" t="s">
        <v>8957</v>
      </c>
      <c r="H1610" t="s">
        <v>8959</v>
      </c>
      <c r="I1610" s="1" t="s">
        <v>8948</v>
      </c>
      <c r="J1610" s="1" t="s">
        <v>8998</v>
      </c>
      <c r="K1610" s="1" t="s">
        <v>10492</v>
      </c>
      <c r="L1610" s="1" t="s">
        <v>8973</v>
      </c>
      <c r="M1610" s="1">
        <v>20676</v>
      </c>
      <c r="N1610" s="1" t="s">
        <v>8953</v>
      </c>
      <c r="O1610" s="1" t="s">
        <v>8989</v>
      </c>
      <c r="P1610" s="1" t="e">
        <v>#N/A</v>
      </c>
      <c r="Q1610" s="1" t="e">
        <v>#N/A</v>
      </c>
      <c r="R1610" s="1">
        <f t="shared" ref="R1610:R1617" si="474">1+LEN(T1610)-LEN(SUBSTITUTE(T1610,",",))</f>
        <v>5</v>
      </c>
      <c r="S1610" s="1" t="str">
        <f t="shared" ref="S1610:S1617" si="475">IF(R1610&gt;4,IF(R1610&lt;8,"4-7",IF(R1610&gt;7,"&gt;7")),"&lt;4")</f>
        <v>4-7</v>
      </c>
      <c r="T1610" s="1" t="s">
        <v>19450</v>
      </c>
      <c r="U1610" s="1" t="s">
        <v>17</v>
      </c>
      <c r="V1610" s="1" t="s">
        <v>1322</v>
      </c>
      <c r="W1610" s="1"/>
    </row>
    <row r="1611" spans="1:23" x14ac:dyDescent="0.2">
      <c r="A1611" s="88" t="s">
        <v>16901</v>
      </c>
      <c r="B1611" s="1" t="e">
        <v>#N/A</v>
      </c>
      <c r="C1611" s="1" t="e">
        <v>#N/A</v>
      </c>
      <c r="D1611" s="1" t="s">
        <v>4353</v>
      </c>
      <c r="E1611" s="1" t="s">
        <v>4354</v>
      </c>
      <c r="F1611" s="1" t="s">
        <v>9310</v>
      </c>
      <c r="G1611" s="1" t="s">
        <v>8957</v>
      </c>
      <c r="H1611" t="s">
        <v>8959</v>
      </c>
      <c r="I1611" s="1" t="s">
        <v>9035</v>
      </c>
      <c r="J1611" s="1" t="s">
        <v>8998</v>
      </c>
      <c r="K1611" s="1" t="s">
        <v>21252</v>
      </c>
      <c r="L1611" s="1" t="s">
        <v>8951</v>
      </c>
      <c r="M1611" s="1">
        <v>1010</v>
      </c>
      <c r="N1611" s="1" t="s">
        <v>9059</v>
      </c>
      <c r="O1611" s="1" t="s">
        <v>8954</v>
      </c>
      <c r="P1611" s="1" t="e">
        <v>#N/A</v>
      </c>
      <c r="Q1611" s="1" t="e">
        <v>#N/A</v>
      </c>
      <c r="R1611" s="1">
        <f t="shared" si="474"/>
        <v>12</v>
      </c>
      <c r="S1611" s="1" t="str">
        <f t="shared" si="475"/>
        <v>&gt;7</v>
      </c>
      <c r="T1611" s="1" t="s">
        <v>19451</v>
      </c>
      <c r="U1611" s="1" t="s">
        <v>17</v>
      </c>
      <c r="V1611" s="1" t="s">
        <v>378</v>
      </c>
      <c r="W1611" s="1"/>
    </row>
    <row r="1612" spans="1:23" x14ac:dyDescent="0.2">
      <c r="A1612" s="88" t="s">
        <v>16902</v>
      </c>
      <c r="B1612" s="1" t="e">
        <v>#N/A</v>
      </c>
      <c r="C1612" s="1" t="e">
        <v>#N/A</v>
      </c>
      <c r="D1612" s="1" t="s">
        <v>4355</v>
      </c>
      <c r="E1612" s="1" t="s">
        <v>4356</v>
      </c>
      <c r="F1612" s="1" t="s">
        <v>18502</v>
      </c>
      <c r="G1612" s="1" t="s">
        <v>8957</v>
      </c>
      <c r="H1612" t="s">
        <v>8959</v>
      </c>
      <c r="I1612" s="1" t="s">
        <v>9035</v>
      </c>
      <c r="J1612" s="1" t="s">
        <v>9725</v>
      </c>
      <c r="K1612" s="1" t="s">
        <v>20779</v>
      </c>
      <c r="L1612" s="1" t="s">
        <v>9464</v>
      </c>
      <c r="M1612" s="1">
        <v>21</v>
      </c>
      <c r="N1612" s="1" t="s">
        <v>9059</v>
      </c>
      <c r="O1612" s="1" t="s">
        <v>8989</v>
      </c>
      <c r="P1612" s="1" t="e">
        <v>#N/A</v>
      </c>
      <c r="Q1612" s="1" t="e">
        <v>#N/A</v>
      </c>
      <c r="R1612" s="1">
        <f t="shared" si="474"/>
        <v>5</v>
      </c>
      <c r="S1612" s="1" t="str">
        <f t="shared" si="475"/>
        <v>4-7</v>
      </c>
      <c r="T1612" s="1" t="s">
        <v>19452</v>
      </c>
      <c r="U1612" s="1" t="s">
        <v>7</v>
      </c>
      <c r="V1612" s="1" t="s">
        <v>378</v>
      </c>
      <c r="W1612" s="1"/>
    </row>
    <row r="1613" spans="1:23" x14ac:dyDescent="0.2">
      <c r="A1613" s="94" t="s">
        <v>16903</v>
      </c>
      <c r="B1613" s="1" t="e">
        <v>#N/A</v>
      </c>
      <c r="C1613" s="1" t="e">
        <v>#N/A</v>
      </c>
      <c r="D1613" s="1" t="s">
        <v>4357</v>
      </c>
      <c r="E1613" s="1" t="s">
        <v>4358</v>
      </c>
      <c r="F1613" s="1" t="e">
        <v>#N/A</v>
      </c>
      <c r="G1613" s="1" t="e">
        <v>#N/A</v>
      </c>
      <c r="H1613" t="e">
        <v>#N/A</v>
      </c>
      <c r="I1613" s="1" t="e">
        <v>#N/A</v>
      </c>
      <c r="J1613" s="1" t="e">
        <v>#N/A</v>
      </c>
      <c r="K1613" s="1" t="e">
        <v>#N/A</v>
      </c>
      <c r="L1613" s="1" t="e">
        <v>#N/A</v>
      </c>
      <c r="M1613" s="1" t="e">
        <v>#N/A</v>
      </c>
      <c r="N1613" s="1" t="e">
        <v>#N/A</v>
      </c>
      <c r="O1613" s="1" t="e">
        <v>#N/A</v>
      </c>
      <c r="P1613" s="1" t="e">
        <v>#N/A</v>
      </c>
      <c r="Q1613" s="1" t="e">
        <v>#N/A</v>
      </c>
      <c r="R1613" s="1">
        <f t="shared" si="474"/>
        <v>4</v>
      </c>
      <c r="S1613" s="1" t="str">
        <f t="shared" si="475"/>
        <v>&lt;4</v>
      </c>
      <c r="T1613" s="1" t="s">
        <v>19453</v>
      </c>
      <c r="U1613" s="1" t="s">
        <v>11</v>
      </c>
      <c r="V1613" s="1" t="s">
        <v>1110</v>
      </c>
      <c r="W1613" s="1"/>
    </row>
    <row r="1614" spans="1:23" x14ac:dyDescent="0.2">
      <c r="A1614" s="88" t="s">
        <v>16904</v>
      </c>
      <c r="B1614" s="1" t="e">
        <v>#N/A</v>
      </c>
      <c r="C1614" s="1" t="e">
        <v>#N/A</v>
      </c>
      <c r="D1614" s="1" t="s">
        <v>4359</v>
      </c>
      <c r="E1614" s="1" t="s">
        <v>4360</v>
      </c>
      <c r="F1614" s="1" t="s">
        <v>9310</v>
      </c>
      <c r="G1614" s="1" t="s">
        <v>8959</v>
      </c>
      <c r="H1614" t="s">
        <v>8959</v>
      </c>
      <c r="I1614" s="1" t="s">
        <v>9605</v>
      </c>
      <c r="J1614" s="1" t="s">
        <v>9155</v>
      </c>
      <c r="K1614" s="1" t="s">
        <v>18497</v>
      </c>
      <c r="L1614" s="1" t="s">
        <v>8951</v>
      </c>
      <c r="M1614" s="1">
        <v>730</v>
      </c>
      <c r="N1614" s="1" t="s">
        <v>8953</v>
      </c>
      <c r="O1614" s="1" t="s">
        <v>8989</v>
      </c>
      <c r="P1614" s="1" t="e">
        <v>#N/A</v>
      </c>
      <c r="Q1614" s="1" t="e">
        <v>#N/A</v>
      </c>
      <c r="R1614" s="1">
        <f t="shared" si="474"/>
        <v>8</v>
      </c>
      <c r="S1614" s="1" t="str">
        <f t="shared" si="475"/>
        <v>&gt;7</v>
      </c>
      <c r="T1614" s="1" t="s">
        <v>19454</v>
      </c>
      <c r="U1614" s="1" t="s">
        <v>7</v>
      </c>
      <c r="V1614" s="1" t="s">
        <v>213</v>
      </c>
      <c r="W1614" s="1"/>
    </row>
    <row r="1615" spans="1:23" x14ac:dyDescent="0.2">
      <c r="A1615" s="88" t="s">
        <v>16905</v>
      </c>
      <c r="B1615" s="1" t="e">
        <v>#N/A</v>
      </c>
      <c r="C1615" s="1" t="e">
        <v>#N/A</v>
      </c>
      <c r="D1615" s="1" t="s">
        <v>4361</v>
      </c>
      <c r="E1615" s="1" t="s">
        <v>4362</v>
      </c>
      <c r="F1615" s="1" t="s">
        <v>9310</v>
      </c>
      <c r="G1615" s="1" t="s">
        <v>8957</v>
      </c>
      <c r="H1615" t="s">
        <v>8959</v>
      </c>
      <c r="I1615" s="1" t="s">
        <v>8948</v>
      </c>
      <c r="J1615" s="1" t="s">
        <v>9155</v>
      </c>
      <c r="K1615" s="1" t="s">
        <v>20776</v>
      </c>
      <c r="L1615" s="1" t="s">
        <v>9076</v>
      </c>
      <c r="M1615" s="1">
        <f>846+4063</f>
        <v>4909</v>
      </c>
      <c r="N1615" s="1" t="s">
        <v>8953</v>
      </c>
      <c r="O1615" s="1" t="s">
        <v>8989</v>
      </c>
      <c r="P1615" s="1" t="e">
        <v>#N/A</v>
      </c>
      <c r="Q1615" s="1" t="e">
        <v>#N/A</v>
      </c>
      <c r="R1615" s="1">
        <f t="shared" si="474"/>
        <v>7</v>
      </c>
      <c r="S1615" s="1" t="str">
        <f t="shared" si="475"/>
        <v>4-7</v>
      </c>
      <c r="T1615" s="1" t="s">
        <v>19455</v>
      </c>
      <c r="U1615" s="1" t="s">
        <v>7</v>
      </c>
      <c r="V1615" s="1" t="s">
        <v>4363</v>
      </c>
      <c r="W1615" s="1"/>
    </row>
    <row r="1616" spans="1:23" x14ac:dyDescent="0.2">
      <c r="A1616" s="89" t="s">
        <v>4364</v>
      </c>
      <c r="B1616" s="1" t="e">
        <v>#N/A</v>
      </c>
      <c r="C1616" s="1" t="e">
        <v>#N/A</v>
      </c>
      <c r="D1616" s="1" t="s">
        <v>4365</v>
      </c>
      <c r="E1616" s="1" t="s">
        <v>4366</v>
      </c>
      <c r="F1616" s="1" t="e">
        <v>#N/A</v>
      </c>
      <c r="G1616" s="1" t="e">
        <v>#N/A</v>
      </c>
      <c r="H1616" t="e">
        <v>#N/A</v>
      </c>
      <c r="I1616" s="1" t="e">
        <v>#N/A</v>
      </c>
      <c r="J1616" s="1" t="e">
        <v>#N/A</v>
      </c>
      <c r="K1616" s="1" t="e">
        <v>#N/A</v>
      </c>
      <c r="L1616" s="1" t="e">
        <v>#N/A</v>
      </c>
      <c r="M1616" s="1" t="e">
        <v>#N/A</v>
      </c>
      <c r="N1616" s="1" t="e">
        <v>#N/A</v>
      </c>
      <c r="O1616" s="1" t="e">
        <v>#N/A</v>
      </c>
      <c r="P1616" s="1" t="e">
        <v>#N/A</v>
      </c>
      <c r="Q1616" s="1" t="e">
        <v>#N/A</v>
      </c>
      <c r="R1616" s="1">
        <f t="shared" si="474"/>
        <v>6</v>
      </c>
      <c r="S1616" s="1" t="str">
        <f t="shared" si="475"/>
        <v>4-7</v>
      </c>
      <c r="T1616" s="1" t="s">
        <v>19456</v>
      </c>
      <c r="U1616" s="1" t="s">
        <v>252</v>
      </c>
      <c r="V1616" s="1" t="s">
        <v>831</v>
      </c>
      <c r="W1616" s="1"/>
    </row>
    <row r="1617" spans="1:23" x14ac:dyDescent="0.2">
      <c r="A1617" s="88" t="s">
        <v>16906</v>
      </c>
      <c r="B1617" s="1" t="e">
        <v>#N/A</v>
      </c>
      <c r="C1617" s="1" t="e">
        <v>#N/A</v>
      </c>
      <c r="D1617" s="1" t="s">
        <v>4367</v>
      </c>
      <c r="E1617" s="1" t="s">
        <v>4368</v>
      </c>
      <c r="F1617" s="1" t="s">
        <v>9310</v>
      </c>
      <c r="G1617" s="1" t="s">
        <v>8957</v>
      </c>
      <c r="H1617" t="s">
        <v>8959</v>
      </c>
      <c r="I1617" s="1" t="s">
        <v>20714</v>
      </c>
      <c r="J1617" s="1" t="s">
        <v>9101</v>
      </c>
      <c r="K1617" s="1" t="s">
        <v>21353</v>
      </c>
      <c r="L1617" s="1" t="s">
        <v>9133</v>
      </c>
      <c r="M1617" s="1">
        <v>1772</v>
      </c>
      <c r="N1617" s="1" t="s">
        <v>8953</v>
      </c>
      <c r="O1617" s="1" t="s">
        <v>8989</v>
      </c>
      <c r="P1617" s="1" t="e">
        <v>#N/A</v>
      </c>
      <c r="Q1617" s="1" t="e">
        <v>#N/A</v>
      </c>
      <c r="R1617" s="1">
        <f t="shared" si="474"/>
        <v>15</v>
      </c>
      <c r="S1617" s="1" t="str">
        <f t="shared" si="475"/>
        <v>&gt;7</v>
      </c>
      <c r="T1617" s="1" t="s">
        <v>19457</v>
      </c>
      <c r="U1617" s="1" t="s">
        <v>7</v>
      </c>
      <c r="V1617" s="1" t="s">
        <v>4369</v>
      </c>
      <c r="W1617" s="1"/>
    </row>
    <row r="1618" spans="1:23" x14ac:dyDescent="0.2">
      <c r="A1618" s="88" t="s">
        <v>16907</v>
      </c>
      <c r="B1618" s="1" t="e">
        <v>#N/A</v>
      </c>
      <c r="C1618" s="1" t="s">
        <v>11959</v>
      </c>
      <c r="D1618" s="1" t="s">
        <v>4370</v>
      </c>
      <c r="E1618" s="1" t="s">
        <v>4371</v>
      </c>
      <c r="F1618" s="1" t="s">
        <v>9310</v>
      </c>
      <c r="G1618" s="1" t="s">
        <v>8957</v>
      </c>
      <c r="H1618" t="s">
        <v>9183</v>
      </c>
      <c r="I1618" s="1" t="s">
        <v>8984</v>
      </c>
      <c r="J1618" s="1" t="s">
        <v>8998</v>
      </c>
      <c r="K1618" s="1" t="s">
        <v>11962</v>
      </c>
      <c r="L1618" s="1" t="s">
        <v>8973</v>
      </c>
      <c r="M1618" s="1">
        <v>201</v>
      </c>
      <c r="N1618" s="1" t="s">
        <v>8953</v>
      </c>
      <c r="O1618" s="1" t="s">
        <v>8954</v>
      </c>
      <c r="P1618" s="1" t="s">
        <v>8955</v>
      </c>
      <c r="Q1618" s="1" t="s">
        <v>8956</v>
      </c>
      <c r="R1618" s="1" t="s">
        <v>8957</v>
      </c>
      <c r="S1618" s="1" t="s">
        <v>8958</v>
      </c>
      <c r="T1618" s="1" t="s">
        <v>4372</v>
      </c>
      <c r="U1618" s="1" t="s">
        <v>11</v>
      </c>
      <c r="V1618" s="1" t="s">
        <v>61</v>
      </c>
      <c r="W1618" s="1"/>
    </row>
    <row r="1619" spans="1:23" x14ac:dyDescent="0.2">
      <c r="A1619" s="88" t="s">
        <v>16908</v>
      </c>
      <c r="B1619" s="1" t="e">
        <v>#N/A</v>
      </c>
      <c r="C1619" s="1" t="s">
        <v>13003</v>
      </c>
      <c r="D1619" s="1" t="s">
        <v>4373</v>
      </c>
      <c r="E1619" s="1" t="s">
        <v>4374</v>
      </c>
      <c r="F1619" s="1" t="s">
        <v>9310</v>
      </c>
      <c r="G1619" s="1" t="s">
        <v>8957</v>
      </c>
      <c r="H1619" t="s">
        <v>8959</v>
      </c>
      <c r="I1619" s="1" t="s">
        <v>9092</v>
      </c>
      <c r="J1619" s="1" t="s">
        <v>8949</v>
      </c>
      <c r="K1619" s="1" t="s">
        <v>9436</v>
      </c>
      <c r="L1619" s="1" t="s">
        <v>8973</v>
      </c>
      <c r="M1619" s="1">
        <v>96</v>
      </c>
      <c r="N1619" s="1" t="s">
        <v>8953</v>
      </c>
      <c r="O1619" s="1" t="s">
        <v>8954</v>
      </c>
      <c r="P1619" s="1" t="s">
        <v>8955</v>
      </c>
      <c r="Q1619" s="1" t="s">
        <v>8956</v>
      </c>
      <c r="R1619" s="1" t="s">
        <v>8957</v>
      </c>
      <c r="S1619" s="1" t="s">
        <v>8975</v>
      </c>
      <c r="T1619" s="1" t="s">
        <v>4375</v>
      </c>
      <c r="U1619" s="1" t="s">
        <v>11</v>
      </c>
      <c r="V1619" s="1" t="s">
        <v>126</v>
      </c>
      <c r="W1619" s="1"/>
    </row>
    <row r="1620" spans="1:23" x14ac:dyDescent="0.2">
      <c r="A1620" s="88" t="s">
        <v>16909</v>
      </c>
      <c r="B1620" s="1" t="e">
        <v>#N/A</v>
      </c>
      <c r="C1620" s="1" t="s">
        <v>14893</v>
      </c>
      <c r="D1620" s="1" t="s">
        <v>4376</v>
      </c>
      <c r="E1620" s="1" t="s">
        <v>4377</v>
      </c>
      <c r="F1620" s="1" t="s">
        <v>9310</v>
      </c>
      <c r="G1620" s="1" t="s">
        <v>8957</v>
      </c>
      <c r="H1620" t="s">
        <v>9061</v>
      </c>
      <c r="I1620" s="1" t="s">
        <v>9035</v>
      </c>
      <c r="J1620" s="1" t="s">
        <v>8998</v>
      </c>
      <c r="K1620" s="1" t="s">
        <v>9036</v>
      </c>
      <c r="L1620" s="1" t="s">
        <v>8951</v>
      </c>
      <c r="M1620" s="1">
        <v>200</v>
      </c>
      <c r="N1620" s="1" t="s">
        <v>8953</v>
      </c>
      <c r="O1620" s="1" t="s">
        <v>8989</v>
      </c>
      <c r="P1620" s="1" t="s">
        <v>8955</v>
      </c>
      <c r="Q1620" s="1" t="s">
        <v>8956</v>
      </c>
      <c r="R1620" s="1" t="s">
        <v>8957</v>
      </c>
      <c r="S1620" s="1" t="s">
        <v>8975</v>
      </c>
      <c r="T1620" s="1" t="s">
        <v>4378</v>
      </c>
      <c r="U1620" s="1" t="s">
        <v>17</v>
      </c>
      <c r="V1620" s="1" t="s">
        <v>4379</v>
      </c>
      <c r="W1620" s="1"/>
    </row>
    <row r="1621" spans="1:23" x14ac:dyDescent="0.2">
      <c r="A1621" s="88" t="s">
        <v>16910</v>
      </c>
      <c r="B1621" s="1" t="e">
        <v>#N/A</v>
      </c>
      <c r="C1621" s="1" t="e">
        <v>#N/A</v>
      </c>
      <c r="D1621" s="1" t="s">
        <v>4380</v>
      </c>
      <c r="E1621" s="1" t="s">
        <v>4381</v>
      </c>
      <c r="F1621" s="1" t="s">
        <v>9310</v>
      </c>
      <c r="G1621" s="1" t="s">
        <v>8957</v>
      </c>
      <c r="H1621" t="s">
        <v>8959</v>
      </c>
      <c r="I1621" s="1" t="s">
        <v>9605</v>
      </c>
      <c r="J1621" s="1" t="s">
        <v>9101</v>
      </c>
      <c r="K1621" s="1" t="s">
        <v>20779</v>
      </c>
      <c r="L1621" s="1" t="s">
        <v>8973</v>
      </c>
      <c r="M1621" s="1">
        <v>4000000</v>
      </c>
      <c r="N1621" s="1" t="s">
        <v>8953</v>
      </c>
      <c r="O1621" s="1" t="s">
        <v>8954</v>
      </c>
      <c r="P1621" s="1" t="e">
        <v>#N/A</v>
      </c>
      <c r="Q1621" s="1" t="e">
        <v>#N/A</v>
      </c>
      <c r="R1621" s="1">
        <f t="shared" ref="R1621:R1626" si="476">1+LEN(T1621)-LEN(SUBSTITUTE(T1621,",",))</f>
        <v>3</v>
      </c>
      <c r="S1621" s="1" t="str">
        <f t="shared" ref="S1621:S1626" si="477">IF(R1621&gt;4,IF(R1621&lt;8,"4-7",IF(R1621&gt;7,"&gt;7")),"&lt;4")</f>
        <v>&lt;4</v>
      </c>
      <c r="T1621" s="1" t="s">
        <v>19458</v>
      </c>
      <c r="U1621" s="1" t="s">
        <v>7</v>
      </c>
      <c r="V1621" s="1" t="s">
        <v>4382</v>
      </c>
      <c r="W1621" s="1"/>
    </row>
    <row r="1622" spans="1:23" x14ac:dyDescent="0.2">
      <c r="A1622" s="88" t="s">
        <v>16911</v>
      </c>
      <c r="B1622" s="1" t="e">
        <v>#N/A</v>
      </c>
      <c r="C1622" s="1" t="e">
        <v>#N/A</v>
      </c>
      <c r="D1622" s="1" t="s">
        <v>4383</v>
      </c>
      <c r="E1622" s="1" t="s">
        <v>4384</v>
      </c>
      <c r="F1622" s="1" t="s">
        <v>9310</v>
      </c>
      <c r="G1622" s="1" t="s">
        <v>8957</v>
      </c>
      <c r="H1622" t="s">
        <v>8959</v>
      </c>
      <c r="I1622" s="1" t="s">
        <v>9252</v>
      </c>
      <c r="J1622" s="1" t="s">
        <v>18504</v>
      </c>
      <c r="K1622" s="1" t="s">
        <v>10525</v>
      </c>
      <c r="L1622" s="1" t="s">
        <v>8987</v>
      </c>
      <c r="M1622" s="1">
        <v>441</v>
      </c>
      <c r="N1622" s="1" t="s">
        <v>9059</v>
      </c>
      <c r="O1622" s="1" t="s">
        <v>8989</v>
      </c>
      <c r="P1622" s="1" t="e">
        <v>#N/A</v>
      </c>
      <c r="Q1622" s="1" t="e">
        <v>#N/A</v>
      </c>
      <c r="R1622" s="1">
        <f t="shared" si="476"/>
        <v>9</v>
      </c>
      <c r="S1622" s="1" t="str">
        <f t="shared" si="477"/>
        <v>&gt;7</v>
      </c>
      <c r="T1622" s="1" t="s">
        <v>19459</v>
      </c>
      <c r="U1622" s="1" t="s">
        <v>7</v>
      </c>
      <c r="V1622" s="1" t="s">
        <v>147</v>
      </c>
      <c r="W1622" s="1"/>
    </row>
    <row r="1623" spans="1:23" x14ac:dyDescent="0.2">
      <c r="A1623" s="88" t="s">
        <v>16912</v>
      </c>
      <c r="B1623" s="1" t="e">
        <v>#N/A</v>
      </c>
      <c r="C1623" s="1" t="e">
        <v>#N/A</v>
      </c>
      <c r="D1623" s="1" t="s">
        <v>4385</v>
      </c>
      <c r="E1623" s="1" t="s">
        <v>4386</v>
      </c>
      <c r="F1623" s="1" t="s">
        <v>9310</v>
      </c>
      <c r="G1623" s="1" t="s">
        <v>8957</v>
      </c>
      <c r="H1623" t="s">
        <v>8959</v>
      </c>
      <c r="I1623" s="1" t="s">
        <v>9035</v>
      </c>
      <c r="J1623" s="1" t="s">
        <v>9308</v>
      </c>
      <c r="K1623" s="1" t="s">
        <v>20779</v>
      </c>
      <c r="L1623" s="1" t="s">
        <v>8951</v>
      </c>
      <c r="M1623" s="1">
        <f>240+238+247</f>
        <v>725</v>
      </c>
      <c r="N1623" s="1" t="s">
        <v>8953</v>
      </c>
      <c r="O1623" s="1" t="s">
        <v>8954</v>
      </c>
      <c r="P1623" s="1" t="e">
        <v>#N/A</v>
      </c>
      <c r="Q1623" s="1" t="e">
        <v>#N/A</v>
      </c>
      <c r="R1623" s="1">
        <f t="shared" si="476"/>
        <v>7</v>
      </c>
      <c r="S1623" s="1" t="str">
        <f t="shared" si="477"/>
        <v>4-7</v>
      </c>
      <c r="T1623" s="1" t="s">
        <v>19460</v>
      </c>
      <c r="U1623" s="1" t="s">
        <v>7</v>
      </c>
      <c r="V1623" s="1" t="s">
        <v>8</v>
      </c>
      <c r="W1623" s="1"/>
    </row>
    <row r="1624" spans="1:23" x14ac:dyDescent="0.2">
      <c r="A1624" s="88" t="s">
        <v>16913</v>
      </c>
      <c r="B1624" s="1" t="e">
        <v>#N/A</v>
      </c>
      <c r="C1624" s="1" t="e">
        <v>#N/A</v>
      </c>
      <c r="D1624" s="1" t="s">
        <v>4387</v>
      </c>
      <c r="E1624" s="1" t="s">
        <v>4388</v>
      </c>
      <c r="F1624" s="1" t="s">
        <v>18502</v>
      </c>
      <c r="G1624" s="1" t="s">
        <v>8974</v>
      </c>
      <c r="H1624" t="s">
        <v>8959</v>
      </c>
      <c r="I1624" s="1" t="s">
        <v>9035</v>
      </c>
      <c r="J1624" s="1" t="s">
        <v>8998</v>
      </c>
      <c r="K1624" s="1" t="s">
        <v>20779</v>
      </c>
      <c r="L1624" s="1" t="s">
        <v>8987</v>
      </c>
      <c r="M1624" s="1">
        <v>280</v>
      </c>
      <c r="N1624" s="1" t="s">
        <v>8953</v>
      </c>
      <c r="O1624" s="1" t="s">
        <v>8989</v>
      </c>
      <c r="P1624" s="1" t="e">
        <v>#N/A</v>
      </c>
      <c r="Q1624" s="1" t="e">
        <v>#N/A</v>
      </c>
      <c r="R1624" s="1">
        <f t="shared" si="476"/>
        <v>10</v>
      </c>
      <c r="S1624" s="1" t="str">
        <f t="shared" si="477"/>
        <v>&gt;7</v>
      </c>
      <c r="T1624" s="1" t="s">
        <v>20632</v>
      </c>
      <c r="U1624" s="1" t="s">
        <v>17</v>
      </c>
      <c r="V1624" s="1" t="s">
        <v>831</v>
      </c>
      <c r="W1624" s="1"/>
    </row>
    <row r="1625" spans="1:23" x14ac:dyDescent="0.2">
      <c r="A1625" s="88" t="s">
        <v>16914</v>
      </c>
      <c r="B1625" s="1" t="e">
        <v>#N/A</v>
      </c>
      <c r="C1625" s="1" t="e">
        <v>#N/A</v>
      </c>
      <c r="D1625" s="1" t="s">
        <v>4389</v>
      </c>
      <c r="E1625" s="1" t="s">
        <v>4390</v>
      </c>
      <c r="F1625" s="1" t="s">
        <v>18502</v>
      </c>
      <c r="G1625" s="1" t="s">
        <v>8959</v>
      </c>
      <c r="H1625" t="s">
        <v>8959</v>
      </c>
      <c r="I1625" s="1" t="s">
        <v>9173</v>
      </c>
      <c r="J1625" s="1" t="s">
        <v>9174</v>
      </c>
      <c r="K1625" s="1" t="s">
        <v>21371</v>
      </c>
      <c r="L1625" s="1" t="s">
        <v>9292</v>
      </c>
      <c r="M1625" s="1">
        <v>10015</v>
      </c>
      <c r="N1625" s="1" t="s">
        <v>8953</v>
      </c>
      <c r="O1625" s="1" t="s">
        <v>8954</v>
      </c>
      <c r="P1625" s="1" t="e">
        <v>#N/A</v>
      </c>
      <c r="Q1625" s="1" t="e">
        <v>#N/A</v>
      </c>
      <c r="R1625" s="1">
        <f t="shared" si="476"/>
        <v>4</v>
      </c>
      <c r="S1625" s="1" t="str">
        <f t="shared" si="477"/>
        <v>&lt;4</v>
      </c>
      <c r="T1625" s="1" t="s">
        <v>19461</v>
      </c>
      <c r="U1625" s="1" t="s">
        <v>17</v>
      </c>
      <c r="V1625" s="1" t="s">
        <v>46</v>
      </c>
      <c r="W1625" s="1"/>
    </row>
    <row r="1626" spans="1:23" x14ac:dyDescent="0.2">
      <c r="A1626" s="88" t="s">
        <v>16915</v>
      </c>
      <c r="B1626" s="1" t="e">
        <v>#N/A</v>
      </c>
      <c r="C1626" s="1" t="e">
        <v>#N/A</v>
      </c>
      <c r="D1626" s="1" t="s">
        <v>4391</v>
      </c>
      <c r="E1626" s="1" t="s">
        <v>4392</v>
      </c>
      <c r="F1626" s="1" t="s">
        <v>9310</v>
      </c>
      <c r="G1626" s="1" t="s">
        <v>8957</v>
      </c>
      <c r="H1626" t="s">
        <v>8959</v>
      </c>
      <c r="I1626" s="1" t="s">
        <v>20712</v>
      </c>
      <c r="J1626" s="1" t="s">
        <v>9155</v>
      </c>
      <c r="K1626" s="1" t="s">
        <v>20779</v>
      </c>
      <c r="L1626" s="1" t="s">
        <v>8973</v>
      </c>
      <c r="M1626" s="1">
        <f>2000+150+600+400+201</f>
        <v>3351</v>
      </c>
      <c r="N1626" s="1" t="s">
        <v>8953</v>
      </c>
      <c r="O1626" s="1" t="s">
        <v>8954</v>
      </c>
      <c r="P1626" s="1" t="e">
        <v>#N/A</v>
      </c>
      <c r="Q1626" s="1" t="e">
        <v>#N/A</v>
      </c>
      <c r="R1626" s="1">
        <f t="shared" si="476"/>
        <v>6</v>
      </c>
      <c r="S1626" s="1" t="str">
        <f t="shared" si="477"/>
        <v>4-7</v>
      </c>
      <c r="T1626" s="1" t="s">
        <v>19462</v>
      </c>
      <c r="U1626" s="1" t="s">
        <v>7</v>
      </c>
      <c r="V1626" s="1" t="s">
        <v>2204</v>
      </c>
      <c r="W1626" s="1"/>
    </row>
    <row r="1627" spans="1:23" x14ac:dyDescent="0.2">
      <c r="A1627" s="88" t="s">
        <v>16916</v>
      </c>
      <c r="B1627" s="1" t="e">
        <v>#N/A</v>
      </c>
      <c r="C1627" s="1" t="s">
        <v>12137</v>
      </c>
      <c r="D1627" s="1" t="s">
        <v>4393</v>
      </c>
      <c r="E1627" s="1" t="s">
        <v>4394</v>
      </c>
      <c r="F1627" s="1" t="s">
        <v>9310</v>
      </c>
      <c r="G1627" s="1" t="s">
        <v>8957</v>
      </c>
      <c r="H1627" t="s">
        <v>9183</v>
      </c>
      <c r="I1627" s="1" t="s">
        <v>9100</v>
      </c>
      <c r="J1627" s="1" t="s">
        <v>9101</v>
      </c>
      <c r="K1627" s="1" t="s">
        <v>12140</v>
      </c>
      <c r="L1627" s="1" t="s">
        <v>8987</v>
      </c>
      <c r="M1627" s="1">
        <v>33</v>
      </c>
      <c r="N1627" s="1" t="s">
        <v>8953</v>
      </c>
      <c r="O1627" s="1" t="s">
        <v>8989</v>
      </c>
      <c r="P1627" s="1" t="s">
        <v>8955</v>
      </c>
      <c r="Q1627" s="1" t="s">
        <v>8956</v>
      </c>
      <c r="R1627" s="1" t="s">
        <v>8957</v>
      </c>
      <c r="S1627" s="1" t="s">
        <v>8958</v>
      </c>
      <c r="T1627" s="1" t="s">
        <v>4395</v>
      </c>
      <c r="U1627" s="1" t="s">
        <v>11</v>
      </c>
      <c r="V1627" s="1" t="s">
        <v>64</v>
      </c>
      <c r="W1627" s="1"/>
    </row>
    <row r="1628" spans="1:23" x14ac:dyDescent="0.2">
      <c r="A1628" s="88" t="s">
        <v>16917</v>
      </c>
      <c r="B1628" s="1" t="e">
        <v>#N/A</v>
      </c>
      <c r="C1628" s="1" t="s">
        <v>11071</v>
      </c>
      <c r="D1628" s="1" t="s">
        <v>4396</v>
      </c>
      <c r="E1628" s="1" t="s">
        <v>4397</v>
      </c>
      <c r="F1628" s="1" t="s">
        <v>9310</v>
      </c>
      <c r="G1628" s="1" t="s">
        <v>8959</v>
      </c>
      <c r="H1628" t="s">
        <v>9183</v>
      </c>
      <c r="I1628" s="1" t="s">
        <v>9092</v>
      </c>
      <c r="J1628" s="1" t="s">
        <v>9308</v>
      </c>
      <c r="K1628" s="1" t="s">
        <v>9658</v>
      </c>
      <c r="L1628" s="1" t="s">
        <v>9133</v>
      </c>
      <c r="M1628" s="1">
        <v>1875</v>
      </c>
      <c r="N1628" s="1" t="s">
        <v>8953</v>
      </c>
      <c r="O1628" s="1" t="s">
        <v>8989</v>
      </c>
      <c r="P1628" s="1" t="s">
        <v>8955</v>
      </c>
      <c r="Q1628" s="1" t="s">
        <v>8956</v>
      </c>
      <c r="R1628" s="1" t="s">
        <v>8959</v>
      </c>
      <c r="S1628" s="1" t="s">
        <v>8975</v>
      </c>
      <c r="T1628" s="1" t="s">
        <v>4398</v>
      </c>
      <c r="U1628" s="1" t="s">
        <v>17</v>
      </c>
      <c r="V1628" s="1" t="s">
        <v>147</v>
      </c>
      <c r="W1628" s="1"/>
    </row>
    <row r="1629" spans="1:23" x14ac:dyDescent="0.2">
      <c r="A1629" s="88" t="s">
        <v>16918</v>
      </c>
      <c r="B1629" s="1" t="e">
        <v>#N/A</v>
      </c>
      <c r="C1629" s="1" t="e">
        <v>#N/A</v>
      </c>
      <c r="D1629" s="1" t="s">
        <v>4399</v>
      </c>
      <c r="E1629" s="1" t="s">
        <v>4400</v>
      </c>
      <c r="F1629" s="1" t="s">
        <v>18502</v>
      </c>
      <c r="G1629" s="1" t="s">
        <v>8959</v>
      </c>
      <c r="H1629" t="s">
        <v>8959</v>
      </c>
      <c r="I1629" s="1" t="s">
        <v>8948</v>
      </c>
      <c r="J1629" s="1" t="s">
        <v>8998</v>
      </c>
      <c r="K1629" s="1" t="s">
        <v>20779</v>
      </c>
      <c r="L1629" s="1" t="s">
        <v>9076</v>
      </c>
      <c r="M1629" s="1">
        <v>118</v>
      </c>
      <c r="N1629" s="1" t="s">
        <v>9059</v>
      </c>
      <c r="O1629" s="1" t="s">
        <v>8989</v>
      </c>
      <c r="P1629" s="1" t="e">
        <v>#N/A</v>
      </c>
      <c r="Q1629" s="1" t="e">
        <v>#N/A</v>
      </c>
      <c r="R1629" s="1">
        <f t="shared" ref="R1629:R1633" si="478">1+LEN(T1629)-LEN(SUBSTITUTE(T1629,",",))</f>
        <v>5</v>
      </c>
      <c r="S1629" s="1" t="str">
        <f t="shared" ref="S1629:S1633" si="479">IF(R1629&gt;4,IF(R1629&lt;8,"4-7",IF(R1629&gt;7,"&gt;7")),"&lt;4")</f>
        <v>4-7</v>
      </c>
      <c r="T1629" s="1" t="s">
        <v>19463</v>
      </c>
      <c r="U1629" s="1" t="s">
        <v>17</v>
      </c>
      <c r="V1629" s="1" t="s">
        <v>61</v>
      </c>
      <c r="W1629" s="1"/>
    </row>
    <row r="1630" spans="1:23" x14ac:dyDescent="0.2">
      <c r="A1630" s="88" t="s">
        <v>16919</v>
      </c>
      <c r="B1630" s="1" t="e">
        <v>#N/A</v>
      </c>
      <c r="C1630" s="1" t="e">
        <v>#N/A</v>
      </c>
      <c r="D1630" s="1" t="s">
        <v>4401</v>
      </c>
      <c r="E1630" s="1" t="s">
        <v>4402</v>
      </c>
      <c r="F1630" s="1" t="s">
        <v>9310</v>
      </c>
      <c r="G1630" s="1" t="s">
        <v>8957</v>
      </c>
      <c r="H1630" t="s">
        <v>8959</v>
      </c>
      <c r="I1630" s="1" t="s">
        <v>8948</v>
      </c>
      <c r="J1630" s="1" t="s">
        <v>9155</v>
      </c>
      <c r="K1630" s="1" t="s">
        <v>10629</v>
      </c>
      <c r="L1630" s="1" t="s">
        <v>9076</v>
      </c>
      <c r="M1630" s="1">
        <f>4063+846</f>
        <v>4909</v>
      </c>
      <c r="N1630" s="1" t="s">
        <v>8953</v>
      </c>
      <c r="O1630" s="1" t="s">
        <v>8989</v>
      </c>
      <c r="P1630" s="1" t="e">
        <v>#N/A</v>
      </c>
      <c r="Q1630" s="1" t="e">
        <v>#N/A</v>
      </c>
      <c r="R1630" s="1">
        <f t="shared" si="478"/>
        <v>5</v>
      </c>
      <c r="S1630" s="1" t="str">
        <f t="shared" si="479"/>
        <v>4-7</v>
      </c>
      <c r="T1630" s="1" t="s">
        <v>19464</v>
      </c>
      <c r="U1630" s="1" t="s">
        <v>7</v>
      </c>
      <c r="V1630" s="1" t="s">
        <v>1343</v>
      </c>
      <c r="W1630" s="1"/>
    </row>
    <row r="1631" spans="1:23" x14ac:dyDescent="0.2">
      <c r="A1631" s="88" t="s">
        <v>16920</v>
      </c>
      <c r="B1631" s="1" t="e">
        <v>#N/A</v>
      </c>
      <c r="C1631" s="1" t="e">
        <v>#N/A</v>
      </c>
      <c r="D1631" s="1" t="s">
        <v>4403</v>
      </c>
      <c r="E1631" s="1" t="s">
        <v>4404</v>
      </c>
      <c r="F1631" s="1" t="s">
        <v>9310</v>
      </c>
      <c r="G1631" s="1" t="e">
        <v>#N/A</v>
      </c>
      <c r="H1631" t="s">
        <v>9183</v>
      </c>
      <c r="I1631" s="1" t="s">
        <v>9092</v>
      </c>
      <c r="J1631" s="1" t="s">
        <v>9308</v>
      </c>
      <c r="K1631" s="1" t="e">
        <v>#N/A</v>
      </c>
      <c r="L1631" s="1" t="s">
        <v>9133</v>
      </c>
      <c r="M1631" s="1" t="e">
        <v>#N/A</v>
      </c>
      <c r="N1631" s="1" t="e">
        <v>#N/A</v>
      </c>
      <c r="O1631" s="1" t="e">
        <v>#N/A</v>
      </c>
      <c r="P1631" s="1" t="e">
        <v>#N/A</v>
      </c>
      <c r="Q1631" s="1" t="e">
        <v>#N/A</v>
      </c>
      <c r="R1631" s="1">
        <f t="shared" si="478"/>
        <v>3</v>
      </c>
      <c r="S1631" s="1" t="str">
        <f t="shared" si="479"/>
        <v>&lt;4</v>
      </c>
      <c r="T1631" s="1" t="s">
        <v>19465</v>
      </c>
      <c r="U1631" s="1" t="s">
        <v>7</v>
      </c>
      <c r="V1631" s="1" t="s">
        <v>27</v>
      </c>
      <c r="W1631" s="1"/>
    </row>
    <row r="1632" spans="1:23" x14ac:dyDescent="0.2">
      <c r="A1632" s="94" t="s">
        <v>16921</v>
      </c>
      <c r="B1632" s="1" t="e">
        <v>#N/A</v>
      </c>
      <c r="C1632" s="1" t="e">
        <v>#N/A</v>
      </c>
      <c r="D1632" s="1" t="s">
        <v>4405</v>
      </c>
      <c r="E1632" s="1" t="s">
        <v>4406</v>
      </c>
      <c r="F1632" s="1" t="s">
        <v>18502</v>
      </c>
      <c r="G1632" s="1" t="s">
        <v>8957</v>
      </c>
      <c r="H1632" t="s">
        <v>8959</v>
      </c>
      <c r="I1632" s="1" t="s">
        <v>9605</v>
      </c>
      <c r="J1632" s="1" t="e">
        <v>#N/A</v>
      </c>
      <c r="K1632" s="1" t="s">
        <v>10525</v>
      </c>
      <c r="L1632" s="1" t="s">
        <v>8987</v>
      </c>
      <c r="M1632" s="1" t="e">
        <v>#N/A</v>
      </c>
      <c r="N1632" s="1" t="e">
        <v>#N/A</v>
      </c>
      <c r="O1632" s="1" t="e">
        <v>#N/A</v>
      </c>
      <c r="P1632" s="1" t="e">
        <v>#N/A</v>
      </c>
      <c r="Q1632" s="1" t="e">
        <v>#N/A</v>
      </c>
      <c r="R1632" s="1">
        <f t="shared" si="478"/>
        <v>6</v>
      </c>
      <c r="S1632" s="1" t="str">
        <f t="shared" si="479"/>
        <v>4-7</v>
      </c>
      <c r="T1632" s="1" t="s">
        <v>19466</v>
      </c>
      <c r="U1632" s="1" t="s">
        <v>17</v>
      </c>
      <c r="V1632" s="1" t="s">
        <v>24</v>
      </c>
      <c r="W1632" s="1"/>
    </row>
    <row r="1633" spans="1:23" x14ac:dyDescent="0.2">
      <c r="A1633" s="88" t="s">
        <v>16922</v>
      </c>
      <c r="B1633" s="1" t="e">
        <v>#N/A</v>
      </c>
      <c r="C1633" s="1" t="e">
        <v>#N/A</v>
      </c>
      <c r="D1633" s="1" t="s">
        <v>4407</v>
      </c>
      <c r="E1633" s="1" t="s">
        <v>4408</v>
      </c>
      <c r="F1633" s="1" t="s">
        <v>9310</v>
      </c>
      <c r="G1633" s="1" t="s">
        <v>8959</v>
      </c>
      <c r="H1633" t="s">
        <v>8959</v>
      </c>
      <c r="I1633" s="1" t="s">
        <v>9100</v>
      </c>
      <c r="J1633" s="1" t="s">
        <v>9155</v>
      </c>
      <c r="K1633" s="1" t="s">
        <v>20872</v>
      </c>
      <c r="L1633" s="1" t="s">
        <v>9133</v>
      </c>
      <c r="M1633" s="1">
        <v>103</v>
      </c>
      <c r="N1633" s="1" t="s">
        <v>9059</v>
      </c>
      <c r="O1633" s="1" t="s">
        <v>8954</v>
      </c>
      <c r="P1633" s="1" t="e">
        <v>#N/A</v>
      </c>
      <c r="Q1633" s="1" t="e">
        <v>#N/A</v>
      </c>
      <c r="R1633" s="1">
        <f t="shared" si="478"/>
        <v>3</v>
      </c>
      <c r="S1633" s="1" t="str">
        <f t="shared" si="479"/>
        <v>&lt;4</v>
      </c>
      <c r="T1633" s="1" t="s">
        <v>19467</v>
      </c>
      <c r="U1633" s="1" t="s">
        <v>17</v>
      </c>
      <c r="V1633" s="1" t="s">
        <v>5</v>
      </c>
      <c r="W1633" s="1"/>
    </row>
    <row r="1634" spans="1:23" x14ac:dyDescent="0.2">
      <c r="A1634" s="88" t="s">
        <v>16923</v>
      </c>
      <c r="B1634" s="1" t="e">
        <v>#N/A</v>
      </c>
      <c r="C1634" s="1" t="s">
        <v>12951</v>
      </c>
      <c r="D1634" s="1" t="s">
        <v>4409</v>
      </c>
      <c r="E1634" s="1" t="s">
        <v>4410</v>
      </c>
      <c r="F1634" s="1" t="s">
        <v>9310</v>
      </c>
      <c r="G1634" s="1" t="s">
        <v>8957</v>
      </c>
      <c r="H1634" t="s">
        <v>8959</v>
      </c>
      <c r="I1634" s="1" t="s">
        <v>9173</v>
      </c>
      <c r="J1634" s="1" t="s">
        <v>9174</v>
      </c>
      <c r="K1634" s="1" t="s">
        <v>9036</v>
      </c>
      <c r="L1634" s="1" t="s">
        <v>8951</v>
      </c>
      <c r="M1634" s="1">
        <v>2000</v>
      </c>
      <c r="N1634" s="1" t="s">
        <v>8953</v>
      </c>
      <c r="O1634" s="1" t="s">
        <v>8989</v>
      </c>
      <c r="P1634" s="1" t="s">
        <v>8955</v>
      </c>
      <c r="Q1634" s="1" t="s">
        <v>8956</v>
      </c>
      <c r="R1634" s="1" t="s">
        <v>8957</v>
      </c>
      <c r="S1634" s="1" t="s">
        <v>9103</v>
      </c>
      <c r="T1634" s="1" t="s">
        <v>4411</v>
      </c>
      <c r="U1634" s="1" t="s">
        <v>11</v>
      </c>
      <c r="V1634" s="1" t="s">
        <v>210</v>
      </c>
      <c r="W1634" s="1"/>
    </row>
    <row r="1635" spans="1:23" x14ac:dyDescent="0.2">
      <c r="A1635" s="88" t="s">
        <v>16924</v>
      </c>
      <c r="B1635" s="1" t="e">
        <v>#N/A</v>
      </c>
      <c r="C1635" s="1" t="e">
        <v>#N/A</v>
      </c>
      <c r="D1635" s="1" t="s">
        <v>4412</v>
      </c>
      <c r="E1635" s="1" t="s">
        <v>4413</v>
      </c>
      <c r="F1635" s="1" t="s">
        <v>9310</v>
      </c>
      <c r="G1635" s="1" t="s">
        <v>8957</v>
      </c>
      <c r="H1635" t="s">
        <v>8959</v>
      </c>
      <c r="I1635" s="1" t="s">
        <v>9035</v>
      </c>
      <c r="J1635" s="1" t="s">
        <v>8998</v>
      </c>
      <c r="K1635" s="1" t="s">
        <v>18497</v>
      </c>
      <c r="L1635" s="1" t="s">
        <v>8987</v>
      </c>
      <c r="M1635" s="1">
        <v>2675</v>
      </c>
      <c r="N1635" s="1" t="s">
        <v>8953</v>
      </c>
      <c r="O1635" s="1" t="s">
        <v>8954</v>
      </c>
      <c r="P1635" s="1" t="e">
        <v>#N/A</v>
      </c>
      <c r="Q1635" s="1" t="e">
        <v>#N/A</v>
      </c>
      <c r="R1635" s="1">
        <f>1+LEN(T1635)-LEN(SUBSTITUTE(T1635,",",))</f>
        <v>13</v>
      </c>
      <c r="S1635" s="1" t="str">
        <f>IF(R1635&gt;4,IF(R1635&lt;8,"4-7",IF(R1635&gt;7,"&gt;7")),"&lt;4")</f>
        <v>&gt;7</v>
      </c>
      <c r="T1635" s="1" t="s">
        <v>19468</v>
      </c>
      <c r="U1635" s="1" t="s">
        <v>7</v>
      </c>
      <c r="V1635" s="1" t="s">
        <v>27</v>
      </c>
      <c r="W1635" s="1"/>
    </row>
    <row r="1636" spans="1:23" x14ac:dyDescent="0.2">
      <c r="A1636" s="88" t="s">
        <v>16925</v>
      </c>
      <c r="B1636" s="1" t="e">
        <v>#N/A</v>
      </c>
      <c r="C1636" s="1" t="s">
        <v>9266</v>
      </c>
      <c r="D1636" s="1" t="s">
        <v>4414</v>
      </c>
      <c r="E1636" s="1" t="s">
        <v>4415</v>
      </c>
      <c r="F1636" s="1" t="s">
        <v>9310</v>
      </c>
      <c r="G1636" s="1" t="s">
        <v>8957</v>
      </c>
      <c r="H1636" t="s">
        <v>8959</v>
      </c>
      <c r="I1636" s="1" t="s">
        <v>9252</v>
      </c>
      <c r="J1636" s="1" t="s">
        <v>9269</v>
      </c>
      <c r="K1636" s="1" t="s">
        <v>9270</v>
      </c>
      <c r="L1636" s="1" t="s">
        <v>8987</v>
      </c>
      <c r="M1636" s="1">
        <v>478</v>
      </c>
      <c r="N1636" s="1" t="s">
        <v>8953</v>
      </c>
      <c r="O1636" s="1" t="s">
        <v>8954</v>
      </c>
      <c r="P1636" s="1" t="s">
        <v>8955</v>
      </c>
      <c r="Q1636" s="1" t="s">
        <v>8956</v>
      </c>
      <c r="R1636" s="1" t="s">
        <v>8957</v>
      </c>
      <c r="S1636" s="1" t="s">
        <v>8958</v>
      </c>
      <c r="T1636" s="1" t="s">
        <v>4416</v>
      </c>
      <c r="U1636" s="1" t="s">
        <v>17</v>
      </c>
      <c r="V1636" s="1" t="s">
        <v>15</v>
      </c>
      <c r="W1636" s="1"/>
    </row>
    <row r="1637" spans="1:23" x14ac:dyDescent="0.2">
      <c r="A1637" s="88" t="s">
        <v>16926</v>
      </c>
      <c r="B1637" s="1" t="e">
        <v>#N/A</v>
      </c>
      <c r="C1637" s="1" t="s">
        <v>12125</v>
      </c>
      <c r="D1637" s="1" t="s">
        <v>4417</v>
      </c>
      <c r="E1637" s="1" t="s">
        <v>4418</v>
      </c>
      <c r="F1637" s="1" t="s">
        <v>10166</v>
      </c>
      <c r="G1637" s="1" t="s">
        <v>8957</v>
      </c>
      <c r="H1637" t="s">
        <v>8959</v>
      </c>
      <c r="I1637" s="1" t="s">
        <v>9605</v>
      </c>
      <c r="J1637" s="1" t="s">
        <v>9101</v>
      </c>
      <c r="K1637" s="1" t="s">
        <v>9051</v>
      </c>
      <c r="L1637" s="1" t="s">
        <v>9076</v>
      </c>
      <c r="M1637" s="1">
        <v>12000</v>
      </c>
      <c r="N1637" s="1" t="s">
        <v>8953</v>
      </c>
      <c r="O1637" s="1" t="s">
        <v>8954</v>
      </c>
      <c r="P1637" s="1" t="s">
        <v>8955</v>
      </c>
      <c r="Q1637" s="1" t="s">
        <v>8956</v>
      </c>
      <c r="R1637" s="1" t="s">
        <v>8957</v>
      </c>
      <c r="S1637" s="1" t="s">
        <v>8975</v>
      </c>
      <c r="T1637" s="1" t="s">
        <v>4419</v>
      </c>
      <c r="U1637" s="1" t="s">
        <v>11</v>
      </c>
      <c r="V1637" s="1" t="s">
        <v>493</v>
      </c>
      <c r="W1637" s="1"/>
    </row>
    <row r="1638" spans="1:23" x14ac:dyDescent="0.2">
      <c r="A1638" s="89" t="s">
        <v>4420</v>
      </c>
      <c r="B1638" s="1" t="e">
        <v>#N/A</v>
      </c>
      <c r="C1638" s="1" t="e">
        <v>#N/A</v>
      </c>
      <c r="D1638" s="1" t="s">
        <v>4421</v>
      </c>
      <c r="E1638" s="1" t="s">
        <v>4422</v>
      </c>
      <c r="F1638" s="1" t="e">
        <v>#N/A</v>
      </c>
      <c r="G1638" s="1" t="e">
        <v>#N/A</v>
      </c>
      <c r="H1638" t="e">
        <v>#N/A</v>
      </c>
      <c r="I1638" s="1" t="e">
        <v>#N/A</v>
      </c>
      <c r="J1638" s="1" t="e">
        <v>#N/A</v>
      </c>
      <c r="K1638" s="1" t="e">
        <v>#N/A</v>
      </c>
      <c r="L1638" s="1" t="e">
        <v>#N/A</v>
      </c>
      <c r="M1638" s="1" t="e">
        <v>#N/A</v>
      </c>
      <c r="N1638" s="1" t="e">
        <v>#N/A</v>
      </c>
      <c r="O1638" s="1" t="e">
        <v>#N/A</v>
      </c>
      <c r="P1638" s="1" t="e">
        <v>#N/A</v>
      </c>
      <c r="Q1638" s="1" t="e">
        <v>#N/A</v>
      </c>
      <c r="R1638" s="1">
        <f t="shared" ref="R1638:R1640" si="480">1+LEN(T1638)-LEN(SUBSTITUTE(T1638,",",))</f>
        <v>5</v>
      </c>
      <c r="S1638" s="1" t="str">
        <f t="shared" ref="S1638:S1640" si="481">IF(R1638&gt;4,IF(R1638&lt;8,"4-7",IF(R1638&gt;7,"&gt;7")),"&lt;4")</f>
        <v>4-7</v>
      </c>
      <c r="T1638" s="1" t="s">
        <v>19469</v>
      </c>
      <c r="U1638" s="1" t="s">
        <v>7</v>
      </c>
      <c r="V1638" s="1" t="s">
        <v>4423</v>
      </c>
      <c r="W1638" s="1"/>
    </row>
    <row r="1639" spans="1:23" x14ac:dyDescent="0.2">
      <c r="A1639" s="88" t="s">
        <v>16927</v>
      </c>
      <c r="B1639" s="1" t="e">
        <v>#N/A</v>
      </c>
      <c r="C1639" s="1" t="e">
        <v>#N/A</v>
      </c>
      <c r="D1639" s="1" t="s">
        <v>4424</v>
      </c>
      <c r="E1639" s="1" t="s">
        <v>4425</v>
      </c>
      <c r="F1639" s="1" t="s">
        <v>18502</v>
      </c>
      <c r="G1639" s="1" t="s">
        <v>8957</v>
      </c>
      <c r="H1639" t="s">
        <v>8959</v>
      </c>
      <c r="I1639" s="1" t="s">
        <v>8948</v>
      </c>
      <c r="J1639" s="1" t="s">
        <v>8949</v>
      </c>
      <c r="K1639" s="1" t="s">
        <v>20779</v>
      </c>
      <c r="L1639" s="1" t="s">
        <v>8987</v>
      </c>
      <c r="M1639" s="1">
        <v>3921</v>
      </c>
      <c r="N1639" s="1" t="s">
        <v>8953</v>
      </c>
      <c r="O1639" s="1" t="s">
        <v>8954</v>
      </c>
      <c r="P1639" s="1" t="e">
        <v>#N/A</v>
      </c>
      <c r="Q1639" s="1" t="e">
        <v>#N/A</v>
      </c>
      <c r="R1639" s="1">
        <f t="shared" si="480"/>
        <v>6</v>
      </c>
      <c r="S1639" s="1" t="str">
        <f t="shared" si="481"/>
        <v>4-7</v>
      </c>
      <c r="T1639" s="1" t="s">
        <v>20633</v>
      </c>
      <c r="U1639" s="1" t="s">
        <v>7</v>
      </c>
      <c r="V1639" s="1" t="s">
        <v>4426</v>
      </c>
      <c r="W1639" s="1"/>
    </row>
    <row r="1640" spans="1:23" x14ac:dyDescent="0.2">
      <c r="A1640" s="94" t="s">
        <v>16928</v>
      </c>
      <c r="B1640" s="1" t="e">
        <v>#N/A</v>
      </c>
      <c r="C1640" s="1" t="e">
        <v>#N/A</v>
      </c>
      <c r="D1640" s="1" t="s">
        <v>4427</v>
      </c>
      <c r="E1640" s="1" t="s">
        <v>4428</v>
      </c>
      <c r="F1640" s="1" t="s">
        <v>9310</v>
      </c>
      <c r="G1640" s="1" t="e">
        <v>#N/A</v>
      </c>
      <c r="H1640" t="s">
        <v>8959</v>
      </c>
      <c r="I1640" s="1" t="s">
        <v>9605</v>
      </c>
      <c r="J1640" s="1" t="e">
        <v>#N/A</v>
      </c>
      <c r="K1640" s="1" t="e">
        <v>#N/A</v>
      </c>
      <c r="L1640" s="1" t="s">
        <v>9133</v>
      </c>
      <c r="M1640" s="1" t="e">
        <v>#N/A</v>
      </c>
      <c r="N1640" s="1" t="e">
        <v>#N/A</v>
      </c>
      <c r="O1640" s="1" t="e">
        <v>#N/A</v>
      </c>
      <c r="P1640" s="1" t="e">
        <v>#N/A</v>
      </c>
      <c r="Q1640" s="1" t="e">
        <v>#N/A</v>
      </c>
      <c r="R1640" s="1">
        <f t="shared" si="480"/>
        <v>7</v>
      </c>
      <c r="S1640" s="1" t="str">
        <f t="shared" si="481"/>
        <v>4-7</v>
      </c>
      <c r="T1640" s="1" t="s">
        <v>19470</v>
      </c>
      <c r="U1640" s="1" t="s">
        <v>17</v>
      </c>
      <c r="V1640" s="1" t="s">
        <v>1833</v>
      </c>
      <c r="W1640" s="1"/>
    </row>
    <row r="1641" spans="1:23" x14ac:dyDescent="0.2">
      <c r="A1641" s="88" t="s">
        <v>16929</v>
      </c>
      <c r="B1641" s="1" t="e">
        <v>#N/A</v>
      </c>
      <c r="C1641" s="1" t="s">
        <v>12966</v>
      </c>
      <c r="D1641" s="1" t="s">
        <v>4429</v>
      </c>
      <c r="E1641" s="1" t="s">
        <v>4430</v>
      </c>
      <c r="F1641" s="1" t="s">
        <v>9010</v>
      </c>
      <c r="G1641" s="1" t="s">
        <v>8957</v>
      </c>
      <c r="H1641" t="s">
        <v>8959</v>
      </c>
      <c r="I1641" s="1" t="s">
        <v>9100</v>
      </c>
      <c r="J1641" s="1" t="s">
        <v>9121</v>
      </c>
      <c r="K1641" s="1" t="s">
        <v>9036</v>
      </c>
      <c r="L1641" s="1" t="s">
        <v>9292</v>
      </c>
      <c r="M1641" s="1">
        <v>58000</v>
      </c>
      <c r="N1641" s="1" t="s">
        <v>8953</v>
      </c>
      <c r="O1641" s="1" t="s">
        <v>8954</v>
      </c>
      <c r="P1641" s="1" t="s">
        <v>8955</v>
      </c>
      <c r="Q1641" s="1" t="s">
        <v>8956</v>
      </c>
      <c r="R1641" s="1" t="s">
        <v>8957</v>
      </c>
      <c r="S1641" s="1" t="s">
        <v>8958</v>
      </c>
      <c r="T1641" s="1" t="s">
        <v>4431</v>
      </c>
      <c r="U1641" s="1" t="s">
        <v>11</v>
      </c>
      <c r="V1641" s="1" t="s">
        <v>467</v>
      </c>
      <c r="W1641" s="1"/>
    </row>
    <row r="1642" spans="1:23" x14ac:dyDescent="0.2">
      <c r="A1642" s="88" t="s">
        <v>16930</v>
      </c>
      <c r="B1642" s="1" t="e">
        <v>#N/A</v>
      </c>
      <c r="C1642" s="1" t="e">
        <v>#N/A</v>
      </c>
      <c r="D1642" s="1" t="s">
        <v>4432</v>
      </c>
      <c r="E1642" s="1" t="s">
        <v>4433</v>
      </c>
      <c r="F1642" s="1" t="s">
        <v>9310</v>
      </c>
      <c r="G1642" s="1" t="s">
        <v>8957</v>
      </c>
      <c r="H1642" t="s">
        <v>8959</v>
      </c>
      <c r="I1642" s="1" t="s">
        <v>20712</v>
      </c>
      <c r="J1642" s="1" t="s">
        <v>8998</v>
      </c>
      <c r="K1642" s="1" t="s">
        <v>10629</v>
      </c>
      <c r="L1642" s="1" t="s">
        <v>9076</v>
      </c>
      <c r="M1642" s="1">
        <f>2412</f>
        <v>2412</v>
      </c>
      <c r="N1642" s="1" t="s">
        <v>8953</v>
      </c>
      <c r="O1642" s="1" t="s">
        <v>8989</v>
      </c>
      <c r="P1642" s="1" t="e">
        <v>#N/A</v>
      </c>
      <c r="Q1642" s="1" t="e">
        <v>#N/A</v>
      </c>
      <c r="R1642" s="1">
        <f t="shared" ref="R1642:R1643" si="482">1+LEN(T1642)-LEN(SUBSTITUTE(T1642,",",))</f>
        <v>8</v>
      </c>
      <c r="S1642" s="1" t="str">
        <f t="shared" ref="S1642:S1643" si="483">IF(R1642&gt;4,IF(R1642&lt;8,"4-7",IF(R1642&gt;7,"&gt;7")),"&lt;4")</f>
        <v>&gt;7</v>
      </c>
      <c r="T1642" s="1" t="s">
        <v>19471</v>
      </c>
      <c r="U1642" s="1" t="s">
        <v>17</v>
      </c>
      <c r="V1642" s="1" t="s">
        <v>210</v>
      </c>
      <c r="W1642" s="1"/>
    </row>
    <row r="1643" spans="1:23" x14ac:dyDescent="0.2">
      <c r="A1643" s="88" t="s">
        <v>16931</v>
      </c>
      <c r="B1643" s="1" t="e">
        <v>#N/A</v>
      </c>
      <c r="C1643" s="1" t="e">
        <v>#N/A</v>
      </c>
      <c r="D1643" s="1" t="s">
        <v>4434</v>
      </c>
      <c r="E1643" s="1" t="s">
        <v>4435</v>
      </c>
      <c r="F1643" s="1" t="s">
        <v>9310</v>
      </c>
      <c r="G1643" s="1" t="s">
        <v>8957</v>
      </c>
      <c r="H1643" t="s">
        <v>8959</v>
      </c>
      <c r="I1643" s="1" t="s">
        <v>20714</v>
      </c>
      <c r="J1643" s="1" t="s">
        <v>8959</v>
      </c>
      <c r="K1643" s="1" t="s">
        <v>21278</v>
      </c>
      <c r="L1643" s="1" t="s">
        <v>9133</v>
      </c>
      <c r="M1643" s="1">
        <v>40562</v>
      </c>
      <c r="N1643" s="1" t="s">
        <v>8953</v>
      </c>
      <c r="O1643" s="1" t="s">
        <v>8954</v>
      </c>
      <c r="P1643" s="1" t="e">
        <v>#N/A</v>
      </c>
      <c r="Q1643" s="1" t="e">
        <v>#N/A</v>
      </c>
      <c r="R1643" s="1">
        <f t="shared" si="482"/>
        <v>15</v>
      </c>
      <c r="S1643" s="1" t="str">
        <f t="shared" si="483"/>
        <v>&gt;7</v>
      </c>
      <c r="T1643" s="1" t="s">
        <v>19472</v>
      </c>
      <c r="U1643" s="1" t="s">
        <v>7</v>
      </c>
      <c r="V1643" s="1" t="s">
        <v>2819</v>
      </c>
      <c r="W1643" s="1"/>
    </row>
    <row r="1644" spans="1:23" x14ac:dyDescent="0.2">
      <c r="A1644" s="88" t="s">
        <v>16932</v>
      </c>
      <c r="B1644" s="1" t="e">
        <v>#N/A</v>
      </c>
      <c r="C1644" s="1" t="s">
        <v>12836</v>
      </c>
      <c r="D1644" s="1" t="s">
        <v>4436</v>
      </c>
      <c r="E1644" s="1" t="s">
        <v>4437</v>
      </c>
      <c r="F1644" s="1" t="s">
        <v>9310</v>
      </c>
      <c r="G1644" s="1" t="s">
        <v>8974</v>
      </c>
      <c r="H1644" t="s">
        <v>9009</v>
      </c>
      <c r="I1644" s="1" t="s">
        <v>9049</v>
      </c>
      <c r="J1644" s="1" t="s">
        <v>9050</v>
      </c>
      <c r="K1644" s="1" t="s">
        <v>9036</v>
      </c>
      <c r="L1644" s="1" t="s">
        <v>8951</v>
      </c>
      <c r="M1644" s="1" t="s">
        <v>18496</v>
      </c>
      <c r="N1644" s="1" t="s">
        <v>8953</v>
      </c>
      <c r="O1644" s="1" t="s">
        <v>8989</v>
      </c>
      <c r="P1644" s="1" t="s">
        <v>8955</v>
      </c>
      <c r="Q1644" s="1" t="s">
        <v>8956</v>
      </c>
      <c r="R1644" s="1" t="s">
        <v>8974</v>
      </c>
      <c r="S1644" s="1" t="s">
        <v>8958</v>
      </c>
      <c r="T1644" s="1" t="s">
        <v>4438</v>
      </c>
      <c r="U1644" s="1" t="s">
        <v>11</v>
      </c>
      <c r="V1644" s="1" t="s">
        <v>447</v>
      </c>
      <c r="W1644" s="1"/>
    </row>
    <row r="1645" spans="1:23" x14ac:dyDescent="0.2">
      <c r="A1645" s="88" t="s">
        <v>16933</v>
      </c>
      <c r="B1645" s="1" t="e">
        <v>#N/A</v>
      </c>
      <c r="C1645" s="1" t="e">
        <v>#N/A</v>
      </c>
      <c r="D1645" s="1" t="s">
        <v>4439</v>
      </c>
      <c r="E1645" s="1" t="s">
        <v>4440</v>
      </c>
      <c r="F1645" s="1" t="e">
        <v>#N/A</v>
      </c>
      <c r="G1645" s="1" t="e">
        <v>#N/A</v>
      </c>
      <c r="H1645" t="e">
        <v>#N/A</v>
      </c>
      <c r="I1645" s="1" t="e">
        <v>#N/A</v>
      </c>
      <c r="J1645" s="1" t="e">
        <v>#N/A</v>
      </c>
      <c r="K1645" s="1" t="e">
        <v>#N/A</v>
      </c>
      <c r="L1645" s="1" t="e">
        <v>#N/A</v>
      </c>
      <c r="M1645" s="1" t="e">
        <v>#N/A</v>
      </c>
      <c r="N1645" s="1" t="e">
        <v>#N/A</v>
      </c>
      <c r="O1645" s="1" t="e">
        <v>#N/A</v>
      </c>
      <c r="P1645" s="1" t="e">
        <v>#N/A</v>
      </c>
      <c r="Q1645" s="1" t="e">
        <v>#N/A</v>
      </c>
      <c r="R1645" s="1">
        <f>1+LEN(T1645)-LEN(SUBSTITUTE(T1645,",",))</f>
        <v>8</v>
      </c>
      <c r="S1645" s="1" t="str">
        <f>IF(R1645&gt;4,IF(R1645&lt;8,"4-7",IF(R1645&gt;7,"&gt;7")),"&lt;4")</f>
        <v>&gt;7</v>
      </c>
      <c r="T1645" s="1" t="s">
        <v>19473</v>
      </c>
      <c r="U1645" s="1" t="s">
        <v>252</v>
      </c>
      <c r="V1645" s="1" t="s">
        <v>200</v>
      </c>
      <c r="W1645" s="1"/>
    </row>
    <row r="1646" spans="1:23" x14ac:dyDescent="0.2">
      <c r="A1646" s="88" t="s">
        <v>16934</v>
      </c>
      <c r="B1646" s="1" t="e">
        <v>#N/A</v>
      </c>
      <c r="C1646" s="1" t="s">
        <v>11427</v>
      </c>
      <c r="D1646" s="1" t="s">
        <v>4441</v>
      </c>
      <c r="E1646" s="1" t="s">
        <v>4442</v>
      </c>
      <c r="F1646" s="1" t="s">
        <v>9310</v>
      </c>
      <c r="G1646" s="1" t="s">
        <v>8957</v>
      </c>
      <c r="H1646" t="s">
        <v>9183</v>
      </c>
      <c r="I1646" s="1" t="s">
        <v>9049</v>
      </c>
      <c r="J1646" s="1" t="s">
        <v>9050</v>
      </c>
      <c r="K1646" s="1" t="s">
        <v>9036</v>
      </c>
      <c r="L1646" s="1" t="s">
        <v>8951</v>
      </c>
      <c r="M1646" s="1">
        <v>71043</v>
      </c>
      <c r="N1646" s="1" t="s">
        <v>8953</v>
      </c>
      <c r="O1646" s="1" t="s">
        <v>8989</v>
      </c>
      <c r="P1646" s="1" t="s">
        <v>8955</v>
      </c>
      <c r="Q1646" s="1" t="s">
        <v>8956</v>
      </c>
      <c r="R1646" s="1" t="s">
        <v>8957</v>
      </c>
      <c r="S1646" s="1" t="s">
        <v>8975</v>
      </c>
      <c r="T1646" s="1" t="s">
        <v>4443</v>
      </c>
      <c r="U1646" s="1" t="s">
        <v>11</v>
      </c>
      <c r="V1646" s="1" t="s">
        <v>4444</v>
      </c>
      <c r="W1646" s="1"/>
    </row>
    <row r="1647" spans="1:23" x14ac:dyDescent="0.2">
      <c r="A1647" s="88" t="s">
        <v>16935</v>
      </c>
      <c r="B1647" s="1" t="e">
        <v>#N/A</v>
      </c>
      <c r="C1647" s="1" t="e">
        <v>#N/A</v>
      </c>
      <c r="D1647" s="1" t="s">
        <v>4445</v>
      </c>
      <c r="E1647" s="1" t="s">
        <v>4446</v>
      </c>
      <c r="F1647" s="1" t="s">
        <v>9333</v>
      </c>
      <c r="G1647" s="1" t="s">
        <v>8957</v>
      </c>
      <c r="H1647" t="s">
        <v>8959</v>
      </c>
      <c r="I1647" s="1" t="s">
        <v>8984</v>
      </c>
      <c r="J1647" s="1" t="s">
        <v>9308</v>
      </c>
      <c r="K1647" s="1" t="s">
        <v>21199</v>
      </c>
      <c r="L1647" s="1" t="s">
        <v>8987</v>
      </c>
      <c r="M1647" s="1">
        <v>815</v>
      </c>
      <c r="N1647" s="1" t="s">
        <v>8953</v>
      </c>
      <c r="O1647" s="1" t="s">
        <v>8989</v>
      </c>
      <c r="P1647" s="1" t="e">
        <v>#N/A</v>
      </c>
      <c r="Q1647" s="1" t="e">
        <v>#N/A</v>
      </c>
      <c r="R1647" s="1">
        <f>1+LEN(T1647)-LEN(SUBSTITUTE(T1647,",",))</f>
        <v>4</v>
      </c>
      <c r="S1647" s="1" t="str">
        <f>IF(R1647&gt;4,IF(R1647&lt;8,"4-7",IF(R1647&gt;7,"&gt;7")),"&lt;4")</f>
        <v>&lt;4</v>
      </c>
      <c r="T1647" s="1" t="s">
        <v>19474</v>
      </c>
      <c r="U1647" s="1" t="s">
        <v>7</v>
      </c>
      <c r="V1647" s="1" t="s">
        <v>5</v>
      </c>
      <c r="W1647" s="1"/>
    </row>
    <row r="1648" spans="1:23" x14ac:dyDescent="0.2">
      <c r="A1648" s="88" t="s">
        <v>16936</v>
      </c>
      <c r="B1648" s="1" t="e">
        <v>#N/A</v>
      </c>
      <c r="C1648" s="1" t="s">
        <v>13738</v>
      </c>
      <c r="D1648" s="1" t="s">
        <v>4447</v>
      </c>
      <c r="E1648" s="1" t="s">
        <v>4448</v>
      </c>
      <c r="F1648" s="1" t="s">
        <v>9310</v>
      </c>
      <c r="G1648" s="1" t="s">
        <v>8957</v>
      </c>
      <c r="H1648" t="s">
        <v>8959</v>
      </c>
      <c r="I1648" s="1" t="s">
        <v>9100</v>
      </c>
      <c r="J1648" s="1" t="s">
        <v>8949</v>
      </c>
      <c r="K1648" s="1" t="s">
        <v>9036</v>
      </c>
      <c r="L1648" s="1" t="s">
        <v>8951</v>
      </c>
      <c r="M1648" s="1">
        <v>151</v>
      </c>
      <c r="N1648" s="1" t="s">
        <v>8953</v>
      </c>
      <c r="O1648" s="1" t="s">
        <v>8989</v>
      </c>
      <c r="P1648" s="1" t="s">
        <v>8955</v>
      </c>
      <c r="Q1648" s="1" t="s">
        <v>8956</v>
      </c>
      <c r="R1648" s="1" t="s">
        <v>8957</v>
      </c>
      <c r="S1648" s="1" t="s">
        <v>8958</v>
      </c>
      <c r="T1648" s="1" t="s">
        <v>4449</v>
      </c>
      <c r="U1648" s="1" t="s">
        <v>4</v>
      </c>
      <c r="V1648" s="1" t="s">
        <v>24</v>
      </c>
      <c r="W1648" s="1"/>
    </row>
    <row r="1649" spans="1:23" x14ac:dyDescent="0.2">
      <c r="A1649" s="88" t="s">
        <v>16937</v>
      </c>
      <c r="B1649" s="1" t="e">
        <v>#N/A</v>
      </c>
      <c r="C1649" s="1" t="e">
        <v>#N/A</v>
      </c>
      <c r="D1649" s="1" t="s">
        <v>4450</v>
      </c>
      <c r="E1649" s="1" t="s">
        <v>4451</v>
      </c>
      <c r="F1649" s="1" t="s">
        <v>9310</v>
      </c>
      <c r="G1649" s="1" t="s">
        <v>8957</v>
      </c>
      <c r="H1649" t="s">
        <v>8959</v>
      </c>
      <c r="I1649" s="1" t="s">
        <v>9035</v>
      </c>
      <c r="J1649" s="1" t="s">
        <v>8998</v>
      </c>
      <c r="K1649" s="1" t="s">
        <v>21350</v>
      </c>
      <c r="L1649" s="1" t="s">
        <v>8973</v>
      </c>
      <c r="M1649" s="1">
        <v>513</v>
      </c>
      <c r="N1649" s="1" t="s">
        <v>8953</v>
      </c>
      <c r="O1649" s="1" t="s">
        <v>8989</v>
      </c>
      <c r="P1649" s="1" t="e">
        <v>#N/A</v>
      </c>
      <c r="Q1649" s="1" t="e">
        <v>#N/A</v>
      </c>
      <c r="R1649" s="1">
        <f>1+LEN(T1649)-LEN(SUBSTITUTE(T1649,",",))</f>
        <v>13</v>
      </c>
      <c r="S1649" s="1" t="str">
        <f>IF(R1649&gt;4,IF(R1649&lt;8,"4-7",IF(R1649&gt;7,"&gt;7")),"&lt;4")</f>
        <v>&gt;7</v>
      </c>
      <c r="T1649" s="1" t="s">
        <v>19475</v>
      </c>
      <c r="U1649" s="1" t="s">
        <v>7</v>
      </c>
      <c r="V1649" s="1" t="s">
        <v>147</v>
      </c>
      <c r="W1649" s="1"/>
    </row>
    <row r="1650" spans="1:23" x14ac:dyDescent="0.2">
      <c r="A1650" s="88" t="s">
        <v>16938</v>
      </c>
      <c r="B1650" s="1" t="e">
        <v>#N/A</v>
      </c>
      <c r="C1650" s="1" t="s">
        <v>12826</v>
      </c>
      <c r="D1650" s="1" t="s">
        <v>4452</v>
      </c>
      <c r="E1650" s="1" t="s">
        <v>4453</v>
      </c>
      <c r="F1650" s="1" t="s">
        <v>9010</v>
      </c>
      <c r="G1650" s="1" t="s">
        <v>8957</v>
      </c>
      <c r="H1650" t="s">
        <v>9061</v>
      </c>
      <c r="I1650" s="1" t="s">
        <v>8948</v>
      </c>
      <c r="J1650" s="1" t="s">
        <v>8949</v>
      </c>
      <c r="K1650" s="1" t="s">
        <v>9436</v>
      </c>
      <c r="L1650" s="1" t="s">
        <v>8973</v>
      </c>
      <c r="M1650" s="1">
        <v>20</v>
      </c>
      <c r="N1650" s="1" t="s">
        <v>9059</v>
      </c>
      <c r="O1650" s="1" t="s">
        <v>8989</v>
      </c>
      <c r="P1650" s="1" t="s">
        <v>8955</v>
      </c>
      <c r="Q1650" s="1" t="s">
        <v>8956</v>
      </c>
      <c r="R1650" s="1" t="s">
        <v>8957</v>
      </c>
      <c r="S1650" s="1" t="s">
        <v>8958</v>
      </c>
      <c r="T1650" s="1" t="s">
        <v>4454</v>
      </c>
      <c r="U1650" s="1" t="s">
        <v>11</v>
      </c>
      <c r="V1650" s="1" t="s">
        <v>126</v>
      </c>
      <c r="W1650" s="1"/>
    </row>
    <row r="1651" spans="1:23" x14ac:dyDescent="0.2">
      <c r="A1651" s="88" t="s">
        <v>16939</v>
      </c>
      <c r="B1651" s="1" t="e">
        <v>#N/A</v>
      </c>
      <c r="C1651" s="1" t="s">
        <v>10400</v>
      </c>
      <c r="D1651" s="1" t="s">
        <v>4455</v>
      </c>
      <c r="E1651" s="1" t="s">
        <v>4456</v>
      </c>
      <c r="F1651" s="1" t="s">
        <v>9310</v>
      </c>
      <c r="G1651" s="1" t="s">
        <v>8957</v>
      </c>
      <c r="H1651" t="s">
        <v>8959</v>
      </c>
      <c r="I1651" s="1" t="s">
        <v>9252</v>
      </c>
      <c r="J1651" s="1" t="s">
        <v>9253</v>
      </c>
      <c r="K1651" s="1" t="s">
        <v>10403</v>
      </c>
      <c r="L1651" s="1" t="s">
        <v>8987</v>
      </c>
      <c r="M1651" s="1">
        <v>212</v>
      </c>
      <c r="N1651" s="1" t="s">
        <v>8953</v>
      </c>
      <c r="O1651" s="1" t="s">
        <v>8989</v>
      </c>
      <c r="P1651" s="1" t="s">
        <v>8955</v>
      </c>
      <c r="Q1651" s="1" t="s">
        <v>8956</v>
      </c>
      <c r="R1651" s="1" t="s">
        <v>8957</v>
      </c>
      <c r="S1651" s="1" t="s">
        <v>8958</v>
      </c>
      <c r="T1651" s="1"/>
      <c r="U1651" s="1"/>
      <c r="V1651" s="1"/>
      <c r="W1651" s="1"/>
    </row>
    <row r="1652" spans="1:23" x14ac:dyDescent="0.2">
      <c r="A1652" s="88" t="s">
        <v>16940</v>
      </c>
      <c r="B1652" s="1" t="e">
        <v>#N/A</v>
      </c>
      <c r="C1652" s="1" t="e">
        <v>#N/A</v>
      </c>
      <c r="D1652" s="1" t="s">
        <v>4459</v>
      </c>
      <c r="E1652" s="1" t="s">
        <v>4460</v>
      </c>
      <c r="F1652" s="1" t="s">
        <v>9310</v>
      </c>
      <c r="G1652" s="1" t="s">
        <v>8957</v>
      </c>
      <c r="H1652" t="s">
        <v>9061</v>
      </c>
      <c r="I1652" s="1" t="s">
        <v>9035</v>
      </c>
      <c r="J1652" s="1" t="s">
        <v>9308</v>
      </c>
      <c r="K1652" s="1" t="s">
        <v>20779</v>
      </c>
      <c r="L1652" s="1" t="s">
        <v>9292</v>
      </c>
      <c r="M1652" s="1">
        <v>100</v>
      </c>
      <c r="N1652" s="1" t="s">
        <v>9059</v>
      </c>
      <c r="O1652" s="1" t="s">
        <v>8989</v>
      </c>
      <c r="P1652" s="1" t="e">
        <v>#N/A</v>
      </c>
      <c r="Q1652" s="1" t="e">
        <v>#N/A</v>
      </c>
      <c r="R1652" s="1">
        <f t="shared" ref="R1652:R1653" si="484">1+LEN(T1652)-LEN(SUBSTITUTE(T1652,",",))</f>
        <v>6</v>
      </c>
      <c r="S1652" s="1" t="str">
        <f t="shared" ref="S1652:S1653" si="485">IF(R1652&gt;4,IF(R1652&lt;8,"4-7",IF(R1652&gt;7,"&gt;7")),"&lt;4")</f>
        <v>4-7</v>
      </c>
      <c r="T1652" s="1" t="s">
        <v>19476</v>
      </c>
      <c r="U1652" s="1" t="s">
        <v>7</v>
      </c>
      <c r="V1652" s="1" t="s">
        <v>77</v>
      </c>
      <c r="W1652" s="1"/>
    </row>
    <row r="1653" spans="1:23" x14ac:dyDescent="0.2">
      <c r="A1653" s="88" t="s">
        <v>16941</v>
      </c>
      <c r="B1653" s="1" t="e">
        <v>#N/A</v>
      </c>
      <c r="C1653" s="1" t="e">
        <v>#N/A</v>
      </c>
      <c r="D1653" s="1" t="s">
        <v>4461</v>
      </c>
      <c r="E1653" s="1" t="s">
        <v>4462</v>
      </c>
      <c r="F1653" s="1" t="s">
        <v>18502</v>
      </c>
      <c r="G1653" s="1" t="s">
        <v>8957</v>
      </c>
      <c r="H1653" t="s">
        <v>8959</v>
      </c>
      <c r="I1653" s="1" t="s">
        <v>9252</v>
      </c>
      <c r="J1653" s="1" t="s">
        <v>18504</v>
      </c>
      <c r="K1653" s="1" t="s">
        <v>18489</v>
      </c>
      <c r="L1653" s="1" t="s">
        <v>8951</v>
      </c>
      <c r="M1653" s="1">
        <f>4175+12072</f>
        <v>16247</v>
      </c>
      <c r="N1653" s="1" t="s">
        <v>8953</v>
      </c>
      <c r="O1653" s="1" t="s">
        <v>8989</v>
      </c>
      <c r="P1653" s="1" t="e">
        <v>#N/A</v>
      </c>
      <c r="Q1653" s="1" t="e">
        <v>#N/A</v>
      </c>
      <c r="R1653" s="1">
        <f t="shared" si="484"/>
        <v>4</v>
      </c>
      <c r="S1653" s="1" t="str">
        <f t="shared" si="485"/>
        <v>&lt;4</v>
      </c>
      <c r="T1653" s="1" t="s">
        <v>19477</v>
      </c>
      <c r="U1653" s="1" t="s">
        <v>7</v>
      </c>
      <c r="V1653" s="1" t="s">
        <v>46</v>
      </c>
      <c r="W1653" s="1"/>
    </row>
    <row r="1654" spans="1:23" x14ac:dyDescent="0.2">
      <c r="A1654" s="88" t="s">
        <v>16942</v>
      </c>
      <c r="B1654" s="1" t="e">
        <v>#N/A</v>
      </c>
      <c r="C1654" s="1" t="s">
        <v>9470</v>
      </c>
      <c r="D1654" s="1" t="s">
        <v>4463</v>
      </c>
      <c r="E1654" s="1" t="s">
        <v>4464</v>
      </c>
      <c r="F1654" s="1" t="s">
        <v>9310</v>
      </c>
      <c r="G1654" s="1" t="s">
        <v>8957</v>
      </c>
      <c r="H1654" t="s">
        <v>8959</v>
      </c>
      <c r="I1654" s="1" t="s">
        <v>9035</v>
      </c>
      <c r="J1654" s="1" t="s">
        <v>9308</v>
      </c>
      <c r="K1654" s="1" t="s">
        <v>9473</v>
      </c>
      <c r="L1654" s="1" t="s">
        <v>9133</v>
      </c>
      <c r="M1654" s="1">
        <v>6480</v>
      </c>
      <c r="N1654" s="1" t="s">
        <v>8953</v>
      </c>
      <c r="O1654" s="1" t="s">
        <v>8989</v>
      </c>
      <c r="P1654" s="1" t="s">
        <v>8955</v>
      </c>
      <c r="Q1654" s="1" t="s">
        <v>8990</v>
      </c>
      <c r="R1654" s="1" t="s">
        <v>8957</v>
      </c>
      <c r="S1654" s="1" t="s">
        <v>9103</v>
      </c>
      <c r="T1654" s="1" t="s">
        <v>4465</v>
      </c>
      <c r="U1654" s="1" t="s">
        <v>7</v>
      </c>
      <c r="V1654" s="1" t="s">
        <v>184</v>
      </c>
      <c r="W1654" s="1"/>
    </row>
    <row r="1655" spans="1:23" x14ac:dyDescent="0.2">
      <c r="A1655" s="88" t="s">
        <v>16943</v>
      </c>
      <c r="B1655" s="1" t="e">
        <v>#N/A</v>
      </c>
      <c r="C1655" s="1" t="s">
        <v>13526</v>
      </c>
      <c r="D1655" s="1" t="s">
        <v>4466</v>
      </c>
      <c r="E1655" s="1" t="s">
        <v>4467</v>
      </c>
      <c r="F1655" s="1" t="s">
        <v>9010</v>
      </c>
      <c r="G1655" s="1" t="s">
        <v>8957</v>
      </c>
      <c r="H1655" t="s">
        <v>8959</v>
      </c>
      <c r="I1655" s="1" t="s">
        <v>9154</v>
      </c>
      <c r="J1655" s="1" t="s">
        <v>9101</v>
      </c>
      <c r="K1655" s="1" t="s">
        <v>9036</v>
      </c>
      <c r="L1655" s="1" t="s">
        <v>9292</v>
      </c>
      <c r="M1655" s="1">
        <v>1678</v>
      </c>
      <c r="N1655" s="1" t="s">
        <v>8953</v>
      </c>
      <c r="O1655" s="1" t="s">
        <v>8989</v>
      </c>
      <c r="P1655" s="1" t="s">
        <v>8955</v>
      </c>
      <c r="Q1655" s="1" t="s">
        <v>8956</v>
      </c>
      <c r="R1655" s="1" t="s">
        <v>8957</v>
      </c>
      <c r="S1655" s="1" t="s">
        <v>9103</v>
      </c>
      <c r="T1655" s="1" t="s">
        <v>4468</v>
      </c>
      <c r="U1655" s="1" t="s">
        <v>4</v>
      </c>
      <c r="V1655" s="1" t="s">
        <v>4469</v>
      </c>
      <c r="W1655" s="1"/>
    </row>
    <row r="1656" spans="1:23" x14ac:dyDescent="0.2">
      <c r="A1656" s="88" t="s">
        <v>16944</v>
      </c>
      <c r="B1656" s="1" t="e">
        <v>#N/A</v>
      </c>
      <c r="C1656" s="1" t="s">
        <v>15012</v>
      </c>
      <c r="D1656" s="1" t="s">
        <v>4470</v>
      </c>
      <c r="E1656" s="1" t="s">
        <v>4471</v>
      </c>
      <c r="F1656" s="1" t="s">
        <v>9310</v>
      </c>
      <c r="G1656" s="1" t="s">
        <v>8959</v>
      </c>
      <c r="H1656" t="s">
        <v>8959</v>
      </c>
      <c r="I1656" s="1" t="s">
        <v>9075</v>
      </c>
      <c r="J1656" s="1" t="s">
        <v>8949</v>
      </c>
      <c r="K1656" s="1" t="s">
        <v>9036</v>
      </c>
      <c r="L1656" s="1" t="s">
        <v>8973</v>
      </c>
      <c r="M1656" s="1">
        <v>33</v>
      </c>
      <c r="N1656" s="1" t="s">
        <v>8953</v>
      </c>
      <c r="O1656" s="1" t="s">
        <v>8989</v>
      </c>
      <c r="P1656" s="1" t="s">
        <v>8955</v>
      </c>
      <c r="Q1656" s="1" t="s">
        <v>8956</v>
      </c>
      <c r="R1656" s="1" t="s">
        <v>8959</v>
      </c>
      <c r="S1656" s="1" t="s">
        <v>9103</v>
      </c>
      <c r="T1656" s="1" t="s">
        <v>4472</v>
      </c>
      <c r="U1656" s="1" t="s">
        <v>17</v>
      </c>
      <c r="V1656" s="1" t="s">
        <v>97</v>
      </c>
      <c r="W1656" s="1"/>
    </row>
    <row r="1657" spans="1:23" x14ac:dyDescent="0.2">
      <c r="A1657" s="88" t="s">
        <v>16945</v>
      </c>
      <c r="B1657" s="1" t="e">
        <v>#N/A</v>
      </c>
      <c r="C1657" s="1" t="e">
        <v>#N/A</v>
      </c>
      <c r="D1657" s="1" t="s">
        <v>4473</v>
      </c>
      <c r="E1657" s="1" t="s">
        <v>4474</v>
      </c>
      <c r="F1657" s="1" t="s">
        <v>9310</v>
      </c>
      <c r="G1657" s="1" t="s">
        <v>8957</v>
      </c>
      <c r="H1657" t="s">
        <v>8959</v>
      </c>
      <c r="I1657" s="1" t="s">
        <v>8984</v>
      </c>
      <c r="J1657" s="1" t="s">
        <v>9422</v>
      </c>
      <c r="K1657" s="1" t="s">
        <v>20805</v>
      </c>
      <c r="L1657" s="1" t="s">
        <v>8973</v>
      </c>
      <c r="M1657" s="1">
        <v>1900</v>
      </c>
      <c r="N1657" s="1" t="s">
        <v>8953</v>
      </c>
      <c r="O1657" s="1" t="s">
        <v>8954</v>
      </c>
      <c r="P1657" s="1" t="e">
        <v>#N/A</v>
      </c>
      <c r="Q1657" s="1" t="e">
        <v>#N/A</v>
      </c>
      <c r="R1657" s="1">
        <f>1+LEN(T1657)-LEN(SUBSTITUTE(T1657,",",))</f>
        <v>8</v>
      </c>
      <c r="S1657" s="1" t="str">
        <f>IF(R1657&gt;4,IF(R1657&lt;8,"4-7",IF(R1657&gt;7,"&gt;7")),"&lt;4")</f>
        <v>&gt;7</v>
      </c>
      <c r="T1657" s="1" t="s">
        <v>19478</v>
      </c>
      <c r="U1657" s="1" t="s">
        <v>17</v>
      </c>
      <c r="V1657" s="1" t="s">
        <v>27</v>
      </c>
      <c r="W1657" s="1"/>
    </row>
    <row r="1658" spans="1:23" x14ac:dyDescent="0.2">
      <c r="A1658" s="88" t="s">
        <v>16946</v>
      </c>
      <c r="B1658" s="1" t="e">
        <v>#N/A</v>
      </c>
      <c r="C1658" s="1" t="s">
        <v>11364</v>
      </c>
      <c r="D1658" s="1" t="s">
        <v>4475</v>
      </c>
      <c r="E1658" s="1" t="s">
        <v>4476</v>
      </c>
      <c r="F1658" s="1" t="s">
        <v>9310</v>
      </c>
      <c r="G1658" s="1" t="s">
        <v>8957</v>
      </c>
      <c r="H1658" t="s">
        <v>9183</v>
      </c>
      <c r="I1658" s="1" t="s">
        <v>8948</v>
      </c>
      <c r="J1658" s="1" t="s">
        <v>8998</v>
      </c>
      <c r="K1658" s="1" t="s">
        <v>9018</v>
      </c>
      <c r="L1658" s="1" t="s">
        <v>8973</v>
      </c>
      <c r="M1658" s="1">
        <v>28</v>
      </c>
      <c r="N1658" s="1" t="s">
        <v>9059</v>
      </c>
      <c r="O1658" s="1" t="s">
        <v>8989</v>
      </c>
      <c r="P1658" s="1" t="s">
        <v>9182</v>
      </c>
      <c r="Q1658" s="1" t="s">
        <v>8956</v>
      </c>
      <c r="R1658" s="1" t="s">
        <v>8957</v>
      </c>
      <c r="S1658" s="1" t="s">
        <v>8975</v>
      </c>
      <c r="T1658" s="1" t="s">
        <v>4477</v>
      </c>
      <c r="U1658" s="1" t="s">
        <v>17</v>
      </c>
      <c r="V1658" s="1" t="s">
        <v>147</v>
      </c>
      <c r="W1658" s="1"/>
    </row>
    <row r="1659" spans="1:23" x14ac:dyDescent="0.2">
      <c r="A1659" s="88" t="s">
        <v>16947</v>
      </c>
      <c r="B1659" s="1" t="e">
        <v>#N/A</v>
      </c>
      <c r="C1659" s="1" t="s">
        <v>11814</v>
      </c>
      <c r="D1659" s="1" t="s">
        <v>4478</v>
      </c>
      <c r="E1659" s="1" t="s">
        <v>4479</v>
      </c>
      <c r="F1659" s="1" t="s">
        <v>9310</v>
      </c>
      <c r="G1659" s="1" t="s">
        <v>8959</v>
      </c>
      <c r="H1659" t="s">
        <v>9183</v>
      </c>
      <c r="I1659" s="1" t="s">
        <v>9100</v>
      </c>
      <c r="J1659" s="1" t="s">
        <v>8949</v>
      </c>
      <c r="K1659" s="1" t="s">
        <v>9270</v>
      </c>
      <c r="L1659" s="1" t="s">
        <v>9133</v>
      </c>
      <c r="M1659" s="1">
        <v>200</v>
      </c>
      <c r="N1659" s="1" t="s">
        <v>9059</v>
      </c>
      <c r="O1659" s="1" t="s">
        <v>8989</v>
      </c>
      <c r="P1659" s="1" t="s">
        <v>8955</v>
      </c>
      <c r="Q1659" s="1" t="s">
        <v>8956</v>
      </c>
      <c r="R1659" s="1" t="s">
        <v>8959</v>
      </c>
      <c r="S1659" s="1" t="s">
        <v>8975</v>
      </c>
      <c r="T1659" s="1" t="s">
        <v>4480</v>
      </c>
      <c r="U1659" s="1" t="s">
        <v>11</v>
      </c>
      <c r="V1659" s="1" t="s">
        <v>783</v>
      </c>
      <c r="W1659" s="1"/>
    </row>
    <row r="1660" spans="1:23" x14ac:dyDescent="0.2">
      <c r="A1660" s="88" t="s">
        <v>16948</v>
      </c>
      <c r="B1660" s="1" t="e">
        <v>#N/A</v>
      </c>
      <c r="C1660" s="1" t="s">
        <v>12519</v>
      </c>
      <c r="D1660" s="1" t="s">
        <v>4481</v>
      </c>
      <c r="E1660" s="1" t="s">
        <v>4482</v>
      </c>
      <c r="F1660" s="1" t="s">
        <v>9010</v>
      </c>
      <c r="G1660" s="1" t="s">
        <v>8957</v>
      </c>
      <c r="H1660" t="s">
        <v>8959</v>
      </c>
      <c r="I1660" s="1" t="s">
        <v>9092</v>
      </c>
      <c r="J1660" s="1" t="s">
        <v>8998</v>
      </c>
      <c r="K1660" s="1" t="s">
        <v>9679</v>
      </c>
      <c r="L1660" s="1" t="s">
        <v>9292</v>
      </c>
      <c r="M1660" s="1">
        <v>302</v>
      </c>
      <c r="N1660" s="1" t="s">
        <v>8953</v>
      </c>
      <c r="O1660" s="1" t="s">
        <v>8989</v>
      </c>
      <c r="P1660" s="1" t="s">
        <v>8955</v>
      </c>
      <c r="Q1660" s="1" t="s">
        <v>8956</v>
      </c>
      <c r="R1660" s="1" t="s">
        <v>8957</v>
      </c>
      <c r="S1660" s="1" t="s">
        <v>9103</v>
      </c>
      <c r="T1660" s="1" t="s">
        <v>4483</v>
      </c>
      <c r="U1660" s="1" t="s">
        <v>11</v>
      </c>
      <c r="V1660" s="1" t="s">
        <v>61</v>
      </c>
      <c r="W1660" s="1"/>
    </row>
    <row r="1661" spans="1:23" x14ac:dyDescent="0.2">
      <c r="A1661" s="88" t="s">
        <v>16949</v>
      </c>
      <c r="B1661" s="1" t="e">
        <v>#N/A</v>
      </c>
      <c r="C1661" s="1" t="s">
        <v>14612</v>
      </c>
      <c r="D1661" s="1" t="s">
        <v>4484</v>
      </c>
      <c r="E1661" s="1" t="s">
        <v>4485</v>
      </c>
      <c r="F1661" s="1" t="s">
        <v>9010</v>
      </c>
      <c r="G1661" s="1" t="s">
        <v>8957</v>
      </c>
      <c r="H1661" t="s">
        <v>9061</v>
      </c>
      <c r="I1661" s="1" t="s">
        <v>9075</v>
      </c>
      <c r="J1661" s="1" t="s">
        <v>8949</v>
      </c>
      <c r="K1661" s="1" t="s">
        <v>9102</v>
      </c>
      <c r="L1661" s="1" t="s">
        <v>8973</v>
      </c>
      <c r="M1661" s="1">
        <v>30</v>
      </c>
      <c r="N1661" s="1" t="s">
        <v>8953</v>
      </c>
      <c r="O1661" s="1" t="s">
        <v>8989</v>
      </c>
      <c r="P1661" s="1" t="s">
        <v>8955</v>
      </c>
      <c r="Q1661" s="1" t="s">
        <v>8956</v>
      </c>
      <c r="R1661" s="1" t="s">
        <v>8957</v>
      </c>
      <c r="S1661" s="1" t="s">
        <v>8958</v>
      </c>
      <c r="T1661" s="1" t="s">
        <v>4486</v>
      </c>
      <c r="U1661" s="1" t="s">
        <v>920</v>
      </c>
      <c r="V1661" s="1" t="s">
        <v>921</v>
      </c>
      <c r="W1661" s="1"/>
    </row>
    <row r="1662" spans="1:23" x14ac:dyDescent="0.2">
      <c r="A1662" s="88" t="s">
        <v>16950</v>
      </c>
      <c r="B1662" s="1" t="e">
        <v>#N/A</v>
      </c>
      <c r="C1662" s="1" t="e">
        <v>#N/A</v>
      </c>
      <c r="D1662" s="1" t="s">
        <v>4487</v>
      </c>
      <c r="E1662" s="1" t="s">
        <v>4488</v>
      </c>
      <c r="F1662" s="1" t="s">
        <v>9310</v>
      </c>
      <c r="G1662" s="1" t="s">
        <v>8957</v>
      </c>
      <c r="H1662" t="s">
        <v>8959</v>
      </c>
      <c r="I1662" s="1" t="s">
        <v>9154</v>
      </c>
      <c r="J1662" s="1" t="s">
        <v>9155</v>
      </c>
      <c r="K1662" s="1" t="s">
        <v>20776</v>
      </c>
      <c r="L1662" s="1" t="s">
        <v>8973</v>
      </c>
      <c r="M1662" s="1">
        <v>120</v>
      </c>
      <c r="N1662" s="1" t="s">
        <v>8953</v>
      </c>
      <c r="O1662" s="1" t="s">
        <v>8954</v>
      </c>
      <c r="P1662" s="1" t="e">
        <v>#N/A</v>
      </c>
      <c r="Q1662" s="1" t="e">
        <v>#N/A</v>
      </c>
      <c r="R1662" s="1">
        <f>1+LEN(T1662)-LEN(SUBSTITUTE(T1662,",",))</f>
        <v>6</v>
      </c>
      <c r="S1662" s="1" t="str">
        <f>IF(R1662&gt;4,IF(R1662&lt;8,"4-7",IF(R1662&gt;7,"&gt;7")),"&lt;4")</f>
        <v>4-7</v>
      </c>
      <c r="T1662" s="1" t="s">
        <v>19479</v>
      </c>
      <c r="U1662" s="1" t="s">
        <v>7</v>
      </c>
      <c r="V1662" s="1" t="s">
        <v>43</v>
      </c>
      <c r="W1662" s="1"/>
    </row>
    <row r="1663" spans="1:23" x14ac:dyDescent="0.2">
      <c r="A1663" s="88" t="s">
        <v>16951</v>
      </c>
      <c r="B1663" s="1" t="e">
        <v>#N/A</v>
      </c>
      <c r="C1663" s="1" t="s">
        <v>14723</v>
      </c>
      <c r="D1663" s="1" t="s">
        <v>4489</v>
      </c>
      <c r="E1663" s="1" t="s">
        <v>4490</v>
      </c>
      <c r="F1663" s="1" t="s">
        <v>9010</v>
      </c>
      <c r="G1663" s="1" t="s">
        <v>8974</v>
      </c>
      <c r="H1663" t="s">
        <v>8959</v>
      </c>
      <c r="I1663" s="1" t="s">
        <v>9154</v>
      </c>
      <c r="J1663" s="1" t="s">
        <v>8971</v>
      </c>
      <c r="K1663" s="1" t="s">
        <v>14726</v>
      </c>
      <c r="L1663" s="1" t="s">
        <v>8987</v>
      </c>
      <c r="M1663" s="1">
        <v>14443</v>
      </c>
      <c r="N1663" s="1" t="s">
        <v>9059</v>
      </c>
      <c r="O1663" s="1" t="s">
        <v>8954</v>
      </c>
      <c r="P1663" s="1" t="s">
        <v>8955</v>
      </c>
      <c r="Q1663" s="1" t="s">
        <v>8956</v>
      </c>
      <c r="R1663" s="1" t="s">
        <v>8974</v>
      </c>
      <c r="S1663" s="1" t="s">
        <v>8975</v>
      </c>
      <c r="T1663" s="1" t="s">
        <v>4491</v>
      </c>
      <c r="U1663" s="1" t="s">
        <v>7</v>
      </c>
      <c r="V1663" s="1" t="s">
        <v>61</v>
      </c>
      <c r="W1663" s="1"/>
    </row>
    <row r="1664" spans="1:23" x14ac:dyDescent="0.2">
      <c r="A1664" s="89" t="s">
        <v>4492</v>
      </c>
      <c r="B1664" s="1" t="e">
        <v>#N/A</v>
      </c>
      <c r="C1664" s="1" t="e">
        <v>#N/A</v>
      </c>
      <c r="D1664" s="1" t="s">
        <v>4493</v>
      </c>
      <c r="E1664" s="1" t="s">
        <v>4494</v>
      </c>
      <c r="F1664" s="1" t="e">
        <v>#N/A</v>
      </c>
      <c r="G1664" s="1" t="e">
        <v>#N/A</v>
      </c>
      <c r="H1664" t="e">
        <v>#N/A</v>
      </c>
      <c r="I1664" s="1" t="e">
        <v>#N/A</v>
      </c>
      <c r="J1664" s="1" t="e">
        <v>#N/A</v>
      </c>
      <c r="K1664" s="1" t="e">
        <v>#N/A</v>
      </c>
      <c r="L1664" s="1" t="e">
        <v>#N/A</v>
      </c>
      <c r="M1664" s="1" t="e">
        <v>#N/A</v>
      </c>
      <c r="N1664" s="1" t="e">
        <v>#N/A</v>
      </c>
      <c r="O1664" s="1" t="e">
        <v>#N/A</v>
      </c>
      <c r="P1664" s="1" t="e">
        <v>#N/A</v>
      </c>
      <c r="Q1664" s="1" t="e">
        <v>#N/A</v>
      </c>
      <c r="R1664" s="1">
        <f t="shared" ref="R1664:R1666" si="486">1+LEN(T1664)-LEN(SUBSTITUTE(T1664,",",))</f>
        <v>1</v>
      </c>
      <c r="S1664" s="1" t="str">
        <f t="shared" ref="S1664:S1666" si="487">IF(R1664&gt;4,IF(R1664&lt;8,"4-7",IF(R1664&gt;7,"&gt;7")),"&lt;4")</f>
        <v>&lt;4</v>
      </c>
      <c r="T1664" s="1" t="s">
        <v>4495</v>
      </c>
      <c r="U1664" s="1" t="s">
        <v>11</v>
      </c>
      <c r="V1664" s="1" t="s">
        <v>831</v>
      </c>
      <c r="W1664" s="1"/>
    </row>
    <row r="1665" spans="1:23" x14ac:dyDescent="0.2">
      <c r="A1665" s="89" t="s">
        <v>4496</v>
      </c>
      <c r="B1665" s="1" t="e">
        <v>#N/A</v>
      </c>
      <c r="C1665" s="1" t="e">
        <v>#N/A</v>
      </c>
      <c r="D1665" s="5" t="s">
        <v>4497</v>
      </c>
      <c r="E1665" s="1" t="s">
        <v>4498</v>
      </c>
      <c r="F1665" s="1" t="e">
        <v>#N/A</v>
      </c>
      <c r="G1665" s="1" t="e">
        <v>#N/A</v>
      </c>
      <c r="H1665" t="e">
        <v>#N/A</v>
      </c>
      <c r="I1665" s="1" t="e">
        <v>#N/A</v>
      </c>
      <c r="J1665" s="1" t="e">
        <v>#N/A</v>
      </c>
      <c r="K1665" s="1" t="e">
        <v>#N/A</v>
      </c>
      <c r="L1665" s="1" t="e">
        <v>#N/A</v>
      </c>
      <c r="M1665" s="1" t="e">
        <v>#N/A</v>
      </c>
      <c r="N1665" s="1" t="e">
        <v>#N/A</v>
      </c>
      <c r="O1665" s="1" t="e">
        <v>#N/A</v>
      </c>
      <c r="P1665" s="1" t="e">
        <v>#N/A</v>
      </c>
      <c r="Q1665" s="1" t="e">
        <v>#N/A</v>
      </c>
      <c r="R1665" s="1">
        <f t="shared" si="486"/>
        <v>18</v>
      </c>
      <c r="S1665" s="1" t="str">
        <f t="shared" si="487"/>
        <v>&gt;7</v>
      </c>
      <c r="T1665" s="1" t="s">
        <v>19480</v>
      </c>
      <c r="U1665" s="1" t="s">
        <v>17</v>
      </c>
      <c r="V1665" s="1" t="s">
        <v>4499</v>
      </c>
      <c r="W1665" s="1"/>
    </row>
    <row r="1666" spans="1:23" x14ac:dyDescent="0.2">
      <c r="A1666" s="88" t="s">
        <v>16952</v>
      </c>
      <c r="B1666" s="1" t="e">
        <v>#N/A</v>
      </c>
      <c r="C1666" s="1" t="e">
        <v>#N/A</v>
      </c>
      <c r="D1666" s="1" t="s">
        <v>4500</v>
      </c>
      <c r="E1666" s="1" t="s">
        <v>4501</v>
      </c>
      <c r="F1666" s="1" t="s">
        <v>10049</v>
      </c>
      <c r="G1666" s="1" t="s">
        <v>8974</v>
      </c>
      <c r="H1666" t="s">
        <v>9183</v>
      </c>
      <c r="I1666" s="1" t="s">
        <v>9075</v>
      </c>
      <c r="J1666" s="1" t="s">
        <v>9422</v>
      </c>
      <c r="K1666" s="1" t="s">
        <v>18497</v>
      </c>
      <c r="L1666" s="1" t="s">
        <v>8987</v>
      </c>
      <c r="M1666" s="1">
        <v>12259</v>
      </c>
      <c r="N1666" s="1" t="s">
        <v>8953</v>
      </c>
      <c r="O1666" s="1" t="s">
        <v>8989</v>
      </c>
      <c r="P1666" s="1" t="e">
        <v>#N/A</v>
      </c>
      <c r="Q1666" s="1" t="e">
        <v>#N/A</v>
      </c>
      <c r="R1666" s="1">
        <f t="shared" si="486"/>
        <v>12</v>
      </c>
      <c r="S1666" s="1" t="str">
        <f t="shared" si="487"/>
        <v>&gt;7</v>
      </c>
      <c r="T1666" s="1" t="s">
        <v>19481</v>
      </c>
      <c r="U1666" s="1" t="s">
        <v>7</v>
      </c>
      <c r="V1666" s="1" t="s">
        <v>4502</v>
      </c>
      <c r="W1666" s="1"/>
    </row>
    <row r="1667" spans="1:23" x14ac:dyDescent="0.2">
      <c r="A1667" s="88" t="s">
        <v>16953</v>
      </c>
      <c r="B1667" s="1" t="e">
        <v>#N/A</v>
      </c>
      <c r="C1667" s="1" t="s">
        <v>9960</v>
      </c>
      <c r="D1667" s="1" t="s">
        <v>4503</v>
      </c>
      <c r="E1667" s="1" t="s">
        <v>4504</v>
      </c>
      <c r="F1667" s="1" t="s">
        <v>9213</v>
      </c>
      <c r="G1667" s="1" t="s">
        <v>8957</v>
      </c>
      <c r="H1667" t="s">
        <v>8959</v>
      </c>
      <c r="I1667" s="1" t="s">
        <v>9092</v>
      </c>
      <c r="J1667" s="1" t="s">
        <v>9121</v>
      </c>
      <c r="K1667" s="1" t="s">
        <v>9041</v>
      </c>
      <c r="L1667" s="1" t="s">
        <v>8951</v>
      </c>
      <c r="M1667" s="1">
        <v>5749</v>
      </c>
      <c r="N1667" s="1" t="s">
        <v>9059</v>
      </c>
      <c r="O1667" s="1" t="s">
        <v>8989</v>
      </c>
      <c r="P1667" s="1" t="s">
        <v>8955</v>
      </c>
      <c r="Q1667" s="1" t="s">
        <v>8956</v>
      </c>
      <c r="R1667" s="1" t="s">
        <v>8957</v>
      </c>
      <c r="S1667" s="1" t="s">
        <v>9103</v>
      </c>
      <c r="T1667" s="1" t="s">
        <v>4505</v>
      </c>
      <c r="U1667" s="1" t="s">
        <v>17</v>
      </c>
      <c r="V1667" s="1" t="s">
        <v>1381</v>
      </c>
      <c r="W1667" s="1"/>
    </row>
    <row r="1668" spans="1:23" x14ac:dyDescent="0.2">
      <c r="A1668" s="88" t="s">
        <v>16954</v>
      </c>
      <c r="B1668" s="1" t="e">
        <v>#N/A</v>
      </c>
      <c r="C1668" s="1" t="e">
        <v>#N/A</v>
      </c>
      <c r="D1668" s="1" t="s">
        <v>4506</v>
      </c>
      <c r="E1668" s="1" t="s">
        <v>4507</v>
      </c>
      <c r="F1668" s="1" t="s">
        <v>10850</v>
      </c>
      <c r="G1668" s="1" t="s">
        <v>8959</v>
      </c>
      <c r="H1668" t="s">
        <v>9009</v>
      </c>
      <c r="I1668" s="1" t="s">
        <v>9173</v>
      </c>
      <c r="J1668" s="1" t="s">
        <v>8959</v>
      </c>
      <c r="K1668" s="1" t="s">
        <v>21279</v>
      </c>
      <c r="L1668" s="1" t="s">
        <v>8987</v>
      </c>
      <c r="M1668" s="1">
        <f>6248+1200</f>
        <v>7448</v>
      </c>
      <c r="N1668" s="1" t="s">
        <v>8953</v>
      </c>
      <c r="O1668" s="1" t="s">
        <v>8989</v>
      </c>
      <c r="P1668" s="1" t="e">
        <v>#N/A</v>
      </c>
      <c r="Q1668" s="1" t="e">
        <v>#N/A</v>
      </c>
      <c r="R1668" s="1">
        <f t="shared" ref="R1668:R1673" si="488">1+LEN(T1668)-LEN(SUBSTITUTE(T1668,",",))</f>
        <v>9</v>
      </c>
      <c r="S1668" s="1" t="str">
        <f t="shared" ref="S1668:S1673" si="489">IF(R1668&gt;4,IF(R1668&lt;8,"4-7",IF(R1668&gt;7,"&gt;7")),"&lt;4")</f>
        <v>&gt;7</v>
      </c>
      <c r="T1668" s="1" t="s">
        <v>19482</v>
      </c>
      <c r="U1668" s="1" t="s">
        <v>7</v>
      </c>
      <c r="V1668" s="1" t="s">
        <v>83</v>
      </c>
      <c r="W1668" s="1"/>
    </row>
    <row r="1669" spans="1:23" x14ac:dyDescent="0.2">
      <c r="A1669" s="89" t="s">
        <v>4508</v>
      </c>
      <c r="B1669" s="1" t="e">
        <v>#N/A</v>
      </c>
      <c r="C1669" s="1" t="e">
        <v>#N/A</v>
      </c>
      <c r="D1669" s="1" t="s">
        <v>4509</v>
      </c>
      <c r="E1669" s="1" t="s">
        <v>4510</v>
      </c>
      <c r="F1669" s="1" t="e">
        <v>#N/A</v>
      </c>
      <c r="G1669" s="1" t="e">
        <v>#N/A</v>
      </c>
      <c r="H1669" t="e">
        <v>#N/A</v>
      </c>
      <c r="I1669" s="1" t="e">
        <v>#N/A</v>
      </c>
      <c r="J1669" s="1" t="e">
        <v>#N/A</v>
      </c>
      <c r="K1669" s="1" t="e">
        <v>#N/A</v>
      </c>
      <c r="L1669" s="1" t="e">
        <v>#N/A</v>
      </c>
      <c r="M1669" s="1" t="e">
        <v>#N/A</v>
      </c>
      <c r="N1669" s="1" t="e">
        <v>#N/A</v>
      </c>
      <c r="O1669" s="1" t="e">
        <v>#N/A</v>
      </c>
      <c r="P1669" s="1" t="e">
        <v>#N/A</v>
      </c>
      <c r="Q1669" s="1" t="e">
        <v>#N/A</v>
      </c>
      <c r="R1669" s="1">
        <f t="shared" si="488"/>
        <v>6</v>
      </c>
      <c r="S1669" s="1" t="str">
        <f t="shared" si="489"/>
        <v>4-7</v>
      </c>
      <c r="T1669" s="1" t="s">
        <v>19483</v>
      </c>
      <c r="U1669" s="1" t="s">
        <v>7</v>
      </c>
      <c r="V1669" s="1" t="s">
        <v>4511</v>
      </c>
      <c r="W1669" s="1"/>
    </row>
    <row r="1670" spans="1:23" x14ac:dyDescent="0.2">
      <c r="A1670" s="88" t="s">
        <v>16955</v>
      </c>
      <c r="B1670" s="1" t="e">
        <v>#N/A</v>
      </c>
      <c r="C1670" s="1" t="e">
        <v>#N/A</v>
      </c>
      <c r="D1670" s="1" t="s">
        <v>4512</v>
      </c>
      <c r="E1670" s="1" t="s">
        <v>4513</v>
      </c>
      <c r="F1670" s="1" t="s">
        <v>9310</v>
      </c>
      <c r="G1670" s="1" t="s">
        <v>8957</v>
      </c>
      <c r="H1670" t="s">
        <v>8959</v>
      </c>
      <c r="I1670" s="1" t="s">
        <v>9252</v>
      </c>
      <c r="J1670" s="1" t="s">
        <v>9422</v>
      </c>
      <c r="K1670" s="1" t="s">
        <v>20873</v>
      </c>
      <c r="L1670" s="1" t="s">
        <v>8987</v>
      </c>
      <c r="M1670" s="1">
        <v>7909</v>
      </c>
      <c r="N1670" s="1" t="s">
        <v>8953</v>
      </c>
      <c r="O1670" s="1" t="s">
        <v>8989</v>
      </c>
      <c r="P1670" s="1" t="e">
        <v>#N/A</v>
      </c>
      <c r="Q1670" s="1" t="e">
        <v>#N/A</v>
      </c>
      <c r="R1670" s="1">
        <f t="shared" si="488"/>
        <v>2</v>
      </c>
      <c r="S1670" s="1" t="str">
        <f t="shared" si="489"/>
        <v>&lt;4</v>
      </c>
      <c r="T1670" s="1" t="s">
        <v>19484</v>
      </c>
      <c r="U1670" s="1" t="s">
        <v>7</v>
      </c>
      <c r="V1670" s="1" t="s">
        <v>2024</v>
      </c>
      <c r="W1670" s="1"/>
    </row>
    <row r="1671" spans="1:23" x14ac:dyDescent="0.2">
      <c r="A1671" s="89" t="s">
        <v>4514</v>
      </c>
      <c r="B1671" s="1" t="e">
        <v>#N/A</v>
      </c>
      <c r="C1671" s="1" t="e">
        <v>#N/A</v>
      </c>
      <c r="D1671" s="1" t="s">
        <v>4515</v>
      </c>
      <c r="E1671" s="1" t="s">
        <v>4516</v>
      </c>
      <c r="F1671" s="1" t="e">
        <v>#N/A</v>
      </c>
      <c r="G1671" s="1" t="e">
        <v>#N/A</v>
      </c>
      <c r="H1671" t="e">
        <v>#N/A</v>
      </c>
      <c r="I1671" s="1" t="e">
        <v>#N/A</v>
      </c>
      <c r="J1671" s="1" t="e">
        <v>#N/A</v>
      </c>
      <c r="K1671" s="1" t="e">
        <v>#N/A</v>
      </c>
      <c r="L1671" s="1" t="e">
        <v>#N/A</v>
      </c>
      <c r="M1671" s="1" t="e">
        <v>#N/A</v>
      </c>
      <c r="N1671" s="1" t="e">
        <v>#N/A</v>
      </c>
      <c r="O1671" s="1" t="e">
        <v>#N/A</v>
      </c>
      <c r="P1671" s="1" t="e">
        <v>#N/A</v>
      </c>
      <c r="Q1671" s="1" t="e">
        <v>#N/A</v>
      </c>
      <c r="R1671" s="1">
        <f t="shared" si="488"/>
        <v>4</v>
      </c>
      <c r="S1671" s="1" t="str">
        <f t="shared" si="489"/>
        <v>&lt;4</v>
      </c>
      <c r="T1671" s="1" t="s">
        <v>19485</v>
      </c>
      <c r="U1671" s="1" t="s">
        <v>7</v>
      </c>
      <c r="V1671" s="1" t="s">
        <v>619</v>
      </c>
      <c r="W1671" s="1"/>
    </row>
    <row r="1672" spans="1:23" x14ac:dyDescent="0.2">
      <c r="A1672" s="89" t="s">
        <v>16956</v>
      </c>
      <c r="B1672" s="1" t="e">
        <v>#N/A</v>
      </c>
      <c r="C1672" s="1" t="e">
        <v>#N/A</v>
      </c>
      <c r="D1672" s="1" t="s">
        <v>4517</v>
      </c>
      <c r="E1672" s="1" t="s">
        <v>4518</v>
      </c>
      <c r="F1672" s="1" t="e">
        <v>#N/A</v>
      </c>
      <c r="G1672" s="1" t="e">
        <v>#N/A</v>
      </c>
      <c r="H1672" t="e">
        <v>#N/A</v>
      </c>
      <c r="I1672" s="1" t="e">
        <v>#N/A</v>
      </c>
      <c r="J1672" s="1" t="e">
        <v>#N/A</v>
      </c>
      <c r="K1672" s="1" t="e">
        <v>#N/A</v>
      </c>
      <c r="L1672" s="1" t="e">
        <v>#N/A</v>
      </c>
      <c r="M1672" s="1" t="e">
        <v>#N/A</v>
      </c>
      <c r="N1672" s="1" t="e">
        <v>#N/A</v>
      </c>
      <c r="O1672" s="1" t="e">
        <v>#N/A</v>
      </c>
      <c r="P1672" s="1" t="e">
        <v>#N/A</v>
      </c>
      <c r="Q1672" s="1" t="e">
        <v>#N/A</v>
      </c>
      <c r="R1672" s="1">
        <f t="shared" si="488"/>
        <v>2</v>
      </c>
      <c r="S1672" s="1" t="str">
        <f t="shared" si="489"/>
        <v>&lt;4</v>
      </c>
      <c r="T1672" s="1" t="s">
        <v>19486</v>
      </c>
      <c r="U1672" s="1" t="s">
        <v>17</v>
      </c>
      <c r="V1672" s="1" t="s">
        <v>204</v>
      </c>
      <c r="W1672" s="1"/>
    </row>
    <row r="1673" spans="1:23" x14ac:dyDescent="0.2">
      <c r="A1673" s="88" t="s">
        <v>16957</v>
      </c>
      <c r="B1673" s="1" t="e">
        <v>#N/A</v>
      </c>
      <c r="C1673" s="1" t="e">
        <v>#N/A</v>
      </c>
      <c r="D1673" s="1" t="s">
        <v>4519</v>
      </c>
      <c r="E1673" s="1" t="s">
        <v>4520</v>
      </c>
      <c r="F1673" s="1" t="s">
        <v>9310</v>
      </c>
      <c r="G1673" s="1" t="s">
        <v>8959</v>
      </c>
      <c r="H1673" t="s">
        <v>9061</v>
      </c>
      <c r="I1673" s="1" t="s">
        <v>9075</v>
      </c>
      <c r="J1673" s="1" t="s">
        <v>8998</v>
      </c>
      <c r="K1673" s="1" t="s">
        <v>18497</v>
      </c>
      <c r="L1673" s="1" t="s">
        <v>8987</v>
      </c>
      <c r="M1673" s="1">
        <v>410</v>
      </c>
      <c r="N1673" s="1" t="s">
        <v>9059</v>
      </c>
      <c r="O1673" s="1" t="s">
        <v>8954</v>
      </c>
      <c r="P1673" s="1" t="e">
        <v>#N/A</v>
      </c>
      <c r="Q1673" s="1" t="e">
        <v>#N/A</v>
      </c>
      <c r="R1673" s="1">
        <f t="shared" si="488"/>
        <v>9</v>
      </c>
      <c r="S1673" s="1" t="str">
        <f t="shared" si="489"/>
        <v>&gt;7</v>
      </c>
      <c r="T1673" s="1" t="s">
        <v>19487</v>
      </c>
      <c r="U1673" s="1" t="s">
        <v>7</v>
      </c>
      <c r="V1673" s="1" t="s">
        <v>831</v>
      </c>
      <c r="W1673" s="1"/>
    </row>
    <row r="1674" spans="1:23" x14ac:dyDescent="0.2">
      <c r="A1674" s="88" t="s">
        <v>16958</v>
      </c>
      <c r="B1674" s="1" t="e">
        <v>#N/A</v>
      </c>
      <c r="C1674" s="1" t="s">
        <v>10495</v>
      </c>
      <c r="D1674" s="1" t="s">
        <v>4521</v>
      </c>
      <c r="E1674" s="1" t="s">
        <v>4522</v>
      </c>
      <c r="F1674" s="1" t="s">
        <v>9310</v>
      </c>
      <c r="G1674" s="1" t="s">
        <v>8957</v>
      </c>
      <c r="H1674" t="s">
        <v>8959</v>
      </c>
      <c r="I1674" s="1" t="s">
        <v>9605</v>
      </c>
      <c r="J1674" s="1" t="s">
        <v>9269</v>
      </c>
      <c r="K1674" s="1" t="s">
        <v>9212</v>
      </c>
      <c r="L1674" s="1" t="s">
        <v>8951</v>
      </c>
      <c r="M1674" s="1">
        <v>400</v>
      </c>
      <c r="N1674" s="1" t="s">
        <v>8953</v>
      </c>
      <c r="O1674" s="1" t="s">
        <v>8954</v>
      </c>
      <c r="P1674" s="1" t="s">
        <v>8955</v>
      </c>
      <c r="Q1674" s="1" t="s">
        <v>8990</v>
      </c>
      <c r="R1674" s="1" t="s">
        <v>8957</v>
      </c>
      <c r="S1674" s="1" t="s">
        <v>8958</v>
      </c>
      <c r="T1674" s="1" t="s">
        <v>4523</v>
      </c>
      <c r="U1674" s="1" t="s">
        <v>17</v>
      </c>
      <c r="V1674" s="1" t="s">
        <v>61</v>
      </c>
      <c r="W1674" s="1"/>
    </row>
    <row r="1675" spans="1:23" x14ac:dyDescent="0.2">
      <c r="A1675" s="88" t="s">
        <v>16959</v>
      </c>
      <c r="B1675" s="1" t="e">
        <v>#N/A</v>
      </c>
      <c r="C1675" s="1" t="e">
        <v>#N/A</v>
      </c>
      <c r="D1675" s="1" t="s">
        <v>4524</v>
      </c>
      <c r="E1675" s="1" t="s">
        <v>4525</v>
      </c>
      <c r="F1675" s="1" t="s">
        <v>9310</v>
      </c>
      <c r="G1675" s="1" t="s">
        <v>8957</v>
      </c>
      <c r="H1675" t="s">
        <v>8959</v>
      </c>
      <c r="I1675" s="1" t="s">
        <v>8984</v>
      </c>
      <c r="J1675" s="1" t="s">
        <v>20800</v>
      </c>
      <c r="K1675" s="1" t="s">
        <v>10525</v>
      </c>
      <c r="L1675" s="1" t="s">
        <v>8987</v>
      </c>
      <c r="M1675" s="1">
        <v>217</v>
      </c>
      <c r="N1675" s="1" t="s">
        <v>8953</v>
      </c>
      <c r="O1675" s="1" t="s">
        <v>8989</v>
      </c>
      <c r="P1675" s="1" t="e">
        <v>#N/A</v>
      </c>
      <c r="Q1675" s="1" t="e">
        <v>#N/A</v>
      </c>
      <c r="R1675" s="1">
        <f>1+LEN(T1675)-LEN(SUBSTITUTE(T1675,",",))</f>
        <v>8</v>
      </c>
      <c r="S1675" s="1" t="str">
        <f>IF(R1675&gt;4,IF(R1675&lt;8,"4-7",IF(R1675&gt;7,"&gt;7")),"&lt;4")</f>
        <v>&gt;7</v>
      </c>
      <c r="T1675" s="1" t="s">
        <v>19488</v>
      </c>
      <c r="U1675" s="1" t="s">
        <v>17</v>
      </c>
      <c r="V1675" s="1" t="s">
        <v>1833</v>
      </c>
      <c r="W1675" s="1"/>
    </row>
    <row r="1676" spans="1:23" x14ac:dyDescent="0.2">
      <c r="A1676" s="88" t="s">
        <v>16960</v>
      </c>
      <c r="B1676" s="1" t="e">
        <v>#N/A</v>
      </c>
      <c r="C1676" s="1" t="s">
        <v>12166</v>
      </c>
      <c r="D1676" s="1" t="s">
        <v>4526</v>
      </c>
      <c r="E1676" s="1" t="s">
        <v>4527</v>
      </c>
      <c r="F1676" s="1" t="s">
        <v>10873</v>
      </c>
      <c r="G1676" s="1" t="s">
        <v>8957</v>
      </c>
      <c r="H1676" t="s">
        <v>8959</v>
      </c>
      <c r="I1676" s="1" t="s">
        <v>9100</v>
      </c>
      <c r="J1676" s="1" t="s">
        <v>9422</v>
      </c>
      <c r="K1676" s="1" t="s">
        <v>9523</v>
      </c>
      <c r="L1676" s="1" t="s">
        <v>9076</v>
      </c>
      <c r="M1676" s="1">
        <v>243</v>
      </c>
      <c r="N1676" s="1" t="s">
        <v>9059</v>
      </c>
      <c r="O1676" s="1" t="s">
        <v>8954</v>
      </c>
      <c r="P1676" s="1" t="s">
        <v>8955</v>
      </c>
      <c r="Q1676" s="1" t="s">
        <v>8956</v>
      </c>
      <c r="R1676" s="1" t="s">
        <v>8957</v>
      </c>
      <c r="S1676" s="1" t="s">
        <v>8975</v>
      </c>
      <c r="T1676" s="1" t="s">
        <v>4528</v>
      </c>
      <c r="U1676" s="1" t="s">
        <v>11</v>
      </c>
      <c r="V1676" s="1" t="s">
        <v>126</v>
      </c>
      <c r="W1676" s="1"/>
    </row>
    <row r="1677" spans="1:23" x14ac:dyDescent="0.2">
      <c r="A1677" s="88" t="s">
        <v>16961</v>
      </c>
      <c r="B1677" s="1" t="e">
        <v>#N/A</v>
      </c>
      <c r="C1677" s="1" t="e">
        <v>#N/A</v>
      </c>
      <c r="D1677" s="1" t="s">
        <v>4529</v>
      </c>
      <c r="E1677" s="1" t="s">
        <v>4530</v>
      </c>
      <c r="F1677" s="1" t="s">
        <v>9310</v>
      </c>
      <c r="G1677" s="1" t="s">
        <v>8974</v>
      </c>
      <c r="H1677" t="s">
        <v>9061</v>
      </c>
      <c r="I1677" s="1" t="s">
        <v>8948</v>
      </c>
      <c r="J1677" s="1" t="s">
        <v>8949</v>
      </c>
      <c r="K1677" s="1" t="s">
        <v>18497</v>
      </c>
      <c r="L1677" s="1" t="s">
        <v>8973</v>
      </c>
      <c r="M1677" s="1">
        <v>1021</v>
      </c>
      <c r="N1677" s="1" t="s">
        <v>9059</v>
      </c>
      <c r="O1677" s="1" t="s">
        <v>8989</v>
      </c>
      <c r="P1677" s="1" t="e">
        <v>#N/A</v>
      </c>
      <c r="Q1677" s="1" t="e">
        <v>#N/A</v>
      </c>
      <c r="R1677" s="1">
        <f t="shared" ref="R1677:R1683" si="490">1+LEN(T1677)-LEN(SUBSTITUTE(T1677,",",))</f>
        <v>20</v>
      </c>
      <c r="S1677" s="1" t="str">
        <f t="shared" ref="S1677:S1683" si="491">IF(R1677&gt;4,IF(R1677&lt;8,"4-7",IF(R1677&gt;7,"&gt;7")),"&lt;4")</f>
        <v>&gt;7</v>
      </c>
      <c r="T1677" s="1" t="s">
        <v>19489</v>
      </c>
      <c r="U1677" s="1" t="s">
        <v>17</v>
      </c>
      <c r="V1677" s="1" t="s">
        <v>180</v>
      </c>
      <c r="W1677" s="1"/>
    </row>
    <row r="1678" spans="1:23" x14ac:dyDescent="0.2">
      <c r="A1678" s="88" t="s">
        <v>16962</v>
      </c>
      <c r="B1678" s="1" t="e">
        <v>#N/A</v>
      </c>
      <c r="C1678" s="1" t="e">
        <v>#N/A</v>
      </c>
      <c r="D1678" s="1" t="s">
        <v>4531</v>
      </c>
      <c r="E1678" s="1" t="s">
        <v>4532</v>
      </c>
      <c r="F1678" s="1" t="s">
        <v>9310</v>
      </c>
      <c r="G1678" s="1" t="s">
        <v>8957</v>
      </c>
      <c r="H1678" t="s">
        <v>8959</v>
      </c>
      <c r="I1678" s="1" t="s">
        <v>9092</v>
      </c>
      <c r="J1678" s="1" t="s">
        <v>8998</v>
      </c>
      <c r="K1678" s="1" t="s">
        <v>20757</v>
      </c>
      <c r="L1678" s="1" t="s">
        <v>8973</v>
      </c>
      <c r="M1678" s="1">
        <v>2280</v>
      </c>
      <c r="N1678" s="1" t="s">
        <v>8953</v>
      </c>
      <c r="O1678" s="1" t="s">
        <v>8989</v>
      </c>
      <c r="P1678" s="1" t="e">
        <v>#N/A</v>
      </c>
      <c r="Q1678" s="1" t="e">
        <v>#N/A</v>
      </c>
      <c r="R1678" s="1">
        <f t="shared" si="490"/>
        <v>7</v>
      </c>
      <c r="S1678" s="1" t="str">
        <f t="shared" si="491"/>
        <v>4-7</v>
      </c>
      <c r="T1678" s="1" t="s">
        <v>19490</v>
      </c>
      <c r="U1678" s="1" t="s">
        <v>7</v>
      </c>
      <c r="V1678" s="1" t="s">
        <v>110</v>
      </c>
      <c r="W1678" s="1"/>
    </row>
    <row r="1679" spans="1:23" x14ac:dyDescent="0.2">
      <c r="A1679" s="88" t="s">
        <v>16963</v>
      </c>
      <c r="B1679" s="1" t="e">
        <v>#N/A</v>
      </c>
      <c r="C1679" s="1" t="e">
        <v>#N/A</v>
      </c>
      <c r="D1679" s="1" t="s">
        <v>4533</v>
      </c>
      <c r="E1679" s="1" t="s">
        <v>4534</v>
      </c>
      <c r="F1679" s="1" t="s">
        <v>18502</v>
      </c>
      <c r="G1679" s="1" t="s">
        <v>9060</v>
      </c>
      <c r="H1679" t="s">
        <v>8959</v>
      </c>
      <c r="I1679" s="1" t="s">
        <v>9605</v>
      </c>
      <c r="J1679" s="1" t="s">
        <v>8998</v>
      </c>
      <c r="K1679" s="1" t="e">
        <v>#N/A</v>
      </c>
      <c r="L1679" s="1" t="s">
        <v>8987</v>
      </c>
      <c r="M1679" s="1">
        <v>23000</v>
      </c>
      <c r="N1679" s="1" t="s">
        <v>8953</v>
      </c>
      <c r="O1679" s="1" t="s">
        <v>8989</v>
      </c>
      <c r="P1679" s="1" t="e">
        <v>#N/A</v>
      </c>
      <c r="Q1679" s="1" t="e">
        <v>#N/A</v>
      </c>
      <c r="R1679" s="1">
        <f t="shared" si="490"/>
        <v>4</v>
      </c>
      <c r="S1679" s="1" t="str">
        <f t="shared" si="491"/>
        <v>&lt;4</v>
      </c>
      <c r="T1679" s="1" t="s">
        <v>19491</v>
      </c>
      <c r="U1679" s="1" t="s">
        <v>17</v>
      </c>
      <c r="V1679" s="1" t="s">
        <v>493</v>
      </c>
      <c r="W1679" s="1"/>
    </row>
    <row r="1680" spans="1:23" x14ac:dyDescent="0.2">
      <c r="A1680" s="89" t="s">
        <v>4535</v>
      </c>
      <c r="B1680" s="1" t="e">
        <v>#N/A</v>
      </c>
      <c r="C1680" s="1" t="e">
        <v>#N/A</v>
      </c>
      <c r="D1680" s="1" t="s">
        <v>4536</v>
      </c>
      <c r="E1680" s="1" t="s">
        <v>4537</v>
      </c>
      <c r="F1680" s="1" t="e">
        <v>#N/A</v>
      </c>
      <c r="G1680" s="1" t="e">
        <v>#N/A</v>
      </c>
      <c r="H1680" t="e">
        <v>#N/A</v>
      </c>
      <c r="I1680" s="1" t="e">
        <v>#N/A</v>
      </c>
      <c r="J1680" s="1" t="e">
        <v>#N/A</v>
      </c>
      <c r="K1680" s="1" t="e">
        <v>#N/A</v>
      </c>
      <c r="L1680" s="1" t="e">
        <v>#N/A</v>
      </c>
      <c r="M1680" s="1" t="e">
        <v>#N/A</v>
      </c>
      <c r="N1680" s="1" t="e">
        <v>#N/A</v>
      </c>
      <c r="O1680" s="1" t="e">
        <v>#N/A</v>
      </c>
      <c r="P1680" s="1" t="e">
        <v>#N/A</v>
      </c>
      <c r="Q1680" s="1" t="e">
        <v>#N/A</v>
      </c>
      <c r="R1680" s="1">
        <f t="shared" si="490"/>
        <v>2</v>
      </c>
      <c r="S1680" s="1" t="str">
        <f t="shared" si="491"/>
        <v>&lt;4</v>
      </c>
      <c r="T1680" s="1" t="s">
        <v>19492</v>
      </c>
      <c r="U1680" s="1" t="s">
        <v>17</v>
      </c>
      <c r="V1680" s="1" t="s">
        <v>4538</v>
      </c>
      <c r="W1680" s="1"/>
    </row>
    <row r="1681" spans="1:23" x14ac:dyDescent="0.2">
      <c r="A1681" s="92" t="s">
        <v>16964</v>
      </c>
      <c r="B1681" s="1" t="e">
        <v>#N/A</v>
      </c>
      <c r="C1681" s="1" t="e">
        <v>#N/A</v>
      </c>
      <c r="D1681" s="1" t="s">
        <v>4539</v>
      </c>
      <c r="E1681" s="1" t="s">
        <v>4540</v>
      </c>
      <c r="F1681" s="1" t="s">
        <v>9310</v>
      </c>
      <c r="G1681" s="1" t="e">
        <v>#N/A</v>
      </c>
      <c r="H1681" t="s">
        <v>8959</v>
      </c>
      <c r="I1681" s="1" t="s">
        <v>8948</v>
      </c>
      <c r="J1681" s="1" t="s">
        <v>9308</v>
      </c>
      <c r="K1681" s="1" t="e">
        <v>#N/A</v>
      </c>
      <c r="L1681" s="1" t="s">
        <v>9133</v>
      </c>
      <c r="M1681" s="1">
        <v>160</v>
      </c>
      <c r="N1681" s="1" t="s">
        <v>8953</v>
      </c>
      <c r="O1681" s="1" t="s">
        <v>8989</v>
      </c>
      <c r="P1681" s="1" t="e">
        <v>#N/A</v>
      </c>
      <c r="Q1681" s="1" t="e">
        <v>#N/A</v>
      </c>
      <c r="R1681" s="1">
        <f t="shared" si="490"/>
        <v>5</v>
      </c>
      <c r="S1681" s="1" t="str">
        <f t="shared" si="491"/>
        <v>4-7</v>
      </c>
      <c r="T1681" s="1" t="s">
        <v>19493</v>
      </c>
      <c r="U1681" s="1" t="s">
        <v>7</v>
      </c>
      <c r="V1681" s="1" t="s">
        <v>4541</v>
      </c>
      <c r="W1681" s="1"/>
    </row>
    <row r="1682" spans="1:23" x14ac:dyDescent="0.2">
      <c r="A1682" s="88" t="s">
        <v>16965</v>
      </c>
      <c r="B1682" s="1" t="e">
        <v>#N/A</v>
      </c>
      <c r="C1682" s="1" t="e">
        <v>#N/A</v>
      </c>
      <c r="D1682" s="1" t="s">
        <v>4542</v>
      </c>
      <c r="E1682" s="1" t="s">
        <v>4543</v>
      </c>
      <c r="F1682" s="1" t="s">
        <v>9310</v>
      </c>
      <c r="G1682" s="1" t="s">
        <v>8959</v>
      </c>
      <c r="H1682" t="s">
        <v>8959</v>
      </c>
      <c r="I1682" s="1" t="s">
        <v>8984</v>
      </c>
      <c r="J1682" s="1" t="s">
        <v>8949</v>
      </c>
      <c r="K1682" s="1" t="s">
        <v>20779</v>
      </c>
      <c r="L1682" s="1" t="s">
        <v>9464</v>
      </c>
      <c r="M1682" s="1">
        <v>6</v>
      </c>
      <c r="N1682" s="1" t="s">
        <v>9059</v>
      </c>
      <c r="O1682" s="1" t="s">
        <v>8989</v>
      </c>
      <c r="P1682" s="1" t="e">
        <v>#N/A</v>
      </c>
      <c r="Q1682" s="1" t="e">
        <v>#N/A</v>
      </c>
      <c r="R1682" s="1">
        <f t="shared" si="490"/>
        <v>2</v>
      </c>
      <c r="S1682" s="1" t="str">
        <f t="shared" si="491"/>
        <v>&lt;4</v>
      </c>
      <c r="T1682" s="1" t="s">
        <v>19494</v>
      </c>
      <c r="U1682" s="1" t="s">
        <v>7</v>
      </c>
      <c r="V1682" s="1" t="s">
        <v>378</v>
      </c>
      <c r="W1682" s="1"/>
    </row>
    <row r="1683" spans="1:23" x14ac:dyDescent="0.2">
      <c r="A1683" s="88" t="s">
        <v>16966</v>
      </c>
      <c r="B1683" s="1" t="e">
        <v>#N/A</v>
      </c>
      <c r="C1683" s="1" t="e">
        <v>#N/A</v>
      </c>
      <c r="D1683" s="1" t="s">
        <v>4544</v>
      </c>
      <c r="E1683" s="1" t="s">
        <v>4545</v>
      </c>
      <c r="F1683" s="1" t="s">
        <v>9310</v>
      </c>
      <c r="G1683" s="1" t="s">
        <v>8957</v>
      </c>
      <c r="H1683" t="s">
        <v>9061</v>
      </c>
      <c r="I1683" s="1" t="s">
        <v>9075</v>
      </c>
      <c r="J1683" s="1" t="s">
        <v>8949</v>
      </c>
      <c r="K1683" s="1" t="s">
        <v>10492</v>
      </c>
      <c r="L1683" s="1" t="s">
        <v>8973</v>
      </c>
      <c r="M1683" s="1">
        <v>61320</v>
      </c>
      <c r="N1683" s="1" t="s">
        <v>8953</v>
      </c>
      <c r="O1683" s="1" t="s">
        <v>8989</v>
      </c>
      <c r="P1683" s="1" t="e">
        <v>#N/A</v>
      </c>
      <c r="Q1683" s="1" t="e">
        <v>#N/A</v>
      </c>
      <c r="R1683" s="1">
        <f t="shared" si="490"/>
        <v>11</v>
      </c>
      <c r="S1683" s="1" t="str">
        <f t="shared" si="491"/>
        <v>&gt;7</v>
      </c>
      <c r="T1683" s="1" t="s">
        <v>19495</v>
      </c>
      <c r="U1683" s="1" t="s">
        <v>7</v>
      </c>
      <c r="V1683" s="1" t="s">
        <v>147</v>
      </c>
      <c r="W1683" s="1"/>
    </row>
    <row r="1684" spans="1:23" x14ac:dyDescent="0.2">
      <c r="A1684" s="88" t="s">
        <v>16967</v>
      </c>
      <c r="B1684" s="1" t="e">
        <v>#N/A</v>
      </c>
      <c r="C1684" s="1" t="s">
        <v>15022</v>
      </c>
      <c r="D1684" s="1" t="s">
        <v>4546</v>
      </c>
      <c r="E1684" s="1" t="s">
        <v>4547</v>
      </c>
      <c r="F1684" s="1" t="s">
        <v>9310</v>
      </c>
      <c r="G1684" s="1" t="s">
        <v>8957</v>
      </c>
      <c r="H1684" t="s">
        <v>8959</v>
      </c>
      <c r="I1684" s="1" t="s">
        <v>8948</v>
      </c>
      <c r="J1684" s="1" t="s">
        <v>8949</v>
      </c>
      <c r="K1684" s="1" t="s">
        <v>9036</v>
      </c>
      <c r="L1684" s="1" t="s">
        <v>9076</v>
      </c>
      <c r="M1684" s="1">
        <v>288</v>
      </c>
      <c r="N1684" s="1" t="s">
        <v>8953</v>
      </c>
      <c r="O1684" s="1" t="s">
        <v>8954</v>
      </c>
      <c r="P1684" s="1" t="s">
        <v>8955</v>
      </c>
      <c r="Q1684" s="1" t="s">
        <v>8956</v>
      </c>
      <c r="R1684" s="1" t="s">
        <v>8957</v>
      </c>
      <c r="S1684" s="1" t="s">
        <v>8975</v>
      </c>
      <c r="T1684" s="1" t="s">
        <v>4548</v>
      </c>
      <c r="U1684" s="1" t="s">
        <v>17</v>
      </c>
      <c r="V1684" s="1" t="s">
        <v>93</v>
      </c>
      <c r="W1684" s="1"/>
    </row>
    <row r="1685" spans="1:23" x14ac:dyDescent="0.2">
      <c r="A1685" s="88" t="s">
        <v>16968</v>
      </c>
      <c r="B1685" s="1" t="e">
        <v>#N/A</v>
      </c>
      <c r="C1685" s="1" t="s">
        <v>10017</v>
      </c>
      <c r="D1685" s="1" t="s">
        <v>4549</v>
      </c>
      <c r="E1685" s="1" t="s">
        <v>4550</v>
      </c>
      <c r="F1685" s="1" t="s">
        <v>11671</v>
      </c>
      <c r="G1685" s="1" t="s">
        <v>8957</v>
      </c>
      <c r="H1685" t="s">
        <v>9009</v>
      </c>
      <c r="I1685" s="1" t="s">
        <v>9092</v>
      </c>
      <c r="J1685" s="1" t="s">
        <v>9155</v>
      </c>
      <c r="K1685" s="1" t="s">
        <v>9036</v>
      </c>
      <c r="L1685" s="1" t="s">
        <v>8973</v>
      </c>
      <c r="M1685" s="1">
        <v>150</v>
      </c>
      <c r="N1685" s="1" t="s">
        <v>9059</v>
      </c>
      <c r="O1685" s="1" t="s">
        <v>8954</v>
      </c>
      <c r="P1685" s="1" t="s">
        <v>8955</v>
      </c>
      <c r="Q1685" s="1" t="s">
        <v>8956</v>
      </c>
      <c r="R1685" s="1" t="s">
        <v>8957</v>
      </c>
      <c r="S1685" s="1" t="s">
        <v>8975</v>
      </c>
      <c r="T1685" s="1" t="s">
        <v>4551</v>
      </c>
      <c r="U1685" s="1" t="s">
        <v>17</v>
      </c>
      <c r="V1685" s="1" t="s">
        <v>831</v>
      </c>
      <c r="W1685" s="1"/>
    </row>
    <row r="1686" spans="1:23" x14ac:dyDescent="0.2">
      <c r="A1686" s="88" t="s">
        <v>16969</v>
      </c>
      <c r="B1686" s="1" t="e">
        <v>#N/A</v>
      </c>
      <c r="C1686" s="1" t="e">
        <v>#N/A</v>
      </c>
      <c r="D1686" s="1" t="s">
        <v>4552</v>
      </c>
      <c r="E1686" s="1" t="s">
        <v>4553</v>
      </c>
      <c r="F1686" s="1" t="s">
        <v>9636</v>
      </c>
      <c r="G1686" s="1" t="s">
        <v>20818</v>
      </c>
      <c r="H1686" t="s">
        <v>8959</v>
      </c>
      <c r="I1686" s="1" t="s">
        <v>9100</v>
      </c>
      <c r="J1686" s="1" t="s">
        <v>8949</v>
      </c>
      <c r="K1686" s="1" t="s">
        <v>10492</v>
      </c>
      <c r="L1686" s="1" t="s">
        <v>8973</v>
      </c>
      <c r="M1686" s="1">
        <f>2600+72800</f>
        <v>75400</v>
      </c>
      <c r="N1686" s="1" t="s">
        <v>8953</v>
      </c>
      <c r="O1686" s="1" t="s">
        <v>8989</v>
      </c>
      <c r="P1686" s="1" t="e">
        <v>#N/A</v>
      </c>
      <c r="Q1686" s="1" t="e">
        <v>#N/A</v>
      </c>
      <c r="R1686" s="1">
        <f>1+LEN(T1686)-LEN(SUBSTITUTE(T1686,",",))</f>
        <v>6</v>
      </c>
      <c r="S1686" s="1" t="str">
        <f>IF(R1686&gt;4,IF(R1686&lt;8,"4-7",IF(R1686&gt;7,"&gt;7")),"&lt;4")</f>
        <v>4-7</v>
      </c>
      <c r="T1686" s="1" t="s">
        <v>19496</v>
      </c>
      <c r="U1686" s="1" t="s">
        <v>17</v>
      </c>
      <c r="V1686" s="1" t="s">
        <v>46</v>
      </c>
      <c r="W1686" s="1"/>
    </row>
    <row r="1687" spans="1:23" x14ac:dyDescent="0.2">
      <c r="A1687" s="88" t="s">
        <v>16970</v>
      </c>
      <c r="B1687" s="1" t="e">
        <v>#N/A</v>
      </c>
      <c r="C1687" s="1" t="s">
        <v>11206</v>
      </c>
      <c r="D1687" s="1" t="s">
        <v>4554</v>
      </c>
      <c r="E1687" s="1" t="s">
        <v>4555</v>
      </c>
      <c r="F1687" s="1" t="s">
        <v>9010</v>
      </c>
      <c r="G1687" s="1" t="s">
        <v>8974</v>
      </c>
      <c r="H1687" t="s">
        <v>9183</v>
      </c>
      <c r="I1687" s="1" t="s">
        <v>9092</v>
      </c>
      <c r="J1687" s="1" t="s">
        <v>9308</v>
      </c>
      <c r="K1687" s="1" t="s">
        <v>9036</v>
      </c>
      <c r="L1687" s="1" t="s">
        <v>8951</v>
      </c>
      <c r="M1687" s="1">
        <v>135409</v>
      </c>
      <c r="N1687" s="1" t="s">
        <v>8953</v>
      </c>
      <c r="O1687" s="1" t="s">
        <v>8954</v>
      </c>
      <c r="P1687" s="1" t="s">
        <v>8955</v>
      </c>
      <c r="Q1687" s="1" t="s">
        <v>8956</v>
      </c>
      <c r="R1687" s="1" t="s">
        <v>8974</v>
      </c>
      <c r="S1687" s="1" t="s">
        <v>8975</v>
      </c>
      <c r="T1687" s="1" t="s">
        <v>4556</v>
      </c>
      <c r="U1687" s="1" t="s">
        <v>11</v>
      </c>
      <c r="V1687" s="1" t="s">
        <v>2121</v>
      </c>
      <c r="W1687" s="1"/>
    </row>
    <row r="1688" spans="1:23" x14ac:dyDescent="0.2">
      <c r="A1688" s="89" t="s">
        <v>4557</v>
      </c>
      <c r="B1688" s="1" t="e">
        <v>#N/A</v>
      </c>
      <c r="C1688" s="1" t="e">
        <v>#N/A</v>
      </c>
      <c r="D1688" s="1" t="s">
        <v>4558</v>
      </c>
      <c r="E1688" s="1" t="s">
        <v>4559</v>
      </c>
      <c r="F1688" s="1" t="e">
        <v>#N/A</v>
      </c>
      <c r="G1688" s="1" t="e">
        <v>#N/A</v>
      </c>
      <c r="H1688" t="e">
        <v>#N/A</v>
      </c>
      <c r="I1688" s="1" t="e">
        <v>#N/A</v>
      </c>
      <c r="J1688" s="1" t="e">
        <v>#N/A</v>
      </c>
      <c r="K1688" s="1" t="e">
        <v>#N/A</v>
      </c>
      <c r="L1688" s="1" t="e">
        <v>#N/A</v>
      </c>
      <c r="M1688" s="1" t="e">
        <v>#N/A</v>
      </c>
      <c r="N1688" s="1" t="e">
        <v>#N/A</v>
      </c>
      <c r="O1688" s="1" t="e">
        <v>#N/A</v>
      </c>
      <c r="P1688" s="1" t="e">
        <v>#N/A</v>
      </c>
      <c r="Q1688" s="1" t="e">
        <v>#N/A</v>
      </c>
      <c r="R1688" s="1">
        <f t="shared" ref="R1688:R1689" si="492">1+LEN(T1688)-LEN(SUBSTITUTE(T1688,",",))</f>
        <v>7</v>
      </c>
      <c r="S1688" s="1" t="str">
        <f t="shared" ref="S1688:S1689" si="493">IF(R1688&gt;4,IF(R1688&lt;8,"4-7",IF(R1688&gt;7,"&gt;7")),"&lt;4")</f>
        <v>4-7</v>
      </c>
      <c r="T1688" s="1" t="s">
        <v>19497</v>
      </c>
      <c r="U1688" s="1" t="s">
        <v>17</v>
      </c>
      <c r="V1688" s="1" t="s">
        <v>652</v>
      </c>
      <c r="W1688" s="1"/>
    </row>
    <row r="1689" spans="1:23" x14ac:dyDescent="0.2">
      <c r="A1689" s="89" t="s">
        <v>4560</v>
      </c>
      <c r="B1689" s="1" t="e">
        <v>#N/A</v>
      </c>
      <c r="C1689" s="1" t="e">
        <v>#N/A</v>
      </c>
      <c r="D1689" s="1" t="s">
        <v>4561</v>
      </c>
      <c r="E1689" s="1" t="s">
        <v>4562</v>
      </c>
      <c r="F1689" s="1" t="e">
        <v>#N/A</v>
      </c>
      <c r="G1689" s="1" t="e">
        <v>#N/A</v>
      </c>
      <c r="H1689" t="e">
        <v>#N/A</v>
      </c>
      <c r="I1689" s="1" t="e">
        <v>#N/A</v>
      </c>
      <c r="J1689" s="1" t="e">
        <v>#N/A</v>
      </c>
      <c r="K1689" s="1" t="e">
        <v>#N/A</v>
      </c>
      <c r="L1689" s="1" t="e">
        <v>#N/A</v>
      </c>
      <c r="M1689" s="1" t="e">
        <v>#N/A</v>
      </c>
      <c r="N1689" s="1" t="e">
        <v>#N/A</v>
      </c>
      <c r="O1689" s="1" t="e">
        <v>#N/A</v>
      </c>
      <c r="P1689" s="1" t="e">
        <v>#N/A</v>
      </c>
      <c r="Q1689" s="1" t="e">
        <v>#N/A</v>
      </c>
      <c r="R1689" s="1">
        <f t="shared" si="492"/>
        <v>9</v>
      </c>
      <c r="S1689" s="1" t="str">
        <f t="shared" si="493"/>
        <v>&gt;7</v>
      </c>
      <c r="T1689" s="1" t="s">
        <v>19498</v>
      </c>
      <c r="U1689" s="1" t="s">
        <v>4</v>
      </c>
      <c r="V1689" s="1" t="s">
        <v>126</v>
      </c>
      <c r="W1689" s="1"/>
    </row>
    <row r="1690" spans="1:23" x14ac:dyDescent="0.2">
      <c r="A1690" s="88" t="s">
        <v>16971</v>
      </c>
      <c r="B1690" s="1" t="e">
        <v>#N/A</v>
      </c>
      <c r="C1690" s="1" t="s">
        <v>14372</v>
      </c>
      <c r="D1690" s="1" t="s">
        <v>4563</v>
      </c>
      <c r="E1690" s="1" t="s">
        <v>4564</v>
      </c>
      <c r="F1690" s="1" t="s">
        <v>9246</v>
      </c>
      <c r="G1690" s="1" t="s">
        <v>8957</v>
      </c>
      <c r="H1690" t="s">
        <v>9009</v>
      </c>
      <c r="I1690" s="1" t="s">
        <v>14375</v>
      </c>
      <c r="J1690" s="1" t="s">
        <v>9422</v>
      </c>
      <c r="K1690" s="1" t="s">
        <v>9036</v>
      </c>
      <c r="L1690" s="1" t="s">
        <v>9133</v>
      </c>
      <c r="M1690" s="1">
        <v>254</v>
      </c>
      <c r="N1690" s="1" t="s">
        <v>9059</v>
      </c>
      <c r="O1690" s="1" t="s">
        <v>8989</v>
      </c>
      <c r="P1690" s="1" t="s">
        <v>8955</v>
      </c>
      <c r="Q1690" s="1" t="s">
        <v>8956</v>
      </c>
      <c r="R1690" s="1" t="s">
        <v>8957</v>
      </c>
      <c r="S1690" s="1" t="s">
        <v>8975</v>
      </c>
      <c r="T1690" s="1" t="s">
        <v>4565</v>
      </c>
      <c r="U1690" s="1" t="s">
        <v>242</v>
      </c>
      <c r="V1690" s="1" t="s">
        <v>24</v>
      </c>
      <c r="W1690" s="1"/>
    </row>
    <row r="1691" spans="1:23" x14ac:dyDescent="0.2">
      <c r="A1691" s="89" t="s">
        <v>4566</v>
      </c>
      <c r="B1691" s="1" t="e">
        <v>#N/A</v>
      </c>
      <c r="C1691" s="1" t="e">
        <v>#N/A</v>
      </c>
      <c r="D1691" s="1" t="s">
        <v>4567</v>
      </c>
      <c r="E1691" s="1" t="s">
        <v>4568</v>
      </c>
      <c r="F1691" s="1" t="e">
        <v>#N/A</v>
      </c>
      <c r="G1691" s="1" t="e">
        <v>#N/A</v>
      </c>
      <c r="H1691" t="e">
        <v>#N/A</v>
      </c>
      <c r="I1691" s="1" t="e">
        <v>#N/A</v>
      </c>
      <c r="J1691" s="1" t="e">
        <v>#N/A</v>
      </c>
      <c r="K1691" s="1" t="e">
        <v>#N/A</v>
      </c>
      <c r="L1691" s="1" t="e">
        <v>#N/A</v>
      </c>
      <c r="M1691" s="1" t="e">
        <v>#N/A</v>
      </c>
      <c r="N1691" s="1" t="e">
        <v>#N/A</v>
      </c>
      <c r="O1691" s="1" t="e">
        <v>#N/A</v>
      </c>
      <c r="P1691" s="1" t="e">
        <v>#N/A</v>
      </c>
      <c r="Q1691" s="1" t="e">
        <v>#N/A</v>
      </c>
      <c r="R1691" s="1">
        <f t="shared" ref="R1691:R1700" si="494">1+LEN(T1691)-LEN(SUBSTITUTE(T1691,",",))</f>
        <v>8</v>
      </c>
      <c r="S1691" s="1" t="str">
        <f t="shared" ref="S1691:S1700" si="495">IF(R1691&gt;4,IF(R1691&lt;8,"4-7",IF(R1691&gt;7,"&gt;7")),"&lt;4")</f>
        <v>&gt;7</v>
      </c>
      <c r="T1691" s="1" t="s">
        <v>19499</v>
      </c>
      <c r="U1691" s="1" t="s">
        <v>7</v>
      </c>
      <c r="V1691" s="1" t="s">
        <v>3294</v>
      </c>
      <c r="W1691" s="1"/>
    </row>
    <row r="1692" spans="1:23" x14ac:dyDescent="0.2">
      <c r="A1692" s="88" t="s">
        <v>16972</v>
      </c>
      <c r="B1692" s="1" t="e">
        <v>#N/A</v>
      </c>
      <c r="C1692" s="1" t="e">
        <v>#N/A</v>
      </c>
      <c r="D1692" s="1" t="s">
        <v>4569</v>
      </c>
      <c r="E1692" s="1" t="s">
        <v>4570</v>
      </c>
      <c r="F1692" s="1" t="s">
        <v>9310</v>
      </c>
      <c r="G1692" s="1" t="s">
        <v>8957</v>
      </c>
      <c r="H1692" t="s">
        <v>8959</v>
      </c>
      <c r="I1692" s="1" t="s">
        <v>9092</v>
      </c>
      <c r="J1692" s="1" t="s">
        <v>9308</v>
      </c>
      <c r="K1692" s="1" t="s">
        <v>20783</v>
      </c>
      <c r="L1692" s="1" t="s">
        <v>9133</v>
      </c>
      <c r="M1692" s="1">
        <v>2770</v>
      </c>
      <c r="N1692" s="1" t="s">
        <v>8953</v>
      </c>
      <c r="O1692" s="1" t="s">
        <v>8989</v>
      </c>
      <c r="P1692" s="1" t="e">
        <v>#N/A</v>
      </c>
      <c r="Q1692" s="1" t="e">
        <v>#N/A</v>
      </c>
      <c r="R1692" s="1">
        <f t="shared" si="494"/>
        <v>3</v>
      </c>
      <c r="S1692" s="1" t="str">
        <f t="shared" si="495"/>
        <v>&lt;4</v>
      </c>
      <c r="T1692" s="1" t="s">
        <v>19500</v>
      </c>
      <c r="U1692" s="1" t="s">
        <v>7</v>
      </c>
      <c r="V1692" s="1" t="s">
        <v>64</v>
      </c>
      <c r="W1692" s="1"/>
    </row>
    <row r="1693" spans="1:23" x14ac:dyDescent="0.2">
      <c r="A1693" s="88" t="s">
        <v>16973</v>
      </c>
      <c r="B1693" s="1" t="e">
        <v>#N/A</v>
      </c>
      <c r="C1693" s="1" t="e">
        <v>#N/A</v>
      </c>
      <c r="D1693" s="1" t="s">
        <v>4571</v>
      </c>
      <c r="E1693" s="1" t="s">
        <v>4572</v>
      </c>
      <c r="F1693" s="1" t="s">
        <v>9310</v>
      </c>
      <c r="G1693" s="1" t="s">
        <v>8957</v>
      </c>
      <c r="H1693" t="s">
        <v>8959</v>
      </c>
      <c r="I1693" s="1" t="s">
        <v>20714</v>
      </c>
      <c r="J1693" s="1" t="s">
        <v>9050</v>
      </c>
      <c r="K1693" s="1" t="s">
        <v>18489</v>
      </c>
      <c r="L1693" s="1" t="s">
        <v>8951</v>
      </c>
      <c r="M1693" s="1">
        <v>20394</v>
      </c>
      <c r="N1693" s="1" t="s">
        <v>8953</v>
      </c>
      <c r="O1693" s="1" t="s">
        <v>8989</v>
      </c>
      <c r="P1693" s="1" t="e">
        <v>#N/A</v>
      </c>
      <c r="Q1693" s="1" t="e">
        <v>#N/A</v>
      </c>
      <c r="R1693" s="1">
        <f t="shared" si="494"/>
        <v>7</v>
      </c>
      <c r="S1693" s="1" t="str">
        <f t="shared" si="495"/>
        <v>4-7</v>
      </c>
      <c r="T1693" s="1" t="s">
        <v>19501</v>
      </c>
      <c r="U1693" s="1" t="s">
        <v>17</v>
      </c>
      <c r="V1693" s="1" t="s">
        <v>110</v>
      </c>
      <c r="W1693" s="1"/>
    </row>
    <row r="1694" spans="1:23" x14ac:dyDescent="0.2">
      <c r="A1694" s="88" t="s">
        <v>16974</v>
      </c>
      <c r="B1694" s="1" t="e">
        <v>#N/A</v>
      </c>
      <c r="C1694" s="1" t="e">
        <v>#N/A</v>
      </c>
      <c r="D1694" s="1" t="s">
        <v>4573</v>
      </c>
      <c r="E1694" s="1" t="s">
        <v>4574</v>
      </c>
      <c r="F1694" s="1" t="s">
        <v>9310</v>
      </c>
      <c r="G1694" s="1" t="s">
        <v>8957</v>
      </c>
      <c r="H1694" t="s">
        <v>8959</v>
      </c>
      <c r="I1694" s="1" t="s">
        <v>20712</v>
      </c>
      <c r="J1694" s="1" t="s">
        <v>9308</v>
      </c>
      <c r="K1694" s="1" t="s">
        <v>20785</v>
      </c>
      <c r="L1694" s="1" t="s">
        <v>9076</v>
      </c>
      <c r="M1694" s="1">
        <f>208+2698</f>
        <v>2906</v>
      </c>
      <c r="N1694" s="1" t="s">
        <v>9059</v>
      </c>
      <c r="O1694" s="1" t="s">
        <v>8954</v>
      </c>
      <c r="P1694" s="1" t="e">
        <v>#N/A</v>
      </c>
      <c r="Q1694" s="1" t="e">
        <v>#N/A</v>
      </c>
      <c r="R1694" s="1">
        <f t="shared" si="494"/>
        <v>6</v>
      </c>
      <c r="S1694" s="1" t="str">
        <f t="shared" si="495"/>
        <v>4-7</v>
      </c>
      <c r="T1694" s="1" t="s">
        <v>19502</v>
      </c>
      <c r="U1694" s="1" t="s">
        <v>17</v>
      </c>
      <c r="V1694" s="1" t="s">
        <v>93</v>
      </c>
      <c r="W1694" s="1"/>
    </row>
    <row r="1695" spans="1:23" x14ac:dyDescent="0.2">
      <c r="A1695" s="94" t="s">
        <v>16975</v>
      </c>
      <c r="B1695" s="1" t="e">
        <v>#N/A</v>
      </c>
      <c r="C1695" s="1" t="e">
        <v>#N/A</v>
      </c>
      <c r="D1695" s="1" t="s">
        <v>4575</v>
      </c>
      <c r="E1695" s="1" t="s">
        <v>4576</v>
      </c>
      <c r="F1695" s="1" t="s">
        <v>9310</v>
      </c>
      <c r="G1695" s="1" t="e">
        <v>#N/A</v>
      </c>
      <c r="H1695" t="s">
        <v>8959</v>
      </c>
      <c r="I1695" s="1" t="s">
        <v>9035</v>
      </c>
      <c r="J1695" s="1" t="s">
        <v>8998</v>
      </c>
      <c r="K1695" s="1" t="e">
        <v>#N/A</v>
      </c>
      <c r="L1695" s="1" t="s">
        <v>8973</v>
      </c>
      <c r="M1695" s="1">
        <v>25</v>
      </c>
      <c r="N1695" s="1" t="s">
        <v>8953</v>
      </c>
      <c r="O1695" s="1" t="s">
        <v>8954</v>
      </c>
      <c r="P1695" s="1" t="e">
        <v>#N/A</v>
      </c>
      <c r="Q1695" s="1" t="e">
        <v>#N/A</v>
      </c>
      <c r="R1695" s="1">
        <f t="shared" si="494"/>
        <v>3</v>
      </c>
      <c r="S1695" s="1" t="str">
        <f t="shared" si="495"/>
        <v>&lt;4</v>
      </c>
      <c r="T1695" s="1" t="s">
        <v>19503</v>
      </c>
      <c r="U1695" s="1" t="s">
        <v>7</v>
      </c>
      <c r="V1695" s="1" t="s">
        <v>93</v>
      </c>
      <c r="W1695" s="1"/>
    </row>
    <row r="1696" spans="1:23" x14ac:dyDescent="0.2">
      <c r="A1696" s="88" t="s">
        <v>16976</v>
      </c>
      <c r="B1696" s="1" t="e">
        <v>#N/A</v>
      </c>
      <c r="C1696" s="1" t="e">
        <v>#N/A</v>
      </c>
      <c r="D1696" s="1" t="s">
        <v>4577</v>
      </c>
      <c r="E1696" s="1" t="s">
        <v>4578</v>
      </c>
      <c r="F1696" s="1" t="s">
        <v>18502</v>
      </c>
      <c r="G1696" s="1" t="s">
        <v>8959</v>
      </c>
      <c r="H1696" t="s">
        <v>8959</v>
      </c>
      <c r="I1696" s="1" t="s">
        <v>8948</v>
      </c>
      <c r="J1696" s="1" t="s">
        <v>9725</v>
      </c>
      <c r="K1696" s="1" t="s">
        <v>10492</v>
      </c>
      <c r="L1696" s="1" t="s">
        <v>9076</v>
      </c>
      <c r="M1696" s="1">
        <v>1292</v>
      </c>
      <c r="N1696" s="1" t="s">
        <v>8953</v>
      </c>
      <c r="O1696" s="1" t="s">
        <v>8989</v>
      </c>
      <c r="P1696" s="1" t="e">
        <v>#N/A</v>
      </c>
      <c r="Q1696" s="1" t="e">
        <v>#N/A</v>
      </c>
      <c r="R1696" s="1">
        <f t="shared" si="494"/>
        <v>2</v>
      </c>
      <c r="S1696" s="1" t="str">
        <f t="shared" si="495"/>
        <v>&lt;4</v>
      </c>
      <c r="T1696" s="1" t="s">
        <v>19504</v>
      </c>
      <c r="U1696" s="1" t="s">
        <v>17</v>
      </c>
      <c r="V1696" s="1" t="s">
        <v>378</v>
      </c>
      <c r="W1696" s="1"/>
    </row>
    <row r="1697" spans="1:23" x14ac:dyDescent="0.2">
      <c r="A1697" s="88" t="s">
        <v>16977</v>
      </c>
      <c r="B1697" s="1" t="e">
        <v>#N/A</v>
      </c>
      <c r="C1697" s="1" t="e">
        <v>#N/A</v>
      </c>
      <c r="D1697" s="1" t="s">
        <v>4579</v>
      </c>
      <c r="E1697" s="1" t="s">
        <v>4580</v>
      </c>
      <c r="F1697" s="1" t="s">
        <v>18502</v>
      </c>
      <c r="G1697" s="1" t="s">
        <v>8957</v>
      </c>
      <c r="H1697" t="s">
        <v>8959</v>
      </c>
      <c r="I1697" s="1" t="s">
        <v>8948</v>
      </c>
      <c r="J1697" s="1" t="s">
        <v>8998</v>
      </c>
      <c r="K1697" s="1" t="s">
        <v>10492</v>
      </c>
      <c r="L1697" s="1" t="s">
        <v>9076</v>
      </c>
      <c r="M1697" s="1">
        <v>4000</v>
      </c>
      <c r="N1697" s="1" t="s">
        <v>8953</v>
      </c>
      <c r="O1697" s="1" t="s">
        <v>8989</v>
      </c>
      <c r="P1697" s="1" t="e">
        <v>#N/A</v>
      </c>
      <c r="Q1697" s="1" t="e">
        <v>#N/A</v>
      </c>
      <c r="R1697" s="1">
        <f t="shared" si="494"/>
        <v>2</v>
      </c>
      <c r="S1697" s="1" t="str">
        <f t="shared" si="495"/>
        <v>&lt;4</v>
      </c>
      <c r="T1697" s="1" t="s">
        <v>19504</v>
      </c>
      <c r="U1697" s="1" t="s">
        <v>7</v>
      </c>
      <c r="V1697" s="1" t="s">
        <v>2434</v>
      </c>
      <c r="W1697" s="1"/>
    </row>
    <row r="1698" spans="1:23" x14ac:dyDescent="0.2">
      <c r="A1698" s="88" t="s">
        <v>16978</v>
      </c>
      <c r="B1698" s="1" t="e">
        <v>#N/A</v>
      </c>
      <c r="C1698" s="1" t="e">
        <v>#N/A</v>
      </c>
      <c r="D1698" s="1" t="s">
        <v>4581</v>
      </c>
      <c r="E1698" s="1" t="s">
        <v>4582</v>
      </c>
      <c r="F1698" s="1" t="s">
        <v>18502</v>
      </c>
      <c r="G1698" s="1" t="s">
        <v>8957</v>
      </c>
      <c r="H1698" t="s">
        <v>8959</v>
      </c>
      <c r="I1698" s="1" t="s">
        <v>8948</v>
      </c>
      <c r="J1698" s="1" t="s">
        <v>9155</v>
      </c>
      <c r="K1698" s="1" t="s">
        <v>10492</v>
      </c>
      <c r="L1698" s="1" t="s">
        <v>9076</v>
      </c>
      <c r="M1698" s="1">
        <v>21</v>
      </c>
      <c r="N1698" s="1" t="s">
        <v>8953</v>
      </c>
      <c r="O1698" s="1" t="s">
        <v>8989</v>
      </c>
      <c r="P1698" s="1" t="e">
        <v>#N/A</v>
      </c>
      <c r="Q1698" s="1" t="e">
        <v>#N/A</v>
      </c>
      <c r="R1698" s="1">
        <f t="shared" si="494"/>
        <v>2</v>
      </c>
      <c r="S1698" s="1" t="str">
        <f t="shared" si="495"/>
        <v>&lt;4</v>
      </c>
      <c r="T1698" s="1" t="s">
        <v>19505</v>
      </c>
      <c r="U1698" s="1" t="s">
        <v>17</v>
      </c>
      <c r="V1698" s="1" t="s">
        <v>378</v>
      </c>
      <c r="W1698" s="1"/>
    </row>
    <row r="1699" spans="1:23" x14ac:dyDescent="0.2">
      <c r="A1699" s="88" t="s">
        <v>16979</v>
      </c>
      <c r="B1699" s="1" t="e">
        <v>#N/A</v>
      </c>
      <c r="C1699" s="1" t="e">
        <v>#N/A</v>
      </c>
      <c r="D1699" s="1" t="s">
        <v>4583</v>
      </c>
      <c r="E1699" s="1" t="s">
        <v>4584</v>
      </c>
      <c r="F1699" s="1" t="s">
        <v>18502</v>
      </c>
      <c r="G1699" s="1" t="s">
        <v>20874</v>
      </c>
      <c r="H1699" t="s">
        <v>9061</v>
      </c>
      <c r="I1699" s="1" t="s">
        <v>9100</v>
      </c>
      <c r="J1699" s="1" t="s">
        <v>8949</v>
      </c>
      <c r="K1699" s="1" t="s">
        <v>10525</v>
      </c>
      <c r="L1699" s="1" t="s">
        <v>9133</v>
      </c>
      <c r="M1699" s="1">
        <v>3566</v>
      </c>
      <c r="N1699" s="1" t="s">
        <v>8953</v>
      </c>
      <c r="O1699" s="1" t="s">
        <v>8954</v>
      </c>
      <c r="P1699" s="1" t="e">
        <v>#N/A</v>
      </c>
      <c r="Q1699" s="1" t="e">
        <v>#N/A</v>
      </c>
      <c r="R1699" s="1">
        <f t="shared" si="494"/>
        <v>13</v>
      </c>
      <c r="S1699" s="1" t="str">
        <f t="shared" si="495"/>
        <v>&gt;7</v>
      </c>
      <c r="T1699" s="1" t="s">
        <v>20634</v>
      </c>
      <c r="U1699" s="1" t="s">
        <v>17</v>
      </c>
      <c r="V1699" s="1" t="s">
        <v>21</v>
      </c>
      <c r="W1699" s="1"/>
    </row>
    <row r="1700" spans="1:23" x14ac:dyDescent="0.2">
      <c r="A1700" s="88" t="s">
        <v>16980</v>
      </c>
      <c r="B1700" s="1" t="e">
        <v>#N/A</v>
      </c>
      <c r="C1700" s="1" t="e">
        <v>#N/A</v>
      </c>
      <c r="D1700" s="1" t="s">
        <v>4585</v>
      </c>
      <c r="E1700" s="1" t="s">
        <v>4586</v>
      </c>
      <c r="F1700" s="1" t="s">
        <v>9310</v>
      </c>
      <c r="G1700" s="1" t="s">
        <v>8957</v>
      </c>
      <c r="H1700" t="s">
        <v>9061</v>
      </c>
      <c r="I1700" s="1" t="s">
        <v>8984</v>
      </c>
      <c r="J1700" s="1" t="s">
        <v>8971</v>
      </c>
      <c r="K1700" s="1" t="s">
        <v>20779</v>
      </c>
      <c r="L1700" s="1" t="s">
        <v>8951</v>
      </c>
      <c r="M1700" s="1">
        <v>138</v>
      </c>
      <c r="N1700" s="1" t="s">
        <v>9059</v>
      </c>
      <c r="O1700" s="1" t="s">
        <v>8989</v>
      </c>
      <c r="P1700" s="1" t="e">
        <v>#N/A</v>
      </c>
      <c r="Q1700" s="1" t="e">
        <v>#N/A</v>
      </c>
      <c r="R1700" s="1">
        <f t="shared" si="494"/>
        <v>13</v>
      </c>
      <c r="S1700" s="1" t="str">
        <f t="shared" si="495"/>
        <v>&gt;7</v>
      </c>
      <c r="T1700" s="1" t="s">
        <v>19506</v>
      </c>
      <c r="U1700" s="1" t="s">
        <v>7</v>
      </c>
      <c r="V1700" s="1" t="s">
        <v>147</v>
      </c>
      <c r="W1700" s="1"/>
    </row>
    <row r="1701" spans="1:23" x14ac:dyDescent="0.2">
      <c r="A1701" s="88" t="s">
        <v>16981</v>
      </c>
      <c r="B1701" s="1" t="e">
        <v>#N/A</v>
      </c>
      <c r="C1701" s="1" t="s">
        <v>10626</v>
      </c>
      <c r="D1701" s="1" t="s">
        <v>4587</v>
      </c>
      <c r="E1701" s="1" t="s">
        <v>4588</v>
      </c>
      <c r="F1701" s="1" t="s">
        <v>9010</v>
      </c>
      <c r="G1701" s="1" t="s">
        <v>8957</v>
      </c>
      <c r="H1701" t="s">
        <v>9061</v>
      </c>
      <c r="I1701" s="1" t="s">
        <v>9092</v>
      </c>
      <c r="J1701" s="1" t="s">
        <v>8949</v>
      </c>
      <c r="K1701" s="1" t="s">
        <v>10629</v>
      </c>
      <c r="L1701" s="1" t="s">
        <v>8973</v>
      </c>
      <c r="M1701" s="1">
        <v>120</v>
      </c>
      <c r="N1701" s="1" t="s">
        <v>8953</v>
      </c>
      <c r="O1701" s="1" t="s">
        <v>8954</v>
      </c>
      <c r="P1701" s="1" t="s">
        <v>8955</v>
      </c>
      <c r="Q1701" s="1" t="s">
        <v>8956</v>
      </c>
      <c r="R1701" s="1" t="s">
        <v>8957</v>
      </c>
      <c r="S1701" s="1" t="s">
        <v>9103</v>
      </c>
      <c r="T1701" s="1" t="s">
        <v>4589</v>
      </c>
      <c r="U1701" s="1" t="s">
        <v>17</v>
      </c>
      <c r="V1701" s="1" t="s">
        <v>161</v>
      </c>
      <c r="W1701" s="1"/>
    </row>
    <row r="1702" spans="1:23" x14ac:dyDescent="0.2">
      <c r="A1702" s="88" t="s">
        <v>16982</v>
      </c>
      <c r="B1702" s="1" t="e">
        <v>#N/A</v>
      </c>
      <c r="C1702" s="1" t="e">
        <v>#N/A</v>
      </c>
      <c r="D1702" s="1" t="s">
        <v>4590</v>
      </c>
      <c r="E1702" s="1" t="s">
        <v>4591</v>
      </c>
      <c r="F1702" s="1" t="s">
        <v>18502</v>
      </c>
      <c r="G1702" s="1" t="s">
        <v>8959</v>
      </c>
      <c r="H1702" t="s">
        <v>9061</v>
      </c>
      <c r="I1702" s="1" t="s">
        <v>9092</v>
      </c>
      <c r="J1702" s="1" t="s">
        <v>8949</v>
      </c>
      <c r="K1702" s="1" t="s">
        <v>10492</v>
      </c>
      <c r="L1702" s="1" t="s">
        <v>9076</v>
      </c>
      <c r="M1702" s="1">
        <v>100</v>
      </c>
      <c r="N1702" s="1" t="s">
        <v>9059</v>
      </c>
      <c r="O1702" s="1" t="s">
        <v>8989</v>
      </c>
      <c r="P1702" s="1" t="e">
        <v>#N/A</v>
      </c>
      <c r="Q1702" s="1" t="e">
        <v>#N/A</v>
      </c>
      <c r="R1702" s="1">
        <f>1+LEN(T1702)-LEN(SUBSTITUTE(T1702,",",))</f>
        <v>3</v>
      </c>
      <c r="S1702" s="1" t="str">
        <f>IF(R1702&gt;4,IF(R1702&lt;8,"4-7",IF(R1702&gt;7,"&gt;7")),"&lt;4")</f>
        <v>&lt;4</v>
      </c>
      <c r="T1702" s="1" t="s">
        <v>19507</v>
      </c>
      <c r="U1702" s="1" t="s">
        <v>17</v>
      </c>
      <c r="V1702" s="1" t="s">
        <v>161</v>
      </c>
      <c r="W1702" s="1"/>
    </row>
    <row r="1703" spans="1:23" x14ac:dyDescent="0.2">
      <c r="A1703" s="88" t="s">
        <v>16983</v>
      </c>
      <c r="B1703" s="1" t="e">
        <v>#N/A</v>
      </c>
      <c r="C1703" s="1" t="s">
        <v>13561</v>
      </c>
      <c r="D1703" s="1" t="s">
        <v>4592</v>
      </c>
      <c r="E1703" s="1" t="s">
        <v>4593</v>
      </c>
      <c r="F1703" s="1" t="s">
        <v>9010</v>
      </c>
      <c r="G1703" s="1" t="s">
        <v>8974</v>
      </c>
      <c r="H1703" t="s">
        <v>9061</v>
      </c>
      <c r="I1703" s="1" t="s">
        <v>8948</v>
      </c>
      <c r="J1703" s="1" t="s">
        <v>9155</v>
      </c>
      <c r="K1703" s="1" t="s">
        <v>21416</v>
      </c>
      <c r="L1703" s="1" t="s">
        <v>9076</v>
      </c>
      <c r="M1703" s="1">
        <v>30</v>
      </c>
      <c r="N1703" s="1" t="s">
        <v>8953</v>
      </c>
      <c r="O1703" s="1" t="s">
        <v>8989</v>
      </c>
      <c r="P1703" s="1" t="s">
        <v>8955</v>
      </c>
      <c r="Q1703" s="1" t="s">
        <v>8956</v>
      </c>
      <c r="R1703" s="1" t="s">
        <v>8974</v>
      </c>
      <c r="S1703" s="1" t="s">
        <v>8958</v>
      </c>
      <c r="T1703" s="1" t="s">
        <v>4594</v>
      </c>
      <c r="U1703" s="1" t="s">
        <v>11</v>
      </c>
      <c r="V1703" s="1" t="s">
        <v>180</v>
      </c>
      <c r="W1703" s="1"/>
    </row>
    <row r="1704" spans="1:23" x14ac:dyDescent="0.2">
      <c r="A1704" s="88" t="s">
        <v>16984</v>
      </c>
      <c r="B1704" s="1" t="e">
        <v>#N/A</v>
      </c>
      <c r="C1704" s="1" t="e">
        <v>#N/A</v>
      </c>
      <c r="D1704" s="1" t="s">
        <v>4595</v>
      </c>
      <c r="E1704" s="1" t="s">
        <v>4596</v>
      </c>
      <c r="F1704" s="1" t="s">
        <v>9310</v>
      </c>
      <c r="G1704" s="1" t="s">
        <v>8957</v>
      </c>
      <c r="H1704" t="s">
        <v>9061</v>
      </c>
      <c r="I1704" s="1" t="s">
        <v>8984</v>
      </c>
      <c r="J1704" s="1" t="s">
        <v>8971</v>
      </c>
      <c r="K1704" s="1" t="s">
        <v>20736</v>
      </c>
      <c r="L1704" s="1" t="s">
        <v>8951</v>
      </c>
      <c r="M1704" s="1">
        <v>98</v>
      </c>
      <c r="N1704" s="1" t="s">
        <v>9059</v>
      </c>
      <c r="O1704" s="1" t="s">
        <v>8954</v>
      </c>
      <c r="P1704" s="1" t="e">
        <v>#N/A</v>
      </c>
      <c r="Q1704" s="1" t="e">
        <v>#N/A</v>
      </c>
      <c r="R1704" s="1">
        <f t="shared" ref="R1704:R1705" si="496">1+LEN(T1704)-LEN(SUBSTITUTE(T1704,",",))</f>
        <v>6</v>
      </c>
      <c r="S1704" s="1" t="str">
        <f t="shared" ref="S1704:S1705" si="497">IF(R1704&gt;4,IF(R1704&lt;8,"4-7",IF(R1704&gt;7,"&gt;7")),"&lt;4")</f>
        <v>4-7</v>
      </c>
      <c r="T1704" s="1" t="s">
        <v>19508</v>
      </c>
      <c r="U1704" s="1" t="s">
        <v>7</v>
      </c>
      <c r="V1704" s="1" t="s">
        <v>126</v>
      </c>
      <c r="W1704" s="1"/>
    </row>
    <row r="1705" spans="1:23" x14ac:dyDescent="0.2">
      <c r="A1705" s="88" t="s">
        <v>16985</v>
      </c>
      <c r="B1705" s="1" t="e">
        <v>#N/A</v>
      </c>
      <c r="C1705" s="1" t="e">
        <v>#N/A</v>
      </c>
      <c r="D1705" s="1" t="s">
        <v>4597</v>
      </c>
      <c r="E1705" s="1" t="s">
        <v>4598</v>
      </c>
      <c r="F1705" s="1" t="s">
        <v>18502</v>
      </c>
      <c r="G1705" s="1" t="s">
        <v>8957</v>
      </c>
      <c r="H1705" t="s">
        <v>9061</v>
      </c>
      <c r="I1705" s="1" t="s">
        <v>20712</v>
      </c>
      <c r="J1705" s="1" t="s">
        <v>8949</v>
      </c>
      <c r="K1705" s="1" t="s">
        <v>10492</v>
      </c>
      <c r="L1705" s="1" t="s">
        <v>9076</v>
      </c>
      <c r="M1705" s="1">
        <v>93</v>
      </c>
      <c r="N1705" s="1" t="s">
        <v>9059</v>
      </c>
      <c r="O1705" s="1" t="s">
        <v>8954</v>
      </c>
      <c r="P1705" s="1" t="e">
        <v>#N/A</v>
      </c>
      <c r="Q1705" s="1" t="e">
        <v>#N/A</v>
      </c>
      <c r="R1705" s="1">
        <f t="shared" si="496"/>
        <v>5</v>
      </c>
      <c r="S1705" s="1" t="str">
        <f t="shared" si="497"/>
        <v>4-7</v>
      </c>
      <c r="T1705" s="1" t="s">
        <v>19509</v>
      </c>
      <c r="U1705" s="1" t="s">
        <v>17</v>
      </c>
      <c r="V1705" s="1" t="s">
        <v>161</v>
      </c>
      <c r="W1705" s="1"/>
    </row>
    <row r="1706" spans="1:23" x14ac:dyDescent="0.2">
      <c r="A1706" s="88" t="s">
        <v>16986</v>
      </c>
      <c r="B1706" s="1" t="e">
        <v>#N/A</v>
      </c>
      <c r="C1706" s="1" t="s">
        <v>10187</v>
      </c>
      <c r="D1706" s="1" t="s">
        <v>4599</v>
      </c>
      <c r="E1706" s="1" t="s">
        <v>4600</v>
      </c>
      <c r="F1706" s="1" t="s">
        <v>9010</v>
      </c>
      <c r="G1706" s="1" t="s">
        <v>8957</v>
      </c>
      <c r="H1706" t="s">
        <v>9061</v>
      </c>
      <c r="I1706" s="1" t="s">
        <v>8948</v>
      </c>
      <c r="J1706" s="1" t="s">
        <v>8949</v>
      </c>
      <c r="K1706" s="1" t="s">
        <v>9018</v>
      </c>
      <c r="L1706" s="1" t="s">
        <v>9157</v>
      </c>
      <c r="M1706" s="1">
        <v>50</v>
      </c>
      <c r="N1706" s="1" t="s">
        <v>8953</v>
      </c>
      <c r="O1706" s="1" t="s">
        <v>8954</v>
      </c>
      <c r="P1706" s="1" t="s">
        <v>8955</v>
      </c>
      <c r="Q1706" s="1" t="s">
        <v>8956</v>
      </c>
      <c r="R1706" s="1" t="s">
        <v>8957</v>
      </c>
      <c r="S1706" s="1" t="s">
        <v>8958</v>
      </c>
      <c r="T1706" s="1" t="s">
        <v>4601</v>
      </c>
      <c r="U1706" s="1" t="s">
        <v>17</v>
      </c>
      <c r="V1706" s="1" t="s">
        <v>4602</v>
      </c>
      <c r="W1706" s="1"/>
    </row>
    <row r="1707" spans="1:23" x14ac:dyDescent="0.2">
      <c r="A1707" s="88" t="s">
        <v>16987</v>
      </c>
      <c r="B1707" s="1" t="e">
        <v>#N/A</v>
      </c>
      <c r="C1707" s="1" t="s">
        <v>13711</v>
      </c>
      <c r="D1707" s="1" t="s">
        <v>4603</v>
      </c>
      <c r="E1707" s="1" t="s">
        <v>4604</v>
      </c>
      <c r="F1707" s="1" t="s">
        <v>9010</v>
      </c>
      <c r="G1707" s="1" t="s">
        <v>8959</v>
      </c>
      <c r="H1707" t="s">
        <v>9061</v>
      </c>
      <c r="I1707" s="1" t="s">
        <v>9092</v>
      </c>
      <c r="J1707" s="1" t="s">
        <v>8949</v>
      </c>
      <c r="K1707" s="1" t="s">
        <v>21306</v>
      </c>
      <c r="L1707" s="1" t="s">
        <v>8973</v>
      </c>
      <c r="M1707" s="1">
        <v>40</v>
      </c>
      <c r="N1707" s="1" t="s">
        <v>9059</v>
      </c>
      <c r="O1707" s="1" t="s">
        <v>8954</v>
      </c>
      <c r="P1707" s="1" t="s">
        <v>8955</v>
      </c>
      <c r="Q1707" s="1" t="s">
        <v>8956</v>
      </c>
      <c r="R1707" s="1" t="s">
        <v>8959</v>
      </c>
      <c r="S1707" s="1" t="s">
        <v>8958</v>
      </c>
      <c r="T1707" s="1" t="s">
        <v>4605</v>
      </c>
      <c r="U1707" s="1" t="s">
        <v>11</v>
      </c>
      <c r="V1707" s="1" t="s">
        <v>161</v>
      </c>
      <c r="W1707" s="1"/>
    </row>
    <row r="1708" spans="1:23" x14ac:dyDescent="0.2">
      <c r="A1708" s="88" t="s">
        <v>16988</v>
      </c>
      <c r="B1708" s="1" t="e">
        <v>#N/A</v>
      </c>
      <c r="C1708" s="1" t="s">
        <v>11809</v>
      </c>
      <c r="D1708" s="1" t="s">
        <v>4606</v>
      </c>
      <c r="E1708" s="1" t="s">
        <v>4607</v>
      </c>
      <c r="F1708" s="1" t="s">
        <v>9310</v>
      </c>
      <c r="G1708" s="1" t="s">
        <v>8957</v>
      </c>
      <c r="H1708" t="s">
        <v>9183</v>
      </c>
      <c r="I1708" s="1" t="s">
        <v>9092</v>
      </c>
      <c r="J1708" s="1" t="s">
        <v>8949</v>
      </c>
      <c r="K1708" s="1" t="s">
        <v>9018</v>
      </c>
      <c r="L1708" s="1" t="s">
        <v>8951</v>
      </c>
      <c r="M1708" s="1">
        <v>175</v>
      </c>
      <c r="N1708" s="1" t="s">
        <v>9059</v>
      </c>
      <c r="O1708" s="1" t="s">
        <v>8989</v>
      </c>
      <c r="P1708" s="1" t="s">
        <v>8955</v>
      </c>
      <c r="Q1708" s="1" t="s">
        <v>8956</v>
      </c>
      <c r="R1708" s="1" t="s">
        <v>8957</v>
      </c>
      <c r="S1708" s="1" t="s">
        <v>8975</v>
      </c>
      <c r="T1708" s="1" t="s">
        <v>4608</v>
      </c>
      <c r="U1708" s="1" t="s">
        <v>11</v>
      </c>
      <c r="V1708" s="1" t="s">
        <v>180</v>
      </c>
      <c r="W1708" s="1"/>
    </row>
    <row r="1709" spans="1:23" x14ac:dyDescent="0.2">
      <c r="A1709" s="88" t="s">
        <v>16989</v>
      </c>
      <c r="B1709" s="1" t="e">
        <v>#N/A</v>
      </c>
      <c r="C1709" s="1" t="s">
        <v>14883</v>
      </c>
      <c r="D1709" s="1" t="s">
        <v>4609</v>
      </c>
      <c r="E1709" s="1" t="s">
        <v>4610</v>
      </c>
      <c r="F1709" s="1" t="s">
        <v>9310</v>
      </c>
      <c r="G1709" s="1" t="s">
        <v>8957</v>
      </c>
      <c r="H1709" t="s">
        <v>8959</v>
      </c>
      <c r="I1709" s="1" t="s">
        <v>9035</v>
      </c>
      <c r="J1709" s="1" t="s">
        <v>8998</v>
      </c>
      <c r="K1709" s="1" t="s">
        <v>10258</v>
      </c>
      <c r="L1709" s="1" t="s">
        <v>8973</v>
      </c>
      <c r="M1709" s="1">
        <v>986</v>
      </c>
      <c r="N1709" s="1" t="s">
        <v>8953</v>
      </c>
      <c r="O1709" s="1" t="s">
        <v>8954</v>
      </c>
      <c r="P1709" s="1" t="s">
        <v>8955</v>
      </c>
      <c r="Q1709" s="1" t="s">
        <v>8956</v>
      </c>
      <c r="R1709" s="1" t="s">
        <v>8957</v>
      </c>
      <c r="S1709" s="1" t="s">
        <v>8975</v>
      </c>
      <c r="T1709" s="1" t="s">
        <v>4611</v>
      </c>
      <c r="U1709" s="1" t="s">
        <v>17</v>
      </c>
      <c r="V1709" s="1" t="s">
        <v>2434</v>
      </c>
      <c r="W1709" s="1"/>
    </row>
    <row r="1710" spans="1:23" x14ac:dyDescent="0.2">
      <c r="A1710" s="88" t="s">
        <v>16990</v>
      </c>
      <c r="B1710" s="1" t="e">
        <v>#N/A</v>
      </c>
      <c r="C1710" s="1" t="e">
        <v>#N/A</v>
      </c>
      <c r="D1710" s="1" t="s">
        <v>4612</v>
      </c>
      <c r="E1710" s="1" t="s">
        <v>4613</v>
      </c>
      <c r="F1710" s="1" t="s">
        <v>9310</v>
      </c>
      <c r="G1710" s="1" t="s">
        <v>8957</v>
      </c>
      <c r="H1710" t="s">
        <v>8959</v>
      </c>
      <c r="I1710" s="1" t="s">
        <v>20712</v>
      </c>
      <c r="J1710" s="1" t="s">
        <v>9155</v>
      </c>
      <c r="K1710" s="1" t="s">
        <v>20768</v>
      </c>
      <c r="L1710" s="1" t="s">
        <v>8973</v>
      </c>
      <c r="M1710" s="1">
        <f>1232+1248+384+1368</f>
        <v>4232</v>
      </c>
      <c r="N1710" s="1" t="s">
        <v>8953</v>
      </c>
      <c r="O1710" s="1" t="s">
        <v>8954</v>
      </c>
      <c r="P1710" s="1" t="e">
        <v>#N/A</v>
      </c>
      <c r="Q1710" s="1" t="e">
        <v>#N/A</v>
      </c>
      <c r="R1710" s="1">
        <f t="shared" ref="R1710:R1715" si="498">1+LEN(T1710)-LEN(SUBSTITUTE(T1710,",",))</f>
        <v>10</v>
      </c>
      <c r="S1710" s="1" t="str">
        <f t="shared" ref="S1710:S1715" si="499">IF(R1710&gt;4,IF(R1710&lt;8,"4-7",IF(R1710&gt;7,"&gt;7")),"&lt;4")</f>
        <v>&gt;7</v>
      </c>
      <c r="T1710" s="1" t="s">
        <v>19510</v>
      </c>
      <c r="U1710" s="1" t="s">
        <v>7</v>
      </c>
      <c r="V1710" s="1" t="s">
        <v>93</v>
      </c>
      <c r="W1710" s="1"/>
    </row>
    <row r="1711" spans="1:23" x14ac:dyDescent="0.2">
      <c r="A1711" s="88" t="s">
        <v>16991</v>
      </c>
      <c r="B1711" s="1" t="e">
        <v>#N/A</v>
      </c>
      <c r="C1711" s="1" t="e">
        <v>#N/A</v>
      </c>
      <c r="D1711" s="1" t="s">
        <v>4614</v>
      </c>
      <c r="E1711" s="1" t="s">
        <v>4615</v>
      </c>
      <c r="F1711" s="1" t="s">
        <v>9310</v>
      </c>
      <c r="G1711" s="1" t="s">
        <v>8957</v>
      </c>
      <c r="H1711" t="s">
        <v>8959</v>
      </c>
      <c r="I1711" s="1" t="s">
        <v>9035</v>
      </c>
      <c r="J1711" s="1" t="s">
        <v>9308</v>
      </c>
      <c r="K1711" s="1" t="s">
        <v>20723</v>
      </c>
      <c r="L1711" s="1" t="s">
        <v>8987</v>
      </c>
      <c r="M1711" s="1">
        <f>112120+154+93</f>
        <v>112367</v>
      </c>
      <c r="N1711" s="1" t="s">
        <v>8953</v>
      </c>
      <c r="O1711" s="1" t="s">
        <v>8954</v>
      </c>
      <c r="P1711" s="1" t="e">
        <v>#N/A</v>
      </c>
      <c r="Q1711" s="1" t="e">
        <v>#N/A</v>
      </c>
      <c r="R1711" s="1">
        <f t="shared" si="498"/>
        <v>6</v>
      </c>
      <c r="S1711" s="1" t="str">
        <f t="shared" si="499"/>
        <v>4-7</v>
      </c>
      <c r="T1711" s="1" t="s">
        <v>19511</v>
      </c>
      <c r="U1711" s="1" t="s">
        <v>17</v>
      </c>
      <c r="V1711" s="1" t="s">
        <v>43</v>
      </c>
      <c r="W1711" s="1"/>
    </row>
    <row r="1712" spans="1:23" x14ac:dyDescent="0.2">
      <c r="A1712" s="95" t="s">
        <v>16992</v>
      </c>
      <c r="B1712" s="1" t="e">
        <v>#N/A</v>
      </c>
      <c r="C1712" s="1" t="e">
        <v>#N/A</v>
      </c>
      <c r="D1712" s="1" t="s">
        <v>4616</v>
      </c>
      <c r="E1712" s="1" t="s">
        <v>4617</v>
      </c>
      <c r="F1712" s="1" t="s">
        <v>18502</v>
      </c>
      <c r="G1712" s="1" t="s">
        <v>8957</v>
      </c>
      <c r="H1712" t="s">
        <v>9061</v>
      </c>
      <c r="I1712" s="1" t="s">
        <v>20712</v>
      </c>
      <c r="J1712" s="1" t="s">
        <v>9725</v>
      </c>
      <c r="K1712" s="1" t="s">
        <v>10492</v>
      </c>
      <c r="L1712" s="1" t="s">
        <v>9464</v>
      </c>
      <c r="M1712" s="1">
        <f>9+12+15+12</f>
        <v>48</v>
      </c>
      <c r="N1712" s="1" t="s">
        <v>9059</v>
      </c>
      <c r="O1712" s="1" t="s">
        <v>8989</v>
      </c>
      <c r="P1712" s="1" t="e">
        <v>#N/A</v>
      </c>
      <c r="Q1712" s="1" t="e">
        <v>#N/A</v>
      </c>
      <c r="R1712" s="1">
        <f t="shared" si="498"/>
        <v>6</v>
      </c>
      <c r="S1712" s="1" t="str">
        <f t="shared" si="499"/>
        <v>4-7</v>
      </c>
      <c r="T1712" s="1" t="s">
        <v>19512</v>
      </c>
      <c r="U1712" s="1" t="s">
        <v>7</v>
      </c>
      <c r="V1712" s="1" t="s">
        <v>378</v>
      </c>
      <c r="W1712" s="1"/>
    </row>
    <row r="1713" spans="1:23" x14ac:dyDescent="0.2">
      <c r="A1713" s="88" t="s">
        <v>16993</v>
      </c>
      <c r="B1713" s="1" t="e">
        <v>#N/A</v>
      </c>
      <c r="C1713" s="1" t="e">
        <v>#N/A</v>
      </c>
      <c r="D1713" s="1" t="s">
        <v>4618</v>
      </c>
      <c r="E1713" s="1" t="s">
        <v>4619</v>
      </c>
      <c r="F1713" s="1" t="e">
        <v>#N/A</v>
      </c>
      <c r="G1713" s="1" t="e">
        <v>#N/A</v>
      </c>
      <c r="H1713" t="e">
        <v>#N/A</v>
      </c>
      <c r="I1713" s="1" t="e">
        <v>#N/A</v>
      </c>
      <c r="J1713" s="1" t="e">
        <v>#N/A</v>
      </c>
      <c r="K1713" s="1" t="e">
        <v>#N/A</v>
      </c>
      <c r="L1713" s="1" t="e">
        <v>#N/A</v>
      </c>
      <c r="M1713" s="1" t="e">
        <v>#N/A</v>
      </c>
      <c r="N1713" s="1" t="e">
        <v>#N/A</v>
      </c>
      <c r="O1713" s="1" t="e">
        <v>#N/A</v>
      </c>
      <c r="P1713" s="1" t="e">
        <v>#N/A</v>
      </c>
      <c r="Q1713" s="1" t="e">
        <v>#N/A</v>
      </c>
      <c r="R1713" s="1">
        <f t="shared" si="498"/>
        <v>4</v>
      </c>
      <c r="S1713" s="1" t="str">
        <f t="shared" si="499"/>
        <v>&lt;4</v>
      </c>
      <c r="T1713" s="1" t="s">
        <v>19513</v>
      </c>
      <c r="U1713" s="1" t="s">
        <v>252</v>
      </c>
      <c r="V1713" s="1" t="s">
        <v>126</v>
      </c>
      <c r="W1713" s="1"/>
    </row>
    <row r="1714" spans="1:23" x14ac:dyDescent="0.2">
      <c r="A1714" s="88" t="s">
        <v>16994</v>
      </c>
      <c r="B1714" s="1" t="e">
        <v>#N/A</v>
      </c>
      <c r="C1714" s="1" t="e">
        <v>#N/A</v>
      </c>
      <c r="D1714" s="1" t="s">
        <v>4620</v>
      </c>
      <c r="E1714" s="1" t="s">
        <v>4621</v>
      </c>
      <c r="F1714" s="1" t="s">
        <v>18502</v>
      </c>
      <c r="G1714" s="1" t="s">
        <v>8974</v>
      </c>
      <c r="H1714" t="s">
        <v>8959</v>
      </c>
      <c r="I1714" s="1" t="s">
        <v>8948</v>
      </c>
      <c r="J1714" s="1" t="s">
        <v>8949</v>
      </c>
      <c r="K1714" s="1" t="s">
        <v>20723</v>
      </c>
      <c r="L1714" s="1" t="s">
        <v>9076</v>
      </c>
      <c r="M1714" s="1">
        <v>217</v>
      </c>
      <c r="N1714" s="1" t="s">
        <v>8953</v>
      </c>
      <c r="O1714" s="1" t="s">
        <v>8989</v>
      </c>
      <c r="P1714" s="1" t="e">
        <v>#N/A</v>
      </c>
      <c r="Q1714" s="1" t="e">
        <v>#N/A</v>
      </c>
      <c r="R1714" s="1">
        <f t="shared" si="498"/>
        <v>4</v>
      </c>
      <c r="S1714" s="1" t="str">
        <f t="shared" si="499"/>
        <v>&lt;4</v>
      </c>
      <c r="T1714" s="1" t="s">
        <v>19514</v>
      </c>
      <c r="U1714" s="1" t="s">
        <v>7</v>
      </c>
      <c r="V1714" s="1" t="s">
        <v>21</v>
      </c>
      <c r="W1714" s="1"/>
    </row>
    <row r="1715" spans="1:23" x14ac:dyDescent="0.2">
      <c r="A1715" s="88" t="s">
        <v>16995</v>
      </c>
      <c r="B1715" s="1" t="e">
        <v>#N/A</v>
      </c>
      <c r="C1715" s="1" t="e">
        <v>#N/A</v>
      </c>
      <c r="D1715" s="1" t="s">
        <v>4622</v>
      </c>
      <c r="E1715" s="1" t="s">
        <v>4623</v>
      </c>
      <c r="F1715" s="1" t="s">
        <v>9310</v>
      </c>
      <c r="G1715" s="1" t="s">
        <v>8957</v>
      </c>
      <c r="H1715" t="s">
        <v>8959</v>
      </c>
      <c r="I1715" s="1" t="s">
        <v>9100</v>
      </c>
      <c r="J1715" s="1" t="s">
        <v>8949</v>
      </c>
      <c r="K1715" s="1" t="s">
        <v>10492</v>
      </c>
      <c r="L1715" s="1" t="s">
        <v>8973</v>
      </c>
      <c r="M1715" s="1">
        <v>65</v>
      </c>
      <c r="N1715" s="1" t="s">
        <v>9059</v>
      </c>
      <c r="O1715" s="1" t="s">
        <v>8954</v>
      </c>
      <c r="P1715" s="1" t="e">
        <v>#N/A</v>
      </c>
      <c r="Q1715" s="1" t="e">
        <v>#N/A</v>
      </c>
      <c r="R1715" s="1">
        <f t="shared" si="498"/>
        <v>9</v>
      </c>
      <c r="S1715" s="1" t="str">
        <f t="shared" si="499"/>
        <v>&gt;7</v>
      </c>
      <c r="T1715" s="1" t="s">
        <v>19515</v>
      </c>
      <c r="U1715" s="1" t="s">
        <v>7</v>
      </c>
      <c r="V1715" s="1" t="s">
        <v>24</v>
      </c>
      <c r="W1715" s="1"/>
    </row>
    <row r="1716" spans="1:23" x14ac:dyDescent="0.2">
      <c r="A1716" s="88" t="s">
        <v>16996</v>
      </c>
      <c r="B1716" s="1" t="e">
        <v>#N/A</v>
      </c>
      <c r="C1716" s="1" t="s">
        <v>14828</v>
      </c>
      <c r="D1716" s="1" t="s">
        <v>4624</v>
      </c>
      <c r="E1716" s="1" t="s">
        <v>4625</v>
      </c>
      <c r="F1716" s="1" t="s">
        <v>9010</v>
      </c>
      <c r="G1716" s="1" t="s">
        <v>8957</v>
      </c>
      <c r="H1716" t="s">
        <v>9009</v>
      </c>
      <c r="I1716" s="1" t="s">
        <v>9049</v>
      </c>
      <c r="J1716" s="1" t="s">
        <v>9050</v>
      </c>
      <c r="K1716" s="1" t="s">
        <v>21446</v>
      </c>
      <c r="L1716" s="1" t="s">
        <v>8973</v>
      </c>
      <c r="M1716" s="1">
        <v>480</v>
      </c>
      <c r="N1716" s="1" t="s">
        <v>8953</v>
      </c>
      <c r="O1716" s="1" t="s">
        <v>8989</v>
      </c>
      <c r="P1716" s="1" t="s">
        <v>8955</v>
      </c>
      <c r="Q1716" s="1" t="s">
        <v>8956</v>
      </c>
      <c r="R1716" s="1" t="s">
        <v>8957</v>
      </c>
      <c r="S1716" s="1" t="s">
        <v>8958</v>
      </c>
      <c r="T1716" s="1" t="s">
        <v>4626</v>
      </c>
      <c r="U1716" s="1" t="s">
        <v>17</v>
      </c>
      <c r="V1716" s="1" t="s">
        <v>921</v>
      </c>
      <c r="W1716" s="1"/>
    </row>
    <row r="1717" spans="1:23" x14ac:dyDescent="0.2">
      <c r="A1717" s="88" t="s">
        <v>16997</v>
      </c>
      <c r="B1717" s="1" t="e">
        <v>#N/A</v>
      </c>
      <c r="C1717" s="1" t="e">
        <v>#N/A</v>
      </c>
      <c r="D1717" s="1" t="s">
        <v>4627</v>
      </c>
      <c r="E1717" s="1" t="s">
        <v>4628</v>
      </c>
      <c r="F1717" s="1" t="s">
        <v>9310</v>
      </c>
      <c r="G1717" s="1" t="s">
        <v>8959</v>
      </c>
      <c r="H1717" t="s">
        <v>9183</v>
      </c>
      <c r="I1717" s="1" t="s">
        <v>9092</v>
      </c>
      <c r="J1717" s="1" t="s">
        <v>9308</v>
      </c>
      <c r="K1717" s="1" t="s">
        <v>10492</v>
      </c>
      <c r="L1717" s="1" t="s">
        <v>9133</v>
      </c>
      <c r="M1717" s="1">
        <v>89</v>
      </c>
      <c r="N1717" s="1" t="s">
        <v>9059</v>
      </c>
      <c r="O1717" s="1" t="s">
        <v>8989</v>
      </c>
      <c r="P1717" s="1" t="e">
        <v>#N/A</v>
      </c>
      <c r="Q1717" s="1" t="e">
        <v>#N/A</v>
      </c>
      <c r="R1717" s="1">
        <f>1+LEN(T1717)-LEN(SUBSTITUTE(T1717,",",))</f>
        <v>5</v>
      </c>
      <c r="S1717" s="1" t="str">
        <f>IF(R1717&gt;4,IF(R1717&lt;8,"4-7",IF(R1717&gt;7,"&gt;7")),"&lt;4")</f>
        <v>4-7</v>
      </c>
      <c r="T1717" s="1" t="s">
        <v>19516</v>
      </c>
      <c r="U1717" s="1" t="s">
        <v>17</v>
      </c>
      <c r="V1717" s="1" t="s">
        <v>97</v>
      </c>
      <c r="W1717" s="1"/>
    </row>
    <row r="1718" spans="1:23" x14ac:dyDescent="0.2">
      <c r="A1718" s="88" t="s">
        <v>16998</v>
      </c>
      <c r="B1718" s="1" t="e">
        <v>#N/A</v>
      </c>
      <c r="C1718" s="1" t="s">
        <v>15343</v>
      </c>
      <c r="D1718" s="1" t="s">
        <v>4629</v>
      </c>
      <c r="E1718" s="1" t="s">
        <v>4630</v>
      </c>
      <c r="F1718" s="1" t="s">
        <v>9310</v>
      </c>
      <c r="G1718" s="1" t="s">
        <v>8959</v>
      </c>
      <c r="H1718" t="s">
        <v>8959</v>
      </c>
      <c r="I1718" s="1" t="s">
        <v>9252</v>
      </c>
      <c r="J1718" s="1" t="s">
        <v>9121</v>
      </c>
      <c r="K1718" s="1" t="s">
        <v>21315</v>
      </c>
      <c r="L1718" s="1" t="s">
        <v>8987</v>
      </c>
      <c r="M1718" s="1">
        <v>105</v>
      </c>
      <c r="N1718" s="1" t="s">
        <v>8953</v>
      </c>
      <c r="O1718" s="1" t="s">
        <v>8989</v>
      </c>
      <c r="P1718" s="1" t="s">
        <v>8955</v>
      </c>
      <c r="Q1718" s="1" t="s">
        <v>8956</v>
      </c>
      <c r="R1718" s="1" t="s">
        <v>8959</v>
      </c>
      <c r="S1718" s="1" t="s">
        <v>8975</v>
      </c>
      <c r="T1718" s="1" t="s">
        <v>4631</v>
      </c>
      <c r="U1718" s="1" t="s">
        <v>17</v>
      </c>
      <c r="V1718" s="1" t="s">
        <v>61</v>
      </c>
      <c r="W1718" s="1"/>
    </row>
    <row r="1719" spans="1:23" x14ac:dyDescent="0.2">
      <c r="A1719" s="88" t="s">
        <v>16999</v>
      </c>
      <c r="B1719" s="1" t="e">
        <v>#N/A</v>
      </c>
      <c r="C1719" s="1" t="e">
        <v>#N/A</v>
      </c>
      <c r="D1719" s="1" t="s">
        <v>4632</v>
      </c>
      <c r="E1719" s="1" t="s">
        <v>4633</v>
      </c>
      <c r="F1719" s="1" t="s">
        <v>9310</v>
      </c>
      <c r="G1719" s="1" t="s">
        <v>8957</v>
      </c>
      <c r="H1719" t="s">
        <v>9061</v>
      </c>
      <c r="I1719" s="1" t="s">
        <v>8984</v>
      </c>
      <c r="J1719" s="1" t="s">
        <v>8998</v>
      </c>
      <c r="K1719" s="1" t="s">
        <v>10525</v>
      </c>
      <c r="L1719" s="1" t="s">
        <v>9133</v>
      </c>
      <c r="M1719" s="1">
        <v>14780</v>
      </c>
      <c r="N1719" s="1" t="s">
        <v>9059</v>
      </c>
      <c r="O1719" s="1" t="s">
        <v>8989</v>
      </c>
      <c r="P1719" s="1" t="e">
        <v>#N/A</v>
      </c>
      <c r="Q1719" s="1" t="e">
        <v>#N/A</v>
      </c>
      <c r="R1719" s="1">
        <f t="shared" ref="R1719:R1725" si="500">1+LEN(T1719)-LEN(SUBSTITUTE(T1719,",",))</f>
        <v>8</v>
      </c>
      <c r="S1719" s="1" t="str">
        <f t="shared" ref="S1719:S1725" si="501">IF(R1719&gt;4,IF(R1719&lt;8,"4-7",IF(R1719&gt;7,"&gt;7")),"&lt;4")</f>
        <v>&gt;7</v>
      </c>
      <c r="T1719" s="1" t="s">
        <v>19517</v>
      </c>
      <c r="U1719" s="1" t="s">
        <v>7</v>
      </c>
      <c r="V1719" s="1" t="s">
        <v>686</v>
      </c>
      <c r="W1719" s="1"/>
    </row>
    <row r="1720" spans="1:23" x14ac:dyDescent="0.2">
      <c r="A1720" s="88" t="s">
        <v>20875</v>
      </c>
      <c r="B1720" s="1" t="e">
        <v>#N/A</v>
      </c>
      <c r="C1720" s="1" t="e">
        <v>#N/A</v>
      </c>
      <c r="D1720" s="1" t="s">
        <v>4634</v>
      </c>
      <c r="E1720" s="1" t="s">
        <v>4635</v>
      </c>
      <c r="F1720" s="1" t="s">
        <v>18502</v>
      </c>
      <c r="G1720" s="1" t="s">
        <v>8959</v>
      </c>
      <c r="H1720" t="s">
        <v>9061</v>
      </c>
      <c r="I1720" s="1" t="s">
        <v>8984</v>
      </c>
      <c r="J1720" s="1" t="s">
        <v>9155</v>
      </c>
      <c r="K1720" s="1" t="s">
        <v>10492</v>
      </c>
      <c r="L1720" s="1" t="s">
        <v>9076</v>
      </c>
      <c r="M1720" s="1">
        <v>77</v>
      </c>
      <c r="N1720" s="1" t="s">
        <v>9059</v>
      </c>
      <c r="O1720" s="1" t="s">
        <v>8989</v>
      </c>
      <c r="P1720" s="1" t="e">
        <v>#N/A</v>
      </c>
      <c r="Q1720" s="1" t="e">
        <v>#N/A</v>
      </c>
      <c r="R1720" s="1">
        <f t="shared" si="500"/>
        <v>6</v>
      </c>
      <c r="S1720" s="1" t="str">
        <f t="shared" si="501"/>
        <v>4-7</v>
      </c>
      <c r="T1720" s="1" t="s">
        <v>19518</v>
      </c>
      <c r="U1720" s="1" t="s">
        <v>7</v>
      </c>
      <c r="V1720" s="1" t="s">
        <v>378</v>
      </c>
      <c r="W1720" s="1"/>
    </row>
    <row r="1721" spans="1:23" x14ac:dyDescent="0.2">
      <c r="A1721" s="88" t="s">
        <v>17000</v>
      </c>
      <c r="B1721" s="1" t="e">
        <v>#N/A</v>
      </c>
      <c r="C1721" s="1" t="e">
        <v>#N/A</v>
      </c>
      <c r="D1721" s="1" t="s">
        <v>4636</v>
      </c>
      <c r="E1721" s="1" t="s">
        <v>4637</v>
      </c>
      <c r="F1721" s="1" t="s">
        <v>9380</v>
      </c>
      <c r="G1721" s="1" t="s">
        <v>8959</v>
      </c>
      <c r="H1721" t="s">
        <v>8959</v>
      </c>
      <c r="I1721" s="1" t="s">
        <v>9173</v>
      </c>
      <c r="J1721" s="1" t="s">
        <v>9174</v>
      </c>
      <c r="K1721" s="1" t="s">
        <v>21199</v>
      </c>
      <c r="L1721" s="1" t="s">
        <v>8987</v>
      </c>
      <c r="M1721" s="1">
        <v>2750</v>
      </c>
      <c r="N1721" s="1" t="s">
        <v>8953</v>
      </c>
      <c r="O1721" s="1" t="s">
        <v>8954</v>
      </c>
      <c r="P1721" s="1" t="e">
        <v>#N/A</v>
      </c>
      <c r="Q1721" s="1" t="e">
        <v>#N/A</v>
      </c>
      <c r="R1721" s="1">
        <f t="shared" si="500"/>
        <v>4</v>
      </c>
      <c r="S1721" s="1" t="str">
        <f t="shared" si="501"/>
        <v>&lt;4</v>
      </c>
      <c r="T1721" s="1" t="s">
        <v>20635</v>
      </c>
      <c r="U1721" s="1" t="s">
        <v>7</v>
      </c>
      <c r="V1721" s="1" t="s">
        <v>43</v>
      </c>
      <c r="W1721" s="1"/>
    </row>
    <row r="1722" spans="1:23" x14ac:dyDescent="0.2">
      <c r="A1722" s="88" t="s">
        <v>17001</v>
      </c>
      <c r="B1722" s="1" t="e">
        <v>#N/A</v>
      </c>
      <c r="C1722" s="1" t="e">
        <v>#N/A</v>
      </c>
      <c r="D1722" s="1" t="s">
        <v>4638</v>
      </c>
      <c r="E1722" s="1" t="s">
        <v>4639</v>
      </c>
      <c r="F1722" s="1" t="s">
        <v>18502</v>
      </c>
      <c r="G1722" s="1" t="s">
        <v>8957</v>
      </c>
      <c r="H1722" t="s">
        <v>8959</v>
      </c>
      <c r="I1722" s="1" t="s">
        <v>9100</v>
      </c>
      <c r="J1722" s="1" t="s">
        <v>8949</v>
      </c>
      <c r="K1722" s="1" t="s">
        <v>20779</v>
      </c>
      <c r="L1722" s="1" t="s">
        <v>8987</v>
      </c>
      <c r="M1722" s="1">
        <v>1984</v>
      </c>
      <c r="N1722" s="1" t="s">
        <v>9059</v>
      </c>
      <c r="O1722" s="1" t="s">
        <v>8954</v>
      </c>
      <c r="P1722" s="1" t="e">
        <v>#N/A</v>
      </c>
      <c r="Q1722" s="1" t="e">
        <v>#N/A</v>
      </c>
      <c r="R1722" s="1">
        <f t="shared" si="500"/>
        <v>4</v>
      </c>
      <c r="S1722" s="1" t="str">
        <f t="shared" si="501"/>
        <v>&lt;4</v>
      </c>
      <c r="T1722" s="1" t="s">
        <v>19519</v>
      </c>
      <c r="U1722" s="1" t="s">
        <v>17</v>
      </c>
      <c r="V1722" s="1" t="s">
        <v>1076</v>
      </c>
      <c r="W1722" s="1"/>
    </row>
    <row r="1723" spans="1:23" x14ac:dyDescent="0.2">
      <c r="A1723" s="88" t="s">
        <v>17002</v>
      </c>
      <c r="B1723" s="1" t="e">
        <v>#N/A</v>
      </c>
      <c r="C1723" s="1" t="e">
        <v>#N/A</v>
      </c>
      <c r="D1723" s="1" t="s">
        <v>4640</v>
      </c>
      <c r="E1723" s="1" t="s">
        <v>4641</v>
      </c>
      <c r="F1723" s="1" t="s">
        <v>18502</v>
      </c>
      <c r="G1723" s="1" t="s">
        <v>8957</v>
      </c>
      <c r="H1723" t="s">
        <v>8959</v>
      </c>
      <c r="I1723" s="1" t="s">
        <v>8948</v>
      </c>
      <c r="J1723" s="1" t="s">
        <v>8998</v>
      </c>
      <c r="K1723" s="1" t="s">
        <v>20779</v>
      </c>
      <c r="L1723" s="1" t="s">
        <v>9464</v>
      </c>
      <c r="M1723" s="1">
        <v>10775</v>
      </c>
      <c r="N1723" s="1" t="s">
        <v>8953</v>
      </c>
      <c r="O1723" s="1" t="s">
        <v>8989</v>
      </c>
      <c r="P1723" s="1" t="e">
        <v>#N/A</v>
      </c>
      <c r="Q1723" s="1" t="e">
        <v>#N/A</v>
      </c>
      <c r="R1723" s="1">
        <f t="shared" si="500"/>
        <v>6</v>
      </c>
      <c r="S1723" s="1" t="str">
        <f t="shared" si="501"/>
        <v>4-7</v>
      </c>
      <c r="T1723" s="1" t="s">
        <v>19520</v>
      </c>
      <c r="U1723" s="1" t="s">
        <v>17</v>
      </c>
      <c r="V1723" s="1" t="s">
        <v>126</v>
      </c>
      <c r="W1723" s="1"/>
    </row>
    <row r="1724" spans="1:23" x14ac:dyDescent="0.2">
      <c r="A1724" s="88" t="s">
        <v>17003</v>
      </c>
      <c r="B1724" s="1" t="e">
        <v>#N/A</v>
      </c>
      <c r="C1724" s="1" t="e">
        <v>#N/A</v>
      </c>
      <c r="D1724" s="1" t="s">
        <v>4642</v>
      </c>
      <c r="E1724" s="1" t="s">
        <v>4643</v>
      </c>
      <c r="F1724" s="1" t="s">
        <v>9310</v>
      </c>
      <c r="G1724" s="1" t="s">
        <v>8957</v>
      </c>
      <c r="H1724" t="s">
        <v>9061</v>
      </c>
      <c r="I1724" s="1" t="s">
        <v>9154</v>
      </c>
      <c r="J1724" s="1" t="s">
        <v>8998</v>
      </c>
      <c r="K1724" s="1" t="e">
        <v>#N/A</v>
      </c>
      <c r="L1724" s="1" t="s">
        <v>9464</v>
      </c>
      <c r="M1724" s="1">
        <v>70</v>
      </c>
      <c r="N1724" s="1" t="s">
        <v>9059</v>
      </c>
      <c r="O1724" s="1" t="e">
        <v>#N/A</v>
      </c>
      <c r="P1724" s="1" t="e">
        <v>#N/A</v>
      </c>
      <c r="Q1724" s="1" t="e">
        <v>#N/A</v>
      </c>
      <c r="R1724" s="1">
        <f t="shared" si="500"/>
        <v>8</v>
      </c>
      <c r="S1724" s="1" t="str">
        <f t="shared" si="501"/>
        <v>&gt;7</v>
      </c>
      <c r="T1724" s="1" t="s">
        <v>19521</v>
      </c>
      <c r="U1724" s="1" t="s">
        <v>7</v>
      </c>
      <c r="V1724" s="1" t="s">
        <v>562</v>
      </c>
      <c r="W1724" s="1"/>
    </row>
    <row r="1725" spans="1:23" x14ac:dyDescent="0.2">
      <c r="A1725" s="88" t="s">
        <v>20876</v>
      </c>
      <c r="B1725" s="1" t="e">
        <v>#N/A</v>
      </c>
      <c r="C1725" s="1" t="e">
        <v>#N/A</v>
      </c>
      <c r="D1725" s="1" t="s">
        <v>4644</v>
      </c>
      <c r="E1725" s="1" t="s">
        <v>4645</v>
      </c>
      <c r="F1725" s="1" t="s">
        <v>9310</v>
      </c>
      <c r="G1725" s="1" t="s">
        <v>8957</v>
      </c>
      <c r="H1725" t="s">
        <v>8959</v>
      </c>
      <c r="I1725" s="1" t="s">
        <v>9075</v>
      </c>
      <c r="J1725" s="1" t="s">
        <v>8949</v>
      </c>
      <c r="K1725" s="1" t="s">
        <v>10492</v>
      </c>
      <c r="L1725" s="1" t="s">
        <v>8973</v>
      </c>
      <c r="M1725" s="1">
        <v>79</v>
      </c>
      <c r="N1725" s="1" t="s">
        <v>9059</v>
      </c>
      <c r="O1725" s="1" t="s">
        <v>8954</v>
      </c>
      <c r="P1725" s="1" t="e">
        <v>#N/A</v>
      </c>
      <c r="Q1725" s="1" t="e">
        <v>#N/A</v>
      </c>
      <c r="R1725" s="1">
        <f t="shared" si="500"/>
        <v>4</v>
      </c>
      <c r="S1725" s="1" t="str">
        <f t="shared" si="501"/>
        <v>&lt;4</v>
      </c>
      <c r="T1725" s="1" t="s">
        <v>19522</v>
      </c>
      <c r="U1725" s="1" t="s">
        <v>7</v>
      </c>
      <c r="V1725" s="1" t="s">
        <v>61</v>
      </c>
      <c r="W1725" s="1"/>
    </row>
    <row r="1726" spans="1:23" x14ac:dyDescent="0.2">
      <c r="A1726" s="88" t="s">
        <v>17004</v>
      </c>
      <c r="B1726" s="1" t="e">
        <v>#N/A</v>
      </c>
      <c r="C1726" s="1" t="s">
        <v>9046</v>
      </c>
      <c r="D1726" s="1" t="s">
        <v>4646</v>
      </c>
      <c r="E1726" s="1" t="s">
        <v>4647</v>
      </c>
      <c r="F1726" s="1" t="s">
        <v>9310</v>
      </c>
      <c r="G1726" s="1" t="s">
        <v>8957</v>
      </c>
      <c r="H1726" t="s">
        <v>8959</v>
      </c>
      <c r="I1726" s="1" t="s">
        <v>9049</v>
      </c>
      <c r="J1726" s="1" t="s">
        <v>9050</v>
      </c>
      <c r="K1726" s="1" t="s">
        <v>9051</v>
      </c>
      <c r="L1726" s="1" t="s">
        <v>8973</v>
      </c>
      <c r="M1726" s="1">
        <v>1050</v>
      </c>
      <c r="N1726" s="1" t="s">
        <v>8953</v>
      </c>
      <c r="O1726" s="1" t="s">
        <v>8954</v>
      </c>
      <c r="P1726" s="1" t="s">
        <v>8955</v>
      </c>
      <c r="Q1726" s="1" t="s">
        <v>8956</v>
      </c>
      <c r="R1726" s="1" t="s">
        <v>8957</v>
      </c>
      <c r="S1726" s="1" t="s">
        <v>8975</v>
      </c>
      <c r="T1726" s="1" t="s">
        <v>4648</v>
      </c>
      <c r="U1726" s="1" t="s">
        <v>17</v>
      </c>
      <c r="V1726" s="1" t="s">
        <v>74</v>
      </c>
      <c r="W1726" s="1"/>
    </row>
    <row r="1727" spans="1:23" x14ac:dyDescent="0.2">
      <c r="A1727" s="88" t="s">
        <v>17005</v>
      </c>
      <c r="B1727" s="1" t="e">
        <v>#N/A</v>
      </c>
      <c r="C1727" s="1" t="s">
        <v>14563</v>
      </c>
      <c r="D1727" s="1" t="s">
        <v>4649</v>
      </c>
      <c r="E1727" s="1" t="s">
        <v>4650</v>
      </c>
      <c r="F1727" s="1" t="s">
        <v>9176</v>
      </c>
      <c r="G1727" s="1" t="s">
        <v>8957</v>
      </c>
      <c r="H1727" t="s">
        <v>9009</v>
      </c>
      <c r="I1727" s="1" t="s">
        <v>9100</v>
      </c>
      <c r="J1727" s="1" t="s">
        <v>9155</v>
      </c>
      <c r="K1727" s="1" t="s">
        <v>14566</v>
      </c>
      <c r="L1727" s="1" t="s">
        <v>9133</v>
      </c>
      <c r="M1727" s="1">
        <v>1864</v>
      </c>
      <c r="N1727" s="1" t="s">
        <v>9059</v>
      </c>
      <c r="O1727" s="1" t="s">
        <v>8954</v>
      </c>
      <c r="P1727" s="1" t="s">
        <v>8955</v>
      </c>
      <c r="Q1727" s="1" t="s">
        <v>8956</v>
      </c>
      <c r="R1727" s="1" t="s">
        <v>8957</v>
      </c>
      <c r="S1727" s="1" t="s">
        <v>8975</v>
      </c>
      <c r="T1727" s="1" t="s">
        <v>4651</v>
      </c>
      <c r="U1727" s="1" t="s">
        <v>924</v>
      </c>
      <c r="V1727" s="1" t="s">
        <v>1076</v>
      </c>
      <c r="W1727" s="1"/>
    </row>
    <row r="1728" spans="1:23" x14ac:dyDescent="0.2">
      <c r="A1728" s="88" t="s">
        <v>17006</v>
      </c>
      <c r="B1728" s="1" t="e">
        <v>#N/A</v>
      </c>
      <c r="C1728" s="1" t="e">
        <v>#N/A</v>
      </c>
      <c r="D1728" s="1" t="s">
        <v>4652</v>
      </c>
      <c r="E1728" s="1" t="s">
        <v>4653</v>
      </c>
      <c r="F1728" s="1" t="s">
        <v>9176</v>
      </c>
      <c r="G1728" s="1" t="s">
        <v>9060</v>
      </c>
      <c r="H1728" t="s">
        <v>8959</v>
      </c>
      <c r="I1728" s="1" t="s">
        <v>9100</v>
      </c>
      <c r="J1728" s="1" t="s">
        <v>20800</v>
      </c>
      <c r="K1728" s="1" t="s">
        <v>20785</v>
      </c>
      <c r="L1728" s="1" t="s">
        <v>9076</v>
      </c>
      <c r="M1728" s="1">
        <v>266</v>
      </c>
      <c r="N1728" s="1" t="s">
        <v>8953</v>
      </c>
      <c r="O1728" s="1" t="s">
        <v>8954</v>
      </c>
      <c r="P1728" s="1" t="e">
        <v>#N/A</v>
      </c>
      <c r="Q1728" s="1" t="e">
        <v>#N/A</v>
      </c>
      <c r="R1728" s="1">
        <f>1+LEN(T1728)-LEN(SUBSTITUTE(T1728,",",))</f>
        <v>8</v>
      </c>
      <c r="S1728" s="1" t="str">
        <f>IF(R1728&gt;4,IF(R1728&lt;8,"4-7",IF(R1728&gt;7,"&gt;7")),"&lt;4")</f>
        <v>&gt;7</v>
      </c>
      <c r="T1728" s="1" t="s">
        <v>19523</v>
      </c>
      <c r="U1728" s="1" t="s">
        <v>7</v>
      </c>
      <c r="V1728" s="1" t="s">
        <v>24</v>
      </c>
      <c r="W1728" s="1"/>
    </row>
    <row r="1729" spans="1:23" x14ac:dyDescent="0.2">
      <c r="A1729" s="88" t="s">
        <v>17007</v>
      </c>
      <c r="B1729" s="1" t="e">
        <v>#N/A</v>
      </c>
      <c r="C1729" s="1" t="s">
        <v>9708</v>
      </c>
      <c r="D1729" s="1" t="s">
        <v>4654</v>
      </c>
      <c r="E1729" s="1" t="s">
        <v>4655</v>
      </c>
      <c r="F1729" s="1" t="s">
        <v>9010</v>
      </c>
      <c r="G1729" s="1" t="s">
        <v>8957</v>
      </c>
      <c r="H1729" t="s">
        <v>8959</v>
      </c>
      <c r="I1729" s="1" t="s">
        <v>8948</v>
      </c>
      <c r="J1729" s="1" t="s">
        <v>9121</v>
      </c>
      <c r="K1729" s="1" t="s">
        <v>9036</v>
      </c>
      <c r="L1729" s="1" t="s">
        <v>8951</v>
      </c>
      <c r="M1729" s="1">
        <v>220</v>
      </c>
      <c r="N1729" s="1" t="s">
        <v>8953</v>
      </c>
      <c r="O1729" s="1" t="s">
        <v>8954</v>
      </c>
      <c r="P1729" s="1" t="s">
        <v>8955</v>
      </c>
      <c r="Q1729" s="1" t="s">
        <v>8990</v>
      </c>
      <c r="R1729" s="1" t="s">
        <v>8957</v>
      </c>
      <c r="S1729" s="1" t="s">
        <v>8975</v>
      </c>
      <c r="T1729" s="1" t="s">
        <v>4656</v>
      </c>
      <c r="U1729" s="1" t="s">
        <v>17</v>
      </c>
      <c r="V1729" s="1" t="s">
        <v>392</v>
      </c>
      <c r="W1729" s="1"/>
    </row>
    <row r="1730" spans="1:23" x14ac:dyDescent="0.2">
      <c r="A1730" s="89" t="s">
        <v>17008</v>
      </c>
      <c r="B1730" s="1" t="e">
        <v>#N/A</v>
      </c>
      <c r="C1730" s="1" t="e">
        <v>#N/A</v>
      </c>
      <c r="D1730" s="1" t="s">
        <v>4657</v>
      </c>
      <c r="E1730" s="1" t="s">
        <v>4658</v>
      </c>
      <c r="F1730" s="1" t="s">
        <v>9310</v>
      </c>
      <c r="G1730" s="1" t="e">
        <v>#N/A</v>
      </c>
      <c r="H1730" t="s">
        <v>8959</v>
      </c>
      <c r="I1730" s="1" t="e">
        <v>#N/A</v>
      </c>
      <c r="J1730" s="1" t="e">
        <v>#N/A</v>
      </c>
      <c r="K1730" s="1" t="e">
        <v>#N/A</v>
      </c>
      <c r="L1730" s="1" t="s">
        <v>9076</v>
      </c>
      <c r="M1730" s="1" t="e">
        <v>#N/A</v>
      </c>
      <c r="N1730" s="1" t="e">
        <v>#N/A</v>
      </c>
      <c r="O1730" s="1" t="e">
        <v>#N/A</v>
      </c>
      <c r="P1730" s="1" t="e">
        <v>#N/A</v>
      </c>
      <c r="Q1730" s="1" t="e">
        <v>#N/A</v>
      </c>
      <c r="R1730" s="1">
        <f t="shared" ref="R1730:R1734" si="502">1+LEN(T1730)-LEN(SUBSTITUTE(T1730,",",))</f>
        <v>6</v>
      </c>
      <c r="S1730" s="1" t="str">
        <f t="shared" ref="S1730:S1734" si="503">IF(R1730&gt;4,IF(R1730&lt;8,"4-7",IF(R1730&gt;7,"&gt;7")),"&lt;4")</f>
        <v>4-7</v>
      </c>
      <c r="T1730" s="1" t="s">
        <v>19524</v>
      </c>
      <c r="U1730" s="1" t="s">
        <v>7</v>
      </c>
      <c r="V1730" s="1" t="s">
        <v>107</v>
      </c>
      <c r="W1730" s="1"/>
    </row>
    <row r="1731" spans="1:23" x14ac:dyDescent="0.2">
      <c r="A1731" s="88" t="s">
        <v>17009</v>
      </c>
      <c r="B1731" s="1" t="e">
        <v>#N/A</v>
      </c>
      <c r="C1731" s="1" t="e">
        <v>#N/A</v>
      </c>
      <c r="D1731" s="1" t="s">
        <v>4659</v>
      </c>
      <c r="E1731" s="1" t="s">
        <v>4660</v>
      </c>
      <c r="F1731" s="1" t="s">
        <v>18502</v>
      </c>
      <c r="G1731" s="1" t="s">
        <v>8957</v>
      </c>
      <c r="H1731" t="s">
        <v>8959</v>
      </c>
      <c r="I1731" s="1" t="s">
        <v>20712</v>
      </c>
      <c r="J1731" s="1" t="s">
        <v>20800</v>
      </c>
      <c r="K1731" s="1" t="s">
        <v>20785</v>
      </c>
      <c r="L1731" s="1" t="s">
        <v>9076</v>
      </c>
      <c r="M1731" s="1">
        <f>56250+83700+65475</f>
        <v>205425</v>
      </c>
      <c r="N1731" s="1" t="s">
        <v>8953</v>
      </c>
      <c r="O1731" s="1" t="s">
        <v>8954</v>
      </c>
      <c r="P1731" s="1" t="e">
        <v>#N/A</v>
      </c>
      <c r="Q1731" s="1" t="e">
        <v>#N/A</v>
      </c>
      <c r="R1731" s="1">
        <f t="shared" si="502"/>
        <v>7</v>
      </c>
      <c r="S1731" s="1" t="str">
        <f t="shared" si="503"/>
        <v>4-7</v>
      </c>
      <c r="T1731" s="1" t="s">
        <v>19525</v>
      </c>
      <c r="U1731" s="1" t="s">
        <v>17</v>
      </c>
      <c r="V1731" s="1" t="s">
        <v>24</v>
      </c>
      <c r="W1731" s="1"/>
    </row>
    <row r="1732" spans="1:23" x14ac:dyDescent="0.2">
      <c r="A1732" s="88" t="s">
        <v>17010</v>
      </c>
      <c r="B1732" s="1" t="e">
        <v>#N/A</v>
      </c>
      <c r="C1732" s="1" t="e">
        <v>#N/A</v>
      </c>
      <c r="D1732" s="1" t="s">
        <v>4661</v>
      </c>
      <c r="E1732" s="1" t="s">
        <v>4662</v>
      </c>
      <c r="F1732" s="1" t="s">
        <v>9310</v>
      </c>
      <c r="G1732" s="1" t="s">
        <v>8959</v>
      </c>
      <c r="H1732" t="s">
        <v>8959</v>
      </c>
      <c r="I1732" s="1" t="s">
        <v>9943</v>
      </c>
      <c r="J1732" s="1" t="s">
        <v>8971</v>
      </c>
      <c r="K1732" s="1" t="s">
        <v>21359</v>
      </c>
      <c r="L1732" s="1" t="s">
        <v>20856</v>
      </c>
      <c r="M1732" s="1">
        <f>7690+450</f>
        <v>8140</v>
      </c>
      <c r="N1732" s="1" t="s">
        <v>8953</v>
      </c>
      <c r="O1732" s="1" t="s">
        <v>8989</v>
      </c>
      <c r="P1732" s="1" t="e">
        <v>#N/A</v>
      </c>
      <c r="Q1732" s="1" t="e">
        <v>#N/A</v>
      </c>
      <c r="R1732" s="1">
        <f t="shared" si="502"/>
        <v>9</v>
      </c>
      <c r="S1732" s="1" t="str">
        <f t="shared" si="503"/>
        <v>&gt;7</v>
      </c>
      <c r="T1732" s="1" t="s">
        <v>19526</v>
      </c>
      <c r="U1732" s="1" t="s">
        <v>17</v>
      </c>
      <c r="V1732" s="1" t="s">
        <v>126</v>
      </c>
      <c r="W1732" s="1"/>
    </row>
    <row r="1733" spans="1:23" x14ac:dyDescent="0.2">
      <c r="A1733" s="88" t="s">
        <v>17011</v>
      </c>
      <c r="B1733" s="1" t="e">
        <v>#N/A</v>
      </c>
      <c r="C1733" s="1" t="e">
        <v>#N/A</v>
      </c>
      <c r="D1733" s="1" t="s">
        <v>4663</v>
      </c>
      <c r="E1733" s="1" t="s">
        <v>4664</v>
      </c>
      <c r="F1733" s="1" t="s">
        <v>18502</v>
      </c>
      <c r="G1733" s="1" t="s">
        <v>8957</v>
      </c>
      <c r="H1733" t="s">
        <v>8959</v>
      </c>
      <c r="I1733" s="1" t="s">
        <v>20712</v>
      </c>
      <c r="J1733" s="1" t="s">
        <v>20800</v>
      </c>
      <c r="K1733" s="1" t="s">
        <v>20785</v>
      </c>
      <c r="L1733" s="1" t="s">
        <v>9076</v>
      </c>
      <c r="M1733" s="1">
        <v>8928</v>
      </c>
      <c r="N1733" s="1" t="s">
        <v>8953</v>
      </c>
      <c r="O1733" s="1" t="s">
        <v>8989</v>
      </c>
      <c r="P1733" s="1" t="e">
        <v>#N/A</v>
      </c>
      <c r="Q1733" s="1" t="e">
        <v>#N/A</v>
      </c>
      <c r="R1733" s="1">
        <f t="shared" si="502"/>
        <v>7</v>
      </c>
      <c r="S1733" s="1" t="str">
        <f t="shared" si="503"/>
        <v>4-7</v>
      </c>
      <c r="T1733" s="1" t="s">
        <v>19527</v>
      </c>
      <c r="U1733" s="1" t="s">
        <v>17</v>
      </c>
      <c r="V1733" s="1" t="s">
        <v>1833</v>
      </c>
      <c r="W1733" s="1"/>
    </row>
    <row r="1734" spans="1:23" x14ac:dyDescent="0.2">
      <c r="A1734" s="89" t="s">
        <v>4665</v>
      </c>
      <c r="B1734" s="1" t="e">
        <v>#N/A</v>
      </c>
      <c r="C1734" s="1" t="e">
        <v>#N/A</v>
      </c>
      <c r="D1734" s="1" t="s">
        <v>4666</v>
      </c>
      <c r="E1734" s="1" t="s">
        <v>4667</v>
      </c>
      <c r="F1734" s="1" t="e">
        <v>#N/A</v>
      </c>
      <c r="G1734" s="1" t="e">
        <v>#N/A</v>
      </c>
      <c r="H1734" t="e">
        <v>#N/A</v>
      </c>
      <c r="I1734" s="1" t="e">
        <v>#N/A</v>
      </c>
      <c r="J1734" s="1" t="e">
        <v>#N/A</v>
      </c>
      <c r="K1734" s="1" t="e">
        <v>#N/A</v>
      </c>
      <c r="L1734" s="1" t="e">
        <v>#N/A</v>
      </c>
      <c r="M1734" s="1" t="e">
        <v>#N/A</v>
      </c>
      <c r="N1734" s="1" t="e">
        <v>#N/A</v>
      </c>
      <c r="O1734" s="1" t="e">
        <v>#N/A</v>
      </c>
      <c r="P1734" s="1" t="e">
        <v>#N/A</v>
      </c>
      <c r="Q1734" s="1" t="e">
        <v>#N/A</v>
      </c>
      <c r="R1734" s="1">
        <f t="shared" si="502"/>
        <v>2</v>
      </c>
      <c r="S1734" s="1" t="str">
        <f t="shared" si="503"/>
        <v>&lt;4</v>
      </c>
      <c r="T1734" s="1" t="s">
        <v>19528</v>
      </c>
      <c r="U1734" s="1" t="s">
        <v>7</v>
      </c>
      <c r="V1734" s="1" t="s">
        <v>104</v>
      </c>
      <c r="W1734" s="1"/>
    </row>
    <row r="1735" spans="1:23" x14ac:dyDescent="0.2">
      <c r="A1735" s="88" t="s">
        <v>17012</v>
      </c>
      <c r="B1735" s="1" t="e">
        <v>#N/A</v>
      </c>
      <c r="C1735" s="1" t="s">
        <v>9281</v>
      </c>
      <c r="D1735" s="1" t="s">
        <v>4668</v>
      </c>
      <c r="E1735" s="1" t="s">
        <v>4669</v>
      </c>
      <c r="F1735" s="1" t="s">
        <v>9010</v>
      </c>
      <c r="G1735" s="1" t="s">
        <v>8959</v>
      </c>
      <c r="H1735" t="s">
        <v>9183</v>
      </c>
      <c r="I1735" s="1" t="s">
        <v>9049</v>
      </c>
      <c r="J1735" s="1" t="s">
        <v>9050</v>
      </c>
      <c r="K1735" s="1" t="s">
        <v>9284</v>
      </c>
      <c r="L1735" s="1" t="s">
        <v>8987</v>
      </c>
      <c r="M1735" s="1">
        <v>576</v>
      </c>
      <c r="N1735" s="1" t="s">
        <v>8953</v>
      </c>
      <c r="O1735" s="1" t="s">
        <v>8954</v>
      </c>
      <c r="P1735" s="1" t="s">
        <v>8955</v>
      </c>
      <c r="Q1735" s="1" t="s">
        <v>8956</v>
      </c>
      <c r="R1735" s="1" t="s">
        <v>8959</v>
      </c>
      <c r="S1735" s="1" t="s">
        <v>8975</v>
      </c>
      <c r="T1735" s="1" t="s">
        <v>4670</v>
      </c>
      <c r="U1735" s="1" t="s">
        <v>7</v>
      </c>
      <c r="V1735" s="1" t="s">
        <v>4671</v>
      </c>
      <c r="W1735" s="1"/>
    </row>
    <row r="1736" spans="1:23" x14ac:dyDescent="0.2">
      <c r="A1736" s="88" t="s">
        <v>17013</v>
      </c>
      <c r="B1736" s="1" t="e">
        <v>#N/A</v>
      </c>
      <c r="C1736" s="1" t="e">
        <v>#N/A</v>
      </c>
      <c r="D1736" s="1" t="s">
        <v>4672</v>
      </c>
      <c r="E1736" s="1" t="s">
        <v>4673</v>
      </c>
      <c r="F1736" s="1" t="s">
        <v>9310</v>
      </c>
      <c r="G1736" s="1" t="s">
        <v>8957</v>
      </c>
      <c r="H1736" t="s">
        <v>8959</v>
      </c>
      <c r="I1736" s="1" t="s">
        <v>9035</v>
      </c>
      <c r="J1736" s="1" t="s">
        <v>8998</v>
      </c>
      <c r="K1736" s="1" t="s">
        <v>10492</v>
      </c>
      <c r="L1736" s="1" t="s">
        <v>8951</v>
      </c>
      <c r="M1736" s="1">
        <f>590+288</f>
        <v>878</v>
      </c>
      <c r="N1736" s="1" t="s">
        <v>9059</v>
      </c>
      <c r="O1736" s="1" t="s">
        <v>8954</v>
      </c>
      <c r="P1736" s="1" t="e">
        <v>#N/A</v>
      </c>
      <c r="Q1736" s="1" t="e">
        <v>#N/A</v>
      </c>
      <c r="R1736" s="1">
        <f t="shared" ref="R1736:R1737" si="504">1+LEN(T1736)-LEN(SUBSTITUTE(T1736,",",))</f>
        <v>11</v>
      </c>
      <c r="S1736" s="1" t="str">
        <f t="shared" ref="S1736:S1737" si="505">IF(R1736&gt;4,IF(R1736&lt;8,"4-7",IF(R1736&gt;7,"&gt;7")),"&lt;4")</f>
        <v>&gt;7</v>
      </c>
      <c r="T1736" s="1" t="s">
        <v>19529</v>
      </c>
      <c r="U1736" s="1" t="s">
        <v>7</v>
      </c>
      <c r="V1736" s="1" t="s">
        <v>147</v>
      </c>
      <c r="W1736" s="1"/>
    </row>
    <row r="1737" spans="1:23" x14ac:dyDescent="0.2">
      <c r="A1737" s="92" t="s">
        <v>17014</v>
      </c>
      <c r="B1737" s="1" t="e">
        <v>#N/A</v>
      </c>
      <c r="C1737" s="1" t="e">
        <v>#N/A</v>
      </c>
      <c r="D1737" s="1" t="s">
        <v>4674</v>
      </c>
      <c r="E1737" s="1" t="s">
        <v>4675</v>
      </c>
      <c r="F1737" s="1" t="e">
        <v>#N/A</v>
      </c>
      <c r="G1737" s="1" t="e">
        <v>#N/A</v>
      </c>
      <c r="H1737" t="e">
        <v>#N/A</v>
      </c>
      <c r="I1737" s="1" t="e">
        <v>#N/A</v>
      </c>
      <c r="J1737" s="1" t="e">
        <v>#N/A</v>
      </c>
      <c r="K1737" s="1" t="e">
        <v>#N/A</v>
      </c>
      <c r="L1737" s="1" t="e">
        <v>#N/A</v>
      </c>
      <c r="M1737" s="1" t="e">
        <v>#N/A</v>
      </c>
      <c r="N1737" s="1" t="e">
        <v>#N/A</v>
      </c>
      <c r="O1737" s="1" t="e">
        <v>#N/A</v>
      </c>
      <c r="P1737" s="1" t="e">
        <v>#N/A</v>
      </c>
      <c r="Q1737" s="1" t="e">
        <v>#N/A</v>
      </c>
      <c r="R1737" s="1">
        <f t="shared" si="504"/>
        <v>3</v>
      </c>
      <c r="S1737" s="1" t="str">
        <f t="shared" si="505"/>
        <v>&lt;4</v>
      </c>
      <c r="T1737" s="1" t="s">
        <v>19530</v>
      </c>
      <c r="U1737" s="1" t="s">
        <v>11</v>
      </c>
      <c r="V1737" s="1" t="s">
        <v>4676</v>
      </c>
      <c r="W1737" s="1"/>
    </row>
    <row r="1738" spans="1:23" x14ac:dyDescent="0.2">
      <c r="A1738" s="88" t="s">
        <v>17015</v>
      </c>
      <c r="B1738" s="1" t="e">
        <v>#N/A</v>
      </c>
      <c r="C1738" s="1" t="s">
        <v>9818</v>
      </c>
      <c r="D1738" s="1" t="s">
        <v>4677</v>
      </c>
      <c r="E1738" s="1" t="s">
        <v>4678</v>
      </c>
      <c r="F1738" s="1" t="s">
        <v>9310</v>
      </c>
      <c r="G1738" s="1" t="s">
        <v>8957</v>
      </c>
      <c r="H1738" t="s">
        <v>9183</v>
      </c>
      <c r="I1738" s="1" t="s">
        <v>8948</v>
      </c>
      <c r="J1738" s="1" t="s">
        <v>9325</v>
      </c>
      <c r="K1738" s="1" t="s">
        <v>9212</v>
      </c>
      <c r="L1738" s="1" t="s">
        <v>8973</v>
      </c>
      <c r="M1738" s="1">
        <v>40</v>
      </c>
      <c r="N1738" s="1" t="s">
        <v>8953</v>
      </c>
      <c r="O1738" s="1" t="s">
        <v>8989</v>
      </c>
      <c r="P1738" s="1" t="s">
        <v>8955</v>
      </c>
      <c r="Q1738" s="1" t="s">
        <v>8956</v>
      </c>
      <c r="R1738" s="1" t="s">
        <v>8957</v>
      </c>
      <c r="S1738" s="1" t="s">
        <v>8958</v>
      </c>
      <c r="T1738" s="1" t="s">
        <v>4679</v>
      </c>
      <c r="U1738" s="1" t="s">
        <v>17</v>
      </c>
      <c r="V1738" s="1" t="s">
        <v>1797</v>
      </c>
      <c r="W1738" s="1"/>
    </row>
    <row r="1739" spans="1:23" x14ac:dyDescent="0.2">
      <c r="A1739" s="88" t="s">
        <v>17016</v>
      </c>
      <c r="B1739" s="1" t="e">
        <v>#N/A</v>
      </c>
      <c r="C1739" s="1" t="e">
        <v>#N/A</v>
      </c>
      <c r="D1739" s="1" t="s">
        <v>4680</v>
      </c>
      <c r="E1739" s="1" t="s">
        <v>4681</v>
      </c>
      <c r="F1739" s="1" t="s">
        <v>9310</v>
      </c>
      <c r="G1739" s="1" t="s">
        <v>8957</v>
      </c>
      <c r="H1739" t="s">
        <v>8959</v>
      </c>
      <c r="I1739" s="1" t="s">
        <v>9154</v>
      </c>
      <c r="J1739" s="1" t="s">
        <v>8959</v>
      </c>
      <c r="K1739" s="1" t="s">
        <v>21359</v>
      </c>
      <c r="L1739" s="1" t="s">
        <v>20878</v>
      </c>
      <c r="M1739" s="1">
        <v>2059</v>
      </c>
      <c r="N1739" s="1" t="s">
        <v>8953</v>
      </c>
      <c r="O1739" s="1" t="s">
        <v>8989</v>
      </c>
      <c r="P1739" s="1" t="e">
        <v>#N/A</v>
      </c>
      <c r="Q1739" s="1" t="e">
        <v>#N/A</v>
      </c>
      <c r="R1739" s="1">
        <f t="shared" ref="R1739:R1745" si="506">1+LEN(T1739)-LEN(SUBSTITUTE(T1739,",",))</f>
        <v>4</v>
      </c>
      <c r="S1739" s="1" t="str">
        <f t="shared" ref="S1739:S1745" si="507">IF(R1739&gt;4,IF(R1739&lt;8,"4-7",IF(R1739&gt;7,"&gt;7")),"&lt;4")</f>
        <v>&lt;4</v>
      </c>
      <c r="T1739" s="1" t="s">
        <v>19531</v>
      </c>
      <c r="U1739" s="1" t="s">
        <v>17</v>
      </c>
      <c r="V1739" s="1" t="s">
        <v>46</v>
      </c>
      <c r="W1739" s="1"/>
    </row>
    <row r="1740" spans="1:23" x14ac:dyDescent="0.2">
      <c r="A1740" s="89" t="s">
        <v>17017</v>
      </c>
      <c r="B1740" s="1" t="e">
        <v>#N/A</v>
      </c>
      <c r="C1740" s="1" t="e">
        <v>#N/A</v>
      </c>
      <c r="D1740" s="5" t="s">
        <v>20877</v>
      </c>
      <c r="E1740" s="1" t="s">
        <v>4682</v>
      </c>
      <c r="F1740" s="1" t="e">
        <v>#N/A</v>
      </c>
      <c r="G1740" s="1" t="e">
        <v>#N/A</v>
      </c>
      <c r="H1740" t="e">
        <v>#N/A</v>
      </c>
      <c r="I1740" s="1" t="e">
        <v>#N/A</v>
      </c>
      <c r="J1740" s="1" t="e">
        <v>#N/A</v>
      </c>
      <c r="K1740" s="1" t="e">
        <v>#N/A</v>
      </c>
      <c r="L1740" s="1" t="e">
        <v>#N/A</v>
      </c>
      <c r="M1740" s="1" t="e">
        <v>#N/A</v>
      </c>
      <c r="N1740" s="1" t="e">
        <v>#N/A</v>
      </c>
      <c r="O1740" s="1" t="e">
        <v>#N/A</v>
      </c>
      <c r="P1740" s="1" t="e">
        <v>#N/A</v>
      </c>
      <c r="Q1740" s="1" t="e">
        <v>#N/A</v>
      </c>
      <c r="R1740" s="1">
        <f t="shared" si="506"/>
        <v>17</v>
      </c>
      <c r="S1740" s="1" t="str">
        <f t="shared" si="507"/>
        <v>&gt;7</v>
      </c>
      <c r="T1740" s="1" t="s">
        <v>19532</v>
      </c>
      <c r="U1740" s="1" t="s">
        <v>17</v>
      </c>
      <c r="V1740" s="1" t="s">
        <v>686</v>
      </c>
      <c r="W1740" s="1"/>
    </row>
    <row r="1741" spans="1:23" x14ac:dyDescent="0.2">
      <c r="A1741" s="88" t="s">
        <v>17018</v>
      </c>
      <c r="B1741" s="1" t="e">
        <v>#N/A</v>
      </c>
      <c r="C1741" s="1" t="e">
        <v>#N/A</v>
      </c>
      <c r="D1741" s="1" t="s">
        <v>4683</v>
      </c>
      <c r="E1741" s="1" t="s">
        <v>4684</v>
      </c>
      <c r="F1741" s="1" t="s">
        <v>9310</v>
      </c>
      <c r="G1741" s="1" t="s">
        <v>8957</v>
      </c>
      <c r="H1741" t="s">
        <v>8959</v>
      </c>
      <c r="I1741" s="1" t="s">
        <v>20714</v>
      </c>
      <c r="J1741" s="1" t="s">
        <v>20725</v>
      </c>
      <c r="K1741" s="1" t="s">
        <v>20779</v>
      </c>
      <c r="L1741" s="1" t="s">
        <v>8973</v>
      </c>
      <c r="M1741" s="1">
        <v>110</v>
      </c>
      <c r="N1741" s="1" t="s">
        <v>8953</v>
      </c>
      <c r="O1741" s="1" t="s">
        <v>8989</v>
      </c>
      <c r="P1741" s="1" t="e">
        <v>#N/A</v>
      </c>
      <c r="Q1741" s="1" t="e">
        <v>#N/A</v>
      </c>
      <c r="R1741" s="1">
        <f t="shared" si="506"/>
        <v>7</v>
      </c>
      <c r="S1741" s="1" t="str">
        <f t="shared" si="507"/>
        <v>4-7</v>
      </c>
      <c r="T1741" s="1" t="s">
        <v>19533</v>
      </c>
      <c r="U1741" s="1" t="s">
        <v>17</v>
      </c>
      <c r="V1741" s="1" t="s">
        <v>27</v>
      </c>
      <c r="W1741" s="1"/>
    </row>
    <row r="1742" spans="1:23" x14ac:dyDescent="0.2">
      <c r="A1742" s="88" t="s">
        <v>17019</v>
      </c>
      <c r="B1742" s="1" t="e">
        <v>#N/A</v>
      </c>
      <c r="C1742" s="1" t="e">
        <v>#N/A</v>
      </c>
      <c r="D1742" s="1" t="s">
        <v>4685</v>
      </c>
      <c r="E1742" s="1" t="s">
        <v>4686</v>
      </c>
      <c r="F1742" s="1" t="s">
        <v>9310</v>
      </c>
      <c r="G1742" s="1" t="s">
        <v>8957</v>
      </c>
      <c r="H1742" t="s">
        <v>8959</v>
      </c>
      <c r="I1742" s="1" t="s">
        <v>8984</v>
      </c>
      <c r="J1742" s="1" t="s">
        <v>8998</v>
      </c>
      <c r="K1742" s="1" t="s">
        <v>10629</v>
      </c>
      <c r="L1742" s="1" t="s">
        <v>8973</v>
      </c>
      <c r="M1742" s="1">
        <v>2281</v>
      </c>
      <c r="N1742" s="1" t="s">
        <v>8953</v>
      </c>
      <c r="O1742" s="1" t="s">
        <v>8989</v>
      </c>
      <c r="P1742" s="1" t="e">
        <v>#N/A</v>
      </c>
      <c r="Q1742" s="1" t="e">
        <v>#N/A</v>
      </c>
      <c r="R1742" s="1">
        <f t="shared" si="506"/>
        <v>7</v>
      </c>
      <c r="S1742" s="1" t="str">
        <f t="shared" si="507"/>
        <v>4-7</v>
      </c>
      <c r="T1742" s="1" t="s">
        <v>19534</v>
      </c>
      <c r="U1742" s="1" t="s">
        <v>17</v>
      </c>
      <c r="V1742" s="1" t="s">
        <v>93</v>
      </c>
      <c r="W1742" s="1"/>
    </row>
    <row r="1743" spans="1:23" x14ac:dyDescent="0.2">
      <c r="A1743" s="88" t="s">
        <v>17020</v>
      </c>
      <c r="B1743" s="1" t="e">
        <v>#N/A</v>
      </c>
      <c r="C1743" s="1" t="e">
        <v>#N/A</v>
      </c>
      <c r="D1743" s="1" t="s">
        <v>4687</v>
      </c>
      <c r="E1743" s="1" t="s">
        <v>4688</v>
      </c>
      <c r="F1743" s="1" t="s">
        <v>9310</v>
      </c>
      <c r="G1743" s="1" t="s">
        <v>8957</v>
      </c>
      <c r="H1743" t="s">
        <v>8959</v>
      </c>
      <c r="I1743" s="1" t="s">
        <v>8948</v>
      </c>
      <c r="J1743" s="1" t="s">
        <v>20725</v>
      </c>
      <c r="K1743" s="1" t="s">
        <v>20779</v>
      </c>
      <c r="L1743" s="1" t="s">
        <v>9076</v>
      </c>
      <c r="M1743" s="1">
        <v>1800</v>
      </c>
      <c r="N1743" s="1" t="s">
        <v>8953</v>
      </c>
      <c r="O1743" s="1" t="s">
        <v>8989</v>
      </c>
      <c r="P1743" s="1" t="e">
        <v>#N/A</v>
      </c>
      <c r="Q1743" s="1" t="e">
        <v>#N/A</v>
      </c>
      <c r="R1743" s="1">
        <f t="shared" si="506"/>
        <v>12</v>
      </c>
      <c r="S1743" s="1" t="str">
        <f t="shared" si="507"/>
        <v>&gt;7</v>
      </c>
      <c r="T1743" s="1" t="s">
        <v>19535</v>
      </c>
      <c r="U1743" s="1" t="s">
        <v>17</v>
      </c>
      <c r="V1743" s="1" t="s">
        <v>1833</v>
      </c>
      <c r="W1743" s="1"/>
    </row>
    <row r="1744" spans="1:23" x14ac:dyDescent="0.2">
      <c r="A1744" s="88" t="s">
        <v>17021</v>
      </c>
      <c r="B1744" s="1" t="e">
        <v>#N/A</v>
      </c>
      <c r="C1744" s="1" t="e">
        <v>#N/A</v>
      </c>
      <c r="D1744" s="1" t="s">
        <v>4689</v>
      </c>
      <c r="E1744" s="1" t="s">
        <v>4690</v>
      </c>
      <c r="F1744" s="1" t="s">
        <v>18502</v>
      </c>
      <c r="G1744" s="1" t="s">
        <v>8959</v>
      </c>
      <c r="H1744" t="s">
        <v>8959</v>
      </c>
      <c r="I1744" s="1" t="s">
        <v>9173</v>
      </c>
      <c r="J1744" s="1" t="s">
        <v>9174</v>
      </c>
      <c r="K1744" s="1" t="s">
        <v>18489</v>
      </c>
      <c r="L1744" s="1" t="s">
        <v>9133</v>
      </c>
      <c r="M1744" s="1">
        <v>64837</v>
      </c>
      <c r="N1744" s="1" t="s">
        <v>8953</v>
      </c>
      <c r="O1744" s="1" t="s">
        <v>8954</v>
      </c>
      <c r="P1744" s="1" t="e">
        <v>#N/A</v>
      </c>
      <c r="Q1744" s="1" t="e">
        <v>#N/A</v>
      </c>
      <c r="R1744" s="1">
        <f t="shared" si="506"/>
        <v>22</v>
      </c>
      <c r="S1744" s="1" t="str">
        <f t="shared" si="507"/>
        <v>&gt;7</v>
      </c>
      <c r="T1744" s="1" t="s">
        <v>19536</v>
      </c>
      <c r="U1744" s="1" t="s">
        <v>7</v>
      </c>
      <c r="V1744" s="1" t="s">
        <v>402</v>
      </c>
      <c r="W1744" s="1"/>
    </row>
    <row r="1745" spans="1:23" x14ac:dyDescent="0.2">
      <c r="A1745" s="88" t="s">
        <v>17022</v>
      </c>
      <c r="B1745" s="1" t="e">
        <v>#N/A</v>
      </c>
      <c r="C1745" s="1" t="e">
        <v>#N/A</v>
      </c>
      <c r="D1745" s="1" t="s">
        <v>4691</v>
      </c>
      <c r="E1745" s="1" t="s">
        <v>4692</v>
      </c>
      <c r="F1745" s="1" t="s">
        <v>18502</v>
      </c>
      <c r="G1745" s="1" t="s">
        <v>8959</v>
      </c>
      <c r="H1745" t="s">
        <v>8959</v>
      </c>
      <c r="I1745" s="1" t="s">
        <v>9252</v>
      </c>
      <c r="J1745" s="1" t="s">
        <v>8985</v>
      </c>
      <c r="K1745" s="1" t="s">
        <v>18489</v>
      </c>
      <c r="L1745" s="1" t="s">
        <v>8951</v>
      </c>
      <c r="M1745" s="1">
        <v>399</v>
      </c>
      <c r="N1745" s="1" t="s">
        <v>8953</v>
      </c>
      <c r="O1745" s="1" t="s">
        <v>8954</v>
      </c>
      <c r="P1745" s="1" t="e">
        <v>#N/A</v>
      </c>
      <c r="Q1745" s="1" t="e">
        <v>#N/A</v>
      </c>
      <c r="R1745" s="1">
        <f t="shared" si="506"/>
        <v>10</v>
      </c>
      <c r="S1745" s="1" t="str">
        <f t="shared" si="507"/>
        <v>&gt;7</v>
      </c>
      <c r="T1745" s="1" t="s">
        <v>19537</v>
      </c>
      <c r="U1745" s="1" t="s">
        <v>17</v>
      </c>
      <c r="V1745" s="1" t="s">
        <v>4693</v>
      </c>
      <c r="W1745" s="1"/>
    </row>
    <row r="1746" spans="1:23" x14ac:dyDescent="0.2">
      <c r="A1746" s="88" t="s">
        <v>17023</v>
      </c>
      <c r="B1746" s="1" t="e">
        <v>#N/A</v>
      </c>
      <c r="C1746" s="1" t="s">
        <v>9608</v>
      </c>
      <c r="D1746" s="1" t="s">
        <v>4694</v>
      </c>
      <c r="E1746" s="1" t="s">
        <v>4695</v>
      </c>
      <c r="F1746" s="1" t="s">
        <v>9010</v>
      </c>
      <c r="G1746" s="1" t="s">
        <v>8957</v>
      </c>
      <c r="H1746" t="s">
        <v>9061</v>
      </c>
      <c r="I1746" s="1" t="s">
        <v>8984</v>
      </c>
      <c r="J1746" s="1" t="s">
        <v>8949</v>
      </c>
      <c r="K1746" s="1" t="s">
        <v>18491</v>
      </c>
      <c r="L1746" s="1" t="s">
        <v>9076</v>
      </c>
      <c r="M1746" s="1">
        <v>21</v>
      </c>
      <c r="N1746" s="1" t="s">
        <v>9059</v>
      </c>
      <c r="O1746" s="1" t="s">
        <v>8989</v>
      </c>
      <c r="P1746" s="1" t="s">
        <v>8955</v>
      </c>
      <c r="Q1746" s="1" t="s">
        <v>8956</v>
      </c>
      <c r="R1746" s="1" t="s">
        <v>8957</v>
      </c>
      <c r="S1746" s="1" t="s">
        <v>8975</v>
      </c>
      <c r="T1746" s="1" t="s">
        <v>4696</v>
      </c>
      <c r="U1746" s="1" t="s">
        <v>17</v>
      </c>
      <c r="V1746" s="1" t="s">
        <v>670</v>
      </c>
      <c r="W1746" s="1"/>
    </row>
    <row r="1747" spans="1:23" x14ac:dyDescent="0.2">
      <c r="A1747" s="88" t="s">
        <v>17024</v>
      </c>
      <c r="B1747" s="1" t="e">
        <v>#N/A</v>
      </c>
      <c r="C1747" s="1" t="e">
        <v>#N/A</v>
      </c>
      <c r="D1747" s="1" t="s">
        <v>4697</v>
      </c>
      <c r="E1747" s="1" t="s">
        <v>4698</v>
      </c>
      <c r="F1747" s="1" t="s">
        <v>18502</v>
      </c>
      <c r="G1747" s="1" t="s">
        <v>9060</v>
      </c>
      <c r="H1747" t="s">
        <v>9061</v>
      </c>
      <c r="I1747" s="1" t="s">
        <v>9092</v>
      </c>
      <c r="J1747" s="1" t="s">
        <v>9155</v>
      </c>
      <c r="K1747" s="1" t="s">
        <v>20785</v>
      </c>
      <c r="L1747" s="1" t="s">
        <v>9076</v>
      </c>
      <c r="M1747" s="1">
        <v>17</v>
      </c>
      <c r="N1747" s="1" t="s">
        <v>9059</v>
      </c>
      <c r="O1747" s="1" t="s">
        <v>8989</v>
      </c>
      <c r="P1747" s="1" t="e">
        <v>#N/A</v>
      </c>
      <c r="Q1747" s="1" t="e">
        <v>#N/A</v>
      </c>
      <c r="R1747" s="1">
        <f t="shared" ref="R1747:R1748" si="508">1+LEN(T1747)-LEN(SUBSTITUTE(T1747,",",))</f>
        <v>13</v>
      </c>
      <c r="S1747" s="1" t="str">
        <f t="shared" ref="S1747:S1748" si="509">IF(R1747&gt;4,IF(R1747&lt;8,"4-7",IF(R1747&gt;7,"&gt;7")),"&lt;4")</f>
        <v>&gt;7</v>
      </c>
      <c r="T1747" s="1" t="s">
        <v>19538</v>
      </c>
      <c r="U1747" s="1" t="s">
        <v>17</v>
      </c>
      <c r="V1747" s="1" t="s">
        <v>378</v>
      </c>
      <c r="W1747" s="1"/>
    </row>
    <row r="1748" spans="1:23" x14ac:dyDescent="0.2">
      <c r="A1748" s="88" t="s">
        <v>17025</v>
      </c>
      <c r="B1748" s="1" t="e">
        <v>#N/A</v>
      </c>
      <c r="C1748" s="1" t="e">
        <v>#N/A</v>
      </c>
      <c r="D1748" s="1" t="s">
        <v>4699</v>
      </c>
      <c r="E1748" s="1" t="s">
        <v>4700</v>
      </c>
      <c r="F1748" s="1" t="s">
        <v>18502</v>
      </c>
      <c r="G1748" s="1" t="s">
        <v>9060</v>
      </c>
      <c r="H1748" t="s">
        <v>9061</v>
      </c>
      <c r="I1748" s="1" t="s">
        <v>8984</v>
      </c>
      <c r="J1748" s="1" t="s">
        <v>9155</v>
      </c>
      <c r="K1748" s="1" t="s">
        <v>20785</v>
      </c>
      <c r="L1748" s="1" t="s">
        <v>9076</v>
      </c>
      <c r="M1748" s="1">
        <v>21</v>
      </c>
      <c r="N1748" s="1" t="s">
        <v>9059</v>
      </c>
      <c r="O1748" s="1" t="s">
        <v>8989</v>
      </c>
      <c r="P1748" s="1" t="e">
        <v>#N/A</v>
      </c>
      <c r="Q1748" s="1" t="e">
        <v>#N/A</v>
      </c>
      <c r="R1748" s="1">
        <f t="shared" si="508"/>
        <v>11</v>
      </c>
      <c r="S1748" s="1" t="str">
        <f t="shared" si="509"/>
        <v>&gt;7</v>
      </c>
      <c r="T1748" s="1" t="s">
        <v>19539</v>
      </c>
      <c r="U1748" s="1" t="s">
        <v>17</v>
      </c>
      <c r="V1748" s="1" t="s">
        <v>378</v>
      </c>
      <c r="W1748" s="1"/>
    </row>
    <row r="1749" spans="1:23" x14ac:dyDescent="0.2">
      <c r="A1749" s="88" t="s">
        <v>17026</v>
      </c>
      <c r="B1749" s="1" t="e">
        <v>#N/A</v>
      </c>
      <c r="C1749" s="1" t="s">
        <v>13496</v>
      </c>
      <c r="D1749" s="1" t="s">
        <v>4701</v>
      </c>
      <c r="E1749" s="1" t="s">
        <v>4702</v>
      </c>
      <c r="F1749" s="1" t="s">
        <v>9310</v>
      </c>
      <c r="G1749" s="1" t="s">
        <v>8959</v>
      </c>
      <c r="H1749" t="s">
        <v>8959</v>
      </c>
      <c r="I1749" s="1" t="s">
        <v>8948</v>
      </c>
      <c r="J1749" s="1" t="s">
        <v>8949</v>
      </c>
      <c r="K1749" s="1" t="s">
        <v>9036</v>
      </c>
      <c r="L1749" s="1" t="s">
        <v>9464</v>
      </c>
      <c r="M1749" s="1">
        <v>240</v>
      </c>
      <c r="N1749" s="1" t="s">
        <v>9059</v>
      </c>
      <c r="O1749" s="1" t="s">
        <v>8954</v>
      </c>
      <c r="P1749" s="1" t="s">
        <v>8955</v>
      </c>
      <c r="Q1749" s="1" t="s">
        <v>8956</v>
      </c>
      <c r="R1749" s="1" t="s">
        <v>8959</v>
      </c>
      <c r="S1749" s="1" t="s">
        <v>8975</v>
      </c>
      <c r="T1749" s="1" t="s">
        <v>4703</v>
      </c>
      <c r="U1749" s="1" t="s">
        <v>4</v>
      </c>
      <c r="V1749" s="1" t="s">
        <v>110</v>
      </c>
      <c r="W1749" s="1"/>
    </row>
    <row r="1750" spans="1:23" x14ac:dyDescent="0.2">
      <c r="A1750" s="95" t="s">
        <v>17027</v>
      </c>
      <c r="B1750" s="1" t="e">
        <v>#N/A</v>
      </c>
      <c r="C1750" s="1" t="e">
        <v>#N/A</v>
      </c>
      <c r="D1750" s="1" t="s">
        <v>4704</v>
      </c>
      <c r="E1750" s="1" t="s">
        <v>4705</v>
      </c>
      <c r="F1750" s="1" t="s">
        <v>9310</v>
      </c>
      <c r="G1750" s="1" t="s">
        <v>8957</v>
      </c>
      <c r="H1750" t="s">
        <v>8959</v>
      </c>
      <c r="I1750" s="1" t="s">
        <v>9943</v>
      </c>
      <c r="J1750" s="1" t="s">
        <v>9725</v>
      </c>
      <c r="K1750" s="1" t="s">
        <v>21280</v>
      </c>
      <c r="L1750" s="1" t="s">
        <v>8987</v>
      </c>
      <c r="M1750" s="1">
        <v>65</v>
      </c>
      <c r="N1750" s="1" t="s">
        <v>9059</v>
      </c>
      <c r="O1750" s="1" t="s">
        <v>8989</v>
      </c>
      <c r="P1750" s="1" t="e">
        <v>#N/A</v>
      </c>
      <c r="Q1750" s="1" t="e">
        <v>#N/A</v>
      </c>
      <c r="R1750" s="1">
        <f t="shared" ref="R1750:R1753" si="510">1+LEN(T1750)-LEN(SUBSTITUTE(T1750,",",))</f>
        <v>5</v>
      </c>
      <c r="S1750" s="1" t="str">
        <f t="shared" ref="S1750:S1753" si="511">IF(R1750&gt;4,IF(R1750&lt;8,"4-7",IF(R1750&gt;7,"&gt;7")),"&lt;4")</f>
        <v>4-7</v>
      </c>
      <c r="T1750" s="1" t="s">
        <v>19540</v>
      </c>
      <c r="U1750" s="1" t="s">
        <v>7</v>
      </c>
      <c r="V1750" s="1" t="s">
        <v>107</v>
      </c>
      <c r="W1750" s="1"/>
    </row>
    <row r="1751" spans="1:23" x14ac:dyDescent="0.2">
      <c r="A1751" s="88" t="s">
        <v>17028</v>
      </c>
      <c r="B1751" s="1" t="e">
        <v>#N/A</v>
      </c>
      <c r="C1751" s="1" t="e">
        <v>#N/A</v>
      </c>
      <c r="D1751" s="1" t="s">
        <v>4706</v>
      </c>
      <c r="E1751" s="1" t="s">
        <v>4707</v>
      </c>
      <c r="F1751" s="1" t="s">
        <v>9310</v>
      </c>
      <c r="G1751" s="1" t="s">
        <v>9060</v>
      </c>
      <c r="H1751" t="s">
        <v>8959</v>
      </c>
      <c r="I1751" s="1" t="s">
        <v>9092</v>
      </c>
      <c r="J1751" s="1" t="s">
        <v>9308</v>
      </c>
      <c r="K1751" s="1" t="s">
        <v>10525</v>
      </c>
      <c r="L1751" s="1" t="s">
        <v>8987</v>
      </c>
      <c r="M1751" s="1">
        <v>1400</v>
      </c>
      <c r="N1751" s="1" t="s">
        <v>8953</v>
      </c>
      <c r="O1751" s="1" t="s">
        <v>8989</v>
      </c>
      <c r="P1751" s="1" t="e">
        <v>#N/A</v>
      </c>
      <c r="Q1751" s="1" t="e">
        <v>#N/A</v>
      </c>
      <c r="R1751" s="1">
        <f t="shared" si="510"/>
        <v>5</v>
      </c>
      <c r="S1751" s="1" t="str">
        <f t="shared" si="511"/>
        <v>4-7</v>
      </c>
      <c r="T1751" s="1" t="s">
        <v>19541</v>
      </c>
      <c r="U1751" s="1" t="s">
        <v>17</v>
      </c>
      <c r="V1751" s="1" t="s">
        <v>74</v>
      </c>
      <c r="W1751" s="1"/>
    </row>
    <row r="1752" spans="1:23" x14ac:dyDescent="0.2">
      <c r="A1752" s="88" t="s">
        <v>17029</v>
      </c>
      <c r="B1752" s="1" t="e">
        <v>#N/A</v>
      </c>
      <c r="C1752" s="1" t="e">
        <v>#N/A</v>
      </c>
      <c r="D1752" s="1" t="s">
        <v>4708</v>
      </c>
      <c r="E1752" s="1" t="s">
        <v>4709</v>
      </c>
      <c r="F1752" s="1" t="s">
        <v>9310</v>
      </c>
      <c r="G1752" s="1" t="s">
        <v>8957</v>
      </c>
      <c r="H1752" t="s">
        <v>8959</v>
      </c>
      <c r="I1752" s="1" t="s">
        <v>9035</v>
      </c>
      <c r="J1752" s="1" t="s">
        <v>9308</v>
      </c>
      <c r="K1752" s="1" t="s">
        <v>20723</v>
      </c>
      <c r="L1752" s="1" t="s">
        <v>8973</v>
      </c>
      <c r="M1752" s="1">
        <v>504</v>
      </c>
      <c r="N1752" s="1" t="s">
        <v>8953</v>
      </c>
      <c r="O1752" s="1" t="s">
        <v>8989</v>
      </c>
      <c r="P1752" s="1" t="e">
        <v>#N/A</v>
      </c>
      <c r="Q1752" s="1" t="e">
        <v>#N/A</v>
      </c>
      <c r="R1752" s="1">
        <f t="shared" si="510"/>
        <v>7</v>
      </c>
      <c r="S1752" s="1" t="str">
        <f t="shared" si="511"/>
        <v>4-7</v>
      </c>
      <c r="T1752" s="1" t="s">
        <v>19542</v>
      </c>
      <c r="U1752" s="1" t="s">
        <v>17</v>
      </c>
      <c r="V1752" s="1" t="s">
        <v>184</v>
      </c>
      <c r="W1752" s="1"/>
    </row>
    <row r="1753" spans="1:23" x14ac:dyDescent="0.2">
      <c r="A1753" s="88" t="s">
        <v>17030</v>
      </c>
      <c r="B1753" s="1" t="e">
        <v>#N/A</v>
      </c>
      <c r="C1753" s="1" t="e">
        <v>#N/A</v>
      </c>
      <c r="D1753" s="1" t="s">
        <v>4710</v>
      </c>
      <c r="E1753" s="1" t="s">
        <v>4711</v>
      </c>
      <c r="F1753" s="1" t="s">
        <v>9310</v>
      </c>
      <c r="G1753" s="1" t="s">
        <v>8957</v>
      </c>
      <c r="H1753" t="s">
        <v>8959</v>
      </c>
      <c r="I1753" s="1" t="s">
        <v>20714</v>
      </c>
      <c r="J1753" s="1" t="s">
        <v>9101</v>
      </c>
      <c r="K1753" s="1" t="s">
        <v>21252</v>
      </c>
      <c r="L1753" s="1" t="s">
        <v>9076</v>
      </c>
      <c r="M1753" s="1">
        <f>1870</f>
        <v>1870</v>
      </c>
      <c r="N1753" s="1" t="s">
        <v>8953</v>
      </c>
      <c r="O1753" s="1" t="s">
        <v>8954</v>
      </c>
      <c r="P1753" s="1" t="e">
        <v>#N/A</v>
      </c>
      <c r="Q1753" s="1" t="e">
        <v>#N/A</v>
      </c>
      <c r="R1753" s="1">
        <f t="shared" si="510"/>
        <v>8</v>
      </c>
      <c r="S1753" s="1" t="str">
        <f t="shared" si="511"/>
        <v>&gt;7</v>
      </c>
      <c r="T1753" s="1" t="s">
        <v>19543</v>
      </c>
      <c r="U1753" s="1" t="s">
        <v>7</v>
      </c>
      <c r="V1753" s="1" t="s">
        <v>184</v>
      </c>
      <c r="W1753" s="1"/>
    </row>
    <row r="1754" spans="1:23" x14ac:dyDescent="0.2">
      <c r="A1754" s="88" t="s">
        <v>17031</v>
      </c>
      <c r="B1754" s="1" t="e">
        <v>#N/A</v>
      </c>
      <c r="C1754" s="1" t="s">
        <v>10169</v>
      </c>
      <c r="D1754" s="1" t="s">
        <v>4712</v>
      </c>
      <c r="E1754" s="1" t="s">
        <v>4713</v>
      </c>
      <c r="F1754" s="1" t="s">
        <v>9310</v>
      </c>
      <c r="G1754" s="1" t="s">
        <v>8957</v>
      </c>
      <c r="H1754" t="s">
        <v>9009</v>
      </c>
      <c r="I1754" s="1" t="s">
        <v>8948</v>
      </c>
      <c r="J1754" s="1" t="s">
        <v>8998</v>
      </c>
      <c r="K1754" s="1" t="s">
        <v>18497</v>
      </c>
      <c r="L1754" s="1" t="s">
        <v>9157</v>
      </c>
      <c r="M1754" s="1">
        <v>170</v>
      </c>
      <c r="N1754" s="1" t="s">
        <v>9059</v>
      </c>
      <c r="O1754" s="1" t="s">
        <v>8954</v>
      </c>
      <c r="P1754" s="1" t="s">
        <v>8955</v>
      </c>
      <c r="Q1754" s="1" t="s">
        <v>8956</v>
      </c>
      <c r="R1754" s="1" t="s">
        <v>8957</v>
      </c>
      <c r="S1754" s="1" t="s">
        <v>8975</v>
      </c>
      <c r="T1754" s="1" t="s">
        <v>4714</v>
      </c>
      <c r="U1754" s="1" t="s">
        <v>17</v>
      </c>
      <c r="V1754" s="1" t="s">
        <v>93</v>
      </c>
      <c r="W1754" s="1"/>
    </row>
    <row r="1755" spans="1:23" x14ac:dyDescent="0.2">
      <c r="A1755" s="88" t="s">
        <v>17032</v>
      </c>
      <c r="B1755" s="1" t="e">
        <v>#N/A</v>
      </c>
      <c r="C1755" s="1" t="e">
        <v>#N/A</v>
      </c>
      <c r="D1755" s="1" t="s">
        <v>4715</v>
      </c>
      <c r="E1755" s="1" t="s">
        <v>4716</v>
      </c>
      <c r="F1755" s="1" t="s">
        <v>9310</v>
      </c>
      <c r="G1755" s="1" t="s">
        <v>8957</v>
      </c>
      <c r="H1755" t="s">
        <v>9061</v>
      </c>
      <c r="I1755" s="1" t="s">
        <v>9075</v>
      </c>
      <c r="J1755" s="1" t="s">
        <v>8998</v>
      </c>
      <c r="K1755" s="1" t="s">
        <v>10492</v>
      </c>
      <c r="L1755" s="1" t="s">
        <v>8973</v>
      </c>
      <c r="M1755" s="1">
        <v>105</v>
      </c>
      <c r="N1755" s="1" t="s">
        <v>9059</v>
      </c>
      <c r="O1755" s="1" t="s">
        <v>8989</v>
      </c>
      <c r="P1755" s="1" t="e">
        <v>#N/A</v>
      </c>
      <c r="Q1755" s="1" t="e">
        <v>#N/A</v>
      </c>
      <c r="R1755" s="1">
        <f t="shared" ref="R1755:R1757" si="512">1+LEN(T1755)-LEN(SUBSTITUTE(T1755,",",))</f>
        <v>7</v>
      </c>
      <c r="S1755" s="1" t="str">
        <f t="shared" ref="S1755:S1757" si="513">IF(R1755&gt;4,IF(R1755&lt;8,"4-7",IF(R1755&gt;7,"&gt;7")),"&lt;4")</f>
        <v>4-7</v>
      </c>
      <c r="T1755" s="1" t="s">
        <v>19544</v>
      </c>
      <c r="U1755" s="1" t="s">
        <v>7</v>
      </c>
      <c r="V1755" s="1" t="s">
        <v>2434</v>
      </c>
      <c r="W1755" s="1"/>
    </row>
    <row r="1756" spans="1:23" x14ac:dyDescent="0.2">
      <c r="A1756" s="88" t="s">
        <v>17033</v>
      </c>
      <c r="B1756" s="1" t="e">
        <v>#N/A</v>
      </c>
      <c r="C1756" s="1" t="e">
        <v>#N/A</v>
      </c>
      <c r="D1756" s="1" t="s">
        <v>4717</v>
      </c>
      <c r="E1756" s="1" t="s">
        <v>4718</v>
      </c>
      <c r="F1756" s="1" t="s">
        <v>9310</v>
      </c>
      <c r="G1756" s="1" t="s">
        <v>8957</v>
      </c>
      <c r="H1756" t="s">
        <v>8959</v>
      </c>
      <c r="I1756" s="1" t="s">
        <v>9035</v>
      </c>
      <c r="J1756" s="1" t="s">
        <v>8998</v>
      </c>
      <c r="K1756" s="1" t="s">
        <v>10492</v>
      </c>
      <c r="L1756" s="1" t="s">
        <v>9076</v>
      </c>
      <c r="M1756" s="1">
        <v>50</v>
      </c>
      <c r="N1756" s="1" t="s">
        <v>9059</v>
      </c>
      <c r="O1756" s="1" t="s">
        <v>8989</v>
      </c>
      <c r="P1756" s="1" t="e">
        <v>#N/A</v>
      </c>
      <c r="Q1756" s="1" t="e">
        <v>#N/A</v>
      </c>
      <c r="R1756" s="1">
        <f t="shared" si="512"/>
        <v>11</v>
      </c>
      <c r="S1756" s="1" t="str">
        <f t="shared" si="513"/>
        <v>&gt;7</v>
      </c>
      <c r="T1756" s="1" t="s">
        <v>19545</v>
      </c>
      <c r="U1756" s="1" t="s">
        <v>7</v>
      </c>
      <c r="V1756" s="1" t="s">
        <v>93</v>
      </c>
      <c r="W1756" s="1"/>
    </row>
    <row r="1757" spans="1:23" x14ac:dyDescent="0.2">
      <c r="A1757" s="89" t="s">
        <v>4719</v>
      </c>
      <c r="B1757" s="1" t="e">
        <v>#N/A</v>
      </c>
      <c r="C1757" s="1" t="e">
        <v>#N/A</v>
      </c>
      <c r="D1757" s="1" t="s">
        <v>4720</v>
      </c>
      <c r="E1757" s="1" t="s">
        <v>4721</v>
      </c>
      <c r="F1757" s="1" t="e">
        <v>#N/A</v>
      </c>
      <c r="G1757" s="1" t="e">
        <v>#N/A</v>
      </c>
      <c r="H1757" t="e">
        <v>#N/A</v>
      </c>
      <c r="I1757" s="1" t="e">
        <v>#N/A</v>
      </c>
      <c r="J1757" s="1" t="e">
        <v>#N/A</v>
      </c>
      <c r="K1757" s="1" t="e">
        <v>#N/A</v>
      </c>
      <c r="L1757" s="1" t="e">
        <v>#N/A</v>
      </c>
      <c r="M1757" s="1" t="e">
        <v>#N/A</v>
      </c>
      <c r="N1757" s="1" t="e">
        <v>#N/A</v>
      </c>
      <c r="O1757" s="1" t="e">
        <v>#N/A</v>
      </c>
      <c r="P1757" s="1" t="e">
        <v>#N/A</v>
      </c>
      <c r="Q1757" s="1" t="e">
        <v>#N/A</v>
      </c>
      <c r="R1757" s="1">
        <f t="shared" si="512"/>
        <v>11</v>
      </c>
      <c r="S1757" s="1" t="str">
        <f t="shared" si="513"/>
        <v>&gt;7</v>
      </c>
      <c r="T1757" s="1" t="s">
        <v>19546</v>
      </c>
      <c r="U1757" s="1" t="s">
        <v>17</v>
      </c>
      <c r="V1757" s="1" t="s">
        <v>3111</v>
      </c>
      <c r="W1757" s="1"/>
    </row>
    <row r="1758" spans="1:23" x14ac:dyDescent="0.2">
      <c r="A1758" s="88" t="s">
        <v>17034</v>
      </c>
      <c r="B1758" s="1" t="e">
        <v>#N/A</v>
      </c>
      <c r="C1758" s="1" t="s">
        <v>10157</v>
      </c>
      <c r="D1758" s="1" t="s">
        <v>4722</v>
      </c>
      <c r="E1758" s="1" t="s">
        <v>4723</v>
      </c>
      <c r="F1758" s="1" t="s">
        <v>9317</v>
      </c>
      <c r="G1758" s="1" t="s">
        <v>8957</v>
      </c>
      <c r="H1758" t="s">
        <v>9183</v>
      </c>
      <c r="I1758" s="1" t="s">
        <v>8948</v>
      </c>
      <c r="J1758" s="1" t="s">
        <v>9121</v>
      </c>
      <c r="K1758" s="1" t="s">
        <v>8972</v>
      </c>
      <c r="L1758" s="1" t="s">
        <v>8973</v>
      </c>
      <c r="M1758" s="1">
        <v>66</v>
      </c>
      <c r="N1758" s="1" t="s">
        <v>9059</v>
      </c>
      <c r="O1758" s="1" t="s">
        <v>8989</v>
      </c>
      <c r="P1758" s="1" t="s">
        <v>8955</v>
      </c>
      <c r="Q1758" s="1" t="s">
        <v>8990</v>
      </c>
      <c r="R1758" s="1" t="s">
        <v>8957</v>
      </c>
      <c r="S1758" s="1" t="s">
        <v>8975</v>
      </c>
      <c r="T1758" s="1" t="s">
        <v>4724</v>
      </c>
      <c r="U1758" s="1" t="s">
        <v>17</v>
      </c>
      <c r="V1758" s="1" t="s">
        <v>938</v>
      </c>
      <c r="W1758" s="1"/>
    </row>
    <row r="1759" spans="1:23" x14ac:dyDescent="0.2">
      <c r="A1759" s="88" t="s">
        <v>17035</v>
      </c>
      <c r="B1759" s="1" t="e">
        <v>#N/A</v>
      </c>
      <c r="C1759" s="1" t="e">
        <v>#N/A</v>
      </c>
      <c r="D1759" s="1" t="s">
        <v>4725</v>
      </c>
      <c r="E1759" s="1" t="s">
        <v>4726</v>
      </c>
      <c r="F1759" s="1" t="s">
        <v>18502</v>
      </c>
      <c r="G1759" s="1" t="s">
        <v>8957</v>
      </c>
      <c r="H1759" t="s">
        <v>8959</v>
      </c>
      <c r="I1759" s="1" t="s">
        <v>9100</v>
      </c>
      <c r="J1759" s="1" t="s">
        <v>8949</v>
      </c>
      <c r="K1759" s="1" t="s">
        <v>20813</v>
      </c>
      <c r="L1759" s="1" t="s">
        <v>8951</v>
      </c>
      <c r="M1759" s="1">
        <v>2324</v>
      </c>
      <c r="N1759" s="1" t="s">
        <v>9059</v>
      </c>
      <c r="O1759" s="1" t="s">
        <v>8954</v>
      </c>
      <c r="P1759" s="1" t="e">
        <v>#N/A</v>
      </c>
      <c r="Q1759" s="1" t="e">
        <v>#N/A</v>
      </c>
      <c r="R1759" s="1">
        <f t="shared" ref="R1759:R1765" si="514">1+LEN(T1759)-LEN(SUBSTITUTE(T1759,",",))</f>
        <v>8</v>
      </c>
      <c r="S1759" s="1" t="str">
        <f t="shared" ref="S1759:S1765" si="515">IF(R1759&gt;4,IF(R1759&lt;8,"4-7",IF(R1759&gt;7,"&gt;7")),"&lt;4")</f>
        <v>&gt;7</v>
      </c>
      <c r="T1759" s="1" t="s">
        <v>19547</v>
      </c>
      <c r="U1759" s="1" t="s">
        <v>7</v>
      </c>
      <c r="V1759" s="1" t="s">
        <v>184</v>
      </c>
      <c r="W1759" s="1"/>
    </row>
    <row r="1760" spans="1:23" x14ac:dyDescent="0.2">
      <c r="A1760" s="88" t="s">
        <v>17036</v>
      </c>
      <c r="B1760" s="1" t="e">
        <v>#N/A</v>
      </c>
      <c r="C1760" s="1" t="e">
        <v>#N/A</v>
      </c>
      <c r="D1760" s="1" t="s">
        <v>4727</v>
      </c>
      <c r="E1760" s="1" t="s">
        <v>4728</v>
      </c>
      <c r="F1760" s="1" t="s">
        <v>10873</v>
      </c>
      <c r="G1760" s="1" t="s">
        <v>8974</v>
      </c>
      <c r="H1760" t="s">
        <v>9183</v>
      </c>
      <c r="I1760" s="1" t="s">
        <v>9605</v>
      </c>
      <c r="J1760" s="1" t="s">
        <v>8959</v>
      </c>
      <c r="K1760" s="77" t="s">
        <v>20879</v>
      </c>
      <c r="L1760" s="1" t="s">
        <v>9076</v>
      </c>
      <c r="M1760" s="1">
        <v>28000</v>
      </c>
      <c r="N1760" s="1" t="s">
        <v>8953</v>
      </c>
      <c r="O1760" s="1" t="s">
        <v>8989</v>
      </c>
      <c r="P1760" s="1" t="e">
        <v>#N/A</v>
      </c>
      <c r="Q1760" s="1" t="e">
        <v>#N/A</v>
      </c>
      <c r="R1760" s="1">
        <f t="shared" si="514"/>
        <v>4</v>
      </c>
      <c r="S1760" s="1" t="str">
        <f t="shared" si="515"/>
        <v>&lt;4</v>
      </c>
      <c r="T1760" s="1" t="s">
        <v>19548</v>
      </c>
      <c r="U1760" s="1" t="s">
        <v>11</v>
      </c>
      <c r="V1760" s="1" t="s">
        <v>4729</v>
      </c>
      <c r="W1760" s="1"/>
    </row>
    <row r="1761" spans="1:23" x14ac:dyDescent="0.2">
      <c r="A1761" s="89" t="s">
        <v>4730</v>
      </c>
      <c r="B1761" s="1" t="e">
        <v>#N/A</v>
      </c>
      <c r="C1761" s="1" t="e">
        <v>#N/A</v>
      </c>
      <c r="D1761" s="1" t="s">
        <v>4731</v>
      </c>
      <c r="E1761" s="1" t="s">
        <v>4732</v>
      </c>
      <c r="F1761" s="1" t="s">
        <v>18502</v>
      </c>
      <c r="G1761" s="1" t="e">
        <v>#N/A</v>
      </c>
      <c r="H1761" t="s">
        <v>9061</v>
      </c>
      <c r="I1761" s="1" t="s">
        <v>9252</v>
      </c>
      <c r="J1761" s="1" t="s">
        <v>8949</v>
      </c>
      <c r="K1761" s="1" t="e">
        <v>#N/A</v>
      </c>
      <c r="L1761" s="1" t="e">
        <v>#N/A</v>
      </c>
      <c r="M1761" s="1" t="e">
        <v>#N/A</v>
      </c>
      <c r="N1761" s="1" t="e">
        <v>#N/A</v>
      </c>
      <c r="O1761" s="1" t="e">
        <v>#N/A</v>
      </c>
      <c r="P1761" s="1" t="e">
        <v>#N/A</v>
      </c>
      <c r="Q1761" s="1" t="e">
        <v>#N/A</v>
      </c>
      <c r="R1761" s="1">
        <f t="shared" si="514"/>
        <v>4</v>
      </c>
      <c r="S1761" s="1" t="str">
        <f t="shared" si="515"/>
        <v>&lt;4</v>
      </c>
      <c r="T1761" s="1" t="s">
        <v>19549</v>
      </c>
      <c r="U1761" s="1" t="s">
        <v>7</v>
      </c>
      <c r="V1761" s="1" t="s">
        <v>1097</v>
      </c>
      <c r="W1761" s="1"/>
    </row>
    <row r="1762" spans="1:23" x14ac:dyDescent="0.2">
      <c r="A1762" s="88" t="s">
        <v>17037</v>
      </c>
      <c r="B1762" s="1" t="e">
        <v>#N/A</v>
      </c>
      <c r="C1762" s="1" t="e">
        <v>#N/A</v>
      </c>
      <c r="D1762" s="1" t="s">
        <v>4733</v>
      </c>
      <c r="E1762" s="1" t="s">
        <v>4734</v>
      </c>
      <c r="F1762" s="1" t="s">
        <v>9310</v>
      </c>
      <c r="G1762" s="1" t="s">
        <v>8957</v>
      </c>
      <c r="H1762" t="s">
        <v>9009</v>
      </c>
      <c r="I1762" s="1" t="s">
        <v>20714</v>
      </c>
      <c r="J1762" s="1" t="s">
        <v>20725</v>
      </c>
      <c r="K1762" s="1" t="s">
        <v>18497</v>
      </c>
      <c r="L1762" s="1" t="s">
        <v>8951</v>
      </c>
      <c r="M1762" s="1">
        <v>3618</v>
      </c>
      <c r="N1762" s="1" t="s">
        <v>8953</v>
      </c>
      <c r="O1762" s="1" t="s">
        <v>8989</v>
      </c>
      <c r="P1762" s="1" t="e">
        <v>#N/A</v>
      </c>
      <c r="Q1762" s="1" t="e">
        <v>#N/A</v>
      </c>
      <c r="R1762" s="1">
        <f t="shared" si="514"/>
        <v>7</v>
      </c>
      <c r="S1762" s="1" t="str">
        <f t="shared" si="515"/>
        <v>4-7</v>
      </c>
      <c r="T1762" s="1" t="s">
        <v>19550</v>
      </c>
      <c r="U1762" s="1" t="s">
        <v>7</v>
      </c>
      <c r="V1762" s="1" t="s">
        <v>24</v>
      </c>
      <c r="W1762" s="1"/>
    </row>
    <row r="1763" spans="1:23" x14ac:dyDescent="0.2">
      <c r="A1763" s="89" t="s">
        <v>4735</v>
      </c>
      <c r="B1763" s="1" t="e">
        <v>#N/A</v>
      </c>
      <c r="C1763" s="1" t="e">
        <v>#N/A</v>
      </c>
      <c r="D1763" s="1" t="s">
        <v>4736</v>
      </c>
      <c r="E1763" s="1" t="s">
        <v>4737</v>
      </c>
      <c r="F1763" s="1"/>
      <c r="P1763" s="1" t="e">
        <v>#N/A</v>
      </c>
      <c r="Q1763" s="1" t="e">
        <v>#N/A</v>
      </c>
      <c r="R1763" s="1">
        <f t="shared" si="514"/>
        <v>4</v>
      </c>
      <c r="S1763" s="1" t="str">
        <f t="shared" si="515"/>
        <v>&lt;4</v>
      </c>
      <c r="T1763" s="1" t="s">
        <v>19551</v>
      </c>
      <c r="U1763" s="1" t="s">
        <v>7</v>
      </c>
      <c r="V1763" s="1" t="s">
        <v>500</v>
      </c>
      <c r="W1763" s="1"/>
    </row>
    <row r="1764" spans="1:23" x14ac:dyDescent="0.2">
      <c r="A1764" s="89" t="s">
        <v>4738</v>
      </c>
      <c r="B1764" s="1" t="e">
        <v>#N/A</v>
      </c>
      <c r="C1764" s="1" t="e">
        <v>#N/A</v>
      </c>
      <c r="D1764" s="1" t="s">
        <v>4739</v>
      </c>
      <c r="E1764" s="1" t="s">
        <v>4740</v>
      </c>
      <c r="F1764" s="1" t="e">
        <v>#N/A</v>
      </c>
      <c r="G1764" s="1" t="e">
        <v>#N/A</v>
      </c>
      <c r="H1764" t="e">
        <v>#N/A</v>
      </c>
      <c r="I1764" s="1" t="e">
        <v>#N/A</v>
      </c>
      <c r="J1764" s="1" t="e">
        <v>#N/A</v>
      </c>
      <c r="K1764" s="1" t="e">
        <v>#N/A</v>
      </c>
      <c r="L1764" s="1" t="e">
        <v>#N/A</v>
      </c>
      <c r="M1764" s="1" t="e">
        <v>#N/A</v>
      </c>
      <c r="N1764" s="1" t="e">
        <v>#N/A</v>
      </c>
      <c r="O1764" s="1" t="e">
        <v>#N/A</v>
      </c>
      <c r="P1764" s="1" t="e">
        <v>#N/A</v>
      </c>
      <c r="Q1764" s="1" t="e">
        <v>#N/A</v>
      </c>
      <c r="R1764" s="1">
        <f t="shared" si="514"/>
        <v>8</v>
      </c>
      <c r="S1764" s="1" t="str">
        <f t="shared" si="515"/>
        <v>&gt;7</v>
      </c>
      <c r="T1764" s="1" t="s">
        <v>20636</v>
      </c>
      <c r="U1764" s="1" t="s">
        <v>7</v>
      </c>
      <c r="V1764" s="1" t="s">
        <v>4741</v>
      </c>
      <c r="W1764" s="1"/>
    </row>
    <row r="1765" spans="1:23" x14ac:dyDescent="0.2">
      <c r="A1765" s="88" t="s">
        <v>17038</v>
      </c>
      <c r="B1765" s="1" t="e">
        <v>#N/A</v>
      </c>
      <c r="C1765" s="1" t="e">
        <v>#N/A</v>
      </c>
      <c r="D1765" s="1" t="s">
        <v>4742</v>
      </c>
      <c r="E1765" s="1" t="s">
        <v>4743</v>
      </c>
      <c r="F1765" s="1" t="s">
        <v>9310</v>
      </c>
      <c r="G1765" s="1" t="s">
        <v>8959</v>
      </c>
      <c r="H1765" t="s">
        <v>8959</v>
      </c>
      <c r="I1765" s="1" t="s">
        <v>9605</v>
      </c>
      <c r="J1765" s="1" t="s">
        <v>9101</v>
      </c>
      <c r="K1765" s="1" t="s">
        <v>10492</v>
      </c>
      <c r="L1765" s="1" t="s">
        <v>8973</v>
      </c>
      <c r="M1765" s="1">
        <f>546+53</f>
        <v>599</v>
      </c>
      <c r="N1765" s="1" t="s">
        <v>8953</v>
      </c>
      <c r="O1765" s="1" t="s">
        <v>8954</v>
      </c>
      <c r="P1765" s="1" t="e">
        <v>#N/A</v>
      </c>
      <c r="Q1765" s="1" t="e">
        <v>#N/A</v>
      </c>
      <c r="R1765" s="1">
        <f t="shared" si="514"/>
        <v>1</v>
      </c>
      <c r="S1765" s="1" t="str">
        <f t="shared" si="515"/>
        <v>&lt;4</v>
      </c>
      <c r="T1765" s="1" t="s">
        <v>4744</v>
      </c>
      <c r="U1765" s="1" t="s">
        <v>7</v>
      </c>
      <c r="V1765" s="1" t="s">
        <v>15</v>
      </c>
      <c r="W1765" s="1"/>
    </row>
    <row r="1766" spans="1:23" x14ac:dyDescent="0.2">
      <c r="A1766" s="88" t="s">
        <v>17039</v>
      </c>
      <c r="B1766" s="1" t="e">
        <v>#N/A</v>
      </c>
      <c r="C1766" s="1" t="s">
        <v>15169</v>
      </c>
      <c r="D1766" s="1" t="s">
        <v>4745</v>
      </c>
      <c r="E1766" s="1" t="s">
        <v>4746</v>
      </c>
      <c r="F1766" s="1" t="s">
        <v>9246</v>
      </c>
      <c r="G1766" s="1" t="s">
        <v>8957</v>
      </c>
      <c r="H1766" t="s">
        <v>9009</v>
      </c>
      <c r="I1766" s="1" t="s">
        <v>15172</v>
      </c>
      <c r="J1766" s="1" t="s">
        <v>8949</v>
      </c>
      <c r="K1766" s="1" t="s">
        <v>8972</v>
      </c>
      <c r="L1766" s="1" t="s">
        <v>9076</v>
      </c>
      <c r="M1766" s="1">
        <v>32</v>
      </c>
      <c r="N1766" s="1" t="s">
        <v>9059</v>
      </c>
      <c r="O1766" s="1" t="s">
        <v>8954</v>
      </c>
      <c r="P1766" s="1" t="s">
        <v>8955</v>
      </c>
      <c r="Q1766" s="1" t="s">
        <v>8956</v>
      </c>
      <c r="R1766" s="1" t="s">
        <v>8957</v>
      </c>
      <c r="S1766" s="1" t="s">
        <v>8958</v>
      </c>
      <c r="T1766" s="1" t="s">
        <v>4747</v>
      </c>
      <c r="U1766" s="1" t="s">
        <v>17</v>
      </c>
      <c r="V1766" s="1" t="s">
        <v>126</v>
      </c>
      <c r="W1766" s="1"/>
    </row>
    <row r="1767" spans="1:23" x14ac:dyDescent="0.2">
      <c r="A1767" s="89" t="s">
        <v>17040</v>
      </c>
      <c r="B1767" s="1" t="e">
        <v>#N/A</v>
      </c>
      <c r="C1767" s="1" t="e">
        <v>#N/A</v>
      </c>
      <c r="D1767" s="1" t="s">
        <v>4748</v>
      </c>
      <c r="E1767" s="1" t="s">
        <v>4749</v>
      </c>
      <c r="F1767" s="1" t="e">
        <v>#N/A</v>
      </c>
      <c r="G1767" s="1" t="e">
        <v>#N/A</v>
      </c>
      <c r="H1767" t="e">
        <v>#N/A</v>
      </c>
      <c r="I1767" s="1" t="e">
        <v>#N/A</v>
      </c>
      <c r="J1767" s="1" t="e">
        <v>#N/A</v>
      </c>
      <c r="K1767" s="1" t="e">
        <v>#N/A</v>
      </c>
      <c r="L1767" s="1" t="e">
        <v>#N/A</v>
      </c>
      <c r="M1767" s="1" t="e">
        <v>#N/A</v>
      </c>
      <c r="N1767" s="1" t="e">
        <v>#N/A</v>
      </c>
      <c r="O1767" s="1" t="e">
        <v>#N/A</v>
      </c>
      <c r="P1767" s="1" t="e">
        <v>#N/A</v>
      </c>
      <c r="Q1767" s="1" t="e">
        <v>#N/A</v>
      </c>
      <c r="R1767" s="1">
        <f t="shared" ref="R1767:R1768" si="516">1+LEN(T1767)-LEN(SUBSTITUTE(T1767,",",))</f>
        <v>1</v>
      </c>
      <c r="S1767" s="1" t="str">
        <f t="shared" ref="S1767:S1768" si="517">IF(R1767&gt;4,IF(R1767&lt;8,"4-7",IF(R1767&gt;7,"&gt;7")),"&lt;4")</f>
        <v>&lt;4</v>
      </c>
      <c r="U1767" s="1" t="s">
        <v>7</v>
      </c>
      <c r="V1767" s="1" t="s">
        <v>4750</v>
      </c>
      <c r="W1767" s="1"/>
    </row>
    <row r="1768" spans="1:23" x14ac:dyDescent="0.2">
      <c r="A1768" s="88" t="s">
        <v>17041</v>
      </c>
      <c r="B1768" s="1" t="e">
        <v>#N/A</v>
      </c>
      <c r="C1768" s="1" t="e">
        <v>#N/A</v>
      </c>
      <c r="D1768" s="1" t="s">
        <v>4751</v>
      </c>
      <c r="E1768" s="1" t="s">
        <v>4752</v>
      </c>
      <c r="F1768" s="1" t="s">
        <v>18502</v>
      </c>
      <c r="G1768" s="1" t="s">
        <v>9060</v>
      </c>
      <c r="H1768" t="s">
        <v>8959</v>
      </c>
      <c r="I1768" s="1" t="s">
        <v>20714</v>
      </c>
      <c r="J1768" s="1" t="s">
        <v>20725</v>
      </c>
      <c r="K1768" s="1" t="s">
        <v>20779</v>
      </c>
      <c r="L1768" s="1" t="s">
        <v>8973</v>
      </c>
      <c r="M1768" s="1">
        <v>92</v>
      </c>
      <c r="N1768" s="1" t="s">
        <v>8953</v>
      </c>
      <c r="O1768" s="1" t="s">
        <v>8954</v>
      </c>
      <c r="P1768" s="1" t="e">
        <v>#N/A</v>
      </c>
      <c r="Q1768" s="1" t="e">
        <v>#N/A</v>
      </c>
      <c r="R1768" s="1">
        <f t="shared" si="516"/>
        <v>6</v>
      </c>
      <c r="S1768" s="1" t="str">
        <f t="shared" si="517"/>
        <v>4-7</v>
      </c>
      <c r="T1768" s="1" t="s">
        <v>20637</v>
      </c>
      <c r="U1768" s="1" t="s">
        <v>7</v>
      </c>
      <c r="V1768" s="1" t="s">
        <v>447</v>
      </c>
      <c r="W1768" s="1"/>
    </row>
    <row r="1769" spans="1:23" x14ac:dyDescent="0.2">
      <c r="A1769" s="88" t="s">
        <v>17042</v>
      </c>
      <c r="B1769" s="1" t="e">
        <v>#N/A</v>
      </c>
      <c r="C1769" s="1" t="s">
        <v>12240</v>
      </c>
      <c r="D1769" s="1" t="s">
        <v>4753</v>
      </c>
      <c r="E1769" s="1" t="s">
        <v>4754</v>
      </c>
      <c r="F1769" s="1" t="s">
        <v>10873</v>
      </c>
      <c r="G1769" s="1" t="s">
        <v>9060</v>
      </c>
      <c r="H1769" t="s">
        <v>9183</v>
      </c>
      <c r="I1769" s="1" t="s">
        <v>8984</v>
      </c>
      <c r="J1769" s="1" t="s">
        <v>8971</v>
      </c>
      <c r="K1769" s="1" t="s">
        <v>9436</v>
      </c>
      <c r="L1769" s="1" t="s">
        <v>8987</v>
      </c>
      <c r="M1769" s="1">
        <v>2393</v>
      </c>
      <c r="N1769" s="1" t="s">
        <v>9059</v>
      </c>
      <c r="O1769" s="1" t="s">
        <v>8989</v>
      </c>
      <c r="P1769" s="1" t="s">
        <v>8955</v>
      </c>
      <c r="Q1769" s="1" t="s">
        <v>8956</v>
      </c>
      <c r="R1769" s="1" t="s">
        <v>9060</v>
      </c>
      <c r="S1769" s="1" t="s">
        <v>8958</v>
      </c>
      <c r="T1769" s="1" t="s">
        <v>4755</v>
      </c>
      <c r="U1769" s="1" t="s">
        <v>11</v>
      </c>
      <c r="V1769" s="1" t="s">
        <v>4756</v>
      </c>
      <c r="W1769" s="1"/>
    </row>
    <row r="1770" spans="1:23" x14ac:dyDescent="0.2">
      <c r="A1770" s="88" t="s">
        <v>17043</v>
      </c>
      <c r="B1770" s="1" t="e">
        <v>#N/A</v>
      </c>
      <c r="C1770" s="1" t="s">
        <v>13660</v>
      </c>
      <c r="D1770" s="1" t="s">
        <v>4757</v>
      </c>
      <c r="E1770" s="1" t="s">
        <v>4758</v>
      </c>
      <c r="F1770" s="1" t="s">
        <v>12547</v>
      </c>
      <c r="G1770" s="1" t="s">
        <v>8957</v>
      </c>
      <c r="H1770" t="s">
        <v>8959</v>
      </c>
      <c r="I1770" s="1" t="s">
        <v>9035</v>
      </c>
      <c r="J1770" s="1" t="s">
        <v>8998</v>
      </c>
      <c r="K1770" s="1" t="s">
        <v>9036</v>
      </c>
      <c r="L1770" s="1" t="s">
        <v>8951</v>
      </c>
      <c r="M1770" s="1">
        <v>138</v>
      </c>
      <c r="N1770" s="1" t="s">
        <v>8953</v>
      </c>
      <c r="O1770" s="1" t="s">
        <v>8954</v>
      </c>
      <c r="P1770" s="1" t="s">
        <v>8955</v>
      </c>
      <c r="Q1770" s="1" t="s">
        <v>8956</v>
      </c>
      <c r="R1770" s="1" t="s">
        <v>8957</v>
      </c>
      <c r="S1770" s="1" t="s">
        <v>9103</v>
      </c>
      <c r="T1770" s="1" t="s">
        <v>4759</v>
      </c>
      <c r="U1770" s="1" t="s">
        <v>4</v>
      </c>
      <c r="V1770" s="1" t="s">
        <v>74</v>
      </c>
      <c r="W1770" s="1"/>
    </row>
    <row r="1771" spans="1:23" x14ac:dyDescent="0.2">
      <c r="A1771" s="88" t="s">
        <v>17044</v>
      </c>
      <c r="B1771" s="1" t="e">
        <v>#N/A</v>
      </c>
      <c r="C1771" s="1" t="s">
        <v>12700</v>
      </c>
      <c r="D1771" s="1" t="s">
        <v>4760</v>
      </c>
      <c r="E1771" s="1" t="s">
        <v>4761</v>
      </c>
      <c r="F1771" s="1" t="s">
        <v>9650</v>
      </c>
      <c r="G1771" s="1" t="s">
        <v>8974</v>
      </c>
      <c r="H1771" t="s">
        <v>8959</v>
      </c>
      <c r="I1771" s="1" t="s">
        <v>8984</v>
      </c>
      <c r="J1771" s="1" t="s">
        <v>8998</v>
      </c>
      <c r="K1771" s="1" t="s">
        <v>9036</v>
      </c>
      <c r="L1771" s="1" t="s">
        <v>8973</v>
      </c>
      <c r="M1771" s="1">
        <v>13</v>
      </c>
      <c r="N1771" s="1" t="s">
        <v>8953</v>
      </c>
      <c r="O1771" s="1" t="s">
        <v>8954</v>
      </c>
      <c r="P1771" s="1" t="s">
        <v>8955</v>
      </c>
      <c r="Q1771" s="1" t="s">
        <v>8956</v>
      </c>
      <c r="R1771" s="1" t="s">
        <v>8974</v>
      </c>
      <c r="S1771" s="1" t="s">
        <v>8975</v>
      </c>
      <c r="T1771" s="1" t="s">
        <v>4762</v>
      </c>
      <c r="U1771" s="1" t="s">
        <v>11</v>
      </c>
      <c r="V1771" s="1" t="s">
        <v>126</v>
      </c>
      <c r="W1771" s="1"/>
    </row>
    <row r="1772" spans="1:23" x14ac:dyDescent="0.2">
      <c r="A1772" s="94" t="s">
        <v>17045</v>
      </c>
      <c r="B1772" s="1" t="e">
        <v>#N/A</v>
      </c>
      <c r="C1772" s="1" t="e">
        <v>#N/A</v>
      </c>
      <c r="D1772" s="1" t="s">
        <v>4763</v>
      </c>
      <c r="E1772" s="1" t="s">
        <v>4764</v>
      </c>
      <c r="F1772" s="1" t="e">
        <v>#N/A</v>
      </c>
      <c r="G1772" s="1" t="e">
        <v>#N/A</v>
      </c>
      <c r="H1772" t="e">
        <v>#N/A</v>
      </c>
      <c r="I1772" s="1" t="e">
        <v>#N/A</v>
      </c>
      <c r="J1772" s="1" t="e">
        <v>#N/A</v>
      </c>
      <c r="K1772" s="1" t="e">
        <v>#N/A</v>
      </c>
      <c r="L1772" s="1" t="e">
        <v>#N/A</v>
      </c>
      <c r="M1772" s="1" t="e">
        <v>#N/A</v>
      </c>
      <c r="N1772" s="1" t="e">
        <v>#N/A</v>
      </c>
      <c r="O1772" s="1" t="e">
        <v>#N/A</v>
      </c>
      <c r="P1772" s="1" t="e">
        <v>#N/A</v>
      </c>
      <c r="Q1772" s="1" t="e">
        <v>#N/A</v>
      </c>
      <c r="R1772" s="1">
        <f t="shared" ref="R1772:R1775" si="518">1+LEN(T1772)-LEN(SUBSTITUTE(T1772,",",))</f>
        <v>6</v>
      </c>
      <c r="S1772" s="1" t="str">
        <f t="shared" ref="S1772:S1775" si="519">IF(R1772&gt;4,IF(R1772&lt;8,"4-7",IF(R1772&gt;7,"&gt;7")),"&lt;4")</f>
        <v>4-7</v>
      </c>
      <c r="T1772" s="1" t="s">
        <v>19552</v>
      </c>
      <c r="U1772" s="1" t="s">
        <v>7</v>
      </c>
      <c r="V1772" s="1" t="s">
        <v>210</v>
      </c>
      <c r="W1772" s="1"/>
    </row>
    <row r="1773" spans="1:23" x14ac:dyDescent="0.2">
      <c r="A1773" s="88" t="s">
        <v>17046</v>
      </c>
      <c r="B1773" s="1" t="e">
        <v>#N/A</v>
      </c>
      <c r="C1773" s="1" t="e">
        <v>#N/A</v>
      </c>
      <c r="D1773" s="1" t="s">
        <v>4765</v>
      </c>
      <c r="E1773" s="1" t="s">
        <v>4766</v>
      </c>
      <c r="F1773" s="1" t="s">
        <v>18502</v>
      </c>
      <c r="G1773" s="1" t="s">
        <v>9060</v>
      </c>
      <c r="H1773" t="s">
        <v>8959</v>
      </c>
      <c r="I1773" s="1" t="s">
        <v>9075</v>
      </c>
      <c r="J1773" s="1" t="s">
        <v>9131</v>
      </c>
      <c r="K1773" s="1" t="s">
        <v>20811</v>
      </c>
      <c r="L1773" s="1" t="s">
        <v>9133</v>
      </c>
      <c r="M1773" s="1">
        <f>1997+986</f>
        <v>2983</v>
      </c>
      <c r="N1773" s="1" t="s">
        <v>8953</v>
      </c>
      <c r="O1773" s="1" t="s">
        <v>8989</v>
      </c>
      <c r="P1773" s="1" t="e">
        <v>#N/A</v>
      </c>
      <c r="Q1773" s="1" t="e">
        <v>#N/A</v>
      </c>
      <c r="R1773" s="1">
        <f t="shared" si="518"/>
        <v>4</v>
      </c>
      <c r="S1773" s="1" t="str">
        <f t="shared" si="519"/>
        <v>&lt;4</v>
      </c>
      <c r="T1773" s="1" t="s">
        <v>19553</v>
      </c>
      <c r="U1773" s="1" t="s">
        <v>7</v>
      </c>
      <c r="V1773" s="1" t="s">
        <v>8</v>
      </c>
      <c r="W1773" s="1"/>
    </row>
    <row r="1774" spans="1:23" x14ac:dyDescent="0.2">
      <c r="A1774" s="94" t="s">
        <v>17047</v>
      </c>
      <c r="B1774" s="1" t="e">
        <v>#N/A</v>
      </c>
      <c r="C1774" s="1" t="e">
        <v>#N/A</v>
      </c>
      <c r="D1774" s="1" t="s">
        <v>4767</v>
      </c>
      <c r="E1774" s="1" t="s">
        <v>4768</v>
      </c>
      <c r="F1774" s="1" t="s">
        <v>18502</v>
      </c>
      <c r="G1774" s="1" t="e">
        <v>#N/A</v>
      </c>
      <c r="H1774" t="s">
        <v>8959</v>
      </c>
      <c r="I1774" s="1" t="e">
        <v>#N/A</v>
      </c>
      <c r="J1774" s="1" t="e">
        <v>#N/A</v>
      </c>
      <c r="K1774" s="1" t="s">
        <v>10492</v>
      </c>
      <c r="L1774" s="1" t="s">
        <v>8951</v>
      </c>
      <c r="M1774" s="1">
        <v>6000</v>
      </c>
      <c r="N1774" s="1" t="s">
        <v>8953</v>
      </c>
      <c r="O1774" s="1" t="s">
        <v>8989</v>
      </c>
      <c r="P1774" s="1" t="e">
        <v>#N/A</v>
      </c>
      <c r="Q1774" s="1" t="e">
        <v>#N/A</v>
      </c>
      <c r="R1774" s="1">
        <f t="shared" si="518"/>
        <v>3</v>
      </c>
      <c r="S1774" s="1" t="str">
        <f t="shared" si="519"/>
        <v>&lt;4</v>
      </c>
      <c r="T1774" s="1" t="s">
        <v>19554</v>
      </c>
      <c r="U1774" s="1" t="s">
        <v>7</v>
      </c>
      <c r="V1774" s="1" t="s">
        <v>53</v>
      </c>
      <c r="W1774" s="1"/>
    </row>
    <row r="1775" spans="1:23" x14ac:dyDescent="0.2">
      <c r="A1775" s="88" t="s">
        <v>17048</v>
      </c>
      <c r="B1775" s="1" t="e">
        <v>#N/A</v>
      </c>
      <c r="C1775" s="1" t="e">
        <v>#N/A</v>
      </c>
      <c r="D1775" s="1" t="s">
        <v>4769</v>
      </c>
      <c r="E1775" s="1" t="s">
        <v>4770</v>
      </c>
      <c r="F1775" s="1" t="s">
        <v>9317</v>
      </c>
      <c r="G1775" s="1" t="s">
        <v>8959</v>
      </c>
      <c r="H1775" t="s">
        <v>8959</v>
      </c>
      <c r="I1775" s="1" t="s">
        <v>9154</v>
      </c>
      <c r="J1775" s="1" t="s">
        <v>8998</v>
      </c>
      <c r="K1775" s="1" t="s">
        <v>20779</v>
      </c>
      <c r="L1775" s="1" t="s">
        <v>9464</v>
      </c>
      <c r="M1775" s="1">
        <v>19000</v>
      </c>
      <c r="N1775" s="1" t="s">
        <v>8953</v>
      </c>
      <c r="O1775" s="1" t="s">
        <v>8989</v>
      </c>
      <c r="P1775" s="1" t="e">
        <v>#N/A</v>
      </c>
      <c r="Q1775" s="1" t="e">
        <v>#N/A</v>
      </c>
      <c r="R1775" s="1">
        <f t="shared" si="518"/>
        <v>7</v>
      </c>
      <c r="S1775" s="1" t="str">
        <f t="shared" si="519"/>
        <v>4-7</v>
      </c>
      <c r="T1775" s="1" t="s">
        <v>19555</v>
      </c>
      <c r="U1775" s="1" t="s">
        <v>17</v>
      </c>
      <c r="V1775" s="1" t="s">
        <v>43</v>
      </c>
      <c r="W1775" s="1"/>
    </row>
    <row r="1776" spans="1:23" x14ac:dyDescent="0.2">
      <c r="A1776" s="88" t="s">
        <v>17049</v>
      </c>
      <c r="B1776" s="1" t="e">
        <v>#N/A</v>
      </c>
      <c r="C1776" s="1" t="s">
        <v>15268</v>
      </c>
      <c r="D1776" s="1" t="s">
        <v>4771</v>
      </c>
      <c r="E1776" s="1" t="s">
        <v>4772</v>
      </c>
      <c r="F1776" s="1" t="s">
        <v>9317</v>
      </c>
      <c r="G1776" s="1" t="s">
        <v>8959</v>
      </c>
      <c r="H1776" t="s">
        <v>8959</v>
      </c>
      <c r="I1776" s="1" t="s">
        <v>9154</v>
      </c>
      <c r="J1776" s="1" t="s">
        <v>9155</v>
      </c>
      <c r="K1776" s="1" t="s">
        <v>10099</v>
      </c>
      <c r="L1776" s="1" t="s">
        <v>8987</v>
      </c>
      <c r="M1776" s="1">
        <v>25</v>
      </c>
      <c r="N1776" s="1" t="s">
        <v>9059</v>
      </c>
      <c r="O1776" s="1" t="s">
        <v>8954</v>
      </c>
      <c r="P1776" s="1" t="s">
        <v>9182</v>
      </c>
      <c r="Q1776" s="1" t="s">
        <v>8956</v>
      </c>
      <c r="R1776" s="1" t="s">
        <v>8959</v>
      </c>
      <c r="S1776" s="1" t="s">
        <v>8958</v>
      </c>
      <c r="T1776" s="1" t="s">
        <v>4773</v>
      </c>
      <c r="U1776" s="1" t="s">
        <v>17</v>
      </c>
      <c r="V1776" s="1" t="s">
        <v>126</v>
      </c>
      <c r="W1776" s="1"/>
    </row>
    <row r="1777" spans="1:23" x14ac:dyDescent="0.2">
      <c r="A1777" s="89" t="s">
        <v>4774</v>
      </c>
      <c r="B1777" s="1" t="e">
        <v>#N/A</v>
      </c>
      <c r="C1777" s="1" t="s">
        <v>11278</v>
      </c>
      <c r="D1777" s="1" t="s">
        <v>4775</v>
      </c>
      <c r="E1777" s="1" t="s">
        <v>4776</v>
      </c>
      <c r="F1777" s="1" t="s">
        <v>9010</v>
      </c>
      <c r="G1777" s="1" t="s">
        <v>8959</v>
      </c>
      <c r="H1777" t="s">
        <v>9183</v>
      </c>
      <c r="I1777" s="1" t="s">
        <v>9100</v>
      </c>
      <c r="J1777" s="1" t="s">
        <v>8949</v>
      </c>
      <c r="K1777" s="1" t="s">
        <v>9036</v>
      </c>
      <c r="L1777" s="1" t="s">
        <v>8973</v>
      </c>
      <c r="M1777" s="1">
        <v>285</v>
      </c>
      <c r="N1777" s="1" t="s">
        <v>8953</v>
      </c>
      <c r="O1777" s="1" t="s">
        <v>8954</v>
      </c>
      <c r="P1777" s="1" t="s">
        <v>8955</v>
      </c>
      <c r="Q1777" s="1" t="s">
        <v>8956</v>
      </c>
      <c r="R1777" s="1" t="s">
        <v>8959</v>
      </c>
      <c r="S1777" s="1" t="s">
        <v>8958</v>
      </c>
      <c r="T1777" s="1" t="s">
        <v>4777</v>
      </c>
      <c r="U1777" s="1" t="s">
        <v>17</v>
      </c>
      <c r="V1777" s="1" t="s">
        <v>496</v>
      </c>
      <c r="W1777" s="1"/>
    </row>
    <row r="1778" spans="1:23" x14ac:dyDescent="0.2">
      <c r="A1778" s="88" t="s">
        <v>17050</v>
      </c>
      <c r="B1778" s="1" t="e">
        <v>#N/A</v>
      </c>
      <c r="C1778" s="1" t="s">
        <v>9289</v>
      </c>
      <c r="D1778" s="1" t="s">
        <v>4778</v>
      </c>
      <c r="E1778" s="1" t="s">
        <v>4779</v>
      </c>
      <c r="F1778" s="1" t="s">
        <v>9010</v>
      </c>
      <c r="G1778" s="1" t="s">
        <v>9060</v>
      </c>
      <c r="H1778" t="s">
        <v>8959</v>
      </c>
      <c r="I1778" s="1" t="s">
        <v>9035</v>
      </c>
      <c r="J1778" s="1" t="s">
        <v>9155</v>
      </c>
      <c r="K1778" s="1" t="s">
        <v>9036</v>
      </c>
      <c r="L1778" s="1" t="s">
        <v>9292</v>
      </c>
      <c r="M1778" s="1">
        <v>944</v>
      </c>
      <c r="N1778" s="1" t="s">
        <v>8953</v>
      </c>
      <c r="O1778" s="1" t="s">
        <v>8954</v>
      </c>
      <c r="P1778" s="1" t="s">
        <v>8955</v>
      </c>
      <c r="Q1778" s="1" t="s">
        <v>8956</v>
      </c>
      <c r="R1778" s="1" t="s">
        <v>9060</v>
      </c>
      <c r="S1778" s="1" t="s">
        <v>8975</v>
      </c>
      <c r="T1778" s="1" t="s">
        <v>4780</v>
      </c>
      <c r="U1778" s="1" t="s">
        <v>17</v>
      </c>
      <c r="V1778" s="1" t="s">
        <v>686</v>
      </c>
      <c r="W1778" s="1"/>
    </row>
    <row r="1779" spans="1:23" x14ac:dyDescent="0.2">
      <c r="A1779" s="88" t="s">
        <v>17051</v>
      </c>
      <c r="B1779" s="1" t="e">
        <v>#N/A</v>
      </c>
      <c r="C1779" s="1" t="e">
        <v>#N/A</v>
      </c>
      <c r="D1779" s="1" t="s">
        <v>4781</v>
      </c>
      <c r="E1779" s="1" t="s">
        <v>4782</v>
      </c>
      <c r="F1779" s="1" t="s">
        <v>9380</v>
      </c>
      <c r="G1779" s="1" t="s">
        <v>9060</v>
      </c>
      <c r="H1779" t="s">
        <v>8959</v>
      </c>
      <c r="I1779" s="1" t="s">
        <v>20714</v>
      </c>
      <c r="J1779" s="1" t="s">
        <v>20725</v>
      </c>
      <c r="K1779" s="1" t="s">
        <v>10492</v>
      </c>
      <c r="L1779" s="1" t="s">
        <v>20844</v>
      </c>
      <c r="M1779" s="1">
        <v>530</v>
      </c>
      <c r="N1779" s="1" t="s">
        <v>8953</v>
      </c>
      <c r="O1779" s="1" t="s">
        <v>8954</v>
      </c>
      <c r="P1779" s="1" t="e">
        <v>#N/A</v>
      </c>
      <c r="Q1779" s="1" t="e">
        <v>#N/A</v>
      </c>
      <c r="R1779" s="1">
        <f>1+LEN(T1779)-LEN(SUBSTITUTE(T1779,",",))</f>
        <v>7</v>
      </c>
      <c r="S1779" s="1" t="str">
        <f>IF(R1779&gt;4,IF(R1779&lt;8,"4-7",IF(R1779&gt;7,"&gt;7")),"&lt;4")</f>
        <v>4-7</v>
      </c>
      <c r="T1779" s="1" t="s">
        <v>19556</v>
      </c>
      <c r="U1779" s="1" t="s">
        <v>17</v>
      </c>
      <c r="V1779" s="1" t="s">
        <v>126</v>
      </c>
      <c r="W1779" s="1"/>
    </row>
    <row r="1780" spans="1:23" x14ac:dyDescent="0.2">
      <c r="A1780" s="88" t="s">
        <v>17052</v>
      </c>
      <c r="B1780" s="1" t="e">
        <v>#N/A</v>
      </c>
      <c r="C1780" s="1" t="s">
        <v>12650</v>
      </c>
      <c r="D1780" s="1" t="s">
        <v>4783</v>
      </c>
      <c r="E1780" s="1" t="s">
        <v>4784</v>
      </c>
      <c r="F1780" s="1" t="s">
        <v>9380</v>
      </c>
      <c r="G1780" s="1" t="s">
        <v>8957</v>
      </c>
      <c r="H1780" t="s">
        <v>8959</v>
      </c>
      <c r="I1780" s="1" t="s">
        <v>9100</v>
      </c>
      <c r="J1780" s="1" t="s">
        <v>9155</v>
      </c>
      <c r="K1780" s="1" t="s">
        <v>21465</v>
      </c>
      <c r="L1780" s="1" t="s">
        <v>9133</v>
      </c>
      <c r="M1780" s="1">
        <v>2402</v>
      </c>
      <c r="N1780" s="1" t="s">
        <v>8953</v>
      </c>
      <c r="O1780" s="1" t="s">
        <v>8989</v>
      </c>
      <c r="P1780" s="1" t="s">
        <v>8955</v>
      </c>
      <c r="Q1780" s="1" t="s">
        <v>8956</v>
      </c>
      <c r="R1780" s="1" t="s">
        <v>8957</v>
      </c>
      <c r="S1780" s="1" t="s">
        <v>8958</v>
      </c>
      <c r="T1780" s="1" t="s">
        <v>4785</v>
      </c>
      <c r="U1780" s="1" t="s">
        <v>11</v>
      </c>
      <c r="V1780" s="1" t="s">
        <v>24</v>
      </c>
      <c r="W1780" s="1"/>
    </row>
    <row r="1781" spans="1:23" x14ac:dyDescent="0.2">
      <c r="A1781" s="88" t="s">
        <v>17053</v>
      </c>
      <c r="B1781" s="1" t="e">
        <v>#N/A</v>
      </c>
      <c r="C1781" s="1" t="s">
        <v>12842</v>
      </c>
      <c r="D1781" s="1" t="s">
        <v>4786</v>
      </c>
      <c r="E1781" s="1" t="s">
        <v>4787</v>
      </c>
      <c r="F1781" s="1" t="s">
        <v>9380</v>
      </c>
      <c r="G1781" s="1" t="s">
        <v>8957</v>
      </c>
      <c r="H1781" t="s">
        <v>8959</v>
      </c>
      <c r="I1781" s="1" t="s">
        <v>9100</v>
      </c>
      <c r="J1781" s="1" t="s">
        <v>9725</v>
      </c>
      <c r="K1781" s="1" t="s">
        <v>9041</v>
      </c>
      <c r="L1781" s="1" t="s">
        <v>9133</v>
      </c>
      <c r="M1781" s="1">
        <v>1051</v>
      </c>
      <c r="N1781" s="1" t="s">
        <v>8953</v>
      </c>
      <c r="O1781" s="1" t="s">
        <v>8989</v>
      </c>
      <c r="P1781" s="1" t="s">
        <v>8955</v>
      </c>
      <c r="Q1781" s="1" t="s">
        <v>8956</v>
      </c>
      <c r="R1781" s="1" t="s">
        <v>8957</v>
      </c>
      <c r="S1781" s="1" t="s">
        <v>8958</v>
      </c>
      <c r="T1781" s="1" t="s">
        <v>4785</v>
      </c>
      <c r="U1781" s="1" t="s">
        <v>11</v>
      </c>
      <c r="V1781" s="1" t="s">
        <v>126</v>
      </c>
      <c r="W1781" s="1"/>
    </row>
    <row r="1782" spans="1:23" x14ac:dyDescent="0.2">
      <c r="A1782" s="88" t="s">
        <v>17054</v>
      </c>
      <c r="B1782" s="1" t="e">
        <v>#N/A</v>
      </c>
      <c r="C1782" s="1" t="s">
        <v>14285</v>
      </c>
      <c r="D1782" s="1" t="s">
        <v>4788</v>
      </c>
      <c r="E1782" s="1" t="s">
        <v>4789</v>
      </c>
      <c r="F1782" s="1" t="s">
        <v>9310</v>
      </c>
      <c r="G1782" s="1" t="s">
        <v>8957</v>
      </c>
      <c r="H1782" t="s">
        <v>8959</v>
      </c>
      <c r="I1782" s="1" t="s">
        <v>8984</v>
      </c>
      <c r="J1782" s="1" t="s">
        <v>8998</v>
      </c>
      <c r="K1782" s="1" t="s">
        <v>9036</v>
      </c>
      <c r="L1782" s="1" t="s">
        <v>8973</v>
      </c>
      <c r="M1782" s="1">
        <v>118</v>
      </c>
      <c r="N1782" s="1" t="s">
        <v>9059</v>
      </c>
      <c r="O1782" s="1" t="s">
        <v>8954</v>
      </c>
      <c r="P1782" s="1" t="s">
        <v>8955</v>
      </c>
      <c r="Q1782" s="1" t="s">
        <v>8956</v>
      </c>
      <c r="R1782" s="1" t="s">
        <v>8957</v>
      </c>
      <c r="S1782" s="1" t="s">
        <v>8958</v>
      </c>
      <c r="T1782" s="1" t="s">
        <v>4790</v>
      </c>
      <c r="U1782" s="1" t="s">
        <v>4</v>
      </c>
      <c r="V1782" s="1" t="s">
        <v>64</v>
      </c>
      <c r="W1782" s="1"/>
    </row>
    <row r="1783" spans="1:23" x14ac:dyDescent="0.2">
      <c r="A1783" s="88" t="s">
        <v>17055</v>
      </c>
      <c r="B1783" s="1" t="e">
        <v>#N/A</v>
      </c>
      <c r="C1783" s="1" t="e">
        <v>#N/A</v>
      </c>
      <c r="D1783" s="1" t="s">
        <v>4791</v>
      </c>
      <c r="E1783" s="1" t="s">
        <v>4792</v>
      </c>
      <c r="F1783" s="1" t="s">
        <v>18502</v>
      </c>
      <c r="G1783" s="1" t="s">
        <v>8957</v>
      </c>
      <c r="H1783" t="s">
        <v>9061</v>
      </c>
      <c r="I1783" s="1" t="s">
        <v>9035</v>
      </c>
      <c r="J1783" s="1" t="s">
        <v>8998</v>
      </c>
      <c r="K1783" s="1" t="s">
        <v>20779</v>
      </c>
      <c r="L1783" s="1" t="s">
        <v>8951</v>
      </c>
      <c r="M1783" s="1">
        <v>1313</v>
      </c>
      <c r="N1783" s="1" t="s">
        <v>9059</v>
      </c>
      <c r="O1783" s="1" t="s">
        <v>8954</v>
      </c>
      <c r="P1783" s="1" t="e">
        <v>#N/A</v>
      </c>
      <c r="Q1783" s="1" t="e">
        <v>#N/A</v>
      </c>
      <c r="R1783" s="1">
        <f>1+LEN(T1783)-LEN(SUBSTITUTE(T1783,",",))</f>
        <v>13</v>
      </c>
      <c r="S1783" s="1" t="str">
        <f>IF(R1783&gt;4,IF(R1783&lt;8,"4-7",IF(R1783&gt;7,"&gt;7")),"&lt;4")</f>
        <v>&gt;7</v>
      </c>
      <c r="T1783" s="1" t="s">
        <v>19557</v>
      </c>
      <c r="U1783" s="1" t="s">
        <v>7</v>
      </c>
      <c r="V1783" s="1" t="s">
        <v>147</v>
      </c>
      <c r="W1783" s="1"/>
    </row>
    <row r="1784" spans="1:23" x14ac:dyDescent="0.2">
      <c r="A1784" s="88" t="s">
        <v>17056</v>
      </c>
      <c r="B1784" s="1" t="e">
        <v>#N/A</v>
      </c>
      <c r="C1784" s="1" t="s">
        <v>9390</v>
      </c>
      <c r="D1784" s="1" t="s">
        <v>4793</v>
      </c>
      <c r="E1784" s="1" t="s">
        <v>4794</v>
      </c>
      <c r="F1784" s="1" t="s">
        <v>9010</v>
      </c>
      <c r="G1784" s="1" t="s">
        <v>8957</v>
      </c>
      <c r="H1784" t="s">
        <v>9061</v>
      </c>
      <c r="I1784" s="1" t="s">
        <v>9035</v>
      </c>
      <c r="J1784" s="1" t="s">
        <v>9308</v>
      </c>
      <c r="K1784" s="1" t="s">
        <v>9112</v>
      </c>
      <c r="L1784" s="1" t="s">
        <v>8987</v>
      </c>
      <c r="M1784" s="1">
        <v>57813</v>
      </c>
      <c r="N1784" s="1" t="s">
        <v>9059</v>
      </c>
      <c r="O1784" s="1" t="s">
        <v>8954</v>
      </c>
      <c r="P1784" s="1" t="s">
        <v>8955</v>
      </c>
      <c r="Q1784" s="1" t="s">
        <v>8956</v>
      </c>
      <c r="R1784" s="1" t="s">
        <v>8957</v>
      </c>
      <c r="S1784" s="1" t="s">
        <v>8958</v>
      </c>
      <c r="T1784" s="1" t="s">
        <v>4795</v>
      </c>
      <c r="U1784" s="1" t="s">
        <v>17</v>
      </c>
      <c r="V1784" s="1" t="s">
        <v>1918</v>
      </c>
      <c r="W1784" s="1"/>
    </row>
    <row r="1785" spans="1:23" x14ac:dyDescent="0.2">
      <c r="A1785" s="88" t="s">
        <v>17057</v>
      </c>
      <c r="B1785" s="1" t="e">
        <v>#N/A</v>
      </c>
      <c r="C1785" s="1" t="e">
        <v>#N/A</v>
      </c>
      <c r="D1785" s="1" t="s">
        <v>4796</v>
      </c>
      <c r="E1785" s="1" t="s">
        <v>4797</v>
      </c>
      <c r="F1785" s="1" t="s">
        <v>18502</v>
      </c>
      <c r="G1785" s="1" t="s">
        <v>8957</v>
      </c>
      <c r="H1785" t="s">
        <v>9061</v>
      </c>
      <c r="I1785" s="1" t="s">
        <v>9035</v>
      </c>
      <c r="J1785" s="1" t="s">
        <v>8998</v>
      </c>
      <c r="K1785" s="1" t="s">
        <v>18489</v>
      </c>
      <c r="L1785" s="1" t="s">
        <v>8951</v>
      </c>
      <c r="M1785" s="1">
        <f>41856+5615+5493</f>
        <v>52964</v>
      </c>
      <c r="N1785" s="1" t="s">
        <v>8953</v>
      </c>
      <c r="O1785" s="1" t="s">
        <v>8954</v>
      </c>
      <c r="P1785" s="1" t="e">
        <v>#N/A</v>
      </c>
      <c r="Q1785" s="1" t="e">
        <v>#N/A</v>
      </c>
      <c r="R1785" s="1">
        <f>1+LEN(T1785)-LEN(SUBSTITUTE(T1785,",",))</f>
        <v>5</v>
      </c>
      <c r="S1785" s="1" t="str">
        <f>IF(R1785&gt;4,IF(R1785&lt;8,"4-7",IF(R1785&gt;7,"&gt;7")),"&lt;4")</f>
        <v>4-7</v>
      </c>
      <c r="T1785" s="1" t="s">
        <v>19558</v>
      </c>
      <c r="U1785" s="1" t="s">
        <v>7</v>
      </c>
      <c r="V1785" s="1" t="s">
        <v>4798</v>
      </c>
      <c r="W1785" s="1"/>
    </row>
    <row r="1786" spans="1:23" x14ac:dyDescent="0.2">
      <c r="A1786" s="88" t="s">
        <v>17058</v>
      </c>
      <c r="B1786" s="1" t="e">
        <v>#N/A</v>
      </c>
      <c r="C1786" s="1" t="s">
        <v>14302</v>
      </c>
      <c r="D1786" s="1" t="s">
        <v>4799</v>
      </c>
      <c r="E1786" s="1" t="s">
        <v>4800</v>
      </c>
      <c r="F1786" s="1" t="s">
        <v>9310</v>
      </c>
      <c r="G1786" s="1" t="s">
        <v>8957</v>
      </c>
      <c r="H1786" t="s">
        <v>8959</v>
      </c>
      <c r="I1786" s="1" t="s">
        <v>8948</v>
      </c>
      <c r="J1786" s="1" t="s">
        <v>12453</v>
      </c>
      <c r="K1786" s="1" t="s">
        <v>14305</v>
      </c>
      <c r="L1786" s="1" t="s">
        <v>8987</v>
      </c>
      <c r="M1786" s="1">
        <v>280</v>
      </c>
      <c r="N1786" s="1" t="s">
        <v>8953</v>
      </c>
      <c r="O1786" s="1" t="s">
        <v>8989</v>
      </c>
      <c r="P1786" s="1" t="s">
        <v>8955</v>
      </c>
      <c r="Q1786" s="1" t="s">
        <v>8956</v>
      </c>
      <c r="R1786" s="1" t="s">
        <v>8957</v>
      </c>
      <c r="S1786" s="1" t="s">
        <v>8958</v>
      </c>
      <c r="T1786" s="1" t="s">
        <v>4801</v>
      </c>
      <c r="U1786" s="1" t="s">
        <v>4</v>
      </c>
      <c r="V1786" s="1" t="s">
        <v>4802</v>
      </c>
      <c r="W1786" s="1"/>
    </row>
    <row r="1787" spans="1:23" x14ac:dyDescent="0.2">
      <c r="A1787" s="88" t="s">
        <v>20880</v>
      </c>
      <c r="B1787" s="1" t="e">
        <v>#N/A</v>
      </c>
      <c r="C1787" s="1" t="e">
        <v>#N/A</v>
      </c>
      <c r="D1787" s="1" t="s">
        <v>4803</v>
      </c>
      <c r="E1787" s="1" t="s">
        <v>4804</v>
      </c>
      <c r="F1787" s="1" t="s">
        <v>9310</v>
      </c>
      <c r="G1787" s="1" t="s">
        <v>8957</v>
      </c>
      <c r="H1787" t="s">
        <v>8959</v>
      </c>
      <c r="I1787" s="1" t="s">
        <v>9605</v>
      </c>
      <c r="J1787" s="1" t="s">
        <v>8959</v>
      </c>
      <c r="K1787" s="1" t="s">
        <v>10629</v>
      </c>
      <c r="L1787" s="1" t="s">
        <v>9076</v>
      </c>
      <c r="M1787" s="1">
        <v>16740</v>
      </c>
      <c r="N1787" s="1" t="s">
        <v>8953</v>
      </c>
      <c r="O1787" s="1" t="s">
        <v>8989</v>
      </c>
      <c r="P1787" s="1" t="e">
        <v>#N/A</v>
      </c>
      <c r="Q1787" s="1" t="e">
        <v>#N/A</v>
      </c>
      <c r="R1787" s="1">
        <f t="shared" ref="R1787:R1788" si="520">1+LEN(T1787)-LEN(SUBSTITUTE(T1787,",",))</f>
        <v>6</v>
      </c>
      <c r="S1787" s="1" t="str">
        <f t="shared" ref="S1787:S1788" si="521">IF(R1787&gt;4,IF(R1787&lt;8,"4-7",IF(R1787&gt;7,"&gt;7")),"&lt;4")</f>
        <v>4-7</v>
      </c>
      <c r="T1787" s="1" t="s">
        <v>19559</v>
      </c>
      <c r="U1787" s="1" t="s">
        <v>7</v>
      </c>
      <c r="V1787" s="1" t="s">
        <v>1833</v>
      </c>
      <c r="W1787" s="1"/>
    </row>
    <row r="1788" spans="1:23" x14ac:dyDescent="0.2">
      <c r="A1788" s="88" t="s">
        <v>17059</v>
      </c>
      <c r="B1788" s="1" t="e">
        <v>#N/A</v>
      </c>
      <c r="C1788" s="1" t="e">
        <v>#N/A</v>
      </c>
      <c r="D1788" s="1" t="s">
        <v>4805</v>
      </c>
      <c r="E1788" s="1" t="s">
        <v>4806</v>
      </c>
      <c r="F1788" s="1" t="s">
        <v>18502</v>
      </c>
      <c r="G1788" s="1" t="s">
        <v>8957</v>
      </c>
      <c r="H1788" t="s">
        <v>9061</v>
      </c>
      <c r="I1788" s="1" t="s">
        <v>9035</v>
      </c>
      <c r="J1788" s="1" t="s">
        <v>9725</v>
      </c>
      <c r="K1788" s="1" t="s">
        <v>21447</v>
      </c>
      <c r="L1788" s="1" t="s">
        <v>9464</v>
      </c>
      <c r="M1788" s="1">
        <v>10</v>
      </c>
      <c r="N1788" s="1" t="s">
        <v>9059</v>
      </c>
      <c r="O1788" s="1" t="s">
        <v>8989</v>
      </c>
      <c r="P1788" s="1" t="e">
        <v>#N/A</v>
      </c>
      <c r="Q1788" s="1" t="e">
        <v>#N/A</v>
      </c>
      <c r="R1788" s="1">
        <f t="shared" si="520"/>
        <v>7</v>
      </c>
      <c r="S1788" s="1" t="str">
        <f t="shared" si="521"/>
        <v>4-7</v>
      </c>
      <c r="T1788" s="1" t="s">
        <v>19560</v>
      </c>
      <c r="U1788" s="1" t="s">
        <v>17</v>
      </c>
      <c r="V1788" s="1" t="s">
        <v>378</v>
      </c>
      <c r="W1788" s="1"/>
    </row>
    <row r="1789" spans="1:23" x14ac:dyDescent="0.2">
      <c r="A1789" s="88" t="s">
        <v>17060</v>
      </c>
      <c r="B1789" s="1" t="e">
        <v>#N/A</v>
      </c>
      <c r="C1789" s="1" t="s">
        <v>10657</v>
      </c>
      <c r="D1789" s="1" t="s">
        <v>4807</v>
      </c>
      <c r="E1789" s="1" t="s">
        <v>4808</v>
      </c>
      <c r="F1789" s="1" t="s">
        <v>9317</v>
      </c>
      <c r="G1789" s="1" t="s">
        <v>8957</v>
      </c>
      <c r="H1789" t="s">
        <v>8959</v>
      </c>
      <c r="I1789" s="1" t="s">
        <v>9605</v>
      </c>
      <c r="J1789" s="1" t="s">
        <v>9308</v>
      </c>
      <c r="K1789" s="1" t="s">
        <v>10258</v>
      </c>
      <c r="L1789" s="1" t="s">
        <v>8973</v>
      </c>
      <c r="M1789" s="1">
        <v>3</v>
      </c>
      <c r="N1789" s="1" t="s">
        <v>9059</v>
      </c>
      <c r="O1789" s="1" t="s">
        <v>8989</v>
      </c>
      <c r="P1789" s="1" t="s">
        <v>8955</v>
      </c>
      <c r="Q1789" s="1" t="s">
        <v>8990</v>
      </c>
      <c r="R1789" s="1" t="s">
        <v>8957</v>
      </c>
      <c r="S1789" s="1" t="s">
        <v>8975</v>
      </c>
      <c r="T1789" s="1" t="s">
        <v>4809</v>
      </c>
      <c r="U1789" s="1" t="s">
        <v>17</v>
      </c>
      <c r="V1789" s="1" t="s">
        <v>93</v>
      </c>
      <c r="W1789" s="1"/>
    </row>
    <row r="1790" spans="1:23" x14ac:dyDescent="0.2">
      <c r="A1790" s="88" t="s">
        <v>17061</v>
      </c>
      <c r="B1790" s="1" t="e">
        <v>#N/A</v>
      </c>
      <c r="C1790" s="1" t="e">
        <v>#N/A</v>
      </c>
      <c r="D1790" s="1" t="s">
        <v>4810</v>
      </c>
      <c r="E1790" s="1" t="s">
        <v>4811</v>
      </c>
      <c r="F1790" s="1" t="s">
        <v>18502</v>
      </c>
      <c r="G1790" s="1" t="s">
        <v>8959</v>
      </c>
      <c r="H1790" t="s">
        <v>8959</v>
      </c>
      <c r="I1790" s="1" t="s">
        <v>20712</v>
      </c>
      <c r="J1790" s="1" t="s">
        <v>9155</v>
      </c>
      <c r="K1790" s="1" t="s">
        <v>21371</v>
      </c>
      <c r="L1790" s="1" t="s">
        <v>8973</v>
      </c>
      <c r="M1790" s="1">
        <v>961</v>
      </c>
      <c r="N1790" s="1" t="s">
        <v>8953</v>
      </c>
      <c r="O1790" s="1" t="s">
        <v>8954</v>
      </c>
      <c r="P1790" s="1" t="e">
        <v>#N/A</v>
      </c>
      <c r="Q1790" s="1" t="e">
        <v>#N/A</v>
      </c>
      <c r="R1790" s="1">
        <f t="shared" ref="R1790:R1792" si="522">1+LEN(T1790)-LEN(SUBSTITUTE(T1790,",",))</f>
        <v>11</v>
      </c>
      <c r="S1790" s="1" t="str">
        <f t="shared" ref="S1790:S1792" si="523">IF(R1790&gt;4,IF(R1790&lt;8,"4-7",IF(R1790&gt;7,"&gt;7")),"&lt;4")</f>
        <v>&gt;7</v>
      </c>
      <c r="T1790" s="1" t="s">
        <v>19561</v>
      </c>
      <c r="U1790" s="1" t="s">
        <v>7</v>
      </c>
      <c r="V1790" s="1" t="s">
        <v>61</v>
      </c>
      <c r="W1790" s="1"/>
    </row>
    <row r="1791" spans="1:23" x14ac:dyDescent="0.2">
      <c r="A1791" s="88" t="s">
        <v>17062</v>
      </c>
      <c r="B1791" s="1" t="e">
        <v>#N/A</v>
      </c>
      <c r="C1791" s="1" t="e">
        <v>#N/A</v>
      </c>
      <c r="D1791" s="1" t="s">
        <v>4812</v>
      </c>
      <c r="E1791" s="1" t="s">
        <v>4813</v>
      </c>
      <c r="F1791" s="1" t="s">
        <v>10850</v>
      </c>
      <c r="G1791" s="1" t="s">
        <v>8959</v>
      </c>
      <c r="H1791" t="s">
        <v>9061</v>
      </c>
      <c r="I1791" s="1" t="s">
        <v>8948</v>
      </c>
      <c r="J1791" s="1" t="s">
        <v>8949</v>
      </c>
      <c r="K1791" s="1" t="s">
        <v>10492</v>
      </c>
      <c r="L1791" s="1" t="s">
        <v>8973</v>
      </c>
      <c r="M1791" s="1">
        <v>239</v>
      </c>
      <c r="N1791" s="1" t="s">
        <v>8953</v>
      </c>
      <c r="O1791" s="1" t="s">
        <v>8954</v>
      </c>
      <c r="P1791" s="1" t="e">
        <v>#N/A</v>
      </c>
      <c r="Q1791" s="1" t="e">
        <v>#N/A</v>
      </c>
      <c r="R1791" s="1">
        <f t="shared" si="522"/>
        <v>3</v>
      </c>
      <c r="S1791" s="1" t="str">
        <f t="shared" si="523"/>
        <v>&lt;4</v>
      </c>
      <c r="T1791" s="1" t="s">
        <v>19562</v>
      </c>
      <c r="U1791" s="1" t="s">
        <v>7</v>
      </c>
      <c r="V1791" s="1" t="s">
        <v>46</v>
      </c>
      <c r="W1791" s="1"/>
    </row>
    <row r="1792" spans="1:23" x14ac:dyDescent="0.2">
      <c r="A1792" s="89" t="s">
        <v>4814</v>
      </c>
      <c r="B1792" s="1" t="e">
        <v>#N/A</v>
      </c>
      <c r="C1792" s="1" t="e">
        <v>#N/A</v>
      </c>
      <c r="D1792" s="1" t="s">
        <v>4815</v>
      </c>
      <c r="E1792" s="1" t="s">
        <v>4816</v>
      </c>
      <c r="F1792" s="1" t="e">
        <v>#N/A</v>
      </c>
      <c r="G1792" s="1" t="e">
        <v>#N/A</v>
      </c>
      <c r="H1792" t="e">
        <v>#N/A</v>
      </c>
      <c r="I1792" s="1" t="e">
        <v>#N/A</v>
      </c>
      <c r="J1792" s="1" t="e">
        <v>#N/A</v>
      </c>
      <c r="K1792" s="1" t="e">
        <v>#N/A</v>
      </c>
      <c r="L1792" s="1" t="e">
        <v>#N/A</v>
      </c>
      <c r="M1792" s="1" t="e">
        <v>#N/A</v>
      </c>
      <c r="N1792" s="1" t="e">
        <v>#N/A</v>
      </c>
      <c r="O1792" s="1" t="e">
        <v>#N/A</v>
      </c>
      <c r="P1792" s="1" t="e">
        <v>#N/A</v>
      </c>
      <c r="Q1792" s="1" t="e">
        <v>#N/A</v>
      </c>
      <c r="R1792" s="1">
        <f t="shared" si="522"/>
        <v>1</v>
      </c>
      <c r="S1792" s="1" t="str">
        <f t="shared" si="523"/>
        <v>&lt;4</v>
      </c>
      <c r="T1792" s="1" t="s">
        <v>4817</v>
      </c>
      <c r="U1792" s="1" t="s">
        <v>7</v>
      </c>
      <c r="V1792" s="1" t="s">
        <v>4818</v>
      </c>
      <c r="W1792" s="1"/>
    </row>
    <row r="1793" spans="1:23" x14ac:dyDescent="0.2">
      <c r="A1793" s="88" t="s">
        <v>17063</v>
      </c>
      <c r="B1793" s="1" t="e">
        <v>#N/A</v>
      </c>
      <c r="C1793" s="1" t="s">
        <v>9758</v>
      </c>
      <c r="D1793" s="1" t="s">
        <v>4819</v>
      </c>
      <c r="E1793" s="1" t="s">
        <v>4820</v>
      </c>
      <c r="F1793" s="1" t="s">
        <v>9246</v>
      </c>
      <c r="G1793" s="1" t="s">
        <v>8957</v>
      </c>
      <c r="H1793" t="s">
        <v>8959</v>
      </c>
      <c r="I1793" s="1" t="s">
        <v>9075</v>
      </c>
      <c r="J1793" s="1" t="s">
        <v>9269</v>
      </c>
      <c r="K1793" s="1" t="s">
        <v>9112</v>
      </c>
      <c r="L1793" s="1" t="s">
        <v>8987</v>
      </c>
      <c r="M1793" s="1">
        <v>96</v>
      </c>
      <c r="N1793" s="1" t="s">
        <v>8953</v>
      </c>
      <c r="O1793" s="1" t="s">
        <v>8989</v>
      </c>
      <c r="P1793" s="1" t="s">
        <v>8955</v>
      </c>
      <c r="Q1793" s="1" t="s">
        <v>8990</v>
      </c>
      <c r="R1793" s="1" t="s">
        <v>8957</v>
      </c>
      <c r="S1793" s="1" t="s">
        <v>8975</v>
      </c>
      <c r="T1793" s="1" t="s">
        <v>4821</v>
      </c>
      <c r="U1793" s="1" t="s">
        <v>17</v>
      </c>
      <c r="V1793" s="1" t="s">
        <v>4822</v>
      </c>
      <c r="W1793" s="1"/>
    </row>
    <row r="1794" spans="1:23" x14ac:dyDescent="0.2">
      <c r="A1794" s="88" t="s">
        <v>17064</v>
      </c>
      <c r="B1794" s="1" t="e">
        <v>#N/A</v>
      </c>
      <c r="C1794" s="1" t="e">
        <v>#N/A</v>
      </c>
      <c r="D1794" s="1" t="s">
        <v>4823</v>
      </c>
      <c r="E1794" s="1" t="s">
        <v>4824</v>
      </c>
      <c r="F1794" s="1" t="s">
        <v>9246</v>
      </c>
      <c r="G1794" s="1" t="s">
        <v>8957</v>
      </c>
      <c r="H1794" t="s">
        <v>8959</v>
      </c>
      <c r="I1794" s="1" t="s">
        <v>9075</v>
      </c>
      <c r="J1794" s="1" t="s">
        <v>9131</v>
      </c>
      <c r="K1794" s="1" t="s">
        <v>21281</v>
      </c>
      <c r="L1794" s="1" t="s">
        <v>8987</v>
      </c>
      <c r="M1794" s="1">
        <v>66500</v>
      </c>
      <c r="N1794" s="1" t="s">
        <v>8953</v>
      </c>
      <c r="O1794" s="1" t="s">
        <v>8989</v>
      </c>
      <c r="P1794" s="1" t="e">
        <v>#N/A</v>
      </c>
      <c r="Q1794" s="1" t="e">
        <v>#N/A</v>
      </c>
      <c r="R1794" s="1">
        <f>1+LEN(T1794)-LEN(SUBSTITUTE(T1794,",",))</f>
        <v>7</v>
      </c>
      <c r="S1794" s="1" t="str">
        <f>IF(R1794&gt;4,IF(R1794&lt;8,"4-7",IF(R1794&gt;7,"&gt;7")),"&lt;4")</f>
        <v>4-7</v>
      </c>
      <c r="T1794" s="1" t="s">
        <v>19563</v>
      </c>
      <c r="U1794" s="1" t="s">
        <v>17</v>
      </c>
      <c r="V1794" s="1" t="s">
        <v>4825</v>
      </c>
      <c r="W1794" s="1"/>
    </row>
    <row r="1795" spans="1:23" x14ac:dyDescent="0.2">
      <c r="A1795" s="88" t="s">
        <v>17065</v>
      </c>
      <c r="B1795" s="1" t="e">
        <v>#N/A</v>
      </c>
      <c r="C1795" s="1" t="s">
        <v>9202</v>
      </c>
      <c r="D1795" s="1" t="s">
        <v>4826</v>
      </c>
      <c r="E1795" s="1" t="s">
        <v>4827</v>
      </c>
      <c r="F1795" s="1" t="s">
        <v>10873</v>
      </c>
      <c r="G1795" s="1" t="s">
        <v>8957</v>
      </c>
      <c r="H1795" t="s">
        <v>8959</v>
      </c>
      <c r="I1795" s="1" t="s">
        <v>8948</v>
      </c>
      <c r="J1795" s="1" t="s">
        <v>8949</v>
      </c>
      <c r="K1795" s="1" t="s">
        <v>8972</v>
      </c>
      <c r="L1795" s="1" t="s">
        <v>8973</v>
      </c>
      <c r="M1795" s="1">
        <v>476</v>
      </c>
      <c r="N1795" s="1" t="s">
        <v>8953</v>
      </c>
      <c r="O1795" s="1" t="s">
        <v>8954</v>
      </c>
      <c r="P1795" s="1" t="s">
        <v>8955</v>
      </c>
      <c r="Q1795" s="1" t="s">
        <v>8956</v>
      </c>
      <c r="R1795" s="1" t="s">
        <v>8957</v>
      </c>
      <c r="S1795" s="1" t="s">
        <v>8958</v>
      </c>
      <c r="T1795" s="1" t="s">
        <v>4828</v>
      </c>
      <c r="U1795" s="1" t="s">
        <v>17</v>
      </c>
      <c r="V1795" s="1" t="s">
        <v>8</v>
      </c>
      <c r="W1795" s="1"/>
    </row>
    <row r="1796" spans="1:23" x14ac:dyDescent="0.2">
      <c r="A1796" s="88" t="s">
        <v>17066</v>
      </c>
      <c r="B1796" s="1" t="e">
        <v>#N/A</v>
      </c>
      <c r="C1796" s="1" t="s">
        <v>11928</v>
      </c>
      <c r="D1796" s="1" t="s">
        <v>4829</v>
      </c>
      <c r="E1796" s="1" t="s">
        <v>4830</v>
      </c>
      <c r="F1796" s="1" t="s">
        <v>9010</v>
      </c>
      <c r="G1796" s="1" t="s">
        <v>8957</v>
      </c>
      <c r="H1796" t="s">
        <v>9061</v>
      </c>
      <c r="I1796" s="1" t="s">
        <v>9100</v>
      </c>
      <c r="J1796" s="1" t="s">
        <v>8971</v>
      </c>
      <c r="K1796" s="1" t="s">
        <v>18498</v>
      </c>
      <c r="L1796" s="1" t="s">
        <v>8951</v>
      </c>
      <c r="M1796" s="1">
        <v>25000</v>
      </c>
      <c r="N1796" s="1" t="s">
        <v>8953</v>
      </c>
      <c r="O1796" s="1" t="s">
        <v>8954</v>
      </c>
      <c r="P1796" s="1" t="s">
        <v>8955</v>
      </c>
      <c r="Q1796" s="1" t="s">
        <v>8956</v>
      </c>
      <c r="R1796" s="1" t="s">
        <v>8957</v>
      </c>
      <c r="S1796" s="1" t="s">
        <v>9103</v>
      </c>
      <c r="T1796" s="1" t="s">
        <v>4831</v>
      </c>
      <c r="U1796" s="1" t="s">
        <v>11</v>
      </c>
      <c r="V1796" s="1" t="s">
        <v>61</v>
      </c>
      <c r="W1796" s="1"/>
    </row>
    <row r="1797" spans="1:23" x14ac:dyDescent="0.2">
      <c r="A1797" s="88" t="s">
        <v>17067</v>
      </c>
      <c r="B1797" s="1" t="e">
        <v>#N/A</v>
      </c>
      <c r="C1797" s="1" t="s">
        <v>15209</v>
      </c>
      <c r="D1797" s="1" t="s">
        <v>4832</v>
      </c>
      <c r="E1797" s="1" t="s">
        <v>4833</v>
      </c>
      <c r="F1797" s="1" t="s">
        <v>9010</v>
      </c>
      <c r="G1797" s="1" t="s">
        <v>8959</v>
      </c>
      <c r="H1797" t="s">
        <v>9009</v>
      </c>
      <c r="I1797" s="1" t="s">
        <v>8984</v>
      </c>
      <c r="J1797" s="1" t="s">
        <v>8971</v>
      </c>
      <c r="K1797" s="1" t="s">
        <v>9041</v>
      </c>
      <c r="L1797" s="1" t="s">
        <v>9076</v>
      </c>
      <c r="M1797" s="1">
        <v>20000</v>
      </c>
      <c r="N1797" s="1" t="s">
        <v>8953</v>
      </c>
      <c r="O1797" s="1" t="s">
        <v>8954</v>
      </c>
      <c r="P1797" s="1" t="s">
        <v>8955</v>
      </c>
      <c r="Q1797" s="1" t="s">
        <v>8956</v>
      </c>
      <c r="R1797" s="1" t="s">
        <v>8959</v>
      </c>
      <c r="S1797" s="1" t="s">
        <v>9103</v>
      </c>
      <c r="T1797" s="1" t="s">
        <v>4831</v>
      </c>
      <c r="U1797" s="1" t="s">
        <v>17</v>
      </c>
      <c r="V1797" s="1" t="s">
        <v>378</v>
      </c>
      <c r="W1797" s="1"/>
    </row>
    <row r="1798" spans="1:23" x14ac:dyDescent="0.2">
      <c r="A1798" s="88" t="s">
        <v>17068</v>
      </c>
      <c r="B1798" s="1" t="e">
        <v>#N/A</v>
      </c>
      <c r="C1798" s="1" t="s">
        <v>12350</v>
      </c>
      <c r="D1798" s="1" t="s">
        <v>4834</v>
      </c>
      <c r="E1798" s="1" t="s">
        <v>4835</v>
      </c>
      <c r="F1798" s="1" t="s">
        <v>9317</v>
      </c>
      <c r="G1798" s="1" t="s">
        <v>8957</v>
      </c>
      <c r="H1798" t="s">
        <v>9183</v>
      </c>
      <c r="I1798" s="1" t="s">
        <v>9035</v>
      </c>
      <c r="J1798" s="1" t="s">
        <v>9121</v>
      </c>
      <c r="K1798" s="1" t="s">
        <v>9036</v>
      </c>
      <c r="L1798" s="1" t="s">
        <v>8987</v>
      </c>
      <c r="M1798" s="1">
        <v>6691</v>
      </c>
      <c r="N1798" s="1" t="s">
        <v>8953</v>
      </c>
      <c r="O1798" s="1" t="s">
        <v>8989</v>
      </c>
      <c r="P1798" s="1" t="s">
        <v>8955</v>
      </c>
      <c r="Q1798" s="1" t="s">
        <v>8956</v>
      </c>
      <c r="R1798" s="1" t="s">
        <v>8957</v>
      </c>
      <c r="S1798" s="1" t="s">
        <v>9103</v>
      </c>
      <c r="T1798" s="1" t="s">
        <v>4836</v>
      </c>
      <c r="U1798" s="1" t="s">
        <v>11</v>
      </c>
      <c r="V1798" s="1" t="s">
        <v>64</v>
      </c>
      <c r="W1798" s="1"/>
    </row>
    <row r="1799" spans="1:23" x14ac:dyDescent="0.2">
      <c r="A1799" s="88" t="s">
        <v>17069</v>
      </c>
      <c r="B1799" s="1" t="e">
        <v>#N/A</v>
      </c>
      <c r="C1799" s="1" t="e">
        <v>#N/A</v>
      </c>
      <c r="D1799" s="1" t="s">
        <v>4837</v>
      </c>
      <c r="E1799" s="1" t="s">
        <v>4838</v>
      </c>
      <c r="F1799" s="1" t="s">
        <v>18502</v>
      </c>
      <c r="G1799" s="1" t="s">
        <v>8957</v>
      </c>
      <c r="H1799" t="s">
        <v>9009</v>
      </c>
      <c r="I1799" s="1" t="s">
        <v>9100</v>
      </c>
      <c r="J1799" s="1" t="s">
        <v>8949</v>
      </c>
      <c r="K1799" s="1" t="s">
        <v>20830</v>
      </c>
      <c r="L1799" s="1" t="s">
        <v>8987</v>
      </c>
      <c r="M1799" s="1">
        <v>92</v>
      </c>
      <c r="N1799" s="1" t="s">
        <v>9059</v>
      </c>
      <c r="O1799" s="1" t="s">
        <v>8989</v>
      </c>
      <c r="P1799" s="1" t="e">
        <v>#N/A</v>
      </c>
      <c r="Q1799" s="1" t="e">
        <v>#N/A</v>
      </c>
      <c r="R1799" s="1">
        <f t="shared" ref="R1799:R1803" si="524">1+LEN(T1799)-LEN(SUBSTITUTE(T1799,",",))</f>
        <v>8</v>
      </c>
      <c r="S1799" s="1" t="str">
        <f t="shared" ref="S1799:S1803" si="525">IF(R1799&gt;4,IF(R1799&lt;8,"4-7",IF(R1799&gt;7,"&gt;7")),"&lt;4")</f>
        <v>&gt;7</v>
      </c>
      <c r="T1799" s="1" t="s">
        <v>19564</v>
      </c>
      <c r="U1799" s="1" t="s">
        <v>17</v>
      </c>
      <c r="V1799" s="1" t="s">
        <v>4839</v>
      </c>
      <c r="W1799" s="1"/>
    </row>
    <row r="1800" spans="1:23" x14ac:dyDescent="0.2">
      <c r="A1800" s="88" t="s">
        <v>17070</v>
      </c>
      <c r="B1800" s="1" t="e">
        <v>#N/A</v>
      </c>
      <c r="C1800" s="1" t="e">
        <v>#N/A</v>
      </c>
      <c r="D1800" s="1" t="s">
        <v>4840</v>
      </c>
      <c r="E1800" s="1" t="s">
        <v>4841</v>
      </c>
      <c r="F1800" s="1" t="s">
        <v>18502</v>
      </c>
      <c r="G1800" s="1" t="s">
        <v>8957</v>
      </c>
      <c r="H1800" t="s">
        <v>8959</v>
      </c>
      <c r="I1800" s="1" t="s">
        <v>9605</v>
      </c>
      <c r="J1800" s="1" t="s">
        <v>9101</v>
      </c>
      <c r="K1800" s="1" t="s">
        <v>10492</v>
      </c>
      <c r="L1800" s="1" t="s">
        <v>8973</v>
      </c>
      <c r="M1800" s="1">
        <v>1000</v>
      </c>
      <c r="N1800" s="1" t="s">
        <v>8953</v>
      </c>
      <c r="O1800" s="1" t="s">
        <v>8989</v>
      </c>
      <c r="P1800" s="1" t="e">
        <v>#N/A</v>
      </c>
      <c r="Q1800" s="1" t="e">
        <v>#N/A</v>
      </c>
      <c r="R1800" s="1">
        <f t="shared" si="524"/>
        <v>3</v>
      </c>
      <c r="S1800" s="1" t="str">
        <f t="shared" si="525"/>
        <v>&lt;4</v>
      </c>
      <c r="T1800" s="1" t="s">
        <v>19565</v>
      </c>
      <c r="U1800" s="1" t="s">
        <v>7</v>
      </c>
      <c r="V1800" s="1" t="s">
        <v>808</v>
      </c>
      <c r="W1800" s="1"/>
    </row>
    <row r="1801" spans="1:23" x14ac:dyDescent="0.2">
      <c r="A1801" s="89" t="s">
        <v>17071</v>
      </c>
      <c r="B1801" s="1" t="e">
        <v>#N/A</v>
      </c>
      <c r="C1801" s="1" t="e">
        <v>#N/A</v>
      </c>
      <c r="D1801" s="1" t="s">
        <v>4842</v>
      </c>
      <c r="E1801" s="1" t="s">
        <v>4843</v>
      </c>
      <c r="F1801" s="1" t="e">
        <v>#N/A</v>
      </c>
      <c r="G1801" s="1" t="e">
        <v>#N/A</v>
      </c>
      <c r="H1801" t="e">
        <v>#N/A</v>
      </c>
      <c r="I1801" s="1" t="e">
        <v>#N/A</v>
      </c>
      <c r="J1801" s="1" t="e">
        <v>#N/A</v>
      </c>
      <c r="K1801" s="1" t="e">
        <v>#N/A</v>
      </c>
      <c r="L1801" s="1" t="e">
        <v>#N/A</v>
      </c>
      <c r="M1801" s="1" t="e">
        <v>#N/A</v>
      </c>
      <c r="N1801" s="1" t="e">
        <v>#N/A</v>
      </c>
      <c r="O1801" s="1" t="e">
        <v>#N/A</v>
      </c>
      <c r="P1801" s="1" t="e">
        <v>#N/A</v>
      </c>
      <c r="Q1801" s="1" t="e">
        <v>#N/A</v>
      </c>
      <c r="R1801" s="1">
        <f t="shared" si="524"/>
        <v>1</v>
      </c>
      <c r="S1801" s="1" t="str">
        <f t="shared" si="525"/>
        <v>&lt;4</v>
      </c>
      <c r="U1801" s="1" t="s">
        <v>11</v>
      </c>
      <c r="V1801" s="1" t="s">
        <v>174</v>
      </c>
      <c r="W1801" s="1"/>
    </row>
    <row r="1802" spans="1:23" x14ac:dyDescent="0.2">
      <c r="A1802" s="89" t="s">
        <v>4844</v>
      </c>
      <c r="B1802" s="1" t="e">
        <v>#N/A</v>
      </c>
      <c r="C1802" s="1" t="e">
        <v>#N/A</v>
      </c>
      <c r="D1802" s="1" t="s">
        <v>4845</v>
      </c>
      <c r="E1802" s="1" t="s">
        <v>4846</v>
      </c>
      <c r="F1802" s="1" t="e">
        <v>#N/A</v>
      </c>
      <c r="G1802" s="1" t="e">
        <v>#N/A</v>
      </c>
      <c r="H1802" t="e">
        <v>#N/A</v>
      </c>
      <c r="I1802" s="1" t="e">
        <v>#N/A</v>
      </c>
      <c r="J1802" s="1" t="e">
        <v>#N/A</v>
      </c>
      <c r="K1802" s="1" t="e">
        <v>#N/A</v>
      </c>
      <c r="L1802" s="1" t="e">
        <v>#N/A</v>
      </c>
      <c r="M1802" s="1" t="e">
        <v>#N/A</v>
      </c>
      <c r="N1802" s="1" t="e">
        <v>#N/A</v>
      </c>
      <c r="O1802" s="1" t="e">
        <v>#N/A</v>
      </c>
      <c r="P1802" s="1" t="e">
        <v>#N/A</v>
      </c>
      <c r="Q1802" s="1" t="e">
        <v>#N/A</v>
      </c>
      <c r="R1802" s="1">
        <f t="shared" si="524"/>
        <v>2</v>
      </c>
      <c r="S1802" s="1" t="str">
        <f t="shared" si="525"/>
        <v>&lt;4</v>
      </c>
      <c r="T1802" s="1" t="s">
        <v>19566</v>
      </c>
      <c r="U1802" s="1" t="s">
        <v>17</v>
      </c>
      <c r="V1802" s="1" t="s">
        <v>857</v>
      </c>
      <c r="W1802" s="1"/>
    </row>
    <row r="1803" spans="1:23" x14ac:dyDescent="0.2">
      <c r="A1803" s="88" t="s">
        <v>17072</v>
      </c>
      <c r="B1803" s="1" t="e">
        <v>#N/A</v>
      </c>
      <c r="C1803" s="1" t="e">
        <v>#N/A</v>
      </c>
      <c r="D1803" s="1" t="s">
        <v>4847</v>
      </c>
      <c r="E1803" s="1" t="s">
        <v>4848</v>
      </c>
      <c r="F1803" s="1" t="s">
        <v>9310</v>
      </c>
      <c r="G1803" s="1" t="s">
        <v>8957</v>
      </c>
      <c r="H1803" t="s">
        <v>8959</v>
      </c>
      <c r="I1803" s="1" t="s">
        <v>9154</v>
      </c>
      <c r="J1803" s="1" t="s">
        <v>8949</v>
      </c>
      <c r="K1803" s="1" t="s">
        <v>10492</v>
      </c>
      <c r="L1803" s="1" t="s">
        <v>8973</v>
      </c>
      <c r="M1803" s="1">
        <v>1700</v>
      </c>
      <c r="N1803" s="1" t="s">
        <v>8953</v>
      </c>
      <c r="O1803" s="1" t="s">
        <v>8989</v>
      </c>
      <c r="P1803" s="1" t="e">
        <v>#N/A</v>
      </c>
      <c r="Q1803" s="1" t="e">
        <v>#N/A</v>
      </c>
      <c r="R1803" s="1">
        <f t="shared" si="524"/>
        <v>4</v>
      </c>
      <c r="S1803" s="1" t="str">
        <f t="shared" si="525"/>
        <v>&lt;4</v>
      </c>
      <c r="T1803" s="1" t="s">
        <v>19567</v>
      </c>
      <c r="U1803" s="1" t="s">
        <v>7</v>
      </c>
      <c r="V1803" s="1" t="s">
        <v>110</v>
      </c>
      <c r="W1803" s="1"/>
    </row>
    <row r="1804" spans="1:23" x14ac:dyDescent="0.2">
      <c r="A1804" s="88" t="s">
        <v>17073</v>
      </c>
      <c r="B1804" s="1" t="e">
        <v>#N/A</v>
      </c>
      <c r="C1804" s="1" t="s">
        <v>14823</v>
      </c>
      <c r="D1804" s="1" t="s">
        <v>4849</v>
      </c>
      <c r="E1804" s="1" t="s">
        <v>4850</v>
      </c>
      <c r="F1804" s="1" t="s">
        <v>9310</v>
      </c>
      <c r="G1804" s="1" t="s">
        <v>8957</v>
      </c>
      <c r="H1804" t="s">
        <v>8959</v>
      </c>
      <c r="I1804" s="1" t="s">
        <v>9154</v>
      </c>
      <c r="J1804" s="1" t="s">
        <v>8949</v>
      </c>
      <c r="K1804" s="1" t="s">
        <v>9599</v>
      </c>
      <c r="L1804" s="1" t="s">
        <v>8973</v>
      </c>
      <c r="M1804" s="1">
        <v>453</v>
      </c>
      <c r="N1804" s="1" t="s">
        <v>9059</v>
      </c>
      <c r="O1804" s="1" t="s">
        <v>8954</v>
      </c>
      <c r="P1804" s="1" t="s">
        <v>8955</v>
      </c>
      <c r="Q1804" s="1" t="s">
        <v>8956</v>
      </c>
      <c r="R1804" s="1" t="s">
        <v>8957</v>
      </c>
      <c r="S1804" s="1" t="s">
        <v>8975</v>
      </c>
      <c r="T1804" s="1" t="s">
        <v>4851</v>
      </c>
      <c r="U1804" s="1" t="s">
        <v>7</v>
      </c>
      <c r="V1804" s="1" t="s">
        <v>126</v>
      </c>
      <c r="W1804" s="1"/>
    </row>
    <row r="1805" spans="1:23" x14ac:dyDescent="0.2">
      <c r="A1805" s="88" t="s">
        <v>17074</v>
      </c>
      <c r="B1805" s="1" t="e">
        <v>#N/A</v>
      </c>
      <c r="C1805" s="1" t="s">
        <v>9128</v>
      </c>
      <c r="D1805" s="1" t="s">
        <v>4852</v>
      </c>
      <c r="E1805" s="1" t="s">
        <v>4853</v>
      </c>
      <c r="F1805" s="1" t="s">
        <v>9310</v>
      </c>
      <c r="G1805" s="1" t="s">
        <v>8957</v>
      </c>
      <c r="H1805" t="s">
        <v>9009</v>
      </c>
      <c r="I1805" s="1" t="s">
        <v>8984</v>
      </c>
      <c r="J1805" s="1" t="s">
        <v>9131</v>
      </c>
      <c r="K1805" s="1" t="s">
        <v>9132</v>
      </c>
      <c r="L1805" s="1" t="s">
        <v>9133</v>
      </c>
      <c r="M1805" s="1">
        <v>1036496</v>
      </c>
      <c r="N1805" s="1" t="s">
        <v>8953</v>
      </c>
      <c r="O1805" s="1" t="s">
        <v>8954</v>
      </c>
      <c r="P1805" s="1" t="s">
        <v>8955</v>
      </c>
      <c r="Q1805" s="1" t="s">
        <v>8956</v>
      </c>
      <c r="R1805" s="1" t="s">
        <v>8957</v>
      </c>
      <c r="S1805" s="1" t="s">
        <v>8975</v>
      </c>
      <c r="T1805" s="1" t="s">
        <v>4854</v>
      </c>
      <c r="U1805" s="1" t="s">
        <v>17</v>
      </c>
      <c r="V1805" s="1" t="s">
        <v>956</v>
      </c>
      <c r="W1805" s="1"/>
    </row>
    <row r="1806" spans="1:23" x14ac:dyDescent="0.2">
      <c r="A1806" s="88" t="s">
        <v>17075</v>
      </c>
      <c r="B1806" s="1" t="e">
        <v>#N/A</v>
      </c>
      <c r="C1806" s="1" t="e">
        <v>#N/A</v>
      </c>
      <c r="D1806" s="1" t="s">
        <v>4855</v>
      </c>
      <c r="E1806" s="1" t="s">
        <v>4856</v>
      </c>
      <c r="F1806" s="1" t="s">
        <v>9310</v>
      </c>
      <c r="G1806" s="1" t="s">
        <v>8957</v>
      </c>
      <c r="H1806" t="s">
        <v>9061</v>
      </c>
      <c r="I1806" s="1" t="s">
        <v>8984</v>
      </c>
      <c r="J1806" s="1" t="s">
        <v>8998</v>
      </c>
      <c r="K1806" s="1" t="s">
        <v>20809</v>
      </c>
      <c r="L1806" s="1" t="s">
        <v>8973</v>
      </c>
      <c r="M1806" s="1">
        <v>120</v>
      </c>
      <c r="N1806" s="1" t="s">
        <v>9059</v>
      </c>
      <c r="O1806" s="1" t="s">
        <v>8989</v>
      </c>
      <c r="P1806" s="1" t="e">
        <v>#N/A</v>
      </c>
      <c r="Q1806" s="1" t="e">
        <v>#N/A</v>
      </c>
      <c r="R1806" s="1">
        <f t="shared" ref="R1806:R1807" si="526">1+LEN(T1806)-LEN(SUBSTITUTE(T1806,",",))</f>
        <v>20</v>
      </c>
      <c r="S1806" s="1" t="str">
        <f t="shared" ref="S1806:S1807" si="527">IF(R1806&gt;4,IF(R1806&lt;8,"4-7",IF(R1806&gt;7,"&gt;7")),"&lt;4")</f>
        <v>&gt;7</v>
      </c>
      <c r="T1806" s="1" t="s">
        <v>19568</v>
      </c>
      <c r="U1806" s="1" t="s">
        <v>7</v>
      </c>
      <c r="V1806" s="1" t="s">
        <v>184</v>
      </c>
      <c r="W1806" s="1"/>
    </row>
    <row r="1807" spans="1:23" ht="28.5" x14ac:dyDescent="0.2">
      <c r="A1807" s="88" t="s">
        <v>17076</v>
      </c>
      <c r="B1807" s="1" t="e">
        <v>#N/A</v>
      </c>
      <c r="C1807" s="1" t="e">
        <v>#N/A</v>
      </c>
      <c r="D1807" s="1" t="s">
        <v>4857</v>
      </c>
      <c r="E1807" s="1" t="s">
        <v>4858</v>
      </c>
      <c r="F1807" s="1" t="s">
        <v>9310</v>
      </c>
      <c r="G1807" s="1" t="s">
        <v>8957</v>
      </c>
      <c r="H1807" t="s">
        <v>8959</v>
      </c>
      <c r="I1807" s="1" t="s">
        <v>9605</v>
      </c>
      <c r="J1807" s="1" t="s">
        <v>9101</v>
      </c>
      <c r="K1807" s="83" t="s">
        <v>21448</v>
      </c>
      <c r="L1807" s="1" t="s">
        <v>8987</v>
      </c>
      <c r="M1807" s="1">
        <v>500</v>
      </c>
      <c r="N1807" s="1" t="s">
        <v>8953</v>
      </c>
      <c r="O1807" s="1" t="s">
        <v>8989</v>
      </c>
      <c r="P1807" s="1" t="e">
        <v>#N/A</v>
      </c>
      <c r="Q1807" s="1" t="e">
        <v>#N/A</v>
      </c>
      <c r="R1807" s="1">
        <f t="shared" si="526"/>
        <v>6</v>
      </c>
      <c r="S1807" s="1" t="str">
        <f t="shared" si="527"/>
        <v>4-7</v>
      </c>
      <c r="T1807" s="1" t="s">
        <v>19569</v>
      </c>
      <c r="U1807" s="1" t="s">
        <v>17</v>
      </c>
      <c r="V1807" s="1" t="s">
        <v>46</v>
      </c>
      <c r="W1807" s="1"/>
    </row>
    <row r="1808" spans="1:23" x14ac:dyDescent="0.2">
      <c r="A1808" s="88" t="s">
        <v>17077</v>
      </c>
      <c r="B1808" s="1" t="e">
        <v>#N/A</v>
      </c>
      <c r="C1808" s="1" t="s">
        <v>10610</v>
      </c>
      <c r="D1808" s="1" t="s">
        <v>4859</v>
      </c>
      <c r="E1808" s="1" t="s">
        <v>4860</v>
      </c>
      <c r="F1808" s="1" t="s">
        <v>9310</v>
      </c>
      <c r="G1808" s="1" t="s">
        <v>8957</v>
      </c>
      <c r="H1808" t="s">
        <v>8959</v>
      </c>
      <c r="I1808" s="1" t="s">
        <v>9252</v>
      </c>
      <c r="J1808" s="1" t="s">
        <v>8949</v>
      </c>
      <c r="K1808" s="1" t="s">
        <v>10613</v>
      </c>
      <c r="L1808" s="1" t="s">
        <v>9157</v>
      </c>
      <c r="M1808" s="1">
        <v>172</v>
      </c>
      <c r="N1808" s="1" t="s">
        <v>9059</v>
      </c>
      <c r="O1808" s="1" t="s">
        <v>8989</v>
      </c>
      <c r="P1808" s="1" t="s">
        <v>8955</v>
      </c>
      <c r="Q1808" s="1" t="s">
        <v>8990</v>
      </c>
      <c r="R1808" s="1" t="s">
        <v>8957</v>
      </c>
      <c r="S1808" s="1" t="s">
        <v>8958</v>
      </c>
      <c r="T1808" s="1" t="s">
        <v>4861</v>
      </c>
      <c r="U1808" s="1" t="s">
        <v>11</v>
      </c>
      <c r="V1808" s="1" t="s">
        <v>378</v>
      </c>
      <c r="W1808" s="1"/>
    </row>
    <row r="1809" spans="1:23" x14ac:dyDescent="0.2">
      <c r="A1809" s="88" t="s">
        <v>17078</v>
      </c>
      <c r="B1809" s="1" t="e">
        <v>#N/A</v>
      </c>
      <c r="C1809" s="1" t="e">
        <v>#N/A</v>
      </c>
      <c r="D1809" s="1" t="s">
        <v>4862</v>
      </c>
      <c r="E1809" s="1" t="s">
        <v>4863</v>
      </c>
      <c r="F1809" s="1" t="s">
        <v>9310</v>
      </c>
      <c r="G1809" s="1" t="s">
        <v>8957</v>
      </c>
      <c r="H1809" t="s">
        <v>8959</v>
      </c>
      <c r="I1809" s="1" t="s">
        <v>9035</v>
      </c>
      <c r="J1809" s="1" t="s">
        <v>9308</v>
      </c>
      <c r="K1809" s="1" t="s">
        <v>20881</v>
      </c>
      <c r="L1809" s="1" t="s">
        <v>8987</v>
      </c>
      <c r="M1809" s="84">
        <v>303646</v>
      </c>
      <c r="N1809" s="1" t="s">
        <v>8953</v>
      </c>
      <c r="O1809" s="1" t="s">
        <v>8954</v>
      </c>
      <c r="P1809" s="1" t="e">
        <v>#N/A</v>
      </c>
      <c r="Q1809" s="1" t="e">
        <v>#N/A</v>
      </c>
      <c r="R1809" s="1">
        <f t="shared" ref="R1809:R1811" si="528">1+LEN(T1809)-LEN(SUBSTITUTE(T1809,",",))</f>
        <v>7</v>
      </c>
      <c r="S1809" s="1" t="str">
        <f t="shared" ref="S1809:S1811" si="529">IF(R1809&gt;4,IF(R1809&lt;8,"4-7",IF(R1809&gt;7,"&gt;7")),"&lt;4")</f>
        <v>4-7</v>
      </c>
      <c r="T1809" s="1" t="s">
        <v>19570</v>
      </c>
      <c r="U1809" s="1" t="s">
        <v>7</v>
      </c>
      <c r="V1809" s="1" t="s">
        <v>61</v>
      </c>
      <c r="W1809" s="1"/>
    </row>
    <row r="1810" spans="1:23" x14ac:dyDescent="0.2">
      <c r="A1810" s="89" t="s">
        <v>4864</v>
      </c>
      <c r="B1810" s="1" t="e">
        <v>#N/A</v>
      </c>
      <c r="C1810" s="1" t="e">
        <v>#N/A</v>
      </c>
      <c r="D1810" s="1" t="s">
        <v>4865</v>
      </c>
      <c r="E1810" s="1" t="s">
        <v>4866</v>
      </c>
      <c r="F1810" s="1" t="e">
        <v>#N/A</v>
      </c>
      <c r="G1810" s="1" t="e">
        <v>#N/A</v>
      </c>
      <c r="H1810" t="e">
        <v>#N/A</v>
      </c>
      <c r="I1810" s="1" t="e">
        <v>#N/A</v>
      </c>
      <c r="J1810" s="1" t="e">
        <v>#N/A</v>
      </c>
      <c r="K1810" s="1" t="e">
        <v>#N/A</v>
      </c>
      <c r="L1810" s="1" t="e">
        <v>#N/A</v>
      </c>
      <c r="M1810" s="1" t="e">
        <v>#N/A</v>
      </c>
      <c r="N1810" s="1" t="e">
        <v>#N/A</v>
      </c>
      <c r="O1810" s="1" t="e">
        <v>#N/A</v>
      </c>
      <c r="P1810" s="1" t="e">
        <v>#N/A</v>
      </c>
      <c r="Q1810" s="1" t="e">
        <v>#N/A</v>
      </c>
      <c r="R1810" s="1">
        <f t="shared" si="528"/>
        <v>3</v>
      </c>
      <c r="S1810" s="1" t="str">
        <f t="shared" si="529"/>
        <v>&lt;4</v>
      </c>
      <c r="T1810" s="1" t="s">
        <v>19571</v>
      </c>
      <c r="U1810" s="1" t="s">
        <v>11</v>
      </c>
      <c r="V1810" s="1" t="s">
        <v>4867</v>
      </c>
      <c r="W1810" s="1"/>
    </row>
    <row r="1811" spans="1:23" x14ac:dyDescent="0.2">
      <c r="A1811" s="88" t="s">
        <v>17079</v>
      </c>
      <c r="B1811" s="1" t="e">
        <v>#N/A</v>
      </c>
      <c r="C1811" s="1" t="e">
        <v>#N/A</v>
      </c>
      <c r="D1811" s="1" t="s">
        <v>4868</v>
      </c>
      <c r="E1811" s="1" t="s">
        <v>4869</v>
      </c>
      <c r="F1811" s="1" t="s">
        <v>9310</v>
      </c>
      <c r="G1811" s="1" t="s">
        <v>8957</v>
      </c>
      <c r="H1811" t="s">
        <v>9061</v>
      </c>
      <c r="I1811" s="1" t="s">
        <v>9075</v>
      </c>
      <c r="J1811" s="1" t="s">
        <v>8949</v>
      </c>
      <c r="K1811" s="1" t="s">
        <v>18497</v>
      </c>
      <c r="L1811" s="1" t="s">
        <v>8951</v>
      </c>
      <c r="M1811" s="1">
        <v>495</v>
      </c>
      <c r="N1811" s="1" t="s">
        <v>9059</v>
      </c>
      <c r="O1811" s="1" t="s">
        <v>8989</v>
      </c>
      <c r="P1811" s="1" t="e">
        <v>#N/A</v>
      </c>
      <c r="Q1811" s="1" t="e">
        <v>#N/A</v>
      </c>
      <c r="R1811" s="1">
        <f t="shared" si="528"/>
        <v>13</v>
      </c>
      <c r="S1811" s="1" t="str">
        <f t="shared" si="529"/>
        <v>&gt;7</v>
      </c>
      <c r="T1811" s="1" t="s">
        <v>19572</v>
      </c>
      <c r="U1811" s="1" t="s">
        <v>7</v>
      </c>
      <c r="V1811" s="1" t="s">
        <v>4870</v>
      </c>
      <c r="W1811" s="1"/>
    </row>
    <row r="1812" spans="1:23" x14ac:dyDescent="0.2">
      <c r="A1812" s="88" t="s">
        <v>17080</v>
      </c>
      <c r="B1812" s="1" t="e">
        <v>#N/A</v>
      </c>
      <c r="C1812" s="1" t="s">
        <v>9639</v>
      </c>
      <c r="D1812" s="1" t="s">
        <v>4871</v>
      </c>
      <c r="E1812" s="1" t="s">
        <v>4872</v>
      </c>
      <c r="F1812" s="1" t="s">
        <v>9642</v>
      </c>
      <c r="G1812" s="1" t="s">
        <v>8957</v>
      </c>
      <c r="H1812" t="s">
        <v>8959</v>
      </c>
      <c r="I1812" s="1" t="s">
        <v>9605</v>
      </c>
      <c r="J1812" s="1" t="s">
        <v>9101</v>
      </c>
      <c r="K1812" s="1" t="s">
        <v>8972</v>
      </c>
      <c r="L1812" s="1" t="s">
        <v>9076</v>
      </c>
      <c r="M1812" s="1">
        <v>825</v>
      </c>
      <c r="N1812" s="1" t="s">
        <v>8953</v>
      </c>
      <c r="O1812" s="1" t="s">
        <v>8954</v>
      </c>
      <c r="P1812" s="1" t="s">
        <v>8955</v>
      </c>
      <c r="Q1812" s="1" t="s">
        <v>8990</v>
      </c>
      <c r="R1812" s="1" t="s">
        <v>8957</v>
      </c>
      <c r="S1812" s="1" t="s">
        <v>8958</v>
      </c>
      <c r="T1812" s="1" t="s">
        <v>4873</v>
      </c>
      <c r="U1812" s="1" t="s">
        <v>17</v>
      </c>
      <c r="V1812" s="1" t="s">
        <v>4874</v>
      </c>
      <c r="W1812" s="1"/>
    </row>
    <row r="1813" spans="1:23" x14ac:dyDescent="0.2">
      <c r="A1813" s="88" t="s">
        <v>17081</v>
      </c>
      <c r="B1813" s="1" t="e">
        <v>#N/A</v>
      </c>
      <c r="C1813" s="1" t="s">
        <v>13253</v>
      </c>
      <c r="D1813" s="1" t="s">
        <v>4875</v>
      </c>
      <c r="E1813" s="1" t="s">
        <v>4876</v>
      </c>
      <c r="F1813" s="1" t="s">
        <v>9246</v>
      </c>
      <c r="G1813" s="1" t="s">
        <v>8974</v>
      </c>
      <c r="H1813" t="s">
        <v>9061</v>
      </c>
      <c r="I1813" s="1" t="s">
        <v>8984</v>
      </c>
      <c r="J1813" s="1" t="s">
        <v>8998</v>
      </c>
      <c r="K1813" s="1" t="s">
        <v>9036</v>
      </c>
      <c r="L1813" s="1" t="s">
        <v>9157</v>
      </c>
      <c r="M1813" s="1">
        <v>20</v>
      </c>
      <c r="N1813" s="1" t="s">
        <v>8953</v>
      </c>
      <c r="O1813" s="1" t="s">
        <v>8989</v>
      </c>
      <c r="P1813" s="1" t="s">
        <v>8955</v>
      </c>
      <c r="Q1813" s="1" t="s">
        <v>8956</v>
      </c>
      <c r="R1813" s="1" t="s">
        <v>8974</v>
      </c>
      <c r="S1813" s="1" t="s">
        <v>8975</v>
      </c>
      <c r="T1813" s="1" t="s">
        <v>4877</v>
      </c>
      <c r="U1813" s="1" t="s">
        <v>11</v>
      </c>
      <c r="V1813" s="1" t="s">
        <v>1780</v>
      </c>
      <c r="W1813" s="1"/>
    </row>
    <row r="1814" spans="1:23" x14ac:dyDescent="0.2">
      <c r="A1814" s="88" t="s">
        <v>17082</v>
      </c>
      <c r="B1814" s="1" t="e">
        <v>#N/A</v>
      </c>
      <c r="C1814" s="1" t="s">
        <v>12740</v>
      </c>
      <c r="D1814" s="1" t="s">
        <v>4878</v>
      </c>
      <c r="E1814" s="1" t="s">
        <v>4879</v>
      </c>
      <c r="F1814" s="1" t="s">
        <v>9310</v>
      </c>
      <c r="G1814" s="1" t="s">
        <v>8957</v>
      </c>
      <c r="H1814" t="s">
        <v>8959</v>
      </c>
      <c r="I1814" s="1" t="s">
        <v>8984</v>
      </c>
      <c r="J1814" s="1" t="s">
        <v>8949</v>
      </c>
      <c r="K1814" s="1" t="s">
        <v>21466</v>
      </c>
      <c r="L1814" s="1" t="s">
        <v>9076</v>
      </c>
      <c r="M1814" s="1">
        <v>451</v>
      </c>
      <c r="N1814" s="1" t="s">
        <v>8953</v>
      </c>
      <c r="O1814" s="1" t="s">
        <v>8989</v>
      </c>
      <c r="P1814" s="1" t="s">
        <v>8955</v>
      </c>
      <c r="Q1814" s="1" t="s">
        <v>8956</v>
      </c>
      <c r="R1814" s="1" t="s">
        <v>8957</v>
      </c>
      <c r="S1814" s="1" t="s">
        <v>8958</v>
      </c>
      <c r="T1814" s="1" t="s">
        <v>4880</v>
      </c>
      <c r="U1814" s="1" t="s">
        <v>11</v>
      </c>
      <c r="V1814" s="1" t="s">
        <v>93</v>
      </c>
      <c r="W1814" s="1"/>
    </row>
    <row r="1815" spans="1:23" x14ac:dyDescent="0.2">
      <c r="A1815" s="88" t="s">
        <v>17083</v>
      </c>
      <c r="B1815" s="1" t="e">
        <v>#N/A</v>
      </c>
      <c r="C1815" s="1" t="e">
        <v>#N/A</v>
      </c>
      <c r="D1815" s="1" t="s">
        <v>4881</v>
      </c>
      <c r="E1815" s="1" t="s">
        <v>4882</v>
      </c>
      <c r="F1815" s="1" t="s">
        <v>9465</v>
      </c>
      <c r="G1815" s="1" t="s">
        <v>8957</v>
      </c>
      <c r="H1815" t="s">
        <v>8959</v>
      </c>
      <c r="I1815" s="1" t="s">
        <v>20712</v>
      </c>
      <c r="J1815" s="1" t="s">
        <v>9155</v>
      </c>
      <c r="K1815" s="1" t="s">
        <v>21372</v>
      </c>
      <c r="L1815" s="1" t="s">
        <v>8987</v>
      </c>
      <c r="M1815" s="1">
        <v>44800</v>
      </c>
      <c r="N1815" s="1" t="s">
        <v>20806</v>
      </c>
      <c r="O1815" s="1" t="s">
        <v>8954</v>
      </c>
      <c r="P1815" s="1" t="e">
        <v>#N/A</v>
      </c>
      <c r="Q1815" s="1" t="e">
        <v>#N/A</v>
      </c>
      <c r="R1815" s="1">
        <f t="shared" ref="R1815:R1821" si="530">1+LEN(T1815)-LEN(SUBSTITUTE(T1815,",",))</f>
        <v>4</v>
      </c>
      <c r="S1815" s="1" t="str">
        <f t="shared" ref="S1815:S1821" si="531">IF(R1815&gt;4,IF(R1815&lt;8,"4-7",IF(R1815&gt;7,"&gt;7")),"&lt;4")</f>
        <v>&lt;4</v>
      </c>
      <c r="T1815" s="1" t="s">
        <v>19573</v>
      </c>
      <c r="U1815" s="1" t="s">
        <v>7</v>
      </c>
      <c r="V1815" s="1" t="s">
        <v>74</v>
      </c>
      <c r="W1815" s="1"/>
    </row>
    <row r="1816" spans="1:23" x14ac:dyDescent="0.2">
      <c r="A1816" s="88" t="s">
        <v>17084</v>
      </c>
      <c r="B1816" s="1" t="e">
        <v>#N/A</v>
      </c>
      <c r="C1816" s="1" t="e">
        <v>#N/A</v>
      </c>
      <c r="D1816" s="1" t="s">
        <v>4883</v>
      </c>
      <c r="E1816" s="1" t="s">
        <v>4884</v>
      </c>
      <c r="F1816" s="1" t="s">
        <v>9380</v>
      </c>
      <c r="G1816" s="1" t="s">
        <v>9060</v>
      </c>
      <c r="H1816" t="s">
        <v>8959</v>
      </c>
      <c r="I1816" s="1" t="s">
        <v>9100</v>
      </c>
      <c r="J1816" s="1" t="s">
        <v>8949</v>
      </c>
      <c r="K1816" s="1" t="s">
        <v>20785</v>
      </c>
      <c r="L1816" s="1" t="s">
        <v>8987</v>
      </c>
      <c r="M1816" s="1">
        <v>1954</v>
      </c>
      <c r="N1816" s="1" t="s">
        <v>9059</v>
      </c>
      <c r="O1816" s="1" t="s">
        <v>8954</v>
      </c>
      <c r="P1816" s="1" t="e">
        <v>#N/A</v>
      </c>
      <c r="Q1816" s="1" t="e">
        <v>#N/A</v>
      </c>
      <c r="R1816" s="1">
        <f t="shared" si="530"/>
        <v>5</v>
      </c>
      <c r="S1816" s="1" t="str">
        <f t="shared" si="531"/>
        <v>4-7</v>
      </c>
      <c r="T1816" s="1" t="s">
        <v>19574</v>
      </c>
      <c r="U1816" s="1" t="s">
        <v>7</v>
      </c>
      <c r="V1816" s="1" t="s">
        <v>938</v>
      </c>
      <c r="W1816" s="1"/>
    </row>
    <row r="1817" spans="1:23" x14ac:dyDescent="0.2">
      <c r="A1817" s="88" t="s">
        <v>17085</v>
      </c>
      <c r="B1817" s="1" t="e">
        <v>#N/A</v>
      </c>
      <c r="C1817" s="1" t="e">
        <v>#N/A</v>
      </c>
      <c r="D1817" s="1" t="s">
        <v>4885</v>
      </c>
      <c r="E1817" s="1" t="s">
        <v>4886</v>
      </c>
      <c r="F1817" s="1" t="s">
        <v>9310</v>
      </c>
      <c r="G1817" s="1" t="s">
        <v>8957</v>
      </c>
      <c r="H1817" t="s">
        <v>8959</v>
      </c>
      <c r="I1817" s="1" t="s">
        <v>9943</v>
      </c>
      <c r="J1817" s="1" t="s">
        <v>8971</v>
      </c>
      <c r="K1817" s="1" t="s">
        <v>20841</v>
      </c>
      <c r="L1817" s="1" t="s">
        <v>9292</v>
      </c>
      <c r="M1817" s="1">
        <f>10485+152</f>
        <v>10637</v>
      </c>
      <c r="N1817" s="1" t="s">
        <v>8953</v>
      </c>
      <c r="O1817" s="1" t="s">
        <v>8954</v>
      </c>
      <c r="P1817" s="1" t="e">
        <v>#N/A</v>
      </c>
      <c r="Q1817" s="1" t="e">
        <v>#N/A</v>
      </c>
      <c r="R1817" s="1">
        <f t="shared" si="530"/>
        <v>9</v>
      </c>
      <c r="S1817" s="1" t="str">
        <f t="shared" si="531"/>
        <v>&gt;7</v>
      </c>
      <c r="T1817" s="1" t="s">
        <v>19575</v>
      </c>
      <c r="U1817" s="1" t="s">
        <v>7</v>
      </c>
      <c r="V1817" s="1" t="s">
        <v>1651</v>
      </c>
      <c r="W1817" s="1"/>
    </row>
    <row r="1818" spans="1:23" x14ac:dyDescent="0.2">
      <c r="A1818" s="89" t="s">
        <v>4887</v>
      </c>
      <c r="B1818" s="1" t="e">
        <v>#N/A</v>
      </c>
      <c r="C1818" s="1" t="e">
        <v>#N/A</v>
      </c>
      <c r="D1818" s="1" t="s">
        <v>4888</v>
      </c>
      <c r="E1818" s="1" t="s">
        <v>4889</v>
      </c>
      <c r="F1818" s="1" t="e">
        <v>#N/A</v>
      </c>
      <c r="G1818" s="1" t="e">
        <v>#N/A</v>
      </c>
      <c r="H1818" t="e">
        <v>#N/A</v>
      </c>
      <c r="I1818" s="1" t="e">
        <v>#N/A</v>
      </c>
      <c r="J1818" s="1" t="e">
        <v>#N/A</v>
      </c>
      <c r="K1818" s="1" t="e">
        <v>#N/A</v>
      </c>
      <c r="L1818" s="1" t="e">
        <v>#N/A</v>
      </c>
      <c r="M1818" s="1" t="e">
        <v>#N/A</v>
      </c>
      <c r="N1818" s="1" t="e">
        <v>#N/A</v>
      </c>
      <c r="O1818" s="1" t="e">
        <v>#N/A</v>
      </c>
      <c r="P1818" s="1" t="e">
        <v>#N/A</v>
      </c>
      <c r="Q1818" s="1" t="e">
        <v>#N/A</v>
      </c>
      <c r="R1818" s="1">
        <f t="shared" si="530"/>
        <v>6</v>
      </c>
      <c r="S1818" s="1" t="str">
        <f t="shared" si="531"/>
        <v>4-7</v>
      </c>
      <c r="T1818" s="1" t="s">
        <v>19576</v>
      </c>
      <c r="U1818" s="1" t="s">
        <v>7</v>
      </c>
      <c r="V1818" s="1" t="s">
        <v>4890</v>
      </c>
      <c r="W1818" s="1"/>
    </row>
    <row r="1819" spans="1:23" x14ac:dyDescent="0.2">
      <c r="A1819" s="88" t="s">
        <v>17086</v>
      </c>
      <c r="B1819" s="1" t="e">
        <v>#N/A</v>
      </c>
      <c r="C1819" s="1" t="e">
        <v>#N/A</v>
      </c>
      <c r="D1819" s="1" t="s">
        <v>4891</v>
      </c>
      <c r="E1819" s="1" t="s">
        <v>4892</v>
      </c>
      <c r="F1819" s="1" t="s">
        <v>9310</v>
      </c>
      <c r="G1819" s="1" t="s">
        <v>8957</v>
      </c>
      <c r="H1819" t="s">
        <v>8959</v>
      </c>
      <c r="I1819" s="1" t="s">
        <v>9035</v>
      </c>
      <c r="J1819" s="1" t="s">
        <v>8998</v>
      </c>
      <c r="K1819" s="1" t="s">
        <v>10492</v>
      </c>
      <c r="L1819" s="1" t="s">
        <v>8973</v>
      </c>
      <c r="M1819" s="1">
        <f>63+50+78+70+452</f>
        <v>713</v>
      </c>
      <c r="N1819" s="1" t="s">
        <v>8953</v>
      </c>
      <c r="O1819" s="1" t="s">
        <v>8954</v>
      </c>
      <c r="P1819" s="1" t="e">
        <v>#N/A</v>
      </c>
      <c r="Q1819" s="1" t="e">
        <v>#N/A</v>
      </c>
      <c r="R1819" s="1">
        <f t="shared" si="530"/>
        <v>14</v>
      </c>
      <c r="S1819" s="1" t="str">
        <f t="shared" si="531"/>
        <v>&gt;7</v>
      </c>
      <c r="T1819" s="1" t="s">
        <v>19577</v>
      </c>
      <c r="U1819" s="1" t="s">
        <v>7</v>
      </c>
      <c r="V1819" s="1" t="s">
        <v>93</v>
      </c>
      <c r="W1819" s="1"/>
    </row>
    <row r="1820" spans="1:23" x14ac:dyDescent="0.2">
      <c r="A1820" s="88" t="s">
        <v>17087</v>
      </c>
      <c r="B1820" s="1" t="e">
        <v>#N/A</v>
      </c>
      <c r="C1820" s="1" t="e">
        <v>#N/A</v>
      </c>
      <c r="D1820" s="1" t="s">
        <v>4893</v>
      </c>
      <c r="E1820" s="1" t="s">
        <v>4894</v>
      </c>
      <c r="F1820" s="1" t="s">
        <v>18502</v>
      </c>
      <c r="G1820" s="1" t="s">
        <v>8957</v>
      </c>
      <c r="H1820" t="s">
        <v>8959</v>
      </c>
      <c r="I1820" s="1" t="s">
        <v>8984</v>
      </c>
      <c r="J1820" s="1" t="s">
        <v>8949</v>
      </c>
      <c r="K1820" s="1" t="s">
        <v>18497</v>
      </c>
      <c r="L1820" s="1" t="s">
        <v>8987</v>
      </c>
      <c r="M1820" s="1">
        <v>2111</v>
      </c>
      <c r="N1820" s="1" t="s">
        <v>8953</v>
      </c>
      <c r="O1820" s="1" t="s">
        <v>8954</v>
      </c>
      <c r="P1820" s="1" t="e">
        <v>#N/A</v>
      </c>
      <c r="Q1820" s="1" t="e">
        <v>#N/A</v>
      </c>
      <c r="R1820" s="1">
        <f t="shared" si="530"/>
        <v>9</v>
      </c>
      <c r="S1820" s="1" t="str">
        <f t="shared" si="531"/>
        <v>&gt;7</v>
      </c>
      <c r="T1820" s="1" t="s">
        <v>20638</v>
      </c>
      <c r="U1820" s="1" t="s">
        <v>7</v>
      </c>
      <c r="V1820" s="1" t="s">
        <v>1050</v>
      </c>
      <c r="W1820" s="1"/>
    </row>
    <row r="1821" spans="1:23" x14ac:dyDescent="0.2">
      <c r="A1821" s="88" t="s">
        <v>17088</v>
      </c>
      <c r="B1821" s="1" t="e">
        <v>#N/A</v>
      </c>
      <c r="C1821" s="1" t="e">
        <v>#N/A</v>
      </c>
      <c r="D1821" s="1" t="s">
        <v>4895</v>
      </c>
      <c r="E1821" s="1" t="s">
        <v>4896</v>
      </c>
      <c r="F1821" s="1" t="s">
        <v>9310</v>
      </c>
      <c r="G1821" s="1" t="s">
        <v>8957</v>
      </c>
      <c r="H1821" t="s">
        <v>9183</v>
      </c>
      <c r="I1821" s="1" t="s">
        <v>9092</v>
      </c>
      <c r="J1821" s="1" t="s">
        <v>8949</v>
      </c>
      <c r="K1821" s="1" t="s">
        <v>21373</v>
      </c>
      <c r="L1821" s="1" t="s">
        <v>8951</v>
      </c>
      <c r="M1821" s="1">
        <v>1500</v>
      </c>
      <c r="N1821" s="1" t="s">
        <v>9059</v>
      </c>
      <c r="O1821" s="1" t="s">
        <v>8989</v>
      </c>
      <c r="P1821" s="1" t="e">
        <v>#N/A</v>
      </c>
      <c r="Q1821" s="1" t="e">
        <v>#N/A</v>
      </c>
      <c r="R1821" s="1">
        <f t="shared" si="530"/>
        <v>4</v>
      </c>
      <c r="S1821" s="1" t="str">
        <f t="shared" si="531"/>
        <v>&lt;4</v>
      </c>
      <c r="T1821" s="1" t="s">
        <v>19578</v>
      </c>
      <c r="U1821" s="1" t="s">
        <v>7</v>
      </c>
      <c r="V1821" s="1" t="s">
        <v>4602</v>
      </c>
      <c r="W1821" s="1"/>
    </row>
    <row r="1822" spans="1:23" x14ac:dyDescent="0.2">
      <c r="A1822" s="88" t="s">
        <v>17089</v>
      </c>
      <c r="B1822" s="1" t="e">
        <v>#N/A</v>
      </c>
      <c r="C1822" s="1" t="s">
        <v>10356</v>
      </c>
      <c r="D1822" s="1" t="s">
        <v>4897</v>
      </c>
      <c r="E1822" s="1" t="s">
        <v>4898</v>
      </c>
      <c r="F1822" s="1" t="s">
        <v>9010</v>
      </c>
      <c r="G1822" s="1" t="s">
        <v>8957</v>
      </c>
      <c r="H1822" t="s">
        <v>9061</v>
      </c>
      <c r="I1822" s="1" t="s">
        <v>9075</v>
      </c>
      <c r="J1822" s="1" t="s">
        <v>8998</v>
      </c>
      <c r="K1822" s="1" t="s">
        <v>8972</v>
      </c>
      <c r="L1822" s="1" t="s">
        <v>8973</v>
      </c>
      <c r="M1822" s="1">
        <v>173</v>
      </c>
      <c r="N1822" s="1" t="s">
        <v>9059</v>
      </c>
      <c r="O1822" s="1" t="s">
        <v>8989</v>
      </c>
      <c r="P1822" s="1" t="s">
        <v>8955</v>
      </c>
      <c r="Q1822" s="1" t="s">
        <v>8956</v>
      </c>
      <c r="R1822" s="1" t="s">
        <v>8957</v>
      </c>
      <c r="S1822" s="1" t="s">
        <v>8975</v>
      </c>
      <c r="T1822" s="1" t="s">
        <v>4899</v>
      </c>
      <c r="U1822" s="1" t="s">
        <v>17</v>
      </c>
      <c r="V1822" s="1" t="s">
        <v>93</v>
      </c>
      <c r="W1822" s="1"/>
    </row>
    <row r="1823" spans="1:23" x14ac:dyDescent="0.2">
      <c r="A1823" s="88" t="s">
        <v>17090</v>
      </c>
      <c r="B1823" s="1" t="e">
        <v>#N/A</v>
      </c>
      <c r="C1823" s="1" t="e">
        <v>#N/A</v>
      </c>
      <c r="D1823" s="1" t="s">
        <v>4900</v>
      </c>
      <c r="E1823" s="1" t="s">
        <v>4901</v>
      </c>
      <c r="F1823" s="1" t="s">
        <v>9310</v>
      </c>
      <c r="G1823" s="1" t="s">
        <v>8957</v>
      </c>
      <c r="H1823" t="s">
        <v>8959</v>
      </c>
      <c r="I1823" s="1" t="s">
        <v>9252</v>
      </c>
      <c r="J1823" s="1" t="s">
        <v>8949</v>
      </c>
      <c r="K1823" s="1" t="s">
        <v>10629</v>
      </c>
      <c r="L1823" s="1" t="s">
        <v>8973</v>
      </c>
      <c r="M1823" s="1">
        <v>100</v>
      </c>
      <c r="N1823" s="1" t="s">
        <v>9059</v>
      </c>
      <c r="O1823" s="1" t="s">
        <v>8989</v>
      </c>
      <c r="P1823" s="1" t="e">
        <v>#N/A</v>
      </c>
      <c r="Q1823" s="1" t="e">
        <v>#N/A</v>
      </c>
      <c r="R1823" s="1">
        <f>1+LEN(T1823)-LEN(SUBSTITUTE(T1823,",",))</f>
        <v>8</v>
      </c>
      <c r="S1823" s="1" t="str">
        <f>IF(R1823&gt;4,IF(R1823&lt;8,"4-7",IF(R1823&gt;7,"&gt;7")),"&lt;4")</f>
        <v>&gt;7</v>
      </c>
      <c r="T1823" s="1" t="s">
        <v>19579</v>
      </c>
      <c r="U1823" s="1" t="s">
        <v>7</v>
      </c>
      <c r="V1823" s="1" t="s">
        <v>378</v>
      </c>
      <c r="W1823" s="1"/>
    </row>
    <row r="1824" spans="1:23" x14ac:dyDescent="0.2">
      <c r="A1824" s="88" t="s">
        <v>17091</v>
      </c>
      <c r="B1824" s="1" t="e">
        <v>#N/A</v>
      </c>
      <c r="C1824" s="1" t="s">
        <v>10345</v>
      </c>
      <c r="D1824" s="1" t="s">
        <v>4902</v>
      </c>
      <c r="E1824" s="1" t="s">
        <v>4903</v>
      </c>
      <c r="F1824" s="1" t="s">
        <v>9010</v>
      </c>
      <c r="G1824" s="1" t="s">
        <v>8957</v>
      </c>
      <c r="H1824" t="s">
        <v>9061</v>
      </c>
      <c r="I1824" s="1" t="s">
        <v>9252</v>
      </c>
      <c r="J1824" s="1" t="s">
        <v>9253</v>
      </c>
      <c r="K1824" s="1" t="s">
        <v>9036</v>
      </c>
      <c r="L1824" s="1" t="s">
        <v>9292</v>
      </c>
      <c r="M1824" s="1">
        <v>1024</v>
      </c>
      <c r="N1824" s="1" t="s">
        <v>8953</v>
      </c>
      <c r="O1824" s="1" t="s">
        <v>8954</v>
      </c>
      <c r="P1824" s="1" t="s">
        <v>8955</v>
      </c>
      <c r="Q1824" s="1" t="s">
        <v>8956</v>
      </c>
      <c r="R1824" s="1" t="s">
        <v>8957</v>
      </c>
      <c r="S1824" s="1" t="s">
        <v>8958</v>
      </c>
      <c r="T1824" s="1" t="s">
        <v>4904</v>
      </c>
      <c r="U1824" s="1" t="s">
        <v>17</v>
      </c>
      <c r="V1824" s="1" t="s">
        <v>93</v>
      </c>
      <c r="W1824" s="1"/>
    </row>
    <row r="1825" spans="1:23" x14ac:dyDescent="0.2">
      <c r="A1825" s="88" t="s">
        <v>17092</v>
      </c>
      <c r="B1825" s="1" t="e">
        <v>#N/A</v>
      </c>
      <c r="C1825" s="1" t="e">
        <v>#N/A</v>
      </c>
      <c r="D1825" s="1" t="s">
        <v>4905</v>
      </c>
      <c r="E1825" s="1" t="s">
        <v>4906</v>
      </c>
      <c r="F1825" s="1" t="s">
        <v>9310</v>
      </c>
      <c r="G1825" s="1" t="s">
        <v>8957</v>
      </c>
      <c r="H1825" t="s">
        <v>8959</v>
      </c>
      <c r="I1825" s="1" t="s">
        <v>9075</v>
      </c>
      <c r="J1825" s="1" t="s">
        <v>9101</v>
      </c>
      <c r="K1825" s="1" t="s">
        <v>10525</v>
      </c>
      <c r="L1825" s="1" t="s">
        <v>9133</v>
      </c>
      <c r="M1825" s="1">
        <v>141467</v>
      </c>
      <c r="N1825" s="1" t="s">
        <v>8953</v>
      </c>
      <c r="O1825" s="1" t="s">
        <v>8989</v>
      </c>
      <c r="P1825" s="1" t="e">
        <v>#N/A</v>
      </c>
      <c r="Q1825" s="1" t="e">
        <v>#N/A</v>
      </c>
      <c r="R1825" s="1">
        <f t="shared" ref="R1825:R1827" si="532">1+LEN(T1825)-LEN(SUBSTITUTE(T1825,",",))</f>
        <v>13</v>
      </c>
      <c r="S1825" s="1" t="str">
        <f t="shared" ref="S1825:S1827" si="533">IF(R1825&gt;4,IF(R1825&lt;8,"4-7",IF(R1825&gt;7,"&gt;7")),"&lt;4")</f>
        <v>&gt;7</v>
      </c>
      <c r="T1825" s="1" t="s">
        <v>19580</v>
      </c>
      <c r="U1825" s="1" t="s">
        <v>17</v>
      </c>
      <c r="V1825" s="1" t="s">
        <v>1076</v>
      </c>
      <c r="W1825" s="1"/>
    </row>
    <row r="1826" spans="1:23" x14ac:dyDescent="0.2">
      <c r="A1826" s="88" t="s">
        <v>17093</v>
      </c>
      <c r="B1826" s="1" t="e">
        <v>#N/A</v>
      </c>
      <c r="C1826" s="1" t="e">
        <v>#N/A</v>
      </c>
      <c r="D1826" s="1" t="s">
        <v>4907</v>
      </c>
      <c r="E1826" s="1" t="s">
        <v>4908</v>
      </c>
      <c r="F1826" s="1" t="s">
        <v>9310</v>
      </c>
      <c r="G1826" s="1" t="s">
        <v>8957</v>
      </c>
      <c r="H1826" t="s">
        <v>9061</v>
      </c>
      <c r="I1826" s="1" t="s">
        <v>9252</v>
      </c>
      <c r="J1826" s="1" t="s">
        <v>18504</v>
      </c>
      <c r="K1826" s="1" t="s">
        <v>21331</v>
      </c>
      <c r="L1826" s="1" t="s">
        <v>9076</v>
      </c>
      <c r="M1826" s="1">
        <v>10239</v>
      </c>
      <c r="N1826" s="1" t="s">
        <v>8953</v>
      </c>
      <c r="O1826" s="1" t="s">
        <v>8954</v>
      </c>
      <c r="P1826" s="1" t="e">
        <v>#N/A</v>
      </c>
      <c r="Q1826" s="1" t="e">
        <v>#N/A</v>
      </c>
      <c r="R1826" s="1">
        <f t="shared" si="532"/>
        <v>6</v>
      </c>
      <c r="S1826" s="1" t="str">
        <f t="shared" si="533"/>
        <v>4-7</v>
      </c>
      <c r="T1826" s="1" t="s">
        <v>19581</v>
      </c>
      <c r="U1826" s="1" t="s">
        <v>7</v>
      </c>
      <c r="V1826" s="1" t="s">
        <v>46</v>
      </c>
      <c r="W1826" s="1"/>
    </row>
    <row r="1827" spans="1:23" x14ac:dyDescent="0.2">
      <c r="A1827" s="88" t="s">
        <v>17094</v>
      </c>
      <c r="B1827" s="1" t="e">
        <v>#N/A</v>
      </c>
      <c r="C1827" s="1" t="e">
        <v>#N/A</v>
      </c>
      <c r="D1827" s="1" t="s">
        <v>4909</v>
      </c>
      <c r="E1827" s="1" t="s">
        <v>4910</v>
      </c>
      <c r="F1827" s="1" t="s">
        <v>9310</v>
      </c>
      <c r="G1827" s="1" t="s">
        <v>8957</v>
      </c>
      <c r="H1827" t="s">
        <v>8959</v>
      </c>
      <c r="I1827" s="1" t="s">
        <v>9154</v>
      </c>
      <c r="J1827" s="1" t="s">
        <v>8949</v>
      </c>
      <c r="K1827" s="1" t="s">
        <v>10492</v>
      </c>
      <c r="L1827" s="1" t="s">
        <v>8973</v>
      </c>
      <c r="M1827" s="1">
        <v>150</v>
      </c>
      <c r="N1827" s="1" t="s">
        <v>9059</v>
      </c>
      <c r="O1827" s="1" t="s">
        <v>8989</v>
      </c>
      <c r="P1827" s="1" t="e">
        <v>#N/A</v>
      </c>
      <c r="Q1827" s="1" t="e">
        <v>#N/A</v>
      </c>
      <c r="R1827" s="1">
        <f t="shared" si="532"/>
        <v>8</v>
      </c>
      <c r="S1827" s="1" t="str">
        <f t="shared" si="533"/>
        <v>&gt;7</v>
      </c>
      <c r="T1827" s="1" t="s">
        <v>19582</v>
      </c>
      <c r="U1827" s="1" t="s">
        <v>17</v>
      </c>
      <c r="V1827" s="1" t="s">
        <v>93</v>
      </c>
      <c r="W1827" s="1"/>
    </row>
    <row r="1828" spans="1:23" x14ac:dyDescent="0.2">
      <c r="A1828" s="88" t="s">
        <v>17095</v>
      </c>
      <c r="B1828" s="1" t="e">
        <v>#N/A</v>
      </c>
      <c r="C1828" s="1" t="s">
        <v>11461</v>
      </c>
      <c r="D1828" s="1" t="s">
        <v>4911</v>
      </c>
      <c r="E1828" s="1" t="s">
        <v>4912</v>
      </c>
      <c r="F1828" s="1" t="s">
        <v>9010</v>
      </c>
      <c r="G1828" s="1" t="s">
        <v>8957</v>
      </c>
      <c r="H1828" t="s">
        <v>9061</v>
      </c>
      <c r="I1828" s="1" t="s">
        <v>9100</v>
      </c>
      <c r="J1828" s="1" t="s">
        <v>8998</v>
      </c>
      <c r="K1828" s="1" t="s">
        <v>9036</v>
      </c>
      <c r="L1828" s="1" t="s">
        <v>8987</v>
      </c>
      <c r="M1828" s="1">
        <v>1018</v>
      </c>
      <c r="N1828" s="1" t="s">
        <v>8953</v>
      </c>
      <c r="O1828" s="1" t="s">
        <v>8954</v>
      </c>
      <c r="P1828" s="1" t="s">
        <v>8955</v>
      </c>
      <c r="Q1828" s="1" t="s">
        <v>8956</v>
      </c>
      <c r="R1828" s="1" t="s">
        <v>8957</v>
      </c>
      <c r="S1828" s="1" t="s">
        <v>9103</v>
      </c>
      <c r="T1828" s="1" t="s">
        <v>4913</v>
      </c>
      <c r="U1828" s="1" t="s">
        <v>11</v>
      </c>
      <c r="V1828" s="1" t="s">
        <v>93</v>
      </c>
      <c r="W1828" s="1"/>
    </row>
    <row r="1829" spans="1:23" x14ac:dyDescent="0.2">
      <c r="A1829" s="88" t="s">
        <v>17096</v>
      </c>
      <c r="B1829" s="1" t="e">
        <v>#N/A</v>
      </c>
      <c r="C1829" s="1" t="s">
        <v>9427</v>
      </c>
      <c r="D1829" s="1" t="s">
        <v>4914</v>
      </c>
      <c r="E1829" s="1" t="s">
        <v>4915</v>
      </c>
      <c r="F1829" s="1" t="s">
        <v>9010</v>
      </c>
      <c r="G1829" s="1" t="s">
        <v>8974</v>
      </c>
      <c r="H1829" t="s">
        <v>8959</v>
      </c>
      <c r="I1829" s="1" t="s">
        <v>9154</v>
      </c>
      <c r="J1829" s="1" t="s">
        <v>8971</v>
      </c>
      <c r="K1829" s="1" t="s">
        <v>9051</v>
      </c>
      <c r="L1829" s="1" t="s">
        <v>9133</v>
      </c>
      <c r="M1829" s="1">
        <v>103102</v>
      </c>
      <c r="N1829" s="1" t="s">
        <v>8953</v>
      </c>
      <c r="O1829" s="1" t="s">
        <v>8989</v>
      </c>
      <c r="P1829" s="1" t="s">
        <v>8955</v>
      </c>
      <c r="Q1829" s="1" t="s">
        <v>8956</v>
      </c>
      <c r="R1829" s="1" t="s">
        <v>8974</v>
      </c>
      <c r="S1829" s="1" t="s">
        <v>8958</v>
      </c>
      <c r="T1829" s="1" t="s">
        <v>4916</v>
      </c>
      <c r="U1829" s="1" t="s">
        <v>11</v>
      </c>
      <c r="V1829" s="1" t="s">
        <v>2819</v>
      </c>
      <c r="W1829" s="1"/>
    </row>
    <row r="1830" spans="1:23" x14ac:dyDescent="0.2">
      <c r="A1830" s="88" t="s">
        <v>17097</v>
      </c>
      <c r="B1830" s="1" t="e">
        <v>#N/A</v>
      </c>
      <c r="C1830" s="1" t="s">
        <v>14862</v>
      </c>
      <c r="D1830" s="1" t="s">
        <v>4917</v>
      </c>
      <c r="E1830" s="1" t="s">
        <v>4918</v>
      </c>
      <c r="F1830" s="1" t="s">
        <v>9010</v>
      </c>
      <c r="G1830" s="1" t="s">
        <v>8957</v>
      </c>
      <c r="H1830" t="s">
        <v>8959</v>
      </c>
      <c r="I1830" s="1" t="s">
        <v>9605</v>
      </c>
      <c r="J1830" s="1" t="s">
        <v>9101</v>
      </c>
      <c r="K1830" s="1" t="s">
        <v>9036</v>
      </c>
      <c r="L1830" s="1" t="s">
        <v>8951</v>
      </c>
      <c r="M1830" s="1">
        <v>2000</v>
      </c>
      <c r="N1830" s="1" t="s">
        <v>8953</v>
      </c>
      <c r="O1830" s="1" t="s">
        <v>8954</v>
      </c>
      <c r="P1830" s="1" t="s">
        <v>8955</v>
      </c>
      <c r="Q1830" s="1" t="s">
        <v>8956</v>
      </c>
      <c r="R1830" s="1" t="s">
        <v>8957</v>
      </c>
      <c r="S1830" s="1" t="s">
        <v>9103</v>
      </c>
      <c r="T1830" s="1" t="s">
        <v>4919</v>
      </c>
      <c r="U1830" s="1" t="s">
        <v>17</v>
      </c>
      <c r="V1830" s="1" t="s">
        <v>700</v>
      </c>
      <c r="W1830" s="1"/>
    </row>
    <row r="1831" spans="1:23" x14ac:dyDescent="0.2">
      <c r="A1831" s="89" t="s">
        <v>17098</v>
      </c>
      <c r="B1831" s="1" t="e">
        <v>#N/A</v>
      </c>
      <c r="C1831" s="1" t="e">
        <v>#N/A</v>
      </c>
      <c r="D1831" s="1" t="s">
        <v>4920</v>
      </c>
      <c r="E1831" s="1" t="s">
        <v>4921</v>
      </c>
      <c r="F1831" s="1" t="e">
        <v>#N/A</v>
      </c>
      <c r="G1831" s="1" t="e">
        <v>#N/A</v>
      </c>
      <c r="H1831" t="e">
        <v>#N/A</v>
      </c>
      <c r="I1831" s="1" t="e">
        <v>#N/A</v>
      </c>
      <c r="J1831" s="1" t="e">
        <v>#N/A</v>
      </c>
      <c r="K1831" s="1" t="e">
        <v>#N/A</v>
      </c>
      <c r="L1831" s="1" t="e">
        <v>#N/A</v>
      </c>
      <c r="M1831" s="1" t="e">
        <v>#N/A</v>
      </c>
      <c r="N1831" s="1" t="e">
        <v>#N/A</v>
      </c>
      <c r="O1831" s="1" t="e">
        <v>#N/A</v>
      </c>
      <c r="P1831" s="1" t="e">
        <v>#N/A</v>
      </c>
      <c r="Q1831" s="1" t="e">
        <v>#N/A</v>
      </c>
      <c r="R1831" s="1">
        <f t="shared" ref="R1831:R1832" si="534">1+LEN(T1831)-LEN(SUBSTITUTE(T1831,",",))</f>
        <v>5</v>
      </c>
      <c r="S1831" s="1" t="str">
        <f t="shared" ref="S1831:S1832" si="535">IF(R1831&gt;4,IF(R1831&lt;8,"4-7",IF(R1831&gt;7,"&gt;7")),"&lt;4")</f>
        <v>4-7</v>
      </c>
      <c r="T1831" s="1" t="s">
        <v>19583</v>
      </c>
      <c r="U1831" s="1" t="s">
        <v>11</v>
      </c>
      <c r="V1831" s="1" t="s">
        <v>4922</v>
      </c>
      <c r="W1831" s="1"/>
    </row>
    <row r="1832" spans="1:23" x14ac:dyDescent="0.2">
      <c r="A1832" s="88" t="s">
        <v>17099</v>
      </c>
      <c r="B1832" s="1" t="e">
        <v>#N/A</v>
      </c>
      <c r="C1832" s="1" t="e">
        <v>#N/A</v>
      </c>
      <c r="D1832" s="1" t="s">
        <v>4923</v>
      </c>
      <c r="E1832" s="1" t="s">
        <v>4924</v>
      </c>
      <c r="F1832" s="1" t="s">
        <v>9176</v>
      </c>
      <c r="G1832" s="1" t="s">
        <v>8959</v>
      </c>
      <c r="H1832" t="s">
        <v>8959</v>
      </c>
      <c r="I1832" s="1" t="s">
        <v>20714</v>
      </c>
      <c r="J1832" s="1" t="s">
        <v>20725</v>
      </c>
      <c r="K1832" s="1" t="s">
        <v>20779</v>
      </c>
      <c r="L1832" s="1" t="s">
        <v>8951</v>
      </c>
      <c r="M1832" s="1">
        <v>1110</v>
      </c>
      <c r="N1832" s="1" t="s">
        <v>8953</v>
      </c>
      <c r="O1832" s="1" t="s">
        <v>8989</v>
      </c>
      <c r="P1832" s="1" t="e">
        <v>#N/A</v>
      </c>
      <c r="Q1832" s="1" t="e">
        <v>#N/A</v>
      </c>
      <c r="R1832" s="1">
        <f t="shared" si="534"/>
        <v>6</v>
      </c>
      <c r="S1832" s="1" t="str">
        <f t="shared" si="535"/>
        <v>4-7</v>
      </c>
      <c r="T1832" s="1" t="s">
        <v>19584</v>
      </c>
      <c r="U1832" s="1" t="s">
        <v>17</v>
      </c>
      <c r="V1832" s="1" t="s">
        <v>110</v>
      </c>
      <c r="W1832" s="1"/>
    </row>
    <row r="1833" spans="1:23" x14ac:dyDescent="0.2">
      <c r="A1833" s="88" t="s">
        <v>17100</v>
      </c>
      <c r="B1833" s="1" t="e">
        <v>#N/A</v>
      </c>
      <c r="C1833" s="1" t="s">
        <v>10797</v>
      </c>
      <c r="D1833" s="1" t="s">
        <v>4925</v>
      </c>
      <c r="E1833" s="1" t="s">
        <v>4926</v>
      </c>
      <c r="F1833" s="1" t="s">
        <v>9636</v>
      </c>
      <c r="G1833" s="1" t="s">
        <v>8957</v>
      </c>
      <c r="H1833" t="s">
        <v>9009</v>
      </c>
      <c r="I1833" s="1" t="s">
        <v>9173</v>
      </c>
      <c r="J1833" s="1" t="s">
        <v>9174</v>
      </c>
      <c r="K1833" s="1" t="s">
        <v>10800</v>
      </c>
      <c r="L1833" s="1" t="s">
        <v>8987</v>
      </c>
      <c r="M1833" s="1">
        <v>2787</v>
      </c>
      <c r="N1833" s="1" t="s">
        <v>8953</v>
      </c>
      <c r="O1833" s="1" t="s">
        <v>8954</v>
      </c>
      <c r="P1833" s="1" t="s">
        <v>8955</v>
      </c>
      <c r="Q1833" s="1" t="s">
        <v>8956</v>
      </c>
      <c r="R1833" s="1" t="s">
        <v>8957</v>
      </c>
      <c r="S1833" s="1" t="s">
        <v>8958</v>
      </c>
      <c r="T1833" s="1" t="s">
        <v>4927</v>
      </c>
      <c r="U1833" s="1" t="s">
        <v>17</v>
      </c>
      <c r="V1833" s="1" t="s">
        <v>43</v>
      </c>
      <c r="W1833" s="1"/>
    </row>
    <row r="1834" spans="1:23" x14ac:dyDescent="0.2">
      <c r="A1834" s="88" t="s">
        <v>17101</v>
      </c>
      <c r="B1834" s="1" t="e">
        <v>#N/A</v>
      </c>
      <c r="C1834" s="1" t="e">
        <v>#N/A</v>
      </c>
      <c r="D1834" s="1" t="s">
        <v>4928</v>
      </c>
      <c r="E1834" s="1" t="s">
        <v>4929</v>
      </c>
      <c r="F1834" s="1" t="s">
        <v>9636</v>
      </c>
      <c r="G1834" s="1" t="s">
        <v>8957</v>
      </c>
      <c r="H1834" t="s">
        <v>9183</v>
      </c>
      <c r="I1834" s="1" t="s">
        <v>9173</v>
      </c>
      <c r="J1834" s="1" t="s">
        <v>9174</v>
      </c>
      <c r="K1834" s="1" t="s">
        <v>18497</v>
      </c>
      <c r="L1834" s="1" t="s">
        <v>8987</v>
      </c>
      <c r="M1834" s="1">
        <v>2912</v>
      </c>
      <c r="N1834" s="1" t="s">
        <v>8953</v>
      </c>
      <c r="O1834" s="1" t="s">
        <v>8954</v>
      </c>
      <c r="P1834" s="1" t="e">
        <v>#N/A</v>
      </c>
      <c r="Q1834" s="1" t="e">
        <v>#N/A</v>
      </c>
      <c r="R1834" s="1">
        <f t="shared" ref="R1834:R1835" si="536">1+LEN(T1834)-LEN(SUBSTITUTE(T1834,",",))</f>
        <v>6</v>
      </c>
      <c r="S1834" s="1" t="str">
        <f t="shared" ref="S1834:S1835" si="537">IF(R1834&gt;4,IF(R1834&lt;8,"4-7",IF(R1834&gt;7,"&gt;7")),"&lt;4")</f>
        <v>4-7</v>
      </c>
      <c r="T1834" s="1" t="s">
        <v>19585</v>
      </c>
      <c r="U1834" s="1" t="s">
        <v>7</v>
      </c>
      <c r="V1834" s="1" t="s">
        <v>184</v>
      </c>
      <c r="W1834" s="1"/>
    </row>
    <row r="1835" spans="1:23" x14ac:dyDescent="0.2">
      <c r="A1835" s="88" t="s">
        <v>17102</v>
      </c>
      <c r="B1835" s="1" t="e">
        <v>#N/A</v>
      </c>
      <c r="C1835" s="1" t="e">
        <v>#N/A</v>
      </c>
      <c r="D1835" s="1" t="s">
        <v>4930</v>
      </c>
      <c r="E1835" s="1" t="s">
        <v>4931</v>
      </c>
      <c r="F1835" s="1" t="s">
        <v>9636</v>
      </c>
      <c r="G1835" s="1" t="s">
        <v>8957</v>
      </c>
      <c r="H1835" t="s">
        <v>9183</v>
      </c>
      <c r="I1835" s="1" t="s">
        <v>9173</v>
      </c>
      <c r="J1835" s="1" t="s">
        <v>9174</v>
      </c>
      <c r="K1835" s="1" t="s">
        <v>21350</v>
      </c>
      <c r="L1835" s="1" t="s">
        <v>8987</v>
      </c>
      <c r="M1835" s="1">
        <v>2750</v>
      </c>
      <c r="N1835" s="1" t="s">
        <v>8953</v>
      </c>
      <c r="O1835" s="1" t="s">
        <v>8954</v>
      </c>
      <c r="P1835" s="1" t="e">
        <v>#N/A</v>
      </c>
      <c r="Q1835" s="1" t="e">
        <v>#N/A</v>
      </c>
      <c r="R1835" s="1">
        <f t="shared" si="536"/>
        <v>5</v>
      </c>
      <c r="S1835" s="1" t="str">
        <f t="shared" si="537"/>
        <v>4-7</v>
      </c>
      <c r="T1835" s="1" t="s">
        <v>20639</v>
      </c>
      <c r="U1835" s="1" t="s">
        <v>7</v>
      </c>
      <c r="V1835" s="1" t="s">
        <v>184</v>
      </c>
      <c r="W1835" s="1"/>
    </row>
    <row r="1836" spans="1:23" x14ac:dyDescent="0.2">
      <c r="A1836" s="88" t="s">
        <v>17103</v>
      </c>
      <c r="B1836" s="1" t="e">
        <v>#N/A</v>
      </c>
      <c r="C1836" s="1" t="s">
        <v>12010</v>
      </c>
      <c r="D1836" s="1" t="s">
        <v>4932</v>
      </c>
      <c r="E1836" s="1" t="s">
        <v>4933</v>
      </c>
      <c r="F1836" s="1" t="s">
        <v>9010</v>
      </c>
      <c r="G1836" s="1" t="s">
        <v>8959</v>
      </c>
      <c r="H1836" t="s">
        <v>8959</v>
      </c>
      <c r="I1836" s="1" t="s">
        <v>8984</v>
      </c>
      <c r="J1836" s="1" t="s">
        <v>9131</v>
      </c>
      <c r="K1836" s="1" t="s">
        <v>9051</v>
      </c>
      <c r="L1836" s="1" t="s">
        <v>8951</v>
      </c>
      <c r="M1836" s="1">
        <v>200000</v>
      </c>
      <c r="N1836" s="1" t="s">
        <v>8953</v>
      </c>
      <c r="O1836" s="1" t="s">
        <v>8954</v>
      </c>
      <c r="P1836" s="1" t="s">
        <v>8955</v>
      </c>
      <c r="Q1836" s="1" t="s">
        <v>8956</v>
      </c>
      <c r="R1836" s="1" t="s">
        <v>8959</v>
      </c>
      <c r="S1836" s="1" t="s">
        <v>9103</v>
      </c>
      <c r="T1836" s="1" t="s">
        <v>4934</v>
      </c>
      <c r="U1836" s="1" t="s">
        <v>11</v>
      </c>
      <c r="V1836" s="1" t="s">
        <v>61</v>
      </c>
      <c r="W1836" s="1"/>
    </row>
    <row r="1837" spans="1:23" x14ac:dyDescent="0.2">
      <c r="A1837" s="88" t="s">
        <v>17104</v>
      </c>
      <c r="B1837" s="1" t="e">
        <v>#N/A</v>
      </c>
      <c r="C1837" s="1" t="s">
        <v>11693</v>
      </c>
      <c r="D1837" s="1" t="s">
        <v>4935</v>
      </c>
      <c r="E1837" s="1" t="s">
        <v>4936</v>
      </c>
      <c r="F1837" s="1" t="s">
        <v>9010</v>
      </c>
      <c r="G1837" s="1" t="s">
        <v>8959</v>
      </c>
      <c r="H1837" t="s">
        <v>8959</v>
      </c>
      <c r="I1837" s="1" t="s">
        <v>9100</v>
      </c>
      <c r="J1837" s="1" t="s">
        <v>9131</v>
      </c>
      <c r="K1837" s="1" t="s">
        <v>9051</v>
      </c>
      <c r="L1837" s="1" t="s">
        <v>8951</v>
      </c>
      <c r="M1837" s="1">
        <v>200000</v>
      </c>
      <c r="N1837" s="1" t="s">
        <v>8953</v>
      </c>
      <c r="O1837" s="1" t="s">
        <v>8989</v>
      </c>
      <c r="P1837" s="1" t="s">
        <v>8955</v>
      </c>
      <c r="Q1837" s="1" t="s">
        <v>8956</v>
      </c>
      <c r="R1837" s="1" t="s">
        <v>8959</v>
      </c>
      <c r="S1837" s="1" t="s">
        <v>8958</v>
      </c>
      <c r="T1837" s="1" t="s">
        <v>4937</v>
      </c>
      <c r="U1837" s="1" t="s">
        <v>11</v>
      </c>
      <c r="V1837" s="1" t="s">
        <v>378</v>
      </c>
      <c r="W1837" s="1"/>
    </row>
    <row r="1838" spans="1:23" x14ac:dyDescent="0.2">
      <c r="A1838" s="88" t="s">
        <v>17105</v>
      </c>
      <c r="B1838" s="1" t="e">
        <v>#N/A</v>
      </c>
      <c r="C1838" s="1" t="s">
        <v>12055</v>
      </c>
      <c r="D1838" s="1" t="s">
        <v>4938</v>
      </c>
      <c r="E1838" s="1" t="s">
        <v>4939</v>
      </c>
      <c r="F1838" s="1" t="s">
        <v>9010</v>
      </c>
      <c r="G1838" s="1" t="s">
        <v>8957</v>
      </c>
      <c r="H1838" t="s">
        <v>9061</v>
      </c>
      <c r="I1838" s="1" t="s">
        <v>9075</v>
      </c>
      <c r="J1838" s="1" t="s">
        <v>9131</v>
      </c>
      <c r="K1838" s="1" t="s">
        <v>9036</v>
      </c>
      <c r="L1838" s="1" t="s">
        <v>9076</v>
      </c>
      <c r="M1838" s="1">
        <v>200000</v>
      </c>
      <c r="N1838" s="1" t="s">
        <v>8953</v>
      </c>
      <c r="O1838" s="1" t="s">
        <v>8989</v>
      </c>
      <c r="P1838" s="1" t="s">
        <v>8955</v>
      </c>
      <c r="Q1838" s="1" t="s">
        <v>8956</v>
      </c>
      <c r="R1838" s="1" t="s">
        <v>8957</v>
      </c>
      <c r="S1838" s="1" t="s">
        <v>9103</v>
      </c>
      <c r="T1838" s="1" t="s">
        <v>4940</v>
      </c>
      <c r="U1838" s="1" t="s">
        <v>11</v>
      </c>
      <c r="V1838" s="1" t="s">
        <v>126</v>
      </c>
      <c r="W1838" s="1"/>
    </row>
    <row r="1839" spans="1:23" x14ac:dyDescent="0.2">
      <c r="A1839" s="89" t="s">
        <v>17106</v>
      </c>
      <c r="B1839" s="1" t="e">
        <v>#N/A</v>
      </c>
      <c r="C1839" s="1" t="e">
        <v>#N/A</v>
      </c>
      <c r="D1839" s="1" t="s">
        <v>4941</v>
      </c>
      <c r="E1839" s="1" t="s">
        <v>4942</v>
      </c>
      <c r="F1839" s="1" t="e">
        <v>#N/A</v>
      </c>
      <c r="G1839" s="1" t="e">
        <v>#N/A</v>
      </c>
      <c r="H1839" t="e">
        <v>#N/A</v>
      </c>
      <c r="I1839" s="1" t="e">
        <v>#N/A</v>
      </c>
      <c r="J1839" s="1" t="e">
        <v>#N/A</v>
      </c>
      <c r="K1839" s="1" t="e">
        <v>#N/A</v>
      </c>
      <c r="L1839" s="1" t="e">
        <v>#N/A</v>
      </c>
      <c r="M1839" s="1" t="e">
        <v>#N/A</v>
      </c>
      <c r="N1839" s="1" t="e">
        <v>#N/A</v>
      </c>
      <c r="O1839" s="1" t="e">
        <v>#N/A</v>
      </c>
      <c r="P1839" s="1" t="e">
        <v>#N/A</v>
      </c>
      <c r="Q1839" s="1" t="e">
        <v>#N/A</v>
      </c>
      <c r="R1839" s="1">
        <f t="shared" ref="R1839:R1842" si="538">1+LEN(T1839)-LEN(SUBSTITUTE(T1839,",",))</f>
        <v>4</v>
      </c>
      <c r="S1839" s="1" t="str">
        <f t="shared" ref="S1839:S1842" si="539">IF(R1839&gt;4,IF(R1839&lt;8,"4-7",IF(R1839&gt;7,"&gt;7")),"&lt;4")</f>
        <v>&lt;4</v>
      </c>
      <c r="T1839" s="1" t="s">
        <v>19586</v>
      </c>
      <c r="U1839" s="1" t="s">
        <v>11</v>
      </c>
      <c r="V1839" s="1" t="s">
        <v>2204</v>
      </c>
      <c r="W1839" s="1"/>
    </row>
    <row r="1840" spans="1:23" x14ac:dyDescent="0.2">
      <c r="A1840" s="88" t="s">
        <v>17107</v>
      </c>
      <c r="B1840" s="1" t="e">
        <v>#N/A</v>
      </c>
      <c r="C1840" s="1" t="e">
        <v>#N/A</v>
      </c>
      <c r="D1840" s="1" t="s">
        <v>4943</v>
      </c>
      <c r="E1840" s="1" t="s">
        <v>4944</v>
      </c>
      <c r="F1840" s="1" t="s">
        <v>20882</v>
      </c>
      <c r="G1840" s="1" t="s">
        <v>8959</v>
      </c>
      <c r="H1840" t="s">
        <v>8959</v>
      </c>
      <c r="I1840" s="1" t="s">
        <v>9035</v>
      </c>
      <c r="J1840" s="1" t="s">
        <v>9308</v>
      </c>
      <c r="K1840" s="1" t="s">
        <v>20779</v>
      </c>
      <c r="L1840" s="1" t="s">
        <v>8951</v>
      </c>
      <c r="M1840" s="1">
        <f>305+5856</f>
        <v>6161</v>
      </c>
      <c r="N1840" s="1" t="s">
        <v>8953</v>
      </c>
      <c r="O1840" s="1" t="s">
        <v>8954</v>
      </c>
      <c r="P1840" s="1" t="e">
        <v>#N/A</v>
      </c>
      <c r="Q1840" s="1" t="e">
        <v>#N/A</v>
      </c>
      <c r="R1840" s="1">
        <f t="shared" si="538"/>
        <v>3</v>
      </c>
      <c r="S1840" s="1" t="str">
        <f t="shared" si="539"/>
        <v>&lt;4</v>
      </c>
      <c r="T1840" s="1" t="s">
        <v>19587</v>
      </c>
      <c r="U1840" s="1" t="s">
        <v>7</v>
      </c>
      <c r="V1840" s="1" t="s">
        <v>74</v>
      </c>
      <c r="W1840" s="1"/>
    </row>
    <row r="1841" spans="1:23" x14ac:dyDescent="0.2">
      <c r="A1841" s="89" t="s">
        <v>4945</v>
      </c>
      <c r="B1841" s="1" t="e">
        <v>#N/A</v>
      </c>
      <c r="C1841" s="1" t="e">
        <v>#N/A</v>
      </c>
      <c r="D1841" s="1" t="s">
        <v>4946</v>
      </c>
      <c r="E1841" s="1" t="s">
        <v>4947</v>
      </c>
      <c r="F1841" s="1" t="e">
        <v>#N/A</v>
      </c>
      <c r="G1841" s="1" t="e">
        <v>#N/A</v>
      </c>
      <c r="H1841" t="e">
        <v>#N/A</v>
      </c>
      <c r="I1841" s="1" t="e">
        <v>#N/A</v>
      </c>
      <c r="J1841" s="1" t="e">
        <v>#N/A</v>
      </c>
      <c r="K1841" s="1" t="e">
        <v>#N/A</v>
      </c>
      <c r="L1841" s="1" t="e">
        <v>#N/A</v>
      </c>
      <c r="M1841" s="1" t="e">
        <v>#N/A</v>
      </c>
      <c r="N1841" s="1" t="e">
        <v>#N/A</v>
      </c>
      <c r="O1841" s="1" t="e">
        <v>#N/A</v>
      </c>
      <c r="P1841" s="1" t="e">
        <v>#N/A</v>
      </c>
      <c r="Q1841" s="1" t="e">
        <v>#N/A</v>
      </c>
      <c r="R1841" s="1">
        <f t="shared" si="538"/>
        <v>4</v>
      </c>
      <c r="S1841" s="1" t="str">
        <f t="shared" si="539"/>
        <v>&lt;4</v>
      </c>
      <c r="T1841" s="1" t="s">
        <v>19588</v>
      </c>
      <c r="U1841" s="1" t="s">
        <v>17</v>
      </c>
      <c r="V1841" s="1" t="s">
        <v>857</v>
      </c>
      <c r="W1841" s="1"/>
    </row>
    <row r="1842" spans="1:23" x14ac:dyDescent="0.2">
      <c r="A1842" s="88" t="s">
        <v>20883</v>
      </c>
      <c r="B1842" s="1" t="e">
        <v>#N/A</v>
      </c>
      <c r="C1842" s="1" t="e">
        <v>#N/A</v>
      </c>
      <c r="D1842" s="1" t="s">
        <v>4948</v>
      </c>
      <c r="E1842" s="1" t="s">
        <v>4949</v>
      </c>
      <c r="F1842" s="1" t="s">
        <v>18502</v>
      </c>
      <c r="G1842" s="1" t="s">
        <v>8959</v>
      </c>
      <c r="H1842" t="s">
        <v>8959</v>
      </c>
      <c r="I1842" s="1" t="s">
        <v>9035</v>
      </c>
      <c r="J1842" s="1" t="s">
        <v>9308</v>
      </c>
      <c r="K1842" s="1" t="s">
        <v>20850</v>
      </c>
      <c r="L1842" s="1" t="s">
        <v>8951</v>
      </c>
      <c r="M1842" s="1">
        <v>759611</v>
      </c>
      <c r="N1842" s="1" t="s">
        <v>8953</v>
      </c>
      <c r="O1842" s="1" t="s">
        <v>8954</v>
      </c>
      <c r="P1842" s="1" t="e">
        <v>#N/A</v>
      </c>
      <c r="Q1842" s="1" t="e">
        <v>#N/A</v>
      </c>
      <c r="R1842" s="1">
        <f t="shared" si="538"/>
        <v>14</v>
      </c>
      <c r="S1842" s="1" t="str">
        <f t="shared" si="539"/>
        <v>&gt;7</v>
      </c>
      <c r="T1842" s="1" t="s">
        <v>19589</v>
      </c>
      <c r="U1842" s="1" t="s">
        <v>7</v>
      </c>
      <c r="V1842" s="1" t="s">
        <v>180</v>
      </c>
      <c r="W1842" s="1"/>
    </row>
    <row r="1843" spans="1:23" x14ac:dyDescent="0.2">
      <c r="A1843" s="88" t="s">
        <v>17108</v>
      </c>
      <c r="B1843" s="1" t="e">
        <v>#N/A</v>
      </c>
      <c r="C1843" s="1" t="s">
        <v>14751</v>
      </c>
      <c r="D1843" s="1" t="s">
        <v>4950</v>
      </c>
      <c r="E1843" s="1" t="s">
        <v>4951</v>
      </c>
      <c r="F1843" s="1" t="s">
        <v>9333</v>
      </c>
      <c r="G1843" s="1" t="s">
        <v>8959</v>
      </c>
      <c r="H1843" t="s">
        <v>9183</v>
      </c>
      <c r="I1843" s="1" t="s">
        <v>9605</v>
      </c>
      <c r="J1843" s="1" t="s">
        <v>8949</v>
      </c>
      <c r="K1843" s="1" t="s">
        <v>9036</v>
      </c>
      <c r="L1843" s="1" t="s">
        <v>8987</v>
      </c>
      <c r="M1843" s="1">
        <v>31861</v>
      </c>
      <c r="N1843" s="1" t="s">
        <v>8953</v>
      </c>
      <c r="O1843" s="1" t="s">
        <v>8989</v>
      </c>
      <c r="P1843" s="1" t="s">
        <v>8955</v>
      </c>
      <c r="Q1843" s="1" t="s">
        <v>8956</v>
      </c>
      <c r="R1843" s="1" t="s">
        <v>8959</v>
      </c>
      <c r="S1843" s="1" t="s">
        <v>8975</v>
      </c>
      <c r="T1843" s="1" t="s">
        <v>4952</v>
      </c>
      <c r="U1843" s="1" t="s">
        <v>7</v>
      </c>
      <c r="V1843" s="1" t="s">
        <v>4953</v>
      </c>
      <c r="W1843" s="1"/>
    </row>
    <row r="1844" spans="1:23" x14ac:dyDescent="0.2">
      <c r="A1844" s="88" t="s">
        <v>17109</v>
      </c>
      <c r="B1844" s="1" t="e">
        <v>#N/A</v>
      </c>
      <c r="C1844" s="1" t="e">
        <v>#N/A</v>
      </c>
      <c r="D1844" s="1" t="s">
        <v>4954</v>
      </c>
      <c r="E1844" s="1" t="s">
        <v>4955</v>
      </c>
      <c r="F1844" s="1" t="s">
        <v>20834</v>
      </c>
      <c r="G1844" s="1" t="s">
        <v>8957</v>
      </c>
      <c r="H1844" t="s">
        <v>8959</v>
      </c>
      <c r="I1844" s="1" t="s">
        <v>8948</v>
      </c>
      <c r="J1844" s="1" t="s">
        <v>9101</v>
      </c>
      <c r="K1844" s="1" t="s">
        <v>10492</v>
      </c>
      <c r="L1844" s="1" t="s">
        <v>9076</v>
      </c>
      <c r="M1844" s="1">
        <v>2254</v>
      </c>
      <c r="N1844" s="1" t="s">
        <v>8953</v>
      </c>
      <c r="O1844" s="1" t="s">
        <v>8989</v>
      </c>
      <c r="P1844" s="1" t="e">
        <v>#N/A</v>
      </c>
      <c r="Q1844" s="1" t="e">
        <v>#N/A</v>
      </c>
      <c r="R1844" s="1">
        <f t="shared" ref="R1844:R1847" si="540">1+LEN(T1844)-LEN(SUBSTITUTE(T1844,",",))</f>
        <v>6</v>
      </c>
      <c r="S1844" s="1" t="str">
        <f t="shared" ref="S1844:S1847" si="541">IF(R1844&gt;4,IF(R1844&lt;8,"4-7",IF(R1844&gt;7,"&gt;7")),"&lt;4")</f>
        <v>4-7</v>
      </c>
      <c r="T1844" s="1" t="s">
        <v>19590</v>
      </c>
      <c r="U1844" s="1" t="s">
        <v>7</v>
      </c>
      <c r="V1844" s="1" t="s">
        <v>316</v>
      </c>
      <c r="W1844" s="1"/>
    </row>
    <row r="1845" spans="1:23" x14ac:dyDescent="0.2">
      <c r="A1845" s="88" t="s">
        <v>17110</v>
      </c>
      <c r="B1845" s="1" t="e">
        <v>#N/A</v>
      </c>
      <c r="C1845" s="1" t="e">
        <v>#N/A</v>
      </c>
      <c r="D1845" s="1" t="s">
        <v>4956</v>
      </c>
      <c r="E1845" s="1" t="s">
        <v>4957</v>
      </c>
      <c r="F1845" s="1" t="s">
        <v>9213</v>
      </c>
      <c r="G1845" s="1" t="s">
        <v>8957</v>
      </c>
      <c r="H1845" t="s">
        <v>8959</v>
      </c>
      <c r="I1845" s="1" t="s">
        <v>9092</v>
      </c>
      <c r="J1845" s="1" t="s">
        <v>8998</v>
      </c>
      <c r="K1845" s="1" t="s">
        <v>20785</v>
      </c>
      <c r="L1845" s="1" t="s">
        <v>8973</v>
      </c>
      <c r="M1845" s="1">
        <v>8040</v>
      </c>
      <c r="N1845" s="1" t="s">
        <v>8953</v>
      </c>
      <c r="O1845" s="1" t="s">
        <v>8954</v>
      </c>
      <c r="P1845" s="1" t="e">
        <v>#N/A</v>
      </c>
      <c r="Q1845" s="1" t="e">
        <v>#N/A</v>
      </c>
      <c r="R1845" s="1">
        <f t="shared" si="540"/>
        <v>2</v>
      </c>
      <c r="S1845" s="1" t="str">
        <f t="shared" si="541"/>
        <v>&lt;4</v>
      </c>
      <c r="T1845" s="1" t="s">
        <v>19591</v>
      </c>
      <c r="U1845" s="1" t="s">
        <v>7</v>
      </c>
      <c r="V1845" s="1" t="s">
        <v>46</v>
      </c>
      <c r="W1845" s="1"/>
    </row>
    <row r="1846" spans="1:23" x14ac:dyDescent="0.2">
      <c r="A1846" s="88" t="s">
        <v>17111</v>
      </c>
      <c r="B1846" s="1" t="e">
        <v>#N/A</v>
      </c>
      <c r="C1846" s="1" t="e">
        <v>#N/A</v>
      </c>
      <c r="D1846" s="1" t="s">
        <v>4958</v>
      </c>
      <c r="E1846" s="1" t="s">
        <v>4959</v>
      </c>
      <c r="F1846" s="1" t="s">
        <v>9176</v>
      </c>
      <c r="G1846" s="1" t="s">
        <v>8959</v>
      </c>
      <c r="H1846" t="s">
        <v>8959</v>
      </c>
      <c r="I1846" s="1" t="s">
        <v>9252</v>
      </c>
      <c r="J1846" s="1" t="s">
        <v>18504</v>
      </c>
      <c r="K1846" s="1" t="s">
        <v>21282</v>
      </c>
      <c r="L1846" s="1" t="s">
        <v>8951</v>
      </c>
      <c r="M1846" s="1">
        <f>10106+224+147+1417</f>
        <v>11894</v>
      </c>
      <c r="N1846" s="1" t="s">
        <v>8953</v>
      </c>
      <c r="O1846" s="1" t="s">
        <v>8954</v>
      </c>
      <c r="P1846" s="1" t="e">
        <v>#N/A</v>
      </c>
      <c r="Q1846" s="1" t="e">
        <v>#N/A</v>
      </c>
      <c r="R1846" s="1">
        <f t="shared" si="540"/>
        <v>3</v>
      </c>
      <c r="S1846" s="1" t="str">
        <f t="shared" si="541"/>
        <v>&lt;4</v>
      </c>
      <c r="T1846" s="1" t="s">
        <v>19592</v>
      </c>
      <c r="U1846" s="1" t="s">
        <v>17</v>
      </c>
      <c r="V1846" s="1" t="s">
        <v>87</v>
      </c>
      <c r="W1846" s="1"/>
    </row>
    <row r="1847" spans="1:23" x14ac:dyDescent="0.2">
      <c r="A1847" s="88" t="s">
        <v>17112</v>
      </c>
      <c r="B1847" s="1" t="e">
        <v>#N/A</v>
      </c>
      <c r="C1847" s="1" t="e">
        <v>#N/A</v>
      </c>
      <c r="D1847" s="1" t="s">
        <v>4960</v>
      </c>
      <c r="E1847" s="1" t="s">
        <v>4961</v>
      </c>
      <c r="F1847" s="1" t="s">
        <v>9465</v>
      </c>
      <c r="G1847" s="1" t="s">
        <v>20884</v>
      </c>
      <c r="H1847" t="s">
        <v>8959</v>
      </c>
      <c r="I1847" s="1" t="s">
        <v>20714</v>
      </c>
      <c r="J1847" s="1" t="s">
        <v>20725</v>
      </c>
      <c r="K1847" s="1" t="s">
        <v>10492</v>
      </c>
      <c r="L1847" s="1" t="s">
        <v>8973</v>
      </c>
      <c r="M1847" s="1">
        <v>6210</v>
      </c>
      <c r="N1847" s="1" t="s">
        <v>8953</v>
      </c>
      <c r="O1847" s="1" t="s">
        <v>8954</v>
      </c>
      <c r="P1847" s="1" t="e">
        <v>#N/A</v>
      </c>
      <c r="Q1847" s="1" t="e">
        <v>#N/A</v>
      </c>
      <c r="R1847" s="1">
        <f t="shared" si="540"/>
        <v>16</v>
      </c>
      <c r="S1847" s="1" t="str">
        <f t="shared" si="541"/>
        <v>&gt;7</v>
      </c>
      <c r="T1847" s="1" t="s">
        <v>19593</v>
      </c>
      <c r="U1847" s="1" t="s">
        <v>17</v>
      </c>
      <c r="V1847" s="1" t="s">
        <v>110</v>
      </c>
      <c r="W1847" s="1"/>
    </row>
    <row r="1848" spans="1:23" x14ac:dyDescent="0.2">
      <c r="A1848" s="89" t="s">
        <v>4962</v>
      </c>
      <c r="B1848" s="1" t="e">
        <v>#N/A</v>
      </c>
      <c r="C1848" s="1" t="s">
        <v>11613</v>
      </c>
      <c r="D1848" s="1" t="s">
        <v>4963</v>
      </c>
      <c r="E1848" s="1" t="s">
        <v>4964</v>
      </c>
      <c r="F1848" s="1" t="s">
        <v>11617</v>
      </c>
      <c r="G1848" s="1" t="s">
        <v>8957</v>
      </c>
      <c r="H1848" t="s">
        <v>9183</v>
      </c>
      <c r="I1848" s="1" t="s">
        <v>9252</v>
      </c>
      <c r="J1848" s="1" t="s">
        <v>9308</v>
      </c>
      <c r="K1848" s="1" t="s">
        <v>11616</v>
      </c>
      <c r="L1848" s="1" t="s">
        <v>8951</v>
      </c>
      <c r="M1848" s="1">
        <v>20</v>
      </c>
      <c r="N1848" s="1" t="s">
        <v>8953</v>
      </c>
      <c r="O1848" s="1" t="s">
        <v>8989</v>
      </c>
      <c r="P1848" s="1" t="s">
        <v>8955</v>
      </c>
      <c r="Q1848" s="1" t="s">
        <v>8956</v>
      </c>
      <c r="R1848" s="1" t="s">
        <v>8957</v>
      </c>
      <c r="S1848" s="1" t="s">
        <v>8958</v>
      </c>
      <c r="T1848" s="1" t="s">
        <v>4965</v>
      </c>
      <c r="U1848" s="1" t="s">
        <v>11</v>
      </c>
      <c r="V1848" s="1" t="s">
        <v>210</v>
      </c>
      <c r="W1848" s="1"/>
    </row>
    <row r="1849" spans="1:23" x14ac:dyDescent="0.2">
      <c r="A1849" s="88" t="s">
        <v>17113</v>
      </c>
      <c r="B1849" s="1" t="e">
        <v>#N/A</v>
      </c>
      <c r="C1849" s="1" t="e">
        <v>#N/A</v>
      </c>
      <c r="D1849" s="1" t="s">
        <v>4966</v>
      </c>
      <c r="E1849" s="1" t="s">
        <v>4967</v>
      </c>
      <c r="F1849" s="1" t="s">
        <v>9310</v>
      </c>
      <c r="G1849" s="1" t="s">
        <v>8959</v>
      </c>
      <c r="H1849" t="s">
        <v>8959</v>
      </c>
      <c r="I1849" s="1" t="s">
        <v>8984</v>
      </c>
      <c r="J1849" s="1" t="s">
        <v>8998</v>
      </c>
      <c r="K1849" s="1" t="s">
        <v>21428</v>
      </c>
      <c r="L1849" s="1" t="s">
        <v>8973</v>
      </c>
      <c r="M1849" s="1">
        <v>82</v>
      </c>
      <c r="N1849" s="1" t="s">
        <v>8953</v>
      </c>
      <c r="O1849" s="1" t="s">
        <v>8989</v>
      </c>
      <c r="P1849" s="1" t="e">
        <v>#N/A</v>
      </c>
      <c r="Q1849" s="1" t="e">
        <v>#N/A</v>
      </c>
      <c r="R1849" s="1">
        <f>1+LEN(T1849)-LEN(SUBSTITUTE(T1849,",",))</f>
        <v>5</v>
      </c>
      <c r="S1849" s="1" t="str">
        <f>IF(R1849&gt;4,IF(R1849&lt;8,"4-7",IF(R1849&gt;7,"&gt;7")),"&lt;4")</f>
        <v>4-7</v>
      </c>
      <c r="T1849" s="1" t="s">
        <v>19594</v>
      </c>
      <c r="U1849" s="1" t="s">
        <v>17</v>
      </c>
      <c r="V1849" s="1" t="s">
        <v>61</v>
      </c>
      <c r="W1849" s="1"/>
    </row>
    <row r="1850" spans="1:23" x14ac:dyDescent="0.2">
      <c r="A1850" s="88" t="s">
        <v>17114</v>
      </c>
      <c r="B1850" s="1" t="e">
        <v>#N/A</v>
      </c>
      <c r="C1850" s="1" t="s">
        <v>12998</v>
      </c>
      <c r="D1850" s="1" t="s">
        <v>4968</v>
      </c>
      <c r="E1850" s="1" t="s">
        <v>4969</v>
      </c>
      <c r="F1850" s="1" t="s">
        <v>9465</v>
      </c>
      <c r="G1850" s="1" t="s">
        <v>8959</v>
      </c>
      <c r="H1850" t="s">
        <v>9061</v>
      </c>
      <c r="I1850" s="1" t="s">
        <v>9154</v>
      </c>
      <c r="J1850" s="1" t="s">
        <v>8998</v>
      </c>
      <c r="K1850" s="1" t="s">
        <v>9102</v>
      </c>
      <c r="L1850" s="1" t="s">
        <v>8987</v>
      </c>
      <c r="M1850" s="1">
        <v>87</v>
      </c>
      <c r="N1850" s="1" t="s">
        <v>9059</v>
      </c>
      <c r="O1850" s="1" t="s">
        <v>8989</v>
      </c>
      <c r="P1850" s="1" t="s">
        <v>8955</v>
      </c>
      <c r="Q1850" s="1" t="s">
        <v>8956</v>
      </c>
      <c r="R1850" s="1" t="s">
        <v>8959</v>
      </c>
      <c r="S1850" s="1" t="s">
        <v>8958</v>
      </c>
      <c r="T1850" s="1" t="s">
        <v>4970</v>
      </c>
      <c r="U1850" s="1" t="s">
        <v>11</v>
      </c>
      <c r="V1850" s="1" t="s">
        <v>666</v>
      </c>
      <c r="W1850" s="1"/>
    </row>
    <row r="1851" spans="1:23" x14ac:dyDescent="0.2">
      <c r="A1851" s="88" t="s">
        <v>17115</v>
      </c>
      <c r="B1851" s="1" t="e">
        <v>#N/A</v>
      </c>
      <c r="C1851" s="1" t="e">
        <v>#N/A</v>
      </c>
      <c r="D1851" s="1" t="s">
        <v>4971</v>
      </c>
      <c r="E1851" s="1" t="s">
        <v>4972</v>
      </c>
      <c r="F1851" s="1" t="s">
        <v>20885</v>
      </c>
      <c r="G1851" s="1" t="s">
        <v>8974</v>
      </c>
      <c r="H1851" t="s">
        <v>8959</v>
      </c>
      <c r="I1851" s="1" t="s">
        <v>20712</v>
      </c>
      <c r="J1851" s="1" t="s">
        <v>9308</v>
      </c>
      <c r="K1851" s="1" t="s">
        <v>21212</v>
      </c>
      <c r="L1851" s="1" t="s">
        <v>9464</v>
      </c>
      <c r="M1851" s="1">
        <f>247+138+662</f>
        <v>1047</v>
      </c>
      <c r="N1851" s="1" t="s">
        <v>8953</v>
      </c>
      <c r="O1851" s="1" t="s">
        <v>8954</v>
      </c>
      <c r="P1851" s="1" t="e">
        <v>#N/A</v>
      </c>
      <c r="Q1851" s="1" t="e">
        <v>#N/A</v>
      </c>
      <c r="R1851" s="1">
        <f>1+LEN(T1851)-LEN(SUBSTITUTE(T1851,",",))</f>
        <v>3</v>
      </c>
      <c r="S1851" s="1" t="str">
        <f>IF(R1851&gt;4,IF(R1851&lt;8,"4-7",IF(R1851&gt;7,"&gt;7")),"&lt;4")</f>
        <v>&lt;4</v>
      </c>
      <c r="T1851" s="1" t="s">
        <v>19595</v>
      </c>
      <c r="U1851" s="1" t="s">
        <v>7</v>
      </c>
      <c r="V1851" s="1" t="s">
        <v>342</v>
      </c>
      <c r="W1851" s="1"/>
    </row>
    <row r="1852" spans="1:23" x14ac:dyDescent="0.2">
      <c r="A1852" s="88" t="s">
        <v>17116</v>
      </c>
      <c r="B1852" s="1" t="e">
        <v>#N/A</v>
      </c>
      <c r="C1852" s="1" t="s">
        <v>14409</v>
      </c>
      <c r="D1852" s="1" t="s">
        <v>4973</v>
      </c>
      <c r="E1852" s="1" t="s">
        <v>4974</v>
      </c>
      <c r="F1852" s="1" t="s">
        <v>9010</v>
      </c>
      <c r="G1852" s="1" t="s">
        <v>8957</v>
      </c>
      <c r="H1852" t="s">
        <v>8959</v>
      </c>
      <c r="I1852" s="1" t="s">
        <v>9049</v>
      </c>
      <c r="J1852" s="1" t="s">
        <v>8949</v>
      </c>
      <c r="K1852" s="1" t="s">
        <v>21467</v>
      </c>
      <c r="L1852" s="1" t="s">
        <v>8973</v>
      </c>
      <c r="M1852" s="1">
        <v>165</v>
      </c>
      <c r="N1852" s="1" t="s">
        <v>9059</v>
      </c>
      <c r="O1852" s="1" t="s">
        <v>8989</v>
      </c>
      <c r="P1852" s="1" t="s">
        <v>8955</v>
      </c>
      <c r="Q1852" s="1" t="s">
        <v>8956</v>
      </c>
      <c r="R1852" s="1" t="s">
        <v>8957</v>
      </c>
      <c r="S1852" s="1" t="s">
        <v>8958</v>
      </c>
      <c r="T1852" s="1" t="s">
        <v>4975</v>
      </c>
      <c r="U1852" s="1" t="s">
        <v>242</v>
      </c>
      <c r="V1852" s="1" t="s">
        <v>61</v>
      </c>
      <c r="W1852" s="1"/>
    </row>
    <row r="1853" spans="1:23" x14ac:dyDescent="0.2">
      <c r="A1853" s="88" t="s">
        <v>17117</v>
      </c>
      <c r="B1853" s="1" t="e">
        <v>#N/A</v>
      </c>
      <c r="C1853" s="1" t="s">
        <v>13834</v>
      </c>
      <c r="D1853" s="1" t="s">
        <v>4976</v>
      </c>
      <c r="E1853" s="1" t="s">
        <v>4977</v>
      </c>
      <c r="F1853" s="1" t="s">
        <v>9010</v>
      </c>
      <c r="G1853" s="1" t="s">
        <v>8957</v>
      </c>
      <c r="H1853" t="s">
        <v>9009</v>
      </c>
      <c r="I1853" s="1" t="s">
        <v>9035</v>
      </c>
      <c r="J1853" s="1" t="s">
        <v>8998</v>
      </c>
      <c r="K1853" s="1" t="s">
        <v>21462</v>
      </c>
      <c r="L1853" s="1" t="s">
        <v>8973</v>
      </c>
      <c r="M1853" s="1">
        <v>314</v>
      </c>
      <c r="N1853" s="1" t="s">
        <v>9059</v>
      </c>
      <c r="O1853" s="1" t="s">
        <v>8989</v>
      </c>
      <c r="P1853" s="1" t="s">
        <v>8955</v>
      </c>
      <c r="Q1853" s="1" t="s">
        <v>8956</v>
      </c>
      <c r="R1853" s="1" t="s">
        <v>8957</v>
      </c>
      <c r="S1853" s="1" t="s">
        <v>8958</v>
      </c>
      <c r="T1853" s="1" t="s">
        <v>4978</v>
      </c>
      <c r="U1853" s="1" t="s">
        <v>4</v>
      </c>
      <c r="V1853" s="1" t="s">
        <v>53</v>
      </c>
      <c r="W1853" s="1"/>
    </row>
    <row r="1854" spans="1:23" x14ac:dyDescent="0.2">
      <c r="A1854" s="88" t="s">
        <v>17118</v>
      </c>
      <c r="B1854" s="1" t="e">
        <v>#N/A</v>
      </c>
      <c r="C1854" s="1" t="s">
        <v>14477</v>
      </c>
      <c r="D1854" s="1" t="s">
        <v>4979</v>
      </c>
      <c r="E1854" s="1" t="s">
        <v>4980</v>
      </c>
      <c r="F1854" s="1" t="s">
        <v>9010</v>
      </c>
      <c r="G1854" s="1" t="s">
        <v>8957</v>
      </c>
      <c r="H1854" t="s">
        <v>9183</v>
      </c>
      <c r="I1854" s="1" t="s">
        <v>9035</v>
      </c>
      <c r="J1854" s="1" t="s">
        <v>9308</v>
      </c>
      <c r="K1854" s="1" t="s">
        <v>21465</v>
      </c>
      <c r="L1854" s="1" t="s">
        <v>8987</v>
      </c>
      <c r="M1854" s="1">
        <v>41</v>
      </c>
      <c r="N1854" s="1" t="s">
        <v>8953</v>
      </c>
      <c r="O1854" s="1" t="s">
        <v>8989</v>
      </c>
      <c r="P1854" s="1" t="s">
        <v>8955</v>
      </c>
      <c r="Q1854" s="1" t="s">
        <v>8956</v>
      </c>
      <c r="R1854" s="1" t="s">
        <v>8957</v>
      </c>
      <c r="S1854" s="1" t="s">
        <v>8958</v>
      </c>
      <c r="T1854" s="1" t="s">
        <v>4981</v>
      </c>
      <c r="U1854" s="1" t="s">
        <v>242</v>
      </c>
      <c r="V1854" s="1" t="s">
        <v>46</v>
      </c>
      <c r="W1854" s="1"/>
    </row>
    <row r="1855" spans="1:23" x14ac:dyDescent="0.2">
      <c r="A1855" s="88" t="s">
        <v>17119</v>
      </c>
      <c r="B1855" s="1" t="e">
        <v>#N/A</v>
      </c>
      <c r="C1855" s="1" t="e">
        <v>#N/A</v>
      </c>
      <c r="D1855" s="1" t="s">
        <v>4982</v>
      </c>
      <c r="E1855" s="1" t="s">
        <v>4983</v>
      </c>
      <c r="F1855" s="1" t="s">
        <v>9310</v>
      </c>
      <c r="G1855" s="1" t="s">
        <v>8959</v>
      </c>
      <c r="H1855" t="s">
        <v>8959</v>
      </c>
      <c r="I1855" s="1" t="s">
        <v>20714</v>
      </c>
      <c r="J1855" s="1" t="s">
        <v>20725</v>
      </c>
      <c r="K1855" s="1" t="s">
        <v>10492</v>
      </c>
      <c r="L1855" s="1" t="s">
        <v>8973</v>
      </c>
      <c r="M1855" s="1">
        <f>20*256</f>
        <v>5120</v>
      </c>
      <c r="N1855" s="1" t="s">
        <v>8953</v>
      </c>
      <c r="O1855" s="1" t="s">
        <v>8989</v>
      </c>
      <c r="P1855" s="1" t="e">
        <v>#N/A</v>
      </c>
      <c r="Q1855" s="1" t="e">
        <v>#N/A</v>
      </c>
      <c r="R1855" s="1">
        <f t="shared" ref="R1855:R1856" si="542">1+LEN(T1855)-LEN(SUBSTITUTE(T1855,",",))</f>
        <v>9</v>
      </c>
      <c r="S1855" s="1" t="str">
        <f t="shared" ref="S1855:S1856" si="543">IF(R1855&gt;4,IF(R1855&lt;8,"4-7",IF(R1855&gt;7,"&gt;7")),"&lt;4")</f>
        <v>&gt;7</v>
      </c>
      <c r="T1855" s="1" t="s">
        <v>19596</v>
      </c>
      <c r="U1855" s="1" t="s">
        <v>7</v>
      </c>
      <c r="V1855" s="1" t="s">
        <v>46</v>
      </c>
      <c r="W1855" s="1"/>
    </row>
    <row r="1856" spans="1:23" x14ac:dyDescent="0.2">
      <c r="A1856" s="88" t="s">
        <v>17120</v>
      </c>
      <c r="B1856" s="1" t="e">
        <v>#N/A</v>
      </c>
      <c r="C1856" s="1" t="e">
        <v>#N/A</v>
      </c>
      <c r="D1856" s="1" t="s">
        <v>4984</v>
      </c>
      <c r="E1856" s="1" t="s">
        <v>4985</v>
      </c>
      <c r="F1856" s="1" t="s">
        <v>18502</v>
      </c>
      <c r="G1856" s="1" t="s">
        <v>8957</v>
      </c>
      <c r="H1856" t="s">
        <v>8959</v>
      </c>
      <c r="I1856" s="1" t="s">
        <v>9605</v>
      </c>
      <c r="J1856" s="1" t="s">
        <v>9101</v>
      </c>
      <c r="K1856" s="1" t="s">
        <v>20886</v>
      </c>
      <c r="L1856" s="1" t="s">
        <v>8951</v>
      </c>
      <c r="M1856" s="1">
        <f>5*1436</f>
        <v>7180</v>
      </c>
      <c r="N1856" s="1" t="s">
        <v>8953</v>
      </c>
      <c r="O1856" s="1" t="s">
        <v>8989</v>
      </c>
      <c r="P1856" s="1" t="e">
        <v>#N/A</v>
      </c>
      <c r="Q1856" s="1" t="e">
        <v>#N/A</v>
      </c>
      <c r="R1856" s="1">
        <f t="shared" si="542"/>
        <v>3</v>
      </c>
      <c r="S1856" s="1" t="str">
        <f t="shared" si="543"/>
        <v>&lt;4</v>
      </c>
      <c r="T1856" s="1" t="s">
        <v>19597</v>
      </c>
      <c r="U1856" s="1" t="s">
        <v>17</v>
      </c>
      <c r="V1856" s="1" t="s">
        <v>126</v>
      </c>
      <c r="W1856" s="1"/>
    </row>
    <row r="1857" spans="1:23" x14ac:dyDescent="0.2">
      <c r="A1857" s="88" t="s">
        <v>17121</v>
      </c>
      <c r="B1857" s="1" t="e">
        <v>#N/A</v>
      </c>
      <c r="C1857" s="1" t="s">
        <v>13510</v>
      </c>
      <c r="D1857" s="1" t="s">
        <v>4986</v>
      </c>
      <c r="E1857" s="1" t="s">
        <v>4987</v>
      </c>
      <c r="F1857" s="1" t="s">
        <v>9010</v>
      </c>
      <c r="G1857" s="1" t="s">
        <v>8957</v>
      </c>
      <c r="H1857" t="s">
        <v>9009</v>
      </c>
      <c r="I1857" s="1" t="s">
        <v>9173</v>
      </c>
      <c r="J1857" s="1" t="s">
        <v>9174</v>
      </c>
      <c r="K1857" s="1" t="s">
        <v>9036</v>
      </c>
      <c r="L1857" s="1" t="s">
        <v>8987</v>
      </c>
      <c r="M1857" s="1">
        <v>100</v>
      </c>
      <c r="N1857" s="1" t="s">
        <v>8953</v>
      </c>
      <c r="O1857" s="1" t="s">
        <v>8989</v>
      </c>
      <c r="P1857" s="1" t="s">
        <v>8955</v>
      </c>
      <c r="Q1857" s="1" t="s">
        <v>8956</v>
      </c>
      <c r="R1857" s="1" t="s">
        <v>8957</v>
      </c>
      <c r="S1857" s="1" t="s">
        <v>8975</v>
      </c>
      <c r="T1857" s="1" t="s">
        <v>4988</v>
      </c>
      <c r="U1857" s="1" t="s">
        <v>11</v>
      </c>
      <c r="V1857" s="1" t="s">
        <v>1558</v>
      </c>
      <c r="W1857" s="1"/>
    </row>
    <row r="1858" spans="1:23" x14ac:dyDescent="0.2">
      <c r="A1858" s="88" t="s">
        <v>17122</v>
      </c>
      <c r="B1858" s="1" t="e">
        <v>#N/A</v>
      </c>
      <c r="C1858" s="1" t="e">
        <v>#N/A</v>
      </c>
      <c r="D1858" s="1" t="s">
        <v>4989</v>
      </c>
      <c r="E1858" s="1" t="s">
        <v>4990</v>
      </c>
      <c r="F1858" s="1" t="s">
        <v>9010</v>
      </c>
      <c r="G1858" s="1" t="s">
        <v>8957</v>
      </c>
      <c r="H1858" t="s">
        <v>9009</v>
      </c>
      <c r="I1858" s="1" t="s">
        <v>9173</v>
      </c>
      <c r="J1858" s="1" t="s">
        <v>9174</v>
      </c>
      <c r="K1858" s="1" t="s">
        <v>20887</v>
      </c>
      <c r="L1858" s="1" t="s">
        <v>9133</v>
      </c>
      <c r="M1858" s="1">
        <v>2750</v>
      </c>
      <c r="N1858" s="1" t="s">
        <v>8953</v>
      </c>
      <c r="O1858" s="1" t="s">
        <v>8954</v>
      </c>
      <c r="P1858" s="1" t="e">
        <v>#N/A</v>
      </c>
      <c r="Q1858" s="1" t="e">
        <v>#N/A</v>
      </c>
      <c r="R1858" s="1">
        <f t="shared" ref="R1858:R1862" si="544">1+LEN(T1858)-LEN(SUBSTITUTE(T1858,",",))</f>
        <v>8</v>
      </c>
      <c r="S1858" s="1" t="str">
        <f t="shared" ref="S1858:S1862" si="545">IF(R1858&gt;4,IF(R1858&lt;8,"4-7",IF(R1858&gt;7,"&gt;7")),"&lt;4")</f>
        <v>&gt;7</v>
      </c>
      <c r="T1858" s="1" t="s">
        <v>19598</v>
      </c>
      <c r="U1858" s="1" t="s">
        <v>7</v>
      </c>
      <c r="V1858" s="1" t="s">
        <v>1558</v>
      </c>
      <c r="W1858" s="1"/>
    </row>
    <row r="1859" spans="1:23" x14ac:dyDescent="0.2">
      <c r="A1859" s="88" t="s">
        <v>17123</v>
      </c>
      <c r="B1859" s="1" t="e">
        <v>#N/A</v>
      </c>
      <c r="C1859" s="1" t="e">
        <v>#N/A</v>
      </c>
      <c r="D1859" s="1" t="s">
        <v>4991</v>
      </c>
      <c r="E1859" s="1" t="s">
        <v>4992</v>
      </c>
      <c r="F1859" s="1" t="s">
        <v>18502</v>
      </c>
      <c r="G1859" s="1" t="s">
        <v>8957</v>
      </c>
      <c r="H1859" t="s">
        <v>9061</v>
      </c>
      <c r="I1859" s="1" t="s">
        <v>20712</v>
      </c>
      <c r="J1859" s="1" t="s">
        <v>8949</v>
      </c>
      <c r="K1859" s="1" t="s">
        <v>20888</v>
      </c>
      <c r="L1859" s="1" t="s">
        <v>9076</v>
      </c>
      <c r="M1859" s="1">
        <f>64512+1920+5120+960</f>
        <v>72512</v>
      </c>
      <c r="N1859" s="1" t="s">
        <v>8953</v>
      </c>
      <c r="O1859" s="1" t="s">
        <v>8989</v>
      </c>
      <c r="P1859" s="1" t="e">
        <v>#N/A</v>
      </c>
      <c r="Q1859" s="1" t="e">
        <v>#N/A</v>
      </c>
      <c r="R1859" s="1">
        <f t="shared" si="544"/>
        <v>7</v>
      </c>
      <c r="S1859" s="1" t="str">
        <f t="shared" si="545"/>
        <v>4-7</v>
      </c>
      <c r="T1859" s="1" t="s">
        <v>19599</v>
      </c>
      <c r="U1859" s="1" t="s">
        <v>17</v>
      </c>
      <c r="V1859" s="1" t="s">
        <v>61</v>
      </c>
      <c r="W1859" s="1"/>
    </row>
    <row r="1860" spans="1:23" x14ac:dyDescent="0.2">
      <c r="A1860" s="88" t="s">
        <v>17124</v>
      </c>
      <c r="B1860" s="1" t="e">
        <v>#N/A</v>
      </c>
      <c r="C1860" s="1" t="e">
        <v>#N/A</v>
      </c>
      <c r="D1860" s="1" t="s">
        <v>4993</v>
      </c>
      <c r="E1860" s="1" t="s">
        <v>4994</v>
      </c>
      <c r="F1860" s="1" t="s">
        <v>18502</v>
      </c>
      <c r="G1860" s="1" t="s">
        <v>8957</v>
      </c>
      <c r="H1860" t="s">
        <v>9061</v>
      </c>
      <c r="I1860" s="1" t="s">
        <v>20714</v>
      </c>
      <c r="J1860" s="1" t="s">
        <v>20725</v>
      </c>
      <c r="K1860" s="1" t="s">
        <v>18497</v>
      </c>
      <c r="L1860" s="1" t="s">
        <v>8973</v>
      </c>
      <c r="M1860" s="1">
        <v>25285</v>
      </c>
      <c r="N1860" s="1" t="s">
        <v>8953</v>
      </c>
      <c r="O1860" s="1" t="s">
        <v>8989</v>
      </c>
      <c r="P1860" s="1" t="e">
        <v>#N/A</v>
      </c>
      <c r="Q1860" s="1" t="e">
        <v>#N/A</v>
      </c>
      <c r="R1860" s="1">
        <f t="shared" si="544"/>
        <v>7</v>
      </c>
      <c r="S1860" s="1" t="str">
        <f t="shared" si="545"/>
        <v>4-7</v>
      </c>
      <c r="T1860" s="1" t="s">
        <v>19600</v>
      </c>
      <c r="U1860" s="1" t="s">
        <v>7</v>
      </c>
      <c r="V1860" s="1" t="s">
        <v>24</v>
      </c>
      <c r="W1860" s="1"/>
    </row>
    <row r="1861" spans="1:23" x14ac:dyDescent="0.2">
      <c r="A1861" s="88" t="s">
        <v>17125</v>
      </c>
      <c r="B1861" s="1" t="e">
        <v>#N/A</v>
      </c>
      <c r="C1861" s="1" t="e">
        <v>#N/A</v>
      </c>
      <c r="D1861" s="1" t="s">
        <v>4995</v>
      </c>
      <c r="E1861" s="1" t="s">
        <v>4996</v>
      </c>
      <c r="F1861" s="1" t="s">
        <v>9317</v>
      </c>
      <c r="G1861" s="1" t="s">
        <v>8957</v>
      </c>
      <c r="H1861" t="s">
        <v>8959</v>
      </c>
      <c r="I1861" s="1" t="s">
        <v>9173</v>
      </c>
      <c r="J1861" s="1" t="s">
        <v>9174</v>
      </c>
      <c r="K1861" s="1" t="s">
        <v>18497</v>
      </c>
      <c r="L1861" s="1" t="s">
        <v>8987</v>
      </c>
      <c r="M1861" s="1">
        <v>11444</v>
      </c>
      <c r="N1861" s="1" t="s">
        <v>8953</v>
      </c>
      <c r="O1861" s="1" t="s">
        <v>8954</v>
      </c>
      <c r="P1861" s="1" t="e">
        <v>#N/A</v>
      </c>
      <c r="Q1861" s="1" t="e">
        <v>#N/A</v>
      </c>
      <c r="R1861" s="1">
        <f t="shared" si="544"/>
        <v>23</v>
      </c>
      <c r="S1861" s="1" t="str">
        <f t="shared" si="545"/>
        <v>&gt;7</v>
      </c>
      <c r="T1861" s="1" t="s">
        <v>20640</v>
      </c>
      <c r="U1861" s="1" t="s">
        <v>17</v>
      </c>
      <c r="V1861" s="1" t="s">
        <v>910</v>
      </c>
      <c r="W1861" s="1"/>
    </row>
    <row r="1862" spans="1:23" x14ac:dyDescent="0.2">
      <c r="A1862" s="88" t="s">
        <v>17126</v>
      </c>
      <c r="B1862" s="1" t="e">
        <v>#N/A</v>
      </c>
      <c r="C1862" s="1" t="e">
        <v>#N/A</v>
      </c>
      <c r="D1862" s="1" t="s">
        <v>4997</v>
      </c>
      <c r="E1862" s="1" t="s">
        <v>4998</v>
      </c>
      <c r="F1862" s="1" t="s">
        <v>18502</v>
      </c>
      <c r="G1862" s="1" t="s">
        <v>8957</v>
      </c>
      <c r="H1862" t="s">
        <v>8959</v>
      </c>
      <c r="I1862" s="1" t="s">
        <v>8948</v>
      </c>
      <c r="J1862" s="1" t="s">
        <v>8959</v>
      </c>
      <c r="K1862" s="1" t="s">
        <v>10492</v>
      </c>
      <c r="L1862" s="1" t="s">
        <v>9076</v>
      </c>
      <c r="M1862" s="1">
        <v>300</v>
      </c>
      <c r="N1862" s="1" t="s">
        <v>8953</v>
      </c>
      <c r="O1862" s="1" t="s">
        <v>8989</v>
      </c>
      <c r="P1862" s="1" t="e">
        <v>#N/A</v>
      </c>
      <c r="Q1862" s="1" t="e">
        <v>#N/A</v>
      </c>
      <c r="R1862" s="1">
        <f t="shared" si="544"/>
        <v>7</v>
      </c>
      <c r="S1862" s="1" t="str">
        <f t="shared" si="545"/>
        <v>4-7</v>
      </c>
      <c r="T1862" s="1" t="s">
        <v>19601</v>
      </c>
      <c r="U1862" s="1" t="s">
        <v>7</v>
      </c>
      <c r="V1862" s="1" t="s">
        <v>1797</v>
      </c>
      <c r="W1862" s="1"/>
    </row>
    <row r="1863" spans="1:23" x14ac:dyDescent="0.2">
      <c r="A1863" s="88" t="s">
        <v>17127</v>
      </c>
      <c r="B1863" s="1" t="e">
        <v>#N/A</v>
      </c>
      <c r="C1863" s="1" t="s">
        <v>11907</v>
      </c>
      <c r="D1863" s="1" t="s">
        <v>4999</v>
      </c>
      <c r="E1863" s="1" t="s">
        <v>5000</v>
      </c>
      <c r="F1863" s="1" t="s">
        <v>9010</v>
      </c>
      <c r="G1863" s="1" t="s">
        <v>8957</v>
      </c>
      <c r="H1863" t="s">
        <v>9183</v>
      </c>
      <c r="I1863" s="1" t="s">
        <v>9075</v>
      </c>
      <c r="J1863" s="1" t="s">
        <v>9121</v>
      </c>
      <c r="K1863" s="1" t="s">
        <v>9036</v>
      </c>
      <c r="L1863" s="1" t="s">
        <v>8973</v>
      </c>
      <c r="M1863" s="1">
        <v>48</v>
      </c>
      <c r="N1863" s="1" t="s">
        <v>8953</v>
      </c>
      <c r="O1863" s="1" t="s">
        <v>8989</v>
      </c>
      <c r="P1863" s="1" t="s">
        <v>8955</v>
      </c>
      <c r="Q1863" s="1" t="s">
        <v>8956</v>
      </c>
      <c r="R1863" s="1" t="s">
        <v>8957</v>
      </c>
      <c r="S1863" s="1" t="s">
        <v>8975</v>
      </c>
      <c r="T1863" s="1" t="s">
        <v>5001</v>
      </c>
      <c r="U1863" s="1" t="s">
        <v>11</v>
      </c>
      <c r="V1863" s="1" t="s">
        <v>61</v>
      </c>
      <c r="W1863" s="1"/>
    </row>
    <row r="1864" spans="1:23" x14ac:dyDescent="0.2">
      <c r="A1864" s="88" t="s">
        <v>17128</v>
      </c>
      <c r="B1864" s="1" t="e">
        <v>#N/A</v>
      </c>
      <c r="C1864" s="1" t="e">
        <v>#N/A</v>
      </c>
      <c r="D1864" s="1" t="s">
        <v>5002</v>
      </c>
      <c r="E1864" s="1" t="s">
        <v>5003</v>
      </c>
      <c r="F1864" s="1" t="s">
        <v>11671</v>
      </c>
      <c r="G1864" s="1" t="s">
        <v>8957</v>
      </c>
      <c r="H1864" t="s">
        <v>9009</v>
      </c>
      <c r="I1864" s="1" t="s">
        <v>9100</v>
      </c>
      <c r="J1864" s="1" t="s">
        <v>8949</v>
      </c>
      <c r="K1864" s="1" t="s">
        <v>20889</v>
      </c>
      <c r="L1864" s="1" t="s">
        <v>8987</v>
      </c>
      <c r="M1864" s="1">
        <v>3117</v>
      </c>
      <c r="N1864" s="1" t="s">
        <v>8953</v>
      </c>
      <c r="O1864" s="1" t="s">
        <v>8954</v>
      </c>
      <c r="P1864" s="1" t="e">
        <v>#N/A</v>
      </c>
      <c r="Q1864" s="1" t="e">
        <v>#N/A</v>
      </c>
      <c r="R1864" s="1">
        <f>1+LEN(T1864)-LEN(SUBSTITUTE(T1864,",",))</f>
        <v>25</v>
      </c>
      <c r="S1864" s="1" t="str">
        <f>IF(R1864&gt;4,IF(R1864&lt;8,"4-7",IF(R1864&gt;7,"&gt;7")),"&lt;4")</f>
        <v>&gt;7</v>
      </c>
      <c r="T1864" s="1" t="s">
        <v>20641</v>
      </c>
      <c r="U1864" s="1" t="s">
        <v>7</v>
      </c>
      <c r="V1864" s="1" t="s">
        <v>126</v>
      </c>
      <c r="W1864" s="1"/>
    </row>
    <row r="1865" spans="1:23" x14ac:dyDescent="0.2">
      <c r="A1865" s="88" t="s">
        <v>17129</v>
      </c>
      <c r="B1865" s="1" t="e">
        <v>#N/A</v>
      </c>
      <c r="C1865" s="1" t="s">
        <v>11545</v>
      </c>
      <c r="D1865" s="1" t="s">
        <v>5004</v>
      </c>
      <c r="E1865" s="1" t="s">
        <v>5005</v>
      </c>
      <c r="F1865" s="1" t="s">
        <v>9650</v>
      </c>
      <c r="G1865" s="1" t="s">
        <v>8957</v>
      </c>
      <c r="H1865" t="s">
        <v>9183</v>
      </c>
      <c r="I1865" s="1" t="s">
        <v>9100</v>
      </c>
      <c r="J1865" s="1" t="s">
        <v>8949</v>
      </c>
      <c r="K1865" s="1" t="s">
        <v>9036</v>
      </c>
      <c r="L1865" s="1" t="s">
        <v>9464</v>
      </c>
      <c r="M1865" s="1">
        <v>642</v>
      </c>
      <c r="N1865" s="1" t="s">
        <v>8953</v>
      </c>
      <c r="O1865" s="1" t="s">
        <v>8989</v>
      </c>
      <c r="P1865" s="1" t="s">
        <v>9182</v>
      </c>
      <c r="Q1865" s="1" t="s">
        <v>8956</v>
      </c>
      <c r="R1865" s="1" t="s">
        <v>8957</v>
      </c>
      <c r="S1865" s="1" t="s">
        <v>8958</v>
      </c>
      <c r="T1865" s="1" t="s">
        <v>5006</v>
      </c>
      <c r="U1865" s="1" t="s">
        <v>11</v>
      </c>
      <c r="V1865" s="1" t="s">
        <v>359</v>
      </c>
      <c r="W1865" s="1"/>
    </row>
    <row r="1866" spans="1:23" x14ac:dyDescent="0.2">
      <c r="A1866" s="88" t="s">
        <v>17130</v>
      </c>
      <c r="B1866" s="1" t="e">
        <v>#N/A</v>
      </c>
      <c r="C1866" s="1" t="e">
        <v>#N/A</v>
      </c>
      <c r="D1866" s="1" t="s">
        <v>5007</v>
      </c>
      <c r="E1866" s="1" t="s">
        <v>5008</v>
      </c>
      <c r="F1866" s="1" t="s">
        <v>9650</v>
      </c>
      <c r="G1866" s="1" t="s">
        <v>9060</v>
      </c>
      <c r="H1866" t="s">
        <v>8959</v>
      </c>
      <c r="I1866" s="1" t="s">
        <v>9100</v>
      </c>
      <c r="J1866" s="1" t="s">
        <v>8949</v>
      </c>
      <c r="K1866" s="1" t="s">
        <v>20890</v>
      </c>
      <c r="L1866" s="1" t="s">
        <v>8951</v>
      </c>
      <c r="M1866" s="1">
        <v>2182</v>
      </c>
      <c r="N1866" s="1" t="s">
        <v>8953</v>
      </c>
      <c r="O1866" s="1" t="s">
        <v>8954</v>
      </c>
      <c r="P1866" s="1" t="e">
        <v>#N/A</v>
      </c>
      <c r="Q1866" s="1" t="e">
        <v>#N/A</v>
      </c>
      <c r="R1866" s="1">
        <f t="shared" ref="R1866:R1872" si="546">1+LEN(T1866)-LEN(SUBSTITUTE(T1866,",",))</f>
        <v>5</v>
      </c>
      <c r="S1866" s="1" t="str">
        <f t="shared" ref="S1866:S1872" si="547">IF(R1866&gt;4,IF(R1866&lt;8,"4-7",IF(R1866&gt;7,"&gt;7")),"&lt;4")</f>
        <v>4-7</v>
      </c>
      <c r="T1866" s="1" t="s">
        <v>19602</v>
      </c>
      <c r="U1866" s="1" t="s">
        <v>7</v>
      </c>
      <c r="V1866" s="1" t="s">
        <v>27</v>
      </c>
      <c r="W1866" s="1"/>
    </row>
    <row r="1867" spans="1:23" x14ac:dyDescent="0.2">
      <c r="A1867" s="88" t="s">
        <v>17131</v>
      </c>
      <c r="B1867" s="1" t="e">
        <v>#N/A</v>
      </c>
      <c r="C1867" s="1" t="e">
        <v>#N/A</v>
      </c>
      <c r="D1867" s="1" t="s">
        <v>5009</v>
      </c>
      <c r="E1867" s="1" t="s">
        <v>5010</v>
      </c>
      <c r="F1867" s="1" t="s">
        <v>9650</v>
      </c>
      <c r="G1867" s="1" t="s">
        <v>8957</v>
      </c>
      <c r="H1867" t="s">
        <v>8959</v>
      </c>
      <c r="I1867" s="1" t="s">
        <v>9154</v>
      </c>
      <c r="J1867" s="1" t="s">
        <v>8949</v>
      </c>
      <c r="K1867" s="1" t="s">
        <v>10492</v>
      </c>
      <c r="L1867" s="1" t="s">
        <v>9076</v>
      </c>
      <c r="M1867" s="1">
        <v>130</v>
      </c>
      <c r="N1867" s="1" t="s">
        <v>9059</v>
      </c>
      <c r="O1867" s="1" t="s">
        <v>8954</v>
      </c>
      <c r="P1867" s="1" t="e">
        <v>#N/A</v>
      </c>
      <c r="Q1867" s="1" t="e">
        <v>#N/A</v>
      </c>
      <c r="R1867" s="1">
        <f t="shared" si="546"/>
        <v>5</v>
      </c>
      <c r="S1867" s="1" t="str">
        <f t="shared" si="547"/>
        <v>4-7</v>
      </c>
      <c r="T1867" s="1" t="s">
        <v>19603</v>
      </c>
      <c r="U1867" s="1" t="s">
        <v>7</v>
      </c>
      <c r="V1867" s="1" t="s">
        <v>2723</v>
      </c>
      <c r="W1867" s="1"/>
    </row>
    <row r="1868" spans="1:23" x14ac:dyDescent="0.2">
      <c r="A1868" s="89" t="s">
        <v>5011</v>
      </c>
      <c r="B1868" s="1" t="e">
        <v>#N/A</v>
      </c>
      <c r="C1868" s="1" t="e">
        <v>#N/A</v>
      </c>
      <c r="D1868" s="5" t="s">
        <v>5012</v>
      </c>
      <c r="E1868" s="1" t="s">
        <v>5013</v>
      </c>
      <c r="F1868" s="1" t="e">
        <v>#N/A</v>
      </c>
      <c r="G1868" s="1" t="e">
        <v>#N/A</v>
      </c>
      <c r="H1868" t="e">
        <v>#N/A</v>
      </c>
      <c r="I1868" s="1" t="e">
        <v>#N/A</v>
      </c>
      <c r="J1868" s="1" t="e">
        <v>#N/A</v>
      </c>
      <c r="K1868" s="1" t="e">
        <v>#N/A</v>
      </c>
      <c r="L1868" s="1" t="e">
        <v>#N/A</v>
      </c>
      <c r="M1868" s="1" t="e">
        <v>#N/A</v>
      </c>
      <c r="N1868" s="1" t="e">
        <v>#N/A</v>
      </c>
      <c r="O1868" s="1" t="e">
        <v>#N/A</v>
      </c>
      <c r="P1868" s="1" t="e">
        <v>#N/A</v>
      </c>
      <c r="Q1868" s="1" t="e">
        <v>#N/A</v>
      </c>
      <c r="R1868" s="1">
        <f t="shared" si="546"/>
        <v>6</v>
      </c>
      <c r="S1868" s="1" t="str">
        <f t="shared" si="547"/>
        <v>4-7</v>
      </c>
      <c r="T1868" s="1" t="s">
        <v>19604</v>
      </c>
      <c r="U1868" s="1" t="s">
        <v>7</v>
      </c>
      <c r="V1868" s="1" t="s">
        <v>5014</v>
      </c>
      <c r="W1868" s="1"/>
    </row>
    <row r="1869" spans="1:23" x14ac:dyDescent="0.2">
      <c r="A1869" s="88" t="s">
        <v>17132</v>
      </c>
      <c r="B1869" s="1" t="e">
        <v>#N/A</v>
      </c>
      <c r="C1869" s="1" t="e">
        <v>#N/A</v>
      </c>
      <c r="D1869" s="1" t="s">
        <v>5015</v>
      </c>
      <c r="E1869" s="1" t="s">
        <v>5016</v>
      </c>
      <c r="F1869" s="1" t="s">
        <v>10049</v>
      </c>
      <c r="G1869" s="1" t="s">
        <v>8959</v>
      </c>
      <c r="H1869" t="s">
        <v>8959</v>
      </c>
      <c r="I1869" s="1" t="s">
        <v>9154</v>
      </c>
      <c r="J1869" s="1" t="s">
        <v>8949</v>
      </c>
      <c r="K1869" s="1" t="s">
        <v>20891</v>
      </c>
      <c r="L1869" s="1" t="s">
        <v>9133</v>
      </c>
      <c r="M1869" s="1">
        <v>206</v>
      </c>
      <c r="N1869" s="1" t="s">
        <v>9059</v>
      </c>
      <c r="O1869" s="1" t="s">
        <v>8989</v>
      </c>
      <c r="P1869" s="1" t="e">
        <v>#N/A</v>
      </c>
      <c r="Q1869" s="1" t="e">
        <v>#N/A</v>
      </c>
      <c r="R1869" s="1">
        <f t="shared" si="546"/>
        <v>9</v>
      </c>
      <c r="S1869" s="1" t="str">
        <f t="shared" si="547"/>
        <v>&gt;7</v>
      </c>
      <c r="T1869" s="1" t="s">
        <v>19605</v>
      </c>
      <c r="U1869" s="1" t="s">
        <v>7</v>
      </c>
      <c r="V1869" s="1" t="s">
        <v>571</v>
      </c>
      <c r="W1869" s="1"/>
    </row>
    <row r="1870" spans="1:23" x14ac:dyDescent="0.2">
      <c r="A1870" s="88" t="s">
        <v>17133</v>
      </c>
      <c r="B1870" s="1" t="e">
        <v>#N/A</v>
      </c>
      <c r="C1870" s="1" t="e">
        <v>#N/A</v>
      </c>
      <c r="D1870" s="1" t="s">
        <v>5017</v>
      </c>
      <c r="E1870" s="1" t="s">
        <v>5018</v>
      </c>
      <c r="F1870" s="1" t="s">
        <v>12547</v>
      </c>
      <c r="G1870" s="1" t="s">
        <v>8957</v>
      </c>
      <c r="H1870" t="s">
        <v>8959</v>
      </c>
      <c r="I1870" s="1" t="s">
        <v>8948</v>
      </c>
      <c r="J1870" s="1" t="s">
        <v>8949</v>
      </c>
      <c r="K1870" s="1" t="s">
        <v>21205</v>
      </c>
      <c r="L1870" s="1" t="s">
        <v>8951</v>
      </c>
      <c r="M1870" s="1">
        <v>180</v>
      </c>
      <c r="N1870" s="1" t="s">
        <v>8953</v>
      </c>
      <c r="O1870" s="1" t="s">
        <v>8954</v>
      </c>
      <c r="P1870" s="1" t="e">
        <v>#N/A</v>
      </c>
      <c r="Q1870" s="1" t="e">
        <v>#N/A</v>
      </c>
      <c r="R1870" s="1">
        <f t="shared" si="546"/>
        <v>3</v>
      </c>
      <c r="S1870" s="1" t="str">
        <f t="shared" si="547"/>
        <v>&lt;4</v>
      </c>
      <c r="T1870" s="1" t="s">
        <v>19606</v>
      </c>
      <c r="U1870" s="1" t="s">
        <v>17</v>
      </c>
      <c r="V1870" s="1" t="s">
        <v>46</v>
      </c>
      <c r="W1870" s="1"/>
    </row>
    <row r="1871" spans="1:23" x14ac:dyDescent="0.2">
      <c r="A1871" s="89" t="s">
        <v>5019</v>
      </c>
      <c r="B1871" s="1" t="e">
        <v>#N/A</v>
      </c>
      <c r="C1871" s="1" t="e">
        <v>#N/A</v>
      </c>
      <c r="D1871" s="1" t="s">
        <v>5020</v>
      </c>
      <c r="E1871" s="1" t="s">
        <v>5021</v>
      </c>
      <c r="F1871" s="1" t="e">
        <v>#N/A</v>
      </c>
      <c r="G1871" s="1" t="e">
        <v>#N/A</v>
      </c>
      <c r="H1871" t="e">
        <v>#N/A</v>
      </c>
      <c r="I1871" s="1" t="e">
        <v>#N/A</v>
      </c>
      <c r="J1871" s="1" t="e">
        <v>#N/A</v>
      </c>
      <c r="K1871" s="1" t="e">
        <v>#N/A</v>
      </c>
      <c r="L1871" s="1" t="e">
        <v>#N/A</v>
      </c>
      <c r="M1871" s="1" t="e">
        <v>#N/A</v>
      </c>
      <c r="N1871" s="1" t="e">
        <v>#N/A</v>
      </c>
      <c r="O1871" s="1" t="e">
        <v>#N/A</v>
      </c>
      <c r="P1871" s="1" t="e">
        <v>#N/A</v>
      </c>
      <c r="Q1871" s="1" t="e">
        <v>#N/A</v>
      </c>
      <c r="R1871" s="1">
        <f t="shared" si="546"/>
        <v>7</v>
      </c>
      <c r="S1871" s="1" t="str">
        <f t="shared" si="547"/>
        <v>4-7</v>
      </c>
      <c r="T1871" s="1" t="s">
        <v>19607</v>
      </c>
      <c r="U1871" s="1" t="s">
        <v>17</v>
      </c>
      <c r="V1871" s="1" t="s">
        <v>5022</v>
      </c>
      <c r="W1871" s="1"/>
    </row>
    <row r="1872" spans="1:23" s="3" customFormat="1" x14ac:dyDescent="0.2">
      <c r="A1872" s="89" t="s">
        <v>5023</v>
      </c>
      <c r="B1872" s="2" t="e">
        <v>#N/A</v>
      </c>
      <c r="C1872" s="2" t="e">
        <v>#N/A</v>
      </c>
      <c r="D1872" s="2" t="s">
        <v>5024</v>
      </c>
      <c r="E1872" s="2"/>
      <c r="F1872" s="2" t="e">
        <v>#N/A</v>
      </c>
      <c r="G1872" s="2" t="e">
        <v>#N/A</v>
      </c>
      <c r="H1872" t="e">
        <v>#N/A</v>
      </c>
      <c r="I1872" s="2" t="e">
        <v>#N/A</v>
      </c>
      <c r="J1872" s="2" t="e">
        <v>#N/A</v>
      </c>
      <c r="K1872" s="2" t="e">
        <v>#N/A</v>
      </c>
      <c r="L1872" s="2" t="e">
        <v>#N/A</v>
      </c>
      <c r="M1872" s="2" t="e">
        <v>#N/A</v>
      </c>
      <c r="N1872" s="2" t="e">
        <v>#N/A</v>
      </c>
      <c r="O1872" s="2" t="e">
        <v>#N/A</v>
      </c>
      <c r="P1872" s="2" t="e">
        <v>#N/A</v>
      </c>
      <c r="Q1872" s="2" t="e">
        <v>#N/A</v>
      </c>
      <c r="R1872" s="1">
        <f t="shared" si="546"/>
        <v>1</v>
      </c>
      <c r="S1872" s="1" t="str">
        <f t="shared" si="547"/>
        <v>&lt;4</v>
      </c>
      <c r="T1872" s="2"/>
      <c r="U1872" s="2"/>
      <c r="V1872" s="2"/>
      <c r="W1872" s="2"/>
    </row>
    <row r="1873" spans="1:23" x14ac:dyDescent="0.2">
      <c r="A1873" s="88" t="s">
        <v>17134</v>
      </c>
      <c r="B1873" s="1" t="e">
        <v>#N/A</v>
      </c>
      <c r="C1873" s="1" t="s">
        <v>11526</v>
      </c>
      <c r="D1873" s="1" t="s">
        <v>5025</v>
      </c>
      <c r="E1873" s="1" t="s">
        <v>5026</v>
      </c>
      <c r="F1873" s="1" t="s">
        <v>9333</v>
      </c>
      <c r="G1873" s="1" t="s">
        <v>8959</v>
      </c>
      <c r="H1873" t="s">
        <v>9061</v>
      </c>
      <c r="I1873" s="1" t="s">
        <v>9100</v>
      </c>
      <c r="J1873" s="1" t="s">
        <v>9155</v>
      </c>
      <c r="K1873" s="1" t="s">
        <v>9658</v>
      </c>
      <c r="L1873" s="1" t="s">
        <v>8987</v>
      </c>
      <c r="M1873" s="1">
        <v>240</v>
      </c>
      <c r="N1873" s="1" t="s">
        <v>8953</v>
      </c>
      <c r="O1873" s="1" t="s">
        <v>8989</v>
      </c>
      <c r="P1873" s="1" t="s">
        <v>8955</v>
      </c>
      <c r="Q1873" s="1" t="s">
        <v>8956</v>
      </c>
      <c r="R1873" s="1" t="s">
        <v>8959</v>
      </c>
      <c r="S1873" s="1" t="s">
        <v>8975</v>
      </c>
      <c r="T1873" s="1" t="s">
        <v>5027</v>
      </c>
      <c r="U1873" s="1" t="s">
        <v>11</v>
      </c>
      <c r="V1873" s="1" t="s">
        <v>234</v>
      </c>
      <c r="W1873" s="1"/>
    </row>
    <row r="1874" spans="1:23" x14ac:dyDescent="0.2">
      <c r="A1874" s="88" t="s">
        <v>17135</v>
      </c>
      <c r="B1874" s="1" t="e">
        <v>#N/A</v>
      </c>
      <c r="C1874" s="1" t="e">
        <v>#N/A</v>
      </c>
      <c r="D1874" s="1" t="s">
        <v>5028</v>
      </c>
      <c r="E1874" s="1" t="s">
        <v>5029</v>
      </c>
      <c r="F1874" s="1" t="s">
        <v>21152</v>
      </c>
      <c r="G1874" s="1" t="s">
        <v>8959</v>
      </c>
      <c r="H1874" t="s">
        <v>8959</v>
      </c>
      <c r="I1874" s="1" t="s">
        <v>9100</v>
      </c>
      <c r="J1874" s="1" t="s">
        <v>8949</v>
      </c>
      <c r="K1874" s="1" t="s">
        <v>21148</v>
      </c>
      <c r="L1874" s="1" t="s">
        <v>9133</v>
      </c>
      <c r="M1874" s="1">
        <f>185+106+115</f>
        <v>406</v>
      </c>
      <c r="N1874" s="1" t="s">
        <v>9059</v>
      </c>
      <c r="O1874" s="1" t="s">
        <v>8954</v>
      </c>
      <c r="P1874" s="1" t="e">
        <v>#N/A</v>
      </c>
      <c r="Q1874" s="1" t="e">
        <v>#N/A</v>
      </c>
      <c r="R1874" s="1">
        <f t="shared" ref="R1874:R1875" si="548">1+LEN(T1874)-LEN(SUBSTITUTE(T1874,",",))</f>
        <v>4</v>
      </c>
      <c r="S1874" s="1" t="str">
        <f t="shared" ref="S1874:S1875" si="549">IF(R1874&gt;4,IF(R1874&lt;8,"4-7",IF(R1874&gt;7,"&gt;7")),"&lt;4")</f>
        <v>&lt;4</v>
      </c>
      <c r="T1874" s="1" t="s">
        <v>19608</v>
      </c>
      <c r="U1874" s="1" t="s">
        <v>7</v>
      </c>
      <c r="V1874" s="1" t="s">
        <v>110</v>
      </c>
      <c r="W1874" s="1"/>
    </row>
    <row r="1875" spans="1:23" x14ac:dyDescent="0.2">
      <c r="A1875" s="88" t="s">
        <v>17136</v>
      </c>
      <c r="B1875" s="1" t="e">
        <v>#N/A</v>
      </c>
      <c r="C1875" s="1" t="e">
        <v>#N/A</v>
      </c>
      <c r="D1875" s="1" t="s">
        <v>20892</v>
      </c>
      <c r="E1875" s="1" t="s">
        <v>5030</v>
      </c>
      <c r="F1875" s="1" t="s">
        <v>10049</v>
      </c>
      <c r="G1875" s="1" t="s">
        <v>8957</v>
      </c>
      <c r="H1875" t="s">
        <v>8959</v>
      </c>
      <c r="I1875" s="1" t="s">
        <v>8984</v>
      </c>
      <c r="J1875" s="1" t="s">
        <v>9131</v>
      </c>
      <c r="K1875" s="1" t="s">
        <v>20888</v>
      </c>
      <c r="L1875" s="1" t="s">
        <v>9076</v>
      </c>
      <c r="M1875" s="1">
        <v>160</v>
      </c>
      <c r="N1875" s="1" t="s">
        <v>8953</v>
      </c>
      <c r="O1875" s="1" t="s">
        <v>8989</v>
      </c>
      <c r="P1875" s="1" t="e">
        <v>#N/A</v>
      </c>
      <c r="Q1875" s="1" t="e">
        <v>#N/A</v>
      </c>
      <c r="R1875" s="1">
        <f t="shared" si="548"/>
        <v>5</v>
      </c>
      <c r="S1875" s="1" t="str">
        <f t="shared" si="549"/>
        <v>4-7</v>
      </c>
      <c r="T1875" s="1" t="s">
        <v>19609</v>
      </c>
      <c r="U1875" s="1" t="s">
        <v>7</v>
      </c>
      <c r="V1875" s="1" t="s">
        <v>184</v>
      </c>
      <c r="W1875" s="1"/>
    </row>
    <row r="1876" spans="1:23" x14ac:dyDescent="0.2">
      <c r="A1876" s="88" t="s">
        <v>17137</v>
      </c>
      <c r="B1876" s="1" t="e">
        <v>#N/A</v>
      </c>
      <c r="C1876" s="1" t="s">
        <v>13065</v>
      </c>
      <c r="D1876" s="1" t="s">
        <v>5031</v>
      </c>
      <c r="E1876" s="1" t="s">
        <v>5032</v>
      </c>
      <c r="F1876" s="1" t="s">
        <v>9852</v>
      </c>
      <c r="G1876" s="1" t="s">
        <v>8974</v>
      </c>
      <c r="H1876" t="s">
        <v>8959</v>
      </c>
      <c r="I1876" s="1" t="s">
        <v>8984</v>
      </c>
      <c r="J1876" s="1" t="s">
        <v>8998</v>
      </c>
      <c r="K1876" s="1" t="s">
        <v>9212</v>
      </c>
      <c r="L1876" s="1" t="s">
        <v>8951</v>
      </c>
      <c r="M1876" s="1">
        <v>948</v>
      </c>
      <c r="N1876" s="1" t="s">
        <v>8953</v>
      </c>
      <c r="O1876" s="1" t="s">
        <v>8989</v>
      </c>
      <c r="P1876" s="1" t="s">
        <v>8955</v>
      </c>
      <c r="Q1876" s="1" t="s">
        <v>8956</v>
      </c>
      <c r="R1876" s="1" t="s">
        <v>8974</v>
      </c>
      <c r="S1876" s="1" t="s">
        <v>8958</v>
      </c>
      <c r="T1876" s="1" t="s">
        <v>5033</v>
      </c>
      <c r="U1876" s="1" t="s">
        <v>11</v>
      </c>
      <c r="V1876" s="1" t="s">
        <v>598</v>
      </c>
      <c r="W1876" s="1"/>
    </row>
    <row r="1877" spans="1:23" x14ac:dyDescent="0.2">
      <c r="A1877" s="88" t="s">
        <v>17138</v>
      </c>
      <c r="B1877" s="1" t="e">
        <v>#N/A</v>
      </c>
      <c r="C1877" s="1" t="e">
        <v>#N/A</v>
      </c>
      <c r="D1877" s="1" t="s">
        <v>5034</v>
      </c>
      <c r="E1877" s="1" t="s">
        <v>5035</v>
      </c>
      <c r="F1877" s="1" t="s">
        <v>18502</v>
      </c>
      <c r="G1877" s="1" t="s">
        <v>8959</v>
      </c>
      <c r="H1877" t="s">
        <v>8959</v>
      </c>
      <c r="I1877" s="1" t="s">
        <v>8984</v>
      </c>
      <c r="J1877" s="1" t="s">
        <v>9155</v>
      </c>
      <c r="K1877" s="1" t="s">
        <v>21449</v>
      </c>
      <c r="L1877" s="1" t="s">
        <v>21153</v>
      </c>
      <c r="M1877" s="1">
        <v>3400</v>
      </c>
      <c r="N1877" s="1" t="s">
        <v>8953</v>
      </c>
      <c r="O1877" s="1" t="s">
        <v>8989</v>
      </c>
      <c r="P1877" s="1" t="e">
        <v>#N/A</v>
      </c>
      <c r="Q1877" s="1" t="e">
        <v>#N/A</v>
      </c>
      <c r="R1877" s="1">
        <f>1+LEN(T1877)-LEN(SUBSTITUTE(T1877,",",))</f>
        <v>6</v>
      </c>
      <c r="S1877" s="1" t="str">
        <f>IF(R1877&gt;4,IF(R1877&lt;8,"4-7",IF(R1877&gt;7,"&gt;7")),"&lt;4")</f>
        <v>4-7</v>
      </c>
      <c r="T1877" s="1" t="s">
        <v>19610</v>
      </c>
      <c r="U1877" s="1" t="s">
        <v>7</v>
      </c>
      <c r="V1877" s="1" t="s">
        <v>46</v>
      </c>
      <c r="W1877" s="1"/>
    </row>
    <row r="1878" spans="1:23" x14ac:dyDescent="0.2">
      <c r="A1878" s="88" t="s">
        <v>17139</v>
      </c>
      <c r="B1878" s="1" t="e">
        <v>#N/A</v>
      </c>
      <c r="C1878" s="1" t="s">
        <v>11698</v>
      </c>
      <c r="D1878" s="1" t="s">
        <v>5036</v>
      </c>
      <c r="E1878" s="1" t="s">
        <v>5037</v>
      </c>
      <c r="F1878" s="1" t="s">
        <v>9246</v>
      </c>
      <c r="G1878" s="1" t="s">
        <v>8974</v>
      </c>
      <c r="H1878" t="s">
        <v>9183</v>
      </c>
      <c r="I1878" s="1" t="s">
        <v>9092</v>
      </c>
      <c r="J1878" s="1" t="s">
        <v>8998</v>
      </c>
      <c r="K1878" s="1" t="s">
        <v>9051</v>
      </c>
      <c r="L1878" s="1" t="s">
        <v>9133</v>
      </c>
      <c r="M1878" s="1">
        <v>91</v>
      </c>
      <c r="N1878" s="1" t="s">
        <v>9059</v>
      </c>
      <c r="O1878" s="1" t="s">
        <v>8989</v>
      </c>
      <c r="P1878" s="1" t="s">
        <v>8955</v>
      </c>
      <c r="Q1878" s="1" t="s">
        <v>8956</v>
      </c>
      <c r="R1878" s="1" t="s">
        <v>8974</v>
      </c>
      <c r="S1878" s="1" t="s">
        <v>8975</v>
      </c>
      <c r="T1878" s="1" t="s">
        <v>5038</v>
      </c>
      <c r="U1878" s="1" t="s">
        <v>11</v>
      </c>
      <c r="V1878" s="1" t="s">
        <v>378</v>
      </c>
      <c r="W1878" s="1"/>
    </row>
    <row r="1879" spans="1:23" x14ac:dyDescent="0.2">
      <c r="A1879" s="88" t="s">
        <v>17140</v>
      </c>
      <c r="B1879" s="1" t="e">
        <v>#N/A</v>
      </c>
      <c r="C1879" s="1" t="e">
        <v>#N/A</v>
      </c>
      <c r="D1879" s="1" t="s">
        <v>5039</v>
      </c>
      <c r="E1879" s="1" t="s">
        <v>5040</v>
      </c>
      <c r="F1879" s="1" t="s">
        <v>18502</v>
      </c>
      <c r="G1879" s="1" t="e">
        <v>#N/A</v>
      </c>
      <c r="H1879" t="s">
        <v>9009</v>
      </c>
      <c r="I1879" s="1" t="s">
        <v>9035</v>
      </c>
      <c r="J1879" s="1" t="s">
        <v>8998</v>
      </c>
      <c r="K1879" s="1" t="e">
        <v>#N/A</v>
      </c>
      <c r="L1879" s="1" t="e">
        <v>#N/A</v>
      </c>
      <c r="M1879" s="1" t="e">
        <v>#N/A</v>
      </c>
      <c r="N1879" s="1" t="e">
        <v>#N/A</v>
      </c>
      <c r="O1879" s="1" t="e">
        <v>#N/A</v>
      </c>
      <c r="P1879" s="1" t="e">
        <v>#N/A</v>
      </c>
      <c r="Q1879" s="1" t="e">
        <v>#N/A</v>
      </c>
      <c r="R1879" s="1">
        <f t="shared" ref="R1879:R1881" si="550">1+LEN(T1879)-LEN(SUBSTITUTE(T1879,",",))</f>
        <v>20</v>
      </c>
      <c r="S1879" s="1" t="str">
        <f t="shared" ref="S1879:S1881" si="551">IF(R1879&gt;4,IF(R1879&lt;8,"4-7",IF(R1879&gt;7,"&gt;7")),"&lt;4")</f>
        <v>&gt;7</v>
      </c>
      <c r="T1879" s="1" t="s">
        <v>20642</v>
      </c>
      <c r="U1879" s="1" t="s">
        <v>7</v>
      </c>
      <c r="V1879" s="1" t="s">
        <v>752</v>
      </c>
      <c r="W1879" s="1"/>
    </row>
    <row r="1880" spans="1:23" x14ac:dyDescent="0.2">
      <c r="A1880" s="88" t="s">
        <v>17141</v>
      </c>
      <c r="B1880" s="1" t="e">
        <v>#N/A</v>
      </c>
      <c r="C1880" s="1" t="e">
        <v>#N/A</v>
      </c>
      <c r="D1880" s="1" t="s">
        <v>5041</v>
      </c>
      <c r="E1880" s="1" t="s">
        <v>5042</v>
      </c>
      <c r="F1880" s="1" t="s">
        <v>20895</v>
      </c>
      <c r="G1880" s="1" t="s">
        <v>8959</v>
      </c>
      <c r="H1880" t="s">
        <v>8959</v>
      </c>
      <c r="I1880" s="1" t="s">
        <v>9035</v>
      </c>
      <c r="J1880" s="1" t="s">
        <v>8998</v>
      </c>
      <c r="K1880" s="1" t="s">
        <v>21450</v>
      </c>
      <c r="L1880" s="1" t="s">
        <v>8987</v>
      </c>
      <c r="M1880" s="1">
        <f>1018+888+50</f>
        <v>1956</v>
      </c>
      <c r="N1880" s="1" t="s">
        <v>8953</v>
      </c>
      <c r="O1880" s="1" t="s">
        <v>8954</v>
      </c>
      <c r="P1880" s="1" t="e">
        <v>#N/A</v>
      </c>
      <c r="Q1880" s="1" t="e">
        <v>#N/A</v>
      </c>
      <c r="R1880" s="1">
        <f t="shared" si="550"/>
        <v>4</v>
      </c>
      <c r="S1880" s="1" t="str">
        <f t="shared" si="551"/>
        <v>&lt;4</v>
      </c>
      <c r="T1880" s="1" t="s">
        <v>19611</v>
      </c>
      <c r="U1880" s="1" t="s">
        <v>7</v>
      </c>
      <c r="V1880" s="1" t="s">
        <v>234</v>
      </c>
      <c r="W1880" s="1"/>
    </row>
    <row r="1881" spans="1:23" x14ac:dyDescent="0.2">
      <c r="A1881" s="88" t="s">
        <v>17142</v>
      </c>
      <c r="B1881" s="1" t="e">
        <v>#N/A</v>
      </c>
      <c r="C1881" s="1" t="e">
        <v>#N/A</v>
      </c>
      <c r="D1881" s="1" t="s">
        <v>5043</v>
      </c>
      <c r="E1881" s="1" t="s">
        <v>5044</v>
      </c>
      <c r="F1881" s="1" t="e">
        <v>#N/A</v>
      </c>
      <c r="G1881" s="1" t="e">
        <v>#N/A</v>
      </c>
      <c r="H1881" t="e">
        <v>#N/A</v>
      </c>
      <c r="I1881" s="1" t="e">
        <v>#N/A</v>
      </c>
      <c r="J1881" s="1" t="e">
        <v>#N/A</v>
      </c>
      <c r="K1881" s="1" t="e">
        <v>#N/A</v>
      </c>
      <c r="L1881" s="1" t="e">
        <v>#N/A</v>
      </c>
      <c r="M1881" s="1" t="e">
        <v>#N/A</v>
      </c>
      <c r="N1881" s="1" t="e">
        <v>#N/A</v>
      </c>
      <c r="O1881" s="1" t="e">
        <v>#N/A</v>
      </c>
      <c r="P1881" s="1" t="e">
        <v>#N/A</v>
      </c>
      <c r="Q1881" s="1" t="e">
        <v>#N/A</v>
      </c>
      <c r="R1881" s="1">
        <f t="shared" si="550"/>
        <v>4</v>
      </c>
      <c r="S1881" s="1" t="str">
        <f t="shared" si="551"/>
        <v>&lt;4</v>
      </c>
      <c r="T1881" s="1" t="s">
        <v>19611</v>
      </c>
      <c r="U1881" s="1" t="s">
        <v>252</v>
      </c>
      <c r="V1881" s="1" t="s">
        <v>64</v>
      </c>
      <c r="W1881" s="1"/>
    </row>
    <row r="1882" spans="1:23" x14ac:dyDescent="0.2">
      <c r="A1882" s="88" t="s">
        <v>17143</v>
      </c>
      <c r="B1882" s="1" t="e">
        <v>#N/A</v>
      </c>
      <c r="C1882" s="1" t="s">
        <v>12410</v>
      </c>
      <c r="D1882" s="1" t="s">
        <v>5045</v>
      </c>
      <c r="E1882" s="1" t="s">
        <v>5046</v>
      </c>
      <c r="F1882" s="1" t="s">
        <v>9333</v>
      </c>
      <c r="G1882" s="1" t="s">
        <v>8959</v>
      </c>
      <c r="H1882" t="s">
        <v>9183</v>
      </c>
      <c r="I1882" s="1" t="s">
        <v>9049</v>
      </c>
      <c r="J1882" s="1" t="s">
        <v>9050</v>
      </c>
      <c r="K1882" s="1" t="s">
        <v>9036</v>
      </c>
      <c r="L1882" s="1" t="s">
        <v>8951</v>
      </c>
      <c r="M1882" s="1">
        <v>1399</v>
      </c>
      <c r="N1882" s="1" t="s">
        <v>9059</v>
      </c>
      <c r="O1882" s="1" t="s">
        <v>8989</v>
      </c>
      <c r="P1882" s="1" t="s">
        <v>8955</v>
      </c>
      <c r="Q1882" s="1" t="s">
        <v>8956</v>
      </c>
      <c r="R1882" s="1" t="s">
        <v>8959</v>
      </c>
      <c r="S1882" s="1" t="s">
        <v>8958</v>
      </c>
      <c r="T1882" s="1" t="s">
        <v>5047</v>
      </c>
      <c r="U1882" s="1" t="s">
        <v>11</v>
      </c>
      <c r="V1882" s="1" t="s">
        <v>213</v>
      </c>
      <c r="W1882" s="1"/>
    </row>
    <row r="1883" spans="1:23" x14ac:dyDescent="0.2">
      <c r="A1883" s="88" t="s">
        <v>17144</v>
      </c>
      <c r="B1883" s="1" t="e">
        <v>#N/A</v>
      </c>
      <c r="C1883" s="1" t="e">
        <v>#N/A</v>
      </c>
      <c r="D1883" s="1" t="s">
        <v>5048</v>
      </c>
      <c r="E1883" s="1" t="s">
        <v>5049</v>
      </c>
      <c r="F1883" s="1" t="s">
        <v>18502</v>
      </c>
      <c r="G1883" s="1" t="s">
        <v>8957</v>
      </c>
      <c r="H1883" t="s">
        <v>9061</v>
      </c>
      <c r="I1883" s="1" t="s">
        <v>9154</v>
      </c>
      <c r="J1883" s="1" t="s">
        <v>8949</v>
      </c>
      <c r="K1883" s="1" t="s">
        <v>10492</v>
      </c>
      <c r="L1883" s="1" t="s">
        <v>9076</v>
      </c>
      <c r="M1883" s="1">
        <v>367</v>
      </c>
      <c r="N1883" s="1" t="s">
        <v>9059</v>
      </c>
      <c r="O1883" s="1" t="s">
        <v>8989</v>
      </c>
      <c r="P1883" s="1" t="e">
        <v>#N/A</v>
      </c>
      <c r="Q1883" s="1" t="e">
        <v>#N/A</v>
      </c>
      <c r="R1883" s="1">
        <f t="shared" ref="R1883:R1897" si="552">1+LEN(T1883)-LEN(SUBSTITUTE(T1883,",",))</f>
        <v>3</v>
      </c>
      <c r="S1883" s="1" t="str">
        <f t="shared" ref="S1883:S1897" si="553">IF(R1883&gt;4,IF(R1883&lt;8,"4-7",IF(R1883&gt;7,"&gt;7")),"&lt;4")</f>
        <v>&lt;4</v>
      </c>
      <c r="T1883" s="1" t="s">
        <v>19612</v>
      </c>
      <c r="U1883" s="1" t="s">
        <v>7</v>
      </c>
      <c r="V1883" s="1" t="s">
        <v>180</v>
      </c>
      <c r="W1883" s="1"/>
    </row>
    <row r="1884" spans="1:23" x14ac:dyDescent="0.2">
      <c r="A1884" s="88" t="s">
        <v>17145</v>
      </c>
      <c r="B1884" s="1" t="e">
        <v>#N/A</v>
      </c>
      <c r="C1884" s="1" t="e">
        <v>#N/A</v>
      </c>
      <c r="D1884" s="1" t="s">
        <v>5050</v>
      </c>
      <c r="E1884" s="1" t="s">
        <v>5051</v>
      </c>
      <c r="F1884" s="1" t="s">
        <v>18502</v>
      </c>
      <c r="G1884" s="1" t="s">
        <v>8957</v>
      </c>
      <c r="H1884" t="s">
        <v>8959</v>
      </c>
      <c r="I1884" s="1" t="s">
        <v>9035</v>
      </c>
      <c r="J1884" s="1" t="s">
        <v>8998</v>
      </c>
      <c r="K1884" s="1" t="s">
        <v>21148</v>
      </c>
      <c r="L1884" s="1" t="s">
        <v>8951</v>
      </c>
      <c r="M1884" s="1">
        <v>494</v>
      </c>
      <c r="N1884" s="1" t="s">
        <v>9059</v>
      </c>
      <c r="O1884" s="1" t="s">
        <v>8989</v>
      </c>
      <c r="P1884" s="1" t="e">
        <v>#N/A</v>
      </c>
      <c r="Q1884" s="1" t="e">
        <v>#N/A</v>
      </c>
      <c r="R1884" s="1">
        <f t="shared" si="552"/>
        <v>17</v>
      </c>
      <c r="S1884" s="1" t="str">
        <f t="shared" si="553"/>
        <v>&gt;7</v>
      </c>
      <c r="T1884" s="1" t="s">
        <v>19613</v>
      </c>
      <c r="U1884" s="1" t="s">
        <v>17</v>
      </c>
      <c r="V1884" s="1" t="s">
        <v>5052</v>
      </c>
      <c r="W1884" s="1"/>
    </row>
    <row r="1885" spans="1:23" x14ac:dyDescent="0.2">
      <c r="A1885" s="88" t="s">
        <v>17146</v>
      </c>
      <c r="B1885" s="1" t="e">
        <v>#N/A</v>
      </c>
      <c r="C1885" s="1" t="e">
        <v>#N/A</v>
      </c>
      <c r="D1885" s="1" t="s">
        <v>5053</v>
      </c>
      <c r="E1885" s="1" t="s">
        <v>5054</v>
      </c>
      <c r="F1885" s="1" t="s">
        <v>9815</v>
      </c>
      <c r="G1885" s="1" t="s">
        <v>8959</v>
      </c>
      <c r="H1885" t="s">
        <v>8959</v>
      </c>
      <c r="I1885" s="1" t="s">
        <v>9075</v>
      </c>
      <c r="J1885" s="1" t="s">
        <v>8971</v>
      </c>
      <c r="K1885" s="1" t="s">
        <v>10492</v>
      </c>
      <c r="L1885" s="1" t="s">
        <v>8973</v>
      </c>
      <c r="M1885" s="1">
        <v>13200</v>
      </c>
      <c r="N1885" s="1" t="s">
        <v>8953</v>
      </c>
      <c r="O1885" s="1" t="s">
        <v>8989</v>
      </c>
      <c r="P1885" s="1" t="e">
        <v>#N/A</v>
      </c>
      <c r="Q1885" s="1" t="e">
        <v>#N/A</v>
      </c>
      <c r="R1885" s="1">
        <f t="shared" si="552"/>
        <v>5</v>
      </c>
      <c r="S1885" s="1" t="str">
        <f t="shared" si="553"/>
        <v>4-7</v>
      </c>
      <c r="T1885" s="1" t="s">
        <v>19614</v>
      </c>
      <c r="U1885" s="1" t="s">
        <v>7</v>
      </c>
      <c r="V1885" s="1" t="s">
        <v>46</v>
      </c>
      <c r="W1885" s="1"/>
    </row>
    <row r="1886" spans="1:23" x14ac:dyDescent="0.2">
      <c r="A1886" s="88" t="s">
        <v>17147</v>
      </c>
      <c r="B1886" s="1" t="e">
        <v>#N/A</v>
      </c>
      <c r="C1886" s="1" t="e">
        <v>#N/A</v>
      </c>
      <c r="D1886" s="1" t="s">
        <v>5055</v>
      </c>
      <c r="E1886" s="1" t="s">
        <v>5056</v>
      </c>
      <c r="F1886" s="1" t="s">
        <v>9333</v>
      </c>
      <c r="G1886" s="1" t="s">
        <v>8974</v>
      </c>
      <c r="H1886" t="s">
        <v>9183</v>
      </c>
      <c r="I1886" s="1" t="s">
        <v>9092</v>
      </c>
      <c r="J1886" s="1" t="s">
        <v>9308</v>
      </c>
      <c r="K1886" s="1" t="s">
        <v>21283</v>
      </c>
      <c r="L1886" s="1" t="s">
        <v>9292</v>
      </c>
      <c r="M1886" s="1">
        <v>60</v>
      </c>
      <c r="N1886" s="1" t="s">
        <v>8953</v>
      </c>
      <c r="O1886" s="1" t="s">
        <v>8989</v>
      </c>
      <c r="P1886" s="1" t="e">
        <v>#N/A</v>
      </c>
      <c r="Q1886" s="1" t="e">
        <v>#N/A</v>
      </c>
      <c r="R1886" s="1">
        <f t="shared" si="552"/>
        <v>4</v>
      </c>
      <c r="S1886" s="1" t="str">
        <f t="shared" si="553"/>
        <v>&lt;4</v>
      </c>
      <c r="T1886" s="1" t="s">
        <v>19615</v>
      </c>
      <c r="U1886" s="1" t="s">
        <v>7</v>
      </c>
      <c r="V1886" s="1" t="s">
        <v>24</v>
      </c>
      <c r="W1886" s="1"/>
    </row>
    <row r="1887" spans="1:23" x14ac:dyDescent="0.2">
      <c r="A1887" s="88" t="s">
        <v>17148</v>
      </c>
      <c r="B1887" s="1" t="e">
        <v>#N/A</v>
      </c>
      <c r="C1887" s="1" t="e">
        <v>#N/A</v>
      </c>
      <c r="D1887" s="1" t="s">
        <v>5057</v>
      </c>
      <c r="E1887" s="1" t="s">
        <v>5058</v>
      </c>
      <c r="F1887" s="1" t="s">
        <v>9333</v>
      </c>
      <c r="G1887" s="1" t="s">
        <v>8957</v>
      </c>
      <c r="H1887" t="s">
        <v>8959</v>
      </c>
      <c r="I1887" s="1" t="s">
        <v>9075</v>
      </c>
      <c r="J1887" s="1" t="s">
        <v>9422</v>
      </c>
      <c r="K1887" s="1" t="s">
        <v>10492</v>
      </c>
      <c r="L1887" s="1" t="s">
        <v>9133</v>
      </c>
      <c r="M1887" s="1">
        <v>41</v>
      </c>
      <c r="N1887" s="1" t="s">
        <v>9059</v>
      </c>
      <c r="O1887" s="1" t="s">
        <v>8954</v>
      </c>
      <c r="P1887" s="1" t="e">
        <v>#N/A</v>
      </c>
      <c r="Q1887" s="1" t="e">
        <v>#N/A</v>
      </c>
      <c r="R1887" s="1">
        <f t="shared" si="552"/>
        <v>18</v>
      </c>
      <c r="S1887" s="1" t="str">
        <f t="shared" si="553"/>
        <v>&gt;7</v>
      </c>
      <c r="T1887" s="1" t="s">
        <v>19616</v>
      </c>
      <c r="U1887" s="1" t="s">
        <v>7</v>
      </c>
      <c r="V1887" s="1" t="s">
        <v>1979</v>
      </c>
      <c r="W1887" s="1"/>
    </row>
    <row r="1888" spans="1:23" x14ac:dyDescent="0.2">
      <c r="A1888" s="88" t="s">
        <v>17149</v>
      </c>
      <c r="B1888" s="1" t="e">
        <v>#N/A</v>
      </c>
      <c r="C1888" s="1" t="e">
        <v>#N/A</v>
      </c>
      <c r="D1888" s="1" t="s">
        <v>5059</v>
      </c>
      <c r="E1888" s="1" t="s">
        <v>5060</v>
      </c>
      <c r="F1888" s="1" t="s">
        <v>9333</v>
      </c>
      <c r="G1888" s="1" t="s">
        <v>8959</v>
      </c>
      <c r="H1888" t="s">
        <v>9183</v>
      </c>
      <c r="I1888" s="1" t="s">
        <v>9100</v>
      </c>
      <c r="J1888" s="1" t="s">
        <v>9155</v>
      </c>
      <c r="K1888" s="1" t="s">
        <v>20893</v>
      </c>
      <c r="L1888" s="1" t="s">
        <v>9133</v>
      </c>
      <c r="M1888" s="1">
        <v>217</v>
      </c>
      <c r="N1888" s="1" t="s">
        <v>9059</v>
      </c>
      <c r="O1888" s="1" t="s">
        <v>8989</v>
      </c>
      <c r="P1888" s="1" t="e">
        <v>#N/A</v>
      </c>
      <c r="Q1888" s="1" t="e">
        <v>#N/A</v>
      </c>
      <c r="R1888" s="1">
        <f t="shared" si="552"/>
        <v>12</v>
      </c>
      <c r="S1888" s="1" t="str">
        <f t="shared" si="553"/>
        <v>&gt;7</v>
      </c>
      <c r="T1888" s="1" t="s">
        <v>19617</v>
      </c>
      <c r="U1888" s="1" t="s">
        <v>7</v>
      </c>
      <c r="V1888" s="1" t="s">
        <v>5061</v>
      </c>
      <c r="W1888" s="1"/>
    </row>
    <row r="1889" spans="1:23" x14ac:dyDescent="0.2">
      <c r="A1889" s="88" t="s">
        <v>17150</v>
      </c>
      <c r="B1889" s="1" t="e">
        <v>#N/A</v>
      </c>
      <c r="C1889" s="1" t="e">
        <v>#N/A</v>
      </c>
      <c r="D1889" s="1" t="s">
        <v>5062</v>
      </c>
      <c r="E1889" s="1" t="s">
        <v>5063</v>
      </c>
      <c r="F1889" s="1" t="s">
        <v>9333</v>
      </c>
      <c r="G1889" s="1" t="s">
        <v>8974</v>
      </c>
      <c r="H1889" t="s">
        <v>9061</v>
      </c>
      <c r="I1889" s="1" t="s">
        <v>9075</v>
      </c>
      <c r="J1889" s="1" t="s">
        <v>8971</v>
      </c>
      <c r="K1889" s="1" t="s">
        <v>10525</v>
      </c>
      <c r="L1889" s="1" t="s">
        <v>8951</v>
      </c>
      <c r="M1889" s="1">
        <v>108</v>
      </c>
      <c r="N1889" s="1" t="s">
        <v>9059</v>
      </c>
      <c r="O1889" s="1" t="s">
        <v>20894</v>
      </c>
      <c r="P1889" s="1" t="e">
        <v>#N/A</v>
      </c>
      <c r="Q1889" s="1" t="e">
        <v>#N/A</v>
      </c>
      <c r="R1889" s="1">
        <f t="shared" si="552"/>
        <v>7</v>
      </c>
      <c r="S1889" s="1" t="str">
        <f t="shared" si="553"/>
        <v>4-7</v>
      </c>
      <c r="T1889" s="1" t="s">
        <v>20643</v>
      </c>
      <c r="U1889" s="1" t="s">
        <v>17</v>
      </c>
      <c r="V1889" s="1" t="s">
        <v>110</v>
      </c>
      <c r="W1889" s="1"/>
    </row>
    <row r="1890" spans="1:23" x14ac:dyDescent="0.2">
      <c r="A1890" s="88" t="s">
        <v>17151</v>
      </c>
      <c r="B1890" s="1" t="e">
        <v>#N/A</v>
      </c>
      <c r="C1890" s="1" t="e">
        <v>#N/A</v>
      </c>
      <c r="D1890" s="1" t="s">
        <v>5064</v>
      </c>
      <c r="E1890" s="1" t="s">
        <v>5065</v>
      </c>
      <c r="F1890" s="1" t="s">
        <v>9333</v>
      </c>
      <c r="G1890" s="1" t="s">
        <v>8957</v>
      </c>
      <c r="H1890" t="s">
        <v>8959</v>
      </c>
      <c r="I1890" s="1" t="s">
        <v>9154</v>
      </c>
      <c r="J1890" s="1" t="s">
        <v>9308</v>
      </c>
      <c r="K1890" s="1" t="s">
        <v>10525</v>
      </c>
      <c r="L1890" s="1" t="s">
        <v>9133</v>
      </c>
      <c r="M1890" s="1">
        <v>952</v>
      </c>
      <c r="N1890" s="1" t="s">
        <v>8953</v>
      </c>
      <c r="O1890" s="1" t="s">
        <v>8989</v>
      </c>
      <c r="P1890" s="1" t="e">
        <v>#N/A</v>
      </c>
      <c r="Q1890" s="1" t="e">
        <v>#N/A</v>
      </c>
      <c r="R1890" s="1">
        <f t="shared" si="552"/>
        <v>13</v>
      </c>
      <c r="S1890" s="1" t="str">
        <f t="shared" si="553"/>
        <v>&gt;7</v>
      </c>
      <c r="T1890" s="1" t="s">
        <v>20644</v>
      </c>
      <c r="U1890" s="1" t="s">
        <v>7</v>
      </c>
      <c r="V1890" s="1" t="s">
        <v>5066</v>
      </c>
      <c r="W1890" s="1"/>
    </row>
    <row r="1891" spans="1:23" x14ac:dyDescent="0.2">
      <c r="A1891" s="88" t="s">
        <v>17152</v>
      </c>
      <c r="B1891" s="1" t="e">
        <v>#N/A</v>
      </c>
      <c r="C1891" s="1" t="e">
        <v>#N/A</v>
      </c>
      <c r="D1891" s="1" t="s">
        <v>5067</v>
      </c>
      <c r="E1891" s="1" t="s">
        <v>5068</v>
      </c>
      <c r="F1891" s="1" t="s">
        <v>11671</v>
      </c>
      <c r="G1891" s="1" t="s">
        <v>8957</v>
      </c>
      <c r="H1891" t="s">
        <v>8959</v>
      </c>
      <c r="I1891" s="1" t="s">
        <v>9605</v>
      </c>
      <c r="J1891" s="1" t="s">
        <v>9101</v>
      </c>
      <c r="K1891" s="1" t="s">
        <v>10492</v>
      </c>
      <c r="L1891" s="1" t="s">
        <v>9292</v>
      </c>
      <c r="M1891" s="1">
        <v>1077</v>
      </c>
      <c r="N1891" s="1" t="s">
        <v>8953</v>
      </c>
      <c r="O1891" s="1" t="s">
        <v>8989</v>
      </c>
      <c r="P1891" s="1" t="e">
        <v>#N/A</v>
      </c>
      <c r="Q1891" s="1" t="e">
        <v>#N/A</v>
      </c>
      <c r="R1891" s="1">
        <f t="shared" si="552"/>
        <v>2</v>
      </c>
      <c r="S1891" s="1" t="str">
        <f t="shared" si="553"/>
        <v>&lt;4</v>
      </c>
      <c r="T1891" s="1" t="s">
        <v>19618</v>
      </c>
      <c r="U1891" s="1" t="s">
        <v>17</v>
      </c>
      <c r="V1891" s="1" t="s">
        <v>184</v>
      </c>
      <c r="W1891" s="1"/>
    </row>
    <row r="1892" spans="1:23" x14ac:dyDescent="0.2">
      <c r="A1892" s="89" t="s">
        <v>5069</v>
      </c>
      <c r="B1892" s="1" t="e">
        <v>#N/A</v>
      </c>
      <c r="C1892" s="1" t="e">
        <v>#N/A</v>
      </c>
      <c r="D1892" s="1" t="s">
        <v>5070</v>
      </c>
      <c r="E1892" s="1" t="s">
        <v>5071</v>
      </c>
      <c r="F1892" s="1" t="e">
        <v>#N/A</v>
      </c>
      <c r="G1892" s="1" t="e">
        <v>#N/A</v>
      </c>
      <c r="H1892" t="e">
        <v>#N/A</v>
      </c>
      <c r="I1892" s="1" t="e">
        <v>#N/A</v>
      </c>
      <c r="J1892" s="1" t="e">
        <v>#N/A</v>
      </c>
      <c r="K1892" s="1" t="e">
        <v>#N/A</v>
      </c>
      <c r="L1892" s="1" t="e">
        <v>#N/A</v>
      </c>
      <c r="M1892" s="1" t="e">
        <v>#N/A</v>
      </c>
      <c r="N1892" s="1" t="e">
        <v>#N/A</v>
      </c>
      <c r="O1892" s="1" t="e">
        <v>#N/A</v>
      </c>
      <c r="P1892" s="1" t="e">
        <v>#N/A</v>
      </c>
      <c r="Q1892" s="1" t="e">
        <v>#N/A</v>
      </c>
      <c r="R1892" s="1">
        <f t="shared" si="552"/>
        <v>2</v>
      </c>
      <c r="S1892" s="1" t="str">
        <f t="shared" si="553"/>
        <v>&lt;4</v>
      </c>
      <c r="T1892" s="1" t="s">
        <v>19619</v>
      </c>
      <c r="U1892" s="1" t="s">
        <v>11</v>
      </c>
      <c r="V1892" s="1" t="s">
        <v>3798</v>
      </c>
      <c r="W1892" s="1"/>
    </row>
    <row r="1893" spans="1:23" x14ac:dyDescent="0.2">
      <c r="A1893" s="89" t="s">
        <v>5072</v>
      </c>
      <c r="B1893" s="1" t="e">
        <v>#N/A</v>
      </c>
      <c r="C1893" s="1" t="e">
        <v>#N/A</v>
      </c>
      <c r="D1893" s="1" t="s">
        <v>5073</v>
      </c>
      <c r="E1893" s="1" t="s">
        <v>5074</v>
      </c>
      <c r="F1893" s="1" t="e">
        <v>#N/A</v>
      </c>
      <c r="G1893" s="1" t="e">
        <v>#N/A</v>
      </c>
      <c r="H1893" t="e">
        <v>#N/A</v>
      </c>
      <c r="I1893" s="1" t="e">
        <v>#N/A</v>
      </c>
      <c r="J1893" s="1" t="e">
        <v>#N/A</v>
      </c>
      <c r="K1893" s="1" t="e">
        <v>#N/A</v>
      </c>
      <c r="L1893" s="1" t="e">
        <v>#N/A</v>
      </c>
      <c r="M1893" s="1" t="e">
        <v>#N/A</v>
      </c>
      <c r="N1893" s="1" t="e">
        <v>#N/A</v>
      </c>
      <c r="O1893" s="1" t="e">
        <v>#N/A</v>
      </c>
      <c r="P1893" s="1" t="e">
        <v>#N/A</v>
      </c>
      <c r="Q1893" s="1" t="e">
        <v>#N/A</v>
      </c>
      <c r="R1893" s="1">
        <f t="shared" si="552"/>
        <v>4</v>
      </c>
      <c r="S1893" s="1" t="str">
        <f t="shared" si="553"/>
        <v>&lt;4</v>
      </c>
      <c r="T1893" s="1" t="s">
        <v>19620</v>
      </c>
      <c r="U1893" s="1" t="s">
        <v>17</v>
      </c>
      <c r="V1893" s="1" t="s">
        <v>619</v>
      </c>
      <c r="W1893" s="1"/>
    </row>
    <row r="1894" spans="1:23" x14ac:dyDescent="0.2">
      <c r="A1894" s="89" t="s">
        <v>17153</v>
      </c>
      <c r="B1894" s="1" t="e">
        <v>#N/A</v>
      </c>
      <c r="C1894" s="1" t="e">
        <v>#N/A</v>
      </c>
      <c r="D1894" s="1" t="s">
        <v>5075</v>
      </c>
      <c r="E1894" s="1" t="s">
        <v>5076</v>
      </c>
      <c r="F1894" s="1" t="s">
        <v>18502</v>
      </c>
      <c r="G1894" s="1" t="e">
        <v>#N/A</v>
      </c>
      <c r="H1894" t="s">
        <v>9061</v>
      </c>
      <c r="I1894" s="1" t="e">
        <v>#N/A</v>
      </c>
      <c r="J1894" s="1" t="s">
        <v>8998</v>
      </c>
      <c r="K1894" s="1" t="e">
        <v>#N/A</v>
      </c>
      <c r="L1894" s="1" t="s">
        <v>9076</v>
      </c>
      <c r="M1894" s="1" t="e">
        <v>#N/A</v>
      </c>
      <c r="N1894" s="1" t="e">
        <v>#N/A</v>
      </c>
      <c r="O1894" s="1" t="e">
        <v>#N/A</v>
      </c>
      <c r="P1894" s="1" t="e">
        <v>#N/A</v>
      </c>
      <c r="Q1894" s="1" t="e">
        <v>#N/A</v>
      </c>
      <c r="R1894" s="1">
        <f t="shared" si="552"/>
        <v>2</v>
      </c>
      <c r="S1894" s="1" t="str">
        <f t="shared" si="553"/>
        <v>&lt;4</v>
      </c>
      <c r="T1894" s="1" t="s">
        <v>19621</v>
      </c>
      <c r="U1894" s="1" t="s">
        <v>7</v>
      </c>
      <c r="V1894" s="1" t="s">
        <v>5077</v>
      </c>
      <c r="W1894" s="1"/>
    </row>
    <row r="1895" spans="1:23" x14ac:dyDescent="0.2">
      <c r="A1895" s="88" t="s">
        <v>17154</v>
      </c>
      <c r="B1895" s="1" t="e">
        <v>#N/A</v>
      </c>
      <c r="C1895" s="1" t="e">
        <v>#N/A</v>
      </c>
      <c r="D1895" s="1" t="s">
        <v>5078</v>
      </c>
      <c r="E1895" s="1" t="s">
        <v>5079</v>
      </c>
      <c r="F1895" s="1" t="s">
        <v>18502</v>
      </c>
      <c r="G1895" s="1" t="s">
        <v>9060</v>
      </c>
      <c r="H1895" t="s">
        <v>9061</v>
      </c>
      <c r="I1895" s="1" t="s">
        <v>9092</v>
      </c>
      <c r="J1895" s="1" t="s">
        <v>8949</v>
      </c>
      <c r="K1895" s="1" t="s">
        <v>10492</v>
      </c>
      <c r="L1895" s="1" t="s">
        <v>8973</v>
      </c>
      <c r="M1895" s="1">
        <v>1880</v>
      </c>
      <c r="N1895" s="1" t="s">
        <v>8953</v>
      </c>
      <c r="O1895" s="1" t="s">
        <v>8989</v>
      </c>
      <c r="P1895" s="1" t="e">
        <v>#N/A</v>
      </c>
      <c r="Q1895" s="1" t="e">
        <v>#N/A</v>
      </c>
      <c r="R1895" s="1">
        <f t="shared" si="552"/>
        <v>17</v>
      </c>
      <c r="S1895" s="1" t="str">
        <f t="shared" si="553"/>
        <v>&gt;7</v>
      </c>
      <c r="T1895" s="1" t="s">
        <v>20645</v>
      </c>
      <c r="U1895" s="1" t="s">
        <v>17</v>
      </c>
      <c r="V1895" s="1" t="s">
        <v>1202</v>
      </c>
      <c r="W1895" s="1"/>
    </row>
    <row r="1896" spans="1:23" x14ac:dyDescent="0.2">
      <c r="A1896" s="88" t="s">
        <v>17155</v>
      </c>
      <c r="B1896" s="1" t="e">
        <v>#N/A</v>
      </c>
      <c r="C1896" s="1" t="e">
        <v>#N/A</v>
      </c>
      <c r="D1896" s="1" t="s">
        <v>5080</v>
      </c>
      <c r="E1896" s="1" t="s">
        <v>5081</v>
      </c>
      <c r="F1896" s="1" t="s">
        <v>18502</v>
      </c>
      <c r="G1896" s="1" t="s">
        <v>8957</v>
      </c>
      <c r="H1896" t="s">
        <v>9061</v>
      </c>
      <c r="I1896" s="1" t="s">
        <v>8948</v>
      </c>
      <c r="J1896" s="1" t="s">
        <v>9155</v>
      </c>
      <c r="K1896" s="1" t="s">
        <v>20785</v>
      </c>
      <c r="L1896" s="1" t="s">
        <v>9464</v>
      </c>
      <c r="M1896" s="1">
        <f>8350+8350</f>
        <v>16700</v>
      </c>
      <c r="N1896" s="1" t="s">
        <v>8953</v>
      </c>
      <c r="O1896" s="1" t="s">
        <v>8989</v>
      </c>
      <c r="P1896" s="1" t="e">
        <v>#N/A</v>
      </c>
      <c r="Q1896" s="1" t="e">
        <v>#N/A</v>
      </c>
      <c r="R1896" s="1">
        <f t="shared" si="552"/>
        <v>6</v>
      </c>
      <c r="S1896" s="1" t="str">
        <f t="shared" si="553"/>
        <v>4-7</v>
      </c>
      <c r="T1896" s="1" t="s">
        <v>19622</v>
      </c>
      <c r="U1896" s="1" t="s">
        <v>7</v>
      </c>
      <c r="V1896" s="1" t="s">
        <v>93</v>
      </c>
      <c r="W1896" s="1"/>
    </row>
    <row r="1897" spans="1:23" x14ac:dyDescent="0.2">
      <c r="A1897" s="88" t="s">
        <v>17156</v>
      </c>
      <c r="B1897" s="1" t="e">
        <v>#N/A</v>
      </c>
      <c r="C1897" s="1" t="e">
        <v>#N/A</v>
      </c>
      <c r="D1897" s="1" t="s">
        <v>5082</v>
      </c>
      <c r="E1897" s="1" t="s">
        <v>5083</v>
      </c>
      <c r="F1897" s="1" t="s">
        <v>9465</v>
      </c>
      <c r="G1897" s="1" t="s">
        <v>8959</v>
      </c>
      <c r="H1897" t="s">
        <v>9061</v>
      </c>
      <c r="I1897" s="1" t="s">
        <v>9100</v>
      </c>
      <c r="J1897" s="1" t="s">
        <v>8949</v>
      </c>
      <c r="K1897" s="1" t="s">
        <v>10492</v>
      </c>
      <c r="L1897" s="1" t="s">
        <v>8951</v>
      </c>
      <c r="M1897" s="1">
        <f>26+54+32</f>
        <v>112</v>
      </c>
      <c r="N1897" s="1" t="s">
        <v>9059</v>
      </c>
      <c r="O1897" s="1" t="s">
        <v>8954</v>
      </c>
      <c r="P1897" s="1" t="e">
        <v>#N/A</v>
      </c>
      <c r="Q1897" s="1" t="e">
        <v>#N/A</v>
      </c>
      <c r="R1897" s="1">
        <f t="shared" si="552"/>
        <v>19</v>
      </c>
      <c r="S1897" s="1" t="str">
        <f t="shared" si="553"/>
        <v>&gt;7</v>
      </c>
      <c r="T1897" s="1" t="s">
        <v>20646</v>
      </c>
      <c r="U1897" s="1" t="s">
        <v>7</v>
      </c>
      <c r="V1897" s="1" t="s">
        <v>57</v>
      </c>
      <c r="W1897" s="1"/>
    </row>
    <row r="1898" spans="1:23" x14ac:dyDescent="0.2">
      <c r="A1898" s="88" t="s">
        <v>17157</v>
      </c>
      <c r="B1898" s="1" t="e">
        <v>#N/A</v>
      </c>
      <c r="C1898" s="1" t="s">
        <v>12087</v>
      </c>
      <c r="D1898" s="1" t="s">
        <v>15482</v>
      </c>
      <c r="E1898" s="1" t="s">
        <v>5084</v>
      </c>
      <c r="F1898" s="1" t="s">
        <v>9010</v>
      </c>
      <c r="G1898" s="1" t="s">
        <v>8957</v>
      </c>
      <c r="H1898" t="s">
        <v>8959</v>
      </c>
      <c r="I1898" s="1" t="s">
        <v>9605</v>
      </c>
      <c r="J1898" s="1" t="s">
        <v>9155</v>
      </c>
      <c r="K1898" s="1" t="s">
        <v>8972</v>
      </c>
      <c r="L1898" s="1" t="s">
        <v>8951</v>
      </c>
      <c r="M1898" s="1">
        <v>3456</v>
      </c>
      <c r="N1898" s="1" t="s">
        <v>8953</v>
      </c>
      <c r="O1898" s="1" t="s">
        <v>8989</v>
      </c>
      <c r="P1898" s="1" t="s">
        <v>8955</v>
      </c>
      <c r="Q1898" s="1" t="s">
        <v>8956</v>
      </c>
      <c r="R1898" s="1" t="s">
        <v>8957</v>
      </c>
      <c r="S1898" s="1" t="s">
        <v>8975</v>
      </c>
      <c r="T1898" s="1" t="s">
        <v>5085</v>
      </c>
      <c r="U1898" s="1" t="s">
        <v>11</v>
      </c>
      <c r="V1898" s="1" t="s">
        <v>5086</v>
      </c>
      <c r="W1898" s="1"/>
    </row>
    <row r="1899" spans="1:23" x14ac:dyDescent="0.2">
      <c r="A1899" s="89" t="s">
        <v>17158</v>
      </c>
      <c r="B1899" s="1" t="e">
        <v>#N/A</v>
      </c>
      <c r="C1899" s="1" t="e">
        <v>#N/A</v>
      </c>
      <c r="D1899" s="1" t="s">
        <v>5087</v>
      </c>
      <c r="E1899" s="1" t="s">
        <v>5088</v>
      </c>
      <c r="F1899" s="1" t="e">
        <v>#N/A</v>
      </c>
      <c r="G1899" s="1" t="e">
        <v>#N/A</v>
      </c>
      <c r="H1899" t="e">
        <v>#N/A</v>
      </c>
      <c r="I1899" s="1" t="e">
        <v>#N/A</v>
      </c>
      <c r="J1899" s="1" t="e">
        <v>#N/A</v>
      </c>
      <c r="K1899" s="1" t="e">
        <v>#N/A</v>
      </c>
      <c r="L1899" s="1" t="e">
        <v>#N/A</v>
      </c>
      <c r="M1899" s="1" t="e">
        <v>#N/A</v>
      </c>
      <c r="N1899" s="1" t="e">
        <v>#N/A</v>
      </c>
      <c r="O1899" s="1" t="e">
        <v>#N/A</v>
      </c>
      <c r="P1899" s="1" t="e">
        <v>#N/A</v>
      </c>
      <c r="Q1899" s="1" t="e">
        <v>#N/A</v>
      </c>
      <c r="R1899" s="1">
        <f>1+LEN(T1899)-LEN(SUBSTITUTE(T1899,",",))</f>
        <v>1</v>
      </c>
      <c r="S1899" s="1" t="str">
        <f>IF(R1899&gt;4,IF(R1899&lt;8,"4-7",IF(R1899&gt;7,"&gt;7")),"&lt;4")</f>
        <v>&lt;4</v>
      </c>
      <c r="U1899" s="1" t="s">
        <v>17</v>
      </c>
      <c r="V1899" s="1" t="s">
        <v>686</v>
      </c>
      <c r="W1899" s="1"/>
    </row>
    <row r="1900" spans="1:23" x14ac:dyDescent="0.2">
      <c r="A1900" s="88" t="s">
        <v>17159</v>
      </c>
      <c r="B1900" s="1" t="e">
        <v>#N/A</v>
      </c>
      <c r="C1900" s="1" t="s">
        <v>15230</v>
      </c>
      <c r="D1900" s="1" t="s">
        <v>5089</v>
      </c>
      <c r="E1900" s="1" t="s">
        <v>5090</v>
      </c>
      <c r="F1900" s="1" t="s">
        <v>9010</v>
      </c>
      <c r="G1900" s="1" t="s">
        <v>8957</v>
      </c>
      <c r="H1900" t="s">
        <v>9061</v>
      </c>
      <c r="I1900" s="1" t="s">
        <v>9049</v>
      </c>
      <c r="J1900" s="1" t="s">
        <v>9155</v>
      </c>
      <c r="K1900" s="1" t="s">
        <v>9036</v>
      </c>
      <c r="L1900" s="1" t="s">
        <v>8987</v>
      </c>
      <c r="M1900" s="1">
        <v>6292</v>
      </c>
      <c r="N1900" s="1" t="s">
        <v>8953</v>
      </c>
      <c r="O1900" s="1" t="s">
        <v>8989</v>
      </c>
      <c r="P1900" s="1" t="s">
        <v>8955</v>
      </c>
      <c r="Q1900" s="1" t="s">
        <v>8956</v>
      </c>
      <c r="R1900" s="1" t="s">
        <v>8957</v>
      </c>
      <c r="S1900" s="1" t="s">
        <v>9103</v>
      </c>
      <c r="T1900" s="1" t="s">
        <v>5091</v>
      </c>
      <c r="U1900" s="1" t="s">
        <v>17</v>
      </c>
      <c r="V1900" s="1" t="s">
        <v>447</v>
      </c>
      <c r="W1900" s="1"/>
    </row>
    <row r="1901" spans="1:23" x14ac:dyDescent="0.2">
      <c r="A1901" s="88" t="s">
        <v>17160</v>
      </c>
      <c r="B1901" s="1" t="e">
        <v>#N/A</v>
      </c>
      <c r="C1901" s="1" t="s">
        <v>13829</v>
      </c>
      <c r="D1901" s="1" t="s">
        <v>5092</v>
      </c>
      <c r="E1901" s="1" t="s">
        <v>5093</v>
      </c>
      <c r="F1901" s="1" t="s">
        <v>9380</v>
      </c>
      <c r="G1901" s="1" t="s">
        <v>8957</v>
      </c>
      <c r="H1901" t="s">
        <v>8959</v>
      </c>
      <c r="I1901" s="1" t="s">
        <v>13832</v>
      </c>
      <c r="J1901" s="1" t="s">
        <v>9155</v>
      </c>
      <c r="K1901" s="1" t="s">
        <v>8972</v>
      </c>
      <c r="L1901" s="1" t="s">
        <v>8973</v>
      </c>
      <c r="M1901" s="1">
        <v>26250</v>
      </c>
      <c r="N1901" s="1" t="s">
        <v>8953</v>
      </c>
      <c r="O1901" s="1" t="s">
        <v>8954</v>
      </c>
      <c r="P1901" s="1" t="s">
        <v>8955</v>
      </c>
      <c r="Q1901" s="1" t="s">
        <v>8990</v>
      </c>
      <c r="R1901" s="1" t="s">
        <v>8957</v>
      </c>
      <c r="S1901" s="1" t="s">
        <v>8975</v>
      </c>
      <c r="T1901" s="1" t="s">
        <v>5094</v>
      </c>
      <c r="U1901" s="1" t="s">
        <v>4</v>
      </c>
      <c r="V1901" s="1" t="s">
        <v>53</v>
      </c>
      <c r="W1901" s="1"/>
    </row>
    <row r="1902" spans="1:23" x14ac:dyDescent="0.2">
      <c r="A1902" s="88" t="s">
        <v>17161</v>
      </c>
      <c r="B1902" s="1" t="e">
        <v>#N/A</v>
      </c>
      <c r="C1902" s="1" t="e">
        <v>#N/A</v>
      </c>
      <c r="D1902" s="1" t="s">
        <v>5095</v>
      </c>
      <c r="E1902" s="1" t="s">
        <v>5096</v>
      </c>
      <c r="F1902" s="1" t="s">
        <v>9246</v>
      </c>
      <c r="G1902" s="1" t="s">
        <v>9060</v>
      </c>
      <c r="H1902" t="s">
        <v>9009</v>
      </c>
      <c r="I1902" s="1" t="s">
        <v>9100</v>
      </c>
      <c r="J1902" s="1" t="s">
        <v>8949</v>
      </c>
      <c r="K1902" s="1" t="s">
        <v>20896</v>
      </c>
      <c r="L1902" s="1" t="s">
        <v>8951</v>
      </c>
      <c r="M1902" s="1">
        <f>257+55+54</f>
        <v>366</v>
      </c>
      <c r="N1902" s="1" t="s">
        <v>9059</v>
      </c>
      <c r="O1902" s="1" t="s">
        <v>8989</v>
      </c>
      <c r="P1902" s="1" t="e">
        <v>#N/A</v>
      </c>
      <c r="Q1902" s="1" t="e">
        <v>#N/A</v>
      </c>
      <c r="R1902" s="1">
        <f>1+LEN(T1902)-LEN(SUBSTITUTE(T1902,",",))</f>
        <v>8</v>
      </c>
      <c r="S1902" s="1" t="str">
        <f>IF(R1902&gt;4,IF(R1902&lt;8,"4-7",IF(R1902&gt;7,"&gt;7")),"&lt;4")</f>
        <v>&gt;7</v>
      </c>
      <c r="T1902" s="1" t="s">
        <v>19623</v>
      </c>
      <c r="U1902" s="1" t="s">
        <v>7</v>
      </c>
      <c r="V1902" s="1" t="s">
        <v>778</v>
      </c>
      <c r="W1902" s="1"/>
    </row>
    <row r="1903" spans="1:23" x14ac:dyDescent="0.2">
      <c r="A1903" s="88" t="s">
        <v>17162</v>
      </c>
      <c r="B1903" s="1" t="e">
        <v>#N/A</v>
      </c>
      <c r="C1903" s="1" t="s">
        <v>11039</v>
      </c>
      <c r="D1903" s="1" t="s">
        <v>5097</v>
      </c>
      <c r="E1903" s="1" t="s">
        <v>5098</v>
      </c>
      <c r="F1903" s="1" t="s">
        <v>9010</v>
      </c>
      <c r="G1903" s="1" t="s">
        <v>8957</v>
      </c>
      <c r="H1903" t="s">
        <v>9183</v>
      </c>
      <c r="I1903" s="1" t="s">
        <v>8984</v>
      </c>
      <c r="J1903" s="1" t="s">
        <v>8998</v>
      </c>
      <c r="K1903" s="1" t="s">
        <v>10258</v>
      </c>
      <c r="L1903" s="1" t="s">
        <v>8973</v>
      </c>
      <c r="M1903" s="1">
        <v>100</v>
      </c>
      <c r="N1903" s="1" t="s">
        <v>9059</v>
      </c>
      <c r="O1903" s="1" t="s">
        <v>8954</v>
      </c>
      <c r="P1903" s="1" t="s">
        <v>8955</v>
      </c>
      <c r="Q1903" s="1" t="s">
        <v>8956</v>
      </c>
      <c r="R1903" s="1" t="s">
        <v>8957</v>
      </c>
      <c r="S1903" s="1" t="s">
        <v>8975</v>
      </c>
      <c r="T1903" s="1" t="s">
        <v>5099</v>
      </c>
      <c r="U1903" s="1" t="s">
        <v>17</v>
      </c>
      <c r="V1903" s="1" t="s">
        <v>4602</v>
      </c>
      <c r="W1903" s="1"/>
    </row>
    <row r="1904" spans="1:23" x14ac:dyDescent="0.2">
      <c r="A1904" s="88" t="s">
        <v>17163</v>
      </c>
      <c r="B1904" s="1" t="e">
        <v>#N/A</v>
      </c>
      <c r="C1904" s="1" t="s">
        <v>13054</v>
      </c>
      <c r="D1904" s="1" t="s">
        <v>5100</v>
      </c>
      <c r="E1904" s="1" t="s">
        <v>5101</v>
      </c>
      <c r="F1904" s="1" t="s">
        <v>9310</v>
      </c>
      <c r="G1904" s="1" t="s">
        <v>8974</v>
      </c>
      <c r="H1904" t="s">
        <v>9009</v>
      </c>
      <c r="I1904" s="1" t="s">
        <v>8948</v>
      </c>
      <c r="J1904" s="1" t="s">
        <v>8998</v>
      </c>
      <c r="K1904" s="1" t="s">
        <v>9018</v>
      </c>
      <c r="L1904" s="1" t="s">
        <v>8973</v>
      </c>
      <c r="M1904" s="1">
        <v>230</v>
      </c>
      <c r="N1904" s="1" t="s">
        <v>9059</v>
      </c>
      <c r="O1904" s="1" t="s">
        <v>8989</v>
      </c>
      <c r="P1904" s="1" t="s">
        <v>8955</v>
      </c>
      <c r="Q1904" s="1" t="s">
        <v>8956</v>
      </c>
      <c r="R1904" s="1" t="s">
        <v>8974</v>
      </c>
      <c r="S1904" s="1" t="s">
        <v>8958</v>
      </c>
      <c r="T1904" s="1" t="s">
        <v>5102</v>
      </c>
      <c r="U1904" s="1" t="s">
        <v>4</v>
      </c>
      <c r="V1904" s="1" t="s">
        <v>2377</v>
      </c>
      <c r="W1904" s="1"/>
    </row>
    <row r="1905" spans="1:23" x14ac:dyDescent="0.2">
      <c r="A1905" s="88" t="s">
        <v>17164</v>
      </c>
      <c r="B1905" s="1" t="e">
        <v>#N/A</v>
      </c>
      <c r="C1905" s="1" t="s">
        <v>13517</v>
      </c>
      <c r="D1905" s="1" t="s">
        <v>5103</v>
      </c>
      <c r="E1905" s="1" t="s">
        <v>5104</v>
      </c>
      <c r="F1905" s="1" t="s">
        <v>9310</v>
      </c>
      <c r="G1905" s="1" t="s">
        <v>8957</v>
      </c>
      <c r="H1905" t="s">
        <v>9009</v>
      </c>
      <c r="I1905" s="1" t="s">
        <v>8984</v>
      </c>
      <c r="J1905" s="1" t="s">
        <v>8998</v>
      </c>
      <c r="K1905" s="1" t="s">
        <v>11623</v>
      </c>
      <c r="L1905" s="1" t="s">
        <v>8973</v>
      </c>
      <c r="M1905" s="1">
        <v>278</v>
      </c>
      <c r="N1905" s="1" t="s">
        <v>9059</v>
      </c>
      <c r="O1905" s="1" t="s">
        <v>8989</v>
      </c>
      <c r="P1905" s="1" t="s">
        <v>8955</v>
      </c>
      <c r="Q1905" s="1" t="s">
        <v>8956</v>
      </c>
      <c r="R1905" s="1" t="s">
        <v>8957</v>
      </c>
      <c r="S1905" s="1" t="s">
        <v>9103</v>
      </c>
      <c r="T1905" s="1" t="s">
        <v>5105</v>
      </c>
      <c r="U1905" s="1" t="s">
        <v>4</v>
      </c>
      <c r="V1905" s="1" t="s">
        <v>93</v>
      </c>
      <c r="W1905" s="1"/>
    </row>
    <row r="1906" spans="1:23" x14ac:dyDescent="0.2">
      <c r="A1906" s="88" t="s">
        <v>17165</v>
      </c>
      <c r="B1906" s="1" t="e">
        <v>#N/A</v>
      </c>
      <c r="C1906" s="1" t="s">
        <v>10823</v>
      </c>
      <c r="D1906" s="1" t="s">
        <v>5106</v>
      </c>
      <c r="E1906" s="1" t="s">
        <v>5107</v>
      </c>
      <c r="F1906" s="1" t="s">
        <v>9010</v>
      </c>
      <c r="G1906" s="1" t="s">
        <v>8957</v>
      </c>
      <c r="H1906" t="s">
        <v>8959</v>
      </c>
      <c r="I1906" s="1" t="s">
        <v>8948</v>
      </c>
      <c r="J1906" s="1" t="s">
        <v>9121</v>
      </c>
      <c r="K1906" s="1" t="s">
        <v>9036</v>
      </c>
      <c r="L1906" s="1" t="s">
        <v>8973</v>
      </c>
      <c r="M1906" s="1">
        <v>14651</v>
      </c>
      <c r="N1906" s="1" t="s">
        <v>8953</v>
      </c>
      <c r="O1906" s="1" t="s">
        <v>8989</v>
      </c>
      <c r="P1906" s="1" t="s">
        <v>8955</v>
      </c>
      <c r="Q1906" s="1" t="s">
        <v>8956</v>
      </c>
      <c r="R1906" s="1" t="s">
        <v>8957</v>
      </c>
      <c r="S1906" s="1" t="s">
        <v>8975</v>
      </c>
      <c r="T1906" s="1" t="s">
        <v>5108</v>
      </c>
      <c r="U1906" s="1" t="s">
        <v>17</v>
      </c>
      <c r="V1906" s="1" t="s">
        <v>93</v>
      </c>
      <c r="W1906" s="1"/>
    </row>
    <row r="1907" spans="1:23" x14ac:dyDescent="0.2">
      <c r="A1907" s="88" t="s">
        <v>17166</v>
      </c>
      <c r="B1907" s="1" t="e">
        <v>#N/A</v>
      </c>
      <c r="C1907" s="1" t="e">
        <v>#N/A</v>
      </c>
      <c r="D1907" s="1" t="s">
        <v>5109</v>
      </c>
      <c r="E1907" s="1" t="s">
        <v>5110</v>
      </c>
      <c r="F1907" s="1" t="s">
        <v>9310</v>
      </c>
      <c r="G1907" s="1" t="s">
        <v>8957</v>
      </c>
      <c r="H1907" t="s">
        <v>8959</v>
      </c>
      <c r="I1907" s="1" t="s">
        <v>8948</v>
      </c>
      <c r="J1907" s="1" t="s">
        <v>8998</v>
      </c>
      <c r="K1907" s="1" t="s">
        <v>20898</v>
      </c>
      <c r="L1907" s="1" t="s">
        <v>20897</v>
      </c>
      <c r="M1907" s="1">
        <v>784</v>
      </c>
      <c r="N1907" s="1" t="s">
        <v>9059</v>
      </c>
      <c r="O1907" s="1" t="s">
        <v>8954</v>
      </c>
      <c r="P1907" s="1" t="e">
        <v>#N/A</v>
      </c>
      <c r="Q1907" s="1" t="e">
        <v>#N/A</v>
      </c>
      <c r="R1907" s="1">
        <f>1+LEN(T1907)-LEN(SUBSTITUTE(T1907,",",))</f>
        <v>6</v>
      </c>
      <c r="S1907" s="1" t="str">
        <f>IF(R1907&gt;4,IF(R1907&lt;8,"4-7",IF(R1907&gt;7,"&gt;7")),"&lt;4")</f>
        <v>4-7</v>
      </c>
      <c r="T1907" s="1" t="s">
        <v>19624</v>
      </c>
      <c r="U1907" s="1" t="s">
        <v>17</v>
      </c>
      <c r="V1907" s="1" t="s">
        <v>4044</v>
      </c>
      <c r="W1907" s="1"/>
    </row>
    <row r="1908" spans="1:23" x14ac:dyDescent="0.2">
      <c r="A1908" s="88" t="s">
        <v>17167</v>
      </c>
      <c r="B1908" s="1" t="e">
        <v>#N/A</v>
      </c>
      <c r="C1908" s="1" t="s">
        <v>12215</v>
      </c>
      <c r="D1908" s="1" t="s">
        <v>5111</v>
      </c>
      <c r="E1908" s="1" t="s">
        <v>5112</v>
      </c>
      <c r="F1908" s="1" t="s">
        <v>9310</v>
      </c>
      <c r="G1908" s="1" t="s">
        <v>8957</v>
      </c>
      <c r="H1908" t="s">
        <v>9183</v>
      </c>
      <c r="I1908" s="1" t="s">
        <v>9252</v>
      </c>
      <c r="J1908" s="1" t="s">
        <v>8998</v>
      </c>
      <c r="K1908" s="1" t="s">
        <v>10258</v>
      </c>
      <c r="L1908" s="1" t="s">
        <v>8973</v>
      </c>
      <c r="M1908" s="1">
        <v>800</v>
      </c>
      <c r="N1908" s="1" t="s">
        <v>9059</v>
      </c>
      <c r="O1908" s="1" t="s">
        <v>8954</v>
      </c>
      <c r="P1908" s="1" t="s">
        <v>8955</v>
      </c>
      <c r="Q1908" s="1" t="s">
        <v>8956</v>
      </c>
      <c r="R1908" s="1" t="s">
        <v>8957</v>
      </c>
      <c r="S1908" s="1" t="s">
        <v>8975</v>
      </c>
      <c r="T1908" s="1" t="s">
        <v>5113</v>
      </c>
      <c r="U1908" s="1" t="s">
        <v>11</v>
      </c>
      <c r="V1908" s="1" t="s">
        <v>2434</v>
      </c>
      <c r="W1908" s="1"/>
    </row>
    <row r="1909" spans="1:23" x14ac:dyDescent="0.2">
      <c r="A1909" s="88" t="s">
        <v>17168</v>
      </c>
      <c r="B1909" s="1" t="e">
        <v>#N/A</v>
      </c>
      <c r="C1909" s="1" t="e">
        <v>#N/A</v>
      </c>
      <c r="D1909" s="1" t="s">
        <v>5114</v>
      </c>
      <c r="E1909" s="1" t="s">
        <v>5115</v>
      </c>
      <c r="F1909" s="1" t="s">
        <v>10049</v>
      </c>
      <c r="G1909" s="1" t="s">
        <v>8959</v>
      </c>
      <c r="H1909" t="s">
        <v>8959</v>
      </c>
      <c r="I1909" s="1" t="s">
        <v>9605</v>
      </c>
      <c r="J1909" s="1" t="s">
        <v>9101</v>
      </c>
      <c r="K1909" s="1" t="s">
        <v>20898</v>
      </c>
      <c r="L1909" s="1" t="s">
        <v>8987</v>
      </c>
      <c r="M1909" s="1">
        <v>2400</v>
      </c>
      <c r="N1909" s="1" t="s">
        <v>8953</v>
      </c>
      <c r="O1909" s="1" t="s">
        <v>8989</v>
      </c>
      <c r="P1909" s="1" t="e">
        <v>#N/A</v>
      </c>
      <c r="Q1909" s="1" t="e">
        <v>#N/A</v>
      </c>
      <c r="R1909" s="1">
        <f t="shared" ref="R1909:R1916" si="554">1+LEN(T1909)-LEN(SUBSTITUTE(T1909,",",))</f>
        <v>11</v>
      </c>
      <c r="S1909" s="1" t="str">
        <f t="shared" ref="S1909:S1916" si="555">IF(R1909&gt;4,IF(R1909&lt;8,"4-7",IF(R1909&gt;7,"&gt;7")),"&lt;4")</f>
        <v>&gt;7</v>
      </c>
      <c r="T1909" s="1" t="s">
        <v>19625</v>
      </c>
      <c r="U1909" s="1" t="s">
        <v>7</v>
      </c>
      <c r="V1909" s="1" t="s">
        <v>24</v>
      </c>
      <c r="W1909" s="1"/>
    </row>
    <row r="1910" spans="1:23" x14ac:dyDescent="0.2">
      <c r="A1910" s="88" t="s">
        <v>17169</v>
      </c>
      <c r="B1910" s="1" t="e">
        <v>#N/A</v>
      </c>
      <c r="C1910" s="1" t="e">
        <v>#N/A</v>
      </c>
      <c r="D1910" s="1" t="s">
        <v>5116</v>
      </c>
      <c r="E1910" s="1" t="s">
        <v>5117</v>
      </c>
      <c r="F1910" s="1" t="s">
        <v>18502</v>
      </c>
      <c r="G1910" s="1" t="s">
        <v>8957</v>
      </c>
      <c r="H1910" t="s">
        <v>8959</v>
      </c>
      <c r="I1910" s="1" t="s">
        <v>9252</v>
      </c>
      <c r="J1910" s="1" t="s">
        <v>18504</v>
      </c>
      <c r="K1910" s="1" t="s">
        <v>10525</v>
      </c>
      <c r="L1910" s="1" t="s">
        <v>8987</v>
      </c>
      <c r="M1910" s="1">
        <v>76</v>
      </c>
      <c r="N1910" s="1" t="s">
        <v>9059</v>
      </c>
      <c r="O1910" s="1" t="s">
        <v>8989</v>
      </c>
      <c r="P1910" s="1" t="e">
        <v>#N/A</v>
      </c>
      <c r="Q1910" s="1" t="e">
        <v>#N/A</v>
      </c>
      <c r="R1910" s="1">
        <f t="shared" si="554"/>
        <v>4</v>
      </c>
      <c r="S1910" s="1" t="str">
        <f t="shared" si="555"/>
        <v>&lt;4</v>
      </c>
      <c r="T1910" s="1" t="s">
        <v>19626</v>
      </c>
      <c r="U1910" s="1" t="s">
        <v>17</v>
      </c>
      <c r="V1910" s="1" t="s">
        <v>562</v>
      </c>
      <c r="W1910" s="1"/>
    </row>
    <row r="1911" spans="1:23" x14ac:dyDescent="0.2">
      <c r="A1911" s="89" t="s">
        <v>5118</v>
      </c>
      <c r="B1911" s="1" t="e">
        <v>#N/A</v>
      </c>
      <c r="C1911" s="1" t="e">
        <v>#N/A</v>
      </c>
      <c r="D1911" s="1" t="s">
        <v>5119</v>
      </c>
      <c r="E1911" s="1" t="s">
        <v>5120</v>
      </c>
      <c r="F1911" s="1" t="e">
        <v>#N/A</v>
      </c>
      <c r="G1911" s="1" t="e">
        <v>#N/A</v>
      </c>
      <c r="H1911" t="e">
        <v>#N/A</v>
      </c>
      <c r="I1911" s="1" t="e">
        <v>#N/A</v>
      </c>
      <c r="J1911" s="1" t="e">
        <v>#N/A</v>
      </c>
      <c r="K1911" s="1" t="e">
        <v>#N/A</v>
      </c>
      <c r="L1911" s="1" t="e">
        <v>#N/A</v>
      </c>
      <c r="M1911" s="1" t="e">
        <v>#N/A</v>
      </c>
      <c r="N1911" s="1" t="e">
        <v>#N/A</v>
      </c>
      <c r="O1911" s="1" t="e">
        <v>#N/A</v>
      </c>
      <c r="P1911" s="1" t="e">
        <v>#N/A</v>
      </c>
      <c r="Q1911" s="1" t="e">
        <v>#N/A</v>
      </c>
      <c r="R1911" s="1">
        <f t="shared" si="554"/>
        <v>1</v>
      </c>
      <c r="S1911" s="1" t="str">
        <f t="shared" si="555"/>
        <v>&lt;4</v>
      </c>
      <c r="T1911" s="1" t="s">
        <v>5121</v>
      </c>
      <c r="U1911" s="1" t="s">
        <v>17</v>
      </c>
      <c r="V1911" s="1" t="s">
        <v>496</v>
      </c>
      <c r="W1911" s="1"/>
    </row>
    <row r="1912" spans="1:23" x14ac:dyDescent="0.2">
      <c r="A1912" s="94" t="s">
        <v>17170</v>
      </c>
      <c r="B1912" s="1" t="e">
        <v>#N/A</v>
      </c>
      <c r="C1912" s="1" t="e">
        <v>#N/A</v>
      </c>
      <c r="D1912" s="1" t="s">
        <v>5122</v>
      </c>
      <c r="E1912" s="1" t="s">
        <v>5123</v>
      </c>
      <c r="F1912" s="1" t="e">
        <v>#N/A</v>
      </c>
      <c r="G1912" s="1" t="e">
        <v>#N/A</v>
      </c>
      <c r="H1912" t="e">
        <v>#N/A</v>
      </c>
      <c r="I1912" s="1" t="e">
        <v>#N/A</v>
      </c>
      <c r="J1912" s="1" t="s">
        <v>8959</v>
      </c>
      <c r="K1912" s="1" t="s">
        <v>10492</v>
      </c>
      <c r="L1912" s="1" t="s">
        <v>9076</v>
      </c>
      <c r="M1912" s="1">
        <v>6400</v>
      </c>
      <c r="N1912" s="1" t="s">
        <v>8953</v>
      </c>
      <c r="O1912" s="1" t="s">
        <v>8989</v>
      </c>
      <c r="P1912" s="1" t="e">
        <v>#N/A</v>
      </c>
      <c r="Q1912" s="1" t="e">
        <v>#N/A</v>
      </c>
      <c r="R1912" s="1">
        <f t="shared" si="554"/>
        <v>3</v>
      </c>
      <c r="S1912" s="1" t="str">
        <f t="shared" si="555"/>
        <v>&lt;4</v>
      </c>
      <c r="T1912" s="1" t="s">
        <v>19627</v>
      </c>
      <c r="U1912" s="1" t="s">
        <v>7</v>
      </c>
      <c r="V1912" s="1" t="s">
        <v>126</v>
      </c>
      <c r="W1912" s="1"/>
    </row>
    <row r="1913" spans="1:23" x14ac:dyDescent="0.2">
      <c r="A1913" s="88" t="s">
        <v>17171</v>
      </c>
      <c r="B1913" s="1" t="e">
        <v>#N/A</v>
      </c>
      <c r="C1913" s="1" t="e">
        <v>#N/A</v>
      </c>
      <c r="D1913" s="1" t="s">
        <v>5124</v>
      </c>
      <c r="E1913" s="1" t="s">
        <v>5125</v>
      </c>
      <c r="F1913" s="1" t="s">
        <v>13122</v>
      </c>
      <c r="G1913" s="1" t="e">
        <v>#N/A</v>
      </c>
      <c r="H1913" t="s">
        <v>8959</v>
      </c>
      <c r="I1913" s="1" t="s">
        <v>9092</v>
      </c>
      <c r="J1913" s="1" t="s">
        <v>9308</v>
      </c>
      <c r="K1913" s="1" t="s">
        <v>20899</v>
      </c>
      <c r="L1913" s="1" t="s">
        <v>8973</v>
      </c>
      <c r="M1913" s="1">
        <v>290</v>
      </c>
      <c r="N1913" s="1" t="s">
        <v>8953</v>
      </c>
      <c r="O1913" s="1" t="s">
        <v>8989</v>
      </c>
      <c r="P1913" s="1" t="e">
        <v>#N/A</v>
      </c>
      <c r="Q1913" s="1" t="e">
        <v>#N/A</v>
      </c>
      <c r="R1913" s="1">
        <f t="shared" si="554"/>
        <v>8</v>
      </c>
      <c r="S1913" s="1" t="str">
        <f t="shared" si="555"/>
        <v>&gt;7</v>
      </c>
      <c r="T1913" s="1" t="s">
        <v>19628</v>
      </c>
      <c r="U1913" s="1" t="s">
        <v>17</v>
      </c>
      <c r="V1913" s="1" t="s">
        <v>4538</v>
      </c>
      <c r="W1913" s="1"/>
    </row>
    <row r="1914" spans="1:23" x14ac:dyDescent="0.2">
      <c r="A1914" s="88" t="s">
        <v>17172</v>
      </c>
      <c r="B1914" s="1" t="e">
        <v>#N/A</v>
      </c>
      <c r="C1914" s="1" t="e">
        <v>#N/A</v>
      </c>
      <c r="D1914" s="1" t="s">
        <v>5126</v>
      </c>
      <c r="E1914" s="1" t="s">
        <v>5127</v>
      </c>
      <c r="F1914" s="1" t="s">
        <v>9310</v>
      </c>
      <c r="G1914" s="1" t="s">
        <v>8957</v>
      </c>
      <c r="H1914" t="s">
        <v>8959</v>
      </c>
      <c r="I1914" s="1" t="s">
        <v>9605</v>
      </c>
      <c r="J1914" s="1" t="s">
        <v>20900</v>
      </c>
      <c r="K1914" s="1" t="s">
        <v>20898</v>
      </c>
      <c r="L1914" s="1" t="s">
        <v>8987</v>
      </c>
      <c r="M1914" s="1">
        <f>908000</f>
        <v>908000</v>
      </c>
      <c r="N1914" s="1" t="s">
        <v>8953</v>
      </c>
      <c r="O1914" s="1" t="s">
        <v>8989</v>
      </c>
      <c r="P1914" s="1" t="e">
        <v>#N/A</v>
      </c>
      <c r="Q1914" s="1" t="e">
        <v>#N/A</v>
      </c>
      <c r="R1914" s="1">
        <f t="shared" si="554"/>
        <v>4</v>
      </c>
      <c r="S1914" s="1" t="str">
        <f t="shared" si="555"/>
        <v>&lt;4</v>
      </c>
      <c r="T1914" s="1" t="s">
        <v>19629</v>
      </c>
      <c r="U1914" s="1" t="s">
        <v>17</v>
      </c>
      <c r="V1914" s="1" t="s">
        <v>27</v>
      </c>
      <c r="W1914" s="1"/>
    </row>
    <row r="1915" spans="1:23" x14ac:dyDescent="0.2">
      <c r="A1915" s="88" t="s">
        <v>17173</v>
      </c>
      <c r="B1915" s="1" t="e">
        <v>#N/A</v>
      </c>
      <c r="C1915" s="1" t="e">
        <v>#N/A</v>
      </c>
      <c r="D1915" s="1" t="s">
        <v>5128</v>
      </c>
      <c r="E1915" s="1" t="s">
        <v>5129</v>
      </c>
      <c r="F1915" s="1" t="s">
        <v>10873</v>
      </c>
      <c r="G1915" s="1" t="s">
        <v>8974</v>
      </c>
      <c r="H1915" t="s">
        <v>8959</v>
      </c>
      <c r="I1915" s="1" t="s">
        <v>20712</v>
      </c>
      <c r="J1915" s="1" t="s">
        <v>8971</v>
      </c>
      <c r="K1915" s="1" t="s">
        <v>10525</v>
      </c>
      <c r="L1915" s="1" t="s">
        <v>8987</v>
      </c>
      <c r="M1915" s="1">
        <v>2964</v>
      </c>
      <c r="N1915" s="1" t="s">
        <v>8953</v>
      </c>
      <c r="O1915" s="1" t="s">
        <v>8989</v>
      </c>
      <c r="P1915" s="1" t="e">
        <v>#N/A</v>
      </c>
      <c r="Q1915" s="1" t="e">
        <v>#N/A</v>
      </c>
      <c r="R1915" s="1">
        <f t="shared" si="554"/>
        <v>7</v>
      </c>
      <c r="S1915" s="1" t="str">
        <f t="shared" si="555"/>
        <v>4-7</v>
      </c>
      <c r="T1915" s="1" t="s">
        <v>19630</v>
      </c>
      <c r="U1915" s="1" t="s">
        <v>7</v>
      </c>
      <c r="V1915" s="1" t="s">
        <v>61</v>
      </c>
      <c r="W1915" s="1"/>
    </row>
    <row r="1916" spans="1:23" x14ac:dyDescent="0.2">
      <c r="A1916" s="88" t="s">
        <v>17174</v>
      </c>
      <c r="B1916" s="1" t="e">
        <v>#N/A</v>
      </c>
      <c r="C1916" s="1" t="e">
        <v>#N/A</v>
      </c>
      <c r="D1916" s="1" t="s">
        <v>5130</v>
      </c>
      <c r="E1916" s="1" t="s">
        <v>5131</v>
      </c>
      <c r="F1916" s="1" t="s">
        <v>10873</v>
      </c>
      <c r="G1916" s="1" t="s">
        <v>9060</v>
      </c>
      <c r="H1916" t="s">
        <v>8959</v>
      </c>
      <c r="I1916" s="1" t="s">
        <v>20712</v>
      </c>
      <c r="J1916" s="1" t="s">
        <v>8971</v>
      </c>
      <c r="K1916" s="1" t="s">
        <v>20899</v>
      </c>
      <c r="L1916" s="1" t="s">
        <v>8973</v>
      </c>
      <c r="M1916" s="1">
        <f>3842+3448+491+502</f>
        <v>8283</v>
      </c>
      <c r="N1916" s="1" t="s">
        <v>8953</v>
      </c>
      <c r="O1916" s="1" t="s">
        <v>8989</v>
      </c>
      <c r="P1916" s="1" t="e">
        <v>#N/A</v>
      </c>
      <c r="Q1916" s="1" t="e">
        <v>#N/A</v>
      </c>
      <c r="R1916" s="1">
        <f t="shared" si="554"/>
        <v>14</v>
      </c>
      <c r="S1916" s="1" t="str">
        <f t="shared" si="555"/>
        <v>&gt;7</v>
      </c>
      <c r="T1916" s="1" t="s">
        <v>19631</v>
      </c>
      <c r="U1916" s="1" t="s">
        <v>17</v>
      </c>
      <c r="V1916" s="1" t="s">
        <v>61</v>
      </c>
      <c r="W1916" s="1"/>
    </row>
    <row r="1917" spans="1:23" x14ac:dyDescent="0.2">
      <c r="A1917" s="88" t="s">
        <v>17175</v>
      </c>
      <c r="B1917" s="1" t="e">
        <v>#N/A</v>
      </c>
      <c r="C1917" s="1" t="s">
        <v>9800</v>
      </c>
      <c r="D1917" s="1" t="s">
        <v>5132</v>
      </c>
      <c r="E1917" s="1" t="s">
        <v>5133</v>
      </c>
      <c r="F1917" s="1" t="s">
        <v>9010</v>
      </c>
      <c r="G1917" s="1" t="s">
        <v>8974</v>
      </c>
      <c r="H1917" t="s">
        <v>8959</v>
      </c>
      <c r="I1917" s="1" t="s">
        <v>9092</v>
      </c>
      <c r="J1917" s="1" t="s">
        <v>8949</v>
      </c>
      <c r="K1917" s="1" t="s">
        <v>9036</v>
      </c>
      <c r="L1917" s="1" t="s">
        <v>8973</v>
      </c>
      <c r="M1917" s="1">
        <v>30</v>
      </c>
      <c r="N1917" s="1" t="s">
        <v>9059</v>
      </c>
      <c r="O1917" s="1" t="s">
        <v>8989</v>
      </c>
      <c r="P1917" s="1" t="s">
        <v>8955</v>
      </c>
      <c r="Q1917" s="1" t="s">
        <v>8956</v>
      </c>
      <c r="R1917" s="1" t="s">
        <v>8974</v>
      </c>
      <c r="S1917" s="1" t="s">
        <v>8975</v>
      </c>
      <c r="T1917" s="1" t="s">
        <v>5134</v>
      </c>
      <c r="U1917" s="1" t="s">
        <v>17</v>
      </c>
      <c r="V1917" s="1" t="s">
        <v>110</v>
      </c>
      <c r="W1917" s="1"/>
    </row>
    <row r="1918" spans="1:23" x14ac:dyDescent="0.2">
      <c r="A1918" s="89" t="s">
        <v>5135</v>
      </c>
      <c r="B1918" s="1" t="e">
        <v>#N/A</v>
      </c>
      <c r="C1918" s="1" t="e">
        <v>#N/A</v>
      </c>
      <c r="D1918" s="1" t="s">
        <v>5136</v>
      </c>
      <c r="E1918" s="1" t="s">
        <v>5137</v>
      </c>
      <c r="F1918" s="1" t="e">
        <v>#N/A</v>
      </c>
      <c r="G1918" s="1" t="e">
        <v>#N/A</v>
      </c>
      <c r="H1918" t="e">
        <v>#N/A</v>
      </c>
      <c r="I1918" s="1" t="e">
        <v>#N/A</v>
      </c>
      <c r="J1918" s="1" t="e">
        <v>#N/A</v>
      </c>
      <c r="K1918" s="1" t="e">
        <v>#N/A</v>
      </c>
      <c r="L1918" s="1" t="e">
        <v>#N/A</v>
      </c>
      <c r="M1918" s="1" t="e">
        <v>#N/A</v>
      </c>
      <c r="N1918" s="1" t="e">
        <v>#N/A</v>
      </c>
      <c r="O1918" s="1" t="e">
        <v>#N/A</v>
      </c>
      <c r="P1918" s="1" t="e">
        <v>#N/A</v>
      </c>
      <c r="Q1918" s="1" t="e">
        <v>#N/A</v>
      </c>
      <c r="R1918" s="1">
        <f t="shared" ref="R1918:R1919" si="556">1+LEN(T1918)-LEN(SUBSTITUTE(T1918,",",))</f>
        <v>6</v>
      </c>
      <c r="S1918" s="1" t="str">
        <f t="shared" ref="S1918:S1919" si="557">IF(R1918&gt;4,IF(R1918&lt;8,"4-7",IF(R1918&gt;7,"&gt;7")),"&lt;4")</f>
        <v>4-7</v>
      </c>
      <c r="T1918" s="1" t="s">
        <v>19632</v>
      </c>
      <c r="U1918" s="1" t="s">
        <v>7</v>
      </c>
      <c r="V1918" s="1" t="s">
        <v>619</v>
      </c>
      <c r="W1918" s="1"/>
    </row>
    <row r="1919" spans="1:23" x14ac:dyDescent="0.2">
      <c r="A1919" s="88" t="s">
        <v>17176</v>
      </c>
      <c r="B1919" s="1" t="e">
        <v>#N/A</v>
      </c>
      <c r="C1919" s="1" t="e">
        <v>#N/A</v>
      </c>
      <c r="D1919" s="1" t="s">
        <v>5138</v>
      </c>
      <c r="E1919" s="1" t="s">
        <v>5139</v>
      </c>
      <c r="F1919" s="1" t="s">
        <v>11671</v>
      </c>
      <c r="G1919" s="1" t="s">
        <v>8957</v>
      </c>
      <c r="H1919" t="s">
        <v>9183</v>
      </c>
      <c r="I1919" s="1" t="s">
        <v>9035</v>
      </c>
      <c r="J1919" s="1" t="s">
        <v>9422</v>
      </c>
      <c r="K1919" s="1" t="s">
        <v>20896</v>
      </c>
      <c r="L1919" s="1" t="s">
        <v>8987</v>
      </c>
      <c r="M1919" s="1">
        <v>57</v>
      </c>
      <c r="N1919" s="1" t="s">
        <v>9059</v>
      </c>
      <c r="O1919" s="1" t="s">
        <v>8989</v>
      </c>
      <c r="P1919" s="1" t="e">
        <v>#N/A</v>
      </c>
      <c r="Q1919" s="1" t="e">
        <v>#N/A</v>
      </c>
      <c r="R1919" s="1">
        <f t="shared" si="556"/>
        <v>7</v>
      </c>
      <c r="S1919" s="1" t="str">
        <f t="shared" si="557"/>
        <v>4-7</v>
      </c>
      <c r="T1919" s="1" t="s">
        <v>20647</v>
      </c>
      <c r="U1919" s="1" t="s">
        <v>11</v>
      </c>
      <c r="V1919" s="1" t="s">
        <v>31</v>
      </c>
      <c r="W1919" s="1"/>
    </row>
    <row r="1920" spans="1:23" x14ac:dyDescent="0.2">
      <c r="A1920" s="88" t="s">
        <v>17177</v>
      </c>
      <c r="B1920" s="1" t="e">
        <v>#N/A</v>
      </c>
      <c r="C1920" s="1" t="s">
        <v>11238</v>
      </c>
      <c r="D1920" s="1" t="s">
        <v>5140</v>
      </c>
      <c r="E1920" s="1" t="s">
        <v>5141</v>
      </c>
      <c r="F1920" s="1" t="s">
        <v>9310</v>
      </c>
      <c r="G1920" s="1" t="s">
        <v>8957</v>
      </c>
      <c r="H1920" t="s">
        <v>9061</v>
      </c>
      <c r="I1920" s="1" t="s">
        <v>9252</v>
      </c>
      <c r="J1920" s="1" t="s">
        <v>8971</v>
      </c>
      <c r="K1920" s="1" t="s">
        <v>12408</v>
      </c>
      <c r="L1920" s="1" t="s">
        <v>8951</v>
      </c>
      <c r="M1920" s="1">
        <v>540</v>
      </c>
      <c r="N1920" s="1" t="s">
        <v>8953</v>
      </c>
      <c r="O1920" s="1" t="s">
        <v>8989</v>
      </c>
      <c r="P1920" s="1" t="s">
        <v>8955</v>
      </c>
      <c r="Q1920" s="1" t="s">
        <v>8956</v>
      </c>
      <c r="R1920" s="1" t="s">
        <v>8957</v>
      </c>
      <c r="S1920" s="1" t="s">
        <v>8975</v>
      </c>
      <c r="T1920" s="1" t="s">
        <v>5142</v>
      </c>
      <c r="U1920" s="1" t="s">
        <v>11</v>
      </c>
      <c r="V1920" s="1" t="s">
        <v>200</v>
      </c>
      <c r="W1920" s="1"/>
    </row>
    <row r="1921" spans="1:23" x14ac:dyDescent="0.2">
      <c r="A1921" s="88" t="s">
        <v>17178</v>
      </c>
      <c r="B1921" s="1" t="e">
        <v>#N/A</v>
      </c>
      <c r="C1921" s="1" t="e">
        <v>#N/A</v>
      </c>
      <c r="D1921" s="1" t="s">
        <v>5143</v>
      </c>
      <c r="E1921" s="1" t="s">
        <v>5144</v>
      </c>
      <c r="F1921" s="1" t="s">
        <v>9333</v>
      </c>
      <c r="G1921" s="1" t="s">
        <v>8957</v>
      </c>
      <c r="H1921" t="s">
        <v>8959</v>
      </c>
      <c r="I1921" s="1" t="s">
        <v>9605</v>
      </c>
      <c r="J1921" s="1" t="s">
        <v>9101</v>
      </c>
      <c r="K1921" s="1" t="s">
        <v>10525</v>
      </c>
      <c r="L1921" s="1" t="s">
        <v>9076</v>
      </c>
      <c r="M1921" s="1" t="e">
        <v>#N/A</v>
      </c>
      <c r="N1921" s="1" t="e">
        <v>#N/A</v>
      </c>
      <c r="O1921" s="1" t="e">
        <v>#N/A</v>
      </c>
      <c r="P1921" s="1" t="e">
        <v>#N/A</v>
      </c>
      <c r="Q1921" s="1" t="e">
        <v>#N/A</v>
      </c>
      <c r="R1921" s="1">
        <f t="shared" ref="R1921:R1924" si="558">1+LEN(T1921)-LEN(SUBSTITUTE(T1921,",",))</f>
        <v>22</v>
      </c>
      <c r="S1921" s="1" t="str">
        <f t="shared" ref="S1921:S1924" si="559">IF(R1921&gt;4,IF(R1921&lt;8,"4-7",IF(R1921&gt;7,"&gt;7")),"&lt;4")</f>
        <v>&gt;7</v>
      </c>
      <c r="T1921" s="1" t="s">
        <v>19633</v>
      </c>
      <c r="U1921" s="1" t="s">
        <v>7</v>
      </c>
      <c r="V1921" s="1" t="s">
        <v>580</v>
      </c>
      <c r="W1921" s="1"/>
    </row>
    <row r="1922" spans="1:23" x14ac:dyDescent="0.2">
      <c r="A1922" s="88" t="s">
        <v>17179</v>
      </c>
      <c r="B1922" s="1" t="e">
        <v>#N/A</v>
      </c>
      <c r="C1922" s="1" t="e">
        <v>#N/A</v>
      </c>
      <c r="D1922" s="1" t="s">
        <v>5145</v>
      </c>
      <c r="E1922" s="1" t="s">
        <v>5146</v>
      </c>
      <c r="F1922" s="1" t="s">
        <v>10850</v>
      </c>
      <c r="G1922" s="1" t="s">
        <v>20901</v>
      </c>
      <c r="H1922" t="s">
        <v>9183</v>
      </c>
      <c r="I1922" s="1" t="s">
        <v>20714</v>
      </c>
      <c r="J1922" s="1" t="s">
        <v>9050</v>
      </c>
      <c r="K1922" s="1" t="s">
        <v>21329</v>
      </c>
      <c r="L1922" s="1" t="s">
        <v>8951</v>
      </c>
      <c r="M1922" s="1">
        <v>15846</v>
      </c>
      <c r="N1922" s="1" t="s">
        <v>8953</v>
      </c>
      <c r="O1922" s="1" t="s">
        <v>8954</v>
      </c>
      <c r="P1922" s="1" t="e">
        <v>#N/A</v>
      </c>
      <c r="Q1922" s="1" t="e">
        <v>#N/A</v>
      </c>
      <c r="R1922" s="1">
        <f t="shared" si="558"/>
        <v>34</v>
      </c>
      <c r="S1922" s="1" t="str">
        <f t="shared" si="559"/>
        <v>&gt;7</v>
      </c>
      <c r="T1922" s="1" t="s">
        <v>20648</v>
      </c>
      <c r="U1922" s="1" t="s">
        <v>7</v>
      </c>
      <c r="V1922" s="1" t="s">
        <v>5147</v>
      </c>
      <c r="W1922" s="1"/>
    </row>
    <row r="1923" spans="1:23" x14ac:dyDescent="0.2">
      <c r="A1923" s="88" t="s">
        <v>17180</v>
      </c>
      <c r="B1923" s="1" t="e">
        <v>#N/A</v>
      </c>
      <c r="C1923" s="1" t="e">
        <v>#N/A</v>
      </c>
      <c r="D1923" s="1" t="s">
        <v>5148</v>
      </c>
      <c r="E1923" s="1" t="s">
        <v>5149</v>
      </c>
      <c r="F1923" s="1" t="s">
        <v>10049</v>
      </c>
      <c r="G1923" s="1" t="s">
        <v>8959</v>
      </c>
      <c r="H1923" t="s">
        <v>9061</v>
      </c>
      <c r="I1923" s="1" t="s">
        <v>9154</v>
      </c>
      <c r="J1923" s="1" t="s">
        <v>8998</v>
      </c>
      <c r="K1923" s="1" t="s">
        <v>20896</v>
      </c>
      <c r="L1923" s="1" t="s">
        <v>8973</v>
      </c>
      <c r="M1923" s="1">
        <f>2959+22264</f>
        <v>25223</v>
      </c>
      <c r="N1923" s="1" t="s">
        <v>8953</v>
      </c>
      <c r="O1923" s="1" t="s">
        <v>8989</v>
      </c>
      <c r="P1923" s="1" t="e">
        <v>#N/A</v>
      </c>
      <c r="Q1923" s="1" t="e">
        <v>#N/A</v>
      </c>
      <c r="R1923" s="1">
        <f t="shared" si="558"/>
        <v>11</v>
      </c>
      <c r="S1923" s="1" t="str">
        <f t="shared" si="559"/>
        <v>&gt;7</v>
      </c>
      <c r="T1923" s="1" t="s">
        <v>19634</v>
      </c>
      <c r="U1923" s="1" t="s">
        <v>17</v>
      </c>
      <c r="V1923" s="1" t="s">
        <v>74</v>
      </c>
      <c r="W1923" s="1"/>
    </row>
    <row r="1924" spans="1:23" x14ac:dyDescent="0.2">
      <c r="A1924" s="89" t="s">
        <v>5150</v>
      </c>
      <c r="B1924" s="1" t="e">
        <v>#N/A</v>
      </c>
      <c r="C1924" s="1" t="e">
        <v>#N/A</v>
      </c>
      <c r="D1924" s="1" t="s">
        <v>5151</v>
      </c>
      <c r="E1924" s="1" t="s">
        <v>5152</v>
      </c>
      <c r="F1924" s="1" t="e">
        <v>#N/A</v>
      </c>
      <c r="G1924" s="1" t="e">
        <v>#N/A</v>
      </c>
      <c r="H1924" t="e">
        <v>#N/A</v>
      </c>
      <c r="I1924" s="1" t="e">
        <v>#N/A</v>
      </c>
      <c r="J1924" s="1" t="e">
        <v>#N/A</v>
      </c>
      <c r="K1924" s="1" t="e">
        <v>#N/A</v>
      </c>
      <c r="L1924" s="1" t="e">
        <v>#N/A</v>
      </c>
      <c r="M1924" s="1" t="e">
        <v>#N/A</v>
      </c>
      <c r="N1924" s="1" t="e">
        <v>#N/A</v>
      </c>
      <c r="O1924" s="1" t="e">
        <v>#N/A</v>
      </c>
      <c r="P1924" s="1" t="e">
        <v>#N/A</v>
      </c>
      <c r="Q1924" s="1" t="e">
        <v>#N/A</v>
      </c>
      <c r="R1924" s="1">
        <f t="shared" si="558"/>
        <v>2</v>
      </c>
      <c r="S1924" s="1" t="str">
        <f t="shared" si="559"/>
        <v>&lt;4</v>
      </c>
      <c r="T1924" s="1" t="s">
        <v>19635</v>
      </c>
      <c r="U1924" s="1" t="s">
        <v>11</v>
      </c>
      <c r="V1924" s="1" t="s">
        <v>5154</v>
      </c>
      <c r="W1924" s="1"/>
    </row>
    <row r="1925" spans="1:23" x14ac:dyDescent="0.2">
      <c r="A1925" s="88" t="s">
        <v>17181</v>
      </c>
      <c r="B1925" s="1" t="e">
        <v>#N/A</v>
      </c>
      <c r="C1925" s="1" t="s">
        <v>11019</v>
      </c>
      <c r="D1925" s="1" t="s">
        <v>5155</v>
      </c>
      <c r="E1925" s="1" t="s">
        <v>5156</v>
      </c>
      <c r="F1925" s="1" t="s">
        <v>9010</v>
      </c>
      <c r="G1925" s="1" t="s">
        <v>8959</v>
      </c>
      <c r="H1925" t="s">
        <v>9061</v>
      </c>
      <c r="I1925" s="1" t="s">
        <v>9035</v>
      </c>
      <c r="J1925" s="1" t="s">
        <v>9155</v>
      </c>
      <c r="K1925" s="1" t="s">
        <v>11022</v>
      </c>
      <c r="L1925" s="1" t="s">
        <v>9464</v>
      </c>
      <c r="M1925" s="1">
        <v>108948</v>
      </c>
      <c r="N1925" s="1" t="s">
        <v>8953</v>
      </c>
      <c r="O1925" s="1" t="s">
        <v>8954</v>
      </c>
      <c r="P1925" s="1" t="s">
        <v>8955</v>
      </c>
      <c r="Q1925" s="1" t="s">
        <v>8956</v>
      </c>
      <c r="R1925" s="1" t="s">
        <v>8959</v>
      </c>
      <c r="S1925" s="1" t="s">
        <v>9103</v>
      </c>
      <c r="T1925" s="1" t="s">
        <v>5153</v>
      </c>
      <c r="U1925" s="1" t="s">
        <v>17</v>
      </c>
      <c r="V1925" s="1" t="s">
        <v>496</v>
      </c>
      <c r="W1925" s="1"/>
    </row>
    <row r="1926" spans="1:23" x14ac:dyDescent="0.2">
      <c r="A1926" s="88" t="s">
        <v>17182</v>
      </c>
      <c r="B1926" s="1" t="e">
        <v>#N/A</v>
      </c>
      <c r="C1926" s="1" t="s">
        <v>10634</v>
      </c>
      <c r="D1926" s="1" t="s">
        <v>5157</v>
      </c>
      <c r="E1926" s="1" t="s">
        <v>5158</v>
      </c>
      <c r="F1926" s="1" t="s">
        <v>9010</v>
      </c>
      <c r="G1926" s="1" t="s">
        <v>8957</v>
      </c>
      <c r="H1926" t="s">
        <v>8959</v>
      </c>
      <c r="I1926" s="1" t="s">
        <v>9605</v>
      </c>
      <c r="J1926" s="1" t="s">
        <v>9155</v>
      </c>
      <c r="K1926" s="1" t="s">
        <v>10637</v>
      </c>
      <c r="L1926" s="1" t="s">
        <v>8973</v>
      </c>
      <c r="M1926" s="1">
        <v>45</v>
      </c>
      <c r="N1926" s="1" t="s">
        <v>9059</v>
      </c>
      <c r="O1926" s="1" t="s">
        <v>8954</v>
      </c>
      <c r="P1926" s="1" t="s">
        <v>8955</v>
      </c>
      <c r="Q1926" s="1" t="s">
        <v>8990</v>
      </c>
      <c r="R1926" s="1" t="s">
        <v>8957</v>
      </c>
      <c r="S1926" s="1" t="s">
        <v>8958</v>
      </c>
      <c r="T1926" s="1" t="s">
        <v>5159</v>
      </c>
      <c r="U1926" s="1" t="s">
        <v>17</v>
      </c>
      <c r="V1926" s="1" t="s">
        <v>27</v>
      </c>
      <c r="W1926" s="1"/>
    </row>
    <row r="1927" spans="1:23" x14ac:dyDescent="0.2">
      <c r="A1927" s="88" t="s">
        <v>17183</v>
      </c>
      <c r="B1927" s="1" t="e">
        <v>#N/A</v>
      </c>
      <c r="C1927" s="1" t="e">
        <v>#N/A</v>
      </c>
      <c r="D1927" s="1" t="s">
        <v>5160</v>
      </c>
      <c r="E1927" s="1" t="s">
        <v>5161</v>
      </c>
      <c r="F1927" s="1" t="s">
        <v>9213</v>
      </c>
      <c r="G1927" s="1" t="e">
        <v>#N/A</v>
      </c>
      <c r="H1927" t="s">
        <v>9009</v>
      </c>
      <c r="I1927" s="1" t="s">
        <v>9154</v>
      </c>
      <c r="J1927" s="1" t="s">
        <v>20725</v>
      </c>
      <c r="K1927" s="1" t="s">
        <v>20723</v>
      </c>
      <c r="L1927" s="1" t="s">
        <v>8951</v>
      </c>
      <c r="M1927" s="1">
        <f>35678+9722</f>
        <v>45400</v>
      </c>
      <c r="N1927" s="1" t="s">
        <v>8953</v>
      </c>
      <c r="O1927" s="1" t="e">
        <v>#N/A</v>
      </c>
      <c r="P1927" s="1" t="e">
        <v>#N/A</v>
      </c>
      <c r="Q1927" s="1" t="e">
        <v>#N/A</v>
      </c>
      <c r="R1927" s="1">
        <f>1+LEN(T1927)-LEN(SUBSTITUTE(T1927,",",))</f>
        <v>13</v>
      </c>
      <c r="S1927" s="1" t="str">
        <f>IF(R1927&gt;4,IF(R1927&lt;8,"4-7",IF(R1927&gt;7,"&gt;7")),"&lt;4")</f>
        <v>&gt;7</v>
      </c>
      <c r="T1927" s="1" t="s">
        <v>19636</v>
      </c>
      <c r="U1927" s="1" t="s">
        <v>7</v>
      </c>
      <c r="V1927" s="1" t="s">
        <v>5162</v>
      </c>
      <c r="W1927" s="1"/>
    </row>
    <row r="1928" spans="1:23" x14ac:dyDescent="0.2">
      <c r="A1928" s="89" t="s">
        <v>5163</v>
      </c>
      <c r="B1928" s="1" t="e">
        <v>#N/A</v>
      </c>
      <c r="C1928" s="1" t="s">
        <v>10482</v>
      </c>
      <c r="D1928" s="1" t="s">
        <v>5164</v>
      </c>
      <c r="E1928" s="1" t="s">
        <v>5165</v>
      </c>
      <c r="F1928" s="1" t="s">
        <v>9213</v>
      </c>
      <c r="G1928" s="1" t="s">
        <v>8957</v>
      </c>
      <c r="H1928" t="s">
        <v>9009</v>
      </c>
      <c r="I1928" s="1" t="s">
        <v>8984</v>
      </c>
      <c r="J1928" s="1" t="s">
        <v>9131</v>
      </c>
      <c r="K1928" s="1" t="s">
        <v>9036</v>
      </c>
      <c r="L1928" s="1" t="s">
        <v>9133</v>
      </c>
      <c r="M1928" s="1">
        <v>44416</v>
      </c>
      <c r="N1928" s="1" t="s">
        <v>8953</v>
      </c>
      <c r="O1928" s="1" t="s">
        <v>8954</v>
      </c>
      <c r="P1928" s="1" t="s">
        <v>8955</v>
      </c>
      <c r="Q1928" s="1" t="s">
        <v>8990</v>
      </c>
      <c r="R1928" s="1" t="s">
        <v>8957</v>
      </c>
      <c r="S1928" s="1" t="s">
        <v>9103</v>
      </c>
      <c r="T1928" s="1" t="s">
        <v>5166</v>
      </c>
      <c r="U1928" s="1" t="s">
        <v>17</v>
      </c>
      <c r="V1928" s="1" t="s">
        <v>5167</v>
      </c>
      <c r="W1928" s="1"/>
    </row>
    <row r="1929" spans="1:23" x14ac:dyDescent="0.2">
      <c r="A1929" s="88" t="s">
        <v>17184</v>
      </c>
      <c r="B1929" s="1" t="e">
        <v>#N/A</v>
      </c>
      <c r="C1929" s="1" t="e">
        <v>#N/A</v>
      </c>
      <c r="D1929" s="1" t="s">
        <v>5168</v>
      </c>
      <c r="E1929" s="1" t="s">
        <v>5169</v>
      </c>
      <c r="F1929" s="1" t="s">
        <v>18502</v>
      </c>
      <c r="G1929" s="1" t="s">
        <v>8957</v>
      </c>
      <c r="H1929" t="s">
        <v>8959</v>
      </c>
      <c r="I1929" s="1" t="s">
        <v>9035</v>
      </c>
      <c r="J1929" s="1" t="s">
        <v>9308</v>
      </c>
      <c r="K1929" s="1" t="s">
        <v>21332</v>
      </c>
      <c r="L1929" s="1" t="s">
        <v>8951</v>
      </c>
      <c r="M1929" s="1">
        <v>500</v>
      </c>
      <c r="N1929" s="1" t="s">
        <v>8953</v>
      </c>
      <c r="O1929" s="1" t="s">
        <v>8954</v>
      </c>
      <c r="P1929" s="1" t="e">
        <v>#N/A</v>
      </c>
      <c r="Q1929" s="1" t="e">
        <v>#N/A</v>
      </c>
      <c r="R1929" s="1">
        <f t="shared" ref="R1929:R1930" si="560">1+LEN(T1929)-LEN(SUBSTITUTE(T1929,",",))</f>
        <v>5</v>
      </c>
      <c r="S1929" s="1" t="str">
        <f t="shared" ref="S1929:S1930" si="561">IF(R1929&gt;4,IF(R1929&lt;8,"4-7",IF(R1929&gt;7,"&gt;7")),"&lt;4")</f>
        <v>4-7</v>
      </c>
      <c r="T1929" s="1" t="s">
        <v>19637</v>
      </c>
      <c r="U1929" s="1" t="s">
        <v>7</v>
      </c>
      <c r="V1929" s="1" t="s">
        <v>126</v>
      </c>
      <c r="W1929" s="1"/>
    </row>
    <row r="1930" spans="1:23" x14ac:dyDescent="0.2">
      <c r="A1930" s="88" t="s">
        <v>17185</v>
      </c>
      <c r="B1930" s="1" t="e">
        <v>#N/A</v>
      </c>
      <c r="C1930" s="1" t="e">
        <v>#N/A</v>
      </c>
      <c r="D1930" s="1" t="s">
        <v>5170</v>
      </c>
      <c r="E1930" s="1" t="s">
        <v>5171</v>
      </c>
      <c r="F1930" s="1" t="s">
        <v>18502</v>
      </c>
      <c r="G1930" s="1" t="s">
        <v>8957</v>
      </c>
      <c r="H1930" t="s">
        <v>8959</v>
      </c>
      <c r="I1930" s="1" t="s">
        <v>8948</v>
      </c>
      <c r="J1930" s="1" t="s">
        <v>8949</v>
      </c>
      <c r="K1930" s="1" t="s">
        <v>21205</v>
      </c>
      <c r="L1930" s="1" t="s">
        <v>9292</v>
      </c>
      <c r="M1930" s="1">
        <v>227</v>
      </c>
      <c r="N1930" s="1" t="s">
        <v>9059</v>
      </c>
      <c r="O1930" s="1" t="s">
        <v>8989</v>
      </c>
      <c r="P1930" s="1" t="e">
        <v>#N/A</v>
      </c>
      <c r="Q1930" s="1" t="e">
        <v>#N/A</v>
      </c>
      <c r="R1930" s="1">
        <f t="shared" si="560"/>
        <v>9</v>
      </c>
      <c r="S1930" s="1" t="str">
        <f t="shared" si="561"/>
        <v>&gt;7</v>
      </c>
      <c r="T1930" s="1" t="s">
        <v>19638</v>
      </c>
      <c r="U1930" s="1" t="s">
        <v>17</v>
      </c>
      <c r="V1930" s="1" t="s">
        <v>61</v>
      </c>
      <c r="W1930" s="1"/>
    </row>
    <row r="1931" spans="1:23" x14ac:dyDescent="0.2">
      <c r="A1931" s="88" t="s">
        <v>17186</v>
      </c>
      <c r="B1931" s="1" t="e">
        <v>#N/A</v>
      </c>
      <c r="C1931" s="1" t="s">
        <v>10864</v>
      </c>
      <c r="D1931" s="1" t="s">
        <v>5172</v>
      </c>
      <c r="E1931" s="1" t="s">
        <v>5173</v>
      </c>
      <c r="F1931" s="1" t="s">
        <v>9010</v>
      </c>
      <c r="G1931" s="1" t="s">
        <v>8957</v>
      </c>
      <c r="H1931" t="s">
        <v>8959</v>
      </c>
      <c r="I1931" s="1" t="s">
        <v>8948</v>
      </c>
      <c r="J1931" s="1" t="s">
        <v>8949</v>
      </c>
      <c r="K1931" s="1" t="s">
        <v>21417</v>
      </c>
      <c r="L1931" s="1" t="s">
        <v>9292</v>
      </c>
      <c r="M1931" s="1">
        <v>114</v>
      </c>
      <c r="N1931" s="1" t="s">
        <v>9059</v>
      </c>
      <c r="O1931" s="1" t="s">
        <v>8989</v>
      </c>
      <c r="P1931" s="1" t="s">
        <v>8955</v>
      </c>
      <c r="Q1931" s="1" t="s">
        <v>8990</v>
      </c>
      <c r="R1931" s="1" t="s">
        <v>8957</v>
      </c>
      <c r="S1931" s="1" t="s">
        <v>8975</v>
      </c>
      <c r="T1931" s="1" t="s">
        <v>5174</v>
      </c>
      <c r="U1931" s="1" t="s">
        <v>11</v>
      </c>
      <c r="V1931" s="1" t="s">
        <v>46</v>
      </c>
      <c r="W1931" s="1"/>
    </row>
    <row r="1932" spans="1:23" x14ac:dyDescent="0.2">
      <c r="A1932" s="88" t="s">
        <v>17187</v>
      </c>
      <c r="B1932" s="1" t="e">
        <v>#N/A</v>
      </c>
      <c r="C1932" s="1" t="e">
        <v>#N/A</v>
      </c>
      <c r="D1932" s="1" t="s">
        <v>5175</v>
      </c>
      <c r="E1932" s="1" t="s">
        <v>5176</v>
      </c>
      <c r="F1932" s="1" t="s">
        <v>11671</v>
      </c>
      <c r="G1932" s="1" t="s">
        <v>8957</v>
      </c>
      <c r="H1932" t="s">
        <v>9061</v>
      </c>
      <c r="I1932" s="1" t="s">
        <v>9092</v>
      </c>
      <c r="J1932" s="1" t="s">
        <v>8959</v>
      </c>
      <c r="K1932" s="1" t="s">
        <v>20898</v>
      </c>
      <c r="L1932" s="1" t="s">
        <v>9464</v>
      </c>
      <c r="M1932" s="1">
        <v>10000</v>
      </c>
      <c r="N1932" s="1" t="s">
        <v>8953</v>
      </c>
      <c r="O1932" s="1" t="s">
        <v>8989</v>
      </c>
      <c r="P1932" s="1" t="e">
        <v>#N/A</v>
      </c>
      <c r="Q1932" s="1" t="e">
        <v>#N/A</v>
      </c>
      <c r="R1932" s="1">
        <f t="shared" ref="R1932:R1935" si="562">1+LEN(T1932)-LEN(SUBSTITUTE(T1932,",",))</f>
        <v>3</v>
      </c>
      <c r="S1932" s="1" t="str">
        <f t="shared" ref="S1932:S1935" si="563">IF(R1932&gt;4,IF(R1932&lt;8,"4-7",IF(R1932&gt;7,"&gt;7")),"&lt;4")</f>
        <v>&lt;4</v>
      </c>
      <c r="T1932" s="1" t="s">
        <v>19639</v>
      </c>
      <c r="U1932" s="1" t="s">
        <v>7</v>
      </c>
      <c r="V1932" s="1" t="s">
        <v>733</v>
      </c>
      <c r="W1932" s="1"/>
    </row>
    <row r="1933" spans="1:23" x14ac:dyDescent="0.2">
      <c r="A1933" s="89" t="s">
        <v>5177</v>
      </c>
      <c r="B1933" s="1" t="e">
        <v>#N/A</v>
      </c>
      <c r="C1933" s="1" t="e">
        <v>#N/A</v>
      </c>
      <c r="D1933" s="5" t="s">
        <v>5178</v>
      </c>
      <c r="E1933" s="1" t="s">
        <v>5179</v>
      </c>
      <c r="F1933" s="1" t="e">
        <v>#N/A</v>
      </c>
      <c r="G1933" s="1" t="e">
        <v>#N/A</v>
      </c>
      <c r="H1933" t="e">
        <v>#N/A</v>
      </c>
      <c r="I1933" s="1" t="e">
        <v>#N/A</v>
      </c>
      <c r="J1933" s="1" t="e">
        <v>#N/A</v>
      </c>
      <c r="K1933" s="1" t="e">
        <v>#N/A</v>
      </c>
      <c r="L1933" s="1" t="e">
        <v>#N/A</v>
      </c>
      <c r="M1933" s="1" t="e">
        <v>#N/A</v>
      </c>
      <c r="N1933" s="1" t="e">
        <v>#N/A</v>
      </c>
      <c r="O1933" s="1" t="e">
        <v>#N/A</v>
      </c>
      <c r="P1933" s="1" t="e">
        <v>#N/A</v>
      </c>
      <c r="Q1933" s="1" t="e">
        <v>#N/A</v>
      </c>
      <c r="R1933" s="1">
        <f t="shared" si="562"/>
        <v>5</v>
      </c>
      <c r="S1933" s="1" t="str">
        <f t="shared" si="563"/>
        <v>4-7</v>
      </c>
      <c r="T1933" s="1" t="s">
        <v>19640</v>
      </c>
      <c r="U1933" s="1" t="s">
        <v>11</v>
      </c>
      <c r="V1933" s="1" t="s">
        <v>962</v>
      </c>
      <c r="W1933" s="1"/>
    </row>
    <row r="1934" spans="1:23" x14ac:dyDescent="0.2">
      <c r="A1934" s="89" t="s">
        <v>17188</v>
      </c>
      <c r="B1934" s="1" t="e">
        <v>#N/A</v>
      </c>
      <c r="C1934" s="1" t="e">
        <v>#N/A</v>
      </c>
      <c r="D1934" s="5" t="s">
        <v>5180</v>
      </c>
      <c r="E1934" s="1" t="s">
        <v>5181</v>
      </c>
      <c r="F1934" s="1" t="e">
        <v>#N/A</v>
      </c>
      <c r="G1934" s="1" t="e">
        <v>#N/A</v>
      </c>
      <c r="H1934" t="e">
        <v>#N/A</v>
      </c>
      <c r="I1934" s="1" t="e">
        <v>#N/A</v>
      </c>
      <c r="J1934" s="1" t="e">
        <v>#N/A</v>
      </c>
      <c r="K1934" s="1" t="e">
        <v>#N/A</v>
      </c>
      <c r="L1934" s="1" t="e">
        <v>#N/A</v>
      </c>
      <c r="M1934" s="1" t="e">
        <v>#N/A</v>
      </c>
      <c r="N1934" s="1" t="e">
        <v>#N/A</v>
      </c>
      <c r="O1934" s="1" t="e">
        <v>#N/A</v>
      </c>
      <c r="P1934" s="1" t="e">
        <v>#N/A</v>
      </c>
      <c r="Q1934" s="1" t="e">
        <v>#N/A</v>
      </c>
      <c r="R1934" s="1">
        <f t="shared" si="562"/>
        <v>3</v>
      </c>
      <c r="S1934" s="1" t="str">
        <f t="shared" si="563"/>
        <v>&lt;4</v>
      </c>
      <c r="T1934" s="1" t="s">
        <v>19641</v>
      </c>
      <c r="U1934" s="1" t="s">
        <v>7</v>
      </c>
      <c r="V1934" s="1" t="s">
        <v>5182</v>
      </c>
      <c r="W1934" s="1"/>
    </row>
    <row r="1935" spans="1:23" x14ac:dyDescent="0.2">
      <c r="A1935" s="88" t="s">
        <v>17189</v>
      </c>
      <c r="B1935" s="1" t="e">
        <v>#N/A</v>
      </c>
      <c r="C1935" s="1" t="e">
        <v>#N/A</v>
      </c>
      <c r="D1935" s="1" t="s">
        <v>5183</v>
      </c>
      <c r="E1935" s="1" t="s">
        <v>5184</v>
      </c>
      <c r="F1935" s="1" t="s">
        <v>9333</v>
      </c>
      <c r="G1935" s="1" t="s">
        <v>8959</v>
      </c>
      <c r="H1935" t="s">
        <v>9061</v>
      </c>
      <c r="I1935" s="1" t="s">
        <v>9075</v>
      </c>
      <c r="J1935" s="1" t="s">
        <v>8998</v>
      </c>
      <c r="K1935" s="1" t="s">
        <v>10492</v>
      </c>
      <c r="L1935" s="1" t="s">
        <v>9076</v>
      </c>
      <c r="M1935" s="1">
        <v>126</v>
      </c>
      <c r="N1935" s="1" t="s">
        <v>9059</v>
      </c>
      <c r="O1935" s="1" t="s">
        <v>8989</v>
      </c>
      <c r="P1935" s="1" t="e">
        <v>#N/A</v>
      </c>
      <c r="Q1935" s="1" t="e">
        <v>#N/A</v>
      </c>
      <c r="R1935" s="1">
        <f t="shared" si="562"/>
        <v>10</v>
      </c>
      <c r="S1935" s="1" t="str">
        <f t="shared" si="563"/>
        <v>&gt;7</v>
      </c>
      <c r="T1935" s="1" t="s">
        <v>19642</v>
      </c>
      <c r="U1935" s="1" t="s">
        <v>7</v>
      </c>
      <c r="V1935" s="1" t="s">
        <v>267</v>
      </c>
      <c r="W1935" s="1"/>
    </row>
    <row r="1936" spans="1:23" x14ac:dyDescent="0.2">
      <c r="A1936" s="88" t="s">
        <v>17190</v>
      </c>
      <c r="B1936" s="1" t="e">
        <v>#N/A</v>
      </c>
      <c r="C1936" s="1" t="s">
        <v>14924</v>
      </c>
      <c r="D1936" s="1" t="s">
        <v>5185</v>
      </c>
      <c r="E1936" s="1" t="s">
        <v>5186</v>
      </c>
      <c r="F1936" s="1" t="s">
        <v>9333</v>
      </c>
      <c r="G1936" s="1" t="s">
        <v>8957</v>
      </c>
      <c r="H1936" t="s">
        <v>9009</v>
      </c>
      <c r="I1936" s="1" t="s">
        <v>8948</v>
      </c>
      <c r="J1936" s="1" t="s">
        <v>9121</v>
      </c>
      <c r="K1936" s="1" t="s">
        <v>9599</v>
      </c>
      <c r="L1936" s="1" t="s">
        <v>9133</v>
      </c>
      <c r="M1936" s="1">
        <v>170</v>
      </c>
      <c r="N1936" s="1" t="s">
        <v>8953</v>
      </c>
      <c r="O1936" s="1" t="s">
        <v>8954</v>
      </c>
      <c r="P1936" s="1" t="s">
        <v>8955</v>
      </c>
      <c r="Q1936" s="1" t="s">
        <v>8956</v>
      </c>
      <c r="R1936" s="1" t="s">
        <v>8957</v>
      </c>
      <c r="S1936" s="1" t="s">
        <v>8975</v>
      </c>
      <c r="T1936" s="1" t="s">
        <v>5187</v>
      </c>
      <c r="U1936" s="1" t="s">
        <v>17</v>
      </c>
      <c r="V1936" s="1" t="s">
        <v>5188</v>
      </c>
      <c r="W1936" s="1"/>
    </row>
    <row r="1937" spans="1:23" ht="42.75" x14ac:dyDescent="0.2">
      <c r="A1937" s="88" t="s">
        <v>17191</v>
      </c>
      <c r="B1937" s="1" t="e">
        <v>#N/A</v>
      </c>
      <c r="C1937" s="1" t="e">
        <v>#N/A</v>
      </c>
      <c r="D1937" s="1" t="s">
        <v>5189</v>
      </c>
      <c r="E1937" s="1" t="s">
        <v>5190</v>
      </c>
      <c r="F1937" s="1" t="s">
        <v>9815</v>
      </c>
      <c r="G1937" s="1" t="s">
        <v>8959</v>
      </c>
      <c r="H1937" t="s">
        <v>8959</v>
      </c>
      <c r="I1937" s="1" t="s">
        <v>9035</v>
      </c>
      <c r="J1937" s="1" t="s">
        <v>8998</v>
      </c>
      <c r="K1937" s="83" t="s">
        <v>21284</v>
      </c>
      <c r="L1937" s="1" t="s">
        <v>9292</v>
      </c>
      <c r="M1937" s="1">
        <f>360+397</f>
        <v>757</v>
      </c>
      <c r="N1937" s="1" t="s">
        <v>8953</v>
      </c>
      <c r="O1937" s="1" t="s">
        <v>8954</v>
      </c>
      <c r="P1937" s="1" t="e">
        <v>#N/A</v>
      </c>
      <c r="Q1937" s="1" t="e">
        <v>#N/A</v>
      </c>
      <c r="R1937" s="1">
        <f t="shared" ref="R1937:R1940" si="564">1+LEN(T1937)-LEN(SUBSTITUTE(T1937,",",))</f>
        <v>4</v>
      </c>
      <c r="S1937" s="1" t="str">
        <f t="shared" ref="S1937:S1940" si="565">IF(R1937&gt;4,IF(R1937&lt;8,"4-7",IF(R1937&gt;7,"&gt;7")),"&lt;4")</f>
        <v>&lt;4</v>
      </c>
      <c r="T1937" s="1" t="s">
        <v>20649</v>
      </c>
      <c r="U1937" s="1" t="s">
        <v>7</v>
      </c>
      <c r="V1937" s="1" t="s">
        <v>35</v>
      </c>
      <c r="W1937" s="1"/>
    </row>
    <row r="1938" spans="1:23" x14ac:dyDescent="0.2">
      <c r="A1938" s="88" t="s">
        <v>17192</v>
      </c>
      <c r="B1938" s="1" t="e">
        <v>#N/A</v>
      </c>
      <c r="C1938" s="1" t="e">
        <v>#N/A</v>
      </c>
      <c r="D1938" s="1" t="s">
        <v>5191</v>
      </c>
      <c r="E1938" s="1" t="s">
        <v>5192</v>
      </c>
      <c r="F1938" s="1" t="s">
        <v>18502</v>
      </c>
      <c r="G1938" s="1" t="s">
        <v>8957</v>
      </c>
      <c r="H1938" t="s">
        <v>9061</v>
      </c>
      <c r="I1938" s="1" t="s">
        <v>20714</v>
      </c>
      <c r="J1938" s="1" t="s">
        <v>20725</v>
      </c>
      <c r="K1938" s="1" t="s">
        <v>10492</v>
      </c>
      <c r="L1938" s="1" t="s">
        <v>8973</v>
      </c>
      <c r="M1938" s="1">
        <v>42</v>
      </c>
      <c r="N1938" s="1" t="s">
        <v>9059</v>
      </c>
      <c r="O1938" s="1" t="s">
        <v>8989</v>
      </c>
      <c r="P1938" s="1" t="e">
        <v>#N/A</v>
      </c>
      <c r="Q1938" s="1" t="e">
        <v>#N/A</v>
      </c>
      <c r="R1938" s="1">
        <f t="shared" si="564"/>
        <v>6</v>
      </c>
      <c r="S1938" s="1" t="str">
        <f t="shared" si="565"/>
        <v>4-7</v>
      </c>
      <c r="T1938" s="1" t="s">
        <v>19643</v>
      </c>
      <c r="U1938" s="1" t="s">
        <v>7</v>
      </c>
      <c r="V1938" s="1" t="s">
        <v>24</v>
      </c>
      <c r="W1938" s="1"/>
    </row>
    <row r="1939" spans="1:23" x14ac:dyDescent="0.2">
      <c r="A1939" s="88" t="s">
        <v>17193</v>
      </c>
      <c r="B1939" s="1" t="e">
        <v>#N/A</v>
      </c>
      <c r="C1939" s="1" t="e">
        <v>#N/A</v>
      </c>
      <c r="D1939" s="1" t="s">
        <v>5193</v>
      </c>
      <c r="E1939" s="1" t="s">
        <v>5194</v>
      </c>
      <c r="F1939" s="1" t="s">
        <v>18502</v>
      </c>
      <c r="G1939" s="1" t="s">
        <v>8959</v>
      </c>
      <c r="H1939" t="s">
        <v>9061</v>
      </c>
      <c r="I1939" s="1" t="s">
        <v>8984</v>
      </c>
      <c r="J1939" s="1" t="s">
        <v>8998</v>
      </c>
      <c r="K1939" s="1" t="s">
        <v>18497</v>
      </c>
      <c r="L1939" s="1" t="s">
        <v>9076</v>
      </c>
      <c r="M1939" s="1">
        <v>225000</v>
      </c>
      <c r="N1939" s="1" t="s">
        <v>8953</v>
      </c>
      <c r="O1939" s="1" t="s">
        <v>8989</v>
      </c>
      <c r="P1939" s="1" t="e">
        <v>#N/A</v>
      </c>
      <c r="Q1939" s="1" t="e">
        <v>#N/A</v>
      </c>
      <c r="R1939" s="1">
        <f t="shared" si="564"/>
        <v>5</v>
      </c>
      <c r="S1939" s="1" t="str">
        <f t="shared" si="565"/>
        <v>4-7</v>
      </c>
      <c r="T1939" s="1" t="s">
        <v>19644</v>
      </c>
      <c r="U1939" s="1" t="s">
        <v>7</v>
      </c>
      <c r="V1939" s="1" t="s">
        <v>93</v>
      </c>
      <c r="W1939" s="1"/>
    </row>
    <row r="1940" spans="1:23" x14ac:dyDescent="0.2">
      <c r="A1940" s="88" t="s">
        <v>17194</v>
      </c>
      <c r="B1940" s="1" t="e">
        <v>#N/A</v>
      </c>
      <c r="C1940" s="1" t="e">
        <v>#N/A</v>
      </c>
      <c r="D1940" s="1" t="s">
        <v>5195</v>
      </c>
      <c r="E1940" s="1" t="s">
        <v>5196</v>
      </c>
      <c r="F1940" s="1" t="s">
        <v>10687</v>
      </c>
      <c r="G1940" s="1" t="s">
        <v>8957</v>
      </c>
      <c r="H1940" t="s">
        <v>8959</v>
      </c>
      <c r="I1940" s="1" t="s">
        <v>9035</v>
      </c>
      <c r="J1940" s="1" t="s">
        <v>9155</v>
      </c>
      <c r="K1940" s="1" t="s">
        <v>21199</v>
      </c>
      <c r="L1940" s="1" t="s">
        <v>8987</v>
      </c>
      <c r="M1940" s="1">
        <f>6250+5996</f>
        <v>12246</v>
      </c>
      <c r="N1940" s="1" t="s">
        <v>8953</v>
      </c>
      <c r="O1940" s="1" t="s">
        <v>8954</v>
      </c>
      <c r="P1940" s="1" t="e">
        <v>#N/A</v>
      </c>
      <c r="Q1940" s="1" t="e">
        <v>#N/A</v>
      </c>
      <c r="R1940" s="1">
        <f t="shared" si="564"/>
        <v>6</v>
      </c>
      <c r="S1940" s="1" t="str">
        <f t="shared" si="565"/>
        <v>4-7</v>
      </c>
      <c r="T1940" s="1" t="s">
        <v>19645</v>
      </c>
      <c r="U1940" s="1" t="s">
        <v>7</v>
      </c>
      <c r="V1940" s="1" t="s">
        <v>74</v>
      </c>
      <c r="W1940" s="1"/>
    </row>
    <row r="1941" spans="1:23" x14ac:dyDescent="0.2">
      <c r="A1941" s="88" t="s">
        <v>17195</v>
      </c>
      <c r="B1941" s="1" t="e">
        <v>#N/A</v>
      </c>
      <c r="C1941" s="1" t="s">
        <v>11261</v>
      </c>
      <c r="D1941" s="1" t="s">
        <v>5197</v>
      </c>
      <c r="E1941" s="1" t="s">
        <v>5198</v>
      </c>
      <c r="F1941" s="1" t="s">
        <v>9815</v>
      </c>
      <c r="G1941" s="1" t="s">
        <v>8959</v>
      </c>
      <c r="H1941" t="s">
        <v>9183</v>
      </c>
      <c r="I1941" s="1" t="s">
        <v>9049</v>
      </c>
      <c r="J1941" s="1" t="s">
        <v>9050</v>
      </c>
      <c r="K1941" s="1" t="s">
        <v>9036</v>
      </c>
      <c r="L1941" s="1" t="s">
        <v>9133</v>
      </c>
      <c r="M1941" s="1">
        <v>11200</v>
      </c>
      <c r="N1941" s="1" t="s">
        <v>8953</v>
      </c>
      <c r="O1941" s="1" t="s">
        <v>8954</v>
      </c>
      <c r="P1941" s="1" t="s">
        <v>8955</v>
      </c>
      <c r="Q1941" s="1" t="s">
        <v>8956</v>
      </c>
      <c r="R1941" s="1" t="s">
        <v>8959</v>
      </c>
      <c r="S1941" s="1" t="s">
        <v>8958</v>
      </c>
      <c r="T1941" s="1" t="s">
        <v>5199</v>
      </c>
      <c r="U1941" s="1" t="s">
        <v>11</v>
      </c>
      <c r="V1941" s="1" t="s">
        <v>184</v>
      </c>
      <c r="W1941" s="1"/>
    </row>
    <row r="1942" spans="1:23" x14ac:dyDescent="0.2">
      <c r="A1942" s="88" t="s">
        <v>17196</v>
      </c>
      <c r="B1942" s="1" t="e">
        <v>#N/A</v>
      </c>
      <c r="C1942" s="1" t="e">
        <v>#N/A</v>
      </c>
      <c r="D1942" s="1" t="s">
        <v>5200</v>
      </c>
      <c r="E1942" s="1" t="s">
        <v>5201</v>
      </c>
      <c r="F1942" s="1" t="s">
        <v>9333</v>
      </c>
      <c r="G1942" s="1" t="s">
        <v>8959</v>
      </c>
      <c r="H1942" t="s">
        <v>9061</v>
      </c>
      <c r="I1942" s="1" t="s">
        <v>8984</v>
      </c>
      <c r="J1942" s="1" t="s">
        <v>9308</v>
      </c>
      <c r="K1942" s="1" t="s">
        <v>10492</v>
      </c>
      <c r="L1942" s="1" t="s">
        <v>8951</v>
      </c>
      <c r="M1942" s="1">
        <v>300</v>
      </c>
      <c r="N1942" s="1" t="s">
        <v>8953</v>
      </c>
      <c r="O1942" s="1" t="s">
        <v>8989</v>
      </c>
      <c r="P1942" s="1" t="e">
        <v>#N/A</v>
      </c>
      <c r="Q1942" s="1" t="e">
        <v>#N/A</v>
      </c>
      <c r="R1942" s="1">
        <f t="shared" ref="R1942:R1944" si="566">1+LEN(T1942)-LEN(SUBSTITUTE(T1942,",",))</f>
        <v>7</v>
      </c>
      <c r="S1942" s="1" t="str">
        <f t="shared" ref="S1942:S1944" si="567">IF(R1942&gt;4,IF(R1942&lt;8,"4-7",IF(R1942&gt;7,"&gt;7")),"&lt;4")</f>
        <v>4-7</v>
      </c>
      <c r="T1942" s="1" t="s">
        <v>19646</v>
      </c>
      <c r="U1942" s="1" t="s">
        <v>17</v>
      </c>
      <c r="V1942" s="1" t="s">
        <v>2434</v>
      </c>
      <c r="W1942" s="1"/>
    </row>
    <row r="1943" spans="1:23" x14ac:dyDescent="0.2">
      <c r="A1943" s="88" t="s">
        <v>17197</v>
      </c>
      <c r="B1943" s="1" t="e">
        <v>#N/A</v>
      </c>
      <c r="C1943" s="1" t="e">
        <v>#N/A</v>
      </c>
      <c r="D1943" s="1" t="s">
        <v>5202</v>
      </c>
      <c r="E1943" s="1" t="s">
        <v>5203</v>
      </c>
      <c r="F1943" s="1" t="s">
        <v>9333</v>
      </c>
      <c r="G1943" s="1" t="s">
        <v>8974</v>
      </c>
      <c r="H1943" t="s">
        <v>9183</v>
      </c>
      <c r="I1943" s="1" t="s">
        <v>9605</v>
      </c>
      <c r="J1943" s="1" t="s">
        <v>8985</v>
      </c>
      <c r="K1943" s="1" t="s">
        <v>20902</v>
      </c>
      <c r="L1943" s="1" t="s">
        <v>9133</v>
      </c>
      <c r="M1943" s="1">
        <f>6083+42674+42446</f>
        <v>91203</v>
      </c>
      <c r="N1943" s="1" t="s">
        <v>8953</v>
      </c>
      <c r="O1943" s="1" t="s">
        <v>8989</v>
      </c>
      <c r="P1943" s="1" t="e">
        <v>#N/A</v>
      </c>
      <c r="Q1943" s="1" t="e">
        <v>#N/A</v>
      </c>
      <c r="R1943" s="1">
        <f t="shared" si="566"/>
        <v>23</v>
      </c>
      <c r="S1943" s="1" t="str">
        <f t="shared" si="567"/>
        <v>&gt;7</v>
      </c>
      <c r="T1943" s="1" t="s">
        <v>19647</v>
      </c>
      <c r="U1943" s="1" t="s">
        <v>7</v>
      </c>
      <c r="V1943" s="1" t="s">
        <v>5204</v>
      </c>
      <c r="W1943" s="1"/>
    </row>
    <row r="1944" spans="1:23" x14ac:dyDescent="0.2">
      <c r="A1944" s="88" t="s">
        <v>17198</v>
      </c>
      <c r="B1944" s="1" t="e">
        <v>#N/A</v>
      </c>
      <c r="C1944" s="1" t="e">
        <v>#N/A</v>
      </c>
      <c r="D1944" s="1" t="s">
        <v>5205</v>
      </c>
      <c r="E1944" s="1" t="s">
        <v>5206</v>
      </c>
      <c r="F1944" s="1" t="s">
        <v>9333</v>
      </c>
      <c r="G1944" s="1" t="s">
        <v>8974</v>
      </c>
      <c r="H1944" t="s">
        <v>9009</v>
      </c>
      <c r="I1944" s="1" t="s">
        <v>9154</v>
      </c>
      <c r="J1944" s="1" t="s">
        <v>8959</v>
      </c>
      <c r="K1944" s="1" t="s">
        <v>20903</v>
      </c>
      <c r="L1944" s="1" t="s">
        <v>8987</v>
      </c>
      <c r="M1944" s="1">
        <f>107+864</f>
        <v>971</v>
      </c>
      <c r="N1944" s="1" t="s">
        <v>8953</v>
      </c>
      <c r="O1944" s="1" t="s">
        <v>8954</v>
      </c>
      <c r="P1944" s="1" t="e">
        <v>#N/A</v>
      </c>
      <c r="Q1944" s="1" t="e">
        <v>#N/A</v>
      </c>
      <c r="R1944" s="1">
        <f t="shared" si="566"/>
        <v>4</v>
      </c>
      <c r="S1944" s="1" t="str">
        <f t="shared" si="567"/>
        <v>&lt;4</v>
      </c>
      <c r="T1944" s="1" t="s">
        <v>19648</v>
      </c>
      <c r="U1944" s="1" t="s">
        <v>7</v>
      </c>
      <c r="V1944" s="1" t="s">
        <v>5207</v>
      </c>
      <c r="W1944" s="1"/>
    </row>
    <row r="1945" spans="1:23" x14ac:dyDescent="0.2">
      <c r="A1945" s="88" t="s">
        <v>17199</v>
      </c>
      <c r="B1945" s="1" t="e">
        <v>#N/A</v>
      </c>
      <c r="C1945" s="1" t="s">
        <v>10117</v>
      </c>
      <c r="D1945" s="1" t="s">
        <v>5208</v>
      </c>
      <c r="E1945" s="1" t="s">
        <v>5209</v>
      </c>
      <c r="F1945" s="1" t="s">
        <v>10032</v>
      </c>
      <c r="G1945" s="1" t="s">
        <v>8957</v>
      </c>
      <c r="H1945" t="s">
        <v>8959</v>
      </c>
      <c r="I1945" s="1" t="s">
        <v>8948</v>
      </c>
      <c r="J1945" s="1" t="s">
        <v>8949</v>
      </c>
      <c r="K1945" s="1" t="s">
        <v>9036</v>
      </c>
      <c r="L1945" s="1" t="s">
        <v>8973</v>
      </c>
      <c r="M1945" s="1">
        <v>285</v>
      </c>
      <c r="N1945" s="1" t="s">
        <v>8953</v>
      </c>
      <c r="O1945" s="1" t="s">
        <v>8954</v>
      </c>
      <c r="P1945" s="1" t="s">
        <v>8955</v>
      </c>
      <c r="Q1945" s="1" t="s">
        <v>8956</v>
      </c>
      <c r="R1945" s="1" t="s">
        <v>8957</v>
      </c>
      <c r="S1945" s="1" t="s">
        <v>8958</v>
      </c>
      <c r="T1945" s="1" t="s">
        <v>5210</v>
      </c>
      <c r="U1945" s="1" t="s">
        <v>17</v>
      </c>
      <c r="V1945" s="1" t="s">
        <v>43</v>
      </c>
      <c r="W1945" s="1"/>
    </row>
    <row r="1946" spans="1:23" x14ac:dyDescent="0.2">
      <c r="A1946" s="88" t="s">
        <v>17200</v>
      </c>
      <c r="B1946" s="1" t="e">
        <v>#N/A</v>
      </c>
      <c r="C1946" s="1" t="s">
        <v>10789</v>
      </c>
      <c r="D1946" s="1" t="s">
        <v>5211</v>
      </c>
      <c r="E1946" s="1" t="s">
        <v>5212</v>
      </c>
      <c r="F1946" s="1" t="s">
        <v>10049</v>
      </c>
      <c r="G1946" s="1" t="s">
        <v>8959</v>
      </c>
      <c r="H1946" t="s">
        <v>8959</v>
      </c>
      <c r="I1946" s="1" t="s">
        <v>9154</v>
      </c>
      <c r="J1946" s="1" t="s">
        <v>8949</v>
      </c>
      <c r="K1946" s="1" t="s">
        <v>9212</v>
      </c>
      <c r="L1946" s="1" t="s">
        <v>8973</v>
      </c>
      <c r="M1946" s="1">
        <v>250</v>
      </c>
      <c r="N1946" s="1" t="s">
        <v>8953</v>
      </c>
      <c r="O1946" s="1" t="s">
        <v>8954</v>
      </c>
      <c r="P1946" s="1" t="s">
        <v>8955</v>
      </c>
      <c r="Q1946" s="1" t="s">
        <v>8956</v>
      </c>
      <c r="R1946" s="1" t="s">
        <v>8959</v>
      </c>
      <c r="S1946" s="1" t="s">
        <v>8958</v>
      </c>
      <c r="T1946" s="1" t="s">
        <v>5213</v>
      </c>
      <c r="U1946" s="1" t="s">
        <v>17</v>
      </c>
      <c r="V1946" s="1" t="s">
        <v>5214</v>
      </c>
      <c r="W1946" s="1"/>
    </row>
    <row r="1947" spans="1:23" x14ac:dyDescent="0.2">
      <c r="A1947" s="88" t="s">
        <v>17201</v>
      </c>
      <c r="B1947" s="1" t="e">
        <v>#N/A</v>
      </c>
      <c r="C1947" s="1" t="e">
        <v>#N/A</v>
      </c>
      <c r="D1947" s="1" t="s">
        <v>5215</v>
      </c>
      <c r="E1947" s="1" t="s">
        <v>5216</v>
      </c>
      <c r="F1947" s="1" t="s">
        <v>18502</v>
      </c>
      <c r="G1947" s="1" t="s">
        <v>8957</v>
      </c>
      <c r="H1947" t="s">
        <v>8959</v>
      </c>
      <c r="I1947" s="1" t="s">
        <v>9605</v>
      </c>
      <c r="J1947" s="1" t="s">
        <v>9101</v>
      </c>
      <c r="K1947" s="1" t="s">
        <v>10492</v>
      </c>
      <c r="L1947" s="1" t="s">
        <v>9076</v>
      </c>
      <c r="M1947" s="1" t="e">
        <v>#N/A</v>
      </c>
      <c r="N1947" s="1" t="e">
        <v>#N/A</v>
      </c>
      <c r="O1947" s="1" t="e">
        <v>#N/A</v>
      </c>
      <c r="P1947" s="1" t="e">
        <v>#N/A</v>
      </c>
      <c r="Q1947" s="1" t="e">
        <v>#N/A</v>
      </c>
      <c r="R1947" s="1">
        <f t="shared" ref="R1947:R1948" si="568">1+LEN(T1947)-LEN(SUBSTITUTE(T1947,",",))</f>
        <v>4</v>
      </c>
      <c r="S1947" s="1" t="str">
        <f t="shared" ref="S1947:S1948" si="569">IF(R1947&gt;4,IF(R1947&lt;8,"4-7",IF(R1947&gt;7,"&gt;7")),"&lt;4")</f>
        <v>&lt;4</v>
      </c>
      <c r="T1947" s="1" t="s">
        <v>19649</v>
      </c>
      <c r="U1947" s="1" t="s">
        <v>7</v>
      </c>
      <c r="V1947" s="1" t="s">
        <v>2121</v>
      </c>
      <c r="W1947" s="1"/>
    </row>
    <row r="1948" spans="1:23" x14ac:dyDescent="0.2">
      <c r="A1948" s="89" t="s">
        <v>5217</v>
      </c>
      <c r="B1948" s="1" t="e">
        <v>#N/A</v>
      </c>
      <c r="C1948" s="1" t="e">
        <v>#N/A</v>
      </c>
      <c r="D1948" s="1" t="s">
        <v>5218</v>
      </c>
      <c r="E1948" s="1" t="s">
        <v>5219</v>
      </c>
      <c r="F1948" s="1" t="e">
        <v>#N/A</v>
      </c>
      <c r="G1948" s="1" t="e">
        <v>#N/A</v>
      </c>
      <c r="H1948" t="e">
        <v>#N/A</v>
      </c>
      <c r="I1948" s="1" t="e">
        <v>#N/A</v>
      </c>
      <c r="J1948" s="1" t="e">
        <v>#N/A</v>
      </c>
      <c r="K1948" s="1" t="e">
        <v>#N/A</v>
      </c>
      <c r="L1948" s="1" t="e">
        <v>#N/A</v>
      </c>
      <c r="M1948" s="1" t="e">
        <v>#N/A</v>
      </c>
      <c r="N1948" s="1" t="e">
        <v>#N/A</v>
      </c>
      <c r="O1948" s="1" t="e">
        <v>#N/A</v>
      </c>
      <c r="P1948" s="1" t="e">
        <v>#N/A</v>
      </c>
      <c r="Q1948" s="1" t="e">
        <v>#N/A</v>
      </c>
      <c r="R1948" s="1">
        <f t="shared" si="568"/>
        <v>6</v>
      </c>
      <c r="S1948" s="1" t="str">
        <f t="shared" si="569"/>
        <v>4-7</v>
      </c>
      <c r="T1948" s="1" t="s">
        <v>19650</v>
      </c>
      <c r="U1948" s="1" t="s">
        <v>17</v>
      </c>
      <c r="V1948" s="1" t="s">
        <v>700</v>
      </c>
      <c r="W1948" s="1"/>
    </row>
    <row r="1949" spans="1:23" x14ac:dyDescent="0.2">
      <c r="A1949" s="88" t="s">
        <v>17202</v>
      </c>
      <c r="B1949" s="1" t="e">
        <v>#N/A</v>
      </c>
      <c r="C1949" s="1" t="s">
        <v>13303</v>
      </c>
      <c r="D1949" s="1" t="s">
        <v>5220</v>
      </c>
      <c r="E1949" s="1" t="s">
        <v>5221</v>
      </c>
      <c r="F1949" s="1" t="s">
        <v>9246</v>
      </c>
      <c r="G1949" s="1" t="s">
        <v>8957</v>
      </c>
      <c r="H1949" t="s">
        <v>9009</v>
      </c>
      <c r="I1949" s="1" t="s">
        <v>8948</v>
      </c>
      <c r="J1949" s="1" t="s">
        <v>8949</v>
      </c>
      <c r="K1949" s="1" t="s">
        <v>9036</v>
      </c>
      <c r="L1949" s="1" t="s">
        <v>8973</v>
      </c>
      <c r="M1949" s="1">
        <v>226</v>
      </c>
      <c r="N1949" s="1" t="s">
        <v>9059</v>
      </c>
      <c r="O1949" s="1" t="s">
        <v>8954</v>
      </c>
      <c r="P1949" s="1" t="s">
        <v>8955</v>
      </c>
      <c r="Q1949" s="1" t="s">
        <v>8956</v>
      </c>
      <c r="R1949" s="1" t="s">
        <v>8957</v>
      </c>
      <c r="S1949" s="1" t="s">
        <v>8958</v>
      </c>
      <c r="T1949" s="1" t="s">
        <v>5222</v>
      </c>
      <c r="U1949" s="1" t="s">
        <v>11</v>
      </c>
      <c r="V1949" s="1" t="s">
        <v>57</v>
      </c>
      <c r="W1949" s="1"/>
    </row>
    <row r="1950" spans="1:23" x14ac:dyDescent="0.2">
      <c r="A1950" s="88" t="s">
        <v>17203</v>
      </c>
      <c r="B1950" s="1" t="e">
        <v>#N/A</v>
      </c>
      <c r="C1950" s="1" t="e">
        <v>#N/A</v>
      </c>
      <c r="D1950" s="1" t="s">
        <v>5223</v>
      </c>
      <c r="E1950" s="1" t="s">
        <v>5224</v>
      </c>
      <c r="F1950" s="1" t="s">
        <v>9968</v>
      </c>
      <c r="G1950" s="1" t="s">
        <v>8959</v>
      </c>
      <c r="H1950" t="s">
        <v>8959</v>
      </c>
      <c r="I1950" s="1" t="s">
        <v>8984</v>
      </c>
      <c r="J1950" s="1" t="s">
        <v>8998</v>
      </c>
      <c r="K1950" s="1" t="s">
        <v>21451</v>
      </c>
      <c r="L1950" s="1" t="s">
        <v>8973</v>
      </c>
      <c r="M1950" s="1">
        <v>135</v>
      </c>
      <c r="N1950" s="1" t="s">
        <v>8953</v>
      </c>
      <c r="O1950" s="1" t="s">
        <v>20904</v>
      </c>
      <c r="P1950" s="1" t="e">
        <v>#N/A</v>
      </c>
      <c r="Q1950" s="1" t="e">
        <v>#N/A</v>
      </c>
      <c r="R1950" s="1">
        <f>1+LEN(T1950)-LEN(SUBSTITUTE(T1950,",",))</f>
        <v>2</v>
      </c>
      <c r="S1950" s="1" t="str">
        <f>IF(R1950&gt;4,IF(R1950&lt;8,"4-7",IF(R1950&gt;7,"&gt;7")),"&lt;4")</f>
        <v>&lt;4</v>
      </c>
      <c r="T1950" s="1" t="s">
        <v>19651</v>
      </c>
      <c r="U1950" s="1" t="s">
        <v>7</v>
      </c>
      <c r="V1950" s="1" t="s">
        <v>64</v>
      </c>
      <c r="W1950" s="1"/>
    </row>
    <row r="1951" spans="1:23" x14ac:dyDescent="0.2">
      <c r="A1951" s="88" t="s">
        <v>17204</v>
      </c>
      <c r="B1951" s="1" t="e">
        <v>#N/A</v>
      </c>
      <c r="C1951" s="1" t="s">
        <v>13293</v>
      </c>
      <c r="D1951" s="1" t="s">
        <v>5225</v>
      </c>
      <c r="E1951" s="1" t="s">
        <v>5226</v>
      </c>
      <c r="F1951" s="1" t="s">
        <v>9010</v>
      </c>
      <c r="G1951" s="1" t="s">
        <v>8957</v>
      </c>
      <c r="H1951" t="s">
        <v>9061</v>
      </c>
      <c r="I1951" s="1" t="s">
        <v>9252</v>
      </c>
      <c r="J1951" s="1" t="s">
        <v>9253</v>
      </c>
      <c r="K1951" s="1" t="s">
        <v>9036</v>
      </c>
      <c r="L1951" s="1" t="s">
        <v>8987</v>
      </c>
      <c r="M1951" s="1">
        <v>22000</v>
      </c>
      <c r="N1951" s="1" t="s">
        <v>8953</v>
      </c>
      <c r="O1951" s="1" t="s">
        <v>8989</v>
      </c>
      <c r="P1951" s="1" t="s">
        <v>8955</v>
      </c>
      <c r="Q1951" s="1" t="s">
        <v>8956</v>
      </c>
      <c r="R1951" s="1" t="s">
        <v>8957</v>
      </c>
      <c r="S1951" s="1" t="s">
        <v>8958</v>
      </c>
      <c r="T1951" s="1" t="s">
        <v>5227</v>
      </c>
      <c r="U1951" s="1" t="s">
        <v>11</v>
      </c>
      <c r="V1951" s="1" t="s">
        <v>93</v>
      </c>
      <c r="W1951" s="1"/>
    </row>
    <row r="1952" spans="1:23" x14ac:dyDescent="0.2">
      <c r="A1952" s="88" t="s">
        <v>17205</v>
      </c>
      <c r="B1952" s="1" t="e">
        <v>#N/A</v>
      </c>
      <c r="C1952" s="1" t="s">
        <v>13544</v>
      </c>
      <c r="D1952" s="1" t="s">
        <v>5228</v>
      </c>
      <c r="E1952" s="1" t="s">
        <v>5229</v>
      </c>
      <c r="F1952" s="1" t="s">
        <v>9010</v>
      </c>
      <c r="G1952" s="1" t="s">
        <v>9060</v>
      </c>
      <c r="H1952" t="s">
        <v>9061</v>
      </c>
      <c r="I1952" s="1" t="s">
        <v>9252</v>
      </c>
      <c r="J1952" s="1" t="s">
        <v>9253</v>
      </c>
      <c r="K1952" s="1" t="s">
        <v>9036</v>
      </c>
      <c r="L1952" s="1" t="s">
        <v>9157</v>
      </c>
      <c r="M1952" s="1">
        <v>15415</v>
      </c>
      <c r="N1952" s="1" t="s">
        <v>8953</v>
      </c>
      <c r="O1952" s="1" t="s">
        <v>8954</v>
      </c>
      <c r="P1952" s="1" t="s">
        <v>8955</v>
      </c>
      <c r="Q1952" s="1" t="s">
        <v>8990</v>
      </c>
      <c r="R1952" s="1" t="s">
        <v>9060</v>
      </c>
      <c r="S1952" s="1" t="s">
        <v>8958</v>
      </c>
      <c r="T1952" s="1" t="s">
        <v>5230</v>
      </c>
      <c r="U1952" s="1" t="s">
        <v>11</v>
      </c>
      <c r="V1952" s="1" t="s">
        <v>87</v>
      </c>
      <c r="W1952" s="1"/>
    </row>
    <row r="1953" spans="1:23" x14ac:dyDescent="0.2">
      <c r="A1953" s="88" t="s">
        <v>17206</v>
      </c>
      <c r="B1953" s="1" t="e">
        <v>#N/A</v>
      </c>
      <c r="C1953" s="1" t="s">
        <v>11626</v>
      </c>
      <c r="D1953" s="1" t="s">
        <v>5231</v>
      </c>
      <c r="E1953" s="1" t="s">
        <v>5232</v>
      </c>
      <c r="F1953" s="1" t="s">
        <v>9010</v>
      </c>
      <c r="G1953" s="1" t="s">
        <v>8957</v>
      </c>
      <c r="H1953" t="s">
        <v>9183</v>
      </c>
      <c r="I1953" s="1" t="s">
        <v>8948</v>
      </c>
      <c r="J1953" s="1" t="s">
        <v>8949</v>
      </c>
      <c r="K1953" s="1" t="s">
        <v>9036</v>
      </c>
      <c r="L1953" s="1" t="s">
        <v>9133</v>
      </c>
      <c r="M1953" s="1">
        <v>134</v>
      </c>
      <c r="N1953" s="1" t="s">
        <v>8953</v>
      </c>
      <c r="O1953" s="1" t="s">
        <v>8989</v>
      </c>
      <c r="P1953" s="1" t="s">
        <v>8955</v>
      </c>
      <c r="Q1953" s="1" t="s">
        <v>8956</v>
      </c>
      <c r="R1953" s="1" t="s">
        <v>8957</v>
      </c>
      <c r="S1953" s="1" t="s">
        <v>8958</v>
      </c>
      <c r="T1953" s="1" t="s">
        <v>5233</v>
      </c>
      <c r="U1953" s="1" t="s">
        <v>17</v>
      </c>
      <c r="V1953" s="1" t="s">
        <v>61</v>
      </c>
      <c r="W1953" s="1"/>
    </row>
    <row r="1954" spans="1:23" x14ac:dyDescent="0.2">
      <c r="A1954" s="88" t="s">
        <v>17207</v>
      </c>
      <c r="B1954" s="1" t="e">
        <v>#N/A</v>
      </c>
      <c r="C1954" s="1" t="e">
        <v>#N/A</v>
      </c>
      <c r="D1954" s="1" t="s">
        <v>5234</v>
      </c>
      <c r="E1954" s="1" t="s">
        <v>5235</v>
      </c>
      <c r="F1954" s="1" t="s">
        <v>18502</v>
      </c>
      <c r="G1954" s="1" t="s">
        <v>8957</v>
      </c>
      <c r="H1954" t="s">
        <v>9009</v>
      </c>
      <c r="I1954" s="1" t="s">
        <v>9100</v>
      </c>
      <c r="J1954" s="1" t="s">
        <v>9101</v>
      </c>
      <c r="K1954" s="1" t="s">
        <v>10492</v>
      </c>
      <c r="L1954" s="1" t="s">
        <v>8973</v>
      </c>
      <c r="M1954" s="1">
        <v>280</v>
      </c>
      <c r="N1954" s="1" t="s">
        <v>8953</v>
      </c>
      <c r="O1954" s="1" t="s">
        <v>8989</v>
      </c>
      <c r="P1954" s="1" t="e">
        <v>#N/A</v>
      </c>
      <c r="Q1954" s="1" t="e">
        <v>#N/A</v>
      </c>
      <c r="R1954" s="1">
        <f t="shared" ref="R1954:R1960" si="570">1+LEN(T1954)-LEN(SUBSTITUTE(T1954,",",))</f>
        <v>3</v>
      </c>
      <c r="S1954" s="1" t="str">
        <f t="shared" ref="S1954:S1960" si="571">IF(R1954&gt;4,IF(R1954&lt;8,"4-7",IF(R1954&gt;7,"&gt;7")),"&lt;4")</f>
        <v>&lt;4</v>
      </c>
      <c r="T1954" s="1" t="s">
        <v>19652</v>
      </c>
      <c r="U1954" s="1" t="s">
        <v>17</v>
      </c>
      <c r="V1954" s="1" t="s">
        <v>5236</v>
      </c>
      <c r="W1954" s="1"/>
    </row>
    <row r="1955" spans="1:23" x14ac:dyDescent="0.2">
      <c r="A1955" s="88" t="s">
        <v>17208</v>
      </c>
      <c r="B1955" s="1" t="e">
        <v>#N/A</v>
      </c>
      <c r="C1955" s="1" t="e">
        <v>#N/A</v>
      </c>
      <c r="D1955" s="1" t="s">
        <v>5237</v>
      </c>
      <c r="E1955" s="1" t="s">
        <v>5238</v>
      </c>
      <c r="F1955" s="1" t="s">
        <v>9815</v>
      </c>
      <c r="G1955" s="1" t="s">
        <v>8959</v>
      </c>
      <c r="H1955" t="s">
        <v>8959</v>
      </c>
      <c r="I1955" s="1" t="s">
        <v>9035</v>
      </c>
      <c r="J1955" s="1" t="s">
        <v>9155</v>
      </c>
      <c r="K1955" s="1" t="s">
        <v>20905</v>
      </c>
      <c r="L1955" s="1" t="s">
        <v>9157</v>
      </c>
      <c r="M1955" s="1">
        <v>211</v>
      </c>
      <c r="N1955" s="1" t="s">
        <v>9059</v>
      </c>
      <c r="O1955" s="1" t="s">
        <v>8989</v>
      </c>
      <c r="P1955" s="1" t="e">
        <v>#N/A</v>
      </c>
      <c r="Q1955" s="1" t="e">
        <v>#N/A</v>
      </c>
      <c r="R1955" s="1">
        <f t="shared" si="570"/>
        <v>2</v>
      </c>
      <c r="S1955" s="1" t="str">
        <f t="shared" si="571"/>
        <v>&lt;4</v>
      </c>
      <c r="T1955" s="1" t="s">
        <v>20650</v>
      </c>
      <c r="U1955" s="1" t="s">
        <v>7</v>
      </c>
      <c r="V1955" s="1" t="s">
        <v>87</v>
      </c>
      <c r="W1955" s="1"/>
    </row>
    <row r="1956" spans="1:23" x14ac:dyDescent="0.2">
      <c r="A1956" s="88" t="s">
        <v>17209</v>
      </c>
      <c r="B1956" s="1" t="e">
        <v>#N/A</v>
      </c>
      <c r="C1956" s="1" t="e">
        <v>#N/A</v>
      </c>
      <c r="D1956" s="1" t="s">
        <v>5239</v>
      </c>
      <c r="E1956" s="1" t="s">
        <v>5240</v>
      </c>
      <c r="F1956" s="1" t="s">
        <v>18502</v>
      </c>
      <c r="G1956" s="1" t="s">
        <v>8957</v>
      </c>
      <c r="H1956" t="s">
        <v>8959</v>
      </c>
      <c r="I1956" s="1" t="s">
        <v>9252</v>
      </c>
      <c r="J1956" s="1" t="s">
        <v>20725</v>
      </c>
      <c r="K1956" s="1" t="s">
        <v>20902</v>
      </c>
      <c r="L1956" s="1" t="s">
        <v>8987</v>
      </c>
      <c r="M1956" s="1">
        <v>36800</v>
      </c>
      <c r="N1956" s="1" t="s">
        <v>8953</v>
      </c>
      <c r="O1956" s="1" t="s">
        <v>8989</v>
      </c>
      <c r="P1956" s="1" t="e">
        <v>#N/A</v>
      </c>
      <c r="Q1956" s="1" t="e">
        <v>#N/A</v>
      </c>
      <c r="R1956" s="1">
        <f t="shared" si="570"/>
        <v>9</v>
      </c>
      <c r="S1956" s="1" t="str">
        <f t="shared" si="571"/>
        <v>&gt;7</v>
      </c>
      <c r="T1956" s="1" t="s">
        <v>19653</v>
      </c>
      <c r="U1956" s="1" t="s">
        <v>7</v>
      </c>
      <c r="V1956" s="1" t="s">
        <v>562</v>
      </c>
      <c r="W1956" s="1"/>
    </row>
    <row r="1957" spans="1:23" x14ac:dyDescent="0.2">
      <c r="A1957" s="89" t="s">
        <v>5241</v>
      </c>
      <c r="B1957" s="1" t="e">
        <v>#N/A</v>
      </c>
      <c r="C1957" s="1" t="e">
        <v>#N/A</v>
      </c>
      <c r="D1957" s="1" t="s">
        <v>5242</v>
      </c>
      <c r="E1957" s="1" t="s">
        <v>5243</v>
      </c>
      <c r="F1957" s="1" t="e">
        <v>#N/A</v>
      </c>
      <c r="G1957" s="1" t="e">
        <v>#N/A</v>
      </c>
      <c r="H1957" t="e">
        <v>#N/A</v>
      </c>
      <c r="I1957" s="1" t="e">
        <v>#N/A</v>
      </c>
      <c r="J1957" s="1" t="e">
        <v>#N/A</v>
      </c>
      <c r="K1957" s="1" t="e">
        <v>#N/A</v>
      </c>
      <c r="L1957" s="1" t="e">
        <v>#N/A</v>
      </c>
      <c r="M1957" s="1" t="e">
        <v>#N/A</v>
      </c>
      <c r="N1957" s="1" t="e">
        <v>#N/A</v>
      </c>
      <c r="O1957" s="1" t="e">
        <v>#N/A</v>
      </c>
      <c r="P1957" s="1" t="e">
        <v>#N/A</v>
      </c>
      <c r="Q1957" s="1" t="e">
        <v>#N/A</v>
      </c>
      <c r="R1957" s="1">
        <f t="shared" si="570"/>
        <v>3</v>
      </c>
      <c r="S1957" s="1" t="str">
        <f t="shared" si="571"/>
        <v>&lt;4</v>
      </c>
      <c r="T1957" s="1" t="s">
        <v>19654</v>
      </c>
      <c r="U1957" s="1" t="s">
        <v>7</v>
      </c>
      <c r="V1957" s="1" t="s">
        <v>8</v>
      </c>
      <c r="W1957" s="1"/>
    </row>
    <row r="1958" spans="1:23" x14ac:dyDescent="0.2">
      <c r="A1958" s="89" t="s">
        <v>5244</v>
      </c>
      <c r="B1958" s="1" t="e">
        <v>#N/A</v>
      </c>
      <c r="C1958" s="1" t="e">
        <v>#N/A</v>
      </c>
      <c r="D1958" s="1" t="s">
        <v>5245</v>
      </c>
      <c r="E1958" s="1" t="s">
        <v>5246</v>
      </c>
      <c r="F1958" s="1" t="e">
        <v>#N/A</v>
      </c>
      <c r="G1958" s="1" t="e">
        <v>#N/A</v>
      </c>
      <c r="H1958" t="e">
        <v>#N/A</v>
      </c>
      <c r="I1958" s="1" t="e">
        <v>#N/A</v>
      </c>
      <c r="J1958" s="1" t="e">
        <v>#N/A</v>
      </c>
      <c r="K1958" s="1" t="e">
        <v>#N/A</v>
      </c>
      <c r="L1958" s="1" t="e">
        <v>#N/A</v>
      </c>
      <c r="M1958" s="1" t="e">
        <v>#N/A</v>
      </c>
      <c r="N1958" s="1" t="e">
        <v>#N/A</v>
      </c>
      <c r="O1958" s="1" t="e">
        <v>#N/A</v>
      </c>
      <c r="P1958" s="1" t="e">
        <v>#N/A</v>
      </c>
      <c r="Q1958" s="1" t="e">
        <v>#N/A</v>
      </c>
      <c r="R1958" s="1">
        <f t="shared" si="570"/>
        <v>10</v>
      </c>
      <c r="S1958" s="1" t="str">
        <f t="shared" si="571"/>
        <v>&gt;7</v>
      </c>
      <c r="T1958" s="1" t="s">
        <v>20651</v>
      </c>
      <c r="U1958" s="1" t="s">
        <v>7</v>
      </c>
      <c r="V1958" s="1" t="s">
        <v>835</v>
      </c>
      <c r="W1958" s="1"/>
    </row>
    <row r="1959" spans="1:23" x14ac:dyDescent="0.2">
      <c r="A1959" s="88" t="s">
        <v>17210</v>
      </c>
      <c r="B1959" s="1" t="e">
        <v>#N/A</v>
      </c>
      <c r="C1959" s="1" t="e">
        <v>#N/A</v>
      </c>
      <c r="D1959" s="1" t="s">
        <v>5247</v>
      </c>
      <c r="E1959" s="1" t="s">
        <v>5248</v>
      </c>
      <c r="F1959" s="1" t="s">
        <v>10873</v>
      </c>
      <c r="G1959" s="1" t="s">
        <v>8957</v>
      </c>
      <c r="H1959" t="s">
        <v>8959</v>
      </c>
      <c r="I1959" s="1" t="s">
        <v>8948</v>
      </c>
      <c r="J1959" s="1" t="s">
        <v>8998</v>
      </c>
      <c r="K1959" s="1" t="s">
        <v>20902</v>
      </c>
      <c r="L1959" s="1" t="s">
        <v>8973</v>
      </c>
      <c r="M1959" s="1">
        <v>1415</v>
      </c>
      <c r="N1959" s="1" t="s">
        <v>8953</v>
      </c>
      <c r="O1959" s="1" t="s">
        <v>8954</v>
      </c>
      <c r="P1959" s="1" t="e">
        <v>#N/A</v>
      </c>
      <c r="Q1959" s="1" t="e">
        <v>#N/A</v>
      </c>
      <c r="R1959" s="1">
        <f t="shared" si="570"/>
        <v>11</v>
      </c>
      <c r="S1959" s="1" t="str">
        <f t="shared" si="571"/>
        <v>&gt;7</v>
      </c>
      <c r="T1959" s="1" t="s">
        <v>19655</v>
      </c>
      <c r="U1959" s="1" t="s">
        <v>7</v>
      </c>
      <c r="V1959" s="1" t="s">
        <v>686</v>
      </c>
      <c r="W1959" s="1"/>
    </row>
    <row r="1960" spans="1:23" x14ac:dyDescent="0.2">
      <c r="A1960" s="89" t="s">
        <v>5249</v>
      </c>
      <c r="B1960" s="1" t="e">
        <v>#N/A</v>
      </c>
      <c r="C1960" s="1" t="e">
        <v>#N/A</v>
      </c>
      <c r="D1960" s="1" t="s">
        <v>5250</v>
      </c>
      <c r="E1960" s="1" t="s">
        <v>5251</v>
      </c>
      <c r="F1960" s="1" t="e">
        <v>#N/A</v>
      </c>
      <c r="G1960" s="1" t="e">
        <v>#N/A</v>
      </c>
      <c r="H1960" t="e">
        <v>#N/A</v>
      </c>
      <c r="I1960" s="1" t="e">
        <v>#N/A</v>
      </c>
      <c r="J1960" s="1" t="e">
        <v>#N/A</v>
      </c>
      <c r="K1960" s="1" t="e">
        <v>#N/A</v>
      </c>
      <c r="L1960" s="1" t="e">
        <v>#N/A</v>
      </c>
      <c r="M1960" s="1" t="e">
        <v>#N/A</v>
      </c>
      <c r="N1960" s="1" t="e">
        <v>#N/A</v>
      </c>
      <c r="O1960" s="1" t="e">
        <v>#N/A</v>
      </c>
      <c r="P1960" s="1" t="e">
        <v>#N/A</v>
      </c>
      <c r="Q1960" s="1" t="e">
        <v>#N/A</v>
      </c>
      <c r="R1960" s="1">
        <f t="shared" si="570"/>
        <v>6</v>
      </c>
      <c r="S1960" s="1" t="str">
        <f t="shared" si="571"/>
        <v>4-7</v>
      </c>
      <c r="T1960" s="1" t="s">
        <v>19656</v>
      </c>
      <c r="U1960" s="1" t="s">
        <v>7</v>
      </c>
      <c r="V1960" s="1" t="s">
        <v>670</v>
      </c>
      <c r="W1960" s="1"/>
    </row>
    <row r="1961" spans="1:23" x14ac:dyDescent="0.2">
      <c r="A1961" s="88" t="s">
        <v>17211</v>
      </c>
      <c r="B1961" s="1" t="e">
        <v>#N/A</v>
      </c>
      <c r="C1961" s="1" t="s">
        <v>12756</v>
      </c>
      <c r="D1961" s="1" t="s">
        <v>5252</v>
      </c>
      <c r="E1961" s="1" t="s">
        <v>5253</v>
      </c>
      <c r="F1961" s="1" t="s">
        <v>9010</v>
      </c>
      <c r="G1961" s="1" t="s">
        <v>8959</v>
      </c>
      <c r="H1961" t="s">
        <v>9009</v>
      </c>
      <c r="I1961" s="1" t="s">
        <v>8948</v>
      </c>
      <c r="J1961" s="1" t="s">
        <v>8998</v>
      </c>
      <c r="K1961" s="1" t="s">
        <v>9036</v>
      </c>
      <c r="L1961" s="1" t="s">
        <v>9076</v>
      </c>
      <c r="M1961" s="1">
        <v>105</v>
      </c>
      <c r="N1961" s="1" t="s">
        <v>8953</v>
      </c>
      <c r="O1961" s="1" t="s">
        <v>8989</v>
      </c>
      <c r="P1961" s="1" t="s">
        <v>8955</v>
      </c>
      <c r="Q1961" s="1" t="s">
        <v>8956</v>
      </c>
      <c r="R1961" s="1" t="s">
        <v>8959</v>
      </c>
      <c r="S1961" s="1" t="s">
        <v>8958</v>
      </c>
      <c r="T1961" s="1" t="s">
        <v>5254</v>
      </c>
      <c r="U1961" s="1" t="s">
        <v>11</v>
      </c>
      <c r="V1961" s="1" t="s">
        <v>1202</v>
      </c>
      <c r="W1961" s="1"/>
    </row>
    <row r="1962" spans="1:23" x14ac:dyDescent="0.2">
      <c r="A1962" s="89" t="s">
        <v>5255</v>
      </c>
      <c r="B1962" s="1" t="e">
        <v>#N/A</v>
      </c>
      <c r="C1962" s="1" t="e">
        <v>#N/A</v>
      </c>
      <c r="D1962" s="5" t="s">
        <v>5256</v>
      </c>
      <c r="E1962" s="1" t="s">
        <v>5257</v>
      </c>
      <c r="F1962" s="1" t="e">
        <v>#N/A</v>
      </c>
      <c r="G1962" s="1" t="e">
        <v>#N/A</v>
      </c>
      <c r="H1962" t="e">
        <v>#N/A</v>
      </c>
      <c r="I1962" s="1" t="e">
        <v>#N/A</v>
      </c>
      <c r="J1962" s="1" t="e">
        <v>#N/A</v>
      </c>
      <c r="K1962" s="1" t="e">
        <v>#N/A</v>
      </c>
      <c r="L1962" s="1" t="e">
        <v>#N/A</v>
      </c>
      <c r="M1962" s="1" t="e">
        <v>#N/A</v>
      </c>
      <c r="N1962" s="1" t="e">
        <v>#N/A</v>
      </c>
      <c r="O1962" s="1" t="e">
        <v>#N/A</v>
      </c>
      <c r="P1962" s="1" t="e">
        <v>#N/A</v>
      </c>
      <c r="Q1962" s="1" t="e">
        <v>#N/A</v>
      </c>
      <c r="R1962" s="1">
        <f t="shared" ref="R1962:R1963" si="572">1+LEN(T1962)-LEN(SUBSTITUTE(T1962,",",))</f>
        <v>10</v>
      </c>
      <c r="S1962" s="1" t="str">
        <f t="shared" ref="S1962:S1963" si="573">IF(R1962&gt;4,IF(R1962&lt;8,"4-7",IF(R1962&gt;7,"&gt;7")),"&lt;4")</f>
        <v>&gt;7</v>
      </c>
      <c r="T1962" s="1" t="s">
        <v>19657</v>
      </c>
      <c r="U1962" s="1" t="s">
        <v>252</v>
      </c>
      <c r="V1962" s="1" t="s">
        <v>126</v>
      </c>
      <c r="W1962" s="1"/>
    </row>
    <row r="1963" spans="1:23" x14ac:dyDescent="0.2">
      <c r="A1963" s="88" t="s">
        <v>17212</v>
      </c>
      <c r="B1963" s="1" t="e">
        <v>#N/A</v>
      </c>
      <c r="C1963" s="1" t="e">
        <v>#N/A</v>
      </c>
      <c r="D1963" s="1" t="s">
        <v>5258</v>
      </c>
      <c r="E1963" s="1" t="s">
        <v>5259</v>
      </c>
      <c r="F1963" s="1" t="s">
        <v>18502</v>
      </c>
      <c r="G1963" s="1" t="s">
        <v>8959</v>
      </c>
      <c r="H1963" t="s">
        <v>8959</v>
      </c>
      <c r="I1963" s="1" t="s">
        <v>8984</v>
      </c>
      <c r="J1963" s="1" t="s">
        <v>8998</v>
      </c>
      <c r="K1963" s="1" t="s">
        <v>18497</v>
      </c>
      <c r="L1963" s="1" t="s">
        <v>8973</v>
      </c>
      <c r="M1963" s="1">
        <v>56</v>
      </c>
      <c r="N1963" s="1" t="s">
        <v>9059</v>
      </c>
      <c r="O1963" s="1" t="s">
        <v>8989</v>
      </c>
      <c r="P1963" s="1" t="e">
        <v>#N/A</v>
      </c>
      <c r="Q1963" s="1" t="e">
        <v>#N/A</v>
      </c>
      <c r="R1963" s="1">
        <f t="shared" si="572"/>
        <v>8</v>
      </c>
      <c r="S1963" s="1" t="str">
        <f t="shared" si="573"/>
        <v>&gt;7</v>
      </c>
      <c r="T1963" s="1" t="s">
        <v>20652</v>
      </c>
      <c r="U1963" s="1" t="s">
        <v>17</v>
      </c>
      <c r="V1963" s="1" t="s">
        <v>74</v>
      </c>
      <c r="W1963" s="1"/>
    </row>
    <row r="1964" spans="1:23" x14ac:dyDescent="0.2">
      <c r="A1964" s="88" t="s">
        <v>17213</v>
      </c>
      <c r="B1964" s="1" t="e">
        <v>#N/A</v>
      </c>
      <c r="C1964" s="1" t="s">
        <v>8967</v>
      </c>
      <c r="D1964" s="1" t="s">
        <v>5260</v>
      </c>
      <c r="E1964" s="1" t="s">
        <v>5261</v>
      </c>
      <c r="F1964" s="1" t="s">
        <v>9968</v>
      </c>
      <c r="G1964" s="1" t="s">
        <v>8974</v>
      </c>
      <c r="H1964" t="s">
        <v>8959</v>
      </c>
      <c r="I1964" s="1" t="s">
        <v>9154</v>
      </c>
      <c r="J1964" s="1" t="s">
        <v>8971</v>
      </c>
      <c r="K1964" s="1" t="s">
        <v>8972</v>
      </c>
      <c r="L1964" s="1" t="s">
        <v>8973</v>
      </c>
      <c r="M1964" s="1">
        <v>1370</v>
      </c>
      <c r="N1964" s="1" t="s">
        <v>8953</v>
      </c>
      <c r="O1964" s="1" t="s">
        <v>8954</v>
      </c>
      <c r="P1964" s="1" t="s">
        <v>8955</v>
      </c>
      <c r="Q1964" s="1" t="s">
        <v>8956</v>
      </c>
      <c r="R1964" s="1" t="s">
        <v>8974</v>
      </c>
      <c r="S1964" s="1" t="s">
        <v>8975</v>
      </c>
      <c r="T1964" s="1" t="s">
        <v>5262</v>
      </c>
      <c r="U1964" s="1" t="s">
        <v>17</v>
      </c>
      <c r="V1964" s="1" t="s">
        <v>2434</v>
      </c>
      <c r="W1964" s="1"/>
    </row>
    <row r="1965" spans="1:23" x14ac:dyDescent="0.2">
      <c r="A1965" s="88" t="s">
        <v>17214</v>
      </c>
      <c r="B1965" s="1" t="e">
        <v>#N/A</v>
      </c>
      <c r="C1965" s="1" t="e">
        <v>#N/A</v>
      </c>
      <c r="D1965" s="1" t="s">
        <v>5263</v>
      </c>
      <c r="E1965" s="1" t="s">
        <v>5264</v>
      </c>
      <c r="F1965" s="1" t="s">
        <v>10032</v>
      </c>
      <c r="G1965" s="1" t="s">
        <v>8957</v>
      </c>
      <c r="H1965" t="s">
        <v>8959</v>
      </c>
      <c r="I1965" s="1" t="s">
        <v>9092</v>
      </c>
      <c r="J1965" s="1" t="s">
        <v>9155</v>
      </c>
      <c r="K1965" s="1" t="s">
        <v>10492</v>
      </c>
      <c r="L1965" s="1" t="s">
        <v>8973</v>
      </c>
      <c r="M1965" s="1">
        <v>24</v>
      </c>
      <c r="N1965" s="1" t="s">
        <v>9059</v>
      </c>
      <c r="O1965" s="1" t="s">
        <v>20906</v>
      </c>
      <c r="P1965" s="1" t="e">
        <v>#N/A</v>
      </c>
      <c r="Q1965" s="1" t="e">
        <v>#N/A</v>
      </c>
      <c r="R1965" s="1">
        <f t="shared" ref="R1965:R1969" si="574">1+LEN(T1965)-LEN(SUBSTITUTE(T1965,",",))</f>
        <v>11</v>
      </c>
      <c r="S1965" s="1" t="str">
        <f t="shared" ref="S1965:S1969" si="575">IF(R1965&gt;4,IF(R1965&lt;8,"4-7",IF(R1965&gt;7,"&gt;7")),"&lt;4")</f>
        <v>&gt;7</v>
      </c>
      <c r="T1965" s="1" t="s">
        <v>20653</v>
      </c>
      <c r="U1965" s="1" t="s">
        <v>7</v>
      </c>
      <c r="V1965" s="1" t="s">
        <v>46</v>
      </c>
      <c r="W1965" s="1"/>
    </row>
    <row r="1966" spans="1:23" x14ac:dyDescent="0.2">
      <c r="A1966" s="89" t="s">
        <v>5265</v>
      </c>
      <c r="B1966" s="1" t="e">
        <v>#N/A</v>
      </c>
      <c r="C1966" s="1" t="e">
        <v>#N/A</v>
      </c>
      <c r="D1966" s="1" t="s">
        <v>5266</v>
      </c>
      <c r="E1966" s="1" t="s">
        <v>5267</v>
      </c>
      <c r="F1966" s="1" t="e">
        <v>#N/A</v>
      </c>
      <c r="G1966" s="1" t="e">
        <v>#N/A</v>
      </c>
      <c r="H1966" t="e">
        <v>#N/A</v>
      </c>
      <c r="I1966" s="1" t="e">
        <v>#N/A</v>
      </c>
      <c r="J1966" s="1" t="e">
        <v>#N/A</v>
      </c>
      <c r="K1966" s="1" t="e">
        <v>#N/A</v>
      </c>
      <c r="L1966" s="1" t="e">
        <v>#N/A</v>
      </c>
      <c r="M1966" s="1" t="e">
        <v>#N/A</v>
      </c>
      <c r="N1966" s="1" t="e">
        <v>#N/A</v>
      </c>
      <c r="O1966" s="1" t="e">
        <v>#N/A</v>
      </c>
      <c r="P1966" s="1" t="e">
        <v>#N/A</v>
      </c>
      <c r="Q1966" s="1" t="e">
        <v>#N/A</v>
      </c>
      <c r="R1966" s="1">
        <f t="shared" si="574"/>
        <v>3</v>
      </c>
      <c r="S1966" s="1" t="str">
        <f t="shared" si="575"/>
        <v>&lt;4</v>
      </c>
      <c r="T1966" s="1" t="s">
        <v>19658</v>
      </c>
      <c r="U1966" s="1" t="s">
        <v>7</v>
      </c>
      <c r="V1966" s="1" t="s">
        <v>5268</v>
      </c>
      <c r="W1966" s="1"/>
    </row>
    <row r="1967" spans="1:23" x14ac:dyDescent="0.2">
      <c r="A1967" s="88" t="s">
        <v>17215</v>
      </c>
      <c r="B1967" s="1" t="e">
        <v>#N/A</v>
      </c>
      <c r="C1967" s="1" t="e">
        <v>#N/A</v>
      </c>
      <c r="D1967" s="1" t="s">
        <v>5269</v>
      </c>
      <c r="E1967" s="1" t="s">
        <v>5270</v>
      </c>
      <c r="F1967" s="1" t="s">
        <v>9333</v>
      </c>
      <c r="G1967" s="1" t="s">
        <v>8959</v>
      </c>
      <c r="H1967" t="s">
        <v>8959</v>
      </c>
      <c r="I1967" s="1" t="s">
        <v>20712</v>
      </c>
      <c r="J1967" s="1" t="s">
        <v>8998</v>
      </c>
      <c r="K1967" s="1" t="s">
        <v>21374</v>
      </c>
      <c r="L1967" s="1" t="s">
        <v>9076</v>
      </c>
      <c r="M1967" s="1">
        <v>440000</v>
      </c>
      <c r="N1967" s="1" t="s">
        <v>8953</v>
      </c>
      <c r="O1967" s="1" t="s">
        <v>8989</v>
      </c>
      <c r="P1967" s="1" t="e">
        <v>#N/A</v>
      </c>
      <c r="Q1967" s="1" t="e">
        <v>#N/A</v>
      </c>
      <c r="R1967" s="1">
        <f t="shared" si="574"/>
        <v>3</v>
      </c>
      <c r="S1967" s="1" t="str">
        <f t="shared" si="575"/>
        <v>&lt;4</v>
      </c>
      <c r="T1967" s="1" t="s">
        <v>19659</v>
      </c>
      <c r="U1967" s="1" t="s">
        <v>17</v>
      </c>
      <c r="V1967" s="1" t="s">
        <v>2434</v>
      </c>
      <c r="W1967" s="1"/>
    </row>
    <row r="1968" spans="1:23" x14ac:dyDescent="0.2">
      <c r="A1968" s="89" t="s">
        <v>5271</v>
      </c>
      <c r="B1968" s="1" t="e">
        <v>#N/A</v>
      </c>
      <c r="C1968" s="1" t="e">
        <v>#N/A</v>
      </c>
      <c r="D1968" s="1" t="s">
        <v>5272</v>
      </c>
      <c r="E1968" s="1" t="s">
        <v>5273</v>
      </c>
      <c r="F1968" s="1" t="e">
        <v>#N/A</v>
      </c>
      <c r="G1968" s="1" t="e">
        <v>#N/A</v>
      </c>
      <c r="H1968" t="e">
        <v>#N/A</v>
      </c>
      <c r="I1968" s="1" t="e">
        <v>#N/A</v>
      </c>
      <c r="J1968" s="1" t="e">
        <v>#N/A</v>
      </c>
      <c r="K1968" s="1" t="e">
        <v>#N/A</v>
      </c>
      <c r="L1968" s="1" t="e">
        <v>#N/A</v>
      </c>
      <c r="M1968" s="1" t="e">
        <v>#N/A</v>
      </c>
      <c r="N1968" s="1" t="e">
        <v>#N/A</v>
      </c>
      <c r="O1968" s="1" t="e">
        <v>#N/A</v>
      </c>
      <c r="P1968" s="1" t="e">
        <v>#N/A</v>
      </c>
      <c r="Q1968" s="1" t="e">
        <v>#N/A</v>
      </c>
      <c r="R1968" s="1">
        <f t="shared" si="574"/>
        <v>12</v>
      </c>
      <c r="S1968" s="1" t="str">
        <f t="shared" si="575"/>
        <v>&gt;7</v>
      </c>
      <c r="T1968" s="1" t="s">
        <v>19660</v>
      </c>
      <c r="U1968" s="1" t="s">
        <v>11</v>
      </c>
      <c r="V1968" s="1" t="s">
        <v>4044</v>
      </c>
      <c r="W1968" s="1"/>
    </row>
    <row r="1969" spans="1:23" x14ac:dyDescent="0.2">
      <c r="A1969" s="89" t="s">
        <v>5274</v>
      </c>
      <c r="B1969" s="1" t="e">
        <v>#N/A</v>
      </c>
      <c r="C1969" s="1" t="e">
        <v>#N/A</v>
      </c>
      <c r="D1969" s="1" t="s">
        <v>5275</v>
      </c>
      <c r="E1969" s="1" t="s">
        <v>5276</v>
      </c>
      <c r="F1969" s="1" t="e">
        <v>#N/A</v>
      </c>
      <c r="G1969" s="1" t="e">
        <v>#N/A</v>
      </c>
      <c r="H1969" t="e">
        <v>#N/A</v>
      </c>
      <c r="I1969" s="1" t="e">
        <v>#N/A</v>
      </c>
      <c r="J1969" s="1" t="e">
        <v>#N/A</v>
      </c>
      <c r="K1969" s="1" t="e">
        <v>#N/A</v>
      </c>
      <c r="L1969" s="1" t="e">
        <v>#N/A</v>
      </c>
      <c r="M1969" s="1" t="e">
        <v>#N/A</v>
      </c>
      <c r="N1969" s="1" t="e">
        <v>#N/A</v>
      </c>
      <c r="O1969" s="1" t="e">
        <v>#N/A</v>
      </c>
      <c r="P1969" s="1" t="e">
        <v>#N/A</v>
      </c>
      <c r="Q1969" s="1" t="e">
        <v>#N/A</v>
      </c>
      <c r="R1969" s="1">
        <f t="shared" si="574"/>
        <v>2</v>
      </c>
      <c r="S1969" s="1" t="str">
        <f t="shared" si="575"/>
        <v>&lt;4</v>
      </c>
      <c r="T1969" s="1" t="s">
        <v>19661</v>
      </c>
      <c r="U1969" s="1" t="s">
        <v>17</v>
      </c>
      <c r="V1969" s="1" t="s">
        <v>21</v>
      </c>
      <c r="W1969" s="1"/>
    </row>
    <row r="1970" spans="1:23" x14ac:dyDescent="0.2">
      <c r="A1970" s="88" t="s">
        <v>17216</v>
      </c>
      <c r="B1970" s="1" t="e">
        <v>#N/A</v>
      </c>
      <c r="C1970" s="1" t="s">
        <v>9330</v>
      </c>
      <c r="D1970" s="1" t="s">
        <v>5277</v>
      </c>
      <c r="E1970" s="1" t="s">
        <v>5278</v>
      </c>
      <c r="F1970" s="1" t="s">
        <v>9333</v>
      </c>
      <c r="G1970" s="1" t="s">
        <v>8959</v>
      </c>
      <c r="H1970" t="s">
        <v>9183</v>
      </c>
      <c r="I1970" s="1" t="s">
        <v>9049</v>
      </c>
      <c r="J1970" s="1" t="s">
        <v>9325</v>
      </c>
      <c r="K1970" s="1" t="s">
        <v>9036</v>
      </c>
      <c r="L1970" s="1" t="s">
        <v>8987</v>
      </c>
      <c r="M1970" s="1">
        <v>518</v>
      </c>
      <c r="N1970" s="1" t="s">
        <v>8953</v>
      </c>
      <c r="O1970" s="1" t="s">
        <v>8954</v>
      </c>
      <c r="P1970" s="1" t="s">
        <v>8955</v>
      </c>
      <c r="Q1970" s="1" t="s">
        <v>8990</v>
      </c>
      <c r="R1970" s="1" t="s">
        <v>8959</v>
      </c>
      <c r="S1970" s="1" t="s">
        <v>8975</v>
      </c>
      <c r="T1970" s="1" t="s">
        <v>5279</v>
      </c>
      <c r="U1970" s="1" t="s">
        <v>17</v>
      </c>
      <c r="V1970" s="1" t="s">
        <v>5280</v>
      </c>
      <c r="W1970" s="1"/>
    </row>
    <row r="1971" spans="1:23" x14ac:dyDescent="0.2">
      <c r="A1971" s="88" t="s">
        <v>17217</v>
      </c>
      <c r="B1971" s="1" t="e">
        <v>#N/A</v>
      </c>
      <c r="C1971" s="1" t="e">
        <v>#N/A</v>
      </c>
      <c r="D1971" s="1" t="s">
        <v>5281</v>
      </c>
      <c r="E1971" s="1" t="s">
        <v>5282</v>
      </c>
      <c r="F1971" s="1" t="e">
        <v>#N/A</v>
      </c>
      <c r="G1971" s="1" t="e">
        <v>#N/A</v>
      </c>
      <c r="H1971" t="e">
        <v>#N/A</v>
      </c>
      <c r="I1971" s="1" t="e">
        <v>#N/A</v>
      </c>
      <c r="J1971" s="1" t="e">
        <v>#N/A</v>
      </c>
      <c r="K1971" s="1" t="e">
        <v>#N/A</v>
      </c>
      <c r="L1971" s="1" t="e">
        <v>#N/A</v>
      </c>
      <c r="M1971" s="1" t="e">
        <v>#N/A</v>
      </c>
      <c r="N1971" s="1" t="e">
        <v>#N/A</v>
      </c>
      <c r="O1971" s="1" t="e">
        <v>#N/A</v>
      </c>
      <c r="P1971" s="1" t="e">
        <v>#N/A</v>
      </c>
      <c r="Q1971" s="1" t="e">
        <v>#N/A</v>
      </c>
      <c r="R1971" s="1">
        <f t="shared" ref="R1971:R1972" si="576">1+LEN(T1971)-LEN(SUBSTITUTE(T1971,",",))</f>
        <v>12</v>
      </c>
      <c r="S1971" s="1" t="str">
        <f t="shared" ref="S1971:S1972" si="577">IF(R1971&gt;4,IF(R1971&lt;8,"4-7",IF(R1971&gt;7,"&gt;7")),"&lt;4")</f>
        <v>&gt;7</v>
      </c>
      <c r="T1971" s="1" t="s">
        <v>19662</v>
      </c>
      <c r="U1971" s="1" t="s">
        <v>252</v>
      </c>
      <c r="V1971" s="1" t="s">
        <v>126</v>
      </c>
      <c r="W1971" s="1"/>
    </row>
    <row r="1972" spans="1:23" x14ac:dyDescent="0.2">
      <c r="A1972" s="89" t="s">
        <v>5283</v>
      </c>
      <c r="B1972" s="1" t="e">
        <v>#N/A</v>
      </c>
      <c r="C1972" s="1" t="e">
        <v>#N/A</v>
      </c>
      <c r="D1972" s="1" t="s">
        <v>5284</v>
      </c>
      <c r="E1972" s="1" t="s">
        <v>5285</v>
      </c>
      <c r="F1972" s="1" t="e">
        <v>#N/A</v>
      </c>
      <c r="G1972" s="1" t="e">
        <v>#N/A</v>
      </c>
      <c r="H1972" t="e">
        <v>#N/A</v>
      </c>
      <c r="I1972" s="1" t="e">
        <v>#N/A</v>
      </c>
      <c r="J1972" s="1" t="e">
        <v>#N/A</v>
      </c>
      <c r="K1972" s="1" t="e">
        <v>#N/A</v>
      </c>
      <c r="L1972" s="1" t="e">
        <v>#N/A</v>
      </c>
      <c r="M1972" s="1" t="e">
        <v>#N/A</v>
      </c>
      <c r="N1972" s="1" t="e">
        <v>#N/A</v>
      </c>
      <c r="O1972" s="1" t="e">
        <v>#N/A</v>
      </c>
      <c r="P1972" s="1" t="e">
        <v>#N/A</v>
      </c>
      <c r="Q1972" s="1" t="e">
        <v>#N/A</v>
      </c>
      <c r="R1972" s="1">
        <f t="shared" si="576"/>
        <v>1</v>
      </c>
      <c r="S1972" s="1" t="str">
        <f t="shared" si="577"/>
        <v>&lt;4</v>
      </c>
      <c r="U1972" s="1" t="s">
        <v>7</v>
      </c>
      <c r="V1972" s="1" t="s">
        <v>544</v>
      </c>
      <c r="W1972" s="1"/>
    </row>
    <row r="1973" spans="1:23" x14ac:dyDescent="0.2">
      <c r="A1973" s="88" t="s">
        <v>17218</v>
      </c>
      <c r="B1973" s="1" t="e">
        <v>#N/A</v>
      </c>
      <c r="C1973" s="1" t="s">
        <v>9404</v>
      </c>
      <c r="D1973" s="1" t="s">
        <v>5286</v>
      </c>
      <c r="E1973" s="1" t="s">
        <v>5287</v>
      </c>
      <c r="F1973" s="1" t="s">
        <v>9407</v>
      </c>
      <c r="G1973" s="1" t="s">
        <v>8957</v>
      </c>
      <c r="H1973" t="s">
        <v>8959</v>
      </c>
      <c r="I1973" s="1" t="s">
        <v>9173</v>
      </c>
      <c r="J1973" s="1" t="s">
        <v>9174</v>
      </c>
      <c r="K1973" s="1" t="s">
        <v>9036</v>
      </c>
      <c r="L1973" s="1" t="s">
        <v>9292</v>
      </c>
      <c r="M1973" s="1">
        <v>39100</v>
      </c>
      <c r="N1973" s="1" t="s">
        <v>8953</v>
      </c>
      <c r="O1973" s="1" t="s">
        <v>8989</v>
      </c>
      <c r="P1973" s="1" t="s">
        <v>8955</v>
      </c>
      <c r="Q1973" s="1" t="s">
        <v>8956</v>
      </c>
      <c r="R1973" s="1" t="s">
        <v>8957</v>
      </c>
      <c r="S1973" s="1" t="s">
        <v>8958</v>
      </c>
      <c r="T1973" s="1" t="s">
        <v>5288</v>
      </c>
      <c r="U1973" s="1" t="s">
        <v>17</v>
      </c>
      <c r="V1973" s="1" t="s">
        <v>93</v>
      </c>
      <c r="W1973" s="1"/>
    </row>
    <row r="1974" spans="1:23" x14ac:dyDescent="0.2">
      <c r="A1974" s="88" t="s">
        <v>17219</v>
      </c>
      <c r="B1974" s="1" t="e">
        <v>#N/A</v>
      </c>
      <c r="C1974" s="1" t="e">
        <v>#N/A</v>
      </c>
      <c r="D1974" s="1" t="s">
        <v>5289</v>
      </c>
      <c r="E1974" s="1" t="s">
        <v>5290</v>
      </c>
      <c r="F1974" s="1" t="s">
        <v>9968</v>
      </c>
      <c r="G1974" s="1" t="s">
        <v>8959</v>
      </c>
      <c r="H1974" t="s">
        <v>8959</v>
      </c>
      <c r="I1974" s="1" t="s">
        <v>9075</v>
      </c>
      <c r="J1974" s="1" t="s">
        <v>9101</v>
      </c>
      <c r="K1974" s="1" t="s">
        <v>20907</v>
      </c>
      <c r="L1974" s="1" t="s">
        <v>8973</v>
      </c>
      <c r="M1974" s="1">
        <v>20</v>
      </c>
      <c r="N1974" s="1" t="s">
        <v>8953</v>
      </c>
      <c r="O1974" s="1" t="s">
        <v>8989</v>
      </c>
      <c r="P1974" s="1" t="e">
        <v>#N/A</v>
      </c>
      <c r="Q1974" s="1" t="e">
        <v>#N/A</v>
      </c>
      <c r="R1974" s="1">
        <f t="shared" ref="R1974:R1977" si="578">1+LEN(T1974)-LEN(SUBSTITUTE(T1974,",",))</f>
        <v>3</v>
      </c>
      <c r="S1974" s="1" t="str">
        <f t="shared" ref="S1974:S1977" si="579">IF(R1974&gt;4,IF(R1974&lt;8,"4-7",IF(R1974&gt;7,"&gt;7")),"&lt;4")</f>
        <v>&lt;4</v>
      </c>
      <c r="T1974" s="1" t="s">
        <v>19663</v>
      </c>
      <c r="U1974" s="1" t="s">
        <v>17</v>
      </c>
      <c r="V1974" s="1" t="s">
        <v>74</v>
      </c>
      <c r="W1974" s="1"/>
    </row>
    <row r="1975" spans="1:23" x14ac:dyDescent="0.2">
      <c r="A1975" s="89" t="s">
        <v>17220</v>
      </c>
      <c r="B1975" s="1" t="e">
        <v>#N/A</v>
      </c>
      <c r="C1975" s="1" t="e">
        <v>#N/A</v>
      </c>
      <c r="D1975" s="1" t="s">
        <v>5291</v>
      </c>
      <c r="E1975" s="1" t="s">
        <v>5292</v>
      </c>
      <c r="F1975" s="1" t="e">
        <v>#N/A</v>
      </c>
      <c r="G1975" s="1" t="e">
        <v>#N/A</v>
      </c>
      <c r="H1975" t="e">
        <v>#N/A</v>
      </c>
      <c r="I1975" s="1" t="e">
        <v>#N/A</v>
      </c>
      <c r="J1975" s="1" t="e">
        <v>#N/A</v>
      </c>
      <c r="K1975" s="1" t="e">
        <v>#N/A</v>
      </c>
      <c r="L1975" s="1" t="e">
        <v>#N/A</v>
      </c>
      <c r="M1975" s="1" t="e">
        <v>#N/A</v>
      </c>
      <c r="N1975" s="1" t="e">
        <v>#N/A</v>
      </c>
      <c r="O1975" s="1" t="e">
        <v>#N/A</v>
      </c>
      <c r="P1975" s="1" t="e">
        <v>#N/A</v>
      </c>
      <c r="Q1975" s="1" t="e">
        <v>#N/A</v>
      </c>
      <c r="R1975" s="1">
        <f t="shared" si="578"/>
        <v>2</v>
      </c>
      <c r="S1975" s="1" t="str">
        <f t="shared" si="579"/>
        <v>&lt;4</v>
      </c>
      <c r="T1975" s="1" t="s">
        <v>19664</v>
      </c>
      <c r="U1975" s="1" t="s">
        <v>17</v>
      </c>
      <c r="V1975" s="1" t="s">
        <v>4541</v>
      </c>
      <c r="W1975" s="1"/>
    </row>
    <row r="1976" spans="1:23" x14ac:dyDescent="0.2">
      <c r="A1976" s="88" t="s">
        <v>17221</v>
      </c>
      <c r="B1976" s="1" t="e">
        <v>#N/A</v>
      </c>
      <c r="C1976" s="1" t="e">
        <v>#N/A</v>
      </c>
      <c r="D1976" s="1" t="s">
        <v>5293</v>
      </c>
      <c r="E1976" s="1" t="s">
        <v>5294</v>
      </c>
      <c r="F1976" s="1" t="s">
        <v>18502</v>
      </c>
      <c r="G1976" s="1" t="s">
        <v>8957</v>
      </c>
      <c r="H1976" t="s">
        <v>9009</v>
      </c>
      <c r="I1976" s="1" t="s">
        <v>9035</v>
      </c>
      <c r="J1976" s="1" t="s">
        <v>9155</v>
      </c>
      <c r="K1976" s="1" t="s">
        <v>18497</v>
      </c>
      <c r="L1976" s="1" t="s">
        <v>8951</v>
      </c>
      <c r="M1976" s="1">
        <v>13583</v>
      </c>
      <c r="N1976" s="1" t="s">
        <v>8953</v>
      </c>
      <c r="O1976" s="1" t="s">
        <v>8954</v>
      </c>
      <c r="P1976" s="1" t="e">
        <v>#N/A</v>
      </c>
      <c r="Q1976" s="1" t="e">
        <v>#N/A</v>
      </c>
      <c r="R1976" s="1">
        <f t="shared" si="578"/>
        <v>13</v>
      </c>
      <c r="S1976" s="1" t="str">
        <f t="shared" si="579"/>
        <v>&gt;7</v>
      </c>
      <c r="T1976" s="1" t="s">
        <v>19665</v>
      </c>
      <c r="U1976" s="1" t="s">
        <v>7</v>
      </c>
      <c r="V1976" s="1" t="s">
        <v>580</v>
      </c>
      <c r="W1976" s="1"/>
    </row>
    <row r="1977" spans="1:23" x14ac:dyDescent="0.2">
      <c r="A1977" s="88" t="s">
        <v>17222</v>
      </c>
      <c r="B1977" s="1" t="e">
        <v>#N/A</v>
      </c>
      <c r="C1977" s="1" t="e">
        <v>#N/A</v>
      </c>
      <c r="D1977" s="1" t="s">
        <v>5295</v>
      </c>
      <c r="E1977" s="1" t="s">
        <v>5296</v>
      </c>
      <c r="F1977" s="1" t="s">
        <v>9310</v>
      </c>
      <c r="G1977" s="1" t="s">
        <v>8957</v>
      </c>
      <c r="H1977" t="s">
        <v>8959</v>
      </c>
      <c r="I1977" s="1" t="s">
        <v>8948</v>
      </c>
      <c r="J1977" s="1" t="s">
        <v>8949</v>
      </c>
      <c r="K1977" s="1" t="s">
        <v>10525</v>
      </c>
      <c r="L1977" s="1" t="s">
        <v>8973</v>
      </c>
      <c r="M1977" s="1">
        <v>12150</v>
      </c>
      <c r="N1977" s="1" t="s">
        <v>8953</v>
      </c>
      <c r="O1977" s="1" t="s">
        <v>8954</v>
      </c>
      <c r="P1977" s="1" t="e">
        <v>#N/A</v>
      </c>
      <c r="Q1977" s="1" t="e">
        <v>#N/A</v>
      </c>
      <c r="R1977" s="1">
        <f t="shared" si="578"/>
        <v>3</v>
      </c>
      <c r="S1977" s="1" t="str">
        <f t="shared" si="579"/>
        <v>&lt;4</v>
      </c>
      <c r="T1977" s="1" t="s">
        <v>19666</v>
      </c>
      <c r="U1977" s="1" t="s">
        <v>17</v>
      </c>
      <c r="V1977" s="1" t="s">
        <v>97</v>
      </c>
      <c r="W1977" s="1"/>
    </row>
    <row r="1978" spans="1:23" x14ac:dyDescent="0.2">
      <c r="A1978" s="88" t="s">
        <v>17223</v>
      </c>
      <c r="B1978" s="1" t="e">
        <v>#N/A</v>
      </c>
      <c r="C1978" s="1" t="s">
        <v>13452</v>
      </c>
      <c r="D1978" s="1" t="s">
        <v>5297</v>
      </c>
      <c r="E1978" s="1" t="s">
        <v>5298</v>
      </c>
      <c r="F1978" s="1" t="s">
        <v>9010</v>
      </c>
      <c r="G1978" s="1" t="s">
        <v>8974</v>
      </c>
      <c r="H1978" t="s">
        <v>9009</v>
      </c>
      <c r="I1978" s="1" t="s">
        <v>9049</v>
      </c>
      <c r="J1978" s="1" t="s">
        <v>9325</v>
      </c>
      <c r="K1978" s="1" t="s">
        <v>9036</v>
      </c>
      <c r="L1978" s="1" t="s">
        <v>8987</v>
      </c>
      <c r="M1978" s="1">
        <v>102</v>
      </c>
      <c r="N1978" s="1" t="s">
        <v>9059</v>
      </c>
      <c r="O1978" s="1" t="s">
        <v>8989</v>
      </c>
      <c r="P1978" s="1" t="s">
        <v>8955</v>
      </c>
      <c r="Q1978" s="1" t="s">
        <v>8956</v>
      </c>
      <c r="R1978" s="1" t="s">
        <v>8974</v>
      </c>
      <c r="S1978" s="1" t="s">
        <v>8975</v>
      </c>
      <c r="T1978" s="1" t="s">
        <v>5299</v>
      </c>
      <c r="U1978" s="1" t="s">
        <v>4</v>
      </c>
      <c r="V1978" s="1" t="s">
        <v>213</v>
      </c>
      <c r="W1978" s="1"/>
    </row>
    <row r="1979" spans="1:23" x14ac:dyDescent="0.2">
      <c r="A1979" s="88" t="s">
        <v>17224</v>
      </c>
      <c r="B1979" s="1" t="e">
        <v>#N/A</v>
      </c>
      <c r="C1979" s="1" t="e">
        <v>#N/A</v>
      </c>
      <c r="D1979" s="1" t="s">
        <v>5300</v>
      </c>
      <c r="E1979" s="1" t="s">
        <v>5301</v>
      </c>
      <c r="F1979" s="1" t="s">
        <v>9317</v>
      </c>
      <c r="G1979" s="1" t="s">
        <v>8957</v>
      </c>
      <c r="H1979" t="s">
        <v>8959</v>
      </c>
      <c r="I1979" s="1" t="s">
        <v>8948</v>
      </c>
      <c r="J1979" s="1" t="s">
        <v>8949</v>
      </c>
      <c r="K1979" s="1" t="s">
        <v>10492</v>
      </c>
      <c r="L1979" s="1" t="s">
        <v>8973</v>
      </c>
      <c r="M1979" s="1">
        <f>285+191+66</f>
        <v>542</v>
      </c>
      <c r="N1979" s="1" t="s">
        <v>9059</v>
      </c>
      <c r="O1979" s="1" t="s">
        <v>8954</v>
      </c>
      <c r="P1979" s="1" t="e">
        <v>#N/A</v>
      </c>
      <c r="Q1979" s="1" t="e">
        <v>#N/A</v>
      </c>
      <c r="R1979" s="1">
        <f>1+LEN(T1979)-LEN(SUBSTITUTE(T1979,",",))</f>
        <v>3</v>
      </c>
      <c r="S1979" s="1" t="str">
        <f>IF(R1979&gt;4,IF(R1979&lt;8,"4-7",IF(R1979&gt;7,"&gt;7")),"&lt;4")</f>
        <v>&lt;4</v>
      </c>
      <c r="T1979" s="1" t="s">
        <v>19667</v>
      </c>
      <c r="U1979" s="1" t="s">
        <v>7</v>
      </c>
      <c r="V1979" s="1" t="s">
        <v>286</v>
      </c>
      <c r="W1979" s="1"/>
    </row>
    <row r="1980" spans="1:23" x14ac:dyDescent="0.2">
      <c r="A1980" s="88" t="s">
        <v>17225</v>
      </c>
      <c r="B1980" s="1" t="e">
        <v>#N/A</v>
      </c>
      <c r="C1980" s="1" t="s">
        <v>11390</v>
      </c>
      <c r="D1980" s="1" t="s">
        <v>5302</v>
      </c>
      <c r="E1980" s="1" t="s">
        <v>5303</v>
      </c>
      <c r="F1980" s="1" t="s">
        <v>9010</v>
      </c>
      <c r="G1980" s="1" t="s">
        <v>8957</v>
      </c>
      <c r="H1980" t="s">
        <v>8959</v>
      </c>
      <c r="I1980" s="1" t="s">
        <v>9605</v>
      </c>
      <c r="J1980" s="1" t="s">
        <v>9050</v>
      </c>
      <c r="K1980" s="1" t="s">
        <v>11393</v>
      </c>
      <c r="L1980" s="1" t="s">
        <v>9292</v>
      </c>
      <c r="M1980" s="1">
        <v>7174</v>
      </c>
      <c r="N1980" s="1" t="s">
        <v>8953</v>
      </c>
      <c r="O1980" s="1" t="s">
        <v>8989</v>
      </c>
      <c r="P1980" s="1" t="s">
        <v>8955</v>
      </c>
      <c r="Q1980" s="1" t="s">
        <v>8956</v>
      </c>
      <c r="R1980" s="1" t="s">
        <v>8957</v>
      </c>
      <c r="S1980" s="1" t="s">
        <v>9103</v>
      </c>
      <c r="T1980" s="1" t="s">
        <v>5304</v>
      </c>
      <c r="U1980" s="1" t="s">
        <v>11</v>
      </c>
      <c r="V1980" s="1" t="s">
        <v>5305</v>
      </c>
      <c r="W1980" s="1"/>
    </row>
    <row r="1981" spans="1:23" x14ac:dyDescent="0.2">
      <c r="A1981" s="89" t="s">
        <v>5306</v>
      </c>
      <c r="B1981" s="1" t="e">
        <v>#N/A</v>
      </c>
      <c r="C1981" s="1" t="e">
        <v>#N/A</v>
      </c>
      <c r="D1981" s="5" t="s">
        <v>5307</v>
      </c>
      <c r="E1981" s="1" t="s">
        <v>5308</v>
      </c>
      <c r="F1981" s="1" t="e">
        <v>#N/A</v>
      </c>
      <c r="G1981" s="1" t="e">
        <v>#N/A</v>
      </c>
      <c r="H1981" t="e">
        <v>#N/A</v>
      </c>
      <c r="I1981" s="1" t="e">
        <v>#N/A</v>
      </c>
      <c r="J1981" s="1" t="e">
        <v>#N/A</v>
      </c>
      <c r="K1981" s="1" t="e">
        <v>#N/A</v>
      </c>
      <c r="L1981" s="1" t="e">
        <v>#N/A</v>
      </c>
      <c r="M1981" s="1" t="e">
        <v>#N/A</v>
      </c>
      <c r="N1981" s="1" t="e">
        <v>#N/A</v>
      </c>
      <c r="O1981" s="1" t="e">
        <v>#N/A</v>
      </c>
      <c r="P1981" s="1" t="e">
        <v>#N/A</v>
      </c>
      <c r="Q1981" s="1" t="e">
        <v>#N/A</v>
      </c>
      <c r="R1981" s="1">
        <f t="shared" ref="R1981:R1987" si="580">1+LEN(T1981)-LEN(SUBSTITUTE(T1981,",",))</f>
        <v>5</v>
      </c>
      <c r="S1981" s="1" t="str">
        <f t="shared" ref="S1981:S1987" si="581">IF(R1981&gt;4,IF(R1981&lt;8,"4-7",IF(R1981&gt;7,"&gt;7")),"&lt;4")</f>
        <v>4-7</v>
      </c>
      <c r="T1981" s="1" t="s">
        <v>19668</v>
      </c>
      <c r="U1981" s="1" t="s">
        <v>17</v>
      </c>
      <c r="V1981" s="1" t="s">
        <v>1089</v>
      </c>
      <c r="W1981" s="1"/>
    </row>
    <row r="1982" spans="1:23" x14ac:dyDescent="0.2">
      <c r="A1982" s="88" t="s">
        <v>17226</v>
      </c>
      <c r="B1982" s="1" t="e">
        <v>#N/A</v>
      </c>
      <c r="C1982" s="1" t="e">
        <v>#N/A</v>
      </c>
      <c r="D1982" s="1" t="s">
        <v>5309</v>
      </c>
      <c r="E1982" s="1" t="s">
        <v>5310</v>
      </c>
      <c r="F1982" s="1" t="s">
        <v>9333</v>
      </c>
      <c r="G1982" s="1" t="s">
        <v>8957</v>
      </c>
      <c r="H1982" t="s">
        <v>8959</v>
      </c>
      <c r="I1982" s="1" t="s">
        <v>9075</v>
      </c>
      <c r="J1982" s="1" t="s">
        <v>8998</v>
      </c>
      <c r="K1982" s="1" t="s">
        <v>20903</v>
      </c>
      <c r="L1982" s="1" t="s">
        <v>8951</v>
      </c>
      <c r="M1982" s="1">
        <v>90</v>
      </c>
      <c r="N1982" s="1" t="s">
        <v>9059</v>
      </c>
      <c r="O1982" s="1" t="s">
        <v>8989</v>
      </c>
      <c r="P1982" s="1" t="e">
        <v>#N/A</v>
      </c>
      <c r="Q1982" s="1" t="e">
        <v>#N/A</v>
      </c>
      <c r="R1982" s="1">
        <f t="shared" si="580"/>
        <v>6</v>
      </c>
      <c r="S1982" s="1" t="str">
        <f t="shared" si="581"/>
        <v>4-7</v>
      </c>
      <c r="T1982" s="1" t="s">
        <v>19669</v>
      </c>
      <c r="U1982" s="1" t="s">
        <v>7</v>
      </c>
      <c r="V1982" s="1" t="s">
        <v>110</v>
      </c>
      <c r="W1982" s="1"/>
    </row>
    <row r="1983" spans="1:23" x14ac:dyDescent="0.2">
      <c r="A1983" s="88" t="s">
        <v>17227</v>
      </c>
      <c r="B1983" s="1" t="e">
        <v>#N/A</v>
      </c>
      <c r="C1983" s="1" t="e">
        <v>#N/A</v>
      </c>
      <c r="D1983" s="1" t="s">
        <v>5311</v>
      </c>
      <c r="E1983" s="1" t="s">
        <v>5312</v>
      </c>
      <c r="F1983" s="1" t="s">
        <v>9333</v>
      </c>
      <c r="G1983" s="1" t="s">
        <v>8957</v>
      </c>
      <c r="H1983" t="s">
        <v>8959</v>
      </c>
      <c r="I1983" s="1" t="s">
        <v>9252</v>
      </c>
      <c r="J1983" s="1" t="s">
        <v>18504</v>
      </c>
      <c r="K1983" s="1" t="s">
        <v>21366</v>
      </c>
      <c r="L1983" s="1" t="s">
        <v>8987</v>
      </c>
      <c r="M1983" s="1">
        <f>599+1430+198+198</f>
        <v>2425</v>
      </c>
      <c r="N1983" s="1" t="s">
        <v>8953</v>
      </c>
      <c r="O1983" s="1" t="s">
        <v>8954</v>
      </c>
      <c r="P1983" s="1" t="e">
        <v>#N/A</v>
      </c>
      <c r="Q1983" s="1" t="e">
        <v>#N/A</v>
      </c>
      <c r="R1983" s="1">
        <f t="shared" si="580"/>
        <v>9</v>
      </c>
      <c r="S1983" s="1" t="str">
        <f t="shared" si="581"/>
        <v>&gt;7</v>
      </c>
      <c r="T1983" s="1" t="s">
        <v>19670</v>
      </c>
      <c r="U1983" s="1" t="s">
        <v>7</v>
      </c>
      <c r="V1983" s="1" t="s">
        <v>74</v>
      </c>
      <c r="W1983" s="1"/>
    </row>
    <row r="1984" spans="1:23" x14ac:dyDescent="0.2">
      <c r="A1984" s="92" t="s">
        <v>17228</v>
      </c>
      <c r="B1984" s="1" t="e">
        <v>#N/A</v>
      </c>
      <c r="C1984" s="1" t="e">
        <v>#N/A</v>
      </c>
      <c r="D1984" s="1" t="s">
        <v>5313</v>
      </c>
      <c r="E1984" s="1" t="s">
        <v>5314</v>
      </c>
      <c r="F1984" s="1" t="e">
        <v>#N/A</v>
      </c>
      <c r="G1984" s="1" t="e">
        <v>#N/A</v>
      </c>
      <c r="H1984" t="e">
        <v>#N/A</v>
      </c>
      <c r="I1984" s="1" t="e">
        <v>#N/A</v>
      </c>
      <c r="J1984" s="1" t="e">
        <v>#N/A</v>
      </c>
      <c r="K1984" s="1" t="e">
        <v>#N/A</v>
      </c>
      <c r="L1984" s="1" t="e">
        <v>#N/A</v>
      </c>
      <c r="M1984" s="1" t="e">
        <v>#N/A</v>
      </c>
      <c r="N1984" s="1" t="e">
        <v>#N/A</v>
      </c>
      <c r="O1984" s="1" t="e">
        <v>#N/A</v>
      </c>
      <c r="P1984" s="1" t="e">
        <v>#N/A</v>
      </c>
      <c r="Q1984" s="1" t="e">
        <v>#N/A</v>
      </c>
      <c r="R1984" s="1">
        <f t="shared" si="580"/>
        <v>2</v>
      </c>
      <c r="S1984" s="1" t="str">
        <f t="shared" si="581"/>
        <v>&lt;4</v>
      </c>
      <c r="T1984" s="1" t="s">
        <v>19671</v>
      </c>
      <c r="U1984" s="1" t="s">
        <v>7</v>
      </c>
      <c r="V1984" s="1" t="s">
        <v>1945</v>
      </c>
      <c r="W1984" s="1"/>
    </row>
    <row r="1985" spans="1:23" x14ac:dyDescent="0.2">
      <c r="A1985" s="88" t="s">
        <v>17229</v>
      </c>
      <c r="B1985" s="1" t="e">
        <v>#N/A</v>
      </c>
      <c r="C1985" s="1" t="e">
        <v>#N/A</v>
      </c>
      <c r="D1985" s="1" t="s">
        <v>5315</v>
      </c>
      <c r="E1985" s="1" t="s">
        <v>5316</v>
      </c>
      <c r="F1985" s="1" t="s">
        <v>9333</v>
      </c>
      <c r="G1985" s="1" t="s">
        <v>8959</v>
      </c>
      <c r="H1985" t="s">
        <v>9061</v>
      </c>
      <c r="I1985" s="1" t="s">
        <v>8948</v>
      </c>
      <c r="J1985" s="1" t="s">
        <v>8998</v>
      </c>
      <c r="K1985" s="1" t="s">
        <v>20736</v>
      </c>
      <c r="L1985" s="1" t="s">
        <v>8987</v>
      </c>
      <c r="M1985" s="1">
        <v>6000</v>
      </c>
      <c r="N1985" s="1" t="s">
        <v>8953</v>
      </c>
      <c r="O1985" s="1" t="s">
        <v>8989</v>
      </c>
      <c r="P1985" s="1" t="e">
        <v>#N/A</v>
      </c>
      <c r="Q1985" s="1" t="e">
        <v>#N/A</v>
      </c>
      <c r="R1985" s="1">
        <f t="shared" si="580"/>
        <v>11</v>
      </c>
      <c r="S1985" s="1" t="str">
        <f t="shared" si="581"/>
        <v>&gt;7</v>
      </c>
      <c r="T1985" s="1" t="s">
        <v>19672</v>
      </c>
      <c r="U1985" s="1" t="s">
        <v>17</v>
      </c>
      <c r="V1985" s="1" t="s">
        <v>416</v>
      </c>
      <c r="W1985" s="1"/>
    </row>
    <row r="1986" spans="1:23" x14ac:dyDescent="0.2">
      <c r="A1986" s="88" t="s">
        <v>17230</v>
      </c>
      <c r="B1986" s="1" t="e">
        <v>#N/A</v>
      </c>
      <c r="C1986" s="1" t="e">
        <v>#N/A</v>
      </c>
      <c r="D1986" s="1" t="s">
        <v>5317</v>
      </c>
      <c r="E1986" s="1" t="s">
        <v>5318</v>
      </c>
      <c r="F1986" s="1" t="s">
        <v>10049</v>
      </c>
      <c r="G1986" s="1" t="s">
        <v>8959</v>
      </c>
      <c r="H1986" t="s">
        <v>9009</v>
      </c>
      <c r="I1986" s="1" t="s">
        <v>9154</v>
      </c>
      <c r="J1986" s="1" t="s">
        <v>8998</v>
      </c>
      <c r="K1986" s="1" t="s">
        <v>20902</v>
      </c>
      <c r="L1986" s="1" t="s">
        <v>8987</v>
      </c>
      <c r="M1986" s="1">
        <v>288</v>
      </c>
      <c r="N1986" s="1" t="s">
        <v>9059</v>
      </c>
      <c r="O1986" s="1" t="s">
        <v>8989</v>
      </c>
      <c r="P1986" s="1" t="e">
        <v>#N/A</v>
      </c>
      <c r="Q1986" s="1" t="e">
        <v>#N/A</v>
      </c>
      <c r="R1986" s="1">
        <f t="shared" si="580"/>
        <v>22</v>
      </c>
      <c r="S1986" s="1" t="str">
        <f t="shared" si="581"/>
        <v>&gt;7</v>
      </c>
      <c r="T1986" s="1" t="s">
        <v>20654</v>
      </c>
      <c r="U1986" s="1" t="s">
        <v>7</v>
      </c>
      <c r="V1986" s="1" t="s">
        <v>5319</v>
      </c>
      <c r="W1986" s="1"/>
    </row>
    <row r="1987" spans="1:23" x14ac:dyDescent="0.2">
      <c r="A1987" s="89" t="s">
        <v>17231</v>
      </c>
      <c r="B1987" s="1" t="e">
        <v>#N/A</v>
      </c>
      <c r="C1987" s="1" t="e">
        <v>#N/A</v>
      </c>
      <c r="D1987" s="1" t="s">
        <v>5320</v>
      </c>
      <c r="E1987" s="1" t="s">
        <v>5321</v>
      </c>
      <c r="F1987" s="1" t="e">
        <v>#N/A</v>
      </c>
      <c r="G1987" s="1" t="e">
        <v>#N/A</v>
      </c>
      <c r="H1987" t="e">
        <v>#N/A</v>
      </c>
      <c r="I1987" s="1" t="e">
        <v>#N/A</v>
      </c>
      <c r="J1987" s="1" t="e">
        <v>#N/A</v>
      </c>
      <c r="K1987" s="1" t="e">
        <v>#N/A</v>
      </c>
      <c r="L1987" s="1" t="e">
        <v>#N/A</v>
      </c>
      <c r="M1987" s="1" t="e">
        <v>#N/A</v>
      </c>
      <c r="N1987" s="1" t="e">
        <v>#N/A</v>
      </c>
      <c r="O1987" s="1" t="e">
        <v>#N/A</v>
      </c>
      <c r="P1987" s="1" t="e">
        <v>#N/A</v>
      </c>
      <c r="Q1987" s="1" t="e">
        <v>#N/A</v>
      </c>
      <c r="R1987" s="1">
        <f t="shared" si="580"/>
        <v>1</v>
      </c>
      <c r="S1987" s="1" t="str">
        <f t="shared" si="581"/>
        <v>&lt;4</v>
      </c>
      <c r="U1987" s="1" t="s">
        <v>7</v>
      </c>
      <c r="V1987" s="1" t="s">
        <v>1401</v>
      </c>
      <c r="W1987" s="1"/>
    </row>
    <row r="1988" spans="1:23" x14ac:dyDescent="0.2">
      <c r="A1988" s="88" t="s">
        <v>17232</v>
      </c>
      <c r="B1988" s="1" t="e">
        <v>#N/A</v>
      </c>
      <c r="C1988" s="1" t="s">
        <v>13008</v>
      </c>
      <c r="D1988" s="1" t="s">
        <v>5322</v>
      </c>
      <c r="E1988" s="1" t="s">
        <v>5323</v>
      </c>
      <c r="F1988" s="1" t="s">
        <v>9010</v>
      </c>
      <c r="G1988" s="1" t="s">
        <v>8959</v>
      </c>
      <c r="H1988" t="s">
        <v>9009</v>
      </c>
      <c r="I1988" s="1" t="s">
        <v>9092</v>
      </c>
      <c r="J1988" s="1" t="s">
        <v>9121</v>
      </c>
      <c r="K1988" s="1" t="s">
        <v>9018</v>
      </c>
      <c r="L1988" s="1" t="s">
        <v>9133</v>
      </c>
      <c r="M1988" s="1">
        <v>10289</v>
      </c>
      <c r="N1988" s="1" t="s">
        <v>8953</v>
      </c>
      <c r="O1988" s="1" t="s">
        <v>8954</v>
      </c>
      <c r="P1988" s="1" t="s">
        <v>8955</v>
      </c>
      <c r="Q1988" s="1" t="s">
        <v>8956</v>
      </c>
      <c r="R1988" s="1" t="s">
        <v>8959</v>
      </c>
      <c r="S1988" s="1" t="s">
        <v>8958</v>
      </c>
      <c r="T1988" s="1" t="s">
        <v>5324</v>
      </c>
      <c r="U1988" s="1" t="s">
        <v>11</v>
      </c>
      <c r="V1988" s="1" t="s">
        <v>87</v>
      </c>
      <c r="W1988" s="1"/>
    </row>
    <row r="1989" spans="1:23" x14ac:dyDescent="0.2">
      <c r="A1989" s="88" t="s">
        <v>17233</v>
      </c>
      <c r="B1989" s="1" t="e">
        <v>#N/A</v>
      </c>
      <c r="C1989" s="1" t="s">
        <v>10060</v>
      </c>
      <c r="D1989" s="1" t="s">
        <v>5325</v>
      </c>
      <c r="E1989" s="1" t="s">
        <v>5326</v>
      </c>
      <c r="F1989" s="1" t="s">
        <v>9010</v>
      </c>
      <c r="G1989" s="1" t="s">
        <v>8957</v>
      </c>
      <c r="H1989" t="s">
        <v>8959</v>
      </c>
      <c r="I1989" s="1" t="s">
        <v>9605</v>
      </c>
      <c r="J1989" s="1" t="s">
        <v>8971</v>
      </c>
      <c r="K1989" s="1" t="s">
        <v>9036</v>
      </c>
      <c r="L1989" s="1" t="s">
        <v>8951</v>
      </c>
      <c r="M1989" s="1">
        <v>6700</v>
      </c>
      <c r="N1989" s="1" t="s">
        <v>8953</v>
      </c>
      <c r="O1989" s="1" t="s">
        <v>8954</v>
      </c>
      <c r="P1989" s="1" t="s">
        <v>8955</v>
      </c>
      <c r="Q1989" s="1" t="s">
        <v>8956</v>
      </c>
      <c r="R1989" s="1" t="s">
        <v>8957</v>
      </c>
      <c r="S1989" s="1" t="s">
        <v>9103</v>
      </c>
      <c r="T1989" s="1" t="s">
        <v>5327</v>
      </c>
      <c r="U1989" s="1" t="s">
        <v>17</v>
      </c>
      <c r="V1989" s="1" t="s">
        <v>64</v>
      </c>
      <c r="W1989" s="1"/>
    </row>
    <row r="1990" spans="1:23" x14ac:dyDescent="0.2">
      <c r="A1990" s="88" t="s">
        <v>17234</v>
      </c>
      <c r="B1990" s="1" t="e">
        <v>#N/A</v>
      </c>
      <c r="C1990" s="1" t="s">
        <v>10011</v>
      </c>
      <c r="D1990" s="1" t="s">
        <v>5328</v>
      </c>
      <c r="E1990" s="1" t="s">
        <v>5329</v>
      </c>
      <c r="F1990" s="1" t="s">
        <v>9176</v>
      </c>
      <c r="G1990" s="1" t="s">
        <v>8957</v>
      </c>
      <c r="H1990" t="s">
        <v>9009</v>
      </c>
      <c r="I1990" s="1" t="s">
        <v>10014</v>
      </c>
      <c r="J1990" s="1" t="s">
        <v>9121</v>
      </c>
      <c r="K1990" s="1" t="s">
        <v>9658</v>
      </c>
      <c r="L1990" s="1" t="s">
        <v>8951</v>
      </c>
      <c r="M1990" s="1">
        <v>29</v>
      </c>
      <c r="N1990" s="1" t="s">
        <v>9059</v>
      </c>
      <c r="O1990" s="1" t="s">
        <v>8954</v>
      </c>
      <c r="P1990" s="1" t="s">
        <v>8955</v>
      </c>
      <c r="Q1990" s="1" t="s">
        <v>8990</v>
      </c>
      <c r="R1990" s="1" t="s">
        <v>8957</v>
      </c>
      <c r="S1990" s="1" t="s">
        <v>8958</v>
      </c>
      <c r="T1990" s="1" t="s">
        <v>5330</v>
      </c>
      <c r="U1990" s="1" t="s">
        <v>17</v>
      </c>
      <c r="V1990" s="1" t="s">
        <v>93</v>
      </c>
      <c r="W1990" s="1"/>
    </row>
    <row r="1991" spans="1:23" x14ac:dyDescent="0.2">
      <c r="A1991" s="88" t="s">
        <v>17235</v>
      </c>
      <c r="B1991" s="1" t="e">
        <v>#N/A</v>
      </c>
      <c r="C1991" s="1" t="e">
        <v>#N/A</v>
      </c>
      <c r="D1991" s="1" t="s">
        <v>5331</v>
      </c>
      <c r="E1991" s="1" t="s">
        <v>5332</v>
      </c>
      <c r="F1991" s="1" t="s">
        <v>20908</v>
      </c>
      <c r="G1991" s="1" t="s">
        <v>8959</v>
      </c>
      <c r="H1991" t="s">
        <v>8959</v>
      </c>
      <c r="I1991" s="1" t="s">
        <v>9100</v>
      </c>
      <c r="J1991" s="1" t="s">
        <v>8949</v>
      </c>
      <c r="K1991" s="1" t="s">
        <v>20907</v>
      </c>
      <c r="L1991" s="1" t="s">
        <v>8987</v>
      </c>
      <c r="M1991" s="1">
        <v>284</v>
      </c>
      <c r="N1991" s="1" t="s">
        <v>9059</v>
      </c>
      <c r="O1991" s="1" t="s">
        <v>8954</v>
      </c>
      <c r="P1991" s="1" t="e">
        <v>#N/A</v>
      </c>
      <c r="Q1991" s="1" t="e">
        <v>#N/A</v>
      </c>
      <c r="R1991" s="1">
        <f>1+LEN(T1991)-LEN(SUBSTITUTE(T1991,",",))</f>
        <v>7</v>
      </c>
      <c r="S1991" s="1" t="str">
        <f>IF(R1991&gt;4,IF(R1991&lt;8,"4-7",IF(R1991&gt;7,"&gt;7")),"&lt;4")</f>
        <v>4-7</v>
      </c>
      <c r="T1991" s="1" t="s">
        <v>19673</v>
      </c>
      <c r="U1991" s="1" t="s">
        <v>7</v>
      </c>
      <c r="V1991" s="1" t="s">
        <v>87</v>
      </c>
      <c r="W1991" s="1"/>
    </row>
    <row r="1992" spans="1:23" x14ac:dyDescent="0.2">
      <c r="A1992" s="88" t="s">
        <v>17236</v>
      </c>
      <c r="B1992" s="1" t="e">
        <v>#N/A</v>
      </c>
      <c r="C1992" s="1" t="s">
        <v>11049</v>
      </c>
      <c r="D1992" s="1" t="s">
        <v>5333</v>
      </c>
      <c r="E1992" s="1" t="s">
        <v>5334</v>
      </c>
      <c r="F1992" s="1" t="s">
        <v>10032</v>
      </c>
      <c r="G1992" s="1" t="s">
        <v>8959</v>
      </c>
      <c r="H1992" t="s">
        <v>9183</v>
      </c>
      <c r="I1992" s="1" t="s">
        <v>8948</v>
      </c>
      <c r="J1992" s="1" t="s">
        <v>8949</v>
      </c>
      <c r="K1992" s="1" t="s">
        <v>9036</v>
      </c>
      <c r="L1992" s="1" t="s">
        <v>8973</v>
      </c>
      <c r="M1992" s="1">
        <v>285</v>
      </c>
      <c r="N1992" s="1" t="s">
        <v>8953</v>
      </c>
      <c r="O1992" s="1" t="s">
        <v>8989</v>
      </c>
      <c r="P1992" s="1" t="s">
        <v>8955</v>
      </c>
      <c r="Q1992" s="1" t="s">
        <v>8956</v>
      </c>
      <c r="R1992" s="1" t="s">
        <v>8959</v>
      </c>
      <c r="S1992" s="1" t="s">
        <v>9103</v>
      </c>
      <c r="T1992" s="1" t="s">
        <v>5335</v>
      </c>
      <c r="U1992" s="1" t="s">
        <v>11</v>
      </c>
      <c r="V1992" s="1" t="s">
        <v>184</v>
      </c>
      <c r="W1992" s="1"/>
    </row>
    <row r="1993" spans="1:23" x14ac:dyDescent="0.2">
      <c r="A1993" s="89" t="s">
        <v>5336</v>
      </c>
      <c r="B1993" s="1" t="e">
        <v>#N/A</v>
      </c>
      <c r="C1993" s="1" t="e">
        <v>#N/A</v>
      </c>
      <c r="D1993" s="5" t="s">
        <v>5337</v>
      </c>
      <c r="E1993" s="1" t="s">
        <v>5338</v>
      </c>
      <c r="F1993" s="1" t="e">
        <v>#N/A</v>
      </c>
      <c r="G1993" s="1" t="e">
        <v>#N/A</v>
      </c>
      <c r="H1993" t="e">
        <v>#N/A</v>
      </c>
      <c r="I1993" s="1" t="e">
        <v>#N/A</v>
      </c>
      <c r="J1993" s="1" t="e">
        <v>#N/A</v>
      </c>
      <c r="K1993" s="1" t="e">
        <v>#N/A</v>
      </c>
      <c r="L1993" s="1" t="e">
        <v>#N/A</v>
      </c>
      <c r="M1993" s="1" t="e">
        <v>#N/A</v>
      </c>
      <c r="N1993" s="1" t="e">
        <v>#N/A</v>
      </c>
      <c r="O1993" s="1" t="e">
        <v>#N/A</v>
      </c>
      <c r="P1993" s="1" t="e">
        <v>#N/A</v>
      </c>
      <c r="Q1993" s="1" t="e">
        <v>#N/A</v>
      </c>
      <c r="R1993" s="1">
        <f t="shared" ref="R1993:R1997" si="582">1+LEN(T1993)-LEN(SUBSTITUTE(T1993,",",))</f>
        <v>7</v>
      </c>
      <c r="S1993" s="1" t="str">
        <f t="shared" ref="S1993:S1997" si="583">IF(R1993&gt;4,IF(R1993&lt;8,"4-7",IF(R1993&gt;7,"&gt;7")),"&lt;4")</f>
        <v>4-7</v>
      </c>
      <c r="T1993" s="1" t="s">
        <v>19674</v>
      </c>
      <c r="U1993" s="1" t="s">
        <v>7</v>
      </c>
      <c r="V1993" s="1" t="s">
        <v>5339</v>
      </c>
      <c r="W1993" s="1"/>
    </row>
    <row r="1994" spans="1:23" x14ac:dyDescent="0.2">
      <c r="A1994" s="89" t="s">
        <v>5340</v>
      </c>
      <c r="B1994" s="1" t="e">
        <v>#N/A</v>
      </c>
      <c r="C1994" s="1" t="e">
        <v>#N/A</v>
      </c>
      <c r="D1994" s="1" t="s">
        <v>5341</v>
      </c>
      <c r="E1994" s="1" t="s">
        <v>5342</v>
      </c>
      <c r="F1994" s="1" t="e">
        <v>#N/A</v>
      </c>
      <c r="G1994" s="1" t="e">
        <v>#N/A</v>
      </c>
      <c r="H1994" t="e">
        <v>#N/A</v>
      </c>
      <c r="I1994" s="1" t="e">
        <v>#N/A</v>
      </c>
      <c r="J1994" s="1" t="e">
        <v>#N/A</v>
      </c>
      <c r="K1994" s="1" t="e">
        <v>#N/A</v>
      </c>
      <c r="L1994" s="1" t="e">
        <v>#N/A</v>
      </c>
      <c r="M1994" s="1" t="e">
        <v>#N/A</v>
      </c>
      <c r="N1994" s="1" t="e">
        <v>#N/A</v>
      </c>
      <c r="O1994" s="1" t="e">
        <v>#N/A</v>
      </c>
      <c r="P1994" s="1" t="e">
        <v>#N/A</v>
      </c>
      <c r="Q1994" s="1" t="e">
        <v>#N/A</v>
      </c>
      <c r="R1994" s="1">
        <f t="shared" si="582"/>
        <v>6</v>
      </c>
      <c r="S1994" s="1" t="str">
        <f t="shared" si="583"/>
        <v>4-7</v>
      </c>
      <c r="T1994" s="1" t="s">
        <v>19675</v>
      </c>
      <c r="U1994" s="1" t="s">
        <v>7</v>
      </c>
      <c r="V1994" s="1" t="s">
        <v>2024</v>
      </c>
      <c r="W1994" s="1"/>
    </row>
    <row r="1995" spans="1:23" x14ac:dyDescent="0.2">
      <c r="A1995" s="88" t="s">
        <v>17237</v>
      </c>
      <c r="B1995" s="1" t="e">
        <v>#N/A</v>
      </c>
      <c r="C1995" s="1" t="e">
        <v>#N/A</v>
      </c>
      <c r="D1995" s="1" t="s">
        <v>5343</v>
      </c>
      <c r="E1995" s="1" t="s">
        <v>5344</v>
      </c>
      <c r="F1995" s="1" t="s">
        <v>9333</v>
      </c>
      <c r="G1995" s="1" t="s">
        <v>8974</v>
      </c>
      <c r="H1995" t="s">
        <v>9009</v>
      </c>
      <c r="I1995" s="1" t="s">
        <v>20714</v>
      </c>
      <c r="J1995" s="1" t="s">
        <v>20725</v>
      </c>
      <c r="K1995" s="1" t="s">
        <v>10525</v>
      </c>
      <c r="L1995" s="1" t="s">
        <v>8951</v>
      </c>
      <c r="M1995" s="1">
        <v>322</v>
      </c>
      <c r="N1995" s="1" t="s">
        <v>8953</v>
      </c>
      <c r="O1995" s="1" t="s">
        <v>8954</v>
      </c>
      <c r="P1995" s="1" t="e">
        <v>#N/A</v>
      </c>
      <c r="Q1995" s="1" t="e">
        <v>#N/A</v>
      </c>
      <c r="R1995" s="1">
        <f t="shared" si="582"/>
        <v>8</v>
      </c>
      <c r="S1995" s="1" t="str">
        <f t="shared" si="583"/>
        <v>&gt;7</v>
      </c>
      <c r="T1995" s="1" t="s">
        <v>19676</v>
      </c>
      <c r="U1995" s="1" t="s">
        <v>17</v>
      </c>
      <c r="V1995" s="1" t="s">
        <v>110</v>
      </c>
      <c r="W1995" s="1"/>
    </row>
    <row r="1996" spans="1:23" x14ac:dyDescent="0.2">
      <c r="A1996" s="89" t="s">
        <v>17238</v>
      </c>
      <c r="B1996" s="1" t="e">
        <v>#N/A</v>
      </c>
      <c r="C1996" s="1" t="e">
        <v>#N/A</v>
      </c>
      <c r="D1996" s="5" t="s">
        <v>5345</v>
      </c>
      <c r="E1996" s="1" t="s">
        <v>5346</v>
      </c>
      <c r="F1996" s="1" t="e">
        <v>#N/A</v>
      </c>
      <c r="G1996" s="1" t="e">
        <v>#N/A</v>
      </c>
      <c r="H1996" t="e">
        <v>#N/A</v>
      </c>
      <c r="I1996" s="1" t="e">
        <v>#N/A</v>
      </c>
      <c r="J1996" s="1" t="e">
        <v>#N/A</v>
      </c>
      <c r="K1996" s="1" t="e">
        <v>#N/A</v>
      </c>
      <c r="L1996" s="1" t="e">
        <v>#N/A</v>
      </c>
      <c r="M1996" s="1" t="e">
        <v>#N/A</v>
      </c>
      <c r="N1996" s="1" t="e">
        <v>#N/A</v>
      </c>
      <c r="O1996" s="1" t="e">
        <v>#N/A</v>
      </c>
      <c r="P1996" s="1" t="e">
        <v>#N/A</v>
      </c>
      <c r="Q1996" s="1" t="e">
        <v>#N/A</v>
      </c>
      <c r="R1996" s="1">
        <f t="shared" si="582"/>
        <v>10</v>
      </c>
      <c r="S1996" s="1" t="str">
        <f t="shared" si="583"/>
        <v>&gt;7</v>
      </c>
      <c r="T1996" s="1" t="s">
        <v>19677</v>
      </c>
      <c r="U1996" s="1" t="s">
        <v>7</v>
      </c>
      <c r="V1996" s="1" t="s">
        <v>5347</v>
      </c>
      <c r="W1996" s="1"/>
    </row>
    <row r="1997" spans="1:23" x14ac:dyDescent="0.2">
      <c r="A1997" s="88" t="s">
        <v>17239</v>
      </c>
      <c r="B1997" s="1" t="e">
        <v>#N/A</v>
      </c>
      <c r="C1997" s="1" t="e">
        <v>#N/A</v>
      </c>
      <c r="D1997" s="1" t="s">
        <v>5348</v>
      </c>
      <c r="E1997" s="1" t="s">
        <v>5349</v>
      </c>
      <c r="F1997" s="1" t="s">
        <v>20909</v>
      </c>
      <c r="G1997" s="1" t="s">
        <v>8959</v>
      </c>
      <c r="H1997" t="s">
        <v>8959</v>
      </c>
      <c r="I1997" s="1" t="s">
        <v>9035</v>
      </c>
      <c r="J1997" s="1" t="s">
        <v>9308</v>
      </c>
      <c r="K1997" s="1" t="s">
        <v>20902</v>
      </c>
      <c r="L1997" s="1" t="s">
        <v>9292</v>
      </c>
      <c r="M1997" s="1">
        <v>5856</v>
      </c>
      <c r="N1997" s="1" t="s">
        <v>8953</v>
      </c>
      <c r="O1997" s="1" t="s">
        <v>8989</v>
      </c>
      <c r="P1997" s="1" t="e">
        <v>#N/A</v>
      </c>
      <c r="Q1997" s="1" t="e">
        <v>#N/A</v>
      </c>
      <c r="R1997" s="1">
        <f t="shared" si="582"/>
        <v>7</v>
      </c>
      <c r="S1997" s="1" t="str">
        <f t="shared" si="583"/>
        <v>4-7</v>
      </c>
      <c r="T1997" s="1" t="s">
        <v>19678</v>
      </c>
      <c r="U1997" s="1" t="s">
        <v>7</v>
      </c>
      <c r="V1997" s="1" t="s">
        <v>210</v>
      </c>
      <c r="W1997" s="1"/>
    </row>
    <row r="1998" spans="1:23" x14ac:dyDescent="0.2">
      <c r="A1998" s="88" t="s">
        <v>17240</v>
      </c>
      <c r="B1998" s="1" t="e">
        <v>#N/A</v>
      </c>
      <c r="C1998" s="1" t="s">
        <v>8945</v>
      </c>
      <c r="D1998" s="1" t="s">
        <v>5350</v>
      </c>
      <c r="E1998" s="1" t="s">
        <v>5351</v>
      </c>
      <c r="F1998" s="1" t="s">
        <v>9380</v>
      </c>
      <c r="G1998" s="1" t="s">
        <v>8957</v>
      </c>
      <c r="H1998" t="s">
        <v>8959</v>
      </c>
      <c r="I1998" s="1" t="s">
        <v>8948</v>
      </c>
      <c r="J1998" s="1" t="s">
        <v>8949</v>
      </c>
      <c r="K1998" s="1" t="s">
        <v>9036</v>
      </c>
      <c r="L1998" s="1" t="s">
        <v>8951</v>
      </c>
      <c r="M1998" s="1">
        <v>2684</v>
      </c>
      <c r="N1998" s="1" t="s">
        <v>8953</v>
      </c>
      <c r="O1998" s="1" t="s">
        <v>8954</v>
      </c>
      <c r="P1998" s="1" t="s">
        <v>8955</v>
      </c>
      <c r="Q1998" s="1" t="s">
        <v>8956</v>
      </c>
      <c r="R1998" s="1" t="s">
        <v>8957</v>
      </c>
      <c r="S1998" s="1" t="s">
        <v>8958</v>
      </c>
      <c r="T1998" s="1" t="s">
        <v>5352</v>
      </c>
      <c r="U1998" s="1" t="s">
        <v>7</v>
      </c>
      <c r="V1998" s="1" t="s">
        <v>126</v>
      </c>
      <c r="W1998" s="1"/>
    </row>
    <row r="1999" spans="1:23" x14ac:dyDescent="0.2">
      <c r="A1999" s="88" t="s">
        <v>17241</v>
      </c>
      <c r="B1999" s="1" t="e">
        <v>#N/A</v>
      </c>
      <c r="C1999" s="1" t="s">
        <v>13621</v>
      </c>
      <c r="D1999" s="1" t="s">
        <v>5353</v>
      </c>
      <c r="E1999" s="1" t="s">
        <v>5354</v>
      </c>
      <c r="F1999" s="1" t="s">
        <v>9333</v>
      </c>
      <c r="G1999" s="1" t="s">
        <v>8959</v>
      </c>
      <c r="H1999" t="s">
        <v>9009</v>
      </c>
      <c r="I1999" s="1" t="s">
        <v>9092</v>
      </c>
      <c r="J1999" s="1" t="s">
        <v>9101</v>
      </c>
      <c r="K1999" s="1" t="s">
        <v>9036</v>
      </c>
      <c r="L1999" s="1" t="s">
        <v>9292</v>
      </c>
      <c r="M1999" s="1">
        <v>39</v>
      </c>
      <c r="N1999" s="1" t="s">
        <v>9059</v>
      </c>
      <c r="O1999" s="1" t="s">
        <v>8989</v>
      </c>
      <c r="P1999" s="1" t="s">
        <v>8955</v>
      </c>
      <c r="Q1999" s="1" t="s">
        <v>8956</v>
      </c>
      <c r="R1999" s="1" t="s">
        <v>8959</v>
      </c>
      <c r="S1999" s="1" t="s">
        <v>8958</v>
      </c>
      <c r="T1999" s="1" t="s">
        <v>5355</v>
      </c>
      <c r="U1999" s="1" t="s">
        <v>4</v>
      </c>
      <c r="V1999" s="1" t="s">
        <v>322</v>
      </c>
      <c r="W1999" s="1"/>
    </row>
    <row r="2000" spans="1:23" x14ac:dyDescent="0.2">
      <c r="A2000" s="88" t="s">
        <v>17242</v>
      </c>
      <c r="B2000" s="1" t="e">
        <v>#N/A</v>
      </c>
      <c r="C2000" s="1" t="e">
        <v>#N/A</v>
      </c>
      <c r="D2000" s="1" t="s">
        <v>5356</v>
      </c>
      <c r="E2000" s="1" t="s">
        <v>5357</v>
      </c>
      <c r="F2000" s="1" t="s">
        <v>9333</v>
      </c>
      <c r="G2000" s="1" t="s">
        <v>8957</v>
      </c>
      <c r="H2000" t="s">
        <v>8959</v>
      </c>
      <c r="I2000" s="1" t="s">
        <v>9035</v>
      </c>
      <c r="J2000" s="1" t="s">
        <v>8998</v>
      </c>
      <c r="K2000" s="1" t="s">
        <v>10492</v>
      </c>
      <c r="L2000" s="1" t="s">
        <v>9076</v>
      </c>
      <c r="M2000" s="1">
        <v>8880</v>
      </c>
      <c r="N2000" s="1" t="s">
        <v>8953</v>
      </c>
      <c r="O2000" s="1" t="s">
        <v>8954</v>
      </c>
      <c r="P2000" s="1" t="e">
        <v>#N/A</v>
      </c>
      <c r="Q2000" s="1" t="e">
        <v>#N/A</v>
      </c>
      <c r="R2000" s="1">
        <f t="shared" ref="R2000:R2004" si="584">1+LEN(T2000)-LEN(SUBSTITUTE(T2000,",",))</f>
        <v>7</v>
      </c>
      <c r="S2000" s="1" t="str">
        <f t="shared" ref="S2000:S2004" si="585">IF(R2000&gt;4,IF(R2000&lt;8,"4-7",IF(R2000&gt;7,"&gt;7")),"&lt;4")</f>
        <v>4-7</v>
      </c>
      <c r="T2000" s="1" t="s">
        <v>19679</v>
      </c>
      <c r="U2000" s="1" t="s">
        <v>7</v>
      </c>
      <c r="V2000" s="1" t="s">
        <v>562</v>
      </c>
      <c r="W2000" s="1"/>
    </row>
    <row r="2001" spans="1:23" x14ac:dyDescent="0.2">
      <c r="A2001" s="89" t="s">
        <v>5358</v>
      </c>
      <c r="B2001" s="1" t="e">
        <v>#N/A</v>
      </c>
      <c r="C2001" s="1" t="e">
        <v>#N/A</v>
      </c>
      <c r="D2001" s="1" t="s">
        <v>5359</v>
      </c>
      <c r="E2001" s="1" t="s">
        <v>5360</v>
      </c>
      <c r="F2001" s="1" t="e">
        <v>#N/A</v>
      </c>
      <c r="G2001" s="1" t="e">
        <v>#N/A</v>
      </c>
      <c r="H2001" t="e">
        <v>#N/A</v>
      </c>
      <c r="I2001" s="1" t="e">
        <v>#N/A</v>
      </c>
      <c r="J2001" s="1" t="e">
        <v>#N/A</v>
      </c>
      <c r="K2001" s="1" t="e">
        <v>#N/A</v>
      </c>
      <c r="L2001" s="1" t="e">
        <v>#N/A</v>
      </c>
      <c r="M2001" s="1" t="e">
        <v>#N/A</v>
      </c>
      <c r="N2001" s="1" t="e">
        <v>#N/A</v>
      </c>
      <c r="O2001" s="1" t="e">
        <v>#N/A</v>
      </c>
      <c r="P2001" s="1" t="e">
        <v>#N/A</v>
      </c>
      <c r="Q2001" s="1" t="e">
        <v>#N/A</v>
      </c>
      <c r="R2001" s="1">
        <f t="shared" si="584"/>
        <v>7</v>
      </c>
      <c r="S2001" s="1" t="str">
        <f t="shared" si="585"/>
        <v>4-7</v>
      </c>
      <c r="T2001" s="1" t="s">
        <v>19680</v>
      </c>
      <c r="U2001" s="1" t="s">
        <v>7</v>
      </c>
      <c r="V2001" s="1" t="s">
        <v>5361</v>
      </c>
      <c r="W2001" s="1"/>
    </row>
    <row r="2002" spans="1:23" x14ac:dyDescent="0.2">
      <c r="A2002" s="89" t="s">
        <v>5362</v>
      </c>
      <c r="B2002" s="1" t="e">
        <v>#N/A</v>
      </c>
      <c r="C2002" s="1" t="e">
        <v>#N/A</v>
      </c>
      <c r="D2002" s="1" t="s">
        <v>5363</v>
      </c>
      <c r="E2002" s="1" t="s">
        <v>5364</v>
      </c>
      <c r="F2002" s="1" t="e">
        <v>#N/A</v>
      </c>
      <c r="G2002" s="1" t="e">
        <v>#N/A</v>
      </c>
      <c r="H2002" t="e">
        <v>#N/A</v>
      </c>
      <c r="I2002" s="1" t="e">
        <v>#N/A</v>
      </c>
      <c r="J2002" s="1" t="e">
        <v>#N/A</v>
      </c>
      <c r="K2002" s="1" t="e">
        <v>#N/A</v>
      </c>
      <c r="L2002" s="1" t="e">
        <v>#N/A</v>
      </c>
      <c r="M2002" s="1" t="e">
        <v>#N/A</v>
      </c>
      <c r="N2002" s="1" t="e">
        <v>#N/A</v>
      </c>
      <c r="O2002" s="1" t="e">
        <v>#N/A</v>
      </c>
      <c r="P2002" s="1" t="e">
        <v>#N/A</v>
      </c>
      <c r="Q2002" s="1" t="e">
        <v>#N/A</v>
      </c>
      <c r="R2002" s="1">
        <f t="shared" si="584"/>
        <v>1</v>
      </c>
      <c r="S2002" s="1" t="str">
        <f t="shared" si="585"/>
        <v>&lt;4</v>
      </c>
      <c r="T2002" s="1" t="s">
        <v>5365</v>
      </c>
      <c r="U2002" s="1" t="s">
        <v>17</v>
      </c>
      <c r="V2002" s="1" t="s">
        <v>2172</v>
      </c>
      <c r="W2002" s="1"/>
    </row>
    <row r="2003" spans="1:23" x14ac:dyDescent="0.2">
      <c r="A2003" s="89" t="s">
        <v>5366</v>
      </c>
      <c r="B2003" s="1" t="e">
        <v>#N/A</v>
      </c>
      <c r="C2003" s="1" t="e">
        <v>#N/A</v>
      </c>
      <c r="D2003" s="5" t="s">
        <v>5367</v>
      </c>
      <c r="E2003" s="1" t="s">
        <v>5368</v>
      </c>
      <c r="F2003" s="1" t="e">
        <v>#N/A</v>
      </c>
      <c r="G2003" s="1" t="e">
        <v>#N/A</v>
      </c>
      <c r="H2003" t="e">
        <v>#N/A</v>
      </c>
      <c r="I2003" s="1" t="e">
        <v>#N/A</v>
      </c>
      <c r="J2003" s="1" t="e">
        <v>#N/A</v>
      </c>
      <c r="K2003" s="1" t="e">
        <v>#N/A</v>
      </c>
      <c r="L2003" s="1" t="e">
        <v>#N/A</v>
      </c>
      <c r="M2003" s="1" t="e">
        <v>#N/A</v>
      </c>
      <c r="N2003" s="1" t="e">
        <v>#N/A</v>
      </c>
      <c r="O2003" s="1" t="e">
        <v>#N/A</v>
      </c>
      <c r="P2003" s="1" t="e">
        <v>#N/A</v>
      </c>
      <c r="Q2003" s="1" t="e">
        <v>#N/A</v>
      </c>
      <c r="R2003" s="1">
        <f t="shared" si="584"/>
        <v>3</v>
      </c>
      <c r="S2003" s="1" t="str">
        <f t="shared" si="585"/>
        <v>&lt;4</v>
      </c>
      <c r="T2003" s="1" t="s">
        <v>19681</v>
      </c>
      <c r="U2003" s="1" t="s">
        <v>17</v>
      </c>
      <c r="V2003" s="1" t="s">
        <v>1966</v>
      </c>
      <c r="W2003" s="1"/>
    </row>
    <row r="2004" spans="1:23" x14ac:dyDescent="0.2">
      <c r="A2004" s="88" t="s">
        <v>17243</v>
      </c>
      <c r="B2004" s="1" t="e">
        <v>#N/A</v>
      </c>
      <c r="C2004" s="1" t="e">
        <v>#N/A</v>
      </c>
      <c r="D2004" s="1" t="s">
        <v>5369</v>
      </c>
      <c r="E2004" s="1" t="s">
        <v>5370</v>
      </c>
      <c r="F2004" s="1" t="s">
        <v>10687</v>
      </c>
      <c r="G2004" s="1" t="s">
        <v>8957</v>
      </c>
      <c r="H2004" t="s">
        <v>8959</v>
      </c>
      <c r="I2004" s="1" t="s">
        <v>8948</v>
      </c>
      <c r="J2004" s="1" t="s">
        <v>8949</v>
      </c>
      <c r="K2004" s="1" t="s">
        <v>10492</v>
      </c>
      <c r="L2004" s="1" t="s">
        <v>8973</v>
      </c>
      <c r="M2004" s="1">
        <f>661+285+44</f>
        <v>990</v>
      </c>
      <c r="N2004" s="1" t="s">
        <v>9059</v>
      </c>
      <c r="O2004" s="1" t="s">
        <v>8954</v>
      </c>
      <c r="P2004" s="1" t="e">
        <v>#N/A</v>
      </c>
      <c r="Q2004" s="1" t="e">
        <v>#N/A</v>
      </c>
      <c r="R2004" s="1">
        <f t="shared" si="584"/>
        <v>14</v>
      </c>
      <c r="S2004" s="1" t="str">
        <f t="shared" si="585"/>
        <v>&gt;7</v>
      </c>
      <c r="T2004" s="1" t="s">
        <v>19682</v>
      </c>
      <c r="U2004" s="1" t="s">
        <v>7</v>
      </c>
      <c r="V2004" s="1" t="s">
        <v>8</v>
      </c>
      <c r="W2004" s="1"/>
    </row>
    <row r="2005" spans="1:23" x14ac:dyDescent="0.2">
      <c r="A2005" s="88" t="s">
        <v>17244</v>
      </c>
      <c r="B2005" s="1" t="e">
        <v>#N/A</v>
      </c>
      <c r="C2005" s="1" t="s">
        <v>11456</v>
      </c>
      <c r="D2005" s="1" t="s">
        <v>5371</v>
      </c>
      <c r="E2005" s="1" t="s">
        <v>5372</v>
      </c>
      <c r="F2005" s="1" t="s">
        <v>9213</v>
      </c>
      <c r="G2005" s="1" t="s">
        <v>8957</v>
      </c>
      <c r="H2005" t="s">
        <v>9061</v>
      </c>
      <c r="I2005" s="1" t="s">
        <v>9035</v>
      </c>
      <c r="J2005" s="1" t="s">
        <v>8998</v>
      </c>
      <c r="K2005" s="1" t="s">
        <v>9036</v>
      </c>
      <c r="L2005" s="1" t="s">
        <v>8951</v>
      </c>
      <c r="M2005" s="1">
        <v>34676</v>
      </c>
      <c r="N2005" s="1" t="s">
        <v>8953</v>
      </c>
      <c r="O2005" s="1" t="s">
        <v>8954</v>
      </c>
      <c r="P2005" s="1" t="s">
        <v>8955</v>
      </c>
      <c r="Q2005" s="1" t="s">
        <v>8956</v>
      </c>
      <c r="R2005" s="1" t="s">
        <v>8957</v>
      </c>
      <c r="S2005" s="1" t="s">
        <v>8975</v>
      </c>
      <c r="T2005" s="1" t="s">
        <v>5373</v>
      </c>
      <c r="U2005" s="1" t="s">
        <v>17</v>
      </c>
      <c r="V2005" s="1" t="s">
        <v>180</v>
      </c>
      <c r="W2005" s="1"/>
    </row>
    <row r="2006" spans="1:23" x14ac:dyDescent="0.2">
      <c r="A2006" s="88" t="s">
        <v>17245</v>
      </c>
      <c r="B2006" s="1" t="e">
        <v>#N/A</v>
      </c>
      <c r="C2006" s="1" t="e">
        <v>#N/A</v>
      </c>
      <c r="D2006" s="1" t="s">
        <v>5374</v>
      </c>
      <c r="E2006" s="1" t="s">
        <v>5375</v>
      </c>
      <c r="F2006" s="1" t="s">
        <v>9213</v>
      </c>
      <c r="G2006" s="1" t="s">
        <v>8957</v>
      </c>
      <c r="H2006" t="s">
        <v>9061</v>
      </c>
      <c r="I2006" s="1" t="s">
        <v>8948</v>
      </c>
      <c r="J2006" s="1" t="s">
        <v>8949</v>
      </c>
      <c r="K2006" s="1" t="s">
        <v>20910</v>
      </c>
      <c r="L2006" s="1" t="s">
        <v>8951</v>
      </c>
      <c r="M2006" s="1">
        <f>888+354</f>
        <v>1242</v>
      </c>
      <c r="N2006" s="1" t="s">
        <v>9059</v>
      </c>
      <c r="O2006" s="1" t="s">
        <v>8954</v>
      </c>
      <c r="P2006" s="1" t="e">
        <v>#N/A</v>
      </c>
      <c r="Q2006" s="1" t="e">
        <v>#N/A</v>
      </c>
      <c r="R2006" s="1">
        <f t="shared" ref="R2006:R2010" si="586">1+LEN(T2006)-LEN(SUBSTITUTE(T2006,",",))</f>
        <v>10</v>
      </c>
      <c r="S2006" s="1" t="str">
        <f t="shared" ref="S2006:S2010" si="587">IF(R2006&gt;4,IF(R2006&lt;8,"4-7",IF(R2006&gt;7,"&gt;7")),"&lt;4")</f>
        <v>&gt;7</v>
      </c>
      <c r="T2006" s="1" t="s">
        <v>19683</v>
      </c>
      <c r="U2006" s="1" t="s">
        <v>7</v>
      </c>
      <c r="V2006" s="1" t="s">
        <v>2051</v>
      </c>
      <c r="W2006" s="1"/>
    </row>
    <row r="2007" spans="1:23" x14ac:dyDescent="0.2">
      <c r="A2007" s="89" t="s">
        <v>5376</v>
      </c>
      <c r="B2007" s="1" t="e">
        <v>#N/A</v>
      </c>
      <c r="C2007" s="1" t="e">
        <v>#N/A</v>
      </c>
      <c r="D2007" s="1" t="s">
        <v>5377</v>
      </c>
      <c r="E2007" s="1" t="s">
        <v>5378</v>
      </c>
      <c r="F2007" s="1" t="e">
        <v>#N/A</v>
      </c>
      <c r="G2007" s="1" t="e">
        <v>#N/A</v>
      </c>
      <c r="H2007" t="e">
        <v>#N/A</v>
      </c>
      <c r="I2007" s="1" t="e">
        <v>#N/A</v>
      </c>
      <c r="J2007" s="1" t="e">
        <v>#N/A</v>
      </c>
      <c r="K2007" s="1" t="e">
        <v>#N/A</v>
      </c>
      <c r="L2007" s="1" t="e">
        <v>#N/A</v>
      </c>
      <c r="M2007" s="1" t="e">
        <v>#N/A</v>
      </c>
      <c r="N2007" s="1" t="e">
        <v>#N/A</v>
      </c>
      <c r="O2007" s="1" t="e">
        <v>#N/A</v>
      </c>
      <c r="P2007" s="1" t="e">
        <v>#N/A</v>
      </c>
      <c r="Q2007" s="1" t="e">
        <v>#N/A</v>
      </c>
      <c r="R2007" s="1">
        <f t="shared" si="586"/>
        <v>5</v>
      </c>
      <c r="S2007" s="1" t="str">
        <f t="shared" si="587"/>
        <v>4-7</v>
      </c>
      <c r="T2007" s="1" t="s">
        <v>19684</v>
      </c>
      <c r="U2007" s="1" t="s">
        <v>11</v>
      </c>
      <c r="V2007" s="1" t="s">
        <v>157</v>
      </c>
      <c r="W2007" s="1"/>
    </row>
    <row r="2008" spans="1:23" x14ac:dyDescent="0.2">
      <c r="A2008" s="88" t="s">
        <v>17246</v>
      </c>
      <c r="B2008" s="1" t="e">
        <v>#N/A</v>
      </c>
      <c r="C2008" s="1" t="e">
        <v>#N/A</v>
      </c>
      <c r="D2008" s="1" t="s">
        <v>5379</v>
      </c>
      <c r="E2008" s="1" t="s">
        <v>5380</v>
      </c>
      <c r="F2008" s="1" t="s">
        <v>18502</v>
      </c>
      <c r="G2008" s="1" t="s">
        <v>8957</v>
      </c>
      <c r="H2008" t="s">
        <v>9061</v>
      </c>
      <c r="I2008" s="1" t="s">
        <v>9100</v>
      </c>
      <c r="J2008" s="1" t="s">
        <v>8949</v>
      </c>
      <c r="K2008" s="1" t="s">
        <v>10492</v>
      </c>
      <c r="L2008" s="1" t="s">
        <v>8973</v>
      </c>
      <c r="M2008" s="1">
        <v>1008</v>
      </c>
      <c r="N2008" s="1" t="s">
        <v>9059</v>
      </c>
      <c r="O2008" s="1" t="s">
        <v>8954</v>
      </c>
      <c r="P2008" s="1" t="e">
        <v>#N/A</v>
      </c>
      <c r="Q2008" s="1" t="e">
        <v>#N/A</v>
      </c>
      <c r="R2008" s="1">
        <f t="shared" si="586"/>
        <v>6</v>
      </c>
      <c r="S2008" s="1" t="str">
        <f t="shared" si="587"/>
        <v>4-7</v>
      </c>
      <c r="T2008" s="1" t="s">
        <v>19685</v>
      </c>
      <c r="U2008" s="1" t="s">
        <v>7</v>
      </c>
      <c r="V2008" s="1" t="s">
        <v>21</v>
      </c>
      <c r="W2008" s="1"/>
    </row>
    <row r="2009" spans="1:23" x14ac:dyDescent="0.2">
      <c r="A2009" s="88" t="s">
        <v>17247</v>
      </c>
      <c r="B2009" s="1" t="e">
        <v>#N/A</v>
      </c>
      <c r="C2009" s="1" t="e">
        <v>#N/A</v>
      </c>
      <c r="D2009" s="1" t="s">
        <v>5381</v>
      </c>
      <c r="E2009" s="1" t="s">
        <v>5382</v>
      </c>
      <c r="F2009" s="1" t="s">
        <v>18502</v>
      </c>
      <c r="G2009" s="1" t="s">
        <v>9060</v>
      </c>
      <c r="H2009" t="s">
        <v>9061</v>
      </c>
      <c r="I2009" s="1" t="s">
        <v>9100</v>
      </c>
      <c r="J2009" s="1" t="s">
        <v>8949</v>
      </c>
      <c r="K2009" s="1" t="s">
        <v>10525</v>
      </c>
      <c r="L2009" s="1" t="s">
        <v>8987</v>
      </c>
      <c r="M2009" s="1">
        <v>1970</v>
      </c>
      <c r="N2009" s="1" t="s">
        <v>8953</v>
      </c>
      <c r="O2009" s="1" t="s">
        <v>8954</v>
      </c>
      <c r="P2009" s="1" t="e">
        <v>#N/A</v>
      </c>
      <c r="Q2009" s="1" t="e">
        <v>#N/A</v>
      </c>
      <c r="R2009" s="1">
        <f t="shared" si="586"/>
        <v>6</v>
      </c>
      <c r="S2009" s="1" t="str">
        <f t="shared" si="587"/>
        <v>4-7</v>
      </c>
      <c r="T2009" s="1" t="s">
        <v>19686</v>
      </c>
      <c r="U2009" s="1" t="s">
        <v>7</v>
      </c>
      <c r="V2009" s="1" t="s">
        <v>180</v>
      </c>
      <c r="W2009" s="1"/>
    </row>
    <row r="2010" spans="1:23" x14ac:dyDescent="0.2">
      <c r="A2010" s="88" t="s">
        <v>17248</v>
      </c>
      <c r="B2010" s="1" t="e">
        <v>#N/A</v>
      </c>
      <c r="C2010" s="1" t="e">
        <v>#N/A</v>
      </c>
      <c r="D2010" s="1" t="s">
        <v>5383</v>
      </c>
      <c r="E2010" s="1" t="s">
        <v>5384</v>
      </c>
      <c r="F2010" s="1" t="s">
        <v>18502</v>
      </c>
      <c r="G2010" s="1" t="s">
        <v>8957</v>
      </c>
      <c r="H2010" t="s">
        <v>9061</v>
      </c>
      <c r="I2010" s="1" t="s">
        <v>9035</v>
      </c>
      <c r="J2010" s="1" t="s">
        <v>8998</v>
      </c>
      <c r="K2010" s="1" t="s">
        <v>10492</v>
      </c>
      <c r="L2010" s="1" t="s">
        <v>9076</v>
      </c>
      <c r="M2010" s="1">
        <v>2100</v>
      </c>
      <c r="N2010" s="1" t="s">
        <v>8953</v>
      </c>
      <c r="O2010" s="1" t="s">
        <v>8989</v>
      </c>
      <c r="P2010" s="1" t="e">
        <v>#N/A</v>
      </c>
      <c r="Q2010" s="1" t="e">
        <v>#N/A</v>
      </c>
      <c r="R2010" s="1">
        <f t="shared" si="586"/>
        <v>2</v>
      </c>
      <c r="S2010" s="1" t="str">
        <f t="shared" si="587"/>
        <v>&lt;4</v>
      </c>
      <c r="T2010" s="1" t="s">
        <v>19687</v>
      </c>
      <c r="U2010" s="1" t="s">
        <v>17</v>
      </c>
      <c r="V2010" s="1" t="s">
        <v>921</v>
      </c>
      <c r="W2010" s="1"/>
    </row>
    <row r="2011" spans="1:23" x14ac:dyDescent="0.2">
      <c r="A2011" s="88" t="s">
        <v>17249</v>
      </c>
      <c r="B2011" s="1" t="e">
        <v>#N/A</v>
      </c>
      <c r="C2011" s="1" t="s">
        <v>11975</v>
      </c>
      <c r="D2011" s="1" t="s">
        <v>5385</v>
      </c>
      <c r="E2011" s="1" t="s">
        <v>5386</v>
      </c>
      <c r="F2011" s="1" t="s">
        <v>9010</v>
      </c>
      <c r="G2011" s="1" t="s">
        <v>8957</v>
      </c>
      <c r="H2011" t="s">
        <v>9183</v>
      </c>
      <c r="I2011" s="1" t="s">
        <v>9035</v>
      </c>
      <c r="J2011" s="1" t="s">
        <v>8998</v>
      </c>
      <c r="K2011" s="1" t="s">
        <v>9036</v>
      </c>
      <c r="L2011" s="1" t="s">
        <v>8973</v>
      </c>
      <c r="M2011" s="1">
        <v>21</v>
      </c>
      <c r="N2011" s="1" t="s">
        <v>8953</v>
      </c>
      <c r="O2011" s="1" t="s">
        <v>8989</v>
      </c>
      <c r="P2011" s="1" t="s">
        <v>8955</v>
      </c>
      <c r="Q2011" s="1" t="s">
        <v>8956</v>
      </c>
      <c r="R2011" s="1" t="s">
        <v>8957</v>
      </c>
      <c r="S2011" s="1" t="s">
        <v>8975</v>
      </c>
      <c r="T2011" s="1" t="s">
        <v>5387</v>
      </c>
      <c r="U2011" s="1" t="s">
        <v>11</v>
      </c>
      <c r="V2011" s="1" t="s">
        <v>61</v>
      </c>
      <c r="W2011" s="1"/>
    </row>
    <row r="2012" spans="1:23" x14ac:dyDescent="0.2">
      <c r="A2012" s="88" t="s">
        <v>17250</v>
      </c>
      <c r="B2012" s="1" t="e">
        <v>#N/A</v>
      </c>
      <c r="C2012" s="1" t="e">
        <v>#N/A</v>
      </c>
      <c r="D2012" s="1" t="s">
        <v>5388</v>
      </c>
      <c r="E2012" s="1" t="s">
        <v>5389</v>
      </c>
      <c r="F2012" s="1" t="s">
        <v>9815</v>
      </c>
      <c r="G2012" s="1" t="s">
        <v>8957</v>
      </c>
      <c r="H2012" t="s">
        <v>8959</v>
      </c>
      <c r="I2012" s="1" t="s">
        <v>20714</v>
      </c>
      <c r="J2012" s="1" t="s">
        <v>20725</v>
      </c>
      <c r="K2012" s="1" t="s">
        <v>10492</v>
      </c>
      <c r="L2012" s="1" t="s">
        <v>8973</v>
      </c>
      <c r="M2012" s="1">
        <f>640+256+1024</f>
        <v>1920</v>
      </c>
      <c r="N2012" s="1" t="s">
        <v>8953</v>
      </c>
      <c r="O2012" s="1" t="s">
        <v>8989</v>
      </c>
      <c r="P2012" s="1" t="e">
        <v>#N/A</v>
      </c>
      <c r="Q2012" s="1" t="e">
        <v>#N/A</v>
      </c>
      <c r="R2012" s="1">
        <f t="shared" ref="R2012:R2016" si="588">1+LEN(T2012)-LEN(SUBSTITUTE(T2012,",",))</f>
        <v>4</v>
      </c>
      <c r="S2012" s="1" t="str">
        <f t="shared" ref="S2012:S2016" si="589">IF(R2012&gt;4,IF(R2012&lt;8,"4-7",IF(R2012&gt;7,"&gt;7")),"&lt;4")</f>
        <v>&lt;4</v>
      </c>
      <c r="T2012" s="1" t="s">
        <v>19688</v>
      </c>
      <c r="U2012" s="1" t="s">
        <v>17</v>
      </c>
      <c r="V2012" s="1" t="s">
        <v>46</v>
      </c>
      <c r="W2012" s="1"/>
    </row>
    <row r="2013" spans="1:23" x14ac:dyDescent="0.2">
      <c r="A2013" s="89" t="s">
        <v>17251</v>
      </c>
      <c r="B2013" s="1" t="e">
        <v>#N/A</v>
      </c>
      <c r="C2013" s="1" t="e">
        <v>#N/A</v>
      </c>
      <c r="D2013" s="1" t="s">
        <v>5390</v>
      </c>
      <c r="E2013" s="1" t="s">
        <v>5391</v>
      </c>
      <c r="F2013" s="1" t="e">
        <v>#N/A</v>
      </c>
      <c r="G2013" s="1" t="e">
        <v>#N/A</v>
      </c>
      <c r="H2013" t="e">
        <v>#N/A</v>
      </c>
      <c r="I2013" s="1" t="s">
        <v>9173</v>
      </c>
      <c r="J2013" s="1" t="e">
        <v>#N/A</v>
      </c>
      <c r="K2013" s="1" t="e">
        <v>#N/A</v>
      </c>
      <c r="L2013" s="1" t="s">
        <v>8987</v>
      </c>
      <c r="M2013" s="1" t="e">
        <v>#N/A</v>
      </c>
      <c r="N2013" s="1" t="e">
        <v>#N/A</v>
      </c>
      <c r="O2013" s="1" t="e">
        <v>#N/A</v>
      </c>
      <c r="P2013" s="1" t="e">
        <v>#N/A</v>
      </c>
      <c r="Q2013" s="1" t="e">
        <v>#N/A</v>
      </c>
      <c r="R2013" s="1">
        <f t="shared" si="588"/>
        <v>5</v>
      </c>
      <c r="S2013" s="1" t="str">
        <f t="shared" si="589"/>
        <v>4-7</v>
      </c>
      <c r="T2013" s="1" t="s">
        <v>19689</v>
      </c>
      <c r="U2013" s="1" t="s">
        <v>11</v>
      </c>
      <c r="V2013" s="1" t="s">
        <v>2666</v>
      </c>
      <c r="W2013" s="1"/>
    </row>
    <row r="2014" spans="1:23" x14ac:dyDescent="0.2">
      <c r="A2014" s="88" t="s">
        <v>17252</v>
      </c>
      <c r="B2014" s="1" t="e">
        <v>#N/A</v>
      </c>
      <c r="C2014" s="1" t="e">
        <v>#N/A</v>
      </c>
      <c r="D2014" s="1" t="s">
        <v>5392</v>
      </c>
      <c r="E2014" s="1" t="s">
        <v>5393</v>
      </c>
      <c r="F2014" s="1" t="s">
        <v>20911</v>
      </c>
      <c r="G2014" s="1" t="s">
        <v>8957</v>
      </c>
      <c r="H2014" t="s">
        <v>8959</v>
      </c>
      <c r="I2014" s="1" t="s">
        <v>9605</v>
      </c>
      <c r="J2014" s="1" t="s">
        <v>9101</v>
      </c>
      <c r="K2014" s="1" t="s">
        <v>21452</v>
      </c>
      <c r="L2014" s="1" t="s">
        <v>8973</v>
      </c>
      <c r="M2014" s="1">
        <v>130</v>
      </c>
      <c r="N2014" s="1" t="s">
        <v>8953</v>
      </c>
      <c r="O2014" s="1" t="s">
        <v>8989</v>
      </c>
      <c r="P2014" s="1" t="e">
        <v>#N/A</v>
      </c>
      <c r="Q2014" s="1" t="e">
        <v>#N/A</v>
      </c>
      <c r="R2014" s="1">
        <f t="shared" si="588"/>
        <v>3</v>
      </c>
      <c r="S2014" s="1" t="str">
        <f t="shared" si="589"/>
        <v>&lt;4</v>
      </c>
      <c r="T2014" s="1" t="s">
        <v>19690</v>
      </c>
      <c r="U2014" s="1" t="s">
        <v>7</v>
      </c>
      <c r="V2014" s="1" t="s">
        <v>46</v>
      </c>
      <c r="W2014" s="1"/>
    </row>
    <row r="2015" spans="1:23" x14ac:dyDescent="0.2">
      <c r="A2015" s="88" t="s">
        <v>17253</v>
      </c>
      <c r="B2015" s="1" t="e">
        <v>#N/A</v>
      </c>
      <c r="C2015" s="1" t="e">
        <v>#N/A</v>
      </c>
      <c r="D2015" s="1" t="s">
        <v>5394</v>
      </c>
      <c r="E2015" s="1" t="s">
        <v>5395</v>
      </c>
      <c r="F2015" s="1" t="s">
        <v>9380</v>
      </c>
      <c r="G2015" s="1" t="s">
        <v>8957</v>
      </c>
      <c r="H2015" t="s">
        <v>8959</v>
      </c>
      <c r="I2015" s="1" t="s">
        <v>9035</v>
      </c>
      <c r="J2015" s="1" t="s">
        <v>9308</v>
      </c>
      <c r="K2015" s="1" t="s">
        <v>20912</v>
      </c>
      <c r="L2015" s="1" t="s">
        <v>9133</v>
      </c>
      <c r="M2015" s="1">
        <f>317+612</f>
        <v>929</v>
      </c>
      <c r="N2015" s="1" t="s">
        <v>9059</v>
      </c>
      <c r="O2015" s="1" t="s">
        <v>8989</v>
      </c>
      <c r="P2015" s="1" t="e">
        <v>#N/A</v>
      </c>
      <c r="Q2015" s="1" t="e">
        <v>#N/A</v>
      </c>
      <c r="R2015" s="1">
        <f t="shared" si="588"/>
        <v>10</v>
      </c>
      <c r="S2015" s="1" t="str">
        <f t="shared" si="589"/>
        <v>&gt;7</v>
      </c>
      <c r="T2015" s="1" t="s">
        <v>20655</v>
      </c>
      <c r="U2015" s="1" t="s">
        <v>7</v>
      </c>
      <c r="V2015" s="1" t="s">
        <v>24</v>
      </c>
      <c r="W2015" s="1"/>
    </row>
    <row r="2016" spans="1:23" x14ac:dyDescent="0.2">
      <c r="A2016" s="88" t="s">
        <v>17254</v>
      </c>
      <c r="B2016" s="1" t="e">
        <v>#N/A</v>
      </c>
      <c r="C2016" s="1" t="e">
        <v>#N/A</v>
      </c>
      <c r="D2016" s="1" t="s">
        <v>5396</v>
      </c>
      <c r="E2016" s="1" t="s">
        <v>5397</v>
      </c>
      <c r="F2016" s="1" t="s">
        <v>9650</v>
      </c>
      <c r="G2016" s="1" t="s">
        <v>8974</v>
      </c>
      <c r="H2016" t="s">
        <v>8959</v>
      </c>
      <c r="I2016" s="1" t="s">
        <v>9173</v>
      </c>
      <c r="J2016" s="1" t="s">
        <v>9174</v>
      </c>
      <c r="K2016" s="1" t="s">
        <v>10525</v>
      </c>
      <c r="L2016" s="1" t="s">
        <v>8987</v>
      </c>
      <c r="M2016" s="1">
        <v>1796</v>
      </c>
      <c r="N2016" s="1" t="s">
        <v>8953</v>
      </c>
      <c r="O2016" s="1" t="s">
        <v>8989</v>
      </c>
      <c r="P2016" s="1" t="e">
        <v>#N/A</v>
      </c>
      <c r="Q2016" s="1" t="e">
        <v>#N/A</v>
      </c>
      <c r="R2016" s="1">
        <f t="shared" si="588"/>
        <v>4</v>
      </c>
      <c r="S2016" s="1" t="str">
        <f t="shared" si="589"/>
        <v>&lt;4</v>
      </c>
      <c r="T2016" s="1" t="s">
        <v>19691</v>
      </c>
      <c r="U2016" s="1" t="s">
        <v>7</v>
      </c>
      <c r="V2016" s="1" t="s">
        <v>15</v>
      </c>
      <c r="W2016" s="1"/>
    </row>
    <row r="2017" spans="1:23" x14ac:dyDescent="0.2">
      <c r="A2017" s="88" t="s">
        <v>17255</v>
      </c>
      <c r="B2017" s="1" t="e">
        <v>#N/A</v>
      </c>
      <c r="C2017" s="1" t="s">
        <v>14011</v>
      </c>
      <c r="D2017" s="1" t="s">
        <v>5398</v>
      </c>
      <c r="E2017" s="1" t="s">
        <v>5399</v>
      </c>
      <c r="F2017" s="1" t="s">
        <v>9968</v>
      </c>
      <c r="G2017" s="1" t="s">
        <v>8959</v>
      </c>
      <c r="H2017" t="s">
        <v>8959</v>
      </c>
      <c r="I2017" s="1" t="s">
        <v>9173</v>
      </c>
      <c r="J2017" s="1" t="s">
        <v>9121</v>
      </c>
      <c r="K2017" s="1" t="s">
        <v>9036</v>
      </c>
      <c r="L2017" s="1" t="s">
        <v>8951</v>
      </c>
      <c r="M2017" s="1">
        <v>6120</v>
      </c>
      <c r="N2017" s="1" t="s">
        <v>8953</v>
      </c>
      <c r="O2017" s="1" t="s">
        <v>8989</v>
      </c>
      <c r="P2017" s="1" t="s">
        <v>8955</v>
      </c>
      <c r="Q2017" s="1" t="s">
        <v>8990</v>
      </c>
      <c r="R2017" s="1" t="s">
        <v>8959</v>
      </c>
      <c r="S2017" s="1" t="s">
        <v>8958</v>
      </c>
      <c r="T2017" s="1" t="s">
        <v>5400</v>
      </c>
      <c r="U2017" s="1" t="s">
        <v>242</v>
      </c>
      <c r="V2017" s="1" t="s">
        <v>46</v>
      </c>
      <c r="W2017" s="1"/>
    </row>
    <row r="2018" spans="1:23" x14ac:dyDescent="0.2">
      <c r="A2018" s="88" t="s">
        <v>17256</v>
      </c>
      <c r="B2018" s="1" t="e">
        <v>#N/A</v>
      </c>
      <c r="C2018" s="1" t="s">
        <v>14027</v>
      </c>
      <c r="D2018" s="1" t="s">
        <v>5401</v>
      </c>
      <c r="E2018" s="1" t="s">
        <v>5402</v>
      </c>
      <c r="F2018" s="1" t="s">
        <v>9968</v>
      </c>
      <c r="G2018" s="1" t="s">
        <v>8959</v>
      </c>
      <c r="H2018" t="s">
        <v>8959</v>
      </c>
      <c r="I2018" s="1" t="s">
        <v>9154</v>
      </c>
      <c r="J2018" s="1" t="s">
        <v>9308</v>
      </c>
      <c r="K2018" s="1" t="s">
        <v>9036</v>
      </c>
      <c r="L2018" s="1" t="s">
        <v>8951</v>
      </c>
      <c r="M2018" s="1">
        <v>44</v>
      </c>
      <c r="N2018" s="1" t="s">
        <v>8953</v>
      </c>
      <c r="O2018" s="1" t="s">
        <v>8989</v>
      </c>
      <c r="P2018" s="1" t="s">
        <v>8955</v>
      </c>
      <c r="Q2018" s="1" t="s">
        <v>8956</v>
      </c>
      <c r="R2018" s="1" t="s">
        <v>8959</v>
      </c>
      <c r="S2018" s="1" t="s">
        <v>8975</v>
      </c>
      <c r="T2018" s="1" t="s">
        <v>5403</v>
      </c>
      <c r="U2018" s="1" t="s">
        <v>242</v>
      </c>
      <c r="V2018" s="1" t="s">
        <v>46</v>
      </c>
      <c r="W2018" s="1"/>
    </row>
    <row r="2019" spans="1:23" x14ac:dyDescent="0.2">
      <c r="A2019" s="88" t="s">
        <v>17257</v>
      </c>
      <c r="B2019" s="1" t="e">
        <v>#N/A</v>
      </c>
      <c r="C2019" s="1" t="e">
        <v>#N/A</v>
      </c>
      <c r="D2019" s="1" t="s">
        <v>5404</v>
      </c>
      <c r="E2019" s="1" t="s">
        <v>5405</v>
      </c>
      <c r="F2019" s="1" t="s">
        <v>9310</v>
      </c>
      <c r="G2019" s="1" t="s">
        <v>8957</v>
      </c>
      <c r="H2019" t="s">
        <v>8959</v>
      </c>
      <c r="I2019" s="1" t="s">
        <v>9035</v>
      </c>
      <c r="J2019" s="1" t="s">
        <v>8998</v>
      </c>
      <c r="K2019" s="1" t="s">
        <v>21375</v>
      </c>
      <c r="L2019" s="1" t="s">
        <v>20913</v>
      </c>
      <c r="M2019" s="1">
        <f>888+1018</f>
        <v>1906</v>
      </c>
      <c r="N2019" s="1" t="s">
        <v>9059</v>
      </c>
      <c r="O2019" s="1" t="s">
        <v>8954</v>
      </c>
      <c r="P2019" s="1" t="e">
        <v>#N/A</v>
      </c>
      <c r="Q2019" s="1" t="e">
        <v>#N/A</v>
      </c>
      <c r="R2019" s="1">
        <f>1+LEN(T2019)-LEN(SUBSTITUTE(T2019,",",))</f>
        <v>6</v>
      </c>
      <c r="S2019" s="1" t="str">
        <f>IF(R2019&gt;4,IF(R2019&lt;8,"4-7",IF(R2019&gt;7,"&gt;7")),"&lt;4")</f>
        <v>4-7</v>
      </c>
      <c r="T2019" s="1" t="s">
        <v>19692</v>
      </c>
      <c r="U2019" s="1" t="s">
        <v>17</v>
      </c>
      <c r="V2019" s="1" t="s">
        <v>210</v>
      </c>
      <c r="W2019" s="1"/>
    </row>
    <row r="2020" spans="1:23" x14ac:dyDescent="0.2">
      <c r="A2020" s="88" t="s">
        <v>17258</v>
      </c>
      <c r="B2020" s="1" t="e">
        <v>#N/A</v>
      </c>
      <c r="C2020" s="1" t="s">
        <v>14867</v>
      </c>
      <c r="D2020" s="1" t="s">
        <v>5406</v>
      </c>
      <c r="E2020" s="1" t="s">
        <v>5407</v>
      </c>
      <c r="F2020" s="1" t="s">
        <v>9010</v>
      </c>
      <c r="G2020" s="1" t="s">
        <v>8957</v>
      </c>
      <c r="H2020" t="s">
        <v>8959</v>
      </c>
      <c r="I2020" s="1" t="s">
        <v>8948</v>
      </c>
      <c r="J2020" s="1" t="s">
        <v>8949</v>
      </c>
      <c r="K2020" s="1" t="s">
        <v>9937</v>
      </c>
      <c r="L2020" s="1" t="s">
        <v>9076</v>
      </c>
      <c r="M2020" s="1">
        <v>567</v>
      </c>
      <c r="N2020" s="1" t="s">
        <v>8953</v>
      </c>
      <c r="O2020" s="1" t="s">
        <v>8954</v>
      </c>
      <c r="P2020" s="1" t="s">
        <v>8955</v>
      </c>
      <c r="Q2020" s="1" t="s">
        <v>8956</v>
      </c>
      <c r="R2020" s="1" t="s">
        <v>8957</v>
      </c>
      <c r="S2020" s="1" t="s">
        <v>8975</v>
      </c>
      <c r="T2020" s="1" t="s">
        <v>5408</v>
      </c>
      <c r="U2020" s="1" t="s">
        <v>17</v>
      </c>
      <c r="V2020" s="1" t="s">
        <v>21</v>
      </c>
      <c r="W2020" s="1"/>
    </row>
    <row r="2021" spans="1:23" x14ac:dyDescent="0.2">
      <c r="A2021" s="88" t="s">
        <v>17259</v>
      </c>
      <c r="B2021" s="1" t="e">
        <v>#N/A</v>
      </c>
      <c r="C2021" s="1" t="e">
        <v>#N/A</v>
      </c>
      <c r="D2021" s="1" t="s">
        <v>5409</v>
      </c>
      <c r="E2021" s="1" t="s">
        <v>5410</v>
      </c>
      <c r="F2021" s="1" t="s">
        <v>18502</v>
      </c>
      <c r="G2021" s="1" t="s">
        <v>8959</v>
      </c>
      <c r="H2021" t="s">
        <v>8959</v>
      </c>
      <c r="I2021" s="1" t="s">
        <v>20712</v>
      </c>
      <c r="J2021" s="1" t="s">
        <v>9155</v>
      </c>
      <c r="K2021" s="1" t="s">
        <v>10629</v>
      </c>
      <c r="L2021" s="1" t="s">
        <v>8973</v>
      </c>
      <c r="M2021" s="1">
        <f>263+281</f>
        <v>544</v>
      </c>
      <c r="N2021" s="1" t="s">
        <v>9059</v>
      </c>
      <c r="O2021" s="1" t="s">
        <v>8954</v>
      </c>
      <c r="P2021" s="1" t="e">
        <v>#N/A</v>
      </c>
      <c r="Q2021" s="1" t="e">
        <v>#N/A</v>
      </c>
      <c r="R2021" s="1">
        <f>1+LEN(T2021)-LEN(SUBSTITUTE(T2021,",",))</f>
        <v>5</v>
      </c>
      <c r="S2021" s="1" t="str">
        <f>IF(R2021&gt;4,IF(R2021&lt;8,"4-7",IF(R2021&gt;7,"&gt;7")),"&lt;4")</f>
        <v>4-7</v>
      </c>
      <c r="T2021" s="1" t="s">
        <v>20656</v>
      </c>
      <c r="U2021" s="1" t="s">
        <v>7</v>
      </c>
      <c r="V2021" s="1" t="s">
        <v>61</v>
      </c>
      <c r="W2021" s="1"/>
    </row>
    <row r="2022" spans="1:23" x14ac:dyDescent="0.2">
      <c r="A2022" s="88" t="s">
        <v>17260</v>
      </c>
      <c r="B2022" s="1" t="e">
        <v>#N/A</v>
      </c>
      <c r="C2022" s="1" t="s">
        <v>9812</v>
      </c>
      <c r="D2022" s="1" t="s">
        <v>5411</v>
      </c>
      <c r="E2022" s="1" t="s">
        <v>5412</v>
      </c>
      <c r="F2022" s="1" t="s">
        <v>9815</v>
      </c>
      <c r="G2022" s="1" t="s">
        <v>8959</v>
      </c>
      <c r="H2022" t="s">
        <v>8959</v>
      </c>
      <c r="I2022" s="1" t="s">
        <v>8984</v>
      </c>
      <c r="J2022" s="1" t="s">
        <v>8998</v>
      </c>
      <c r="K2022" s="1" t="s">
        <v>9212</v>
      </c>
      <c r="L2022" s="1" t="s">
        <v>9133</v>
      </c>
      <c r="M2022" s="1">
        <v>60</v>
      </c>
      <c r="N2022" s="1" t="s">
        <v>9059</v>
      </c>
      <c r="O2022" s="1" t="s">
        <v>8954</v>
      </c>
      <c r="P2022" s="1" t="s">
        <v>8955</v>
      </c>
      <c r="Q2022" s="1" t="s">
        <v>8956</v>
      </c>
      <c r="R2022" s="1" t="s">
        <v>8959</v>
      </c>
      <c r="S2022" s="1" t="s">
        <v>8958</v>
      </c>
      <c r="T2022" s="1" t="s">
        <v>5413</v>
      </c>
      <c r="U2022" s="1" t="s">
        <v>17</v>
      </c>
      <c r="V2022" s="1" t="s">
        <v>64</v>
      </c>
      <c r="W2022" s="1"/>
    </row>
    <row r="2023" spans="1:23" x14ac:dyDescent="0.2">
      <c r="A2023" s="89" t="s">
        <v>5414</v>
      </c>
      <c r="B2023" s="1" t="e">
        <v>#N/A</v>
      </c>
      <c r="C2023" s="1" t="e">
        <v>#N/A</v>
      </c>
      <c r="D2023" s="5" t="s">
        <v>5415</v>
      </c>
      <c r="E2023" s="1" t="s">
        <v>5416</v>
      </c>
      <c r="F2023" s="1" t="e">
        <v>#N/A</v>
      </c>
      <c r="G2023" s="1" t="e">
        <v>#N/A</v>
      </c>
      <c r="H2023" t="e">
        <v>#N/A</v>
      </c>
      <c r="I2023" s="1" t="e">
        <v>#N/A</v>
      </c>
      <c r="J2023" s="1" t="e">
        <v>#N/A</v>
      </c>
      <c r="K2023" s="1" t="e">
        <v>#N/A</v>
      </c>
      <c r="L2023" s="1" t="e">
        <v>#N/A</v>
      </c>
      <c r="M2023" s="1" t="e">
        <v>#N/A</v>
      </c>
      <c r="N2023" s="1" t="e">
        <v>#N/A</v>
      </c>
      <c r="O2023" s="1" t="e">
        <v>#N/A</v>
      </c>
      <c r="P2023" s="1" t="e">
        <v>#N/A</v>
      </c>
      <c r="Q2023" s="1" t="e">
        <v>#N/A</v>
      </c>
      <c r="R2023" s="1">
        <f>1+LEN(T2023)-LEN(SUBSTITUTE(T2023,",",))</f>
        <v>4</v>
      </c>
      <c r="S2023" s="1" t="str">
        <f>IF(R2023&gt;4,IF(R2023&lt;8,"4-7",IF(R2023&gt;7,"&gt;7")),"&lt;4")</f>
        <v>&lt;4</v>
      </c>
      <c r="T2023" s="1" t="s">
        <v>19693</v>
      </c>
      <c r="U2023" s="1" t="s">
        <v>7</v>
      </c>
      <c r="V2023" s="1" t="s">
        <v>74</v>
      </c>
      <c r="W2023" s="1"/>
    </row>
    <row r="2024" spans="1:23" x14ac:dyDescent="0.2">
      <c r="A2024" s="88" t="s">
        <v>17261</v>
      </c>
      <c r="B2024" s="1" t="e">
        <v>#N/A</v>
      </c>
      <c r="C2024" s="1" t="s">
        <v>15163</v>
      </c>
      <c r="D2024" s="1" t="s">
        <v>5417</v>
      </c>
      <c r="E2024" s="1" t="s">
        <v>5418</v>
      </c>
      <c r="F2024" s="1" t="s">
        <v>10032</v>
      </c>
      <c r="G2024" s="1" t="s">
        <v>8957</v>
      </c>
      <c r="H2024" t="s">
        <v>8959</v>
      </c>
      <c r="I2024" s="1" t="s">
        <v>9252</v>
      </c>
      <c r="J2024" s="1" t="s">
        <v>9269</v>
      </c>
      <c r="K2024" s="1" t="s">
        <v>15166</v>
      </c>
      <c r="L2024" s="1" t="s">
        <v>8973</v>
      </c>
      <c r="M2024" s="1">
        <v>80</v>
      </c>
      <c r="N2024" s="1" t="s">
        <v>8953</v>
      </c>
      <c r="O2024" s="1" t="s">
        <v>8954</v>
      </c>
      <c r="P2024" s="1" t="s">
        <v>8955</v>
      </c>
      <c r="Q2024" s="1" t="s">
        <v>8956</v>
      </c>
      <c r="R2024" s="1" t="s">
        <v>8957</v>
      </c>
      <c r="S2024" s="1" t="s">
        <v>8958</v>
      </c>
      <c r="T2024" s="1" t="s">
        <v>5419</v>
      </c>
      <c r="U2024" s="1" t="s">
        <v>17</v>
      </c>
      <c r="V2024" s="1" t="s">
        <v>61</v>
      </c>
      <c r="W2024" s="1"/>
    </row>
    <row r="2025" spans="1:23" x14ac:dyDescent="0.2">
      <c r="A2025" s="94" t="s">
        <v>17262</v>
      </c>
      <c r="B2025" s="1" t="e">
        <v>#N/A</v>
      </c>
      <c r="C2025" s="1" t="e">
        <v>#N/A</v>
      </c>
      <c r="D2025" s="1" t="s">
        <v>5420</v>
      </c>
      <c r="E2025" s="1" t="s">
        <v>5421</v>
      </c>
      <c r="F2025" s="1" t="s">
        <v>9852</v>
      </c>
      <c r="G2025" s="1" t="s">
        <v>8957</v>
      </c>
      <c r="H2025" t="s">
        <v>8959</v>
      </c>
      <c r="I2025" s="1" t="s">
        <v>20714</v>
      </c>
      <c r="J2025" s="1" t="s">
        <v>9050</v>
      </c>
      <c r="K2025" s="1" t="s">
        <v>20914</v>
      </c>
      <c r="L2025" s="1" t="s">
        <v>8951</v>
      </c>
      <c r="M2025" s="1">
        <f>416+88744</f>
        <v>89160</v>
      </c>
      <c r="N2025" s="1" t="s">
        <v>8953</v>
      </c>
      <c r="O2025" s="1" t="s">
        <v>8954</v>
      </c>
      <c r="P2025" s="1" t="e">
        <v>#N/A</v>
      </c>
      <c r="Q2025" s="1" t="e">
        <v>#N/A</v>
      </c>
      <c r="R2025" s="1">
        <f t="shared" ref="R2025:R2028" si="590">1+LEN(T2025)-LEN(SUBSTITUTE(T2025,",",))</f>
        <v>6</v>
      </c>
      <c r="S2025" s="1" t="str">
        <f t="shared" ref="S2025:S2028" si="591">IF(R2025&gt;4,IF(R2025&lt;8,"4-7",IF(R2025&gt;7,"&gt;7")),"&lt;4")</f>
        <v>4-7</v>
      </c>
      <c r="T2025" s="1" t="s">
        <v>19694</v>
      </c>
      <c r="U2025" s="1" t="s">
        <v>17</v>
      </c>
      <c r="V2025" s="1" t="s">
        <v>8</v>
      </c>
      <c r="W2025" s="1"/>
    </row>
    <row r="2026" spans="1:23" x14ac:dyDescent="0.2">
      <c r="A2026" s="88" t="s">
        <v>17263</v>
      </c>
      <c r="B2026" s="1" t="e">
        <v>#N/A</v>
      </c>
      <c r="C2026" s="1" t="e">
        <v>#N/A</v>
      </c>
      <c r="D2026" s="1" t="s">
        <v>5422</v>
      </c>
      <c r="E2026" s="1" t="s">
        <v>5423</v>
      </c>
      <c r="F2026" s="1" t="s">
        <v>18502</v>
      </c>
      <c r="G2026" s="1" t="s">
        <v>8959</v>
      </c>
      <c r="H2026" t="s">
        <v>8959</v>
      </c>
      <c r="I2026" s="1" t="s">
        <v>9035</v>
      </c>
      <c r="J2026" s="1" t="s">
        <v>8998</v>
      </c>
      <c r="K2026" s="1" t="s">
        <v>21333</v>
      </c>
      <c r="L2026" s="1" t="s">
        <v>9133</v>
      </c>
      <c r="M2026" s="1">
        <v>18793</v>
      </c>
      <c r="N2026" s="1" t="s">
        <v>20915</v>
      </c>
      <c r="O2026" s="1" t="s">
        <v>8954</v>
      </c>
      <c r="P2026" s="1" t="e">
        <v>#N/A</v>
      </c>
      <c r="Q2026" s="1" t="e">
        <v>#N/A</v>
      </c>
      <c r="R2026" s="1">
        <f t="shared" si="590"/>
        <v>3</v>
      </c>
      <c r="S2026" s="1" t="str">
        <f t="shared" si="591"/>
        <v>&lt;4</v>
      </c>
      <c r="T2026" s="1" t="s">
        <v>19695</v>
      </c>
      <c r="U2026" s="1" t="s">
        <v>17</v>
      </c>
      <c r="V2026" s="1" t="s">
        <v>46</v>
      </c>
      <c r="W2026" s="1"/>
    </row>
    <row r="2027" spans="1:23" x14ac:dyDescent="0.2">
      <c r="A2027" s="89" t="s">
        <v>17264</v>
      </c>
      <c r="B2027" s="1" t="e">
        <v>#N/A</v>
      </c>
      <c r="C2027" s="97" t="e">
        <v>#N/A</v>
      </c>
      <c r="D2027" s="5" t="s">
        <v>5424</v>
      </c>
      <c r="E2027" s="1" t="s">
        <v>5425</v>
      </c>
      <c r="F2027" s="1" t="e">
        <v>#N/A</v>
      </c>
      <c r="G2027" s="1" t="e">
        <v>#N/A</v>
      </c>
      <c r="H2027" t="e">
        <v>#N/A</v>
      </c>
      <c r="I2027" s="1" t="e">
        <v>#N/A</v>
      </c>
      <c r="J2027" s="1" t="e">
        <v>#N/A</v>
      </c>
      <c r="K2027" s="1" t="e">
        <v>#N/A</v>
      </c>
      <c r="L2027" s="1" t="e">
        <v>#N/A</v>
      </c>
      <c r="M2027" s="1" t="e">
        <v>#N/A</v>
      </c>
      <c r="N2027" s="1"/>
      <c r="O2027" s="1" t="e">
        <v>#N/A</v>
      </c>
      <c r="P2027" s="1" t="e">
        <v>#N/A</v>
      </c>
      <c r="Q2027" s="1" t="e">
        <v>#N/A</v>
      </c>
      <c r="R2027" s="1">
        <f t="shared" si="590"/>
        <v>5</v>
      </c>
      <c r="S2027" s="1" t="str">
        <f t="shared" si="591"/>
        <v>4-7</v>
      </c>
      <c r="T2027" s="1" t="s">
        <v>19696</v>
      </c>
      <c r="U2027" s="1" t="s">
        <v>7</v>
      </c>
      <c r="V2027" s="1" t="s">
        <v>5426</v>
      </c>
      <c r="W2027" s="1"/>
    </row>
    <row r="2028" spans="1:23" x14ac:dyDescent="0.2">
      <c r="A2028" s="88" t="s">
        <v>17265</v>
      </c>
      <c r="B2028" s="1" t="e">
        <v>#N/A</v>
      </c>
      <c r="C2028" s="1" t="e">
        <v>#N/A</v>
      </c>
      <c r="D2028" s="1" t="s">
        <v>5427</v>
      </c>
      <c r="E2028" s="1" t="s">
        <v>5428</v>
      </c>
      <c r="F2028" s="1" t="s">
        <v>9387</v>
      </c>
      <c r="G2028" s="1" t="s">
        <v>8957</v>
      </c>
      <c r="H2028" t="s">
        <v>8959</v>
      </c>
      <c r="I2028" s="1" t="s">
        <v>9605</v>
      </c>
      <c r="J2028" s="1" t="s">
        <v>9101</v>
      </c>
      <c r="K2028" s="1" t="s">
        <v>20910</v>
      </c>
      <c r="L2028" s="1" t="s">
        <v>9076</v>
      </c>
      <c r="M2028" s="1">
        <v>20000</v>
      </c>
      <c r="N2028" s="1" t="s">
        <v>8953</v>
      </c>
      <c r="O2028" s="1" t="s">
        <v>8989</v>
      </c>
      <c r="P2028" s="1" t="e">
        <v>#N/A</v>
      </c>
      <c r="Q2028" s="1" t="e">
        <v>#N/A</v>
      </c>
      <c r="R2028" s="1">
        <f t="shared" si="590"/>
        <v>10</v>
      </c>
      <c r="S2028" s="1" t="str">
        <f t="shared" si="591"/>
        <v>&gt;7</v>
      </c>
      <c r="T2028" s="1" t="s">
        <v>19697</v>
      </c>
      <c r="U2028" s="1" t="s">
        <v>7</v>
      </c>
      <c r="V2028" s="1" t="s">
        <v>700</v>
      </c>
      <c r="W2028" s="1"/>
    </row>
    <row r="2029" spans="1:23" x14ac:dyDescent="0.2">
      <c r="A2029" s="88" t="s">
        <v>17266</v>
      </c>
      <c r="B2029" s="1" t="e">
        <v>#N/A</v>
      </c>
      <c r="C2029" s="1" t="s">
        <v>11471</v>
      </c>
      <c r="D2029" s="1" t="s">
        <v>5429</v>
      </c>
      <c r="E2029" s="1" t="s">
        <v>5430</v>
      </c>
      <c r="F2029" s="1" t="s">
        <v>9010</v>
      </c>
      <c r="G2029" s="1" t="s">
        <v>8957</v>
      </c>
      <c r="H2029" t="s">
        <v>9061</v>
      </c>
      <c r="I2029" s="1" t="s">
        <v>9100</v>
      </c>
      <c r="J2029" s="1" t="s">
        <v>9121</v>
      </c>
      <c r="K2029" s="1" t="s">
        <v>9102</v>
      </c>
      <c r="L2029" s="1" t="s">
        <v>9292</v>
      </c>
      <c r="M2029" s="1">
        <v>1000</v>
      </c>
      <c r="N2029" s="1" t="s">
        <v>8953</v>
      </c>
      <c r="O2029" s="1" t="s">
        <v>8989</v>
      </c>
      <c r="P2029" s="1" t="s">
        <v>8955</v>
      </c>
      <c r="Q2029" s="1" t="s">
        <v>8956</v>
      </c>
      <c r="R2029" s="1" t="s">
        <v>8957</v>
      </c>
      <c r="S2029" s="1" t="s">
        <v>9103</v>
      </c>
      <c r="T2029" s="1" t="s">
        <v>5431</v>
      </c>
      <c r="U2029" s="1" t="s">
        <v>11</v>
      </c>
      <c r="V2029" s="1" t="s">
        <v>3167</v>
      </c>
      <c r="W2029" s="1"/>
    </row>
    <row r="2030" spans="1:23" x14ac:dyDescent="0.2">
      <c r="A2030" s="88" t="s">
        <v>17267</v>
      </c>
      <c r="B2030" s="1" t="e">
        <v>#N/A</v>
      </c>
      <c r="C2030" s="1" t="e">
        <v>#N/A</v>
      </c>
      <c r="D2030" s="1" t="s">
        <v>5432</v>
      </c>
      <c r="E2030" s="1" t="s">
        <v>5433</v>
      </c>
      <c r="F2030" s="1" t="s">
        <v>9333</v>
      </c>
      <c r="G2030" s="1" t="s">
        <v>8959</v>
      </c>
      <c r="H2030" t="s">
        <v>9061</v>
      </c>
      <c r="I2030" s="1" t="s">
        <v>9035</v>
      </c>
      <c r="J2030" s="1" t="s">
        <v>8998</v>
      </c>
      <c r="K2030" s="1" t="s">
        <v>10492</v>
      </c>
      <c r="L2030" s="1" t="s">
        <v>8973</v>
      </c>
      <c r="M2030" s="1">
        <v>232</v>
      </c>
      <c r="N2030" s="1" t="s">
        <v>9059</v>
      </c>
      <c r="O2030" s="1" t="s">
        <v>8989</v>
      </c>
      <c r="P2030" s="1" t="e">
        <v>#N/A</v>
      </c>
      <c r="Q2030" s="1" t="e">
        <v>#N/A</v>
      </c>
      <c r="R2030" s="1">
        <f t="shared" ref="R2030:R2033" si="592">1+LEN(T2030)-LEN(SUBSTITUTE(T2030,",",))</f>
        <v>7</v>
      </c>
      <c r="S2030" s="1" t="str">
        <f t="shared" ref="S2030:S2033" si="593">IF(R2030&gt;4,IF(R2030&lt;8,"4-7",IF(R2030&gt;7,"&gt;7")),"&lt;4")</f>
        <v>4-7</v>
      </c>
      <c r="T2030" s="1" t="s">
        <v>19698</v>
      </c>
      <c r="U2030" s="1" t="s">
        <v>7</v>
      </c>
      <c r="V2030" s="1" t="s">
        <v>3852</v>
      </c>
      <c r="W2030" s="1"/>
    </row>
    <row r="2031" spans="1:23" x14ac:dyDescent="0.2">
      <c r="A2031" s="88" t="s">
        <v>17268</v>
      </c>
      <c r="B2031" s="1" t="e">
        <v>#N/A</v>
      </c>
      <c r="C2031" s="1" t="e">
        <v>#N/A</v>
      </c>
      <c r="D2031" s="1" t="s">
        <v>5434</v>
      </c>
      <c r="E2031" s="1" t="s">
        <v>5435</v>
      </c>
      <c r="F2031" s="1" t="s">
        <v>9333</v>
      </c>
      <c r="G2031" s="1" t="s">
        <v>8957</v>
      </c>
      <c r="H2031" t="s">
        <v>9061</v>
      </c>
      <c r="I2031" s="1" t="s">
        <v>9075</v>
      </c>
      <c r="J2031" s="1" t="s">
        <v>8998</v>
      </c>
      <c r="K2031" s="1" t="s">
        <v>10492</v>
      </c>
      <c r="L2031" s="1" t="s">
        <v>20916</v>
      </c>
      <c r="M2031" s="1">
        <v>556</v>
      </c>
      <c r="N2031" s="1" t="s">
        <v>9059</v>
      </c>
      <c r="O2031" s="1" t="s">
        <v>8989</v>
      </c>
      <c r="P2031" s="1" t="e">
        <v>#N/A</v>
      </c>
      <c r="Q2031" s="1" t="e">
        <v>#N/A</v>
      </c>
      <c r="R2031" s="1">
        <f t="shared" si="592"/>
        <v>7</v>
      </c>
      <c r="S2031" s="1" t="str">
        <f t="shared" si="593"/>
        <v>4-7</v>
      </c>
      <c r="T2031" s="1" t="s">
        <v>19699</v>
      </c>
      <c r="U2031" s="1" t="s">
        <v>7</v>
      </c>
      <c r="V2031" s="1" t="s">
        <v>2434</v>
      </c>
      <c r="W2031" s="1"/>
    </row>
    <row r="2032" spans="1:23" x14ac:dyDescent="0.2">
      <c r="A2032" s="89" t="s">
        <v>5436</v>
      </c>
      <c r="B2032" s="1" t="e">
        <v>#N/A</v>
      </c>
      <c r="C2032" s="1" t="e">
        <v>#N/A</v>
      </c>
      <c r="D2032" s="1" t="s">
        <v>5437</v>
      </c>
      <c r="E2032" s="1" t="s">
        <v>5438</v>
      </c>
      <c r="F2032" s="1" t="e">
        <v>#N/A</v>
      </c>
      <c r="G2032" s="1" t="e">
        <v>#N/A</v>
      </c>
      <c r="H2032" t="e">
        <v>#N/A</v>
      </c>
      <c r="I2032" s="1" t="e">
        <v>#N/A</v>
      </c>
      <c r="J2032" s="1" t="e">
        <v>#N/A</v>
      </c>
      <c r="K2032" s="1" t="e">
        <v>#N/A</v>
      </c>
      <c r="L2032" s="1" t="e">
        <v>#N/A</v>
      </c>
      <c r="M2032" s="1" t="e">
        <v>#N/A</v>
      </c>
      <c r="N2032" s="1"/>
      <c r="O2032" s="1" t="e">
        <v>#N/A</v>
      </c>
      <c r="P2032" s="1" t="e">
        <v>#N/A</v>
      </c>
      <c r="Q2032" s="1" t="e">
        <v>#N/A</v>
      </c>
      <c r="R2032" s="1">
        <f t="shared" si="592"/>
        <v>3</v>
      </c>
      <c r="S2032" s="1" t="str">
        <f t="shared" si="593"/>
        <v>&lt;4</v>
      </c>
      <c r="T2032" s="1" t="s">
        <v>19700</v>
      </c>
      <c r="U2032" s="1" t="s">
        <v>17</v>
      </c>
      <c r="V2032" s="1" t="s">
        <v>733</v>
      </c>
      <c r="W2032" s="1"/>
    </row>
    <row r="2033" spans="1:23" x14ac:dyDescent="0.2">
      <c r="A2033" s="88" t="s">
        <v>17269</v>
      </c>
      <c r="B2033" s="1" t="e">
        <v>#N/A</v>
      </c>
      <c r="C2033" s="1" t="e">
        <v>#N/A</v>
      </c>
      <c r="D2033" s="1" t="s">
        <v>5439</v>
      </c>
      <c r="E2033" s="1" t="s">
        <v>5440</v>
      </c>
      <c r="F2033" s="1" t="s">
        <v>9317</v>
      </c>
      <c r="G2033" s="1" t="s">
        <v>8957</v>
      </c>
      <c r="H2033" t="s">
        <v>9061</v>
      </c>
      <c r="I2033" s="1" t="s">
        <v>8948</v>
      </c>
      <c r="J2033" s="1" t="s">
        <v>9155</v>
      </c>
      <c r="K2033" s="1" t="s">
        <v>10492</v>
      </c>
      <c r="L2033" s="1" t="s">
        <v>9076</v>
      </c>
      <c r="M2033" s="1">
        <v>89</v>
      </c>
      <c r="N2033" s="1" t="s">
        <v>9059</v>
      </c>
      <c r="O2033" s="1" t="s">
        <v>8989</v>
      </c>
      <c r="P2033" s="1" t="e">
        <v>#N/A</v>
      </c>
      <c r="Q2033" s="1" t="e">
        <v>#N/A</v>
      </c>
      <c r="R2033" s="1">
        <f t="shared" si="592"/>
        <v>11</v>
      </c>
      <c r="S2033" s="1" t="str">
        <f t="shared" si="593"/>
        <v>&gt;7</v>
      </c>
      <c r="T2033" s="1" t="s">
        <v>20657</v>
      </c>
      <c r="U2033" s="1" t="s">
        <v>17</v>
      </c>
      <c r="V2033" s="1" t="s">
        <v>5441</v>
      </c>
      <c r="W2033" s="1"/>
    </row>
    <row r="2034" spans="1:23" x14ac:dyDescent="0.2">
      <c r="A2034" s="88" t="s">
        <v>17270</v>
      </c>
      <c r="B2034" s="1" t="e">
        <v>#N/A</v>
      </c>
      <c r="C2034" s="1" t="s">
        <v>14338</v>
      </c>
      <c r="D2034" s="1" t="s">
        <v>5442</v>
      </c>
      <c r="E2034" s="1" t="s">
        <v>5443</v>
      </c>
      <c r="F2034" s="1" t="s">
        <v>14341</v>
      </c>
      <c r="G2034" s="1" t="s">
        <v>8957</v>
      </c>
      <c r="H2034" t="s">
        <v>8959</v>
      </c>
      <c r="I2034" s="1" t="s">
        <v>9154</v>
      </c>
      <c r="J2034" s="1" t="s">
        <v>8949</v>
      </c>
      <c r="K2034" s="1" t="s">
        <v>12500</v>
      </c>
      <c r="L2034" s="1" t="s">
        <v>8973</v>
      </c>
      <c r="M2034" s="1">
        <v>270</v>
      </c>
      <c r="N2034" s="1" t="s">
        <v>8953</v>
      </c>
      <c r="O2034" s="1" t="s">
        <v>8989</v>
      </c>
      <c r="P2034" s="1" t="s">
        <v>8955</v>
      </c>
      <c r="Q2034" s="1" t="s">
        <v>8956</v>
      </c>
      <c r="R2034" s="1" t="s">
        <v>8957</v>
      </c>
      <c r="S2034" s="1" t="s">
        <v>9103</v>
      </c>
      <c r="T2034" s="1" t="s">
        <v>5444</v>
      </c>
      <c r="U2034" s="1" t="s">
        <v>4</v>
      </c>
      <c r="V2034" s="1" t="s">
        <v>126</v>
      </c>
      <c r="W2034" s="1"/>
    </row>
    <row r="2035" spans="1:23" x14ac:dyDescent="0.2">
      <c r="A2035" s="88" t="s">
        <v>17271</v>
      </c>
      <c r="B2035" s="1" t="e">
        <v>#N/A</v>
      </c>
      <c r="C2035" s="1" t="e">
        <v>#N/A</v>
      </c>
      <c r="D2035" s="1" t="s">
        <v>5445</v>
      </c>
      <c r="E2035" s="1" t="s">
        <v>5446</v>
      </c>
      <c r="F2035" s="1" t="s">
        <v>9213</v>
      </c>
      <c r="G2035" s="1" t="s">
        <v>8957</v>
      </c>
      <c r="H2035" t="s">
        <v>8959</v>
      </c>
      <c r="I2035" s="1" t="s">
        <v>9943</v>
      </c>
      <c r="J2035" s="1" t="s">
        <v>8971</v>
      </c>
      <c r="K2035" s="1" t="s">
        <v>18497</v>
      </c>
      <c r="L2035" s="1" t="s">
        <v>9133</v>
      </c>
      <c r="M2035" s="1">
        <v>450</v>
      </c>
      <c r="N2035" s="1" t="s">
        <v>8953</v>
      </c>
      <c r="O2035" s="1" t="s">
        <v>8989</v>
      </c>
      <c r="P2035" s="1" t="e">
        <v>#N/A</v>
      </c>
      <c r="Q2035" s="1" t="e">
        <v>#N/A</v>
      </c>
      <c r="R2035" s="1">
        <f>1+LEN(T2035)-LEN(SUBSTITUTE(T2035,",",))</f>
        <v>5</v>
      </c>
      <c r="S2035" s="1" t="str">
        <f>IF(R2035&gt;4,IF(R2035&lt;8,"4-7",IF(R2035&gt;7,"&gt;7")),"&lt;4")</f>
        <v>4-7</v>
      </c>
      <c r="T2035" s="1" t="s">
        <v>19701</v>
      </c>
      <c r="U2035" s="1" t="s">
        <v>7</v>
      </c>
      <c r="V2035" s="1" t="s">
        <v>210</v>
      </c>
      <c r="W2035" s="1"/>
    </row>
    <row r="2036" spans="1:23" x14ac:dyDescent="0.2">
      <c r="A2036" s="88" t="s">
        <v>17272</v>
      </c>
      <c r="B2036" s="1" t="e">
        <v>#N/A</v>
      </c>
      <c r="C2036" s="1" t="s">
        <v>11734</v>
      </c>
      <c r="D2036" s="1" t="s">
        <v>5447</v>
      </c>
      <c r="E2036" s="1" t="s">
        <v>5448</v>
      </c>
      <c r="F2036" s="1" t="s">
        <v>9213</v>
      </c>
      <c r="G2036" s="1" t="s">
        <v>8957</v>
      </c>
      <c r="H2036" t="s">
        <v>9183</v>
      </c>
      <c r="I2036" s="1" t="s">
        <v>9049</v>
      </c>
      <c r="J2036" s="1" t="s">
        <v>9050</v>
      </c>
      <c r="K2036" s="1" t="s">
        <v>9018</v>
      </c>
      <c r="L2036" s="1" t="s">
        <v>8951</v>
      </c>
      <c r="M2036" s="1">
        <v>1200</v>
      </c>
      <c r="N2036" s="1" t="s">
        <v>8953</v>
      </c>
      <c r="O2036" s="1" t="s">
        <v>8954</v>
      </c>
      <c r="P2036" s="1" t="s">
        <v>8955</v>
      </c>
      <c r="Q2036" s="1" t="s">
        <v>8956</v>
      </c>
      <c r="R2036" s="1" t="s">
        <v>8957</v>
      </c>
      <c r="S2036" s="1" t="s">
        <v>8958</v>
      </c>
      <c r="T2036" s="1" t="s">
        <v>5449</v>
      </c>
      <c r="U2036" s="1" t="s">
        <v>11</v>
      </c>
      <c r="V2036" s="1" t="s">
        <v>210</v>
      </c>
      <c r="W2036" s="1"/>
    </row>
    <row r="2037" spans="1:23" x14ac:dyDescent="0.2">
      <c r="A2037" s="94" t="s">
        <v>17273</v>
      </c>
      <c r="B2037" s="1" t="e">
        <v>#N/A</v>
      </c>
      <c r="C2037" s="1" t="e">
        <v>#N/A</v>
      </c>
      <c r="D2037" s="1" t="s">
        <v>5450</v>
      </c>
      <c r="E2037" s="1" t="s">
        <v>5451</v>
      </c>
      <c r="F2037" s="1" t="s">
        <v>10032</v>
      </c>
      <c r="G2037" s="1" t="e">
        <v>#N/A</v>
      </c>
      <c r="H2037" t="s">
        <v>8959</v>
      </c>
      <c r="I2037" s="1" t="e">
        <v>#N/A</v>
      </c>
      <c r="J2037" s="1" t="e">
        <v>#N/A</v>
      </c>
      <c r="K2037" s="1" t="e">
        <v>#N/A</v>
      </c>
      <c r="L2037" s="1" t="s">
        <v>8973</v>
      </c>
      <c r="M2037" s="1" t="e">
        <v>#N/A</v>
      </c>
      <c r="N2037" s="1"/>
      <c r="O2037" s="1" t="e">
        <v>#N/A</v>
      </c>
      <c r="P2037" s="1" t="e">
        <v>#N/A</v>
      </c>
      <c r="Q2037" s="1" t="e">
        <v>#N/A</v>
      </c>
      <c r="R2037" s="1">
        <f t="shared" ref="R2037:R2038" si="594">1+LEN(T2037)-LEN(SUBSTITUTE(T2037,",",))</f>
        <v>4</v>
      </c>
      <c r="S2037" s="1" t="str">
        <f t="shared" ref="S2037:S2038" si="595">IF(R2037&gt;4,IF(R2037&lt;8,"4-7",IF(R2037&gt;7,"&gt;7")),"&lt;4")</f>
        <v>&lt;4</v>
      </c>
      <c r="T2037" s="1" t="s">
        <v>19702</v>
      </c>
      <c r="U2037" s="1" t="s">
        <v>17</v>
      </c>
      <c r="V2037" s="1" t="s">
        <v>1651</v>
      </c>
      <c r="W2037" s="1"/>
    </row>
    <row r="2038" spans="1:23" x14ac:dyDescent="0.2">
      <c r="A2038" s="94" t="s">
        <v>17274</v>
      </c>
      <c r="B2038" s="1" t="e">
        <v>#N/A</v>
      </c>
      <c r="C2038" s="1" t="e">
        <v>#N/A</v>
      </c>
      <c r="D2038" s="1" t="s">
        <v>5452</v>
      </c>
      <c r="E2038" s="1" t="s">
        <v>5453</v>
      </c>
      <c r="F2038" s="1" t="e">
        <v>#N/A</v>
      </c>
      <c r="G2038" s="1" t="e">
        <v>#N/A</v>
      </c>
      <c r="H2038" t="e">
        <v>#N/A</v>
      </c>
      <c r="I2038" s="1" t="e">
        <v>#N/A</v>
      </c>
      <c r="J2038" s="1" t="e">
        <v>#N/A</v>
      </c>
      <c r="K2038" s="1" t="e">
        <v>#N/A</v>
      </c>
      <c r="L2038" s="1" t="e">
        <v>#N/A</v>
      </c>
      <c r="M2038" s="1" t="e">
        <v>#N/A</v>
      </c>
      <c r="N2038" s="1"/>
      <c r="O2038" s="1" t="e">
        <v>#N/A</v>
      </c>
      <c r="P2038" s="1" t="e">
        <v>#N/A</v>
      </c>
      <c r="Q2038" s="1" t="e">
        <v>#N/A</v>
      </c>
      <c r="R2038" s="1">
        <f t="shared" si="594"/>
        <v>4</v>
      </c>
      <c r="S2038" s="1" t="str">
        <f t="shared" si="595"/>
        <v>&lt;4</v>
      </c>
      <c r="T2038" s="1" t="s">
        <v>19703</v>
      </c>
      <c r="U2038" s="1" t="s">
        <v>7</v>
      </c>
      <c r="V2038" s="1" t="s">
        <v>342</v>
      </c>
      <c r="W2038" s="1"/>
    </row>
    <row r="2039" spans="1:23" x14ac:dyDescent="0.2">
      <c r="A2039" s="88" t="s">
        <v>17275</v>
      </c>
      <c r="B2039" s="1" t="e">
        <v>#N/A</v>
      </c>
      <c r="C2039" s="1" t="s">
        <v>13678</v>
      </c>
      <c r="D2039" s="1" t="s">
        <v>5454</v>
      </c>
      <c r="E2039" s="1" t="s">
        <v>5455</v>
      </c>
      <c r="F2039" s="1" t="s">
        <v>9010</v>
      </c>
      <c r="G2039" s="1" t="s">
        <v>8959</v>
      </c>
      <c r="H2039" t="s">
        <v>8959</v>
      </c>
      <c r="I2039" s="1" t="s">
        <v>9605</v>
      </c>
      <c r="J2039" s="1" t="s">
        <v>9101</v>
      </c>
      <c r="K2039" s="1" t="s">
        <v>9036</v>
      </c>
      <c r="L2039" s="1" t="s">
        <v>8951</v>
      </c>
      <c r="M2039" s="1">
        <v>1206</v>
      </c>
      <c r="N2039" s="1" t="s">
        <v>8953</v>
      </c>
      <c r="O2039" s="1" t="s">
        <v>8954</v>
      </c>
      <c r="P2039" s="1" t="s">
        <v>8955</v>
      </c>
      <c r="Q2039" s="1" t="s">
        <v>8956</v>
      </c>
      <c r="R2039" s="1" t="s">
        <v>8959</v>
      </c>
      <c r="S2039" s="1" t="s">
        <v>8958</v>
      </c>
      <c r="T2039" s="1" t="s">
        <v>5456</v>
      </c>
      <c r="U2039" s="1" t="s">
        <v>4</v>
      </c>
      <c r="V2039" s="1" t="s">
        <v>4874</v>
      </c>
      <c r="W2039" s="1"/>
    </row>
    <row r="2040" spans="1:23" x14ac:dyDescent="0.2">
      <c r="A2040" s="89" t="s">
        <v>5457</v>
      </c>
      <c r="B2040" s="1" t="e">
        <v>#N/A</v>
      </c>
      <c r="C2040" s="1" t="e">
        <v>#N/A</v>
      </c>
      <c r="D2040" s="1" t="s">
        <v>5458</v>
      </c>
      <c r="E2040" s="1" t="s">
        <v>5459</v>
      </c>
      <c r="F2040" s="1" t="e">
        <v>#N/A</v>
      </c>
      <c r="G2040" s="1" t="e">
        <v>#N/A</v>
      </c>
      <c r="H2040" t="e">
        <v>#N/A</v>
      </c>
      <c r="I2040" s="1" t="e">
        <v>#N/A</v>
      </c>
      <c r="J2040" s="1" t="e">
        <v>#N/A</v>
      </c>
      <c r="K2040" s="1" t="e">
        <v>#N/A</v>
      </c>
      <c r="L2040" s="1" t="e">
        <v>#N/A</v>
      </c>
      <c r="M2040" s="1" t="e">
        <v>#N/A</v>
      </c>
      <c r="N2040" s="1"/>
      <c r="O2040" s="1" t="e">
        <v>#N/A</v>
      </c>
      <c r="P2040" s="1" t="e">
        <v>#N/A</v>
      </c>
      <c r="Q2040" s="1" t="e">
        <v>#N/A</v>
      </c>
      <c r="R2040" s="1">
        <f>1+LEN(T2040)-LEN(SUBSTITUTE(T2040,",",))</f>
        <v>7</v>
      </c>
      <c r="S2040" s="1" t="str">
        <f>IF(R2040&gt;4,IF(R2040&lt;8,"4-7",IF(R2040&gt;7,"&gt;7")),"&lt;4")</f>
        <v>4-7</v>
      </c>
      <c r="T2040" s="1" t="s">
        <v>19704</v>
      </c>
      <c r="U2040" s="1" t="s">
        <v>7</v>
      </c>
      <c r="V2040" s="1" t="s">
        <v>5460</v>
      </c>
      <c r="W2040" s="1"/>
    </row>
    <row r="2041" spans="1:23" x14ac:dyDescent="0.2">
      <c r="A2041" s="88" t="s">
        <v>17276</v>
      </c>
      <c r="B2041" s="1" t="e">
        <v>#N/A</v>
      </c>
      <c r="C2041" s="1" t="s">
        <v>9080</v>
      </c>
      <c r="D2041" s="1" t="s">
        <v>5461</v>
      </c>
      <c r="E2041" s="1" t="s">
        <v>5462</v>
      </c>
      <c r="F2041" s="1" t="s">
        <v>9310</v>
      </c>
      <c r="G2041" s="1" t="s">
        <v>8957</v>
      </c>
      <c r="H2041" t="s">
        <v>8959</v>
      </c>
      <c r="I2041" s="1" t="s">
        <v>9083</v>
      </c>
      <c r="J2041" s="1" t="s">
        <v>8998</v>
      </c>
      <c r="K2041" s="1" t="s">
        <v>21376</v>
      </c>
      <c r="L2041" s="1" t="s">
        <v>8973</v>
      </c>
      <c r="M2041" s="1">
        <v>4993</v>
      </c>
      <c r="N2041" s="1" t="s">
        <v>8953</v>
      </c>
      <c r="O2041" s="1" t="s">
        <v>8954</v>
      </c>
      <c r="P2041" s="1" t="s">
        <v>8955</v>
      </c>
      <c r="Q2041" s="1" t="s">
        <v>8956</v>
      </c>
      <c r="R2041" s="1" t="s">
        <v>8957</v>
      </c>
      <c r="S2041" s="1" t="s">
        <v>8958</v>
      </c>
      <c r="T2041" s="1" t="s">
        <v>5463</v>
      </c>
      <c r="U2041" s="1" t="s">
        <v>7</v>
      </c>
      <c r="V2041" s="1" t="s">
        <v>184</v>
      </c>
      <c r="W2041" s="1"/>
    </row>
    <row r="2042" spans="1:23" x14ac:dyDescent="0.2">
      <c r="A2042" s="88" t="s">
        <v>17277</v>
      </c>
      <c r="B2042" s="1" t="e">
        <v>#N/A</v>
      </c>
      <c r="C2042" s="1" t="e">
        <v>#N/A</v>
      </c>
      <c r="D2042" s="1" t="s">
        <v>5464</v>
      </c>
      <c r="E2042" s="1" t="s">
        <v>5465</v>
      </c>
      <c r="F2042" s="1" t="s">
        <v>18502</v>
      </c>
      <c r="G2042" s="1" t="s">
        <v>8959</v>
      </c>
      <c r="H2042" t="s">
        <v>9061</v>
      </c>
      <c r="I2042" s="1" t="s">
        <v>8984</v>
      </c>
      <c r="J2042" s="1" t="s">
        <v>9155</v>
      </c>
      <c r="K2042" s="1" t="s">
        <v>18497</v>
      </c>
      <c r="L2042" s="1" t="s">
        <v>8987</v>
      </c>
      <c r="M2042" s="1">
        <v>1375</v>
      </c>
      <c r="N2042" s="1" t="s">
        <v>8953</v>
      </c>
      <c r="O2042" s="1" t="s">
        <v>8989</v>
      </c>
      <c r="P2042" s="1" t="e">
        <v>#N/A</v>
      </c>
      <c r="Q2042" s="1" t="e">
        <v>#N/A</v>
      </c>
      <c r="R2042" s="1">
        <f t="shared" ref="R2042:R2043" si="596">1+LEN(T2042)-LEN(SUBSTITUTE(T2042,",",))</f>
        <v>8</v>
      </c>
      <c r="S2042" s="1" t="str">
        <f t="shared" ref="S2042:S2043" si="597">IF(R2042&gt;4,IF(R2042&lt;8,"4-7",IF(R2042&gt;7,"&gt;7")),"&lt;4")</f>
        <v>&gt;7</v>
      </c>
      <c r="T2042" s="1" t="s">
        <v>19705</v>
      </c>
      <c r="U2042" s="1" t="s">
        <v>7</v>
      </c>
      <c r="V2042" s="1" t="s">
        <v>4870</v>
      </c>
      <c r="W2042" s="1"/>
    </row>
    <row r="2043" spans="1:23" x14ac:dyDescent="0.2">
      <c r="A2043" s="88" t="s">
        <v>17278</v>
      </c>
      <c r="B2043" s="1" t="e">
        <v>#N/A</v>
      </c>
      <c r="C2043" s="1" t="e">
        <v>#N/A</v>
      </c>
      <c r="D2043" s="1" t="s">
        <v>5466</v>
      </c>
      <c r="E2043" s="1" t="s">
        <v>5467</v>
      </c>
      <c r="F2043" s="1" t="s">
        <v>9310</v>
      </c>
      <c r="G2043" s="1" t="s">
        <v>8959</v>
      </c>
      <c r="H2043" t="s">
        <v>9061</v>
      </c>
      <c r="I2043" s="1" t="s">
        <v>9035</v>
      </c>
      <c r="J2043" s="1" t="s">
        <v>8998</v>
      </c>
      <c r="K2043" s="1" t="s">
        <v>10492</v>
      </c>
      <c r="L2043" s="1" t="s">
        <v>8951</v>
      </c>
      <c r="M2043" s="1">
        <f>96+14435</f>
        <v>14531</v>
      </c>
      <c r="N2043" s="1" t="s">
        <v>9059</v>
      </c>
      <c r="O2043" s="1" t="s">
        <v>8954</v>
      </c>
      <c r="P2043" s="1" t="e">
        <v>#N/A</v>
      </c>
      <c r="Q2043" s="1" t="e">
        <v>#N/A</v>
      </c>
      <c r="R2043" s="1">
        <f t="shared" si="596"/>
        <v>14</v>
      </c>
      <c r="S2043" s="1" t="str">
        <f t="shared" si="597"/>
        <v>&gt;7</v>
      </c>
      <c r="T2043" s="1" t="s">
        <v>19706</v>
      </c>
      <c r="U2043" s="1" t="s">
        <v>7</v>
      </c>
      <c r="V2043" s="1" t="s">
        <v>147</v>
      </c>
      <c r="W2043" s="1"/>
    </row>
    <row r="2044" spans="1:23" x14ac:dyDescent="0.2">
      <c r="A2044" s="88" t="s">
        <v>17279</v>
      </c>
      <c r="B2044" s="1" t="e">
        <v>#N/A</v>
      </c>
      <c r="C2044" s="1" t="s">
        <v>12645</v>
      </c>
      <c r="D2044" s="1" t="s">
        <v>5468</v>
      </c>
      <c r="E2044" s="1" t="s">
        <v>5469</v>
      </c>
      <c r="F2044" s="1" t="s">
        <v>9010</v>
      </c>
      <c r="G2044" s="1" t="s">
        <v>9060</v>
      </c>
      <c r="H2044" t="s">
        <v>9009</v>
      </c>
      <c r="I2044" s="1" t="s">
        <v>8984</v>
      </c>
      <c r="J2044" s="1" t="s">
        <v>9101</v>
      </c>
      <c r="K2044" s="1" t="s">
        <v>9658</v>
      </c>
      <c r="L2044" s="1" t="s">
        <v>9292</v>
      </c>
      <c r="M2044" s="1">
        <v>33</v>
      </c>
      <c r="N2044" s="1" t="s">
        <v>8953</v>
      </c>
      <c r="O2044" s="1" t="s">
        <v>8989</v>
      </c>
      <c r="P2044" s="1" t="s">
        <v>8955</v>
      </c>
      <c r="Q2044" s="1" t="s">
        <v>8956</v>
      </c>
      <c r="R2044" s="1" t="s">
        <v>9060</v>
      </c>
      <c r="S2044" s="1" t="s">
        <v>8958</v>
      </c>
      <c r="T2044" s="1" t="s">
        <v>5470</v>
      </c>
      <c r="U2044" s="1" t="s">
        <v>11</v>
      </c>
      <c r="V2044" s="1" t="s">
        <v>110</v>
      </c>
      <c r="W2044" s="1"/>
    </row>
    <row r="2045" spans="1:23" x14ac:dyDescent="0.2">
      <c r="A2045" s="88" t="s">
        <v>17280</v>
      </c>
      <c r="B2045" s="1" t="e">
        <v>#N/A</v>
      </c>
      <c r="C2045" s="1" t="s">
        <v>13883</v>
      </c>
      <c r="D2045" s="1" t="s">
        <v>5471</v>
      </c>
      <c r="E2045" s="1" t="s">
        <v>5472</v>
      </c>
      <c r="F2045" s="1" t="s">
        <v>9176</v>
      </c>
      <c r="G2045" s="1" t="s">
        <v>8957</v>
      </c>
      <c r="H2045" t="s">
        <v>8959</v>
      </c>
      <c r="I2045" s="1" t="s">
        <v>9035</v>
      </c>
      <c r="J2045" s="1" t="s">
        <v>8998</v>
      </c>
      <c r="K2045" s="1" t="s">
        <v>10258</v>
      </c>
      <c r="L2045" s="1" t="s">
        <v>8987</v>
      </c>
      <c r="M2045" s="1">
        <v>1010</v>
      </c>
      <c r="N2045" s="1" t="s">
        <v>9059</v>
      </c>
      <c r="O2045" s="1" t="s">
        <v>8989</v>
      </c>
      <c r="P2045" s="1" t="s">
        <v>8955</v>
      </c>
      <c r="Q2045" s="1" t="s">
        <v>8956</v>
      </c>
      <c r="R2045" s="1" t="s">
        <v>8957</v>
      </c>
      <c r="S2045" s="1" t="s">
        <v>9103</v>
      </c>
      <c r="T2045" s="1" t="s">
        <v>5473</v>
      </c>
      <c r="U2045" s="1" t="s">
        <v>4</v>
      </c>
      <c r="V2045" s="1" t="s">
        <v>64</v>
      </c>
      <c r="W2045" s="1"/>
    </row>
    <row r="2046" spans="1:23" x14ac:dyDescent="0.2">
      <c r="A2046" s="88" t="s">
        <v>17281</v>
      </c>
      <c r="B2046" s="1" t="e">
        <v>#N/A</v>
      </c>
      <c r="C2046" s="1" t="s">
        <v>10325</v>
      </c>
      <c r="D2046" s="1" t="s">
        <v>5474</v>
      </c>
      <c r="E2046" s="1" t="s">
        <v>5475</v>
      </c>
      <c r="F2046" s="1" t="s">
        <v>9852</v>
      </c>
      <c r="G2046" s="1" t="s">
        <v>9060</v>
      </c>
      <c r="H2046" t="s">
        <v>8959</v>
      </c>
      <c r="I2046" s="1" t="s">
        <v>9173</v>
      </c>
      <c r="J2046" s="1" t="s">
        <v>9174</v>
      </c>
      <c r="K2046" s="1" t="s">
        <v>10328</v>
      </c>
      <c r="L2046" s="1" t="s">
        <v>8973</v>
      </c>
      <c r="M2046" s="1">
        <v>61280</v>
      </c>
      <c r="N2046" s="1" t="s">
        <v>8953</v>
      </c>
      <c r="O2046" s="1" t="s">
        <v>8954</v>
      </c>
      <c r="P2046" s="1" t="s">
        <v>8955</v>
      </c>
      <c r="Q2046" s="1" t="s">
        <v>8956</v>
      </c>
      <c r="R2046" s="1" t="s">
        <v>9060</v>
      </c>
      <c r="S2046" s="1" t="s">
        <v>8958</v>
      </c>
      <c r="T2046" s="1" t="s">
        <v>5476</v>
      </c>
      <c r="U2046" s="1" t="s">
        <v>17</v>
      </c>
      <c r="V2046" s="1" t="s">
        <v>200</v>
      </c>
      <c r="W2046" s="1"/>
    </row>
    <row r="2047" spans="1:23" x14ac:dyDescent="0.2">
      <c r="A2047" s="88" t="s">
        <v>17282</v>
      </c>
      <c r="B2047" s="1" t="e">
        <v>#N/A</v>
      </c>
      <c r="C2047" s="1" t="e">
        <v>#N/A</v>
      </c>
      <c r="D2047" s="1" t="s">
        <v>5477</v>
      </c>
      <c r="E2047" s="1" t="s">
        <v>5478</v>
      </c>
      <c r="F2047" s="1" t="s">
        <v>18502</v>
      </c>
      <c r="G2047" s="1" t="s">
        <v>8957</v>
      </c>
      <c r="H2047" t="s">
        <v>8959</v>
      </c>
      <c r="I2047" s="1" t="s">
        <v>9100</v>
      </c>
      <c r="J2047" s="1" t="s">
        <v>8949</v>
      </c>
      <c r="K2047" s="1" t="s">
        <v>20918</v>
      </c>
      <c r="L2047" s="1" t="s">
        <v>9157</v>
      </c>
      <c r="M2047" s="1">
        <f>68+25</f>
        <v>93</v>
      </c>
      <c r="N2047" s="1" t="s">
        <v>9059</v>
      </c>
      <c r="O2047" s="1" t="s">
        <v>8989</v>
      </c>
      <c r="P2047" s="1" t="e">
        <v>#N/A</v>
      </c>
      <c r="Q2047" s="1" t="e">
        <v>#N/A</v>
      </c>
      <c r="R2047" s="1">
        <f>1+LEN(T2047)-LEN(SUBSTITUTE(T2047,",",))</f>
        <v>10</v>
      </c>
      <c r="S2047" s="1" t="str">
        <f>IF(R2047&gt;4,IF(R2047&lt;8,"4-7",IF(R2047&gt;7,"&gt;7")),"&lt;4")</f>
        <v>&gt;7</v>
      </c>
      <c r="T2047" s="1" t="s">
        <v>19707</v>
      </c>
      <c r="U2047" s="1" t="s">
        <v>17</v>
      </c>
      <c r="V2047" s="1" t="s">
        <v>24</v>
      </c>
      <c r="W2047" s="1"/>
    </row>
    <row r="2048" spans="1:23" x14ac:dyDescent="0.2">
      <c r="A2048" s="88" t="s">
        <v>17283</v>
      </c>
      <c r="B2048" s="1" t="e">
        <v>#N/A</v>
      </c>
      <c r="C2048" s="1" t="s">
        <v>11872</v>
      </c>
      <c r="D2048" s="1" t="s">
        <v>5479</v>
      </c>
      <c r="E2048" s="1" t="s">
        <v>5480</v>
      </c>
      <c r="F2048" s="1" t="s">
        <v>9010</v>
      </c>
      <c r="G2048" s="1" t="s">
        <v>8959</v>
      </c>
      <c r="H2048" t="s">
        <v>9061</v>
      </c>
      <c r="I2048" s="1" t="s">
        <v>8948</v>
      </c>
      <c r="J2048" s="1" t="s">
        <v>9155</v>
      </c>
      <c r="K2048" s="1" t="s">
        <v>11875</v>
      </c>
      <c r="L2048" s="1" t="s">
        <v>8987</v>
      </c>
      <c r="M2048" s="1">
        <v>22</v>
      </c>
      <c r="N2048" s="1" t="s">
        <v>8953</v>
      </c>
      <c r="O2048" s="1" t="s">
        <v>8954</v>
      </c>
      <c r="P2048" s="1" t="s">
        <v>8955</v>
      </c>
      <c r="Q2048" s="1" t="s">
        <v>8956</v>
      </c>
      <c r="R2048" s="1" t="s">
        <v>8959</v>
      </c>
      <c r="S2048" s="1" t="s">
        <v>8958</v>
      </c>
      <c r="T2048" s="1" t="s">
        <v>5481</v>
      </c>
      <c r="U2048" s="1" t="s">
        <v>4</v>
      </c>
      <c r="V2048" s="1" t="s">
        <v>921</v>
      </c>
      <c r="W2048" s="1"/>
    </row>
    <row r="2049" spans="1:23" x14ac:dyDescent="0.2">
      <c r="A2049" s="88" t="s">
        <v>17284</v>
      </c>
      <c r="B2049" s="1" t="e">
        <v>#N/A</v>
      </c>
      <c r="C2049" s="1" t="s">
        <v>12020</v>
      </c>
      <c r="D2049" s="1" t="s">
        <v>5482</v>
      </c>
      <c r="E2049" s="1" t="s">
        <v>5483</v>
      </c>
      <c r="F2049" s="1" t="s">
        <v>9310</v>
      </c>
      <c r="G2049" s="1" t="s">
        <v>8957</v>
      </c>
      <c r="H2049" t="s">
        <v>9183</v>
      </c>
      <c r="I2049" s="1" t="s">
        <v>8948</v>
      </c>
      <c r="J2049" s="1" t="s">
        <v>9155</v>
      </c>
      <c r="K2049" s="1" t="s">
        <v>11875</v>
      </c>
      <c r="L2049" s="1" t="s">
        <v>9133</v>
      </c>
      <c r="M2049" s="1">
        <v>16</v>
      </c>
      <c r="N2049" s="1" t="s">
        <v>9059</v>
      </c>
      <c r="O2049" s="1" t="s">
        <v>8954</v>
      </c>
      <c r="P2049" s="1" t="s">
        <v>8955</v>
      </c>
      <c r="Q2049" s="1" t="s">
        <v>8956</v>
      </c>
      <c r="R2049" s="1" t="s">
        <v>8957</v>
      </c>
      <c r="S2049" s="1" t="s">
        <v>8975</v>
      </c>
      <c r="T2049" s="1" t="s">
        <v>5484</v>
      </c>
      <c r="U2049" s="1" t="s">
        <v>11</v>
      </c>
      <c r="V2049" s="1" t="s">
        <v>1076</v>
      </c>
      <c r="W2049" s="1"/>
    </row>
    <row r="2050" spans="1:23" x14ac:dyDescent="0.2">
      <c r="A2050" s="88" t="s">
        <v>17285</v>
      </c>
      <c r="B2050" s="1" t="e">
        <v>#N/A</v>
      </c>
      <c r="C2050" s="1" t="s">
        <v>14118</v>
      </c>
      <c r="D2050" s="1" t="s">
        <v>5485</v>
      </c>
      <c r="E2050" s="1" t="s">
        <v>5486</v>
      </c>
      <c r="F2050" s="1" t="s">
        <v>9010</v>
      </c>
      <c r="G2050" s="1" t="s">
        <v>8957</v>
      </c>
      <c r="H2050" t="s">
        <v>9061</v>
      </c>
      <c r="I2050" s="1" t="s">
        <v>8948</v>
      </c>
      <c r="J2050" s="1" t="s">
        <v>9155</v>
      </c>
      <c r="K2050" s="1" t="s">
        <v>9036</v>
      </c>
      <c r="L2050" s="1" t="s">
        <v>8987</v>
      </c>
      <c r="M2050" s="1">
        <v>69</v>
      </c>
      <c r="N2050" s="1" t="s">
        <v>9059</v>
      </c>
      <c r="O2050" s="1" t="s">
        <v>8989</v>
      </c>
      <c r="P2050" s="1" t="s">
        <v>8955</v>
      </c>
      <c r="Q2050" s="1" t="s">
        <v>8990</v>
      </c>
      <c r="R2050" s="1" t="s">
        <v>8957</v>
      </c>
      <c r="S2050" s="1" t="s">
        <v>8958</v>
      </c>
      <c r="T2050" s="1" t="s">
        <v>5487</v>
      </c>
      <c r="U2050" s="1" t="s">
        <v>242</v>
      </c>
      <c r="V2050" s="1" t="s">
        <v>921</v>
      </c>
      <c r="W2050" s="1"/>
    </row>
    <row r="2051" spans="1:23" x14ac:dyDescent="0.2">
      <c r="A2051" s="88" t="s">
        <v>17286</v>
      </c>
      <c r="B2051" s="1" t="e">
        <v>#N/A</v>
      </c>
      <c r="C2051" s="1" t="s">
        <v>12523</v>
      </c>
      <c r="D2051" s="1" t="s">
        <v>5488</v>
      </c>
      <c r="E2051" s="1" t="s">
        <v>5489</v>
      </c>
      <c r="F2051" s="1" t="s">
        <v>12526</v>
      </c>
      <c r="G2051" s="1" t="s">
        <v>8974</v>
      </c>
      <c r="H2051" t="s">
        <v>9009</v>
      </c>
      <c r="I2051" s="1" t="s">
        <v>8948</v>
      </c>
      <c r="J2051" s="1" t="s">
        <v>8949</v>
      </c>
      <c r="K2051" s="1" t="s">
        <v>9036</v>
      </c>
      <c r="L2051" s="1" t="s">
        <v>9292</v>
      </c>
      <c r="M2051" s="1">
        <v>222</v>
      </c>
      <c r="N2051" s="1" t="s">
        <v>9059</v>
      </c>
      <c r="O2051" s="1" t="s">
        <v>8989</v>
      </c>
      <c r="P2051" s="1" t="s">
        <v>8955</v>
      </c>
      <c r="Q2051" s="1" t="s">
        <v>8956</v>
      </c>
      <c r="R2051" s="1" t="s">
        <v>8974</v>
      </c>
      <c r="S2051" s="1" t="s">
        <v>8958</v>
      </c>
      <c r="T2051" s="1" t="s">
        <v>5490</v>
      </c>
      <c r="U2051" s="1" t="s">
        <v>11</v>
      </c>
      <c r="V2051" s="1" t="s">
        <v>544</v>
      </c>
      <c r="W2051" s="1"/>
    </row>
    <row r="2052" spans="1:23" x14ac:dyDescent="0.2">
      <c r="A2052" s="89" t="s">
        <v>5491</v>
      </c>
      <c r="B2052" s="1" t="e">
        <v>#N/A</v>
      </c>
      <c r="C2052" s="1" t="e">
        <v>#N/A</v>
      </c>
      <c r="D2052" s="5" t="s">
        <v>5492</v>
      </c>
      <c r="E2052" s="1" t="s">
        <v>5493</v>
      </c>
      <c r="F2052" s="1" t="e">
        <v>#N/A</v>
      </c>
      <c r="G2052" s="1" t="e">
        <v>#N/A</v>
      </c>
      <c r="H2052" t="e">
        <v>#N/A</v>
      </c>
      <c r="I2052" s="1" t="e">
        <v>#N/A</v>
      </c>
      <c r="J2052" s="1" t="e">
        <v>#N/A</v>
      </c>
      <c r="K2052" s="1" t="e">
        <v>#N/A</v>
      </c>
      <c r="L2052" s="1" t="e">
        <v>#N/A</v>
      </c>
      <c r="M2052" s="1" t="e">
        <v>#N/A</v>
      </c>
      <c r="N2052" s="1"/>
      <c r="O2052" s="1" t="e">
        <v>#N/A</v>
      </c>
      <c r="P2052" s="1" t="e">
        <v>#N/A</v>
      </c>
      <c r="Q2052" s="1" t="e">
        <v>#N/A</v>
      </c>
      <c r="R2052" s="1">
        <f t="shared" ref="R2052:R2053" si="598">1+LEN(T2052)-LEN(SUBSTITUTE(T2052,",",))</f>
        <v>4</v>
      </c>
      <c r="S2052" s="1" t="str">
        <f t="shared" ref="S2052:S2053" si="599">IF(R2052&gt;4,IF(R2052&lt;8,"4-7",IF(R2052&gt;7,"&gt;7")),"&lt;4")</f>
        <v>&lt;4</v>
      </c>
      <c r="T2052" s="1" t="s">
        <v>19708</v>
      </c>
      <c r="U2052" s="1" t="s">
        <v>17</v>
      </c>
      <c r="V2052" s="1" t="s">
        <v>5494</v>
      </c>
      <c r="W2052" s="1"/>
    </row>
    <row r="2053" spans="1:23" x14ac:dyDescent="0.2">
      <c r="A2053" s="88" t="s">
        <v>17287</v>
      </c>
      <c r="B2053" s="1" t="e">
        <v>#N/A</v>
      </c>
      <c r="C2053" s="1" t="e">
        <v>#N/A</v>
      </c>
      <c r="D2053" s="1" t="s">
        <v>5495</v>
      </c>
      <c r="E2053" s="1" t="s">
        <v>5496</v>
      </c>
      <c r="F2053" s="1" t="s">
        <v>18502</v>
      </c>
      <c r="G2053" s="1" t="s">
        <v>8957</v>
      </c>
      <c r="H2053" t="s">
        <v>8959</v>
      </c>
      <c r="I2053" s="1" t="s">
        <v>8948</v>
      </c>
      <c r="J2053" s="1" t="s">
        <v>8949</v>
      </c>
      <c r="K2053" s="1" t="s">
        <v>20918</v>
      </c>
      <c r="L2053" s="1" t="s">
        <v>9464</v>
      </c>
      <c r="M2053" s="1">
        <v>318</v>
      </c>
      <c r="N2053" s="1" t="s">
        <v>8953</v>
      </c>
      <c r="O2053" s="1" t="s">
        <v>8954</v>
      </c>
      <c r="P2053" s="1" t="e">
        <v>#N/A</v>
      </c>
      <c r="Q2053" s="1" t="e">
        <v>#N/A</v>
      </c>
      <c r="R2053" s="1">
        <f t="shared" si="598"/>
        <v>3</v>
      </c>
      <c r="S2053" s="1" t="str">
        <f t="shared" si="599"/>
        <v>&lt;4</v>
      </c>
      <c r="T2053" s="1" t="s">
        <v>19709</v>
      </c>
      <c r="U2053" s="1" t="s">
        <v>17</v>
      </c>
      <c r="V2053" s="1" t="s">
        <v>5497</v>
      </c>
      <c r="W2053" s="1"/>
    </row>
    <row r="2054" spans="1:23" x14ac:dyDescent="0.2">
      <c r="A2054" s="88" t="s">
        <v>17288</v>
      </c>
      <c r="B2054" s="1" t="e">
        <v>#N/A</v>
      </c>
      <c r="C2054" s="1" t="s">
        <v>13210</v>
      </c>
      <c r="D2054" s="1" t="s">
        <v>5498</v>
      </c>
      <c r="E2054" s="1" t="s">
        <v>5499</v>
      </c>
      <c r="F2054" s="1" t="s">
        <v>9333</v>
      </c>
      <c r="G2054" s="1" t="s">
        <v>9060</v>
      </c>
      <c r="H2054" t="s">
        <v>8959</v>
      </c>
      <c r="I2054" s="1" t="s">
        <v>9605</v>
      </c>
      <c r="J2054" s="1" t="s">
        <v>9121</v>
      </c>
      <c r="K2054" s="1" t="s">
        <v>9036</v>
      </c>
      <c r="L2054" s="1" t="s">
        <v>8987</v>
      </c>
      <c r="M2054" s="1">
        <v>1400</v>
      </c>
      <c r="N2054" s="1" t="s">
        <v>8953</v>
      </c>
      <c r="O2054" s="1" t="s">
        <v>8989</v>
      </c>
      <c r="P2054" s="1" t="s">
        <v>8955</v>
      </c>
      <c r="Q2054" s="1" t="s">
        <v>8956</v>
      </c>
      <c r="R2054" s="1" t="s">
        <v>9060</v>
      </c>
      <c r="S2054" s="1" t="s">
        <v>8958</v>
      </c>
      <c r="T2054" s="1" t="s">
        <v>5500</v>
      </c>
      <c r="U2054" s="1" t="s">
        <v>11</v>
      </c>
      <c r="V2054" s="1" t="s">
        <v>5501</v>
      </c>
      <c r="W2054" s="1"/>
    </row>
    <row r="2055" spans="1:23" x14ac:dyDescent="0.2">
      <c r="A2055" s="88" t="s">
        <v>17289</v>
      </c>
      <c r="B2055" s="1" t="e">
        <v>#N/A</v>
      </c>
      <c r="C2055" s="1" t="e">
        <v>#N/A</v>
      </c>
      <c r="D2055" s="1" t="s">
        <v>5502</v>
      </c>
      <c r="E2055" s="1" t="s">
        <v>5503</v>
      </c>
      <c r="F2055" s="1" t="s">
        <v>9310</v>
      </c>
      <c r="G2055" s="1" t="s">
        <v>8957</v>
      </c>
      <c r="H2055" t="s">
        <v>8959</v>
      </c>
      <c r="I2055" s="1" t="s">
        <v>9035</v>
      </c>
      <c r="J2055" s="1" t="s">
        <v>8998</v>
      </c>
      <c r="K2055" s="1" t="s">
        <v>18489</v>
      </c>
      <c r="L2055" s="1" t="s">
        <v>9157</v>
      </c>
      <c r="M2055" s="1">
        <f>164998+4935</f>
        <v>169933</v>
      </c>
      <c r="N2055" s="1" t="s">
        <v>8953</v>
      </c>
      <c r="O2055" s="1" t="s">
        <v>8954</v>
      </c>
      <c r="P2055" s="1" t="e">
        <v>#N/A</v>
      </c>
      <c r="Q2055" s="1" t="e">
        <v>#N/A</v>
      </c>
      <c r="R2055" s="1">
        <f>1+LEN(T2055)-LEN(SUBSTITUTE(T2055,",",))</f>
        <v>18</v>
      </c>
      <c r="S2055" s="1" t="str">
        <f>IF(R2055&gt;4,IF(R2055&lt;8,"4-7",IF(R2055&gt;7,"&gt;7")),"&lt;4")</f>
        <v>&gt;7</v>
      </c>
      <c r="T2055" s="1" t="s">
        <v>19710</v>
      </c>
      <c r="U2055" s="1" t="s">
        <v>7</v>
      </c>
      <c r="V2055" s="1" t="s">
        <v>4369</v>
      </c>
      <c r="W2055" s="1"/>
    </row>
    <row r="2056" spans="1:23" x14ac:dyDescent="0.2">
      <c r="A2056" s="88" t="s">
        <v>17290</v>
      </c>
      <c r="B2056" s="1" t="e">
        <v>#N/A</v>
      </c>
      <c r="C2056" s="1" t="s">
        <v>12000</v>
      </c>
      <c r="D2056" s="1" t="s">
        <v>5504</v>
      </c>
      <c r="E2056" s="1" t="s">
        <v>5505</v>
      </c>
      <c r="F2056" s="1" t="s">
        <v>9310</v>
      </c>
      <c r="G2056" s="1" t="s">
        <v>8957</v>
      </c>
      <c r="H2056" t="s">
        <v>9183</v>
      </c>
      <c r="I2056" s="1" t="s">
        <v>8984</v>
      </c>
      <c r="J2056" s="1" t="s">
        <v>8998</v>
      </c>
      <c r="K2056" s="1" t="s">
        <v>9658</v>
      </c>
      <c r="L2056" s="1" t="s">
        <v>8987</v>
      </c>
      <c r="M2056" s="1">
        <v>231</v>
      </c>
      <c r="N2056" s="1" t="s">
        <v>8953</v>
      </c>
      <c r="O2056" s="1" t="s">
        <v>8954</v>
      </c>
      <c r="P2056" s="1" t="s">
        <v>8955</v>
      </c>
      <c r="Q2056" s="1" t="s">
        <v>8956</v>
      </c>
      <c r="R2056" s="1" t="s">
        <v>8957</v>
      </c>
      <c r="S2056" s="1" t="s">
        <v>8975</v>
      </c>
      <c r="T2056" s="1" t="s">
        <v>5506</v>
      </c>
      <c r="U2056" s="1" t="s">
        <v>17</v>
      </c>
      <c r="V2056" s="1" t="s">
        <v>27</v>
      </c>
      <c r="W2056" s="1"/>
    </row>
    <row r="2057" spans="1:23" x14ac:dyDescent="0.2">
      <c r="A2057" s="88" t="s">
        <v>17291</v>
      </c>
      <c r="B2057" s="1" t="e">
        <v>#N/A</v>
      </c>
      <c r="C2057" s="1" t="e">
        <v>#N/A</v>
      </c>
      <c r="D2057" s="1" t="s">
        <v>5507</v>
      </c>
      <c r="E2057" s="1" t="s">
        <v>5508</v>
      </c>
      <c r="F2057" s="1" t="s">
        <v>9333</v>
      </c>
      <c r="G2057" s="1" t="s">
        <v>8959</v>
      </c>
      <c r="H2057" t="s">
        <v>8959</v>
      </c>
      <c r="I2057" s="1" t="s">
        <v>9035</v>
      </c>
      <c r="J2057" s="1" t="s">
        <v>9725</v>
      </c>
      <c r="K2057" s="1" t="s">
        <v>20736</v>
      </c>
      <c r="L2057" s="1" t="s">
        <v>9157</v>
      </c>
      <c r="M2057" s="1">
        <v>205</v>
      </c>
      <c r="N2057" s="1" t="s">
        <v>8953</v>
      </c>
      <c r="O2057" s="1" t="s">
        <v>8954</v>
      </c>
      <c r="P2057" s="1" t="e">
        <v>#N/A</v>
      </c>
      <c r="Q2057" s="1" t="e">
        <v>#N/A</v>
      </c>
      <c r="R2057" s="1">
        <f>1+LEN(T2057)-LEN(SUBSTITUTE(T2057,",",))</f>
        <v>2</v>
      </c>
      <c r="S2057" s="1" t="str">
        <f>IF(R2057&gt;4,IF(R2057&lt;8,"4-7",IF(R2057&gt;7,"&gt;7")),"&lt;4")</f>
        <v>&lt;4</v>
      </c>
      <c r="T2057" s="1" t="s">
        <v>19711</v>
      </c>
      <c r="U2057" s="1" t="s">
        <v>7</v>
      </c>
      <c r="V2057" s="1" t="s">
        <v>2434</v>
      </c>
      <c r="W2057" s="1"/>
    </row>
    <row r="2058" spans="1:23" x14ac:dyDescent="0.2">
      <c r="A2058" s="88" t="s">
        <v>17292</v>
      </c>
      <c r="B2058" s="1" t="e">
        <v>#N/A</v>
      </c>
      <c r="C2058" s="1" t="s">
        <v>10199</v>
      </c>
      <c r="D2058" s="1" t="s">
        <v>5509</v>
      </c>
      <c r="E2058" s="1" t="s">
        <v>5510</v>
      </c>
      <c r="F2058" s="1" t="s">
        <v>9380</v>
      </c>
      <c r="G2058" s="1" t="s">
        <v>9060</v>
      </c>
      <c r="H2058" t="s">
        <v>8959</v>
      </c>
      <c r="I2058" s="1" t="s">
        <v>9075</v>
      </c>
      <c r="J2058" s="1" t="s">
        <v>9422</v>
      </c>
      <c r="K2058" s="1" t="s">
        <v>9036</v>
      </c>
      <c r="L2058" s="1" t="s">
        <v>9157</v>
      </c>
      <c r="M2058" s="1">
        <v>231</v>
      </c>
      <c r="N2058" s="1" t="s">
        <v>9059</v>
      </c>
      <c r="O2058" s="1" t="s">
        <v>8989</v>
      </c>
      <c r="P2058" s="1" t="s">
        <v>8955</v>
      </c>
      <c r="Q2058" s="1" t="s">
        <v>8956</v>
      </c>
      <c r="R2058" s="1" t="s">
        <v>9060</v>
      </c>
      <c r="S2058" s="1" t="s">
        <v>8975</v>
      </c>
      <c r="T2058" s="1" t="s">
        <v>5511</v>
      </c>
      <c r="U2058" s="1" t="s">
        <v>17</v>
      </c>
      <c r="V2058" s="1" t="s">
        <v>1918</v>
      </c>
      <c r="W2058" s="1"/>
    </row>
    <row r="2059" spans="1:23" x14ac:dyDescent="0.2">
      <c r="A2059" s="88" t="s">
        <v>17293</v>
      </c>
      <c r="B2059" s="1" t="e">
        <v>#N/A</v>
      </c>
      <c r="C2059" s="1" t="s">
        <v>12695</v>
      </c>
      <c r="D2059" s="1" t="s">
        <v>5512</v>
      </c>
      <c r="E2059" s="1" t="s">
        <v>5513</v>
      </c>
      <c r="F2059" s="1" t="s">
        <v>9010</v>
      </c>
      <c r="G2059" s="1" t="s">
        <v>9060</v>
      </c>
      <c r="H2059" t="s">
        <v>9009</v>
      </c>
      <c r="I2059" s="1" t="s">
        <v>9154</v>
      </c>
      <c r="J2059" s="1" t="s">
        <v>9269</v>
      </c>
      <c r="K2059" s="1" t="s">
        <v>9036</v>
      </c>
      <c r="L2059" s="1" t="s">
        <v>8987</v>
      </c>
      <c r="M2059" s="1">
        <v>209</v>
      </c>
      <c r="N2059" s="1" t="s">
        <v>9059</v>
      </c>
      <c r="O2059" s="1" t="s">
        <v>8989</v>
      </c>
      <c r="P2059" s="1" t="s">
        <v>8955</v>
      </c>
      <c r="Q2059" s="1" t="s">
        <v>8956</v>
      </c>
      <c r="R2059" s="1" t="s">
        <v>9060</v>
      </c>
      <c r="S2059" s="1" t="s">
        <v>8958</v>
      </c>
      <c r="T2059" s="1" t="s">
        <v>5514</v>
      </c>
      <c r="U2059" s="1" t="s">
        <v>11</v>
      </c>
      <c r="V2059" s="1" t="s">
        <v>110</v>
      </c>
      <c r="W2059" s="1"/>
    </row>
    <row r="2060" spans="1:23" x14ac:dyDescent="0.2">
      <c r="A2060" s="88" t="s">
        <v>17294</v>
      </c>
      <c r="B2060" s="1" t="e">
        <v>#N/A</v>
      </c>
      <c r="C2060" s="1" t="e">
        <v>#N/A</v>
      </c>
      <c r="D2060" s="1" t="s">
        <v>5515</v>
      </c>
      <c r="E2060" s="1" t="s">
        <v>5516</v>
      </c>
      <c r="F2060" s="1" t="s">
        <v>9333</v>
      </c>
      <c r="G2060" s="1" t="s">
        <v>8957</v>
      </c>
      <c r="H2060" t="s">
        <v>9183</v>
      </c>
      <c r="I2060" s="1" t="s">
        <v>9100</v>
      </c>
      <c r="J2060" s="1" t="s">
        <v>8998</v>
      </c>
      <c r="K2060" s="1" t="s">
        <v>10492</v>
      </c>
      <c r="L2060" s="1" t="s">
        <v>9157</v>
      </c>
      <c r="M2060" s="1">
        <v>324</v>
      </c>
      <c r="N2060" s="1" t="s">
        <v>9059</v>
      </c>
      <c r="O2060" s="1" t="s">
        <v>8954</v>
      </c>
      <c r="P2060" s="1" t="e">
        <v>#N/A</v>
      </c>
      <c r="Q2060" s="1" t="e">
        <v>#N/A</v>
      </c>
      <c r="R2060" s="1">
        <f t="shared" ref="R2060:R2063" si="600">1+LEN(T2060)-LEN(SUBSTITUTE(T2060,",",))</f>
        <v>16</v>
      </c>
      <c r="S2060" s="1" t="str">
        <f t="shared" ref="S2060:S2063" si="601">IF(R2060&gt;4,IF(R2060&lt;8,"4-7",IF(R2060&gt;7,"&gt;7")),"&lt;4")</f>
        <v>&gt;7</v>
      </c>
      <c r="T2060" s="1" t="s">
        <v>19712</v>
      </c>
      <c r="U2060" s="1" t="s">
        <v>7</v>
      </c>
      <c r="V2060" s="1" t="s">
        <v>544</v>
      </c>
      <c r="W2060" s="1"/>
    </row>
    <row r="2061" spans="1:23" x14ac:dyDescent="0.2">
      <c r="A2061" s="89" t="s">
        <v>5517</v>
      </c>
      <c r="B2061" s="1" t="e">
        <v>#N/A</v>
      </c>
      <c r="C2061" s="1" t="e">
        <v>#N/A</v>
      </c>
      <c r="D2061" s="1" t="s">
        <v>5518</v>
      </c>
      <c r="E2061" s="1" t="s">
        <v>5519</v>
      </c>
      <c r="F2061" s="1" t="e">
        <v>#N/A</v>
      </c>
      <c r="G2061" s="1" t="e">
        <v>#N/A</v>
      </c>
      <c r="H2061" t="e">
        <v>#N/A</v>
      </c>
      <c r="I2061" s="1" t="e">
        <v>#N/A</v>
      </c>
      <c r="J2061" s="1" t="e">
        <v>#N/A</v>
      </c>
      <c r="K2061" s="1" t="e">
        <v>#N/A</v>
      </c>
      <c r="L2061" s="1" t="e">
        <v>#N/A</v>
      </c>
      <c r="M2061" s="1" t="e">
        <v>#N/A</v>
      </c>
      <c r="N2061" s="1"/>
      <c r="O2061" s="1" t="e">
        <v>#N/A</v>
      </c>
      <c r="P2061" s="1" t="e">
        <v>#N/A</v>
      </c>
      <c r="Q2061" s="1" t="e">
        <v>#N/A</v>
      </c>
      <c r="R2061" s="1">
        <f t="shared" si="600"/>
        <v>4</v>
      </c>
      <c r="S2061" s="1" t="str">
        <f t="shared" si="601"/>
        <v>&lt;4</v>
      </c>
      <c r="T2061" s="1" t="s">
        <v>19713</v>
      </c>
      <c r="U2061" s="1" t="s">
        <v>17</v>
      </c>
      <c r="V2061" s="1" t="s">
        <v>5520</v>
      </c>
      <c r="W2061" s="1"/>
    </row>
    <row r="2062" spans="1:23" x14ac:dyDescent="0.2">
      <c r="A2062" s="89" t="s">
        <v>17295</v>
      </c>
      <c r="B2062" s="1" t="e">
        <v>#N/A</v>
      </c>
      <c r="C2062" s="1" t="e">
        <v>#N/A</v>
      </c>
      <c r="D2062" s="1" t="s">
        <v>5521</v>
      </c>
      <c r="E2062" s="1" t="s">
        <v>5522</v>
      </c>
      <c r="F2062" s="1" t="s">
        <v>18502</v>
      </c>
      <c r="G2062" s="1" t="e">
        <v>#N/A</v>
      </c>
      <c r="H2062" t="s">
        <v>9061</v>
      </c>
      <c r="I2062" s="1" t="s">
        <v>9252</v>
      </c>
      <c r="J2062" s="1" t="e">
        <v>#N/A</v>
      </c>
      <c r="K2062" s="1" t="e">
        <v>#N/A</v>
      </c>
      <c r="L2062" s="1" t="e">
        <v>#N/A</v>
      </c>
      <c r="M2062" s="1" t="e">
        <v>#N/A</v>
      </c>
      <c r="N2062" s="1"/>
      <c r="O2062" s="1" t="e">
        <v>#N/A</v>
      </c>
      <c r="P2062" s="1" t="e">
        <v>#N/A</v>
      </c>
      <c r="Q2062" s="1" t="e">
        <v>#N/A</v>
      </c>
      <c r="R2062" s="1">
        <f t="shared" si="600"/>
        <v>1</v>
      </c>
      <c r="S2062" s="1" t="str">
        <f t="shared" si="601"/>
        <v>&lt;4</v>
      </c>
      <c r="U2062" s="1" t="s">
        <v>11</v>
      </c>
      <c r="V2062" s="1" t="s">
        <v>174</v>
      </c>
      <c r="W2062" s="1"/>
    </row>
    <row r="2063" spans="1:23" x14ac:dyDescent="0.2">
      <c r="A2063" s="89" t="s">
        <v>17296</v>
      </c>
      <c r="B2063" s="1" t="e">
        <v>#N/A</v>
      </c>
      <c r="C2063" s="1" t="e">
        <v>#N/A</v>
      </c>
      <c r="D2063" s="1" t="s">
        <v>5523</v>
      </c>
      <c r="E2063" s="1" t="s">
        <v>5524</v>
      </c>
      <c r="F2063" s="1" t="e">
        <v>#N/A</v>
      </c>
      <c r="G2063" s="1" t="e">
        <v>#N/A</v>
      </c>
      <c r="H2063" t="e">
        <v>#N/A</v>
      </c>
      <c r="I2063" s="1" t="e">
        <v>#N/A</v>
      </c>
      <c r="J2063" s="1" t="e">
        <v>#N/A</v>
      </c>
      <c r="K2063" s="1" t="e">
        <v>#N/A</v>
      </c>
      <c r="L2063" s="1" t="e">
        <v>#N/A</v>
      </c>
      <c r="M2063" s="1" t="e">
        <v>#N/A</v>
      </c>
      <c r="N2063" s="1"/>
      <c r="O2063" s="1" t="e">
        <v>#N/A</v>
      </c>
      <c r="P2063" s="1" t="e">
        <v>#N/A</v>
      </c>
      <c r="Q2063" s="1" t="e">
        <v>#N/A</v>
      </c>
      <c r="R2063" s="1">
        <f t="shared" si="600"/>
        <v>4</v>
      </c>
      <c r="S2063" s="1" t="str">
        <f t="shared" si="601"/>
        <v>&lt;4</v>
      </c>
      <c r="T2063" s="1" t="s">
        <v>19714</v>
      </c>
      <c r="U2063" s="1" t="s">
        <v>11</v>
      </c>
      <c r="V2063" s="1" t="s">
        <v>5525</v>
      </c>
      <c r="W2063" s="1"/>
    </row>
    <row r="2064" spans="1:23" x14ac:dyDescent="0.2">
      <c r="A2064" s="88" t="s">
        <v>17297</v>
      </c>
      <c r="B2064" s="1" t="e">
        <v>#N/A</v>
      </c>
      <c r="C2064" s="1" t="s">
        <v>10969</v>
      </c>
      <c r="D2064" s="1" t="s">
        <v>5526</v>
      </c>
      <c r="E2064" s="1" t="s">
        <v>5527</v>
      </c>
      <c r="F2064" s="1" t="s">
        <v>9333</v>
      </c>
      <c r="G2064" s="1" t="s">
        <v>8959</v>
      </c>
      <c r="H2064" t="s">
        <v>9183</v>
      </c>
      <c r="I2064" s="1" t="s">
        <v>8948</v>
      </c>
      <c r="J2064" s="1" t="s">
        <v>9308</v>
      </c>
      <c r="K2064" s="1" t="s">
        <v>9036</v>
      </c>
      <c r="L2064" s="1" t="s">
        <v>8951</v>
      </c>
      <c r="M2064" s="1">
        <v>219</v>
      </c>
      <c r="N2064" s="1" t="s">
        <v>8953</v>
      </c>
      <c r="O2064" s="1" t="s">
        <v>8954</v>
      </c>
      <c r="P2064" s="1" t="s">
        <v>8955</v>
      </c>
      <c r="Q2064" s="1" t="s">
        <v>8956</v>
      </c>
      <c r="R2064" s="1" t="s">
        <v>8959</v>
      </c>
      <c r="S2064" s="1" t="s">
        <v>8958</v>
      </c>
      <c r="T2064" s="1" t="s">
        <v>5528</v>
      </c>
      <c r="U2064" s="1" t="s">
        <v>17</v>
      </c>
      <c r="V2064" s="1" t="s">
        <v>4316</v>
      </c>
      <c r="W2064" s="1"/>
    </row>
    <row r="2065" spans="1:23" x14ac:dyDescent="0.2">
      <c r="A2065" s="88" t="s">
        <v>17298</v>
      </c>
      <c r="B2065" s="1" t="e">
        <v>#N/A</v>
      </c>
      <c r="C2065" s="1" t="e">
        <v>#N/A</v>
      </c>
      <c r="D2065" s="1" t="s">
        <v>5529</v>
      </c>
      <c r="E2065" s="1" t="s">
        <v>5530</v>
      </c>
      <c r="F2065" s="1" t="s">
        <v>9333</v>
      </c>
      <c r="G2065" s="1" t="s">
        <v>8957</v>
      </c>
      <c r="H2065" t="s">
        <v>8959</v>
      </c>
      <c r="I2065" s="1" t="s">
        <v>9605</v>
      </c>
      <c r="J2065" s="1" t="s">
        <v>9101</v>
      </c>
      <c r="K2065" s="1" t="s">
        <v>10525</v>
      </c>
      <c r="L2065" s="1" t="s">
        <v>9292</v>
      </c>
      <c r="M2065" s="1">
        <f>795+1333</f>
        <v>2128</v>
      </c>
      <c r="N2065" s="1" t="s">
        <v>8953</v>
      </c>
      <c r="O2065" s="1" t="s">
        <v>8989</v>
      </c>
      <c r="P2065" s="1" t="e">
        <v>#N/A</v>
      </c>
      <c r="Q2065" s="1" t="e">
        <v>#N/A</v>
      </c>
      <c r="R2065" s="1">
        <f t="shared" ref="R2065:R2069" si="602">1+LEN(T2065)-LEN(SUBSTITUTE(T2065,",",))</f>
        <v>5</v>
      </c>
      <c r="S2065" s="1" t="str">
        <f t="shared" ref="S2065:S2069" si="603">IF(R2065&gt;4,IF(R2065&lt;8,"4-7",IF(R2065&gt;7,"&gt;7")),"&lt;4")</f>
        <v>4-7</v>
      </c>
      <c r="T2065" s="1" t="s">
        <v>19715</v>
      </c>
      <c r="U2065" s="1" t="s">
        <v>17</v>
      </c>
      <c r="V2065" s="1" t="s">
        <v>110</v>
      </c>
      <c r="W2065" s="1"/>
    </row>
    <row r="2066" spans="1:23" x14ac:dyDescent="0.2">
      <c r="A2066" s="88" t="s">
        <v>17299</v>
      </c>
      <c r="B2066" s="1" t="e">
        <v>#N/A</v>
      </c>
      <c r="C2066" s="1" t="e">
        <v>#N/A</v>
      </c>
      <c r="D2066" s="1" t="s">
        <v>5531</v>
      </c>
      <c r="E2066" s="1" t="s">
        <v>5532</v>
      </c>
      <c r="F2066" s="1" t="s">
        <v>9317</v>
      </c>
      <c r="G2066" s="1" t="s">
        <v>8957</v>
      </c>
      <c r="H2066" t="s">
        <v>9061</v>
      </c>
      <c r="I2066" s="1" t="s">
        <v>9100</v>
      </c>
      <c r="J2066" s="1" t="s">
        <v>8959</v>
      </c>
      <c r="K2066" s="1" t="s">
        <v>18497</v>
      </c>
      <c r="L2066" s="1" t="s">
        <v>8951</v>
      </c>
      <c r="M2066" s="1">
        <v>42</v>
      </c>
      <c r="N2066" s="1" t="s">
        <v>20919</v>
      </c>
      <c r="O2066" s="1" t="s">
        <v>8989</v>
      </c>
      <c r="P2066" s="1" t="e">
        <v>#N/A</v>
      </c>
      <c r="Q2066" s="1" t="e">
        <v>#N/A</v>
      </c>
      <c r="R2066" s="1">
        <f t="shared" si="602"/>
        <v>12</v>
      </c>
      <c r="S2066" s="1" t="str">
        <f t="shared" si="603"/>
        <v>&gt;7</v>
      </c>
      <c r="T2066" s="1" t="s">
        <v>19716</v>
      </c>
      <c r="U2066" s="1" t="s">
        <v>7</v>
      </c>
      <c r="V2066" s="1" t="s">
        <v>24</v>
      </c>
      <c r="W2066" s="1"/>
    </row>
    <row r="2067" spans="1:23" x14ac:dyDescent="0.2">
      <c r="A2067" s="88" t="s">
        <v>17300</v>
      </c>
      <c r="B2067" s="1" t="e">
        <v>#N/A</v>
      </c>
      <c r="C2067" s="1" t="e">
        <v>#N/A</v>
      </c>
      <c r="D2067" s="1" t="s">
        <v>5533</v>
      </c>
      <c r="E2067" s="1" t="s">
        <v>5534</v>
      </c>
      <c r="F2067" s="1" t="s">
        <v>9333</v>
      </c>
      <c r="G2067" s="1" t="s">
        <v>8959</v>
      </c>
      <c r="H2067" t="s">
        <v>8959</v>
      </c>
      <c r="I2067" s="1" t="s">
        <v>9035</v>
      </c>
      <c r="J2067" s="1" t="s">
        <v>8959</v>
      </c>
      <c r="K2067" s="1" t="s">
        <v>21377</v>
      </c>
      <c r="L2067" s="1" t="s">
        <v>20920</v>
      </c>
      <c r="M2067" s="1">
        <f>770+1120</f>
        <v>1890</v>
      </c>
      <c r="N2067" s="1" t="s">
        <v>8953</v>
      </c>
      <c r="O2067" s="1" t="s">
        <v>8989</v>
      </c>
      <c r="P2067" s="1" t="e">
        <v>#N/A</v>
      </c>
      <c r="Q2067" s="1" t="e">
        <v>#N/A</v>
      </c>
      <c r="R2067" s="1">
        <f t="shared" si="602"/>
        <v>4</v>
      </c>
      <c r="S2067" s="1" t="str">
        <f t="shared" si="603"/>
        <v>&lt;4</v>
      </c>
      <c r="T2067" s="1" t="s">
        <v>19717</v>
      </c>
      <c r="U2067" s="1" t="s">
        <v>7</v>
      </c>
      <c r="V2067" s="1" t="s">
        <v>46</v>
      </c>
      <c r="W2067" s="1"/>
    </row>
    <row r="2068" spans="1:23" x14ac:dyDescent="0.2">
      <c r="A2068" s="89" t="s">
        <v>5535</v>
      </c>
      <c r="B2068" s="1" t="e">
        <v>#N/A</v>
      </c>
      <c r="C2068" s="1" t="e">
        <v>#N/A</v>
      </c>
      <c r="D2068" s="1" t="s">
        <v>5536</v>
      </c>
      <c r="E2068" s="1" t="s">
        <v>5537</v>
      </c>
      <c r="F2068" s="1" t="e">
        <v>#N/A</v>
      </c>
      <c r="G2068" s="1" t="e">
        <v>#N/A</v>
      </c>
      <c r="H2068" t="e">
        <v>#N/A</v>
      </c>
      <c r="I2068" s="1" t="e">
        <v>#N/A</v>
      </c>
      <c r="J2068" s="1" t="e">
        <v>#N/A</v>
      </c>
      <c r="K2068" s="1" t="e">
        <v>#N/A</v>
      </c>
      <c r="L2068" s="1" t="e">
        <v>#N/A</v>
      </c>
      <c r="M2068" s="1" t="e">
        <v>#N/A</v>
      </c>
      <c r="N2068" s="1"/>
      <c r="O2068" s="1" t="e">
        <v>#N/A</v>
      </c>
      <c r="P2068" s="1" t="e">
        <v>#N/A</v>
      </c>
      <c r="Q2068" s="1" t="e">
        <v>#N/A</v>
      </c>
      <c r="R2068" s="1">
        <f t="shared" si="602"/>
        <v>5</v>
      </c>
      <c r="S2068" s="1" t="str">
        <f t="shared" si="603"/>
        <v>4-7</v>
      </c>
      <c r="T2068" s="1" t="s">
        <v>19718</v>
      </c>
      <c r="U2068" s="1" t="s">
        <v>4</v>
      </c>
      <c r="V2068" s="1" t="s">
        <v>3152</v>
      </c>
      <c r="W2068" s="1"/>
    </row>
    <row r="2069" spans="1:23" x14ac:dyDescent="0.2">
      <c r="A2069" s="88" t="s">
        <v>17301</v>
      </c>
      <c r="B2069" s="1" t="e">
        <v>#N/A</v>
      </c>
      <c r="C2069" s="1" t="e">
        <v>#N/A</v>
      </c>
      <c r="D2069" s="1" t="s">
        <v>5538</v>
      </c>
      <c r="E2069" s="1" t="s">
        <v>5539</v>
      </c>
      <c r="F2069" s="1" t="s">
        <v>9380</v>
      </c>
      <c r="G2069" s="1" t="s">
        <v>9060</v>
      </c>
      <c r="H2069" t="s">
        <v>9009</v>
      </c>
      <c r="I2069" s="1" t="s">
        <v>9100</v>
      </c>
      <c r="J2069" s="1" t="s">
        <v>8949</v>
      </c>
      <c r="K2069" s="1" t="e">
        <v>#N/A</v>
      </c>
      <c r="L2069" s="1" t="s">
        <v>8973</v>
      </c>
      <c r="M2069" s="1">
        <v>452</v>
      </c>
      <c r="N2069" s="1" t="s">
        <v>8953</v>
      </c>
      <c r="O2069" s="1" t="s">
        <v>8954</v>
      </c>
      <c r="P2069" s="1" t="e">
        <v>#N/A</v>
      </c>
      <c r="Q2069" s="1" t="e">
        <v>#N/A</v>
      </c>
      <c r="R2069" s="1">
        <f t="shared" si="602"/>
        <v>24</v>
      </c>
      <c r="S2069" s="1" t="str">
        <f t="shared" si="603"/>
        <v>&gt;7</v>
      </c>
      <c r="T2069" s="1" t="s">
        <v>19719</v>
      </c>
      <c r="U2069" s="1" t="s">
        <v>17</v>
      </c>
      <c r="V2069" s="1" t="s">
        <v>392</v>
      </c>
      <c r="W2069" s="1"/>
    </row>
    <row r="2070" spans="1:23" x14ac:dyDescent="0.2">
      <c r="A2070" s="88" t="s">
        <v>17302</v>
      </c>
      <c r="B2070" s="1" t="e">
        <v>#N/A</v>
      </c>
      <c r="C2070" s="1" t="s">
        <v>11492</v>
      </c>
      <c r="D2070" s="1" t="s">
        <v>5540</v>
      </c>
      <c r="E2070" s="1" t="s">
        <v>5541</v>
      </c>
      <c r="F2070" s="1" t="s">
        <v>9333</v>
      </c>
      <c r="G2070" s="1" t="s">
        <v>8957</v>
      </c>
      <c r="H2070" t="s">
        <v>9061</v>
      </c>
      <c r="I2070" s="1" t="s">
        <v>8948</v>
      </c>
      <c r="J2070" s="1" t="s">
        <v>8949</v>
      </c>
      <c r="K2070" s="1" t="s">
        <v>10165</v>
      </c>
      <c r="L2070" s="1" t="s">
        <v>8987</v>
      </c>
      <c r="M2070" s="1">
        <v>78</v>
      </c>
      <c r="N2070" s="1" t="s">
        <v>9059</v>
      </c>
      <c r="O2070" s="1" t="s">
        <v>8989</v>
      </c>
      <c r="P2070" s="1" t="s">
        <v>8955</v>
      </c>
      <c r="Q2070" s="1" t="s">
        <v>8956</v>
      </c>
      <c r="R2070" s="1" t="s">
        <v>8957</v>
      </c>
      <c r="S2070" s="1" t="s">
        <v>8975</v>
      </c>
      <c r="T2070" s="1" t="s">
        <v>5542</v>
      </c>
      <c r="U2070" s="1" t="s">
        <v>11</v>
      </c>
      <c r="V2070" s="1" t="s">
        <v>2172</v>
      </c>
      <c r="W2070" s="1"/>
    </row>
    <row r="2071" spans="1:23" x14ac:dyDescent="0.2">
      <c r="A2071" s="88" t="s">
        <v>17303</v>
      </c>
      <c r="B2071" s="1" t="e">
        <v>#N/A</v>
      </c>
      <c r="C2071" s="1" t="s">
        <v>9352</v>
      </c>
      <c r="D2071" s="1" t="s">
        <v>5543</v>
      </c>
      <c r="E2071" s="1" t="s">
        <v>5544</v>
      </c>
      <c r="F2071" s="1" t="s">
        <v>9333</v>
      </c>
      <c r="G2071" s="1" t="s">
        <v>8957</v>
      </c>
      <c r="H2071" t="s">
        <v>9061</v>
      </c>
      <c r="I2071" s="1" t="s">
        <v>8948</v>
      </c>
      <c r="J2071" s="1" t="s">
        <v>8949</v>
      </c>
      <c r="K2071" s="1" t="s">
        <v>9355</v>
      </c>
      <c r="L2071" s="1" t="s">
        <v>9133</v>
      </c>
      <c r="M2071" s="1">
        <v>3000</v>
      </c>
      <c r="N2071" s="1" t="s">
        <v>8953</v>
      </c>
      <c r="O2071" s="1" t="s">
        <v>8989</v>
      </c>
      <c r="P2071" s="1" t="s">
        <v>8955</v>
      </c>
      <c r="Q2071" s="1" t="s">
        <v>8956</v>
      </c>
      <c r="R2071" s="1" t="s">
        <v>8957</v>
      </c>
      <c r="S2071" s="1" t="s">
        <v>8975</v>
      </c>
      <c r="T2071" s="1" t="s">
        <v>5545</v>
      </c>
      <c r="U2071" s="1" t="s">
        <v>7</v>
      </c>
      <c r="V2071" s="1" t="s">
        <v>3658</v>
      </c>
      <c r="W2071" s="1"/>
    </row>
    <row r="2072" spans="1:23" x14ac:dyDescent="0.2">
      <c r="A2072" s="88" t="s">
        <v>17304</v>
      </c>
      <c r="B2072" s="1" t="e">
        <v>#N/A</v>
      </c>
      <c r="C2072" s="1" t="s">
        <v>14967</v>
      </c>
      <c r="D2072" s="1" t="s">
        <v>5546</v>
      </c>
      <c r="E2072" s="1" t="s">
        <v>5547</v>
      </c>
      <c r="F2072" s="1" t="s">
        <v>9333</v>
      </c>
      <c r="G2072" s="1" t="s">
        <v>8957</v>
      </c>
      <c r="H2072" t="s">
        <v>9061</v>
      </c>
      <c r="I2072" s="1" t="s">
        <v>8948</v>
      </c>
      <c r="J2072" s="1" t="s">
        <v>8998</v>
      </c>
      <c r="K2072" s="1" t="s">
        <v>8972</v>
      </c>
      <c r="L2072" s="1" t="s">
        <v>9464</v>
      </c>
      <c r="M2072" s="1">
        <v>3600</v>
      </c>
      <c r="N2072" s="1" t="s">
        <v>8953</v>
      </c>
      <c r="O2072" s="1" t="s">
        <v>8954</v>
      </c>
      <c r="P2072" s="1" t="s">
        <v>8955</v>
      </c>
      <c r="Q2072" s="1" t="s">
        <v>8956</v>
      </c>
      <c r="R2072" s="1" t="s">
        <v>8957</v>
      </c>
      <c r="S2072" s="1" t="s">
        <v>8958</v>
      </c>
      <c r="T2072" s="1" t="s">
        <v>5548</v>
      </c>
      <c r="U2072" s="1" t="s">
        <v>17</v>
      </c>
      <c r="V2072" s="1" t="s">
        <v>93</v>
      </c>
      <c r="W2072" s="1"/>
    </row>
    <row r="2073" spans="1:23" x14ac:dyDescent="0.2">
      <c r="A2073" s="88" t="s">
        <v>17305</v>
      </c>
      <c r="B2073" s="1" t="e">
        <v>#N/A</v>
      </c>
      <c r="C2073" s="1" t="s">
        <v>13314</v>
      </c>
      <c r="D2073" s="1" t="s">
        <v>5549</v>
      </c>
      <c r="E2073" s="1" t="s">
        <v>5550</v>
      </c>
      <c r="F2073" s="1" t="s">
        <v>10873</v>
      </c>
      <c r="G2073" s="1" t="s">
        <v>8957</v>
      </c>
      <c r="H2073" t="s">
        <v>8959</v>
      </c>
      <c r="I2073" s="1" t="s">
        <v>9049</v>
      </c>
      <c r="J2073" s="1" t="s">
        <v>9422</v>
      </c>
      <c r="K2073" s="1" t="s">
        <v>9599</v>
      </c>
      <c r="L2073" s="1" t="s">
        <v>8987</v>
      </c>
      <c r="M2073" s="1">
        <v>25</v>
      </c>
      <c r="N2073" s="1" t="s">
        <v>8953</v>
      </c>
      <c r="O2073" s="1" t="s">
        <v>8989</v>
      </c>
      <c r="P2073" s="1" t="s">
        <v>8955</v>
      </c>
      <c r="Q2073" s="1" t="s">
        <v>8956</v>
      </c>
      <c r="R2073" s="1" t="s">
        <v>8957</v>
      </c>
      <c r="S2073" s="1" t="s">
        <v>8958</v>
      </c>
      <c r="T2073" s="1" t="s">
        <v>5551</v>
      </c>
      <c r="U2073" s="1" t="s">
        <v>4</v>
      </c>
      <c r="V2073" s="1" t="s">
        <v>210</v>
      </c>
      <c r="W2073" s="1"/>
    </row>
    <row r="2074" spans="1:23" x14ac:dyDescent="0.2">
      <c r="A2074" s="89" t="s">
        <v>17306</v>
      </c>
      <c r="B2074" s="1" t="e">
        <v>#N/A</v>
      </c>
      <c r="C2074" s="1" t="e">
        <v>#N/A</v>
      </c>
      <c r="D2074" s="1" t="s">
        <v>5552</v>
      </c>
      <c r="E2074" s="1" t="s">
        <v>5553</v>
      </c>
      <c r="F2074" s="1" t="e">
        <v>#N/A</v>
      </c>
      <c r="G2074" s="1" t="e">
        <v>#N/A</v>
      </c>
      <c r="H2074" t="e">
        <v>#N/A</v>
      </c>
      <c r="I2074" s="1" t="e">
        <v>#N/A</v>
      </c>
      <c r="J2074" s="1" t="e">
        <v>#N/A</v>
      </c>
      <c r="K2074" s="1" t="e">
        <v>#N/A</v>
      </c>
      <c r="L2074" s="1" t="e">
        <v>#N/A</v>
      </c>
      <c r="M2074" s="1" t="e">
        <v>#N/A</v>
      </c>
      <c r="N2074" s="1"/>
      <c r="O2074" s="1" t="e">
        <v>#N/A</v>
      </c>
      <c r="P2074" s="1" t="e">
        <v>#N/A</v>
      </c>
      <c r="Q2074" s="1" t="e">
        <v>#N/A</v>
      </c>
      <c r="R2074" s="1">
        <f t="shared" ref="R2074:R2075" si="604">1+LEN(T2074)-LEN(SUBSTITUTE(T2074,",",))</f>
        <v>6</v>
      </c>
      <c r="S2074" s="1" t="str">
        <f t="shared" ref="S2074:S2075" si="605">IF(R2074&gt;4,IF(R2074&lt;8,"4-7",IF(R2074&gt;7,"&gt;7")),"&lt;4")</f>
        <v>4-7</v>
      </c>
      <c r="T2074" s="1" t="s">
        <v>19720</v>
      </c>
      <c r="U2074" s="1" t="s">
        <v>7</v>
      </c>
      <c r="V2074" s="1" t="s">
        <v>5554</v>
      </c>
      <c r="W2074" s="1"/>
    </row>
    <row r="2075" spans="1:23" x14ac:dyDescent="0.2">
      <c r="A2075" s="88" t="s">
        <v>17307</v>
      </c>
      <c r="B2075" s="1" t="e">
        <v>#N/A</v>
      </c>
      <c r="C2075" s="1" t="e">
        <v>#N/A</v>
      </c>
      <c r="D2075" s="1" t="s">
        <v>5555</v>
      </c>
      <c r="E2075" s="1" t="s">
        <v>5556</v>
      </c>
      <c r="F2075" s="1" t="s">
        <v>9246</v>
      </c>
      <c r="G2075" s="1" t="s">
        <v>9060</v>
      </c>
      <c r="H2075" t="s">
        <v>9061</v>
      </c>
      <c r="I2075" s="1" t="s">
        <v>20712</v>
      </c>
      <c r="J2075" s="1" t="s">
        <v>9155</v>
      </c>
      <c r="K2075" s="1" t="s">
        <v>18497</v>
      </c>
      <c r="L2075" s="1" t="s">
        <v>8951</v>
      </c>
      <c r="M2075" s="1">
        <f>672+61+400</f>
        <v>1133</v>
      </c>
      <c r="N2075" s="1" t="s">
        <v>8953</v>
      </c>
      <c r="O2075" s="1" t="s">
        <v>8954</v>
      </c>
      <c r="P2075" s="1" t="e">
        <v>#N/A</v>
      </c>
      <c r="Q2075" s="1" t="e">
        <v>#N/A</v>
      </c>
      <c r="R2075" s="1">
        <f t="shared" si="604"/>
        <v>9</v>
      </c>
      <c r="S2075" s="1" t="str">
        <f t="shared" si="605"/>
        <v>&gt;7</v>
      </c>
      <c r="T2075" s="1" t="s">
        <v>19721</v>
      </c>
      <c r="U2075" s="1" t="s">
        <v>7</v>
      </c>
      <c r="V2075" s="1" t="s">
        <v>61</v>
      </c>
      <c r="W2075" s="1"/>
    </row>
    <row r="2076" spans="1:23" x14ac:dyDescent="0.2">
      <c r="A2076" s="88" t="s">
        <v>17308</v>
      </c>
      <c r="B2076" s="1" t="e">
        <v>#N/A</v>
      </c>
      <c r="C2076" s="1" t="s">
        <v>12716</v>
      </c>
      <c r="D2076" s="1" t="s">
        <v>5557</v>
      </c>
      <c r="E2076" s="1" t="s">
        <v>5558</v>
      </c>
      <c r="F2076" s="1" t="s">
        <v>9010</v>
      </c>
      <c r="G2076" s="1" t="s">
        <v>8974</v>
      </c>
      <c r="H2076" t="s">
        <v>9061</v>
      </c>
      <c r="I2076" s="1" t="s">
        <v>9092</v>
      </c>
      <c r="J2076" s="1" t="s">
        <v>8949</v>
      </c>
      <c r="K2076" s="1" t="s">
        <v>8972</v>
      </c>
      <c r="L2076" s="1" t="s">
        <v>8973</v>
      </c>
      <c r="M2076" s="1">
        <v>638</v>
      </c>
      <c r="N2076" s="1" t="s">
        <v>8953</v>
      </c>
      <c r="O2076" s="1" t="s">
        <v>8954</v>
      </c>
      <c r="P2076" s="1" t="s">
        <v>8955</v>
      </c>
      <c r="Q2076" s="1" t="s">
        <v>8956</v>
      </c>
      <c r="R2076" s="1" t="s">
        <v>8974</v>
      </c>
      <c r="S2076" s="1" t="s">
        <v>9103</v>
      </c>
      <c r="T2076" s="1" t="s">
        <v>5559</v>
      </c>
      <c r="U2076" s="1" t="s">
        <v>11</v>
      </c>
      <c r="V2076" s="1" t="s">
        <v>180</v>
      </c>
      <c r="W2076" s="1"/>
    </row>
    <row r="2077" spans="1:23" x14ac:dyDescent="0.2">
      <c r="A2077" s="88" t="s">
        <v>17309</v>
      </c>
      <c r="B2077" s="1" t="e">
        <v>#N/A</v>
      </c>
      <c r="C2077" s="1" t="e">
        <v>#N/A</v>
      </c>
      <c r="D2077" s="1" t="s">
        <v>5560</v>
      </c>
      <c r="E2077" s="1" t="s">
        <v>5561</v>
      </c>
      <c r="F2077" s="1" t="s">
        <v>9636</v>
      </c>
      <c r="G2077" s="1" t="s">
        <v>8974</v>
      </c>
      <c r="H2077" t="s">
        <v>8959</v>
      </c>
      <c r="I2077" s="1" t="s">
        <v>8984</v>
      </c>
      <c r="J2077" s="1" t="s">
        <v>8998</v>
      </c>
      <c r="K2077" s="1" t="s">
        <v>21443</v>
      </c>
      <c r="L2077" s="1" t="s">
        <v>8973</v>
      </c>
      <c r="M2077" s="1">
        <v>22</v>
      </c>
      <c r="N2077" s="1" t="s">
        <v>9059</v>
      </c>
      <c r="O2077" s="1" t="s">
        <v>8989</v>
      </c>
      <c r="P2077" s="1" t="e">
        <v>#N/A</v>
      </c>
      <c r="Q2077" s="1" t="e">
        <v>#N/A</v>
      </c>
      <c r="R2077" s="1">
        <f t="shared" ref="R2077:R2079" si="606">1+LEN(T2077)-LEN(SUBSTITUTE(T2077,",",))</f>
        <v>5</v>
      </c>
      <c r="S2077" s="1" t="str">
        <f t="shared" ref="S2077:S2079" si="607">IF(R2077&gt;4,IF(R2077&lt;8,"4-7",IF(R2077&gt;7,"&gt;7")),"&lt;4")</f>
        <v>4-7</v>
      </c>
      <c r="T2077" s="1" t="s">
        <v>19722</v>
      </c>
      <c r="U2077" s="1" t="s">
        <v>17</v>
      </c>
      <c r="V2077" s="1" t="s">
        <v>61</v>
      </c>
      <c r="W2077" s="1"/>
    </row>
    <row r="2078" spans="1:23" x14ac:dyDescent="0.2">
      <c r="A2078" s="88" t="s">
        <v>17310</v>
      </c>
      <c r="B2078" s="1" t="e">
        <v>#N/A</v>
      </c>
      <c r="C2078" s="1" t="e">
        <v>#N/A</v>
      </c>
      <c r="D2078" s="1" t="s">
        <v>5562</v>
      </c>
      <c r="E2078" s="1" t="s">
        <v>5563</v>
      </c>
      <c r="F2078" s="1" t="s">
        <v>10008</v>
      </c>
      <c r="G2078" s="1" t="s">
        <v>8957</v>
      </c>
      <c r="H2078" t="s">
        <v>8959</v>
      </c>
      <c r="I2078" s="1" t="s">
        <v>9075</v>
      </c>
      <c r="J2078" s="1" t="s">
        <v>8998</v>
      </c>
      <c r="K2078" s="1" t="s">
        <v>20917</v>
      </c>
      <c r="L2078" s="1" t="s">
        <v>8987</v>
      </c>
      <c r="M2078" s="1">
        <v>908</v>
      </c>
      <c r="N2078" s="1" t="s">
        <v>8953</v>
      </c>
      <c r="O2078" s="1" t="s">
        <v>8989</v>
      </c>
      <c r="P2078" s="1" t="e">
        <v>#N/A</v>
      </c>
      <c r="Q2078" s="1" t="e">
        <v>#N/A</v>
      </c>
      <c r="R2078" s="1">
        <f t="shared" si="606"/>
        <v>5</v>
      </c>
      <c r="S2078" s="1" t="str">
        <f t="shared" si="607"/>
        <v>4-7</v>
      </c>
      <c r="T2078" s="1" t="s">
        <v>20658</v>
      </c>
      <c r="U2078" s="1" t="s">
        <v>7</v>
      </c>
      <c r="V2078" s="1" t="s">
        <v>5564</v>
      </c>
      <c r="W2078" s="1"/>
    </row>
    <row r="2079" spans="1:23" x14ac:dyDescent="0.2">
      <c r="A2079" s="94" t="s">
        <v>17311</v>
      </c>
      <c r="B2079" s="1" t="e">
        <v>#N/A</v>
      </c>
      <c r="C2079" s="1" t="e">
        <v>#N/A</v>
      </c>
      <c r="D2079" s="1" t="s">
        <v>5565</v>
      </c>
      <c r="E2079" s="1" t="s">
        <v>5566</v>
      </c>
      <c r="F2079" s="1" t="e">
        <v>#N/A</v>
      </c>
      <c r="G2079" s="1" t="e">
        <v>#N/A</v>
      </c>
      <c r="H2079" t="e">
        <v>#N/A</v>
      </c>
      <c r="I2079" s="1" t="e">
        <v>#N/A</v>
      </c>
      <c r="J2079" s="1" t="e">
        <v>#N/A</v>
      </c>
      <c r="K2079" s="1" t="e">
        <v>#N/A</v>
      </c>
      <c r="L2079" s="1" t="e">
        <v>#N/A</v>
      </c>
      <c r="M2079" s="1" t="e">
        <v>#N/A</v>
      </c>
      <c r="N2079" s="1"/>
      <c r="O2079" s="1" t="e">
        <v>#N/A</v>
      </c>
      <c r="P2079" s="1" t="e">
        <v>#N/A</v>
      </c>
      <c r="Q2079" s="1" t="e">
        <v>#N/A</v>
      </c>
      <c r="R2079" s="1">
        <f t="shared" si="606"/>
        <v>2</v>
      </c>
      <c r="S2079" s="1" t="str">
        <f t="shared" si="607"/>
        <v>&lt;4</v>
      </c>
      <c r="T2079" s="1" t="s">
        <v>19723</v>
      </c>
      <c r="U2079" s="1" t="s">
        <v>7</v>
      </c>
      <c r="V2079" s="1" t="s">
        <v>5567</v>
      </c>
      <c r="W2079" s="1"/>
    </row>
    <row r="2080" spans="1:23" x14ac:dyDescent="0.2">
      <c r="A2080" s="88" t="s">
        <v>17312</v>
      </c>
      <c r="B2080" s="1" t="e">
        <v>#N/A</v>
      </c>
      <c r="C2080" s="1" t="s">
        <v>10588</v>
      </c>
      <c r="D2080" s="1" t="s">
        <v>5568</v>
      </c>
      <c r="E2080" s="1" t="s">
        <v>5569</v>
      </c>
      <c r="F2080" s="1" t="s">
        <v>9010</v>
      </c>
      <c r="G2080" s="1" t="s">
        <v>8957</v>
      </c>
      <c r="H2080" t="s">
        <v>9061</v>
      </c>
      <c r="I2080" s="1" t="s">
        <v>9605</v>
      </c>
      <c r="J2080" s="1" t="s">
        <v>9121</v>
      </c>
      <c r="K2080" s="1" t="s">
        <v>9036</v>
      </c>
      <c r="L2080" s="1" t="s">
        <v>9292</v>
      </c>
      <c r="M2080" s="1">
        <v>558</v>
      </c>
      <c r="N2080" s="1" t="s">
        <v>8953</v>
      </c>
      <c r="O2080" s="1" t="s">
        <v>8954</v>
      </c>
      <c r="P2080" s="1" t="s">
        <v>8955</v>
      </c>
      <c r="Q2080" s="1" t="s">
        <v>8956</v>
      </c>
      <c r="R2080" s="1" t="s">
        <v>8957</v>
      </c>
      <c r="S2080" s="1" t="s">
        <v>8958</v>
      </c>
      <c r="T2080" s="1" t="s">
        <v>5570</v>
      </c>
      <c r="U2080" s="1" t="s">
        <v>17</v>
      </c>
      <c r="V2080" s="1" t="s">
        <v>93</v>
      </c>
      <c r="W2080" s="1"/>
    </row>
    <row r="2081" spans="1:23" x14ac:dyDescent="0.2">
      <c r="A2081" s="88" t="s">
        <v>17313</v>
      </c>
      <c r="B2081" s="1" t="e">
        <v>#N/A</v>
      </c>
      <c r="C2081" s="1" t="e">
        <v>#N/A</v>
      </c>
      <c r="D2081" s="1" t="s">
        <v>5571</v>
      </c>
      <c r="E2081" s="1" t="s">
        <v>5572</v>
      </c>
      <c r="F2081" s="1" t="s">
        <v>9387</v>
      </c>
      <c r="G2081" s="1" t="s">
        <v>8957</v>
      </c>
      <c r="H2081" t="s">
        <v>8959</v>
      </c>
      <c r="I2081" s="1" t="s">
        <v>9075</v>
      </c>
      <c r="J2081" s="1" t="s">
        <v>9101</v>
      </c>
      <c r="K2081" s="1" t="s">
        <v>18491</v>
      </c>
      <c r="L2081" s="1" t="s">
        <v>9076</v>
      </c>
      <c r="M2081" s="1">
        <v>18</v>
      </c>
      <c r="N2081" s="1" t="s">
        <v>9059</v>
      </c>
      <c r="O2081" s="1" t="s">
        <v>8989</v>
      </c>
      <c r="P2081" s="1" t="e">
        <v>#N/A</v>
      </c>
      <c r="Q2081" s="1" t="e">
        <v>#N/A</v>
      </c>
      <c r="R2081" s="1">
        <f t="shared" ref="R2081:R2082" si="608">1+LEN(T2081)-LEN(SUBSTITUTE(T2081,",",))</f>
        <v>10</v>
      </c>
      <c r="S2081" s="1" t="str">
        <f t="shared" ref="S2081:S2082" si="609">IF(R2081&gt;4,IF(R2081&lt;8,"4-7",IF(R2081&gt;7,"&gt;7")),"&lt;4")</f>
        <v>&gt;7</v>
      </c>
      <c r="T2081" s="1" t="s">
        <v>19724</v>
      </c>
      <c r="U2081" s="1" t="s">
        <v>7</v>
      </c>
      <c r="V2081" s="1" t="s">
        <v>2121</v>
      </c>
      <c r="W2081" s="1"/>
    </row>
    <row r="2082" spans="1:23" x14ac:dyDescent="0.2">
      <c r="A2082" s="94" t="s">
        <v>17314</v>
      </c>
      <c r="B2082" s="1" t="e">
        <v>#N/A</v>
      </c>
      <c r="C2082" s="1" t="e">
        <v>#N/A</v>
      </c>
      <c r="D2082" s="1" t="s">
        <v>5573</v>
      </c>
      <c r="E2082" s="1" t="s">
        <v>5574</v>
      </c>
      <c r="F2082" s="1" t="e">
        <v>#N/A</v>
      </c>
      <c r="G2082" s="1" t="e">
        <v>#N/A</v>
      </c>
      <c r="H2082" t="e">
        <v>#N/A</v>
      </c>
      <c r="I2082" s="1" t="e">
        <v>#N/A</v>
      </c>
      <c r="J2082" s="1" t="e">
        <v>#N/A</v>
      </c>
      <c r="K2082" s="1" t="e">
        <v>#N/A</v>
      </c>
      <c r="L2082" s="1" t="e">
        <v>#N/A</v>
      </c>
      <c r="M2082" s="1" t="e">
        <v>#N/A</v>
      </c>
      <c r="N2082" s="1"/>
      <c r="O2082" s="1" t="e">
        <v>#N/A</v>
      </c>
      <c r="P2082" s="1" t="e">
        <v>#N/A</v>
      </c>
      <c r="Q2082" s="1" t="e">
        <v>#N/A</v>
      </c>
      <c r="R2082" s="1">
        <f t="shared" si="608"/>
        <v>1</v>
      </c>
      <c r="S2082" s="1" t="str">
        <f t="shared" si="609"/>
        <v>&lt;4</v>
      </c>
      <c r="T2082" s="1" t="s">
        <v>5575</v>
      </c>
      <c r="U2082" s="1" t="s">
        <v>7</v>
      </c>
      <c r="V2082" s="1" t="s">
        <v>562</v>
      </c>
      <c r="W2082" s="1"/>
    </row>
    <row r="2083" spans="1:23" x14ac:dyDescent="0.2">
      <c r="A2083" s="88" t="s">
        <v>17315</v>
      </c>
      <c r="B2083" s="1" t="e">
        <v>#N/A</v>
      </c>
      <c r="C2083" s="1" t="s">
        <v>13893</v>
      </c>
      <c r="D2083" s="1" t="s">
        <v>5576</v>
      </c>
      <c r="E2083" s="1" t="s">
        <v>5577</v>
      </c>
      <c r="F2083" s="1" t="s">
        <v>9176</v>
      </c>
      <c r="G2083" s="1" t="s">
        <v>8959</v>
      </c>
      <c r="H2083" t="s">
        <v>9061</v>
      </c>
      <c r="I2083" s="1" t="s">
        <v>9605</v>
      </c>
      <c r="J2083" s="1" t="s">
        <v>8998</v>
      </c>
      <c r="K2083" s="1" t="s">
        <v>9036</v>
      </c>
      <c r="L2083" s="1" t="s">
        <v>8987</v>
      </c>
      <c r="M2083" s="1">
        <v>15957</v>
      </c>
      <c r="N2083" s="1" t="s">
        <v>8953</v>
      </c>
      <c r="O2083" s="1" t="s">
        <v>8989</v>
      </c>
      <c r="P2083" s="1" t="s">
        <v>8955</v>
      </c>
      <c r="Q2083" s="1" t="s">
        <v>8956</v>
      </c>
      <c r="R2083" s="1" t="s">
        <v>8959</v>
      </c>
      <c r="S2083" s="1" t="s">
        <v>8958</v>
      </c>
      <c r="T2083" s="1" t="s">
        <v>5578</v>
      </c>
      <c r="U2083" s="1" t="s">
        <v>4</v>
      </c>
      <c r="V2083" s="1" t="s">
        <v>24</v>
      </c>
      <c r="W2083" s="1"/>
    </row>
    <row r="2084" spans="1:23" x14ac:dyDescent="0.2">
      <c r="A2084" s="88" t="s">
        <v>17316</v>
      </c>
      <c r="B2084" s="1" t="e">
        <v>#N/A</v>
      </c>
      <c r="C2084" s="1" t="e">
        <v>#N/A</v>
      </c>
      <c r="D2084" s="1" t="s">
        <v>5579</v>
      </c>
      <c r="E2084" s="1" t="s">
        <v>5580</v>
      </c>
      <c r="F2084" s="1" t="s">
        <v>18502</v>
      </c>
      <c r="G2084" s="1" t="s">
        <v>9060</v>
      </c>
      <c r="H2084" t="s">
        <v>8959</v>
      </c>
      <c r="I2084" s="1" t="s">
        <v>9075</v>
      </c>
      <c r="J2084" s="1" t="s">
        <v>8998</v>
      </c>
      <c r="K2084" s="1" t="s">
        <v>9036</v>
      </c>
      <c r="L2084" s="1" t="s">
        <v>8987</v>
      </c>
      <c r="M2084" s="1">
        <v>143</v>
      </c>
      <c r="N2084" s="1" t="s">
        <v>9059</v>
      </c>
      <c r="O2084" s="1" t="s">
        <v>8989</v>
      </c>
      <c r="P2084" s="1" t="e">
        <v>#N/A</v>
      </c>
      <c r="Q2084" s="1" t="e">
        <v>#N/A</v>
      </c>
      <c r="R2084" s="1">
        <f t="shared" ref="R2084:R2091" si="610">1+LEN(T2084)-LEN(SUBSTITUTE(T2084,",",))</f>
        <v>9</v>
      </c>
      <c r="S2084" s="1" t="str">
        <f t="shared" ref="S2084:S2091" si="611">IF(R2084&gt;4,IF(R2084&lt;8,"4-7",IF(R2084&gt;7,"&gt;7")),"&lt;4")</f>
        <v>&gt;7</v>
      </c>
      <c r="T2084" s="1" t="s">
        <v>19725</v>
      </c>
      <c r="U2084" s="1" t="s">
        <v>7</v>
      </c>
      <c r="V2084" s="1" t="s">
        <v>670</v>
      </c>
      <c r="W2084" s="1"/>
    </row>
    <row r="2085" spans="1:23" x14ac:dyDescent="0.2">
      <c r="A2085" s="88" t="s">
        <v>17317</v>
      </c>
      <c r="B2085" s="1" t="e">
        <v>#N/A</v>
      </c>
      <c r="C2085" s="1" t="e">
        <v>#N/A</v>
      </c>
      <c r="D2085" s="1" t="s">
        <v>5581</v>
      </c>
      <c r="E2085" s="1" t="s">
        <v>5582</v>
      </c>
      <c r="F2085" s="1" t="s">
        <v>9333</v>
      </c>
      <c r="G2085" s="1" t="s">
        <v>8957</v>
      </c>
      <c r="H2085" t="s">
        <v>8959</v>
      </c>
      <c r="I2085" s="1" t="s">
        <v>8984</v>
      </c>
      <c r="J2085" s="1" t="s">
        <v>8998</v>
      </c>
      <c r="K2085" s="1" t="s">
        <v>10492</v>
      </c>
      <c r="L2085" s="1" t="s">
        <v>8973</v>
      </c>
      <c r="M2085" s="1">
        <v>300000</v>
      </c>
      <c r="N2085" s="1" t="s">
        <v>20915</v>
      </c>
      <c r="O2085" s="1" t="s">
        <v>8989</v>
      </c>
      <c r="P2085" s="1" t="e">
        <v>#N/A</v>
      </c>
      <c r="Q2085" s="1" t="e">
        <v>#N/A</v>
      </c>
      <c r="R2085" s="1">
        <f t="shared" si="610"/>
        <v>6</v>
      </c>
      <c r="S2085" s="1" t="str">
        <f t="shared" si="611"/>
        <v>4-7</v>
      </c>
      <c r="T2085" s="1" t="s">
        <v>19726</v>
      </c>
      <c r="U2085" s="1" t="s">
        <v>17</v>
      </c>
      <c r="V2085" s="1" t="s">
        <v>64</v>
      </c>
      <c r="W2085" s="1"/>
    </row>
    <row r="2086" spans="1:23" x14ac:dyDescent="0.2">
      <c r="A2086" s="88" t="s">
        <v>17318</v>
      </c>
      <c r="B2086" s="1" t="e">
        <v>#N/A</v>
      </c>
      <c r="C2086" s="1" t="e">
        <v>#N/A</v>
      </c>
      <c r="D2086" s="1" t="s">
        <v>5583</v>
      </c>
      <c r="E2086" s="1" t="s">
        <v>5584</v>
      </c>
      <c r="F2086" s="1" t="s">
        <v>9213</v>
      </c>
      <c r="G2086" s="1" t="s">
        <v>8957</v>
      </c>
      <c r="H2086" t="s">
        <v>8959</v>
      </c>
      <c r="I2086" s="1" t="s">
        <v>9100</v>
      </c>
      <c r="J2086" s="1" t="s">
        <v>8949</v>
      </c>
      <c r="K2086" s="1" t="s">
        <v>20921</v>
      </c>
      <c r="L2086" s="1" t="s">
        <v>8987</v>
      </c>
      <c r="M2086" s="1">
        <v>144</v>
      </c>
      <c r="N2086" s="1" t="s">
        <v>9059</v>
      </c>
      <c r="O2086" s="1" t="s">
        <v>8989</v>
      </c>
      <c r="P2086" s="1" t="e">
        <v>#N/A</v>
      </c>
      <c r="Q2086" s="1" t="e">
        <v>#N/A</v>
      </c>
      <c r="R2086" s="1">
        <f t="shared" si="610"/>
        <v>7</v>
      </c>
      <c r="S2086" s="1" t="str">
        <f t="shared" si="611"/>
        <v>4-7</v>
      </c>
      <c r="T2086" s="1" t="s">
        <v>19727</v>
      </c>
      <c r="U2086" s="1" t="s">
        <v>17</v>
      </c>
      <c r="V2086" s="1" t="s">
        <v>5585</v>
      </c>
      <c r="W2086" s="1"/>
    </row>
    <row r="2087" spans="1:23" x14ac:dyDescent="0.2">
      <c r="A2087" s="88" t="s">
        <v>17319</v>
      </c>
      <c r="B2087" s="1" t="e">
        <v>#N/A</v>
      </c>
      <c r="C2087" s="1" t="e">
        <v>#N/A</v>
      </c>
      <c r="D2087" s="1" t="s">
        <v>5586</v>
      </c>
      <c r="E2087" s="1" t="s">
        <v>5587</v>
      </c>
      <c r="F2087" s="1" t="s">
        <v>9213</v>
      </c>
      <c r="G2087" s="1" t="s">
        <v>8957</v>
      </c>
      <c r="H2087" t="s">
        <v>8959</v>
      </c>
      <c r="I2087" s="1" t="s">
        <v>9035</v>
      </c>
      <c r="J2087" s="1" t="s">
        <v>9308</v>
      </c>
      <c r="K2087" s="1" t="s">
        <v>20723</v>
      </c>
      <c r="L2087" s="1" t="s">
        <v>9133</v>
      </c>
      <c r="M2087" s="1">
        <f>138+247</f>
        <v>385</v>
      </c>
      <c r="N2087" s="1" t="s">
        <v>8953</v>
      </c>
      <c r="O2087" s="1" t="s">
        <v>8954</v>
      </c>
      <c r="P2087" s="1" t="e">
        <v>#N/A</v>
      </c>
      <c r="Q2087" s="1" t="e">
        <v>#N/A</v>
      </c>
      <c r="R2087" s="1">
        <f t="shared" si="610"/>
        <v>3</v>
      </c>
      <c r="S2087" s="1" t="str">
        <f t="shared" si="611"/>
        <v>&lt;4</v>
      </c>
      <c r="T2087" s="1" t="s">
        <v>19728</v>
      </c>
      <c r="U2087" s="1" t="s">
        <v>7</v>
      </c>
      <c r="V2087" s="1" t="s">
        <v>61</v>
      </c>
      <c r="W2087" s="1"/>
    </row>
    <row r="2088" spans="1:23" x14ac:dyDescent="0.2">
      <c r="A2088" s="88" t="s">
        <v>17320</v>
      </c>
      <c r="B2088" s="1" t="e">
        <v>#N/A</v>
      </c>
      <c r="C2088" s="1" t="e">
        <v>#N/A</v>
      </c>
      <c r="D2088" s="1" t="s">
        <v>5588</v>
      </c>
      <c r="E2088" s="1" t="s">
        <v>5589</v>
      </c>
      <c r="F2088" s="1" t="s">
        <v>9333</v>
      </c>
      <c r="G2088" s="1" t="s">
        <v>8959</v>
      </c>
      <c r="H2088" t="s">
        <v>9009</v>
      </c>
      <c r="I2088" s="1" t="s">
        <v>8948</v>
      </c>
      <c r="J2088" s="1" t="s">
        <v>9131</v>
      </c>
      <c r="K2088" s="1" t="s">
        <v>20918</v>
      </c>
      <c r="L2088" s="1" t="s">
        <v>8951</v>
      </c>
      <c r="M2088" s="1">
        <f>9591+7844+1692+3435+255+268+204</f>
        <v>23289</v>
      </c>
      <c r="N2088" s="1" t="s">
        <v>8953</v>
      </c>
      <c r="O2088" s="1" t="s">
        <v>8989</v>
      </c>
      <c r="P2088" s="1" t="e">
        <v>#N/A</v>
      </c>
      <c r="Q2088" s="1" t="e">
        <v>#N/A</v>
      </c>
      <c r="R2088" s="1">
        <f t="shared" si="610"/>
        <v>14</v>
      </c>
      <c r="S2088" s="1" t="str">
        <f t="shared" si="611"/>
        <v>&gt;7</v>
      </c>
      <c r="T2088" s="1" t="s">
        <v>19729</v>
      </c>
      <c r="U2088" s="1" t="s">
        <v>7</v>
      </c>
      <c r="V2088" s="1" t="s">
        <v>1020</v>
      </c>
      <c r="W2088" s="1"/>
    </row>
    <row r="2089" spans="1:23" x14ac:dyDescent="0.2">
      <c r="A2089" s="88" t="s">
        <v>17321</v>
      </c>
      <c r="B2089" s="1" t="e">
        <v>#N/A</v>
      </c>
      <c r="C2089" s="1" t="e">
        <v>#N/A</v>
      </c>
      <c r="D2089" s="1" t="s">
        <v>5590</v>
      </c>
      <c r="E2089" s="1" t="s">
        <v>5591</v>
      </c>
      <c r="F2089" s="1" t="s">
        <v>9333</v>
      </c>
      <c r="G2089" s="1" t="s">
        <v>8974</v>
      </c>
      <c r="H2089" t="s">
        <v>9061</v>
      </c>
      <c r="I2089" s="1" t="s">
        <v>9035</v>
      </c>
      <c r="J2089" s="1" t="s">
        <v>8998</v>
      </c>
      <c r="K2089" s="1" t="s">
        <v>20918</v>
      </c>
      <c r="L2089" s="1" t="s">
        <v>8951</v>
      </c>
      <c r="M2089" s="1">
        <f>217+32+188</f>
        <v>437</v>
      </c>
      <c r="N2089" s="1" t="s">
        <v>9059</v>
      </c>
      <c r="O2089" s="1" t="s">
        <v>8989</v>
      </c>
      <c r="P2089" s="1" t="e">
        <v>#N/A</v>
      </c>
      <c r="Q2089" s="1" t="e">
        <v>#N/A</v>
      </c>
      <c r="R2089" s="1">
        <f t="shared" si="610"/>
        <v>8</v>
      </c>
      <c r="S2089" s="1" t="str">
        <f t="shared" si="611"/>
        <v>&gt;7</v>
      </c>
      <c r="T2089" s="1" t="s">
        <v>19730</v>
      </c>
      <c r="U2089" s="1" t="s">
        <v>7</v>
      </c>
      <c r="V2089" s="1" t="s">
        <v>180</v>
      </c>
      <c r="W2089" s="1"/>
    </row>
    <row r="2090" spans="1:23" x14ac:dyDescent="0.2">
      <c r="A2090" s="89" t="s">
        <v>17322</v>
      </c>
      <c r="B2090" s="1" t="e">
        <v>#N/A</v>
      </c>
      <c r="C2090" s="1" t="e">
        <v>#N/A</v>
      </c>
      <c r="D2090" s="1" t="s">
        <v>5592</v>
      </c>
      <c r="E2090" s="1" t="s">
        <v>5593</v>
      </c>
      <c r="F2090" s="1" t="e">
        <v>#N/A</v>
      </c>
      <c r="G2090" s="1" t="e">
        <v>#N/A</v>
      </c>
      <c r="H2090" t="e">
        <v>#N/A</v>
      </c>
      <c r="I2090" s="1" t="e">
        <v>#N/A</v>
      </c>
      <c r="J2090" s="1" t="e">
        <v>#N/A</v>
      </c>
      <c r="K2090" s="1" t="e">
        <v>#N/A</v>
      </c>
      <c r="L2090" s="1" t="e">
        <v>#N/A</v>
      </c>
      <c r="M2090" s="1" t="e">
        <v>#N/A</v>
      </c>
      <c r="N2090" s="1"/>
      <c r="O2090" s="1" t="e">
        <v>#N/A</v>
      </c>
      <c r="P2090" s="1" t="e">
        <v>#N/A</v>
      </c>
      <c r="Q2090" s="1" t="e">
        <v>#N/A</v>
      </c>
      <c r="R2090" s="1">
        <f t="shared" si="610"/>
        <v>3</v>
      </c>
      <c r="S2090" s="1" t="str">
        <f t="shared" si="611"/>
        <v>&lt;4</v>
      </c>
      <c r="T2090" s="1" t="s">
        <v>19731</v>
      </c>
      <c r="U2090" s="1" t="s">
        <v>7</v>
      </c>
      <c r="V2090" s="1" t="s">
        <v>5594</v>
      </c>
      <c r="W2090" s="1"/>
    </row>
    <row r="2091" spans="1:23" x14ac:dyDescent="0.2">
      <c r="A2091" s="88" t="s">
        <v>17323</v>
      </c>
      <c r="B2091" s="1" t="e">
        <v>#N/A</v>
      </c>
      <c r="C2091" s="1" t="e">
        <v>#N/A</v>
      </c>
      <c r="D2091" s="1" t="s">
        <v>5595</v>
      </c>
      <c r="E2091" s="1" t="s">
        <v>5596</v>
      </c>
      <c r="F2091" s="1" t="s">
        <v>14748</v>
      </c>
      <c r="G2091" s="1" t="s">
        <v>8957</v>
      </c>
      <c r="H2091" t="s">
        <v>8959</v>
      </c>
      <c r="I2091" s="1" t="s">
        <v>9154</v>
      </c>
      <c r="J2091" s="1" t="s">
        <v>8949</v>
      </c>
      <c r="K2091" s="1" t="s">
        <v>10492</v>
      </c>
      <c r="L2091" s="1" t="s">
        <v>8973</v>
      </c>
      <c r="M2091" s="1">
        <v>4000</v>
      </c>
      <c r="N2091" s="1" t="s">
        <v>9059</v>
      </c>
      <c r="O2091" s="1" t="s">
        <v>8954</v>
      </c>
      <c r="P2091" s="1" t="e">
        <v>#N/A</v>
      </c>
      <c r="Q2091" s="1" t="e">
        <v>#N/A</v>
      </c>
      <c r="R2091" s="1">
        <f t="shared" si="610"/>
        <v>9</v>
      </c>
      <c r="S2091" s="1" t="str">
        <f t="shared" si="611"/>
        <v>&gt;7</v>
      </c>
      <c r="T2091" s="1" t="s">
        <v>19732</v>
      </c>
      <c r="U2091" s="1" t="s">
        <v>7</v>
      </c>
      <c r="V2091" s="1" t="s">
        <v>61</v>
      </c>
      <c r="W2091" s="1"/>
    </row>
    <row r="2092" spans="1:23" x14ac:dyDescent="0.2">
      <c r="A2092" s="88" t="s">
        <v>17324</v>
      </c>
      <c r="B2092" s="1" t="e">
        <v>#N/A</v>
      </c>
      <c r="C2092" s="1" t="s">
        <v>9823</v>
      </c>
      <c r="D2092" s="1" t="s">
        <v>5597</v>
      </c>
      <c r="E2092" s="1" t="s">
        <v>5598</v>
      </c>
      <c r="F2092" s="1" t="s">
        <v>10873</v>
      </c>
      <c r="G2092" s="1" t="s">
        <v>8957</v>
      </c>
      <c r="H2092" t="s">
        <v>8959</v>
      </c>
      <c r="I2092" s="1" t="s">
        <v>9154</v>
      </c>
      <c r="J2092" s="1" t="s">
        <v>8949</v>
      </c>
      <c r="K2092" s="1" t="s">
        <v>9826</v>
      </c>
      <c r="L2092" s="1" t="s">
        <v>8951</v>
      </c>
      <c r="M2092" s="1">
        <v>3510</v>
      </c>
      <c r="N2092" s="1" t="s">
        <v>8953</v>
      </c>
      <c r="O2092" s="1" t="s">
        <v>8989</v>
      </c>
      <c r="P2092" s="1" t="s">
        <v>8955</v>
      </c>
      <c r="Q2092" s="1" t="s">
        <v>8956</v>
      </c>
      <c r="R2092" s="1" t="s">
        <v>8957</v>
      </c>
      <c r="S2092" s="1" t="s">
        <v>8975</v>
      </c>
      <c r="T2092" s="1" t="s">
        <v>5599</v>
      </c>
      <c r="U2092" s="1" t="s">
        <v>17</v>
      </c>
      <c r="V2092" s="1" t="s">
        <v>126</v>
      </c>
      <c r="W2092" s="1"/>
    </row>
    <row r="2093" spans="1:23" x14ac:dyDescent="0.2">
      <c r="A2093" s="88" t="s">
        <v>17325</v>
      </c>
      <c r="B2093" s="1" t="e">
        <v>#N/A</v>
      </c>
      <c r="C2093" s="1" t="e">
        <v>#N/A</v>
      </c>
      <c r="D2093" s="1" t="s">
        <v>5600</v>
      </c>
      <c r="E2093" s="1" t="s">
        <v>5601</v>
      </c>
      <c r="F2093" s="1" t="s">
        <v>10873</v>
      </c>
      <c r="G2093" s="1" t="s">
        <v>8974</v>
      </c>
      <c r="H2093" t="s">
        <v>8959</v>
      </c>
      <c r="I2093" s="1" t="s">
        <v>20712</v>
      </c>
      <c r="J2093" s="1" t="s">
        <v>8998</v>
      </c>
      <c r="K2093" s="1" t="s">
        <v>10492</v>
      </c>
      <c r="L2093" s="1" t="s">
        <v>8973</v>
      </c>
      <c r="M2093" s="1">
        <f>519+242</f>
        <v>761</v>
      </c>
      <c r="N2093" s="1" t="s">
        <v>8953</v>
      </c>
      <c r="O2093" s="1" t="s">
        <v>8954</v>
      </c>
      <c r="P2093" s="1" t="e">
        <v>#N/A</v>
      </c>
      <c r="Q2093" s="1" t="e">
        <v>#N/A</v>
      </c>
      <c r="R2093" s="1">
        <f t="shared" ref="R2093:R2095" si="612">1+LEN(T2093)-LEN(SUBSTITUTE(T2093,",",))</f>
        <v>15</v>
      </c>
      <c r="S2093" s="1" t="str">
        <f t="shared" ref="S2093:S2095" si="613">IF(R2093&gt;4,IF(R2093&lt;8,"4-7",IF(R2093&gt;7,"&gt;7")),"&lt;4")</f>
        <v>&gt;7</v>
      </c>
      <c r="T2093" s="1" t="s">
        <v>19733</v>
      </c>
      <c r="U2093" s="1" t="s">
        <v>7</v>
      </c>
      <c r="V2093" s="1" t="s">
        <v>1918</v>
      </c>
      <c r="W2093" s="1"/>
    </row>
    <row r="2094" spans="1:23" x14ac:dyDescent="0.2">
      <c r="A2094" s="88" t="s">
        <v>17326</v>
      </c>
      <c r="B2094" s="1" t="e">
        <v>#N/A</v>
      </c>
      <c r="C2094" s="1" t="e">
        <v>#N/A</v>
      </c>
      <c r="D2094" s="1" t="s">
        <v>5602</v>
      </c>
      <c r="E2094" s="1" t="s">
        <v>5603</v>
      </c>
      <c r="F2094" s="1" t="s">
        <v>9246</v>
      </c>
      <c r="G2094" s="1" t="s">
        <v>8974</v>
      </c>
      <c r="H2094" t="s">
        <v>9061</v>
      </c>
      <c r="I2094" s="1" t="s">
        <v>8984</v>
      </c>
      <c r="J2094" s="1" t="s">
        <v>8949</v>
      </c>
      <c r="K2094" s="1" t="s">
        <v>10492</v>
      </c>
      <c r="L2094" s="1" t="s">
        <v>9076</v>
      </c>
      <c r="M2094" s="1">
        <v>1620</v>
      </c>
      <c r="N2094" s="1" t="s">
        <v>20915</v>
      </c>
      <c r="O2094" s="1" t="s">
        <v>8989</v>
      </c>
      <c r="P2094" s="1" t="e">
        <v>#N/A</v>
      </c>
      <c r="Q2094" s="1" t="e">
        <v>#N/A</v>
      </c>
      <c r="R2094" s="1">
        <f t="shared" si="612"/>
        <v>5</v>
      </c>
      <c r="S2094" s="1" t="str">
        <f t="shared" si="613"/>
        <v>4-7</v>
      </c>
      <c r="T2094" s="1" t="s">
        <v>19734</v>
      </c>
      <c r="U2094" s="1" t="s">
        <v>7</v>
      </c>
      <c r="V2094" s="1" t="s">
        <v>2434</v>
      </c>
      <c r="W2094" s="1"/>
    </row>
    <row r="2095" spans="1:23" x14ac:dyDescent="0.2">
      <c r="A2095" s="88" t="s">
        <v>17327</v>
      </c>
      <c r="B2095" s="1" t="e">
        <v>#N/A</v>
      </c>
      <c r="C2095" s="1" t="e">
        <v>#N/A</v>
      </c>
      <c r="D2095" s="1" t="s">
        <v>5604</v>
      </c>
      <c r="E2095" s="1" t="s">
        <v>5605</v>
      </c>
      <c r="F2095" s="1" t="s">
        <v>18502</v>
      </c>
      <c r="G2095" s="1" t="s">
        <v>8957</v>
      </c>
      <c r="H2095" t="s">
        <v>9061</v>
      </c>
      <c r="I2095" s="1" t="s">
        <v>9252</v>
      </c>
      <c r="J2095" s="1" t="s">
        <v>9155</v>
      </c>
      <c r="K2095" s="1" t="s">
        <v>10629</v>
      </c>
      <c r="L2095" s="1" t="s">
        <v>9076</v>
      </c>
      <c r="M2095" s="1">
        <f>500+1000+1500+2000+2400+1042</f>
        <v>8442</v>
      </c>
      <c r="N2095" s="1" t="s">
        <v>8953</v>
      </c>
      <c r="O2095" s="1" t="s">
        <v>8989</v>
      </c>
      <c r="P2095" s="1" t="e">
        <v>#N/A</v>
      </c>
      <c r="Q2095" s="1" t="e">
        <v>#N/A</v>
      </c>
      <c r="R2095" s="1">
        <f t="shared" si="612"/>
        <v>11</v>
      </c>
      <c r="S2095" s="1" t="str">
        <f t="shared" si="613"/>
        <v>&gt;7</v>
      </c>
      <c r="T2095" s="1" t="s">
        <v>19735</v>
      </c>
      <c r="U2095" s="1" t="s">
        <v>17</v>
      </c>
      <c r="V2095" s="1" t="s">
        <v>93</v>
      </c>
      <c r="W2095" s="1"/>
    </row>
    <row r="2096" spans="1:23" x14ac:dyDescent="0.2">
      <c r="A2096" s="88" t="s">
        <v>17328</v>
      </c>
      <c r="B2096" s="1" t="e">
        <v>#N/A</v>
      </c>
      <c r="C2096" s="1" t="s">
        <v>13763</v>
      </c>
      <c r="D2096" s="1" t="s">
        <v>5606</v>
      </c>
      <c r="E2096" s="1" t="s">
        <v>5607</v>
      </c>
      <c r="F2096" s="1" t="s">
        <v>11671</v>
      </c>
      <c r="G2096" s="1" t="s">
        <v>8957</v>
      </c>
      <c r="H2096" t="s">
        <v>9009</v>
      </c>
      <c r="I2096" s="1" t="s">
        <v>9092</v>
      </c>
      <c r="J2096" s="1" t="s">
        <v>9308</v>
      </c>
      <c r="K2096" s="1" t="s">
        <v>9018</v>
      </c>
      <c r="L2096" s="1" t="s">
        <v>9292</v>
      </c>
      <c r="M2096" s="1">
        <v>256458</v>
      </c>
      <c r="N2096" s="1" t="s">
        <v>8953</v>
      </c>
      <c r="O2096" s="1" t="s">
        <v>8954</v>
      </c>
      <c r="P2096" s="1" t="s">
        <v>8955</v>
      </c>
      <c r="Q2096" s="1" t="s">
        <v>8956</v>
      </c>
      <c r="R2096" s="1" t="s">
        <v>8957</v>
      </c>
      <c r="S2096" s="1" t="s">
        <v>8975</v>
      </c>
      <c r="T2096" s="1" t="s">
        <v>5608</v>
      </c>
      <c r="U2096" s="1" t="s">
        <v>4</v>
      </c>
      <c r="V2096" s="1" t="s">
        <v>1472</v>
      </c>
      <c r="W2096" s="1"/>
    </row>
    <row r="2097" spans="1:23" x14ac:dyDescent="0.2">
      <c r="A2097" s="88" t="s">
        <v>17329</v>
      </c>
      <c r="B2097" s="1" t="e">
        <v>#N/A</v>
      </c>
      <c r="C2097" s="1" t="e">
        <v>#N/A</v>
      </c>
      <c r="D2097" s="1" t="s">
        <v>5609</v>
      </c>
      <c r="E2097" s="1" t="s">
        <v>5610</v>
      </c>
      <c r="F2097" s="1" t="s">
        <v>18502</v>
      </c>
      <c r="G2097" s="1" t="s">
        <v>8957</v>
      </c>
      <c r="H2097" t="s">
        <v>8959</v>
      </c>
      <c r="I2097" s="1" t="s">
        <v>9154</v>
      </c>
      <c r="J2097" s="1" t="s">
        <v>8971</v>
      </c>
      <c r="K2097" s="1" t="s">
        <v>20918</v>
      </c>
      <c r="L2097" s="1" t="s">
        <v>8987</v>
      </c>
      <c r="M2097" s="1">
        <v>5104</v>
      </c>
      <c r="N2097" s="1" t="s">
        <v>20915</v>
      </c>
      <c r="O2097" s="1" t="s">
        <v>8989</v>
      </c>
      <c r="P2097" s="1" t="e">
        <v>#N/A</v>
      </c>
      <c r="Q2097" s="1" t="e">
        <v>#N/A</v>
      </c>
      <c r="R2097" s="1">
        <f t="shared" ref="R2097:R2098" si="614">1+LEN(T2097)-LEN(SUBSTITUTE(T2097,",",))</f>
        <v>5</v>
      </c>
      <c r="S2097" s="1" t="str">
        <f t="shared" ref="S2097:S2098" si="615">IF(R2097&gt;4,IF(R2097&lt;8,"4-7",IF(R2097&gt;7,"&gt;7")),"&lt;4")</f>
        <v>4-7</v>
      </c>
      <c r="T2097" s="1" t="s">
        <v>19736</v>
      </c>
      <c r="U2097" s="1" t="s">
        <v>7</v>
      </c>
      <c r="V2097" s="1" t="s">
        <v>5611</v>
      </c>
      <c r="W2097" s="1"/>
    </row>
    <row r="2098" spans="1:23" x14ac:dyDescent="0.2">
      <c r="A2098" s="88" t="s">
        <v>17330</v>
      </c>
      <c r="B2098" s="1" t="e">
        <v>#N/A</v>
      </c>
      <c r="C2098" s="1" t="e">
        <v>#N/A</v>
      </c>
      <c r="D2098" s="1" t="s">
        <v>5612</v>
      </c>
      <c r="E2098" s="1" t="s">
        <v>5613</v>
      </c>
      <c r="F2098" s="1" t="s">
        <v>9650</v>
      </c>
      <c r="G2098" s="1" t="s">
        <v>8957</v>
      </c>
      <c r="H2098" t="s">
        <v>9009</v>
      </c>
      <c r="I2098" s="1" t="s">
        <v>9100</v>
      </c>
      <c r="J2098" s="1" t="s">
        <v>8998</v>
      </c>
      <c r="K2098" s="1" t="s">
        <v>20723</v>
      </c>
      <c r="L2098" s="1" t="s">
        <v>9292</v>
      </c>
      <c r="M2098" s="1">
        <v>1453</v>
      </c>
      <c r="N2098" s="1" t="s">
        <v>9059</v>
      </c>
      <c r="O2098" s="1" t="s">
        <v>8954</v>
      </c>
      <c r="P2098" s="1" t="e">
        <v>#N/A</v>
      </c>
      <c r="Q2098" s="1" t="e">
        <v>#N/A</v>
      </c>
      <c r="R2098" s="1">
        <f t="shared" si="614"/>
        <v>13</v>
      </c>
      <c r="S2098" s="1" t="str">
        <f t="shared" si="615"/>
        <v>&gt;7</v>
      </c>
      <c r="T2098" s="1" t="s">
        <v>20659</v>
      </c>
      <c r="U2098" s="1" t="s">
        <v>7</v>
      </c>
      <c r="V2098" s="1" t="s">
        <v>544</v>
      </c>
      <c r="W2098" s="1"/>
    </row>
    <row r="2099" spans="1:23" x14ac:dyDescent="0.2">
      <c r="A2099" s="88" t="s">
        <v>17331</v>
      </c>
      <c r="B2099" s="1" t="e">
        <v>#N/A</v>
      </c>
      <c r="C2099" s="1" t="s">
        <v>10853</v>
      </c>
      <c r="D2099" s="1" t="s">
        <v>5614</v>
      </c>
      <c r="E2099" s="1" t="s">
        <v>5615</v>
      </c>
      <c r="F2099" s="1" t="s">
        <v>10873</v>
      </c>
      <c r="G2099" s="1" t="s">
        <v>8957</v>
      </c>
      <c r="H2099" t="s">
        <v>8959</v>
      </c>
      <c r="I2099" s="1" t="s">
        <v>9154</v>
      </c>
      <c r="J2099" s="1" t="s">
        <v>8971</v>
      </c>
      <c r="K2099" s="1" t="s">
        <v>9036</v>
      </c>
      <c r="L2099" s="1" t="s">
        <v>8987</v>
      </c>
      <c r="M2099" s="1">
        <v>90</v>
      </c>
      <c r="N2099" s="1" t="s">
        <v>8953</v>
      </c>
      <c r="O2099" s="1" t="s">
        <v>8954</v>
      </c>
      <c r="P2099" s="1" t="s">
        <v>8955</v>
      </c>
      <c r="Q2099" s="1" t="s">
        <v>8990</v>
      </c>
      <c r="R2099" s="1" t="s">
        <v>8957</v>
      </c>
      <c r="S2099" s="1" t="s">
        <v>8958</v>
      </c>
      <c r="T2099" s="1" t="s">
        <v>5616</v>
      </c>
      <c r="U2099" s="1" t="s">
        <v>11</v>
      </c>
      <c r="V2099" s="1" t="s">
        <v>46</v>
      </c>
      <c r="W2099" s="1"/>
    </row>
    <row r="2100" spans="1:23" x14ac:dyDescent="0.2">
      <c r="A2100" s="88" t="s">
        <v>17332</v>
      </c>
      <c r="B2100" s="1" t="e">
        <v>#N/A</v>
      </c>
      <c r="C2100" s="1" t="e">
        <v>#N/A</v>
      </c>
      <c r="D2100" s="1" t="s">
        <v>5617</v>
      </c>
      <c r="E2100" s="1" t="s">
        <v>5618</v>
      </c>
      <c r="F2100" s="1" t="s">
        <v>18502</v>
      </c>
      <c r="G2100" s="1" t="s">
        <v>8959</v>
      </c>
      <c r="H2100" t="s">
        <v>9061</v>
      </c>
      <c r="I2100" s="1" t="s">
        <v>9035</v>
      </c>
      <c r="J2100" s="1" t="s">
        <v>8998</v>
      </c>
      <c r="K2100" s="1" t="s">
        <v>21334</v>
      </c>
      <c r="L2100" s="1" t="s">
        <v>8987</v>
      </c>
      <c r="M2100" s="1">
        <v>244527</v>
      </c>
      <c r="N2100" s="1" t="s">
        <v>8953</v>
      </c>
      <c r="O2100" s="1" t="s">
        <v>8954</v>
      </c>
      <c r="P2100" s="1" t="e">
        <v>#N/A</v>
      </c>
      <c r="Q2100" s="1" t="e">
        <v>#N/A</v>
      </c>
      <c r="R2100" s="1">
        <f t="shared" ref="R2100:R2101" si="616">1+LEN(T2100)-LEN(SUBSTITUTE(T2100,",",))</f>
        <v>5</v>
      </c>
      <c r="S2100" s="1" t="str">
        <f t="shared" ref="S2100:S2101" si="617">IF(R2100&gt;4,IF(R2100&lt;8,"4-7",IF(R2100&gt;7,"&gt;7")),"&lt;4")</f>
        <v>4-7</v>
      </c>
      <c r="T2100" s="1" t="s">
        <v>19737</v>
      </c>
      <c r="U2100" s="1" t="s">
        <v>17</v>
      </c>
      <c r="V2100" s="1" t="s">
        <v>93</v>
      </c>
      <c r="W2100" s="1"/>
    </row>
    <row r="2101" spans="1:23" x14ac:dyDescent="0.2">
      <c r="A2101" s="88" t="s">
        <v>17333</v>
      </c>
      <c r="B2101" s="1" t="e">
        <v>#N/A</v>
      </c>
      <c r="C2101" s="1" t="e">
        <v>#N/A</v>
      </c>
      <c r="D2101" s="1" t="s">
        <v>5619</v>
      </c>
      <c r="E2101" s="1" t="s">
        <v>5620</v>
      </c>
      <c r="F2101" s="1" t="s">
        <v>18502</v>
      </c>
      <c r="G2101" s="1" t="s">
        <v>8957</v>
      </c>
      <c r="H2101" t="s">
        <v>9061</v>
      </c>
      <c r="I2101" s="1" t="s">
        <v>9035</v>
      </c>
      <c r="J2101" s="1" t="s">
        <v>8998</v>
      </c>
      <c r="K2101" s="1" t="s">
        <v>20922</v>
      </c>
      <c r="L2101" s="1" t="s">
        <v>9464</v>
      </c>
      <c r="M2101" s="1">
        <v>10</v>
      </c>
      <c r="N2101" s="1" t="s">
        <v>9059</v>
      </c>
      <c r="O2101" s="1" t="s">
        <v>8989</v>
      </c>
      <c r="P2101" s="1" t="e">
        <v>#N/A</v>
      </c>
      <c r="Q2101" s="1" t="e">
        <v>#N/A</v>
      </c>
      <c r="R2101" s="1">
        <f t="shared" si="616"/>
        <v>4</v>
      </c>
      <c r="S2101" s="1" t="str">
        <f t="shared" si="617"/>
        <v>&lt;4</v>
      </c>
      <c r="T2101" s="1" t="s">
        <v>19738</v>
      </c>
      <c r="U2101" s="1" t="s">
        <v>11</v>
      </c>
      <c r="V2101" s="1" t="s">
        <v>2431</v>
      </c>
      <c r="W2101" s="1"/>
    </row>
    <row r="2102" spans="1:23" x14ac:dyDescent="0.2">
      <c r="A2102" s="88" t="s">
        <v>17334</v>
      </c>
      <c r="B2102" s="1" t="e">
        <v>#N/A</v>
      </c>
      <c r="C2102" s="1" t="s">
        <v>11676</v>
      </c>
      <c r="D2102" s="1" t="s">
        <v>5621</v>
      </c>
      <c r="E2102" s="1" t="s">
        <v>5622</v>
      </c>
      <c r="F2102" s="1" t="s">
        <v>9010</v>
      </c>
      <c r="G2102" s="1" t="s">
        <v>8957</v>
      </c>
      <c r="H2102" t="s">
        <v>8959</v>
      </c>
      <c r="I2102" s="1" t="s">
        <v>8984</v>
      </c>
      <c r="J2102" s="1" t="s">
        <v>8998</v>
      </c>
      <c r="K2102" s="1" t="s">
        <v>9036</v>
      </c>
      <c r="L2102" s="1" t="s">
        <v>8951</v>
      </c>
      <c r="M2102" s="1">
        <v>504</v>
      </c>
      <c r="N2102" s="1" t="s">
        <v>8953</v>
      </c>
      <c r="O2102" s="1" t="s">
        <v>8989</v>
      </c>
      <c r="P2102" s="1" t="s">
        <v>8955</v>
      </c>
      <c r="Q2102" s="1" t="s">
        <v>8956</v>
      </c>
      <c r="R2102" s="1" t="s">
        <v>8957</v>
      </c>
      <c r="S2102" s="1" t="s">
        <v>8958</v>
      </c>
      <c r="T2102" s="1" t="s">
        <v>5623</v>
      </c>
      <c r="U2102" s="1" t="s">
        <v>11</v>
      </c>
      <c r="V2102" s="1" t="s">
        <v>53</v>
      </c>
      <c r="W2102" s="1"/>
    </row>
    <row r="2103" spans="1:23" x14ac:dyDescent="0.2">
      <c r="A2103" s="88" t="s">
        <v>17335</v>
      </c>
      <c r="B2103" s="1" t="e">
        <v>#N/A</v>
      </c>
      <c r="C2103" s="1" t="e">
        <v>#N/A</v>
      </c>
      <c r="D2103" s="1" t="s">
        <v>5624</v>
      </c>
      <c r="E2103" s="1" t="s">
        <v>5625</v>
      </c>
      <c r="F2103" s="1" t="s">
        <v>9333</v>
      </c>
      <c r="G2103" s="1" t="s">
        <v>8957</v>
      </c>
      <c r="H2103" t="s">
        <v>8959</v>
      </c>
      <c r="I2103" s="1" t="s">
        <v>9035</v>
      </c>
      <c r="J2103" s="1" t="s">
        <v>8998</v>
      </c>
      <c r="K2103" s="1" t="s">
        <v>21378</v>
      </c>
      <c r="L2103" s="1" t="s">
        <v>8987</v>
      </c>
      <c r="M2103" s="1">
        <v>60</v>
      </c>
      <c r="N2103" s="1" t="s">
        <v>9059</v>
      </c>
      <c r="O2103" s="1" t="s">
        <v>8989</v>
      </c>
      <c r="P2103" s="1" t="e">
        <v>#N/A</v>
      </c>
      <c r="Q2103" s="1" t="e">
        <v>#N/A</v>
      </c>
      <c r="R2103" s="1">
        <f t="shared" ref="R2103:R2105" si="618">1+LEN(T2103)-LEN(SUBSTITUTE(T2103,",",))</f>
        <v>8</v>
      </c>
      <c r="S2103" s="1" t="str">
        <f t="shared" ref="S2103:S2105" si="619">IF(R2103&gt;4,IF(R2103&lt;8,"4-7",IF(R2103&gt;7,"&gt;7")),"&lt;4")</f>
        <v>&gt;7</v>
      </c>
      <c r="T2103" s="1" t="s">
        <v>19739</v>
      </c>
      <c r="U2103" s="1" t="s">
        <v>7</v>
      </c>
      <c r="V2103" s="1" t="s">
        <v>2183</v>
      </c>
      <c r="W2103" s="1"/>
    </row>
    <row r="2104" spans="1:23" x14ac:dyDescent="0.2">
      <c r="A2104" s="88" t="s">
        <v>17336</v>
      </c>
      <c r="B2104" s="1" t="e">
        <v>#N/A</v>
      </c>
      <c r="C2104" s="1" t="e">
        <v>#N/A</v>
      </c>
      <c r="D2104" s="1" t="s">
        <v>5626</v>
      </c>
      <c r="E2104" s="1" t="s">
        <v>5627</v>
      </c>
      <c r="F2104" s="1" t="s">
        <v>18502</v>
      </c>
      <c r="G2104" s="1" t="s">
        <v>8957</v>
      </c>
      <c r="H2104" t="s">
        <v>9061</v>
      </c>
      <c r="I2104" s="1" t="s">
        <v>9075</v>
      </c>
      <c r="J2104" s="1" t="s">
        <v>8949</v>
      </c>
      <c r="K2104" s="1" t="s">
        <v>20923</v>
      </c>
      <c r="L2104" s="1" t="s">
        <v>8973</v>
      </c>
      <c r="M2104" s="1">
        <v>600</v>
      </c>
      <c r="N2104" s="1" t="s">
        <v>8953</v>
      </c>
      <c r="O2104" s="1" t="s">
        <v>8954</v>
      </c>
      <c r="P2104" s="1" t="e">
        <v>#N/A</v>
      </c>
      <c r="Q2104" s="1" t="e">
        <v>#N/A</v>
      </c>
      <c r="R2104" s="1">
        <f t="shared" si="618"/>
        <v>10</v>
      </c>
      <c r="S2104" s="1" t="str">
        <f t="shared" si="619"/>
        <v>&gt;7</v>
      </c>
      <c r="T2104" s="1" t="s">
        <v>19740</v>
      </c>
      <c r="U2104" s="1" t="s">
        <v>17</v>
      </c>
      <c r="V2104" s="1" t="s">
        <v>1050</v>
      </c>
      <c r="W2104" s="1"/>
    </row>
    <row r="2105" spans="1:23" x14ac:dyDescent="0.2">
      <c r="A2105" s="89" t="s">
        <v>17337</v>
      </c>
      <c r="B2105" s="1" t="e">
        <v>#N/A</v>
      </c>
      <c r="C2105" s="1" t="e">
        <v>#N/A</v>
      </c>
      <c r="D2105" s="1" t="s">
        <v>5628</v>
      </c>
      <c r="E2105" s="1" t="s">
        <v>5629</v>
      </c>
      <c r="F2105" s="1" t="e">
        <v>#N/A</v>
      </c>
      <c r="G2105" s="1" t="e">
        <v>#N/A</v>
      </c>
      <c r="H2105" t="e">
        <v>#N/A</v>
      </c>
      <c r="I2105" s="1" t="e">
        <v>#N/A</v>
      </c>
      <c r="J2105" s="1" t="e">
        <v>#N/A</v>
      </c>
      <c r="K2105" s="1" t="e">
        <v>#N/A</v>
      </c>
      <c r="L2105" s="1" t="e">
        <v>#N/A</v>
      </c>
      <c r="M2105" s="1" t="e">
        <v>#N/A</v>
      </c>
      <c r="N2105" s="1"/>
      <c r="O2105" s="1" t="e">
        <v>#N/A</v>
      </c>
      <c r="P2105" s="1" t="e">
        <v>#N/A</v>
      </c>
      <c r="Q2105" s="1" t="e">
        <v>#N/A</v>
      </c>
      <c r="R2105" s="1">
        <f t="shared" si="618"/>
        <v>8</v>
      </c>
      <c r="S2105" s="1" t="str">
        <f t="shared" si="619"/>
        <v>&gt;7</v>
      </c>
      <c r="T2105" s="1" t="s">
        <v>19741</v>
      </c>
      <c r="U2105" s="1" t="s">
        <v>7</v>
      </c>
      <c r="V2105" s="1" t="s">
        <v>4867</v>
      </c>
      <c r="W2105" s="1"/>
    </row>
    <row r="2106" spans="1:23" x14ac:dyDescent="0.2">
      <c r="A2106" s="88" t="s">
        <v>17338</v>
      </c>
      <c r="B2106" s="1" t="e">
        <v>#N/A</v>
      </c>
      <c r="C2106" s="1" t="s">
        <v>15349</v>
      </c>
      <c r="D2106" s="1" t="s">
        <v>5630</v>
      </c>
      <c r="E2106" s="1" t="s">
        <v>5631</v>
      </c>
      <c r="F2106" s="1" t="s">
        <v>9010</v>
      </c>
      <c r="G2106" s="1" t="s">
        <v>8957</v>
      </c>
      <c r="H2106" t="s">
        <v>9061</v>
      </c>
      <c r="I2106" s="1" t="s">
        <v>8948</v>
      </c>
      <c r="J2106" s="1" t="s">
        <v>9155</v>
      </c>
      <c r="K2106" s="1" t="s">
        <v>8972</v>
      </c>
      <c r="L2106" s="1" t="s">
        <v>8973</v>
      </c>
      <c r="M2106" s="1">
        <v>18</v>
      </c>
      <c r="N2106" s="1" t="s">
        <v>9059</v>
      </c>
      <c r="O2106" s="1" t="s">
        <v>8989</v>
      </c>
      <c r="P2106" s="1" t="s">
        <v>8955</v>
      </c>
      <c r="Q2106" s="1" t="s">
        <v>8956</v>
      </c>
      <c r="R2106" s="1" t="s">
        <v>8957</v>
      </c>
      <c r="S2106" s="1" t="s">
        <v>9103</v>
      </c>
      <c r="T2106" s="1" t="s">
        <v>5632</v>
      </c>
      <c r="U2106" s="1" t="s">
        <v>17</v>
      </c>
      <c r="V2106" s="1" t="s">
        <v>61</v>
      </c>
      <c r="W2106" s="1"/>
    </row>
    <row r="2107" spans="1:23" x14ac:dyDescent="0.2">
      <c r="A2107" s="88" t="s">
        <v>17339</v>
      </c>
      <c r="B2107" s="1" t="e">
        <v>#N/A</v>
      </c>
      <c r="C2107" s="1" t="e">
        <v>#N/A</v>
      </c>
      <c r="D2107" s="1" t="s">
        <v>5633</v>
      </c>
      <c r="E2107" s="1" t="s">
        <v>5634</v>
      </c>
      <c r="F2107" s="1" t="s">
        <v>9310</v>
      </c>
      <c r="G2107" s="1" t="s">
        <v>9060</v>
      </c>
      <c r="H2107" t="s">
        <v>8959</v>
      </c>
      <c r="I2107" s="1" t="s">
        <v>9075</v>
      </c>
      <c r="J2107" s="1" t="s">
        <v>8998</v>
      </c>
      <c r="K2107" s="1" t="s">
        <v>18489</v>
      </c>
      <c r="L2107" s="1" t="s">
        <v>8951</v>
      </c>
      <c r="M2107" s="1">
        <v>10078</v>
      </c>
      <c r="N2107" s="1" t="s">
        <v>8953</v>
      </c>
      <c r="O2107" s="1" t="s">
        <v>8989</v>
      </c>
      <c r="P2107" s="1" t="e">
        <v>#N/A</v>
      </c>
      <c r="Q2107" s="1" t="e">
        <v>#N/A</v>
      </c>
      <c r="R2107" s="1">
        <f t="shared" ref="R2107:R2108" si="620">1+LEN(T2107)-LEN(SUBSTITUTE(T2107,",",))</f>
        <v>5</v>
      </c>
      <c r="S2107" s="1" t="str">
        <f t="shared" ref="S2107:S2108" si="621">IF(R2107&gt;4,IF(R2107&lt;8,"4-7",IF(R2107&gt;7,"&gt;7")),"&lt;4")</f>
        <v>4-7</v>
      </c>
      <c r="T2107" s="1" t="s">
        <v>19742</v>
      </c>
      <c r="U2107" s="1" t="s">
        <v>7</v>
      </c>
      <c r="V2107" s="1" t="s">
        <v>2024</v>
      </c>
      <c r="W2107" s="1"/>
    </row>
    <row r="2108" spans="1:23" x14ac:dyDescent="0.2">
      <c r="A2108" s="88" t="s">
        <v>17340</v>
      </c>
      <c r="B2108" s="1" t="e">
        <v>#N/A</v>
      </c>
      <c r="C2108" s="1" t="e">
        <v>#N/A</v>
      </c>
      <c r="D2108" s="1" t="s">
        <v>5635</v>
      </c>
      <c r="E2108" s="1" t="s">
        <v>5636</v>
      </c>
      <c r="F2108" s="1" t="s">
        <v>14748</v>
      </c>
      <c r="G2108" s="1" t="s">
        <v>8959</v>
      </c>
      <c r="H2108" t="s">
        <v>9061</v>
      </c>
      <c r="I2108" s="1" t="s">
        <v>8948</v>
      </c>
      <c r="J2108" s="1" t="s">
        <v>8998</v>
      </c>
      <c r="K2108" s="1" t="s">
        <v>20923</v>
      </c>
      <c r="L2108" s="1" t="s">
        <v>8951</v>
      </c>
      <c r="M2108" s="1">
        <f>2800+1100+153</f>
        <v>4053</v>
      </c>
      <c r="N2108" s="1" t="s">
        <v>8953</v>
      </c>
      <c r="O2108" s="1" t="s">
        <v>8954</v>
      </c>
      <c r="P2108" s="1" t="e">
        <v>#N/A</v>
      </c>
      <c r="Q2108" s="1" t="e">
        <v>#N/A</v>
      </c>
      <c r="R2108" s="1">
        <f t="shared" si="620"/>
        <v>5</v>
      </c>
      <c r="S2108" s="1" t="str">
        <f t="shared" si="621"/>
        <v>4-7</v>
      </c>
      <c r="T2108" s="1" t="s">
        <v>19743</v>
      </c>
      <c r="U2108" s="1" t="s">
        <v>7</v>
      </c>
      <c r="V2108" s="1" t="s">
        <v>5637</v>
      </c>
      <c r="W2108" s="1"/>
    </row>
    <row r="2109" spans="1:23" x14ac:dyDescent="0.2">
      <c r="A2109" s="88" t="s">
        <v>17341</v>
      </c>
      <c r="B2109" s="1" t="e">
        <v>#N/A</v>
      </c>
      <c r="C2109" s="1" t="s">
        <v>9065</v>
      </c>
      <c r="D2109" s="1" t="s">
        <v>5638</v>
      </c>
      <c r="E2109" s="1" t="s">
        <v>5639</v>
      </c>
      <c r="F2109" s="1" t="s">
        <v>9636</v>
      </c>
      <c r="G2109" s="1" t="s">
        <v>8957</v>
      </c>
      <c r="H2109" t="s">
        <v>9061</v>
      </c>
      <c r="I2109" s="1" t="s">
        <v>9049</v>
      </c>
      <c r="J2109" s="1" t="s">
        <v>9050</v>
      </c>
      <c r="K2109" s="1" t="s">
        <v>21285</v>
      </c>
      <c r="L2109" s="1" t="s">
        <v>8987</v>
      </c>
      <c r="M2109" s="1">
        <v>1200</v>
      </c>
      <c r="N2109" s="1" t="s">
        <v>8953</v>
      </c>
      <c r="O2109" s="1" t="s">
        <v>8989</v>
      </c>
      <c r="P2109" s="1" t="s">
        <v>8955</v>
      </c>
      <c r="Q2109" s="1" t="s">
        <v>8956</v>
      </c>
      <c r="R2109" s="1" t="s">
        <v>8957</v>
      </c>
      <c r="S2109" s="1" t="s">
        <v>8975</v>
      </c>
      <c r="T2109" s="1" t="s">
        <v>5640</v>
      </c>
      <c r="U2109" s="1" t="s">
        <v>7</v>
      </c>
      <c r="V2109" s="1" t="s">
        <v>126</v>
      </c>
      <c r="W2109" s="1"/>
    </row>
    <row r="2110" spans="1:23" x14ac:dyDescent="0.2">
      <c r="A2110" s="88" t="s">
        <v>17342</v>
      </c>
      <c r="B2110" s="1" t="e">
        <v>#N/A</v>
      </c>
      <c r="C2110" s="1" t="e">
        <v>#N/A</v>
      </c>
      <c r="D2110" s="1" t="s">
        <v>5641</v>
      </c>
      <c r="E2110" s="1" t="s">
        <v>5642</v>
      </c>
      <c r="F2110" s="1" t="s">
        <v>9636</v>
      </c>
      <c r="G2110" s="1" t="s">
        <v>8959</v>
      </c>
      <c r="H2110" t="s">
        <v>9183</v>
      </c>
      <c r="I2110" s="1" t="s">
        <v>20714</v>
      </c>
      <c r="J2110" s="1" t="s">
        <v>20725</v>
      </c>
      <c r="K2110" s="1" t="s">
        <v>20923</v>
      </c>
      <c r="L2110" s="1" t="s">
        <v>8973</v>
      </c>
      <c r="M2110" s="1">
        <v>40</v>
      </c>
      <c r="N2110" s="1" t="s">
        <v>9059</v>
      </c>
      <c r="O2110" s="1" t="s">
        <v>8954</v>
      </c>
      <c r="P2110" s="1" t="e">
        <v>#N/A</v>
      </c>
      <c r="Q2110" s="1" t="e">
        <v>#N/A</v>
      </c>
      <c r="R2110" s="1">
        <f>1+LEN(T2110)-LEN(SUBSTITUTE(T2110,",",))</f>
        <v>9</v>
      </c>
      <c r="S2110" s="1" t="str">
        <f>IF(R2110&gt;4,IF(R2110&lt;8,"4-7",IF(R2110&gt;7,"&gt;7")),"&lt;4")</f>
        <v>&gt;7</v>
      </c>
      <c r="T2110" s="1" t="s">
        <v>20660</v>
      </c>
      <c r="U2110" s="1" t="s">
        <v>7</v>
      </c>
      <c r="V2110" s="1" t="s">
        <v>24</v>
      </c>
      <c r="W2110" s="1"/>
    </row>
    <row r="2111" spans="1:23" x14ac:dyDescent="0.2">
      <c r="A2111" s="88" t="s">
        <v>17343</v>
      </c>
      <c r="B2111" s="1" t="e">
        <v>#N/A</v>
      </c>
      <c r="C2111" s="1" t="s">
        <v>13308</v>
      </c>
      <c r="D2111" s="1" t="s">
        <v>5643</v>
      </c>
      <c r="E2111" s="1" t="s">
        <v>5644</v>
      </c>
      <c r="F2111" s="1" t="s">
        <v>13311</v>
      </c>
      <c r="G2111" s="1" t="s">
        <v>9060</v>
      </c>
      <c r="H2111" t="s">
        <v>8959</v>
      </c>
      <c r="I2111" s="1" t="s">
        <v>9049</v>
      </c>
      <c r="J2111" s="1" t="s">
        <v>9155</v>
      </c>
      <c r="K2111" s="1" t="s">
        <v>9036</v>
      </c>
      <c r="L2111" s="1" t="s">
        <v>8951</v>
      </c>
      <c r="M2111" s="1">
        <v>1339</v>
      </c>
      <c r="N2111" s="1" t="s">
        <v>8953</v>
      </c>
      <c r="O2111" s="1" t="s">
        <v>8954</v>
      </c>
      <c r="P2111" s="1" t="s">
        <v>8955</v>
      </c>
      <c r="Q2111" s="1" t="s">
        <v>8956</v>
      </c>
      <c r="R2111" s="1" t="s">
        <v>9060</v>
      </c>
      <c r="S2111" s="1" t="s">
        <v>8958</v>
      </c>
      <c r="T2111" s="1" t="s">
        <v>5645</v>
      </c>
      <c r="U2111" s="1" t="s">
        <v>11</v>
      </c>
      <c r="V2111" s="1" t="s">
        <v>184</v>
      </c>
      <c r="W2111" s="1"/>
    </row>
    <row r="2112" spans="1:23" x14ac:dyDescent="0.2">
      <c r="A2112" s="89" t="s">
        <v>17344</v>
      </c>
      <c r="B2112" s="1" t="e">
        <v>#N/A</v>
      </c>
      <c r="C2112" s="1" t="e">
        <v>#N/A</v>
      </c>
      <c r="D2112" s="1" t="s">
        <v>5646</v>
      </c>
      <c r="E2112" s="1" t="s">
        <v>5647</v>
      </c>
      <c r="F2112" s="1" t="e">
        <v>#N/A</v>
      </c>
      <c r="G2112" s="1" t="e">
        <v>#N/A</v>
      </c>
      <c r="H2112" t="e">
        <v>#N/A</v>
      </c>
      <c r="I2112" s="1" t="e">
        <v>#N/A</v>
      </c>
      <c r="J2112" s="1" t="e">
        <v>#N/A</v>
      </c>
      <c r="K2112" s="1" t="e">
        <v>#N/A</v>
      </c>
      <c r="L2112" s="1" t="e">
        <v>#N/A</v>
      </c>
      <c r="M2112" s="1" t="e">
        <v>#N/A</v>
      </c>
      <c r="N2112" s="1"/>
      <c r="O2112" s="1" t="e">
        <v>#N/A</v>
      </c>
      <c r="P2112" s="1" t="e">
        <v>#N/A</v>
      </c>
      <c r="Q2112" s="1" t="e">
        <v>#N/A</v>
      </c>
      <c r="R2112" s="1">
        <f>1+LEN(T2112)-LEN(SUBSTITUTE(T2112,",",))</f>
        <v>3</v>
      </c>
      <c r="S2112" s="1" t="str">
        <f>IF(R2112&gt;4,IF(R2112&lt;8,"4-7",IF(R2112&gt;7,"&gt;7")),"&lt;4")</f>
        <v>&lt;4</v>
      </c>
      <c r="T2112" s="1" t="s">
        <v>19744</v>
      </c>
      <c r="U2112" s="1" t="s">
        <v>4</v>
      </c>
      <c r="V2112" s="1" t="s">
        <v>5648</v>
      </c>
      <c r="W2112" s="1"/>
    </row>
    <row r="2113" spans="1:23" x14ac:dyDescent="0.2">
      <c r="A2113" s="88" t="s">
        <v>17345</v>
      </c>
      <c r="B2113" s="1" t="e">
        <v>#N/A</v>
      </c>
      <c r="C2113" s="1" t="s">
        <v>14321</v>
      </c>
      <c r="D2113" s="1" t="s">
        <v>5649</v>
      </c>
      <c r="E2113" s="1" t="s">
        <v>5650</v>
      </c>
      <c r="F2113" s="1" t="s">
        <v>9650</v>
      </c>
      <c r="G2113" s="1" t="s">
        <v>8957</v>
      </c>
      <c r="H2113" t="s">
        <v>8959</v>
      </c>
      <c r="I2113" s="1" t="s">
        <v>8948</v>
      </c>
      <c r="J2113" s="1" t="s">
        <v>9155</v>
      </c>
      <c r="K2113" s="1" t="s">
        <v>14324</v>
      </c>
      <c r="L2113" s="1" t="s">
        <v>8987</v>
      </c>
      <c r="M2113" s="1">
        <v>275</v>
      </c>
      <c r="N2113" s="1" t="s">
        <v>8953</v>
      </c>
      <c r="O2113" s="1" t="s">
        <v>8989</v>
      </c>
      <c r="P2113" s="1" t="s">
        <v>8955</v>
      </c>
      <c r="Q2113" s="1" t="s">
        <v>8956</v>
      </c>
      <c r="R2113" s="1" t="s">
        <v>8957</v>
      </c>
      <c r="S2113" s="1" t="s">
        <v>8958</v>
      </c>
      <c r="T2113" s="1" t="s">
        <v>5651</v>
      </c>
      <c r="U2113" s="1" t="s">
        <v>242</v>
      </c>
      <c r="V2113" s="1" t="s">
        <v>359</v>
      </c>
      <c r="W2113" s="1"/>
    </row>
    <row r="2114" spans="1:23" x14ac:dyDescent="0.2">
      <c r="A2114" s="94" t="s">
        <v>17346</v>
      </c>
      <c r="B2114" s="1" t="e">
        <v>#N/A</v>
      </c>
      <c r="C2114" s="1" t="e">
        <v>#N/A</v>
      </c>
      <c r="D2114" s="1" t="s">
        <v>5652</v>
      </c>
      <c r="E2114" s="1" t="s">
        <v>5653</v>
      </c>
      <c r="F2114" s="1" t="s">
        <v>9650</v>
      </c>
      <c r="G2114" s="1" t="e">
        <v>#N/A</v>
      </c>
      <c r="H2114" t="s">
        <v>8959</v>
      </c>
      <c r="I2114" s="1" t="s">
        <v>9100</v>
      </c>
      <c r="J2114" s="1" t="s">
        <v>8949</v>
      </c>
      <c r="K2114" s="1" t="e">
        <v>#N/A</v>
      </c>
      <c r="L2114" s="1" t="s">
        <v>9292</v>
      </c>
      <c r="M2114" s="1">
        <v>1800</v>
      </c>
      <c r="N2114" s="1" t="s">
        <v>8953</v>
      </c>
      <c r="O2114" s="1" t="e">
        <v>#N/A</v>
      </c>
      <c r="P2114" s="1" t="e">
        <v>#N/A</v>
      </c>
      <c r="Q2114" s="1" t="e">
        <v>#N/A</v>
      </c>
      <c r="R2114" s="1">
        <f>1+LEN(T2114)-LEN(SUBSTITUTE(T2114,",",))</f>
        <v>10</v>
      </c>
      <c r="S2114" s="1" t="str">
        <f>IF(R2114&gt;4,IF(R2114&lt;8,"4-7",IF(R2114&gt;7,"&gt;7")),"&lt;4")</f>
        <v>&gt;7</v>
      </c>
      <c r="T2114" s="1" t="s">
        <v>19745</v>
      </c>
      <c r="U2114" s="1" t="s">
        <v>17</v>
      </c>
      <c r="V2114" s="1" t="s">
        <v>43</v>
      </c>
      <c r="W2114" s="1"/>
    </row>
    <row r="2115" spans="1:23" x14ac:dyDescent="0.2">
      <c r="A2115" s="88" t="s">
        <v>17347</v>
      </c>
      <c r="B2115" s="1" t="e">
        <v>#N/A</v>
      </c>
      <c r="C2115" s="1" t="s">
        <v>10781</v>
      </c>
      <c r="D2115" s="1" t="s">
        <v>5654</v>
      </c>
      <c r="E2115" s="1" t="s">
        <v>5655</v>
      </c>
      <c r="F2115" s="1" t="s">
        <v>9630</v>
      </c>
      <c r="G2115" s="1" t="s">
        <v>8957</v>
      </c>
      <c r="H2115" t="s">
        <v>9009</v>
      </c>
      <c r="I2115" s="1" t="s">
        <v>9035</v>
      </c>
      <c r="J2115" s="1" t="s">
        <v>8971</v>
      </c>
      <c r="K2115" s="1" t="s">
        <v>10784</v>
      </c>
      <c r="L2115" s="1" t="s">
        <v>8987</v>
      </c>
      <c r="M2115" s="1">
        <v>7500</v>
      </c>
      <c r="N2115" s="1" t="s">
        <v>8953</v>
      </c>
      <c r="O2115" s="1" t="s">
        <v>8954</v>
      </c>
      <c r="P2115" s="1" t="s">
        <v>8955</v>
      </c>
      <c r="Q2115" s="1" t="s">
        <v>8990</v>
      </c>
      <c r="R2115" s="1" t="s">
        <v>8957</v>
      </c>
      <c r="S2115" s="1" t="s">
        <v>8958</v>
      </c>
      <c r="T2115" s="1" t="s">
        <v>5656</v>
      </c>
      <c r="U2115" s="1" t="s">
        <v>17</v>
      </c>
      <c r="V2115" s="1" t="s">
        <v>1524</v>
      </c>
      <c r="W2115" s="1"/>
    </row>
    <row r="2116" spans="1:23" x14ac:dyDescent="0.2">
      <c r="A2116" s="88" t="s">
        <v>17348</v>
      </c>
      <c r="B2116" s="1" t="e">
        <v>#N/A</v>
      </c>
      <c r="C2116" s="1" t="s">
        <v>15002</v>
      </c>
      <c r="D2116" s="1" t="s">
        <v>5657</v>
      </c>
      <c r="E2116" s="1" t="s">
        <v>5658</v>
      </c>
      <c r="F2116" s="1" t="s">
        <v>10032</v>
      </c>
      <c r="G2116" s="1" t="s">
        <v>8957</v>
      </c>
      <c r="H2116" t="s">
        <v>8959</v>
      </c>
      <c r="I2116" s="1" t="s">
        <v>8984</v>
      </c>
      <c r="J2116" s="1" t="s">
        <v>8998</v>
      </c>
      <c r="K2116" s="1" t="s">
        <v>8972</v>
      </c>
      <c r="L2116" s="1" t="s">
        <v>8973</v>
      </c>
      <c r="M2116" s="1">
        <v>104</v>
      </c>
      <c r="N2116" s="1" t="s">
        <v>8953</v>
      </c>
      <c r="O2116" s="1" t="s">
        <v>8989</v>
      </c>
      <c r="P2116" s="1" t="s">
        <v>8955</v>
      </c>
      <c r="Q2116" s="1" t="s">
        <v>8956</v>
      </c>
      <c r="R2116" s="1" t="s">
        <v>8957</v>
      </c>
      <c r="S2116" s="1" t="s">
        <v>8958</v>
      </c>
      <c r="T2116" s="1" t="s">
        <v>5659</v>
      </c>
      <c r="U2116" s="1" t="s">
        <v>17</v>
      </c>
      <c r="V2116" s="1" t="s">
        <v>64</v>
      </c>
      <c r="W2116" s="1"/>
    </row>
    <row r="2117" spans="1:23" x14ac:dyDescent="0.2">
      <c r="A2117" s="88" t="s">
        <v>17349</v>
      </c>
      <c r="B2117" s="1" t="e">
        <v>#N/A</v>
      </c>
      <c r="C2117" s="1" t="e">
        <v>#N/A</v>
      </c>
      <c r="D2117" s="1" t="s">
        <v>5660</v>
      </c>
      <c r="E2117" s="1" t="s">
        <v>5661</v>
      </c>
      <c r="F2117" s="1" t="s">
        <v>18502</v>
      </c>
      <c r="G2117" s="1" t="s">
        <v>9060</v>
      </c>
      <c r="H2117" t="s">
        <v>9009</v>
      </c>
      <c r="I2117" s="1" t="s">
        <v>9154</v>
      </c>
      <c r="J2117" s="1" t="s">
        <v>11607</v>
      </c>
      <c r="K2117" s="1" t="s">
        <v>20924</v>
      </c>
      <c r="L2117" s="1" t="s">
        <v>8973</v>
      </c>
      <c r="M2117" s="1">
        <f>7465+1277+1288</f>
        <v>10030</v>
      </c>
      <c r="N2117" s="1" t="s">
        <v>11658</v>
      </c>
      <c r="O2117" s="1" t="s">
        <v>8989</v>
      </c>
      <c r="P2117" s="1" t="e">
        <v>#N/A</v>
      </c>
      <c r="Q2117" s="1" t="e">
        <v>#N/A</v>
      </c>
      <c r="R2117" s="1">
        <f t="shared" ref="R2117:R2118" si="622">1+LEN(T2117)-LEN(SUBSTITUTE(T2117,",",))</f>
        <v>11</v>
      </c>
      <c r="S2117" s="1" t="str">
        <f t="shared" ref="S2117:S2118" si="623">IF(R2117&gt;4,IF(R2117&lt;8,"4-7",IF(R2117&gt;7,"&gt;7")),"&lt;4")</f>
        <v>&gt;7</v>
      </c>
      <c r="T2117" s="1" t="s">
        <v>19746</v>
      </c>
      <c r="U2117" s="1" t="s">
        <v>7</v>
      </c>
      <c r="V2117" s="1" t="s">
        <v>2782</v>
      </c>
      <c r="W2117" s="1"/>
    </row>
    <row r="2118" spans="1:23" x14ac:dyDescent="0.2">
      <c r="A2118" s="88" t="s">
        <v>17350</v>
      </c>
      <c r="B2118" s="1" t="e">
        <v>#N/A</v>
      </c>
      <c r="C2118" s="1" t="e">
        <v>#N/A</v>
      </c>
      <c r="D2118" s="1" t="s">
        <v>5662</v>
      </c>
      <c r="E2118" s="1" t="s">
        <v>5663</v>
      </c>
      <c r="F2118" s="1" t="s">
        <v>18502</v>
      </c>
      <c r="G2118" s="1" t="s">
        <v>9060</v>
      </c>
      <c r="H2118" t="s">
        <v>9061</v>
      </c>
      <c r="I2118" s="1" t="s">
        <v>9100</v>
      </c>
      <c r="J2118" s="1" t="s">
        <v>9725</v>
      </c>
      <c r="K2118" s="1" t="s">
        <v>21379</v>
      </c>
      <c r="L2118" s="1" t="s">
        <v>9076</v>
      </c>
      <c r="M2118" s="1">
        <v>39</v>
      </c>
      <c r="N2118" s="1" t="s">
        <v>9059</v>
      </c>
      <c r="O2118" s="1" t="s">
        <v>8989</v>
      </c>
      <c r="P2118" s="1" t="e">
        <v>#N/A</v>
      </c>
      <c r="Q2118" s="1" t="e">
        <v>#N/A</v>
      </c>
      <c r="R2118" s="1">
        <f t="shared" si="622"/>
        <v>5</v>
      </c>
      <c r="S2118" s="1" t="str">
        <f t="shared" si="623"/>
        <v>4-7</v>
      </c>
      <c r="T2118" s="1" t="s">
        <v>19747</v>
      </c>
      <c r="U2118" s="1" t="s">
        <v>17</v>
      </c>
      <c r="V2118" s="1" t="s">
        <v>93</v>
      </c>
      <c r="W2118" s="1"/>
    </row>
    <row r="2119" spans="1:23" x14ac:dyDescent="0.2">
      <c r="A2119" s="88" t="s">
        <v>17351</v>
      </c>
      <c r="B2119" s="1" t="e">
        <v>#N/A</v>
      </c>
      <c r="C2119" s="1" t="s">
        <v>12624</v>
      </c>
      <c r="D2119" s="1" t="s">
        <v>5664</v>
      </c>
      <c r="E2119" s="1" t="s">
        <v>5665</v>
      </c>
      <c r="F2119" s="1" t="s">
        <v>10032</v>
      </c>
      <c r="G2119" s="1" t="s">
        <v>8959</v>
      </c>
      <c r="H2119" t="s">
        <v>8959</v>
      </c>
      <c r="I2119" s="1" t="s">
        <v>9605</v>
      </c>
      <c r="J2119" s="1" t="s">
        <v>9101</v>
      </c>
      <c r="K2119" s="1" t="s">
        <v>9309</v>
      </c>
      <c r="L2119" s="1" t="s">
        <v>9076</v>
      </c>
      <c r="M2119" s="1">
        <v>1000</v>
      </c>
      <c r="N2119" s="1" t="s">
        <v>8953</v>
      </c>
      <c r="O2119" s="1" t="s">
        <v>8989</v>
      </c>
      <c r="P2119" s="1" t="s">
        <v>8955</v>
      </c>
      <c r="Q2119" s="1" t="s">
        <v>8990</v>
      </c>
      <c r="R2119" s="1" t="s">
        <v>8959</v>
      </c>
      <c r="S2119" s="1" t="s">
        <v>8958</v>
      </c>
      <c r="T2119" s="1" t="s">
        <v>5666</v>
      </c>
      <c r="U2119" s="1" t="s">
        <v>11</v>
      </c>
      <c r="V2119" s="1" t="s">
        <v>2540</v>
      </c>
      <c r="W2119" s="1"/>
    </row>
    <row r="2120" spans="1:23" x14ac:dyDescent="0.2">
      <c r="A2120" s="88" t="s">
        <v>17352</v>
      </c>
      <c r="B2120" s="1" t="e">
        <v>#N/A</v>
      </c>
      <c r="C2120" s="1" t="e">
        <v>#N/A</v>
      </c>
      <c r="D2120" s="1" t="s">
        <v>5667</v>
      </c>
      <c r="E2120" s="1" t="s">
        <v>5668</v>
      </c>
      <c r="F2120" s="1" t="s">
        <v>11671</v>
      </c>
      <c r="G2120" s="1" t="s">
        <v>8974</v>
      </c>
      <c r="H2120" t="s">
        <v>8959</v>
      </c>
      <c r="I2120" s="1" t="s">
        <v>9605</v>
      </c>
      <c r="J2120" s="1" t="s">
        <v>9101</v>
      </c>
      <c r="K2120" s="1" t="s">
        <v>20727</v>
      </c>
      <c r="L2120" s="1" t="s">
        <v>8987</v>
      </c>
      <c r="M2120" s="1">
        <f>78000+42774</f>
        <v>120774</v>
      </c>
      <c r="N2120" s="1" t="s">
        <v>8953</v>
      </c>
      <c r="O2120" s="1" t="s">
        <v>8954</v>
      </c>
      <c r="P2120" s="1" t="e">
        <v>#N/A</v>
      </c>
      <c r="Q2120" s="1" t="e">
        <v>#N/A</v>
      </c>
      <c r="R2120" s="1">
        <f t="shared" ref="R2120:R2122" si="624">1+LEN(T2120)-LEN(SUBSTITUTE(T2120,",",))</f>
        <v>34</v>
      </c>
      <c r="S2120" s="1" t="str">
        <f t="shared" ref="S2120:S2122" si="625">IF(R2120&gt;4,IF(R2120&lt;8,"4-7",IF(R2120&gt;7,"&gt;7")),"&lt;4")</f>
        <v>&gt;7</v>
      </c>
      <c r="T2120" s="1" t="s">
        <v>19748</v>
      </c>
      <c r="U2120" s="1" t="s">
        <v>17</v>
      </c>
      <c r="V2120" s="1" t="s">
        <v>700</v>
      </c>
      <c r="W2120" s="1"/>
    </row>
    <row r="2121" spans="1:23" x14ac:dyDescent="0.2">
      <c r="A2121" s="88" t="s">
        <v>17353</v>
      </c>
      <c r="B2121" s="1" t="e">
        <v>#N/A</v>
      </c>
      <c r="C2121" s="1" t="e">
        <v>#N/A</v>
      </c>
      <c r="D2121" s="1" t="s">
        <v>5669</v>
      </c>
      <c r="E2121" s="1" t="s">
        <v>5670</v>
      </c>
      <c r="F2121" s="1" t="s">
        <v>9310</v>
      </c>
      <c r="G2121" s="1" t="s">
        <v>8959</v>
      </c>
      <c r="H2121" t="s">
        <v>9061</v>
      </c>
      <c r="I2121" s="1" t="s">
        <v>9035</v>
      </c>
      <c r="J2121" s="1" t="s">
        <v>8998</v>
      </c>
      <c r="K2121" s="1" t="s">
        <v>18497</v>
      </c>
      <c r="L2121" s="1" t="s">
        <v>9133</v>
      </c>
      <c r="M2121" s="1">
        <f>2757+2186</f>
        <v>4943</v>
      </c>
      <c r="N2121" s="1" t="s">
        <v>8953</v>
      </c>
      <c r="O2121" s="1" t="s">
        <v>8954</v>
      </c>
      <c r="P2121" s="1" t="e">
        <v>#N/A</v>
      </c>
      <c r="Q2121" s="1" t="e">
        <v>#N/A</v>
      </c>
      <c r="R2121" s="1">
        <f t="shared" si="624"/>
        <v>18</v>
      </c>
      <c r="S2121" s="1" t="str">
        <f t="shared" si="625"/>
        <v>&gt;7</v>
      </c>
      <c r="T2121" s="1" t="s">
        <v>19749</v>
      </c>
      <c r="U2121" s="1" t="s">
        <v>7</v>
      </c>
      <c r="V2121" s="1" t="s">
        <v>61</v>
      </c>
      <c r="W2121" s="1"/>
    </row>
    <row r="2122" spans="1:23" x14ac:dyDescent="0.2">
      <c r="A2122" s="88" t="s">
        <v>17354</v>
      </c>
      <c r="B2122" s="1" t="e">
        <v>#N/A</v>
      </c>
      <c r="C2122" s="1" t="e">
        <v>#N/A</v>
      </c>
      <c r="D2122" s="1" t="s">
        <v>5671</v>
      </c>
      <c r="E2122" s="1" t="s">
        <v>5672</v>
      </c>
      <c r="F2122" s="1" t="s">
        <v>9310</v>
      </c>
      <c r="G2122" s="1" t="e">
        <v>#N/A</v>
      </c>
      <c r="H2122" t="s">
        <v>8959</v>
      </c>
      <c r="I2122" s="1" t="s">
        <v>9035</v>
      </c>
      <c r="J2122" s="1" t="s">
        <v>9308</v>
      </c>
      <c r="K2122" s="1" t="e">
        <v>#N/A</v>
      </c>
      <c r="L2122" s="1" t="s">
        <v>8987</v>
      </c>
      <c r="M2122" s="1" t="e">
        <v>#N/A</v>
      </c>
      <c r="N2122" s="1"/>
      <c r="O2122" s="1" t="s">
        <v>8954</v>
      </c>
      <c r="P2122" s="1" t="e">
        <v>#N/A</v>
      </c>
      <c r="Q2122" s="1" t="e">
        <v>#N/A</v>
      </c>
      <c r="R2122" s="1">
        <f t="shared" si="624"/>
        <v>8</v>
      </c>
      <c r="S2122" s="1" t="str">
        <f t="shared" si="625"/>
        <v>&gt;7</v>
      </c>
      <c r="T2122" s="1" t="s">
        <v>19750</v>
      </c>
      <c r="U2122" s="1" t="s">
        <v>7</v>
      </c>
      <c r="V2122" s="1" t="s">
        <v>61</v>
      </c>
      <c r="W2122" s="1"/>
    </row>
    <row r="2123" spans="1:23" x14ac:dyDescent="0.2">
      <c r="A2123" s="88" t="s">
        <v>17355</v>
      </c>
      <c r="B2123" s="1" t="e">
        <v>#N/A</v>
      </c>
      <c r="C2123" s="1" t="s">
        <v>9446</v>
      </c>
      <c r="D2123" s="1" t="s">
        <v>5673</v>
      </c>
      <c r="E2123" s="1" t="s">
        <v>5674</v>
      </c>
      <c r="F2123" s="1" t="s">
        <v>9213</v>
      </c>
      <c r="G2123" s="1" t="s">
        <v>8957</v>
      </c>
      <c r="H2123" t="s">
        <v>8959</v>
      </c>
      <c r="I2123" s="1" t="s">
        <v>8984</v>
      </c>
      <c r="J2123" s="1" t="s">
        <v>9131</v>
      </c>
      <c r="K2123" s="1" t="s">
        <v>9449</v>
      </c>
      <c r="L2123" s="1" t="s">
        <v>8987</v>
      </c>
      <c r="M2123" s="1">
        <v>52471</v>
      </c>
      <c r="N2123" s="1" t="s">
        <v>8953</v>
      </c>
      <c r="O2123" s="1" t="s">
        <v>8954</v>
      </c>
      <c r="P2123" s="1" t="s">
        <v>8955</v>
      </c>
      <c r="Q2123" s="1" t="s">
        <v>8990</v>
      </c>
      <c r="R2123" s="1" t="s">
        <v>8957</v>
      </c>
      <c r="S2123" s="1" t="s">
        <v>8958</v>
      </c>
      <c r="T2123" s="1" t="s">
        <v>5675</v>
      </c>
      <c r="U2123" s="1" t="s">
        <v>17</v>
      </c>
      <c r="V2123" s="1" t="s">
        <v>434</v>
      </c>
      <c r="W2123" s="1"/>
    </row>
    <row r="2124" spans="1:23" x14ac:dyDescent="0.2">
      <c r="A2124" s="88" t="s">
        <v>17356</v>
      </c>
      <c r="B2124" s="1" t="e">
        <v>#N/A</v>
      </c>
      <c r="C2124" s="1" t="e">
        <v>#N/A</v>
      </c>
      <c r="D2124" s="1" t="s">
        <v>5676</v>
      </c>
      <c r="E2124" s="1" t="s">
        <v>5677</v>
      </c>
      <c r="F2124" s="1" t="s">
        <v>9213</v>
      </c>
      <c r="G2124" s="1" t="s">
        <v>8957</v>
      </c>
      <c r="H2124" t="s">
        <v>8959</v>
      </c>
      <c r="I2124" s="1" t="s">
        <v>8984</v>
      </c>
      <c r="J2124" s="1" t="s">
        <v>9131</v>
      </c>
      <c r="K2124" s="1" t="s">
        <v>21335</v>
      </c>
      <c r="L2124" s="1" t="s">
        <v>8987</v>
      </c>
      <c r="M2124" s="1">
        <v>77</v>
      </c>
      <c r="N2124" s="1" t="s">
        <v>11658</v>
      </c>
      <c r="O2124" s="1" t="s">
        <v>8954</v>
      </c>
      <c r="P2124" s="1" t="e">
        <v>#N/A</v>
      </c>
      <c r="Q2124" s="1" t="e">
        <v>#N/A</v>
      </c>
      <c r="R2124" s="1">
        <f>1+LEN(T2124)-LEN(SUBSTITUTE(T2124,",",))</f>
        <v>5</v>
      </c>
      <c r="S2124" s="1" t="str">
        <f>IF(R2124&gt;4,IF(R2124&lt;8,"4-7",IF(R2124&gt;7,"&gt;7")),"&lt;4")</f>
        <v>4-7</v>
      </c>
      <c r="T2124" s="1" t="s">
        <v>19751</v>
      </c>
      <c r="U2124" s="1" t="s">
        <v>7</v>
      </c>
      <c r="V2124" s="1" t="s">
        <v>2284</v>
      </c>
      <c r="W2124" s="1"/>
    </row>
    <row r="2125" spans="1:23" x14ac:dyDescent="0.2">
      <c r="A2125" s="88" t="s">
        <v>17357</v>
      </c>
      <c r="B2125" s="1" t="e">
        <v>#N/A</v>
      </c>
      <c r="C2125" s="1" t="s">
        <v>9829</v>
      </c>
      <c r="D2125" s="1" t="s">
        <v>5678</v>
      </c>
      <c r="E2125" s="1" t="s">
        <v>5679</v>
      </c>
      <c r="F2125" s="1" t="s">
        <v>9465</v>
      </c>
      <c r="G2125" s="1" t="s">
        <v>8957</v>
      </c>
      <c r="H2125" t="s">
        <v>8959</v>
      </c>
      <c r="I2125" s="1" t="s">
        <v>9092</v>
      </c>
      <c r="J2125" s="1" t="s">
        <v>8949</v>
      </c>
      <c r="K2125" s="1" t="s">
        <v>8972</v>
      </c>
      <c r="L2125" s="1" t="s">
        <v>8973</v>
      </c>
      <c r="M2125" s="1">
        <v>10874</v>
      </c>
      <c r="N2125" s="1" t="s">
        <v>8953</v>
      </c>
      <c r="O2125" s="1" t="s">
        <v>8954</v>
      </c>
      <c r="P2125" s="1" t="s">
        <v>8955</v>
      </c>
      <c r="Q2125" s="1" t="s">
        <v>8956</v>
      </c>
      <c r="R2125" s="1" t="s">
        <v>8957</v>
      </c>
      <c r="S2125" s="1" t="s">
        <v>9103</v>
      </c>
      <c r="T2125" s="1" t="s">
        <v>5680</v>
      </c>
      <c r="U2125" s="1" t="s">
        <v>17</v>
      </c>
      <c r="V2125" s="1" t="s">
        <v>64</v>
      </c>
      <c r="W2125" s="1"/>
    </row>
    <row r="2126" spans="1:23" x14ac:dyDescent="0.2">
      <c r="A2126" s="89" t="s">
        <v>5681</v>
      </c>
      <c r="B2126" s="1" t="e">
        <v>#N/A</v>
      </c>
      <c r="C2126" s="1" t="e">
        <v>#N/A</v>
      </c>
      <c r="D2126" s="5" t="s">
        <v>5682</v>
      </c>
      <c r="E2126" s="1" t="s">
        <v>5683</v>
      </c>
      <c r="F2126" s="1" t="e">
        <v>#N/A</v>
      </c>
      <c r="G2126" s="1" t="e">
        <v>#N/A</v>
      </c>
      <c r="H2126" t="e">
        <v>#N/A</v>
      </c>
      <c r="I2126" s="1" t="e">
        <v>#N/A</v>
      </c>
      <c r="J2126" s="1" t="e">
        <v>#N/A</v>
      </c>
      <c r="K2126" s="1" t="e">
        <v>#N/A</v>
      </c>
      <c r="L2126" s="1" t="e">
        <v>#N/A</v>
      </c>
      <c r="M2126" s="1" t="e">
        <v>#N/A</v>
      </c>
      <c r="N2126" s="1"/>
      <c r="O2126" s="1" t="e">
        <v>#N/A</v>
      </c>
      <c r="P2126" s="1" t="e">
        <v>#N/A</v>
      </c>
      <c r="Q2126" s="1" t="e">
        <v>#N/A</v>
      </c>
      <c r="R2126" s="1">
        <f t="shared" ref="R2126:R2140" si="626">1+LEN(T2126)-LEN(SUBSTITUTE(T2126,",",))</f>
        <v>5</v>
      </c>
      <c r="S2126" s="1" t="str">
        <f t="shared" ref="S2126:S2140" si="627">IF(R2126&gt;4,IF(R2126&lt;8,"4-7",IF(R2126&gt;7,"&gt;7")),"&lt;4")</f>
        <v>4-7</v>
      </c>
      <c r="T2126" s="1" t="s">
        <v>19752</v>
      </c>
      <c r="U2126" s="1" t="s">
        <v>7</v>
      </c>
      <c r="V2126" s="1" t="s">
        <v>1010</v>
      </c>
      <c r="W2126" s="1"/>
    </row>
    <row r="2127" spans="1:23" x14ac:dyDescent="0.2">
      <c r="A2127" s="88" t="s">
        <v>17358</v>
      </c>
      <c r="B2127" s="1" t="e">
        <v>#N/A</v>
      </c>
      <c r="C2127" s="1" t="e">
        <v>#N/A</v>
      </c>
      <c r="D2127" s="1" t="s">
        <v>5684</v>
      </c>
      <c r="E2127" s="1" t="s">
        <v>5685</v>
      </c>
      <c r="F2127" s="1" t="s">
        <v>14748</v>
      </c>
      <c r="G2127" s="1" t="s">
        <v>8959</v>
      </c>
      <c r="H2127" t="s">
        <v>9061</v>
      </c>
      <c r="I2127" s="1" t="s">
        <v>9035</v>
      </c>
      <c r="J2127" s="1" t="s">
        <v>9308</v>
      </c>
      <c r="K2127" s="1" t="s">
        <v>20925</v>
      </c>
      <c r="L2127" s="1" t="s">
        <v>8951</v>
      </c>
      <c r="M2127" s="1">
        <v>1127</v>
      </c>
      <c r="N2127" s="1" t="s">
        <v>8953</v>
      </c>
      <c r="O2127" s="1" t="s">
        <v>8954</v>
      </c>
      <c r="P2127" s="1" t="e">
        <v>#N/A</v>
      </c>
      <c r="Q2127" s="1" t="e">
        <v>#N/A</v>
      </c>
      <c r="R2127" s="1">
        <f t="shared" si="626"/>
        <v>6</v>
      </c>
      <c r="S2127" s="1" t="str">
        <f t="shared" si="627"/>
        <v>4-7</v>
      </c>
      <c r="T2127" s="1" t="s">
        <v>19753</v>
      </c>
      <c r="U2127" s="1" t="s">
        <v>7</v>
      </c>
      <c r="V2127" s="1" t="s">
        <v>74</v>
      </c>
      <c r="W2127" s="1"/>
    </row>
    <row r="2128" spans="1:23" x14ac:dyDescent="0.2">
      <c r="A2128" s="88" t="s">
        <v>17359</v>
      </c>
      <c r="B2128" s="1" t="e">
        <v>#N/A</v>
      </c>
      <c r="C2128" s="1" t="e">
        <v>#N/A</v>
      </c>
      <c r="D2128" s="1" t="s">
        <v>5686</v>
      </c>
      <c r="E2128" s="1" t="s">
        <v>5687</v>
      </c>
      <c r="F2128" s="1" t="s">
        <v>14748</v>
      </c>
      <c r="G2128" s="1" t="s">
        <v>8959</v>
      </c>
      <c r="H2128" t="s">
        <v>8959</v>
      </c>
      <c r="I2128" s="1" t="s">
        <v>9100</v>
      </c>
      <c r="J2128" s="1" t="s">
        <v>8949</v>
      </c>
      <c r="K2128" s="1" t="s">
        <v>20926</v>
      </c>
      <c r="L2128" s="1" t="s">
        <v>8951</v>
      </c>
      <c r="M2128" s="1">
        <v>500</v>
      </c>
      <c r="N2128" s="1" t="s">
        <v>8953</v>
      </c>
      <c r="O2128" s="1" t="s">
        <v>8989</v>
      </c>
      <c r="P2128" s="1" t="e">
        <v>#N/A</v>
      </c>
      <c r="Q2128" s="1" t="e">
        <v>#N/A</v>
      </c>
      <c r="R2128" s="1">
        <f t="shared" si="626"/>
        <v>3</v>
      </c>
      <c r="S2128" s="1" t="str">
        <f t="shared" si="627"/>
        <v>&lt;4</v>
      </c>
      <c r="T2128" s="1" t="s">
        <v>19754</v>
      </c>
      <c r="U2128" s="1" t="s">
        <v>7</v>
      </c>
      <c r="V2128" s="1" t="s">
        <v>948</v>
      </c>
      <c r="W2128" s="1"/>
    </row>
    <row r="2129" spans="1:23" x14ac:dyDescent="0.2">
      <c r="A2129" s="88" t="s">
        <v>17360</v>
      </c>
      <c r="B2129" s="1" t="e">
        <v>#N/A</v>
      </c>
      <c r="C2129" s="1" t="e">
        <v>#N/A</v>
      </c>
      <c r="D2129" s="1" t="s">
        <v>5688</v>
      </c>
      <c r="E2129" s="1" t="s">
        <v>5689</v>
      </c>
      <c r="F2129" s="1" t="s">
        <v>9815</v>
      </c>
      <c r="G2129" s="1" t="s">
        <v>8959</v>
      </c>
      <c r="H2129" t="s">
        <v>8959</v>
      </c>
      <c r="I2129" s="1" t="s">
        <v>9075</v>
      </c>
      <c r="J2129" s="1" t="s">
        <v>9101</v>
      </c>
      <c r="K2129" s="1" t="s">
        <v>20928</v>
      </c>
      <c r="L2129" s="1" t="s">
        <v>20927</v>
      </c>
      <c r="M2129" s="1">
        <f>40000+5000</f>
        <v>45000</v>
      </c>
      <c r="N2129" s="1" t="s">
        <v>8953</v>
      </c>
      <c r="O2129" s="1" t="s">
        <v>8989</v>
      </c>
      <c r="P2129" s="1" t="e">
        <v>#N/A</v>
      </c>
      <c r="Q2129" s="1" t="e">
        <v>#N/A</v>
      </c>
      <c r="R2129" s="1">
        <f t="shared" si="626"/>
        <v>4</v>
      </c>
      <c r="S2129" s="1" t="str">
        <f t="shared" si="627"/>
        <v>&lt;4</v>
      </c>
      <c r="T2129" s="1" t="s">
        <v>19755</v>
      </c>
      <c r="U2129" s="1" t="s">
        <v>17</v>
      </c>
      <c r="V2129" s="1" t="s">
        <v>3451</v>
      </c>
      <c r="W2129" s="1"/>
    </row>
    <row r="2130" spans="1:23" x14ac:dyDescent="0.2">
      <c r="A2130" s="89" t="s">
        <v>5690</v>
      </c>
      <c r="B2130" s="1" t="e">
        <v>#N/A</v>
      </c>
      <c r="C2130" s="1" t="e">
        <v>#N/A</v>
      </c>
      <c r="D2130" s="5" t="s">
        <v>5691</v>
      </c>
      <c r="E2130" s="1" t="s">
        <v>5692</v>
      </c>
      <c r="F2130" s="1" t="e">
        <v>#N/A</v>
      </c>
      <c r="G2130" s="1" t="e">
        <v>#N/A</v>
      </c>
      <c r="H2130" t="e">
        <v>#N/A</v>
      </c>
      <c r="I2130" s="1" t="e">
        <v>#N/A</v>
      </c>
      <c r="J2130" s="1" t="e">
        <v>#N/A</v>
      </c>
      <c r="K2130" s="1" t="e">
        <v>#N/A</v>
      </c>
      <c r="L2130" s="1" t="e">
        <v>#N/A</v>
      </c>
      <c r="M2130" s="1" t="e">
        <v>#N/A</v>
      </c>
      <c r="N2130" s="1"/>
      <c r="O2130" s="1" t="e">
        <v>#N/A</v>
      </c>
      <c r="P2130" s="1" t="e">
        <v>#N/A</v>
      </c>
      <c r="Q2130" s="1" t="e">
        <v>#N/A</v>
      </c>
      <c r="R2130" s="1">
        <f t="shared" si="626"/>
        <v>5</v>
      </c>
      <c r="S2130" s="1" t="str">
        <f t="shared" si="627"/>
        <v>4-7</v>
      </c>
      <c r="T2130" s="1" t="s">
        <v>19756</v>
      </c>
      <c r="U2130" s="1" t="s">
        <v>7</v>
      </c>
      <c r="V2130" s="1" t="s">
        <v>74</v>
      </c>
      <c r="W2130" s="1"/>
    </row>
    <row r="2131" spans="1:23" x14ac:dyDescent="0.2">
      <c r="A2131" s="89" t="s">
        <v>17361</v>
      </c>
      <c r="B2131" s="1" t="e">
        <v>#N/A</v>
      </c>
      <c r="C2131" s="1" t="e">
        <v>#N/A</v>
      </c>
      <c r="D2131" s="5" t="s">
        <v>5693</v>
      </c>
      <c r="E2131" s="1" t="s">
        <v>5694</v>
      </c>
      <c r="F2131" s="1" t="e">
        <v>#N/A</v>
      </c>
      <c r="G2131" s="1" t="e">
        <v>#N/A</v>
      </c>
      <c r="H2131" t="e">
        <v>#N/A</v>
      </c>
      <c r="I2131" s="1" t="e">
        <v>#N/A</v>
      </c>
      <c r="J2131" s="1" t="e">
        <v>#N/A</v>
      </c>
      <c r="K2131" s="1" t="e">
        <v>#N/A</v>
      </c>
      <c r="L2131" s="1" t="e">
        <v>#N/A</v>
      </c>
      <c r="M2131" s="1" t="e">
        <v>#N/A</v>
      </c>
      <c r="N2131" s="1"/>
      <c r="O2131" s="1" t="e">
        <v>#N/A</v>
      </c>
      <c r="P2131" s="1" t="e">
        <v>#N/A</v>
      </c>
      <c r="Q2131" s="1" t="e">
        <v>#N/A</v>
      </c>
      <c r="R2131" s="1">
        <f t="shared" si="626"/>
        <v>3</v>
      </c>
      <c r="S2131" s="1" t="str">
        <f t="shared" si="627"/>
        <v>&lt;4</v>
      </c>
      <c r="T2131" s="1" t="s">
        <v>19757</v>
      </c>
      <c r="U2131" s="1" t="s">
        <v>17</v>
      </c>
      <c r="V2131" s="1" t="s">
        <v>392</v>
      </c>
      <c r="W2131" s="1"/>
    </row>
    <row r="2132" spans="1:23" x14ac:dyDescent="0.2">
      <c r="A2132" s="89" t="s">
        <v>5695</v>
      </c>
      <c r="B2132" s="1" t="e">
        <v>#N/A</v>
      </c>
      <c r="C2132" s="1" t="e">
        <v>#N/A</v>
      </c>
      <c r="D2132" s="1" t="s">
        <v>5696</v>
      </c>
      <c r="E2132" s="1" t="s">
        <v>5697</v>
      </c>
      <c r="F2132" s="1" t="e">
        <v>#N/A</v>
      </c>
      <c r="G2132" s="1" t="e">
        <v>#N/A</v>
      </c>
      <c r="H2132" t="e">
        <v>#N/A</v>
      </c>
      <c r="I2132" s="1" t="e">
        <v>#N/A</v>
      </c>
      <c r="J2132" s="1" t="e">
        <v>#N/A</v>
      </c>
      <c r="K2132" s="1" t="e">
        <v>#N/A</v>
      </c>
      <c r="L2132" s="1" t="e">
        <v>#N/A</v>
      </c>
      <c r="M2132" s="1" t="e">
        <v>#N/A</v>
      </c>
      <c r="N2132" s="1"/>
      <c r="O2132" s="1" t="e">
        <v>#N/A</v>
      </c>
      <c r="P2132" s="1" t="e">
        <v>#N/A</v>
      </c>
      <c r="Q2132" s="1" t="e">
        <v>#N/A</v>
      </c>
      <c r="R2132" s="1">
        <f t="shared" si="626"/>
        <v>4</v>
      </c>
      <c r="S2132" s="1" t="str">
        <f t="shared" si="627"/>
        <v>&lt;4</v>
      </c>
      <c r="T2132" s="1" t="s">
        <v>19758</v>
      </c>
      <c r="U2132" s="1" t="s">
        <v>11</v>
      </c>
      <c r="V2132" s="1" t="s">
        <v>1328</v>
      </c>
      <c r="W2132" s="1"/>
    </row>
    <row r="2133" spans="1:23" x14ac:dyDescent="0.2">
      <c r="A2133" s="88" t="s">
        <v>17362</v>
      </c>
      <c r="B2133" s="1" t="e">
        <v>#N/A</v>
      </c>
      <c r="C2133" s="1" t="e">
        <v>#N/A</v>
      </c>
      <c r="D2133" s="1" t="s">
        <v>5698</v>
      </c>
      <c r="E2133" s="1" t="s">
        <v>5699</v>
      </c>
      <c r="F2133" s="1" t="s">
        <v>18502</v>
      </c>
      <c r="G2133" s="1" t="s">
        <v>8959</v>
      </c>
      <c r="H2133" t="s">
        <v>8959</v>
      </c>
      <c r="I2133" s="1" t="s">
        <v>9035</v>
      </c>
      <c r="J2133" s="1" t="s">
        <v>9308</v>
      </c>
      <c r="K2133" s="1" t="s">
        <v>21336</v>
      </c>
      <c r="L2133" s="1" t="s">
        <v>8987</v>
      </c>
      <c r="M2133" s="1">
        <v>1112120</v>
      </c>
      <c r="N2133" s="1" t="s">
        <v>8953</v>
      </c>
      <c r="O2133" s="1" t="s">
        <v>8954</v>
      </c>
      <c r="P2133" s="1" t="e">
        <v>#N/A</v>
      </c>
      <c r="Q2133" s="1" t="e">
        <v>#N/A</v>
      </c>
      <c r="R2133" s="1">
        <f t="shared" si="626"/>
        <v>3</v>
      </c>
      <c r="S2133" s="1" t="str">
        <f t="shared" si="627"/>
        <v>&lt;4</v>
      </c>
      <c r="T2133" s="1" t="s">
        <v>19759</v>
      </c>
      <c r="U2133" s="1" t="s">
        <v>17</v>
      </c>
      <c r="V2133" s="1" t="s">
        <v>87</v>
      </c>
      <c r="W2133" s="1"/>
    </row>
    <row r="2134" spans="1:23" x14ac:dyDescent="0.2">
      <c r="A2134" s="88" t="s">
        <v>17363</v>
      </c>
      <c r="B2134" s="1" t="e">
        <v>#N/A</v>
      </c>
      <c r="C2134" s="1" t="e">
        <v>#N/A</v>
      </c>
      <c r="D2134" s="1" t="s">
        <v>5700</v>
      </c>
      <c r="E2134" s="1" t="s">
        <v>5701</v>
      </c>
      <c r="F2134" s="1" t="e">
        <v>#N/A</v>
      </c>
      <c r="G2134" s="1" t="e">
        <v>#N/A</v>
      </c>
      <c r="H2134" t="e">
        <v>#N/A</v>
      </c>
      <c r="I2134" s="1" t="e">
        <v>#N/A</v>
      </c>
      <c r="J2134" s="1" t="e">
        <v>#N/A</v>
      </c>
      <c r="K2134" s="1" t="e">
        <v>#N/A</v>
      </c>
      <c r="L2134" s="1" t="e">
        <v>#N/A</v>
      </c>
      <c r="M2134" s="1" t="e">
        <v>#N/A</v>
      </c>
      <c r="N2134" s="1" t="e">
        <v>#N/A</v>
      </c>
      <c r="O2134" s="1" t="e">
        <v>#N/A</v>
      </c>
      <c r="P2134" s="1" t="e">
        <v>#N/A</v>
      </c>
      <c r="Q2134" s="1" t="e">
        <v>#N/A</v>
      </c>
      <c r="R2134" s="1">
        <f t="shared" si="626"/>
        <v>6</v>
      </c>
      <c r="S2134" s="1" t="str">
        <f t="shared" si="627"/>
        <v>4-7</v>
      </c>
      <c r="T2134" s="1" t="s">
        <v>19760</v>
      </c>
      <c r="U2134" s="1" t="s">
        <v>252</v>
      </c>
      <c r="V2134" s="1" t="s">
        <v>5702</v>
      </c>
      <c r="W2134" s="1"/>
    </row>
    <row r="2135" spans="1:23" x14ac:dyDescent="0.2">
      <c r="A2135" s="89" t="s">
        <v>17364</v>
      </c>
      <c r="B2135" s="1" t="e">
        <v>#N/A</v>
      </c>
      <c r="C2135" s="1" t="e">
        <v>#N/A</v>
      </c>
      <c r="D2135" s="1" t="s">
        <v>5703</v>
      </c>
      <c r="E2135" s="1" t="s">
        <v>5704</v>
      </c>
      <c r="F2135" s="1" t="s">
        <v>18502</v>
      </c>
      <c r="G2135" s="1" t="e">
        <v>#N/A</v>
      </c>
      <c r="H2135" t="s">
        <v>8959</v>
      </c>
      <c r="I2135" s="1" t="e">
        <v>#N/A</v>
      </c>
      <c r="J2135" s="1" t="s">
        <v>8998</v>
      </c>
      <c r="K2135" s="1" t="e">
        <v>#N/A</v>
      </c>
      <c r="L2135" s="1" t="s">
        <v>9464</v>
      </c>
      <c r="M2135" s="1" t="e">
        <v>#N/A</v>
      </c>
      <c r="N2135" s="1"/>
      <c r="O2135" s="1" t="e">
        <v>#N/A</v>
      </c>
      <c r="P2135" s="1" t="e">
        <v>#N/A</v>
      </c>
      <c r="Q2135" s="1" t="e">
        <v>#N/A</v>
      </c>
      <c r="R2135" s="1">
        <f t="shared" si="626"/>
        <v>5</v>
      </c>
      <c r="S2135" s="1" t="str">
        <f t="shared" si="627"/>
        <v>4-7</v>
      </c>
      <c r="T2135" s="1" t="s">
        <v>19761</v>
      </c>
      <c r="U2135" s="1" t="s">
        <v>7</v>
      </c>
      <c r="V2135" s="1" t="s">
        <v>93</v>
      </c>
      <c r="W2135" s="1"/>
    </row>
    <row r="2136" spans="1:23" x14ac:dyDescent="0.2">
      <c r="A2136" s="88" t="s">
        <v>17365</v>
      </c>
      <c r="B2136" s="1" t="e">
        <v>#N/A</v>
      </c>
      <c r="C2136" s="1" t="e">
        <v>#N/A</v>
      </c>
      <c r="D2136" s="1" t="s">
        <v>5705</v>
      </c>
      <c r="E2136" s="1" t="s">
        <v>5706</v>
      </c>
      <c r="F2136" s="1" t="s">
        <v>9310</v>
      </c>
      <c r="G2136" s="1" t="s">
        <v>9060</v>
      </c>
      <c r="H2136" t="s">
        <v>9061</v>
      </c>
      <c r="I2136" s="1" t="s">
        <v>9035</v>
      </c>
      <c r="J2136" s="1" t="s">
        <v>9308</v>
      </c>
      <c r="K2136" s="1" t="s">
        <v>21380</v>
      </c>
      <c r="L2136" s="1" t="s">
        <v>20929</v>
      </c>
      <c r="M2136" s="1">
        <f>4960+248</f>
        <v>5208</v>
      </c>
      <c r="N2136" s="1" t="s">
        <v>8953</v>
      </c>
      <c r="O2136" s="1" t="s">
        <v>8989</v>
      </c>
      <c r="P2136" s="1" t="e">
        <v>#N/A</v>
      </c>
      <c r="Q2136" s="1" t="e">
        <v>#N/A</v>
      </c>
      <c r="R2136" s="1">
        <f t="shared" si="626"/>
        <v>7</v>
      </c>
      <c r="S2136" s="1" t="str">
        <f t="shared" si="627"/>
        <v>4-7</v>
      </c>
      <c r="T2136" s="1" t="s">
        <v>19762</v>
      </c>
      <c r="U2136" s="1" t="s">
        <v>17</v>
      </c>
      <c r="V2136" s="1" t="s">
        <v>2211</v>
      </c>
      <c r="W2136" s="1"/>
    </row>
    <row r="2137" spans="1:23" x14ac:dyDescent="0.2">
      <c r="A2137" s="88" t="s">
        <v>17366</v>
      </c>
      <c r="B2137" s="1" t="e">
        <v>#N/A</v>
      </c>
      <c r="C2137" s="1" t="e">
        <v>#N/A</v>
      </c>
      <c r="D2137" s="1" t="s">
        <v>5707</v>
      </c>
      <c r="E2137" s="1" t="s">
        <v>5708</v>
      </c>
      <c r="F2137" s="1" t="s">
        <v>9310</v>
      </c>
      <c r="G2137" s="1" t="s">
        <v>8957</v>
      </c>
      <c r="H2137" t="s">
        <v>9061</v>
      </c>
      <c r="I2137" s="1" t="s">
        <v>9035</v>
      </c>
      <c r="J2137" s="1" t="s">
        <v>8998</v>
      </c>
      <c r="K2137" s="1" t="s">
        <v>20923</v>
      </c>
      <c r="L2137" s="1" t="s">
        <v>8951</v>
      </c>
      <c r="M2137" s="1">
        <v>7000</v>
      </c>
      <c r="N2137" s="1" t="s">
        <v>20915</v>
      </c>
      <c r="O2137" s="1" t="s">
        <v>8989</v>
      </c>
      <c r="P2137" s="1" t="e">
        <v>#N/A</v>
      </c>
      <c r="Q2137" s="1" t="e">
        <v>#N/A</v>
      </c>
      <c r="R2137" s="1">
        <f t="shared" si="626"/>
        <v>7</v>
      </c>
      <c r="S2137" s="1" t="str">
        <f t="shared" si="627"/>
        <v>4-7</v>
      </c>
      <c r="T2137" s="1" t="s">
        <v>19763</v>
      </c>
      <c r="U2137" s="1" t="s">
        <v>7</v>
      </c>
      <c r="V2137" s="1" t="s">
        <v>147</v>
      </c>
      <c r="W2137" s="1"/>
    </row>
    <row r="2138" spans="1:23" x14ac:dyDescent="0.2">
      <c r="A2138" s="89" t="s">
        <v>17367</v>
      </c>
      <c r="B2138" s="1" t="e">
        <v>#N/A</v>
      </c>
      <c r="C2138" s="1" t="e">
        <v>#N/A</v>
      </c>
      <c r="D2138" s="1" t="s">
        <v>5709</v>
      </c>
      <c r="E2138" s="1" t="s">
        <v>5710</v>
      </c>
      <c r="F2138" s="1" t="e">
        <v>#N/A</v>
      </c>
      <c r="G2138" s="1" t="e">
        <v>#N/A</v>
      </c>
      <c r="H2138" t="e">
        <v>#N/A</v>
      </c>
      <c r="I2138" s="1" t="e">
        <v>#N/A</v>
      </c>
      <c r="J2138" s="1" t="e">
        <v>#N/A</v>
      </c>
      <c r="K2138" s="1" t="e">
        <v>#N/A</v>
      </c>
      <c r="L2138" s="1" t="e">
        <v>#N/A</v>
      </c>
      <c r="M2138" s="1" t="e">
        <v>#N/A</v>
      </c>
      <c r="N2138" s="1"/>
      <c r="O2138" s="1" t="e">
        <v>#N/A</v>
      </c>
      <c r="P2138" s="1" t="e">
        <v>#N/A</v>
      </c>
      <c r="Q2138" s="1" t="e">
        <v>#N/A</v>
      </c>
      <c r="R2138" s="1">
        <f t="shared" si="626"/>
        <v>16</v>
      </c>
      <c r="S2138" s="1" t="str">
        <f t="shared" si="627"/>
        <v>&gt;7</v>
      </c>
      <c r="T2138" s="1" t="s">
        <v>19764</v>
      </c>
      <c r="U2138" s="1" t="s">
        <v>7</v>
      </c>
      <c r="V2138" s="1" t="s">
        <v>27</v>
      </c>
      <c r="W2138" s="1"/>
    </row>
    <row r="2139" spans="1:23" x14ac:dyDescent="0.2">
      <c r="A2139" s="89" t="s">
        <v>17368</v>
      </c>
      <c r="B2139" s="1" t="e">
        <v>#N/A</v>
      </c>
      <c r="C2139" s="1" t="e">
        <v>#N/A</v>
      </c>
      <c r="D2139" s="1" t="s">
        <v>5711</v>
      </c>
      <c r="E2139" s="1" t="s">
        <v>5712</v>
      </c>
      <c r="F2139" s="1" t="e">
        <v>#N/A</v>
      </c>
      <c r="G2139" s="1" t="e">
        <v>#N/A</v>
      </c>
      <c r="H2139" t="e">
        <v>#N/A</v>
      </c>
      <c r="I2139" s="1" t="e">
        <v>#N/A</v>
      </c>
      <c r="J2139" s="1" t="e">
        <v>#N/A</v>
      </c>
      <c r="K2139" s="1" t="e">
        <v>#N/A</v>
      </c>
      <c r="L2139" s="1" t="e">
        <v>#N/A</v>
      </c>
      <c r="M2139" s="1" t="e">
        <v>#N/A</v>
      </c>
      <c r="N2139" s="1"/>
      <c r="O2139" s="1" t="e">
        <v>#N/A</v>
      </c>
      <c r="P2139" s="1" t="e">
        <v>#N/A</v>
      </c>
      <c r="Q2139" s="1" t="e">
        <v>#N/A</v>
      </c>
      <c r="R2139" s="1">
        <f t="shared" si="626"/>
        <v>6</v>
      </c>
      <c r="S2139" s="1" t="str">
        <f t="shared" si="627"/>
        <v>4-7</v>
      </c>
      <c r="T2139" s="1" t="s">
        <v>20661</v>
      </c>
      <c r="U2139" s="1" t="s">
        <v>17</v>
      </c>
      <c r="V2139" s="1" t="s">
        <v>27</v>
      </c>
      <c r="W2139" s="1"/>
    </row>
    <row r="2140" spans="1:23" x14ac:dyDescent="0.2">
      <c r="A2140" s="94" t="s">
        <v>17369</v>
      </c>
      <c r="B2140" s="1" t="e">
        <v>#N/A</v>
      </c>
      <c r="C2140" s="1" t="e">
        <v>#N/A</v>
      </c>
      <c r="D2140" s="1" t="s">
        <v>5713</v>
      </c>
      <c r="E2140" s="1" t="s">
        <v>5714</v>
      </c>
      <c r="F2140" s="1" t="e">
        <v>#N/A</v>
      </c>
      <c r="G2140" s="1" t="e">
        <v>#N/A</v>
      </c>
      <c r="H2140" t="e">
        <v>#N/A</v>
      </c>
      <c r="I2140" s="1" t="e">
        <v>#N/A</v>
      </c>
      <c r="J2140" s="1" t="e">
        <v>#N/A</v>
      </c>
      <c r="K2140" s="1"/>
      <c r="L2140" s="1"/>
      <c r="M2140" s="1" t="e">
        <v>#N/A</v>
      </c>
      <c r="N2140" s="1"/>
      <c r="O2140" s="1" t="e">
        <v>#N/A</v>
      </c>
      <c r="P2140" s="1" t="e">
        <v>#N/A</v>
      </c>
      <c r="Q2140" s="1" t="e">
        <v>#N/A</v>
      </c>
      <c r="R2140" s="1">
        <f t="shared" si="626"/>
        <v>4</v>
      </c>
      <c r="S2140" s="1" t="str">
        <f t="shared" si="627"/>
        <v>&lt;4</v>
      </c>
      <c r="T2140" s="1" t="s">
        <v>19765</v>
      </c>
      <c r="U2140" s="1" t="s">
        <v>7</v>
      </c>
      <c r="V2140" s="1" t="s">
        <v>210</v>
      </c>
      <c r="W2140" s="1"/>
    </row>
    <row r="2141" spans="1:23" x14ac:dyDescent="0.2">
      <c r="A2141" s="88" t="s">
        <v>17370</v>
      </c>
      <c r="B2141" s="1" t="e">
        <v>#N/A</v>
      </c>
      <c r="C2141" s="1" t="s">
        <v>9580</v>
      </c>
      <c r="D2141" s="1" t="s">
        <v>5715</v>
      </c>
      <c r="E2141" s="1" t="s">
        <v>5716</v>
      </c>
      <c r="F2141" s="1" t="s">
        <v>9310</v>
      </c>
      <c r="G2141" s="1" t="s">
        <v>8957</v>
      </c>
      <c r="H2141" t="s">
        <v>8959</v>
      </c>
      <c r="I2141" s="1" t="s">
        <v>8984</v>
      </c>
      <c r="J2141" s="1" t="s">
        <v>8998</v>
      </c>
      <c r="K2141" s="1" t="s">
        <v>8972</v>
      </c>
      <c r="L2141" s="1" t="s">
        <v>9292</v>
      </c>
      <c r="M2141" s="1">
        <v>223846</v>
      </c>
      <c r="N2141" s="1" t="s">
        <v>8953</v>
      </c>
      <c r="O2141" s="1" t="s">
        <v>8989</v>
      </c>
      <c r="P2141" s="1" t="s">
        <v>8955</v>
      </c>
      <c r="Q2141" s="1" t="s">
        <v>8956</v>
      </c>
      <c r="R2141" s="1" t="s">
        <v>8957</v>
      </c>
      <c r="S2141" s="1" t="s">
        <v>8958</v>
      </c>
      <c r="T2141" s="1" t="s">
        <v>5717</v>
      </c>
      <c r="U2141" s="1" t="s">
        <v>17</v>
      </c>
      <c r="V2141" s="1" t="s">
        <v>110</v>
      </c>
      <c r="W2141" s="1"/>
    </row>
    <row r="2142" spans="1:23" x14ac:dyDescent="0.2">
      <c r="A2142" s="88" t="s">
        <v>17371</v>
      </c>
      <c r="B2142" s="1" t="e">
        <v>#N/A</v>
      </c>
      <c r="C2142" s="1" t="s">
        <v>11887</v>
      </c>
      <c r="D2142" s="1" t="s">
        <v>5718</v>
      </c>
      <c r="E2142" s="1" t="s">
        <v>5719</v>
      </c>
      <c r="F2142" s="1" t="s">
        <v>9310</v>
      </c>
      <c r="G2142" s="1" t="s">
        <v>8957</v>
      </c>
      <c r="H2142" t="s">
        <v>8959</v>
      </c>
      <c r="I2142" s="1" t="s">
        <v>8948</v>
      </c>
      <c r="J2142" s="1" t="s">
        <v>9155</v>
      </c>
      <c r="K2142" s="1" t="s">
        <v>11890</v>
      </c>
      <c r="L2142" s="1" t="s">
        <v>8987</v>
      </c>
      <c r="M2142" s="1">
        <v>499</v>
      </c>
      <c r="N2142" s="1" t="s">
        <v>8953</v>
      </c>
      <c r="O2142" s="1" t="s">
        <v>8954</v>
      </c>
      <c r="P2142" s="1" t="s">
        <v>8955</v>
      </c>
      <c r="Q2142" s="1" t="s">
        <v>8956</v>
      </c>
      <c r="R2142" s="1" t="s">
        <v>8957</v>
      </c>
      <c r="S2142" s="1" t="s">
        <v>8958</v>
      </c>
      <c r="T2142" s="1" t="s">
        <v>5720</v>
      </c>
      <c r="U2142" s="1" t="s">
        <v>17</v>
      </c>
      <c r="V2142" s="1" t="s">
        <v>5</v>
      </c>
      <c r="W2142" s="1"/>
    </row>
    <row r="2143" spans="1:23" x14ac:dyDescent="0.2">
      <c r="A2143" s="88" t="s">
        <v>17372</v>
      </c>
      <c r="B2143" s="1" t="e">
        <v>#N/A</v>
      </c>
      <c r="C2143" s="1" t="e">
        <v>#N/A</v>
      </c>
      <c r="D2143" s="1" t="s">
        <v>5721</v>
      </c>
      <c r="E2143" s="1" t="s">
        <v>5722</v>
      </c>
      <c r="F2143" s="1" t="s">
        <v>9310</v>
      </c>
      <c r="G2143" s="1" t="s">
        <v>8957</v>
      </c>
      <c r="H2143" t="s">
        <v>9061</v>
      </c>
      <c r="I2143" s="1" t="s">
        <v>9100</v>
      </c>
      <c r="J2143" s="1" t="s">
        <v>8949</v>
      </c>
      <c r="K2143" s="1" t="s">
        <v>21205</v>
      </c>
      <c r="L2143" s="1" t="s">
        <v>8973</v>
      </c>
      <c r="M2143" s="1">
        <v>135</v>
      </c>
      <c r="N2143" s="1" t="s">
        <v>9059</v>
      </c>
      <c r="O2143" s="1" t="s">
        <v>8954</v>
      </c>
      <c r="P2143" s="1" t="e">
        <v>#N/A</v>
      </c>
      <c r="Q2143" s="1" t="e">
        <v>#N/A</v>
      </c>
      <c r="R2143" s="1">
        <f>1+LEN(T2143)-LEN(SUBSTITUTE(T2143,",",))</f>
        <v>10</v>
      </c>
      <c r="S2143" s="1" t="str">
        <f>IF(R2143&gt;4,IF(R2143&lt;8,"4-7",IF(R2143&gt;7,"&gt;7")),"&lt;4")</f>
        <v>&gt;7</v>
      </c>
      <c r="T2143" s="1" t="s">
        <v>19766</v>
      </c>
      <c r="U2143" s="1" t="s">
        <v>17</v>
      </c>
      <c r="V2143" s="1" t="s">
        <v>61</v>
      </c>
      <c r="W2143" s="1"/>
    </row>
    <row r="2144" spans="1:23" x14ac:dyDescent="0.2">
      <c r="A2144" s="88" t="s">
        <v>17373</v>
      </c>
      <c r="B2144" s="1" t="e">
        <v>#N/A</v>
      </c>
      <c r="C2144" s="1" t="s">
        <v>12782</v>
      </c>
      <c r="D2144" s="1" t="s">
        <v>5723</v>
      </c>
      <c r="E2144" s="1" t="s">
        <v>5724</v>
      </c>
      <c r="F2144" s="1" t="s">
        <v>9176</v>
      </c>
      <c r="G2144" s="1" t="s">
        <v>8957</v>
      </c>
      <c r="H2144" t="s">
        <v>8959</v>
      </c>
      <c r="I2144" s="1" t="s">
        <v>8948</v>
      </c>
      <c r="J2144" s="1" t="s">
        <v>8998</v>
      </c>
      <c r="K2144" s="1" t="s">
        <v>9036</v>
      </c>
      <c r="L2144" s="1" t="s">
        <v>9133</v>
      </c>
      <c r="M2144" s="1">
        <v>256</v>
      </c>
      <c r="N2144" s="1" t="s">
        <v>8953</v>
      </c>
      <c r="O2144" s="1" t="s">
        <v>8989</v>
      </c>
      <c r="P2144" s="1" t="s">
        <v>8955</v>
      </c>
      <c r="Q2144" s="1" t="s">
        <v>8956</v>
      </c>
      <c r="R2144" s="1" t="s">
        <v>8957</v>
      </c>
      <c r="S2144" s="1" t="s">
        <v>9103</v>
      </c>
      <c r="T2144" s="1" t="s">
        <v>5725</v>
      </c>
      <c r="U2144" s="1" t="s">
        <v>11</v>
      </c>
      <c r="V2144" s="1" t="s">
        <v>184</v>
      </c>
      <c r="W2144" s="1"/>
    </row>
    <row r="2145" spans="1:23" x14ac:dyDescent="0.2">
      <c r="A2145" s="88" t="s">
        <v>17374</v>
      </c>
      <c r="B2145" s="1" t="e">
        <v>#N/A</v>
      </c>
      <c r="C2145" s="1" t="e">
        <v>#N/A</v>
      </c>
      <c r="D2145" s="1" t="s">
        <v>5726</v>
      </c>
      <c r="E2145" s="1" t="s">
        <v>5727</v>
      </c>
      <c r="F2145" s="1" t="s">
        <v>9310</v>
      </c>
      <c r="G2145" s="1" t="s">
        <v>8957</v>
      </c>
      <c r="H2145" t="s">
        <v>8959</v>
      </c>
      <c r="I2145" s="1" t="s">
        <v>9092</v>
      </c>
      <c r="J2145" s="1" t="s">
        <v>8949</v>
      </c>
      <c r="K2145" s="1" t="s">
        <v>20928</v>
      </c>
      <c r="L2145" s="1" t="s">
        <v>8951</v>
      </c>
      <c r="M2145" s="1">
        <v>215</v>
      </c>
      <c r="N2145" s="1" t="s">
        <v>9059</v>
      </c>
      <c r="O2145" s="1" t="s">
        <v>8954</v>
      </c>
      <c r="P2145" s="1" t="e">
        <v>#N/A</v>
      </c>
      <c r="Q2145" s="1" t="e">
        <v>#N/A</v>
      </c>
      <c r="R2145" s="1">
        <f>1+LEN(T2145)-LEN(SUBSTITUTE(T2145,",",))</f>
        <v>7</v>
      </c>
      <c r="S2145" s="1" t="str">
        <f>IF(R2145&gt;4,IF(R2145&lt;8,"4-7",IF(R2145&gt;7,"&gt;7")),"&lt;4")</f>
        <v>4-7</v>
      </c>
      <c r="T2145" s="1" t="s">
        <v>19767</v>
      </c>
      <c r="U2145" s="1" t="s">
        <v>17</v>
      </c>
      <c r="V2145" s="1" t="s">
        <v>126</v>
      </c>
      <c r="W2145" s="1"/>
    </row>
    <row r="2146" spans="1:23" x14ac:dyDescent="0.2">
      <c r="A2146" s="88" t="s">
        <v>17375</v>
      </c>
      <c r="B2146" s="1" t="e">
        <v>#N/A</v>
      </c>
      <c r="C2146" s="1" t="s">
        <v>9224</v>
      </c>
      <c r="D2146" s="1" t="s">
        <v>5728</v>
      </c>
      <c r="E2146" s="1" t="s">
        <v>5729</v>
      </c>
      <c r="F2146" s="1" t="s">
        <v>9310</v>
      </c>
      <c r="G2146" s="1" t="s">
        <v>8957</v>
      </c>
      <c r="H2146" t="s">
        <v>8959</v>
      </c>
      <c r="I2146" s="1" t="s">
        <v>8984</v>
      </c>
      <c r="J2146" s="1" t="s">
        <v>8998</v>
      </c>
      <c r="K2146" s="1" t="s">
        <v>21381</v>
      </c>
      <c r="L2146" s="1" t="s">
        <v>9133</v>
      </c>
      <c r="M2146" s="1">
        <v>1300</v>
      </c>
      <c r="N2146" s="1" t="s">
        <v>8953</v>
      </c>
      <c r="O2146" s="1" t="s">
        <v>8989</v>
      </c>
      <c r="P2146" s="1" t="s">
        <v>8955</v>
      </c>
      <c r="Q2146" s="1" t="s">
        <v>8956</v>
      </c>
      <c r="R2146" s="1" t="s">
        <v>8957</v>
      </c>
      <c r="S2146" s="1" t="s">
        <v>8958</v>
      </c>
      <c r="T2146" s="1" t="s">
        <v>5730</v>
      </c>
      <c r="U2146" s="1" t="s">
        <v>17</v>
      </c>
      <c r="V2146" s="1" t="s">
        <v>110</v>
      </c>
      <c r="W2146" s="1"/>
    </row>
    <row r="2147" spans="1:23" x14ac:dyDescent="0.2">
      <c r="A2147" s="88" t="s">
        <v>17376</v>
      </c>
      <c r="B2147" s="1" t="e">
        <v>#N/A</v>
      </c>
      <c r="C2147" s="1" t="s">
        <v>14032</v>
      </c>
      <c r="D2147" s="1" t="s">
        <v>5731</v>
      </c>
      <c r="E2147" s="1" t="s">
        <v>5732</v>
      </c>
      <c r="F2147" s="1" t="s">
        <v>9310</v>
      </c>
      <c r="G2147" s="1" t="s">
        <v>8957</v>
      </c>
      <c r="H2147" t="s">
        <v>8959</v>
      </c>
      <c r="I2147" s="1" t="s">
        <v>9605</v>
      </c>
      <c r="J2147" s="1" t="s">
        <v>9155</v>
      </c>
      <c r="K2147" s="1" t="s">
        <v>9036</v>
      </c>
      <c r="L2147" s="1" t="s">
        <v>8987</v>
      </c>
      <c r="M2147" s="1">
        <v>1555</v>
      </c>
      <c r="N2147" s="1" t="s">
        <v>8953</v>
      </c>
      <c r="O2147" s="1" t="s">
        <v>8954</v>
      </c>
      <c r="P2147" s="1" t="s">
        <v>8955</v>
      </c>
      <c r="Q2147" s="1" t="s">
        <v>8956</v>
      </c>
      <c r="R2147" s="1" t="s">
        <v>8957</v>
      </c>
      <c r="S2147" s="1" t="s">
        <v>9103</v>
      </c>
      <c r="T2147" s="1" t="s">
        <v>5733</v>
      </c>
      <c r="U2147" s="1" t="s">
        <v>4</v>
      </c>
      <c r="V2147" s="1" t="s">
        <v>184</v>
      </c>
      <c r="W2147" s="1"/>
    </row>
    <row r="2148" spans="1:23" x14ac:dyDescent="0.2">
      <c r="A2148" s="88" t="s">
        <v>17377</v>
      </c>
      <c r="B2148" s="1" t="e">
        <v>#N/A</v>
      </c>
      <c r="C2148" s="1" t="e">
        <v>#N/A</v>
      </c>
      <c r="D2148" s="1" t="s">
        <v>5734</v>
      </c>
      <c r="E2148" s="1" t="s">
        <v>5735</v>
      </c>
      <c r="F2148" s="1" t="s">
        <v>9815</v>
      </c>
      <c r="G2148" s="1" t="s">
        <v>8959</v>
      </c>
      <c r="H2148" t="s">
        <v>8959</v>
      </c>
      <c r="I2148" s="1" t="s">
        <v>9035</v>
      </c>
      <c r="J2148" s="1" t="s">
        <v>9155</v>
      </c>
      <c r="K2148" s="1" t="s">
        <v>10525</v>
      </c>
      <c r="L2148" s="1" t="s">
        <v>8951</v>
      </c>
      <c r="M2148" s="1">
        <f>526+1252+1230+5856</f>
        <v>8864</v>
      </c>
      <c r="N2148" s="1" t="s">
        <v>8953</v>
      </c>
      <c r="O2148" s="1" t="s">
        <v>8954</v>
      </c>
      <c r="P2148" s="1" t="e">
        <v>#N/A</v>
      </c>
      <c r="Q2148" s="1" t="e">
        <v>#N/A</v>
      </c>
      <c r="R2148" s="1">
        <f t="shared" ref="R2148:R2153" si="628">1+LEN(T2148)-LEN(SUBSTITUTE(T2148,",",))</f>
        <v>6</v>
      </c>
      <c r="S2148" s="1" t="str">
        <f t="shared" ref="S2148:S2153" si="629">IF(R2148&gt;4,IF(R2148&lt;8,"4-7",IF(R2148&gt;7,"&gt;7")),"&lt;4")</f>
        <v>4-7</v>
      </c>
      <c r="T2148" s="1" t="s">
        <v>19768</v>
      </c>
      <c r="U2148" s="1" t="s">
        <v>7</v>
      </c>
      <c r="V2148" s="1" t="s">
        <v>5736</v>
      </c>
      <c r="W2148" s="1"/>
    </row>
    <row r="2149" spans="1:23" x14ac:dyDescent="0.2">
      <c r="A2149" s="88" t="s">
        <v>17378</v>
      </c>
      <c r="B2149" s="1" t="e">
        <v>#N/A</v>
      </c>
      <c r="C2149" s="1" t="e">
        <v>#N/A</v>
      </c>
      <c r="D2149" s="1" t="s">
        <v>5737</v>
      </c>
      <c r="E2149" s="1" t="s">
        <v>5738</v>
      </c>
      <c r="F2149" s="1" t="s">
        <v>9815</v>
      </c>
      <c r="G2149" s="1" t="s">
        <v>8959</v>
      </c>
      <c r="H2149" t="s">
        <v>8959</v>
      </c>
      <c r="I2149" s="1" t="s">
        <v>9035</v>
      </c>
      <c r="J2149" s="1" t="s">
        <v>9155</v>
      </c>
      <c r="K2149" s="1" t="s">
        <v>10525</v>
      </c>
      <c r="L2149" s="1" t="s">
        <v>8951</v>
      </c>
      <c r="M2149" s="1">
        <f>206+364</f>
        <v>570</v>
      </c>
      <c r="N2149" s="1" t="s">
        <v>8953</v>
      </c>
      <c r="O2149" s="1" t="s">
        <v>8989</v>
      </c>
      <c r="P2149" s="1" t="e">
        <v>#N/A</v>
      </c>
      <c r="Q2149" s="1" t="e">
        <v>#N/A</v>
      </c>
      <c r="R2149" s="1">
        <f t="shared" si="628"/>
        <v>6</v>
      </c>
      <c r="S2149" s="1" t="str">
        <f t="shared" si="629"/>
        <v>4-7</v>
      </c>
      <c r="T2149" s="1" t="s">
        <v>20662</v>
      </c>
      <c r="U2149" s="1" t="s">
        <v>17</v>
      </c>
      <c r="V2149" s="1" t="s">
        <v>5739</v>
      </c>
      <c r="W2149" s="1"/>
    </row>
    <row r="2150" spans="1:23" x14ac:dyDescent="0.2">
      <c r="A2150" s="88" t="s">
        <v>17379</v>
      </c>
      <c r="B2150" s="1" t="e">
        <v>#N/A</v>
      </c>
      <c r="C2150" s="1" t="e">
        <v>#N/A</v>
      </c>
      <c r="D2150" s="1" t="s">
        <v>20931</v>
      </c>
      <c r="E2150" s="1" t="s">
        <v>5740</v>
      </c>
      <c r="F2150" s="1" t="s">
        <v>10008</v>
      </c>
      <c r="G2150" s="1" t="s">
        <v>8959</v>
      </c>
      <c r="H2150" t="s">
        <v>8959</v>
      </c>
      <c r="I2150" s="1" t="s">
        <v>9075</v>
      </c>
      <c r="J2150" s="1" t="s">
        <v>8998</v>
      </c>
      <c r="K2150" s="1" t="s">
        <v>21233</v>
      </c>
      <c r="L2150" s="1" t="s">
        <v>8987</v>
      </c>
      <c r="M2150" s="1">
        <v>970</v>
      </c>
      <c r="N2150" s="1" t="s">
        <v>8953</v>
      </c>
      <c r="O2150" s="1" t="s">
        <v>8989</v>
      </c>
      <c r="P2150" s="1" t="e">
        <v>#N/A</v>
      </c>
      <c r="Q2150" s="1" t="e">
        <v>#N/A</v>
      </c>
      <c r="R2150" s="1">
        <f t="shared" si="628"/>
        <v>4</v>
      </c>
      <c r="S2150" s="1" t="str">
        <f t="shared" si="629"/>
        <v>&lt;4</v>
      </c>
      <c r="T2150" s="1" t="s">
        <v>20663</v>
      </c>
      <c r="U2150" s="1" t="s">
        <v>7</v>
      </c>
      <c r="V2150" s="1" t="s">
        <v>110</v>
      </c>
      <c r="W2150" s="1"/>
    </row>
    <row r="2151" spans="1:23" x14ac:dyDescent="0.2">
      <c r="A2151" s="88" t="s">
        <v>17380</v>
      </c>
      <c r="B2151" s="1" t="e">
        <v>#N/A</v>
      </c>
      <c r="C2151" s="1" t="e">
        <v>#N/A</v>
      </c>
      <c r="D2151" s="1" t="s">
        <v>5741</v>
      </c>
      <c r="E2151" s="1" t="s">
        <v>5742</v>
      </c>
      <c r="F2151" s="1" t="s">
        <v>10008</v>
      </c>
      <c r="G2151" s="1" t="s">
        <v>8959</v>
      </c>
      <c r="H2151" t="s">
        <v>8959</v>
      </c>
      <c r="I2151" s="1" t="s">
        <v>9075</v>
      </c>
      <c r="J2151" s="1" t="s">
        <v>20930</v>
      </c>
      <c r="K2151" s="1" t="s">
        <v>21233</v>
      </c>
      <c r="L2151" s="1" t="s">
        <v>8987</v>
      </c>
      <c r="M2151" s="1">
        <v>778</v>
      </c>
      <c r="N2151" s="1" t="s">
        <v>8953</v>
      </c>
      <c r="O2151" s="1" t="s">
        <v>8989</v>
      </c>
      <c r="P2151" s="1" t="e">
        <v>#N/A</v>
      </c>
      <c r="Q2151" s="1" t="e">
        <v>#N/A</v>
      </c>
      <c r="R2151" s="1">
        <f t="shared" si="628"/>
        <v>4</v>
      </c>
      <c r="S2151" s="1" t="str">
        <f t="shared" si="629"/>
        <v>&lt;4</v>
      </c>
      <c r="T2151" s="1" t="s">
        <v>20663</v>
      </c>
      <c r="U2151" s="1" t="s">
        <v>7</v>
      </c>
      <c r="V2151" s="1" t="s">
        <v>2024</v>
      </c>
      <c r="W2151" s="1"/>
    </row>
    <row r="2152" spans="1:23" x14ac:dyDescent="0.2">
      <c r="A2152" s="88" t="s">
        <v>17381</v>
      </c>
      <c r="B2152" s="1" t="e">
        <v>#N/A</v>
      </c>
      <c r="C2152" s="1" t="e">
        <v>#N/A</v>
      </c>
      <c r="D2152" s="1" t="s">
        <v>5743</v>
      </c>
      <c r="E2152" s="1" t="s">
        <v>5744</v>
      </c>
      <c r="F2152" s="1" t="s">
        <v>10008</v>
      </c>
      <c r="G2152" s="1" t="s">
        <v>8959</v>
      </c>
      <c r="H2152" t="s">
        <v>8959</v>
      </c>
      <c r="I2152" s="1" t="s">
        <v>9075</v>
      </c>
      <c r="J2152" s="1" t="s">
        <v>20930</v>
      </c>
      <c r="K2152" s="1" t="s">
        <v>21286</v>
      </c>
      <c r="L2152" s="1" t="s">
        <v>9292</v>
      </c>
      <c r="M2152" s="1">
        <v>778</v>
      </c>
      <c r="N2152" s="1" t="s">
        <v>8953</v>
      </c>
      <c r="O2152" s="1" t="s">
        <v>8989</v>
      </c>
      <c r="P2152" s="1" t="e">
        <v>#N/A</v>
      </c>
      <c r="Q2152" s="1" t="e">
        <v>#N/A</v>
      </c>
      <c r="R2152" s="1">
        <f t="shared" si="628"/>
        <v>3</v>
      </c>
      <c r="S2152" s="1" t="str">
        <f t="shared" si="629"/>
        <v>&lt;4</v>
      </c>
      <c r="T2152" s="1" t="s">
        <v>20664</v>
      </c>
      <c r="U2152" s="1" t="s">
        <v>7</v>
      </c>
      <c r="V2152" s="1" t="s">
        <v>5745</v>
      </c>
      <c r="W2152" s="1"/>
    </row>
    <row r="2153" spans="1:23" x14ac:dyDescent="0.2">
      <c r="A2153" s="88" t="s">
        <v>17382</v>
      </c>
      <c r="B2153" s="1" t="e">
        <v>#N/A</v>
      </c>
      <c r="C2153" s="1" t="e">
        <v>#N/A</v>
      </c>
      <c r="D2153" s="1" t="s">
        <v>5746</v>
      </c>
      <c r="E2153" s="1" t="s">
        <v>5747</v>
      </c>
      <c r="F2153" s="1" t="s">
        <v>18502</v>
      </c>
      <c r="G2153" s="1" t="s">
        <v>8957</v>
      </c>
      <c r="H2153" t="s">
        <v>9061</v>
      </c>
      <c r="I2153" s="1" t="s">
        <v>9252</v>
      </c>
      <c r="J2153" s="1" t="s">
        <v>8949</v>
      </c>
      <c r="K2153" s="1" t="s">
        <v>20933</v>
      </c>
      <c r="L2153" s="1" t="s">
        <v>20932</v>
      </c>
      <c r="M2153" s="1">
        <v>195</v>
      </c>
      <c r="N2153" s="1" t="s">
        <v>9059</v>
      </c>
      <c r="O2153" s="1" t="s">
        <v>8954</v>
      </c>
      <c r="P2153" s="1" t="e">
        <v>#N/A</v>
      </c>
      <c r="Q2153" s="1" t="e">
        <v>#N/A</v>
      </c>
      <c r="R2153" s="1">
        <f t="shared" si="628"/>
        <v>7</v>
      </c>
      <c r="S2153" s="1" t="str">
        <f t="shared" si="629"/>
        <v>4-7</v>
      </c>
      <c r="T2153" s="1" t="s">
        <v>19769</v>
      </c>
      <c r="U2153" s="1" t="s">
        <v>7</v>
      </c>
      <c r="V2153" s="1" t="s">
        <v>93</v>
      </c>
      <c r="W2153" s="1"/>
    </row>
    <row r="2154" spans="1:23" x14ac:dyDescent="0.2">
      <c r="A2154" s="88" t="s">
        <v>17383</v>
      </c>
      <c r="B2154" s="1" t="e">
        <v>#N/A</v>
      </c>
      <c r="C2154" s="1" t="s">
        <v>9620</v>
      </c>
      <c r="D2154" s="1" t="s">
        <v>5748</v>
      </c>
      <c r="E2154" s="1" t="s">
        <v>5749</v>
      </c>
      <c r="F2154" s="1" t="s">
        <v>9010</v>
      </c>
      <c r="G2154" s="1" t="s">
        <v>8957</v>
      </c>
      <c r="H2154" t="s">
        <v>8959</v>
      </c>
      <c r="I2154" s="1" t="s">
        <v>8948</v>
      </c>
      <c r="J2154" s="1" t="s">
        <v>8998</v>
      </c>
      <c r="K2154" s="1" t="s">
        <v>10218</v>
      </c>
      <c r="L2154" s="1" t="s">
        <v>9133</v>
      </c>
      <c r="M2154" s="1">
        <v>9455</v>
      </c>
      <c r="N2154" s="1" t="s">
        <v>8953</v>
      </c>
      <c r="O2154" s="1" t="s">
        <v>8989</v>
      </c>
      <c r="P2154" s="1" t="s">
        <v>8955</v>
      </c>
      <c r="Q2154" s="1" t="s">
        <v>8956</v>
      </c>
      <c r="R2154" s="1" t="s">
        <v>8957</v>
      </c>
      <c r="S2154" s="1" t="s">
        <v>8975</v>
      </c>
      <c r="T2154" s="1" t="s">
        <v>5750</v>
      </c>
      <c r="U2154" s="1" t="s">
        <v>17</v>
      </c>
      <c r="V2154" s="1" t="s">
        <v>1918</v>
      </c>
      <c r="W2154" s="1"/>
    </row>
    <row r="2155" spans="1:23" x14ac:dyDescent="0.2">
      <c r="A2155" s="89" t="s">
        <v>17384</v>
      </c>
      <c r="B2155" s="1" t="e">
        <v>#N/A</v>
      </c>
      <c r="C2155" s="1" t="e">
        <v>#N/A</v>
      </c>
      <c r="D2155" s="1" t="s">
        <v>5751</v>
      </c>
      <c r="E2155" s="1" t="s">
        <v>5752</v>
      </c>
      <c r="F2155" s="1" t="e">
        <v>#N/A</v>
      </c>
      <c r="G2155" s="1" t="e">
        <v>#N/A</v>
      </c>
      <c r="H2155" t="e">
        <v>#N/A</v>
      </c>
      <c r="I2155" s="1" t="e">
        <v>#N/A</v>
      </c>
      <c r="J2155" s="1" t="e">
        <v>#N/A</v>
      </c>
      <c r="K2155" s="1" t="e">
        <v>#N/A</v>
      </c>
      <c r="L2155" s="1" t="e">
        <v>#N/A</v>
      </c>
      <c r="M2155" s="1" t="e">
        <v>#N/A</v>
      </c>
      <c r="N2155" s="1"/>
      <c r="O2155" s="1" t="e">
        <v>#N/A</v>
      </c>
      <c r="P2155" s="1" t="e">
        <v>#N/A</v>
      </c>
      <c r="Q2155" s="1" t="e">
        <v>#N/A</v>
      </c>
      <c r="R2155" s="1">
        <f>1+LEN(T2155)-LEN(SUBSTITUTE(T2155,",",))</f>
        <v>1</v>
      </c>
      <c r="S2155" s="1" t="str">
        <f>IF(R2155&gt;4,IF(R2155&lt;8,"4-7",IF(R2155&gt;7,"&gt;7")),"&lt;4")</f>
        <v>&lt;4</v>
      </c>
      <c r="U2155" s="1" t="s">
        <v>17</v>
      </c>
      <c r="V2155" s="1" t="s">
        <v>180</v>
      </c>
      <c r="W2155" s="1"/>
    </row>
    <row r="2156" spans="1:23" x14ac:dyDescent="0.2">
      <c r="A2156" s="88" t="s">
        <v>17385</v>
      </c>
      <c r="B2156" s="1" t="e">
        <v>#N/A</v>
      </c>
      <c r="C2156" s="1" t="s">
        <v>9520</v>
      </c>
      <c r="D2156" s="1" t="s">
        <v>5753</v>
      </c>
      <c r="E2156" s="1" t="s">
        <v>5754</v>
      </c>
      <c r="F2156" s="1" t="s">
        <v>9213</v>
      </c>
      <c r="G2156" s="1" t="s">
        <v>8957</v>
      </c>
      <c r="H2156" t="s">
        <v>8959</v>
      </c>
      <c r="I2156" s="1" t="s">
        <v>9075</v>
      </c>
      <c r="J2156" s="1" t="s">
        <v>8971</v>
      </c>
      <c r="K2156" s="1" t="s">
        <v>9523</v>
      </c>
      <c r="L2156" s="1" t="s">
        <v>8973</v>
      </c>
      <c r="M2156" s="1">
        <v>3372</v>
      </c>
      <c r="N2156" s="1" t="s">
        <v>8953</v>
      </c>
      <c r="O2156" s="1" t="s">
        <v>8954</v>
      </c>
      <c r="P2156" s="1" t="s">
        <v>8955</v>
      </c>
      <c r="Q2156" s="1" t="s">
        <v>8956</v>
      </c>
      <c r="R2156" s="1" t="s">
        <v>8957</v>
      </c>
      <c r="S2156" s="1" t="s">
        <v>8975</v>
      </c>
      <c r="T2156" s="1" t="s">
        <v>5755</v>
      </c>
      <c r="U2156" s="1" t="s">
        <v>17</v>
      </c>
      <c r="V2156" s="1" t="s">
        <v>93</v>
      </c>
      <c r="W2156" s="1"/>
    </row>
    <row r="2157" spans="1:23" x14ac:dyDescent="0.2">
      <c r="A2157" s="88" t="s">
        <v>17386</v>
      </c>
      <c r="B2157" s="1" t="e">
        <v>#N/A</v>
      </c>
      <c r="C2157" s="1" t="e">
        <v>#N/A</v>
      </c>
      <c r="D2157" s="1" t="s">
        <v>5756</v>
      </c>
      <c r="E2157" s="1" t="s">
        <v>5757</v>
      </c>
      <c r="F2157" s="1" t="s">
        <v>9213</v>
      </c>
      <c r="G2157" s="1" t="s">
        <v>8957</v>
      </c>
      <c r="H2157" t="s">
        <v>9061</v>
      </c>
      <c r="I2157" s="1" t="s">
        <v>8984</v>
      </c>
      <c r="J2157" s="1" t="s">
        <v>8998</v>
      </c>
      <c r="K2157" s="1" t="s">
        <v>20934</v>
      </c>
      <c r="L2157" s="1" t="s">
        <v>8973</v>
      </c>
      <c r="M2157" s="1">
        <v>11167</v>
      </c>
      <c r="N2157" s="1" t="s">
        <v>8953</v>
      </c>
      <c r="O2157" s="1" t="s">
        <v>8954</v>
      </c>
      <c r="P2157" s="1" t="e">
        <v>#N/A</v>
      </c>
      <c r="Q2157" s="1" t="e">
        <v>#N/A</v>
      </c>
      <c r="R2157" s="1">
        <f>1+LEN(T2157)-LEN(SUBSTITUTE(T2157,",",))</f>
        <v>11</v>
      </c>
      <c r="S2157" s="1" t="str">
        <f>IF(R2157&gt;4,IF(R2157&lt;8,"4-7",IF(R2157&gt;7,"&gt;7")),"&lt;4")</f>
        <v>&gt;7</v>
      </c>
      <c r="T2157" s="1" t="s">
        <v>19770</v>
      </c>
      <c r="U2157" s="1" t="s">
        <v>7</v>
      </c>
      <c r="V2157" s="1" t="s">
        <v>138</v>
      </c>
      <c r="W2157" s="1"/>
    </row>
    <row r="2158" spans="1:23" x14ac:dyDescent="0.2">
      <c r="A2158" s="88" t="s">
        <v>17387</v>
      </c>
      <c r="B2158" s="1" t="e">
        <v>#N/A</v>
      </c>
      <c r="C2158" s="1" t="s">
        <v>11477</v>
      </c>
      <c r="D2158" s="1" t="s">
        <v>5758</v>
      </c>
      <c r="E2158" s="1" t="s">
        <v>5759</v>
      </c>
      <c r="F2158" s="1" t="s">
        <v>9213</v>
      </c>
      <c r="G2158" s="1" t="s">
        <v>9060</v>
      </c>
      <c r="H2158" t="s">
        <v>9183</v>
      </c>
      <c r="I2158" s="1" t="s">
        <v>9092</v>
      </c>
      <c r="J2158" s="1" t="s">
        <v>8998</v>
      </c>
      <c r="K2158" s="1" t="s">
        <v>8972</v>
      </c>
      <c r="L2158" s="1" t="s">
        <v>9464</v>
      </c>
      <c r="M2158" s="1">
        <v>3500</v>
      </c>
      <c r="N2158" s="1" t="s">
        <v>8953</v>
      </c>
      <c r="O2158" s="1" t="s">
        <v>8989</v>
      </c>
      <c r="P2158" s="1" t="s">
        <v>8955</v>
      </c>
      <c r="Q2158" s="1" t="s">
        <v>8956</v>
      </c>
      <c r="R2158" s="1" t="s">
        <v>9060</v>
      </c>
      <c r="S2158" s="1" t="s">
        <v>8958</v>
      </c>
      <c r="T2158" s="1" t="s">
        <v>5760</v>
      </c>
      <c r="U2158" s="1" t="s">
        <v>11</v>
      </c>
      <c r="V2158" s="1" t="s">
        <v>93</v>
      </c>
      <c r="W2158" s="1"/>
    </row>
    <row r="2159" spans="1:23" x14ac:dyDescent="0.2">
      <c r="A2159" s="88" t="s">
        <v>17388</v>
      </c>
      <c r="B2159" s="1" t="e">
        <v>#N/A</v>
      </c>
      <c r="C2159" s="1" t="e">
        <v>#N/A</v>
      </c>
      <c r="D2159" s="1" t="s">
        <v>5761</v>
      </c>
      <c r="E2159" s="1" t="s">
        <v>5762</v>
      </c>
      <c r="F2159" s="1" t="s">
        <v>9213</v>
      </c>
      <c r="G2159" s="1" t="s">
        <v>8959</v>
      </c>
      <c r="H2159" t="s">
        <v>8959</v>
      </c>
      <c r="I2159" s="1" t="s">
        <v>9075</v>
      </c>
      <c r="J2159" s="1" t="s">
        <v>9155</v>
      </c>
      <c r="K2159" s="1" t="s">
        <v>20869</v>
      </c>
      <c r="L2159" s="1" t="s">
        <v>8973</v>
      </c>
      <c r="M2159" s="1">
        <f>63+393</f>
        <v>456</v>
      </c>
      <c r="N2159" s="1" t="s">
        <v>9059</v>
      </c>
      <c r="O2159" s="1" t="s">
        <v>8989</v>
      </c>
      <c r="P2159" s="1" t="e">
        <v>#N/A</v>
      </c>
      <c r="Q2159" s="1" t="e">
        <v>#N/A</v>
      </c>
      <c r="R2159" s="1">
        <f>1+LEN(T2159)-LEN(SUBSTITUTE(T2159,",",))</f>
        <v>8</v>
      </c>
      <c r="S2159" s="1" t="str">
        <f>IF(R2159&gt;4,IF(R2159&lt;8,"4-7",IF(R2159&gt;7,"&gt;7")),"&lt;4")</f>
        <v>&gt;7</v>
      </c>
      <c r="T2159" s="1" t="s">
        <v>19771</v>
      </c>
      <c r="U2159" s="1" t="s">
        <v>17</v>
      </c>
      <c r="V2159" s="1" t="s">
        <v>24</v>
      </c>
      <c r="W2159" s="1"/>
    </row>
    <row r="2160" spans="1:23" x14ac:dyDescent="0.2">
      <c r="A2160" s="88" t="s">
        <v>17389</v>
      </c>
      <c r="B2160" s="1" t="e">
        <v>#N/A</v>
      </c>
      <c r="C2160" s="1" t="s">
        <v>12181</v>
      </c>
      <c r="D2160" s="1" t="s">
        <v>5763</v>
      </c>
      <c r="E2160" s="1" t="s">
        <v>5764</v>
      </c>
      <c r="F2160" s="1" t="s">
        <v>9213</v>
      </c>
      <c r="G2160" s="1" t="s">
        <v>8957</v>
      </c>
      <c r="H2160" t="s">
        <v>9183</v>
      </c>
      <c r="I2160" s="1" t="s">
        <v>9100</v>
      </c>
      <c r="J2160" s="1" t="s">
        <v>8998</v>
      </c>
      <c r="K2160" s="1" t="s">
        <v>8972</v>
      </c>
      <c r="L2160" s="1" t="s">
        <v>9464</v>
      </c>
      <c r="M2160" s="1">
        <v>7670</v>
      </c>
      <c r="N2160" s="1" t="s">
        <v>8953</v>
      </c>
      <c r="O2160" s="1" t="s">
        <v>8989</v>
      </c>
      <c r="P2160" s="1" t="s">
        <v>8955</v>
      </c>
      <c r="Q2160" s="1" t="s">
        <v>8956</v>
      </c>
      <c r="R2160" s="1" t="s">
        <v>8957</v>
      </c>
      <c r="S2160" s="1" t="s">
        <v>8958</v>
      </c>
      <c r="T2160" s="1" t="s">
        <v>5765</v>
      </c>
      <c r="U2160" s="1" t="s">
        <v>11</v>
      </c>
      <c r="V2160" s="1" t="s">
        <v>378</v>
      </c>
      <c r="W2160" s="1"/>
    </row>
    <row r="2161" spans="1:23" x14ac:dyDescent="0.2">
      <c r="A2161" s="88" t="s">
        <v>17390</v>
      </c>
      <c r="B2161" s="1" t="e">
        <v>#N/A</v>
      </c>
      <c r="C2161" s="1" t="e">
        <v>#N/A</v>
      </c>
      <c r="D2161" s="1" t="s">
        <v>5766</v>
      </c>
      <c r="E2161" s="1" t="s">
        <v>5767</v>
      </c>
      <c r="F2161" s="1" t="s">
        <v>9213</v>
      </c>
      <c r="G2161" s="1" t="s">
        <v>8957</v>
      </c>
      <c r="H2161" t="s">
        <v>9183</v>
      </c>
      <c r="I2161" s="1" t="s">
        <v>20714</v>
      </c>
      <c r="J2161" s="1" t="s">
        <v>20935</v>
      </c>
      <c r="K2161" s="1" t="s">
        <v>18489</v>
      </c>
      <c r="L2161" s="1" t="s">
        <v>9076</v>
      </c>
      <c r="M2161" s="1">
        <f>1529+290</f>
        <v>1819</v>
      </c>
      <c r="N2161" s="1" t="s">
        <v>9059</v>
      </c>
      <c r="O2161" s="1" t="s">
        <v>8989</v>
      </c>
      <c r="P2161" s="1" t="e">
        <v>#N/A</v>
      </c>
      <c r="Q2161" s="1" t="e">
        <v>#N/A</v>
      </c>
      <c r="R2161" s="1">
        <f t="shared" ref="R2161:R2163" si="630">1+LEN(T2161)-LEN(SUBSTITUTE(T2161,",",))</f>
        <v>3</v>
      </c>
      <c r="S2161" s="1" t="str">
        <f t="shared" ref="S2161:S2163" si="631">IF(R2161&gt;4,IF(R2161&lt;8,"4-7",IF(R2161&gt;7,"&gt;7")),"&lt;4")</f>
        <v>&lt;4</v>
      </c>
      <c r="T2161" s="1" t="s">
        <v>19772</v>
      </c>
      <c r="U2161" s="1" t="s">
        <v>7</v>
      </c>
      <c r="V2161" s="1" t="s">
        <v>110</v>
      </c>
      <c r="W2161" s="1"/>
    </row>
    <row r="2162" spans="1:23" x14ac:dyDescent="0.2">
      <c r="A2162" s="88" t="s">
        <v>17391</v>
      </c>
      <c r="B2162" s="1" t="e">
        <v>#N/A</v>
      </c>
      <c r="C2162" s="1" t="e">
        <v>#N/A</v>
      </c>
      <c r="D2162" s="1" t="s">
        <v>5768</v>
      </c>
      <c r="E2162" s="1" t="s">
        <v>5769</v>
      </c>
      <c r="F2162" s="1" t="s">
        <v>18502</v>
      </c>
      <c r="G2162" s="1" t="s">
        <v>8974</v>
      </c>
      <c r="H2162" t="s">
        <v>9061</v>
      </c>
      <c r="I2162" s="1" t="s">
        <v>8984</v>
      </c>
      <c r="J2162" s="1" t="s">
        <v>8998</v>
      </c>
      <c r="K2162" s="1" t="s">
        <v>20936</v>
      </c>
      <c r="L2162" s="1" t="s">
        <v>8973</v>
      </c>
      <c r="M2162" s="1">
        <v>1150</v>
      </c>
      <c r="N2162" s="1" t="s">
        <v>8953</v>
      </c>
      <c r="O2162" s="1" t="s">
        <v>8989</v>
      </c>
      <c r="P2162" s="1" t="e">
        <v>#N/A</v>
      </c>
      <c r="Q2162" s="1" t="e">
        <v>#N/A</v>
      </c>
      <c r="R2162" s="1">
        <f t="shared" si="630"/>
        <v>13</v>
      </c>
      <c r="S2162" s="1" t="str">
        <f t="shared" si="631"/>
        <v>&gt;7</v>
      </c>
      <c r="T2162" s="1" t="s">
        <v>19773</v>
      </c>
      <c r="U2162" s="1" t="s">
        <v>7</v>
      </c>
      <c r="V2162" s="1" t="s">
        <v>2865</v>
      </c>
      <c r="W2162" s="1"/>
    </row>
    <row r="2163" spans="1:23" x14ac:dyDescent="0.2">
      <c r="A2163" s="88" t="s">
        <v>17392</v>
      </c>
      <c r="B2163" s="1" t="e">
        <v>#N/A</v>
      </c>
      <c r="C2163" s="1" t="e">
        <v>#N/A</v>
      </c>
      <c r="D2163" s="1" t="s">
        <v>5770</v>
      </c>
      <c r="E2163" s="1" t="s">
        <v>5771</v>
      </c>
      <c r="F2163" s="1" t="s">
        <v>9213</v>
      </c>
      <c r="G2163" s="1" t="s">
        <v>8957</v>
      </c>
      <c r="H2163" t="s">
        <v>20937</v>
      </c>
      <c r="I2163" s="1" t="s">
        <v>9035</v>
      </c>
      <c r="J2163" s="1" t="s">
        <v>8998</v>
      </c>
      <c r="K2163" s="1" t="s">
        <v>20938</v>
      </c>
      <c r="L2163" s="1" t="s">
        <v>8973</v>
      </c>
      <c r="M2163" s="1">
        <v>100</v>
      </c>
      <c r="N2163" s="1" t="s">
        <v>9059</v>
      </c>
      <c r="O2163" s="1" t="s">
        <v>8989</v>
      </c>
      <c r="P2163" s="1" t="e">
        <v>#N/A</v>
      </c>
      <c r="Q2163" s="1" t="e">
        <v>#N/A</v>
      </c>
      <c r="R2163" s="1">
        <f t="shared" si="630"/>
        <v>8</v>
      </c>
      <c r="S2163" s="1" t="str">
        <f t="shared" si="631"/>
        <v>&gt;7</v>
      </c>
      <c r="T2163" s="1" t="s">
        <v>19774</v>
      </c>
      <c r="U2163" s="1" t="s">
        <v>17</v>
      </c>
      <c r="V2163" s="1" t="s">
        <v>138</v>
      </c>
      <c r="W2163" s="1"/>
    </row>
    <row r="2164" spans="1:23" x14ac:dyDescent="0.2">
      <c r="A2164" s="88" t="s">
        <v>17393</v>
      </c>
      <c r="B2164" s="1" t="e">
        <v>#N/A</v>
      </c>
      <c r="C2164" s="1" t="s">
        <v>15084</v>
      </c>
      <c r="D2164" s="1" t="s">
        <v>5772</v>
      </c>
      <c r="E2164" s="1" t="s">
        <v>5773</v>
      </c>
      <c r="F2164" s="1" t="s">
        <v>9213</v>
      </c>
      <c r="G2164" s="1" t="s">
        <v>8957</v>
      </c>
      <c r="H2164" t="s">
        <v>9061</v>
      </c>
      <c r="I2164" s="1" t="s">
        <v>9035</v>
      </c>
      <c r="J2164" s="1" t="s">
        <v>9308</v>
      </c>
      <c r="K2164" s="1" t="s">
        <v>9036</v>
      </c>
      <c r="L2164" s="1" t="s">
        <v>8951</v>
      </c>
      <c r="M2164" s="1">
        <v>11137</v>
      </c>
      <c r="N2164" s="1" t="s">
        <v>8953</v>
      </c>
      <c r="O2164" s="1" t="s">
        <v>8954</v>
      </c>
      <c r="P2164" s="1" t="s">
        <v>8955</v>
      </c>
      <c r="Q2164" s="1" t="s">
        <v>8956</v>
      </c>
      <c r="R2164" s="1" t="s">
        <v>8957</v>
      </c>
      <c r="S2164" s="1" t="s">
        <v>8958</v>
      </c>
      <c r="T2164" s="1" t="s">
        <v>5774</v>
      </c>
      <c r="U2164" s="1" t="s">
        <v>17</v>
      </c>
      <c r="V2164" s="1" t="s">
        <v>147</v>
      </c>
      <c r="W2164" s="1"/>
    </row>
    <row r="2165" spans="1:23" x14ac:dyDescent="0.2">
      <c r="A2165" s="88" t="s">
        <v>17394</v>
      </c>
      <c r="B2165" s="1" t="e">
        <v>#N/A</v>
      </c>
      <c r="C2165" s="1" t="e">
        <v>#N/A</v>
      </c>
      <c r="D2165" s="1" t="s">
        <v>5775</v>
      </c>
      <c r="E2165" s="1" t="s">
        <v>5776</v>
      </c>
      <c r="F2165" s="1" t="s">
        <v>9213</v>
      </c>
      <c r="G2165" s="1" t="s">
        <v>8957</v>
      </c>
      <c r="H2165" t="s">
        <v>9061</v>
      </c>
      <c r="I2165" s="1" t="s">
        <v>9035</v>
      </c>
      <c r="J2165" s="1" t="s">
        <v>9308</v>
      </c>
      <c r="K2165" s="1" t="s">
        <v>20938</v>
      </c>
      <c r="L2165" s="1" t="s">
        <v>8951</v>
      </c>
      <c r="M2165" s="1">
        <v>15809</v>
      </c>
      <c r="N2165" s="1" t="s">
        <v>8953</v>
      </c>
      <c r="O2165" s="1" t="s">
        <v>8954</v>
      </c>
      <c r="P2165" s="1" t="e">
        <v>#N/A</v>
      </c>
      <c r="Q2165" s="1" t="e">
        <v>#N/A</v>
      </c>
      <c r="R2165" s="1">
        <f t="shared" ref="R2165:R2168" si="632">1+LEN(T2165)-LEN(SUBSTITUTE(T2165,",",))</f>
        <v>7</v>
      </c>
      <c r="S2165" s="1" t="str">
        <f t="shared" ref="S2165:S2168" si="633">IF(R2165&gt;4,IF(R2165&lt;8,"4-7",IF(R2165&gt;7,"&gt;7")),"&lt;4")</f>
        <v>4-7</v>
      </c>
      <c r="T2165" s="1" t="s">
        <v>19775</v>
      </c>
      <c r="U2165" s="1" t="s">
        <v>7</v>
      </c>
      <c r="V2165" s="1" t="s">
        <v>147</v>
      </c>
      <c r="W2165" s="1"/>
    </row>
    <row r="2166" spans="1:23" x14ac:dyDescent="0.2">
      <c r="A2166" s="88" t="s">
        <v>17395</v>
      </c>
      <c r="B2166" s="1" t="e">
        <v>#N/A</v>
      </c>
      <c r="C2166" s="1" t="e">
        <v>#N/A</v>
      </c>
      <c r="D2166" s="1" t="s">
        <v>15483</v>
      </c>
      <c r="E2166" s="1" t="s">
        <v>5777</v>
      </c>
      <c r="F2166" s="1" t="s">
        <v>9213</v>
      </c>
      <c r="G2166" s="1" t="s">
        <v>9060</v>
      </c>
      <c r="H2166" t="s">
        <v>9061</v>
      </c>
      <c r="I2166" s="1" t="s">
        <v>9943</v>
      </c>
      <c r="J2166" s="1" t="s">
        <v>8971</v>
      </c>
      <c r="K2166" s="1" t="s">
        <v>21234</v>
      </c>
      <c r="L2166" s="1" t="s">
        <v>20939</v>
      </c>
      <c r="M2166" s="1">
        <v>4919</v>
      </c>
      <c r="N2166" s="1" t="s">
        <v>8953</v>
      </c>
      <c r="O2166" s="1" t="s">
        <v>8954</v>
      </c>
      <c r="P2166" s="1" t="e">
        <v>#N/A</v>
      </c>
      <c r="Q2166" s="1" t="e">
        <v>#N/A</v>
      </c>
      <c r="R2166" s="1">
        <f t="shared" si="632"/>
        <v>8</v>
      </c>
      <c r="S2166" s="1" t="str">
        <f t="shared" si="633"/>
        <v>&gt;7</v>
      </c>
      <c r="T2166" s="1" t="s">
        <v>19776</v>
      </c>
      <c r="U2166" s="1" t="s">
        <v>17</v>
      </c>
      <c r="V2166" s="1" t="s">
        <v>24</v>
      </c>
      <c r="W2166" s="1"/>
    </row>
    <row r="2167" spans="1:23" x14ac:dyDescent="0.2">
      <c r="A2167" s="89" t="s">
        <v>5778</v>
      </c>
      <c r="B2167" s="1" t="e">
        <v>#N/A</v>
      </c>
      <c r="C2167" s="1" t="e">
        <v>#N/A</v>
      </c>
      <c r="D2167" s="1" t="s">
        <v>5779</v>
      </c>
      <c r="E2167" s="1" t="s">
        <v>5780</v>
      </c>
      <c r="F2167" s="1" t="e">
        <v>#N/A</v>
      </c>
      <c r="G2167" s="1" t="e">
        <v>#N/A</v>
      </c>
      <c r="H2167" t="e">
        <v>#N/A</v>
      </c>
      <c r="I2167" s="1" t="e">
        <v>#N/A</v>
      </c>
      <c r="J2167" s="1" t="e">
        <v>#N/A</v>
      </c>
      <c r="K2167" s="1" t="e">
        <v>#N/A</v>
      </c>
      <c r="L2167" s="1" t="e">
        <v>#N/A</v>
      </c>
      <c r="M2167" s="1" t="e">
        <v>#N/A</v>
      </c>
      <c r="N2167" s="1"/>
      <c r="O2167" s="1" t="e">
        <v>#N/A</v>
      </c>
      <c r="P2167" s="1" t="e">
        <v>#N/A</v>
      </c>
      <c r="Q2167" s="1" t="e">
        <v>#N/A</v>
      </c>
      <c r="R2167" s="1">
        <f t="shared" si="632"/>
        <v>5</v>
      </c>
      <c r="S2167" s="1" t="str">
        <f t="shared" si="633"/>
        <v>4-7</v>
      </c>
      <c r="T2167" s="1" t="s">
        <v>19777</v>
      </c>
      <c r="U2167" s="1" t="s">
        <v>11</v>
      </c>
      <c r="V2167" s="1" t="s">
        <v>39</v>
      </c>
      <c r="W2167" s="1"/>
    </row>
    <row r="2168" spans="1:23" x14ac:dyDescent="0.2">
      <c r="A2168" s="88" t="s">
        <v>17396</v>
      </c>
      <c r="B2168" s="1" t="e">
        <v>#N/A</v>
      </c>
      <c r="C2168" s="1" t="e">
        <v>#N/A</v>
      </c>
      <c r="D2168" s="1" t="s">
        <v>5781</v>
      </c>
      <c r="E2168" s="1" t="s">
        <v>5782</v>
      </c>
      <c r="F2168" s="1" t="s">
        <v>9176</v>
      </c>
      <c r="G2168" s="1" t="s">
        <v>8959</v>
      </c>
      <c r="H2168" t="s">
        <v>9183</v>
      </c>
      <c r="I2168" s="1" t="s">
        <v>8948</v>
      </c>
      <c r="J2168" s="1" t="s">
        <v>8998</v>
      </c>
      <c r="K2168" s="1" t="s">
        <v>18489</v>
      </c>
      <c r="L2168" s="1" t="s">
        <v>9292</v>
      </c>
      <c r="M2168" s="1">
        <v>447</v>
      </c>
      <c r="N2168" s="1" t="s">
        <v>8953</v>
      </c>
      <c r="O2168" s="1" t="s">
        <v>8989</v>
      </c>
      <c r="P2168" s="1" t="e">
        <v>#N/A</v>
      </c>
      <c r="Q2168" s="1" t="e">
        <v>#N/A</v>
      </c>
      <c r="R2168" s="1">
        <f t="shared" si="632"/>
        <v>10</v>
      </c>
      <c r="S2168" s="1" t="str">
        <f t="shared" si="633"/>
        <v>&gt;7</v>
      </c>
      <c r="T2168" s="1" t="s">
        <v>19778</v>
      </c>
      <c r="U2168" s="1" t="s">
        <v>7</v>
      </c>
      <c r="V2168" s="1" t="s">
        <v>3021</v>
      </c>
      <c r="W2168" s="1"/>
    </row>
    <row r="2169" spans="1:23" x14ac:dyDescent="0.2">
      <c r="A2169" s="88" t="s">
        <v>17397</v>
      </c>
      <c r="B2169" s="1" t="e">
        <v>#N/A</v>
      </c>
      <c r="C2169" s="1" t="s">
        <v>13953</v>
      </c>
      <c r="D2169" s="1" t="s">
        <v>5783</v>
      </c>
      <c r="E2169" s="1" t="s">
        <v>5784</v>
      </c>
      <c r="F2169" s="1" t="s">
        <v>9407</v>
      </c>
      <c r="G2169" s="1" t="s">
        <v>8957</v>
      </c>
      <c r="H2169" t="s">
        <v>8959</v>
      </c>
      <c r="I2169" s="1" t="s">
        <v>9605</v>
      </c>
      <c r="J2169" s="1" t="s">
        <v>9101</v>
      </c>
      <c r="K2169" s="1" t="s">
        <v>9036</v>
      </c>
      <c r="L2169" s="1" t="s">
        <v>8987</v>
      </c>
      <c r="M2169" s="1">
        <v>7132</v>
      </c>
      <c r="N2169" s="1"/>
      <c r="O2169" s="1" t="s">
        <v>8989</v>
      </c>
      <c r="P2169" s="1" t="s">
        <v>8955</v>
      </c>
      <c r="Q2169" s="1" t="s">
        <v>8956</v>
      </c>
      <c r="R2169" s="1" t="s">
        <v>8957</v>
      </c>
      <c r="S2169" s="1" t="s">
        <v>9103</v>
      </c>
      <c r="T2169" s="1" t="s">
        <v>5785</v>
      </c>
      <c r="U2169" s="1" t="s">
        <v>4</v>
      </c>
      <c r="V2169" s="1" t="s">
        <v>5786</v>
      </c>
      <c r="W2169" s="1"/>
    </row>
    <row r="2170" spans="1:23" x14ac:dyDescent="0.2">
      <c r="A2170" s="88" t="s">
        <v>17398</v>
      </c>
      <c r="B2170" s="1" t="e">
        <v>#N/A</v>
      </c>
      <c r="C2170" s="1" t="e">
        <v>#N/A</v>
      </c>
      <c r="D2170" s="1" t="s">
        <v>5787</v>
      </c>
      <c r="E2170" s="1" t="s">
        <v>5788</v>
      </c>
      <c r="F2170" s="1" t="s">
        <v>18502</v>
      </c>
      <c r="G2170" s="1" t="s">
        <v>8957</v>
      </c>
      <c r="H2170" t="s">
        <v>8959</v>
      </c>
      <c r="I2170" s="1" t="s">
        <v>8948</v>
      </c>
      <c r="J2170" s="1" t="s">
        <v>8949</v>
      </c>
      <c r="K2170" s="1" t="s">
        <v>20940</v>
      </c>
      <c r="L2170" s="1" t="s">
        <v>8951</v>
      </c>
      <c r="M2170" s="1">
        <v>1424</v>
      </c>
      <c r="N2170" s="1" t="s">
        <v>9059</v>
      </c>
      <c r="O2170" s="1" t="s">
        <v>8954</v>
      </c>
      <c r="P2170" s="1" t="e">
        <v>#N/A</v>
      </c>
      <c r="Q2170" s="1" t="e">
        <v>#N/A</v>
      </c>
      <c r="R2170" s="1">
        <f t="shared" ref="R2170:R2180" si="634">1+LEN(T2170)-LEN(SUBSTITUTE(T2170,",",))</f>
        <v>8</v>
      </c>
      <c r="S2170" s="1" t="str">
        <f t="shared" ref="S2170:S2180" si="635">IF(R2170&gt;4,IF(R2170&lt;8,"4-7",IF(R2170&gt;7,"&gt;7")),"&lt;4")</f>
        <v>&gt;7</v>
      </c>
      <c r="T2170" s="1" t="s">
        <v>20665</v>
      </c>
      <c r="U2170" s="1" t="s">
        <v>17</v>
      </c>
      <c r="V2170" s="1" t="s">
        <v>322</v>
      </c>
      <c r="W2170" s="1"/>
    </row>
    <row r="2171" spans="1:23" x14ac:dyDescent="0.2">
      <c r="A2171" s="88" t="s">
        <v>17399</v>
      </c>
      <c r="B2171" s="1" t="e">
        <v>#N/A</v>
      </c>
      <c r="C2171" s="1" t="e">
        <v>#N/A</v>
      </c>
      <c r="D2171" s="1" t="s">
        <v>5789</v>
      </c>
      <c r="E2171" s="1" t="s">
        <v>5790</v>
      </c>
      <c r="F2171" s="1" t="s">
        <v>9317</v>
      </c>
      <c r="G2171" s="1" t="s">
        <v>8957</v>
      </c>
      <c r="H2171" t="s">
        <v>8959</v>
      </c>
      <c r="I2171" s="1" t="s">
        <v>9035</v>
      </c>
      <c r="J2171" s="1" t="s">
        <v>9308</v>
      </c>
      <c r="K2171" s="1" t="s">
        <v>20736</v>
      </c>
      <c r="L2171" s="1" t="s">
        <v>8987</v>
      </c>
      <c r="M2171" s="1">
        <f>138+662+304</f>
        <v>1104</v>
      </c>
      <c r="N2171" s="1" t="s">
        <v>9059</v>
      </c>
      <c r="O2171" s="1" t="s">
        <v>8954</v>
      </c>
      <c r="P2171" s="1" t="e">
        <v>#N/A</v>
      </c>
      <c r="Q2171" s="1" t="e">
        <v>#N/A</v>
      </c>
      <c r="R2171" s="1">
        <f t="shared" si="634"/>
        <v>5</v>
      </c>
      <c r="S2171" s="1" t="str">
        <f t="shared" si="635"/>
        <v>4-7</v>
      </c>
      <c r="T2171" s="1" t="s">
        <v>19779</v>
      </c>
      <c r="U2171" s="1" t="s">
        <v>17</v>
      </c>
      <c r="V2171" s="1" t="s">
        <v>24</v>
      </c>
      <c r="W2171" s="1"/>
    </row>
    <row r="2172" spans="1:23" x14ac:dyDescent="0.2">
      <c r="A2172" s="89" t="s">
        <v>17400</v>
      </c>
      <c r="B2172" s="1" t="e">
        <v>#N/A</v>
      </c>
      <c r="C2172" s="1" t="e">
        <v>#N/A</v>
      </c>
      <c r="D2172" s="1" t="s">
        <v>5791</v>
      </c>
      <c r="E2172" s="1" t="s">
        <v>5792</v>
      </c>
      <c r="F2172" s="1" t="e">
        <v>#N/A</v>
      </c>
      <c r="G2172" s="1" t="e">
        <v>#N/A</v>
      </c>
      <c r="H2172" t="e">
        <v>#N/A</v>
      </c>
      <c r="I2172" s="1" t="e">
        <v>#N/A</v>
      </c>
      <c r="J2172" s="1" t="e">
        <v>#N/A</v>
      </c>
      <c r="K2172" s="1" t="e">
        <v>#N/A</v>
      </c>
      <c r="L2172" s="1" t="e">
        <v>#N/A</v>
      </c>
      <c r="M2172" s="1" t="e">
        <v>#N/A</v>
      </c>
      <c r="N2172" s="1"/>
      <c r="O2172" s="1" t="e">
        <v>#N/A</v>
      </c>
      <c r="P2172" s="1" t="e">
        <v>#N/A</v>
      </c>
      <c r="Q2172" s="1" t="e">
        <v>#N/A</v>
      </c>
      <c r="R2172" s="1">
        <f t="shared" si="634"/>
        <v>7</v>
      </c>
      <c r="S2172" s="1" t="str">
        <f t="shared" si="635"/>
        <v>4-7</v>
      </c>
      <c r="T2172" s="1" t="s">
        <v>19780</v>
      </c>
      <c r="U2172" s="1" t="s">
        <v>242</v>
      </c>
      <c r="V2172" s="1" t="s">
        <v>5793</v>
      </c>
      <c r="W2172" s="1"/>
    </row>
    <row r="2173" spans="1:23" x14ac:dyDescent="0.2">
      <c r="A2173" s="89" t="s">
        <v>17401</v>
      </c>
      <c r="B2173" s="1" t="e">
        <v>#N/A</v>
      </c>
      <c r="C2173" s="1" t="e">
        <v>#N/A</v>
      </c>
      <c r="D2173" s="5" t="s">
        <v>5794</v>
      </c>
      <c r="E2173" s="1" t="s">
        <v>5795</v>
      </c>
      <c r="F2173" s="1" t="e">
        <v>#N/A</v>
      </c>
      <c r="G2173" s="1" t="e">
        <v>#N/A</v>
      </c>
      <c r="H2173" t="e">
        <v>#N/A</v>
      </c>
      <c r="I2173" s="1" t="e">
        <v>#N/A</v>
      </c>
      <c r="J2173" s="1" t="e">
        <v>#N/A</v>
      </c>
      <c r="K2173" s="1" t="e">
        <v>#N/A</v>
      </c>
      <c r="L2173" s="1" t="e">
        <v>#N/A</v>
      </c>
      <c r="M2173" s="1" t="e">
        <v>#N/A</v>
      </c>
      <c r="N2173" s="1"/>
      <c r="O2173" s="1" t="e">
        <v>#N/A</v>
      </c>
      <c r="P2173" s="1" t="e">
        <v>#N/A</v>
      </c>
      <c r="Q2173" s="1" t="e">
        <v>#N/A</v>
      </c>
      <c r="R2173" s="1">
        <f t="shared" si="634"/>
        <v>3</v>
      </c>
      <c r="S2173" s="1" t="str">
        <f t="shared" si="635"/>
        <v>&lt;4</v>
      </c>
      <c r="T2173" s="1" t="s">
        <v>19781</v>
      </c>
      <c r="U2173" s="1" t="s">
        <v>7</v>
      </c>
      <c r="V2173" s="1" t="s">
        <v>107</v>
      </c>
      <c r="W2173" s="1"/>
    </row>
    <row r="2174" spans="1:23" x14ac:dyDescent="0.2">
      <c r="A2174" s="88" t="s">
        <v>17402</v>
      </c>
      <c r="B2174" s="1" t="e">
        <v>#N/A</v>
      </c>
      <c r="C2174" s="1" t="e">
        <v>#N/A</v>
      </c>
      <c r="D2174" s="1" t="s">
        <v>5796</v>
      </c>
      <c r="E2174" s="1" t="s">
        <v>5797</v>
      </c>
      <c r="F2174" s="1" t="s">
        <v>18502</v>
      </c>
      <c r="G2174" s="1" t="s">
        <v>8959</v>
      </c>
      <c r="H2174" t="s">
        <v>8959</v>
      </c>
      <c r="I2174" s="1" t="s">
        <v>9154</v>
      </c>
      <c r="J2174" s="1" t="s">
        <v>8971</v>
      </c>
      <c r="K2174" s="77" t="s">
        <v>21337</v>
      </c>
      <c r="L2174" s="1" t="s">
        <v>8951</v>
      </c>
      <c r="M2174" s="1">
        <v>2100</v>
      </c>
      <c r="N2174" s="1" t="s">
        <v>8953</v>
      </c>
      <c r="O2174" s="1" t="s">
        <v>8989</v>
      </c>
      <c r="P2174" s="1" t="e">
        <v>#N/A</v>
      </c>
      <c r="Q2174" s="1" t="e">
        <v>#N/A</v>
      </c>
      <c r="R2174" s="1">
        <f t="shared" si="634"/>
        <v>2</v>
      </c>
      <c r="S2174" s="1" t="str">
        <f t="shared" si="635"/>
        <v>&lt;4</v>
      </c>
      <c r="T2174" s="1" t="s">
        <v>20666</v>
      </c>
      <c r="U2174" s="1" t="s">
        <v>17</v>
      </c>
      <c r="V2174" s="1" t="s">
        <v>46</v>
      </c>
      <c r="W2174" s="1"/>
    </row>
    <row r="2175" spans="1:23" x14ac:dyDescent="0.2">
      <c r="A2175" s="88" t="s">
        <v>17403</v>
      </c>
      <c r="B2175" s="1" t="e">
        <v>#N/A</v>
      </c>
      <c r="C2175" s="1" t="e">
        <v>#N/A</v>
      </c>
      <c r="D2175" s="1" t="s">
        <v>5798</v>
      </c>
      <c r="E2175" s="1" t="s">
        <v>5799</v>
      </c>
      <c r="F2175" s="1" t="s">
        <v>10873</v>
      </c>
      <c r="G2175" s="1" t="s">
        <v>9060</v>
      </c>
      <c r="H2175" t="s">
        <v>8959</v>
      </c>
      <c r="I2175" s="1" t="s">
        <v>20712</v>
      </c>
      <c r="J2175" s="1" t="s">
        <v>8971</v>
      </c>
      <c r="K2175" s="1" t="s">
        <v>21429</v>
      </c>
      <c r="L2175" s="1" t="s">
        <v>8987</v>
      </c>
      <c r="M2175" s="1">
        <v>89</v>
      </c>
      <c r="N2175" s="1" t="s">
        <v>9059</v>
      </c>
      <c r="O2175" s="1" t="s">
        <v>8989</v>
      </c>
      <c r="P2175" s="1" t="e">
        <v>#N/A</v>
      </c>
      <c r="Q2175" s="1" t="e">
        <v>#N/A</v>
      </c>
      <c r="R2175" s="1">
        <f t="shared" si="634"/>
        <v>7</v>
      </c>
      <c r="S2175" s="1" t="str">
        <f t="shared" si="635"/>
        <v>4-7</v>
      </c>
      <c r="T2175" s="1" t="s">
        <v>19782</v>
      </c>
      <c r="U2175" s="1" t="s">
        <v>17</v>
      </c>
      <c r="V2175" s="1" t="s">
        <v>921</v>
      </c>
      <c r="W2175" s="1"/>
    </row>
    <row r="2176" spans="1:23" x14ac:dyDescent="0.2">
      <c r="A2176" s="88" t="s">
        <v>17404</v>
      </c>
      <c r="B2176" s="1" t="e">
        <v>#N/A</v>
      </c>
      <c r="C2176" s="1" t="e">
        <v>#N/A</v>
      </c>
      <c r="D2176" s="1" t="s">
        <v>5800</v>
      </c>
      <c r="E2176" s="1" t="s">
        <v>5801</v>
      </c>
      <c r="F2176" s="1" t="s">
        <v>10049</v>
      </c>
      <c r="G2176" s="1" t="s">
        <v>8959</v>
      </c>
      <c r="H2176" t="s">
        <v>8959</v>
      </c>
      <c r="I2176" s="1" t="s">
        <v>8948</v>
      </c>
      <c r="J2176" s="1" t="s">
        <v>8959</v>
      </c>
      <c r="K2176" s="1" t="s">
        <v>21287</v>
      </c>
      <c r="L2176" s="1" t="s">
        <v>8987</v>
      </c>
      <c r="M2176" s="1">
        <v>18</v>
      </c>
      <c r="N2176" s="1" t="s">
        <v>11658</v>
      </c>
      <c r="O2176" s="1" t="s">
        <v>8989</v>
      </c>
      <c r="P2176" s="1" t="e">
        <v>#N/A</v>
      </c>
      <c r="Q2176" s="1" t="e">
        <v>#N/A</v>
      </c>
      <c r="R2176" s="1">
        <f t="shared" si="634"/>
        <v>6</v>
      </c>
      <c r="S2176" s="1" t="str">
        <f t="shared" si="635"/>
        <v>4-7</v>
      </c>
      <c r="T2176" s="1" t="s">
        <v>19783</v>
      </c>
      <c r="U2176" s="1" t="s">
        <v>7</v>
      </c>
      <c r="V2176" s="1" t="s">
        <v>5</v>
      </c>
      <c r="W2176" s="1"/>
    </row>
    <row r="2177" spans="1:23" x14ac:dyDescent="0.2">
      <c r="A2177" s="88" t="s">
        <v>17405</v>
      </c>
      <c r="B2177" s="1" t="e">
        <v>#N/A</v>
      </c>
      <c r="C2177" s="1" t="e">
        <v>#N/A</v>
      </c>
      <c r="D2177" s="1" t="s">
        <v>5802</v>
      </c>
      <c r="E2177" s="1" t="s">
        <v>5803</v>
      </c>
      <c r="F2177" s="1" t="s">
        <v>10032</v>
      </c>
      <c r="G2177" s="1" t="s">
        <v>8957</v>
      </c>
      <c r="H2177" t="s">
        <v>8959</v>
      </c>
      <c r="I2177" s="1" t="s">
        <v>9092</v>
      </c>
      <c r="J2177" s="1" t="s">
        <v>8949</v>
      </c>
      <c r="K2177" s="1" t="s">
        <v>21316</v>
      </c>
      <c r="L2177" s="1" t="s">
        <v>8973</v>
      </c>
      <c r="M2177" s="1">
        <v>946</v>
      </c>
      <c r="N2177" s="1" t="s">
        <v>8953</v>
      </c>
      <c r="O2177" s="1" t="s">
        <v>8989</v>
      </c>
      <c r="P2177" s="1" t="e">
        <v>#N/A</v>
      </c>
      <c r="Q2177" s="1" t="e">
        <v>#N/A</v>
      </c>
      <c r="R2177" s="1">
        <f t="shared" si="634"/>
        <v>7</v>
      </c>
      <c r="S2177" s="1" t="str">
        <f t="shared" si="635"/>
        <v>4-7</v>
      </c>
      <c r="T2177" s="1" t="s">
        <v>19784</v>
      </c>
      <c r="U2177" s="1" t="s">
        <v>17</v>
      </c>
      <c r="V2177" s="1" t="s">
        <v>21</v>
      </c>
      <c r="W2177" s="1"/>
    </row>
    <row r="2178" spans="1:23" x14ac:dyDescent="0.2">
      <c r="A2178" s="88" t="s">
        <v>17406</v>
      </c>
      <c r="B2178" s="1" t="e">
        <v>#N/A</v>
      </c>
      <c r="C2178" s="1" t="e">
        <v>#N/A</v>
      </c>
      <c r="D2178" s="1" t="s">
        <v>5804</v>
      </c>
      <c r="E2178" s="1" t="s">
        <v>5805</v>
      </c>
      <c r="F2178" s="1" t="s">
        <v>18502</v>
      </c>
      <c r="G2178" s="1" t="s">
        <v>8957</v>
      </c>
      <c r="H2178" t="s">
        <v>8959</v>
      </c>
      <c r="I2178" s="1" t="s">
        <v>9035</v>
      </c>
      <c r="J2178" s="1" t="s">
        <v>8998</v>
      </c>
      <c r="K2178" s="1" t="s">
        <v>10525</v>
      </c>
      <c r="L2178" s="1" t="s">
        <v>9292</v>
      </c>
      <c r="M2178" s="1">
        <v>185</v>
      </c>
      <c r="N2178" s="1" t="s">
        <v>9059</v>
      </c>
      <c r="O2178" s="1" t="s">
        <v>8989</v>
      </c>
      <c r="P2178" s="1" t="e">
        <v>#N/A</v>
      </c>
      <c r="Q2178" s="1" t="e">
        <v>#N/A</v>
      </c>
      <c r="R2178" s="1">
        <f t="shared" si="634"/>
        <v>8</v>
      </c>
      <c r="S2178" s="1" t="str">
        <f t="shared" si="635"/>
        <v>&gt;7</v>
      </c>
      <c r="T2178" s="1" t="s">
        <v>19785</v>
      </c>
      <c r="U2178" s="1" t="s">
        <v>17</v>
      </c>
      <c r="V2178" s="1" t="s">
        <v>5806</v>
      </c>
      <c r="W2178" s="1"/>
    </row>
    <row r="2179" spans="1:23" x14ac:dyDescent="0.2">
      <c r="A2179" s="89" t="s">
        <v>17407</v>
      </c>
      <c r="B2179" s="1" t="e">
        <v>#N/A</v>
      </c>
      <c r="C2179" s="1" t="e">
        <v>#N/A</v>
      </c>
      <c r="D2179" s="5" t="s">
        <v>5807</v>
      </c>
      <c r="E2179" s="1" t="s">
        <v>5808</v>
      </c>
      <c r="F2179" s="1" t="e">
        <v>#N/A</v>
      </c>
      <c r="G2179" s="1" t="e">
        <v>#N/A</v>
      </c>
      <c r="H2179" t="e">
        <v>#N/A</v>
      </c>
      <c r="I2179" s="1" t="e">
        <v>#N/A</v>
      </c>
      <c r="J2179" s="1" t="e">
        <v>#N/A</v>
      </c>
      <c r="K2179" s="1" t="e">
        <v>#N/A</v>
      </c>
      <c r="L2179" s="1" t="e">
        <v>#N/A</v>
      </c>
      <c r="M2179" s="1" t="e">
        <v>#N/A</v>
      </c>
      <c r="N2179" s="1"/>
      <c r="O2179" s="1" t="e">
        <v>#N/A</v>
      </c>
      <c r="P2179" s="1" t="e">
        <v>#N/A</v>
      </c>
      <c r="Q2179" s="1" t="e">
        <v>#N/A</v>
      </c>
      <c r="R2179" s="1">
        <f t="shared" si="634"/>
        <v>7</v>
      </c>
      <c r="S2179" s="1" t="str">
        <f t="shared" si="635"/>
        <v>4-7</v>
      </c>
      <c r="T2179" s="1" t="s">
        <v>19786</v>
      </c>
      <c r="U2179" s="1" t="s">
        <v>17</v>
      </c>
      <c r="V2179" s="1" t="s">
        <v>5809</v>
      </c>
      <c r="W2179" s="1"/>
    </row>
    <row r="2180" spans="1:23" x14ac:dyDescent="0.2">
      <c r="A2180" s="89" t="s">
        <v>5810</v>
      </c>
      <c r="B2180" s="1" t="e">
        <v>#N/A</v>
      </c>
      <c r="C2180" s="1" t="e">
        <v>#N/A</v>
      </c>
      <c r="D2180" s="1" t="s">
        <v>5811</v>
      </c>
      <c r="E2180" s="1" t="s">
        <v>5812</v>
      </c>
      <c r="F2180" s="1" t="e">
        <v>#N/A</v>
      </c>
      <c r="G2180" s="1" t="e">
        <v>#N/A</v>
      </c>
      <c r="H2180" t="e">
        <v>#N/A</v>
      </c>
      <c r="I2180" s="1" t="e">
        <v>#N/A</v>
      </c>
      <c r="J2180" s="1" t="e">
        <v>#N/A</v>
      </c>
      <c r="K2180" s="1" t="e">
        <v>#N/A</v>
      </c>
      <c r="L2180" s="1" t="e">
        <v>#N/A</v>
      </c>
      <c r="M2180" s="1" t="e">
        <v>#N/A</v>
      </c>
      <c r="N2180" s="1"/>
      <c r="O2180" s="1" t="e">
        <v>#N/A</v>
      </c>
      <c r="P2180" s="1" t="e">
        <v>#N/A</v>
      </c>
      <c r="Q2180" s="1" t="e">
        <v>#N/A</v>
      </c>
      <c r="R2180" s="1">
        <f t="shared" si="634"/>
        <v>5</v>
      </c>
      <c r="S2180" s="1" t="str">
        <f t="shared" si="635"/>
        <v>4-7</v>
      </c>
      <c r="T2180" s="1" t="s">
        <v>19787</v>
      </c>
      <c r="U2180" s="1" t="s">
        <v>17</v>
      </c>
      <c r="V2180" s="1" t="s">
        <v>5494</v>
      </c>
      <c r="W2180" s="1"/>
    </row>
    <row r="2181" spans="1:23" x14ac:dyDescent="0.2">
      <c r="A2181" s="89" t="s">
        <v>5813</v>
      </c>
      <c r="B2181" s="1" t="e">
        <v>#N/A</v>
      </c>
      <c r="C2181" s="1" t="s">
        <v>11434</v>
      </c>
      <c r="D2181" s="1" t="s">
        <v>5814</v>
      </c>
      <c r="E2181" s="1" t="s">
        <v>5815</v>
      </c>
      <c r="F2181" s="1" t="s">
        <v>9010</v>
      </c>
      <c r="G2181" s="1" t="s">
        <v>8957</v>
      </c>
      <c r="H2181" t="s">
        <v>9183</v>
      </c>
      <c r="I2181" s="1" t="s">
        <v>9092</v>
      </c>
      <c r="J2181" s="1" t="s">
        <v>9155</v>
      </c>
      <c r="K2181" s="1" t="s">
        <v>9036</v>
      </c>
      <c r="L2181" s="1" t="s">
        <v>9133</v>
      </c>
      <c r="M2181" s="1">
        <v>39593</v>
      </c>
      <c r="N2181" s="1" t="s">
        <v>8953</v>
      </c>
      <c r="O2181" s="1" t="s">
        <v>8989</v>
      </c>
      <c r="P2181" s="1" t="s">
        <v>8955</v>
      </c>
      <c r="Q2181" s="1" t="s">
        <v>8956</v>
      </c>
      <c r="R2181" s="1" t="s">
        <v>8957</v>
      </c>
      <c r="S2181" s="1" t="s">
        <v>9103</v>
      </c>
      <c r="T2181" s="1" t="s">
        <v>5816</v>
      </c>
      <c r="U2181" s="1" t="s">
        <v>17</v>
      </c>
      <c r="V2181" s="1" t="s">
        <v>863</v>
      </c>
      <c r="W2181" s="1"/>
    </row>
    <row r="2182" spans="1:23" x14ac:dyDescent="0.2">
      <c r="A2182" s="88" t="s">
        <v>17408</v>
      </c>
      <c r="B2182" s="1" t="e">
        <v>#N/A</v>
      </c>
      <c r="C2182" s="1" t="e">
        <v>#N/A</v>
      </c>
      <c r="D2182" s="1" t="s">
        <v>5817</v>
      </c>
      <c r="E2182" s="1" t="s">
        <v>5818</v>
      </c>
      <c r="F2182" s="1" t="s">
        <v>18502</v>
      </c>
      <c r="G2182" s="1" t="s">
        <v>9060</v>
      </c>
      <c r="H2182" t="s">
        <v>9061</v>
      </c>
      <c r="I2182" s="1" t="s">
        <v>9092</v>
      </c>
      <c r="J2182" s="1" t="s">
        <v>8949</v>
      </c>
      <c r="K2182" s="1" t="s">
        <v>20869</v>
      </c>
      <c r="L2182" s="1" t="s">
        <v>20941</v>
      </c>
      <c r="M2182" s="1">
        <v>1478</v>
      </c>
      <c r="N2182" s="1" t="s">
        <v>8953</v>
      </c>
      <c r="O2182" s="1" t="s">
        <v>8989</v>
      </c>
      <c r="P2182" s="1" t="e">
        <v>#N/A</v>
      </c>
      <c r="Q2182" s="1" t="e">
        <v>#N/A</v>
      </c>
      <c r="R2182" s="1">
        <f t="shared" ref="R2182:R2192" si="636">1+LEN(T2182)-LEN(SUBSTITUTE(T2182,",",))</f>
        <v>6</v>
      </c>
      <c r="S2182" s="1" t="str">
        <f t="shared" ref="S2182:S2192" si="637">IF(R2182&gt;4,IF(R2182&lt;8,"4-7",IF(R2182&gt;7,"&gt;7")),"&lt;4")</f>
        <v>4-7</v>
      </c>
      <c r="T2182" s="1" t="s">
        <v>19788</v>
      </c>
      <c r="U2182" s="1" t="s">
        <v>17</v>
      </c>
      <c r="V2182" s="1" t="s">
        <v>619</v>
      </c>
      <c r="W2182" s="1"/>
    </row>
    <row r="2183" spans="1:23" x14ac:dyDescent="0.2">
      <c r="A2183" s="88" t="s">
        <v>17409</v>
      </c>
      <c r="B2183" s="1" t="e">
        <v>#N/A</v>
      </c>
      <c r="C2183" s="1" t="e">
        <v>#N/A</v>
      </c>
      <c r="D2183" s="1" t="s">
        <v>5819</v>
      </c>
      <c r="E2183" s="1" t="s">
        <v>5820</v>
      </c>
      <c r="F2183" s="1" t="s">
        <v>9317</v>
      </c>
      <c r="G2183" s="1" t="s">
        <v>8957</v>
      </c>
      <c r="H2183" t="s">
        <v>9061</v>
      </c>
      <c r="I2183" s="1" t="s">
        <v>9100</v>
      </c>
      <c r="J2183" s="1" t="s">
        <v>8949</v>
      </c>
      <c r="K2183" s="1" t="s">
        <v>20942</v>
      </c>
      <c r="L2183" s="1" t="s">
        <v>9076</v>
      </c>
      <c r="M2183" s="1">
        <v>33</v>
      </c>
      <c r="N2183" s="1" t="s">
        <v>9059</v>
      </c>
      <c r="O2183" s="1" t="s">
        <v>8989</v>
      </c>
      <c r="P2183" s="1" t="e">
        <v>#N/A</v>
      </c>
      <c r="Q2183" s="1" t="e">
        <v>#N/A</v>
      </c>
      <c r="R2183" s="1">
        <f t="shared" si="636"/>
        <v>9</v>
      </c>
      <c r="S2183" s="1" t="str">
        <f t="shared" si="637"/>
        <v>&gt;7</v>
      </c>
      <c r="T2183" s="1" t="s">
        <v>19789</v>
      </c>
      <c r="U2183" s="1" t="s">
        <v>17</v>
      </c>
      <c r="V2183" s="1" t="s">
        <v>1780</v>
      </c>
      <c r="W2183" s="1"/>
    </row>
    <row r="2184" spans="1:23" x14ac:dyDescent="0.2">
      <c r="A2184" s="88" t="s">
        <v>17410</v>
      </c>
      <c r="B2184" s="1" t="e">
        <v>#N/A</v>
      </c>
      <c r="C2184" s="1" t="e">
        <v>#N/A</v>
      </c>
      <c r="D2184" s="1" t="s">
        <v>5821</v>
      </c>
      <c r="E2184" s="1" t="s">
        <v>5822</v>
      </c>
      <c r="F2184" s="1" t="s">
        <v>18502</v>
      </c>
      <c r="G2184" s="1" t="s">
        <v>8957</v>
      </c>
      <c r="H2184" t="s">
        <v>8959</v>
      </c>
      <c r="I2184" s="1" t="s">
        <v>20714</v>
      </c>
      <c r="J2184" s="1" t="s">
        <v>20725</v>
      </c>
      <c r="K2184" s="1" t="s">
        <v>20723</v>
      </c>
      <c r="L2184" s="1" t="s">
        <v>8973</v>
      </c>
      <c r="M2184" s="1">
        <v>50</v>
      </c>
      <c r="N2184" s="1" t="s">
        <v>8953</v>
      </c>
      <c r="O2184" s="1" t="s">
        <v>8989</v>
      </c>
      <c r="P2184" s="1" t="e">
        <v>#N/A</v>
      </c>
      <c r="Q2184" s="1" t="e">
        <v>#N/A</v>
      </c>
      <c r="R2184" s="1">
        <f t="shared" si="636"/>
        <v>6</v>
      </c>
      <c r="S2184" s="1" t="str">
        <f t="shared" si="637"/>
        <v>4-7</v>
      </c>
      <c r="T2184" s="1" t="s">
        <v>19790</v>
      </c>
      <c r="U2184" s="1" t="s">
        <v>17</v>
      </c>
      <c r="V2184" s="1" t="s">
        <v>74</v>
      </c>
      <c r="W2184" s="1"/>
    </row>
    <row r="2185" spans="1:23" x14ac:dyDescent="0.2">
      <c r="A2185" s="88" t="s">
        <v>17411</v>
      </c>
      <c r="B2185" s="1" t="e">
        <v>#N/A</v>
      </c>
      <c r="C2185" s="1" t="e">
        <v>#N/A</v>
      </c>
      <c r="D2185" s="1" t="s">
        <v>5823</v>
      </c>
      <c r="E2185" s="1" t="s">
        <v>5824</v>
      </c>
      <c r="F2185" s="1" t="s">
        <v>9317</v>
      </c>
      <c r="G2185" s="1" t="s">
        <v>9060</v>
      </c>
      <c r="H2185" t="s">
        <v>8959</v>
      </c>
      <c r="I2185" s="1" t="s">
        <v>9100</v>
      </c>
      <c r="J2185" s="1" t="s">
        <v>8949</v>
      </c>
      <c r="K2185" s="86" t="s">
        <v>21288</v>
      </c>
      <c r="L2185" s="1" t="s">
        <v>8951</v>
      </c>
      <c r="M2185" s="1">
        <v>120</v>
      </c>
      <c r="N2185" s="1" t="s">
        <v>9059</v>
      </c>
      <c r="O2185" s="1" t="s">
        <v>8954</v>
      </c>
      <c r="P2185" s="1" t="e">
        <v>#N/A</v>
      </c>
      <c r="Q2185" s="1" t="e">
        <v>#N/A</v>
      </c>
      <c r="R2185" s="1">
        <f t="shared" si="636"/>
        <v>11</v>
      </c>
      <c r="S2185" s="1" t="str">
        <f t="shared" si="637"/>
        <v>&gt;7</v>
      </c>
      <c r="T2185" s="1" t="s">
        <v>19791</v>
      </c>
      <c r="U2185" s="1" t="s">
        <v>7</v>
      </c>
      <c r="V2185" s="1" t="s">
        <v>110</v>
      </c>
      <c r="W2185" s="1"/>
    </row>
    <row r="2186" spans="1:23" x14ac:dyDescent="0.2">
      <c r="A2186" s="88" t="s">
        <v>17412</v>
      </c>
      <c r="B2186" s="1" t="e">
        <v>#N/A</v>
      </c>
      <c r="C2186" s="1" t="e">
        <v>#N/A</v>
      </c>
      <c r="D2186" s="1" t="s">
        <v>5825</v>
      </c>
      <c r="E2186" s="1" t="s">
        <v>5826</v>
      </c>
      <c r="F2186" s="1" t="s">
        <v>9317</v>
      </c>
      <c r="G2186" s="1" t="s">
        <v>8957</v>
      </c>
      <c r="H2186" t="s">
        <v>8959</v>
      </c>
      <c r="I2186" s="1" t="s">
        <v>20712</v>
      </c>
      <c r="J2186" s="1" t="s">
        <v>9155</v>
      </c>
      <c r="K2186" s="1" t="s">
        <v>20944</v>
      </c>
      <c r="L2186" s="1" t="s">
        <v>8987</v>
      </c>
      <c r="M2186" s="1">
        <f>40561+81825</f>
        <v>122386</v>
      </c>
      <c r="N2186" s="1" t="s">
        <v>8953</v>
      </c>
      <c r="O2186" s="1" t="s">
        <v>8954</v>
      </c>
      <c r="P2186" s="1" t="e">
        <v>#N/A</v>
      </c>
      <c r="Q2186" s="1" t="e">
        <v>#N/A</v>
      </c>
      <c r="R2186" s="1">
        <f t="shared" si="636"/>
        <v>3</v>
      </c>
      <c r="S2186" s="1" t="str">
        <f t="shared" si="637"/>
        <v>&lt;4</v>
      </c>
      <c r="T2186" s="1" t="s">
        <v>19792</v>
      </c>
      <c r="U2186" s="1" t="s">
        <v>17</v>
      </c>
      <c r="V2186" s="1" t="s">
        <v>46</v>
      </c>
      <c r="W2186" s="1"/>
    </row>
    <row r="2187" spans="1:23" x14ac:dyDescent="0.2">
      <c r="A2187" s="88" t="s">
        <v>17413</v>
      </c>
      <c r="B2187" s="1" t="e">
        <v>#N/A</v>
      </c>
      <c r="C2187" s="1" t="e">
        <v>#N/A</v>
      </c>
      <c r="D2187" s="1" t="s">
        <v>5827</v>
      </c>
      <c r="E2187" s="1" t="s">
        <v>5828</v>
      </c>
      <c r="F2187" s="1" t="s">
        <v>9310</v>
      </c>
      <c r="G2187" s="1" t="s">
        <v>8957</v>
      </c>
      <c r="H2187" t="s">
        <v>9061</v>
      </c>
      <c r="I2187" s="1" t="s">
        <v>8948</v>
      </c>
      <c r="J2187" s="1" t="s">
        <v>9155</v>
      </c>
      <c r="K2187" s="1" t="s">
        <v>20945</v>
      </c>
      <c r="L2187" s="1" t="s">
        <v>9157</v>
      </c>
      <c r="M2187" s="1">
        <f>470+237</f>
        <v>707</v>
      </c>
      <c r="N2187" s="1" t="s">
        <v>8953</v>
      </c>
      <c r="O2187" s="1" t="s">
        <v>8989</v>
      </c>
      <c r="P2187" s="1" t="e">
        <v>#N/A</v>
      </c>
      <c r="Q2187" s="1" t="e">
        <v>#N/A</v>
      </c>
      <c r="R2187" s="1">
        <f t="shared" si="636"/>
        <v>15</v>
      </c>
      <c r="S2187" s="1" t="str">
        <f t="shared" si="637"/>
        <v>&gt;7</v>
      </c>
      <c r="T2187" s="1" t="s">
        <v>19793</v>
      </c>
      <c r="U2187" s="1" t="s">
        <v>17</v>
      </c>
      <c r="V2187" s="1" t="s">
        <v>39</v>
      </c>
      <c r="W2187" s="1"/>
    </row>
    <row r="2188" spans="1:23" x14ac:dyDescent="0.2">
      <c r="A2188" s="94" t="s">
        <v>17414</v>
      </c>
      <c r="B2188" s="1" t="e">
        <v>#N/A</v>
      </c>
      <c r="C2188" s="1" t="e">
        <v>#N/A</v>
      </c>
      <c r="D2188" s="1" t="s">
        <v>5829</v>
      </c>
      <c r="E2188" s="1" t="s">
        <v>5830</v>
      </c>
      <c r="F2188" s="1" t="e">
        <v>#N/A</v>
      </c>
      <c r="G2188" s="1" t="e">
        <v>#N/A</v>
      </c>
      <c r="H2188" t="e">
        <v>#N/A</v>
      </c>
      <c r="I2188" s="1" t="e">
        <v>#N/A</v>
      </c>
      <c r="J2188" s="1" t="e">
        <v>#N/A</v>
      </c>
      <c r="K2188" s="1" t="e">
        <v>#N/A</v>
      </c>
      <c r="L2188" s="1" t="e">
        <v>#N/A</v>
      </c>
      <c r="M2188" s="1" t="e">
        <v>#N/A</v>
      </c>
      <c r="N2188" s="1"/>
      <c r="O2188" s="1" t="e">
        <v>#N/A</v>
      </c>
      <c r="P2188" s="1" t="e">
        <v>#N/A</v>
      </c>
      <c r="Q2188" s="1" t="e">
        <v>#N/A</v>
      </c>
      <c r="R2188" s="1">
        <f t="shared" si="636"/>
        <v>4</v>
      </c>
      <c r="S2188" s="1" t="str">
        <f t="shared" si="637"/>
        <v>&lt;4</v>
      </c>
      <c r="T2188" s="1" t="s">
        <v>19794</v>
      </c>
      <c r="U2188" s="1" t="s">
        <v>242</v>
      </c>
      <c r="V2188" s="1" t="s">
        <v>110</v>
      </c>
      <c r="W2188" s="1"/>
    </row>
    <row r="2189" spans="1:23" x14ac:dyDescent="0.2">
      <c r="A2189" s="88" t="s">
        <v>17415</v>
      </c>
      <c r="B2189" s="1" t="e">
        <v>#N/A</v>
      </c>
      <c r="C2189" s="1" t="e">
        <v>#N/A</v>
      </c>
      <c r="D2189" s="1" t="s">
        <v>5831</v>
      </c>
      <c r="E2189" s="1" t="s">
        <v>5832</v>
      </c>
      <c r="F2189" s="1" t="s">
        <v>9310</v>
      </c>
      <c r="G2189" s="1" t="s">
        <v>8957</v>
      </c>
      <c r="H2189" t="s">
        <v>9009</v>
      </c>
      <c r="I2189" s="1" t="s">
        <v>8984</v>
      </c>
      <c r="J2189" s="1" t="s">
        <v>8998</v>
      </c>
      <c r="K2189" s="1" t="s">
        <v>18497</v>
      </c>
      <c r="L2189" s="1" t="s">
        <v>8951</v>
      </c>
      <c r="M2189" s="1">
        <f>562+89+138</f>
        <v>789</v>
      </c>
      <c r="N2189" s="1" t="s">
        <v>9059</v>
      </c>
      <c r="O2189" s="1" t="s">
        <v>8954</v>
      </c>
      <c r="P2189" s="1" t="e">
        <v>#N/A</v>
      </c>
      <c r="Q2189" s="1" t="e">
        <v>#N/A</v>
      </c>
      <c r="R2189" s="1">
        <f t="shared" si="636"/>
        <v>12</v>
      </c>
      <c r="S2189" s="1" t="str">
        <f t="shared" si="637"/>
        <v>&gt;7</v>
      </c>
      <c r="T2189" s="1" t="s">
        <v>19795</v>
      </c>
      <c r="U2189" s="1" t="s">
        <v>7</v>
      </c>
      <c r="V2189" s="1" t="s">
        <v>147</v>
      </c>
      <c r="W2189" s="1"/>
    </row>
    <row r="2190" spans="1:23" x14ac:dyDescent="0.2">
      <c r="A2190" s="88" t="s">
        <v>17416</v>
      </c>
      <c r="B2190" s="1" t="e">
        <v>#N/A</v>
      </c>
      <c r="C2190" s="1" t="e">
        <v>#N/A</v>
      </c>
      <c r="D2190" s="1" t="s">
        <v>5833</v>
      </c>
      <c r="E2190" s="1" t="s">
        <v>5834</v>
      </c>
      <c r="F2190" s="1" t="s">
        <v>9310</v>
      </c>
      <c r="G2190" s="1" t="s">
        <v>8957</v>
      </c>
      <c r="H2190" t="s">
        <v>8959</v>
      </c>
      <c r="I2190" s="1" t="s">
        <v>9035</v>
      </c>
      <c r="J2190" s="1" t="s">
        <v>8998</v>
      </c>
      <c r="K2190" s="1" t="s">
        <v>18497</v>
      </c>
      <c r="L2190" s="1" t="s">
        <v>8987</v>
      </c>
      <c r="M2190" s="1">
        <f>720000+140000+160000</f>
        <v>1020000</v>
      </c>
      <c r="N2190" s="1" t="s">
        <v>20915</v>
      </c>
      <c r="O2190" s="1" t="s">
        <v>8954</v>
      </c>
      <c r="P2190" s="1" t="e">
        <v>#N/A</v>
      </c>
      <c r="Q2190" s="1" t="e">
        <v>#N/A</v>
      </c>
      <c r="R2190" s="1">
        <f t="shared" si="636"/>
        <v>10</v>
      </c>
      <c r="S2190" s="1" t="str">
        <f t="shared" si="637"/>
        <v>&gt;7</v>
      </c>
      <c r="T2190" s="1" t="s">
        <v>19796</v>
      </c>
      <c r="U2190" s="1" t="s">
        <v>17</v>
      </c>
      <c r="V2190" s="1" t="s">
        <v>27</v>
      </c>
      <c r="W2190" s="1"/>
    </row>
    <row r="2191" spans="1:23" x14ac:dyDescent="0.2">
      <c r="A2191" s="92" t="s">
        <v>20946</v>
      </c>
      <c r="B2191" s="1" t="e">
        <v>#N/A</v>
      </c>
      <c r="C2191" s="1" t="e">
        <v>#N/A</v>
      </c>
      <c r="D2191" s="1" t="s">
        <v>5835</v>
      </c>
      <c r="E2191" s="1" t="s">
        <v>5836</v>
      </c>
      <c r="F2191" s="1" t="e">
        <v>#N/A</v>
      </c>
      <c r="G2191" s="1" t="e">
        <v>#N/A</v>
      </c>
      <c r="H2191" t="e">
        <v>#N/A</v>
      </c>
      <c r="I2191" s="1" t="e">
        <v>#N/A</v>
      </c>
      <c r="J2191" s="1" t="e">
        <v>#N/A</v>
      </c>
      <c r="K2191" s="1" t="e">
        <v>#N/A</v>
      </c>
      <c r="L2191" s="1" t="e">
        <v>#N/A</v>
      </c>
      <c r="M2191" s="1" t="e">
        <v>#N/A</v>
      </c>
      <c r="N2191" s="1"/>
      <c r="O2191" s="1" t="e">
        <v>#N/A</v>
      </c>
      <c r="P2191" s="1" t="e">
        <v>#N/A</v>
      </c>
      <c r="Q2191" s="1" t="e">
        <v>#N/A</v>
      </c>
      <c r="R2191" s="1">
        <f t="shared" si="636"/>
        <v>8</v>
      </c>
      <c r="S2191" s="1" t="str">
        <f t="shared" si="637"/>
        <v>&gt;7</v>
      </c>
      <c r="T2191" s="1" t="s">
        <v>19797</v>
      </c>
      <c r="U2191" s="1" t="s">
        <v>7</v>
      </c>
      <c r="V2191" s="1" t="s">
        <v>2980</v>
      </c>
      <c r="W2191" s="1"/>
    </row>
    <row r="2192" spans="1:23" x14ac:dyDescent="0.2">
      <c r="A2192" s="88" t="s">
        <v>17417</v>
      </c>
      <c r="B2192" s="1" t="e">
        <v>#N/A</v>
      </c>
      <c r="C2192" s="1" t="e">
        <v>#N/A</v>
      </c>
      <c r="D2192" s="1" t="s">
        <v>5837</v>
      </c>
      <c r="E2192" s="1" t="s">
        <v>5838</v>
      </c>
      <c r="F2192" s="1" t="s">
        <v>9176</v>
      </c>
      <c r="G2192" s="1" t="s">
        <v>8957</v>
      </c>
      <c r="H2192" t="s">
        <v>8959</v>
      </c>
      <c r="I2192" s="1" t="s">
        <v>9035</v>
      </c>
      <c r="J2192" s="1" t="s">
        <v>9155</v>
      </c>
      <c r="K2192" s="1" t="s">
        <v>20945</v>
      </c>
      <c r="L2192" s="1" t="s">
        <v>8987</v>
      </c>
      <c r="M2192" s="1">
        <v>51</v>
      </c>
      <c r="N2192" s="1" t="s">
        <v>9059</v>
      </c>
      <c r="O2192" s="1" t="s">
        <v>8989</v>
      </c>
      <c r="P2192" s="1" t="e">
        <v>#N/A</v>
      </c>
      <c r="Q2192" s="1" t="e">
        <v>#N/A</v>
      </c>
      <c r="R2192" s="1">
        <f t="shared" si="636"/>
        <v>6</v>
      </c>
      <c r="S2192" s="1" t="str">
        <f t="shared" si="637"/>
        <v>4-7</v>
      </c>
      <c r="T2192" s="1" t="s">
        <v>19798</v>
      </c>
      <c r="U2192" s="1" t="s">
        <v>17</v>
      </c>
      <c r="V2192" s="1" t="s">
        <v>46</v>
      </c>
      <c r="W2192" s="1"/>
    </row>
    <row r="2193" spans="1:23" x14ac:dyDescent="0.2">
      <c r="A2193" s="88" t="s">
        <v>17418</v>
      </c>
      <c r="B2193" s="1" t="e">
        <v>#N/A</v>
      </c>
      <c r="C2193" s="1" t="s">
        <v>15274</v>
      </c>
      <c r="D2193" s="1" t="s">
        <v>5839</v>
      </c>
      <c r="E2193" s="1" t="s">
        <v>5840</v>
      </c>
      <c r="F2193" s="1" t="s">
        <v>9010</v>
      </c>
      <c r="G2193" s="1" t="s">
        <v>8957</v>
      </c>
      <c r="H2193" t="s">
        <v>8959</v>
      </c>
      <c r="I2193" s="1" t="s">
        <v>9049</v>
      </c>
      <c r="J2193" s="1" t="s">
        <v>9050</v>
      </c>
      <c r="K2193" s="1" t="s">
        <v>9036</v>
      </c>
      <c r="L2193" s="1" t="s">
        <v>8987</v>
      </c>
      <c r="M2193" s="1">
        <v>59302</v>
      </c>
      <c r="N2193" s="1" t="s">
        <v>8953</v>
      </c>
      <c r="O2193" s="1" t="s">
        <v>8954</v>
      </c>
      <c r="P2193" s="1" t="s">
        <v>9182</v>
      </c>
      <c r="Q2193" s="1" t="s">
        <v>8956</v>
      </c>
      <c r="R2193" s="1" t="s">
        <v>8957</v>
      </c>
      <c r="S2193" s="1" t="s">
        <v>8975</v>
      </c>
      <c r="T2193" s="1" t="s">
        <v>5841</v>
      </c>
      <c r="U2193" s="1" t="s">
        <v>17</v>
      </c>
      <c r="V2193" s="1" t="s">
        <v>447</v>
      </c>
      <c r="W2193" s="1"/>
    </row>
    <row r="2194" spans="1:23" x14ac:dyDescent="0.2">
      <c r="A2194" s="88" t="s">
        <v>17419</v>
      </c>
      <c r="B2194" s="1" t="e">
        <v>#N/A</v>
      </c>
      <c r="C2194" s="1" t="s">
        <v>9322</v>
      </c>
      <c r="D2194" s="1" t="s">
        <v>5842</v>
      </c>
      <c r="E2194" s="1" t="s">
        <v>5843</v>
      </c>
      <c r="F2194" s="1" t="s">
        <v>9327</v>
      </c>
      <c r="G2194" s="1" t="s">
        <v>8974</v>
      </c>
      <c r="H2194" t="s">
        <v>8959</v>
      </c>
      <c r="I2194" s="1" t="s">
        <v>9049</v>
      </c>
      <c r="J2194" s="1" t="s">
        <v>9325</v>
      </c>
      <c r="K2194" s="1" t="s">
        <v>9326</v>
      </c>
      <c r="L2194" s="1" t="s">
        <v>8987</v>
      </c>
      <c r="M2194" s="1">
        <v>9600</v>
      </c>
      <c r="N2194" s="1" t="s">
        <v>8953</v>
      </c>
      <c r="O2194" s="1" t="s">
        <v>8954</v>
      </c>
      <c r="P2194" s="1" t="s">
        <v>8955</v>
      </c>
      <c r="Q2194" s="1" t="s">
        <v>8990</v>
      </c>
      <c r="R2194" s="1" t="s">
        <v>8974</v>
      </c>
      <c r="S2194" s="1" t="s">
        <v>8958</v>
      </c>
      <c r="T2194" s="1" t="s">
        <v>5844</v>
      </c>
      <c r="U2194" s="1" t="s">
        <v>17</v>
      </c>
      <c r="V2194" s="1" t="s">
        <v>184</v>
      </c>
      <c r="W2194" s="1"/>
    </row>
    <row r="2195" spans="1:23" x14ac:dyDescent="0.2">
      <c r="A2195" s="88" t="s">
        <v>17420</v>
      </c>
      <c r="B2195" s="1" t="e">
        <v>#N/A</v>
      </c>
      <c r="C2195" s="1" t="e">
        <v>#N/A</v>
      </c>
      <c r="D2195" s="1" t="s">
        <v>5845</v>
      </c>
      <c r="E2195" s="1" t="s">
        <v>5846</v>
      </c>
      <c r="F2195" s="1" t="s">
        <v>12547</v>
      </c>
      <c r="G2195" s="1" t="s">
        <v>8959</v>
      </c>
      <c r="H2195" t="s">
        <v>8959</v>
      </c>
      <c r="I2195" s="1" t="s">
        <v>9035</v>
      </c>
      <c r="J2195" s="1" t="s">
        <v>9308</v>
      </c>
      <c r="K2195" s="1" t="s">
        <v>18489</v>
      </c>
      <c r="L2195" s="1" t="s">
        <v>20947</v>
      </c>
      <c r="M2195" s="1">
        <v>1144</v>
      </c>
      <c r="N2195" s="1" t="s">
        <v>8953</v>
      </c>
      <c r="O2195" s="1" t="s">
        <v>8954</v>
      </c>
      <c r="P2195" s="1" t="e">
        <v>#N/A</v>
      </c>
      <c r="Q2195" s="1" t="e">
        <v>#N/A</v>
      </c>
      <c r="R2195" s="1">
        <f t="shared" ref="R2195:R2197" si="638">1+LEN(T2195)-LEN(SUBSTITUTE(T2195,",",))</f>
        <v>6</v>
      </c>
      <c r="S2195" s="1" t="str">
        <f t="shared" ref="S2195:S2197" si="639">IF(R2195&gt;4,IF(R2195&lt;8,"4-7",IF(R2195&gt;7,"&gt;7")),"&lt;4")</f>
        <v>4-7</v>
      </c>
      <c r="T2195" s="1" t="s">
        <v>19799</v>
      </c>
      <c r="U2195" s="1" t="s">
        <v>7</v>
      </c>
      <c r="V2195" s="1" t="s">
        <v>184</v>
      </c>
      <c r="W2195" s="1"/>
    </row>
    <row r="2196" spans="1:23" x14ac:dyDescent="0.2">
      <c r="A2196" s="88" t="s">
        <v>17421</v>
      </c>
      <c r="B2196" s="1" t="e">
        <v>#N/A</v>
      </c>
      <c r="C2196" s="1" t="e">
        <v>#N/A</v>
      </c>
      <c r="D2196" s="1" t="s">
        <v>5847</v>
      </c>
      <c r="E2196" s="1" t="s">
        <v>5848</v>
      </c>
      <c r="F2196" s="1" t="s">
        <v>20948</v>
      </c>
      <c r="G2196" s="1" t="s">
        <v>8957</v>
      </c>
      <c r="H2196" t="s">
        <v>8959</v>
      </c>
      <c r="I2196" s="1" t="s">
        <v>9100</v>
      </c>
      <c r="J2196" s="1" t="s">
        <v>8949</v>
      </c>
      <c r="K2196" s="1" t="s">
        <v>20869</v>
      </c>
      <c r="L2196" s="1" t="s">
        <v>8973</v>
      </c>
      <c r="M2196" s="1">
        <f>285+46</f>
        <v>331</v>
      </c>
      <c r="N2196" s="1" t="s">
        <v>9059</v>
      </c>
      <c r="O2196" s="1" t="s">
        <v>8954</v>
      </c>
      <c r="P2196" s="1" t="e">
        <v>#N/A</v>
      </c>
      <c r="Q2196" s="1" t="e">
        <v>#N/A</v>
      </c>
      <c r="R2196" s="1">
        <f t="shared" si="638"/>
        <v>6</v>
      </c>
      <c r="S2196" s="1" t="str">
        <f t="shared" si="639"/>
        <v>4-7</v>
      </c>
      <c r="T2196" s="1" t="s">
        <v>19800</v>
      </c>
      <c r="U2196" s="1" t="s">
        <v>17</v>
      </c>
      <c r="V2196" s="1" t="s">
        <v>61</v>
      </c>
      <c r="W2196" s="1"/>
    </row>
    <row r="2197" spans="1:23" x14ac:dyDescent="0.2">
      <c r="A2197" s="89" t="s">
        <v>5849</v>
      </c>
      <c r="B2197" s="1" t="e">
        <v>#N/A</v>
      </c>
      <c r="C2197" s="1" t="e">
        <v>#N/A</v>
      </c>
      <c r="D2197" s="1" t="s">
        <v>5850</v>
      </c>
      <c r="E2197" s="1" t="s">
        <v>5851</v>
      </c>
      <c r="F2197" s="1" t="e">
        <v>#N/A</v>
      </c>
      <c r="G2197" s="1" t="e">
        <v>#N/A</v>
      </c>
      <c r="H2197" t="e">
        <v>#N/A</v>
      </c>
      <c r="I2197" s="1" t="e">
        <v>#N/A</v>
      </c>
      <c r="J2197" s="1" t="e">
        <v>#N/A</v>
      </c>
      <c r="K2197" s="1" t="e">
        <v>#N/A</v>
      </c>
      <c r="L2197" s="1" t="e">
        <v>#N/A</v>
      </c>
      <c r="M2197" s="1" t="e">
        <v>#N/A</v>
      </c>
      <c r="N2197" s="1"/>
      <c r="O2197" s="1" t="e">
        <v>#N/A</v>
      </c>
      <c r="P2197" s="1" t="e">
        <v>#N/A</v>
      </c>
      <c r="Q2197" s="1" t="e">
        <v>#N/A</v>
      </c>
      <c r="R2197" s="1">
        <f t="shared" si="638"/>
        <v>14</v>
      </c>
      <c r="S2197" s="1" t="str">
        <f t="shared" si="639"/>
        <v>&gt;7</v>
      </c>
      <c r="T2197" s="1" t="s">
        <v>20667</v>
      </c>
      <c r="U2197" s="1" t="s">
        <v>7</v>
      </c>
      <c r="V2197" s="1" t="s">
        <v>5852</v>
      </c>
      <c r="W2197" s="1"/>
    </row>
    <row r="2198" spans="1:23" x14ac:dyDescent="0.2">
      <c r="A2198" s="88" t="s">
        <v>17422</v>
      </c>
      <c r="B2198" s="1" t="e">
        <v>#N/A</v>
      </c>
      <c r="C2198" s="1" t="s">
        <v>11158</v>
      </c>
      <c r="D2198" s="1" t="s">
        <v>5853</v>
      </c>
      <c r="E2198" s="1" t="s">
        <v>5854</v>
      </c>
      <c r="F2198" s="1" t="s">
        <v>9387</v>
      </c>
      <c r="G2198" s="1" t="s">
        <v>8959</v>
      </c>
      <c r="H2198" t="s">
        <v>9061</v>
      </c>
      <c r="I2198" s="1" t="s">
        <v>9252</v>
      </c>
      <c r="J2198" s="1" t="s">
        <v>9253</v>
      </c>
      <c r="K2198" s="1" t="s">
        <v>9658</v>
      </c>
      <c r="L2198" s="1" t="s">
        <v>8987</v>
      </c>
      <c r="M2198" s="1">
        <v>129</v>
      </c>
      <c r="N2198" s="1" t="s">
        <v>8953</v>
      </c>
      <c r="O2198" s="1" t="s">
        <v>8989</v>
      </c>
      <c r="P2198" s="1" t="s">
        <v>8955</v>
      </c>
      <c r="Q2198" s="1" t="s">
        <v>8956</v>
      </c>
      <c r="R2198" s="1" t="s">
        <v>8959</v>
      </c>
      <c r="S2198" s="1" t="s">
        <v>8958</v>
      </c>
      <c r="T2198" s="1" t="s">
        <v>5855</v>
      </c>
      <c r="U2198" s="1" t="s">
        <v>17</v>
      </c>
      <c r="V2198" s="1" t="s">
        <v>64</v>
      </c>
      <c r="W2198" s="1"/>
    </row>
    <row r="2199" spans="1:23" x14ac:dyDescent="0.2">
      <c r="A2199" s="88" t="s">
        <v>17423</v>
      </c>
      <c r="B2199" s="1" t="e">
        <v>#N/A</v>
      </c>
      <c r="C2199" s="1" t="s">
        <v>9613</v>
      </c>
      <c r="D2199" s="1" t="s">
        <v>5856</v>
      </c>
      <c r="E2199" s="1" t="s">
        <v>5857</v>
      </c>
      <c r="F2199" s="1" t="s">
        <v>10873</v>
      </c>
      <c r="G2199" s="1" t="s">
        <v>8959</v>
      </c>
      <c r="H2199" t="s">
        <v>8959</v>
      </c>
      <c r="I2199" s="1" t="s">
        <v>8948</v>
      </c>
      <c r="J2199" s="1" t="s">
        <v>8949</v>
      </c>
      <c r="K2199" s="1" t="s">
        <v>9036</v>
      </c>
      <c r="L2199" s="1" t="s">
        <v>8973</v>
      </c>
      <c r="M2199" s="1">
        <v>75</v>
      </c>
      <c r="N2199" s="1" t="s">
        <v>9059</v>
      </c>
      <c r="O2199" s="1" t="s">
        <v>8989</v>
      </c>
      <c r="P2199" s="1" t="s">
        <v>8955</v>
      </c>
      <c r="Q2199" s="1" t="s">
        <v>8956</v>
      </c>
      <c r="R2199" s="1" t="s">
        <v>8959</v>
      </c>
      <c r="S2199" s="1" t="s">
        <v>8958</v>
      </c>
      <c r="T2199" s="1" t="s">
        <v>5858</v>
      </c>
      <c r="U2199" s="1" t="s">
        <v>17</v>
      </c>
      <c r="V2199" s="1" t="s">
        <v>631</v>
      </c>
      <c r="W2199" s="1"/>
    </row>
    <row r="2200" spans="1:23" x14ac:dyDescent="0.2">
      <c r="A2200" s="88" t="s">
        <v>17424</v>
      </c>
      <c r="B2200" s="1" t="e">
        <v>#N/A</v>
      </c>
      <c r="C2200" s="1" t="s">
        <v>12329</v>
      </c>
      <c r="D2200" s="1" t="s">
        <v>5859</v>
      </c>
      <c r="E2200" s="1" t="s">
        <v>5860</v>
      </c>
      <c r="F2200" s="1" t="s">
        <v>9317</v>
      </c>
      <c r="G2200" s="1" t="s">
        <v>8959</v>
      </c>
      <c r="H2200" t="s">
        <v>9183</v>
      </c>
      <c r="I2200" s="1" t="s">
        <v>9100</v>
      </c>
      <c r="J2200" s="1" t="s">
        <v>8949</v>
      </c>
      <c r="K2200" s="1" t="s">
        <v>9036</v>
      </c>
      <c r="L2200" s="1" t="s">
        <v>8973</v>
      </c>
      <c r="M2200" s="1">
        <v>64</v>
      </c>
      <c r="N2200" s="1" t="s">
        <v>8953</v>
      </c>
      <c r="O2200" s="1" t="s">
        <v>8954</v>
      </c>
      <c r="P2200" s="1" t="s">
        <v>8955</v>
      </c>
      <c r="Q2200" s="1" t="s">
        <v>8956</v>
      </c>
      <c r="R2200" s="1" t="s">
        <v>8959</v>
      </c>
      <c r="S2200" s="1" t="s">
        <v>8975</v>
      </c>
      <c r="T2200" s="1" t="s">
        <v>5861</v>
      </c>
      <c r="U2200" s="1" t="s">
        <v>11</v>
      </c>
      <c r="V2200" s="1" t="s">
        <v>666</v>
      </c>
      <c r="W2200" s="1"/>
    </row>
    <row r="2201" spans="1:23" x14ac:dyDescent="0.2">
      <c r="A2201" s="88" t="s">
        <v>17425</v>
      </c>
      <c r="B2201" s="1" t="e">
        <v>#N/A</v>
      </c>
      <c r="C2201" s="1" t="s">
        <v>10107</v>
      </c>
      <c r="D2201" s="1" t="s">
        <v>5862</v>
      </c>
      <c r="E2201" s="1" t="s">
        <v>5863</v>
      </c>
      <c r="F2201" s="1" t="s">
        <v>9380</v>
      </c>
      <c r="G2201" s="1" t="s">
        <v>9060</v>
      </c>
      <c r="H2201" t="s">
        <v>8959</v>
      </c>
      <c r="I2201" s="1" t="s">
        <v>9100</v>
      </c>
      <c r="J2201" s="1" t="s">
        <v>8949</v>
      </c>
      <c r="K2201" s="1" t="s">
        <v>8972</v>
      </c>
      <c r="L2201" s="1" t="s">
        <v>8973</v>
      </c>
      <c r="M2201" s="1">
        <v>80</v>
      </c>
      <c r="N2201" s="1" t="s">
        <v>9059</v>
      </c>
      <c r="O2201" s="1" t="s">
        <v>8954</v>
      </c>
      <c r="P2201" s="1" t="s">
        <v>8955</v>
      </c>
      <c r="Q2201" s="1" t="s">
        <v>8956</v>
      </c>
      <c r="R2201" s="1" t="s">
        <v>9060</v>
      </c>
      <c r="S2201" s="1" t="s">
        <v>8958</v>
      </c>
      <c r="T2201" s="1" t="s">
        <v>5864</v>
      </c>
      <c r="U2201" s="1" t="s">
        <v>17</v>
      </c>
      <c r="V2201" s="1" t="s">
        <v>392</v>
      </c>
      <c r="W2201" s="1"/>
    </row>
    <row r="2202" spans="1:23" x14ac:dyDescent="0.2">
      <c r="A2202" s="88" t="s">
        <v>17426</v>
      </c>
      <c r="B2202" s="1" t="e">
        <v>#N/A</v>
      </c>
      <c r="C2202" s="1" t="s">
        <v>12629</v>
      </c>
      <c r="D2202" s="1" t="s">
        <v>5865</v>
      </c>
      <c r="E2202" s="1" t="s">
        <v>5866</v>
      </c>
      <c r="F2202" s="1" t="s">
        <v>9380</v>
      </c>
      <c r="G2202" s="1" t="s">
        <v>9060</v>
      </c>
      <c r="H2202" t="s">
        <v>8959</v>
      </c>
      <c r="I2202" s="1" t="s">
        <v>9092</v>
      </c>
      <c r="J2202" s="1" t="s">
        <v>8949</v>
      </c>
      <c r="K2202" s="1" t="s">
        <v>8972</v>
      </c>
      <c r="L2202" s="1" t="s">
        <v>8973</v>
      </c>
      <c r="M2202" s="1">
        <v>80</v>
      </c>
      <c r="N2202" s="1" t="s">
        <v>8953</v>
      </c>
      <c r="O2202" s="1" t="s">
        <v>8954</v>
      </c>
      <c r="P2202" s="1" t="s">
        <v>8955</v>
      </c>
      <c r="Q2202" s="1" t="s">
        <v>8956</v>
      </c>
      <c r="R2202" s="1" t="s">
        <v>9060</v>
      </c>
      <c r="S2202" s="1" t="s">
        <v>9103</v>
      </c>
      <c r="T2202" s="1" t="s">
        <v>5867</v>
      </c>
      <c r="U2202" s="1" t="s">
        <v>11</v>
      </c>
      <c r="V2202" s="1" t="s">
        <v>24</v>
      </c>
      <c r="W2202" s="1"/>
    </row>
    <row r="2203" spans="1:23" x14ac:dyDescent="0.2">
      <c r="A2203" s="89" t="s">
        <v>5868</v>
      </c>
      <c r="B2203" s="1" t="e">
        <v>#N/A</v>
      </c>
      <c r="C2203" s="1" t="s">
        <v>11182</v>
      </c>
      <c r="D2203" s="1" t="s">
        <v>5869</v>
      </c>
      <c r="E2203" s="1" t="s">
        <v>5870</v>
      </c>
      <c r="F2203" s="1" t="s">
        <v>10049</v>
      </c>
      <c r="G2203" s="1" t="s">
        <v>8957</v>
      </c>
      <c r="H2203" t="s">
        <v>9061</v>
      </c>
      <c r="I2203" s="1" t="s">
        <v>9605</v>
      </c>
      <c r="J2203" s="1" t="s">
        <v>8949</v>
      </c>
      <c r="K2203" s="1" t="s">
        <v>9036</v>
      </c>
      <c r="L2203" s="1" t="s">
        <v>8951</v>
      </c>
      <c r="M2203" s="1">
        <v>950</v>
      </c>
      <c r="N2203" s="1" t="s">
        <v>8953</v>
      </c>
      <c r="O2203" s="1" t="s">
        <v>8954</v>
      </c>
      <c r="P2203" s="1" t="s">
        <v>8955</v>
      </c>
      <c r="Q2203" s="1" t="s">
        <v>8956</v>
      </c>
      <c r="R2203" s="1" t="s">
        <v>8957</v>
      </c>
      <c r="S2203" s="1" t="s">
        <v>9103</v>
      </c>
      <c r="T2203" s="1" t="s">
        <v>5871</v>
      </c>
      <c r="U2203" s="1" t="s">
        <v>11</v>
      </c>
      <c r="V2203" s="1" t="s">
        <v>640</v>
      </c>
      <c r="W2203" s="1"/>
    </row>
    <row r="2204" spans="1:23" x14ac:dyDescent="0.2">
      <c r="A2204" s="89" t="s">
        <v>5872</v>
      </c>
      <c r="B2204" s="1" t="e">
        <v>#N/A</v>
      </c>
      <c r="C2204" s="1" t="e">
        <v>#N/A</v>
      </c>
      <c r="D2204" s="1" t="s">
        <v>5873</v>
      </c>
      <c r="E2204" s="1" t="s">
        <v>5874</v>
      </c>
      <c r="F2204" s="1" t="e">
        <v>#N/A</v>
      </c>
      <c r="G2204" s="1" t="e">
        <v>#N/A</v>
      </c>
      <c r="H2204" t="e">
        <v>#N/A</v>
      </c>
      <c r="I2204" s="1" t="e">
        <v>#N/A</v>
      </c>
      <c r="J2204" s="1" t="e">
        <v>#N/A</v>
      </c>
      <c r="K2204" s="1" t="e">
        <v>#N/A</v>
      </c>
      <c r="L2204" s="1" t="e">
        <v>#N/A</v>
      </c>
      <c r="M2204" s="1" t="e">
        <v>#N/A</v>
      </c>
      <c r="N2204" s="1"/>
      <c r="O2204" s="1" t="e">
        <v>#N/A</v>
      </c>
      <c r="P2204" s="1" t="e">
        <v>#N/A</v>
      </c>
      <c r="Q2204" s="1" t="e">
        <v>#N/A</v>
      </c>
      <c r="R2204" s="1">
        <f>1+LEN(T2204)-LEN(SUBSTITUTE(T2204,",",))</f>
        <v>9</v>
      </c>
      <c r="S2204" s="1" t="str">
        <f>IF(R2204&gt;4,IF(R2204&lt;8,"4-7",IF(R2204&gt;7,"&gt;7")),"&lt;4")</f>
        <v>&gt;7</v>
      </c>
      <c r="T2204" s="1" t="s">
        <v>19801</v>
      </c>
      <c r="U2204" s="1" t="s">
        <v>7</v>
      </c>
      <c r="V2204" s="1" t="s">
        <v>5875</v>
      </c>
      <c r="W2204" s="1"/>
    </row>
    <row r="2205" spans="1:23" x14ac:dyDescent="0.2">
      <c r="A2205" s="88" t="s">
        <v>17427</v>
      </c>
      <c r="B2205" s="1" t="e">
        <v>#N/A</v>
      </c>
      <c r="C2205" s="1" t="s">
        <v>15184</v>
      </c>
      <c r="D2205" s="1" t="s">
        <v>5876</v>
      </c>
      <c r="E2205" s="1" t="s">
        <v>5877</v>
      </c>
      <c r="F2205" s="1" t="s">
        <v>10873</v>
      </c>
      <c r="G2205" s="1" t="s">
        <v>8957</v>
      </c>
      <c r="H2205" t="s">
        <v>9009</v>
      </c>
      <c r="I2205" s="1" t="s">
        <v>9035</v>
      </c>
      <c r="J2205" s="1" t="s">
        <v>9308</v>
      </c>
      <c r="K2205" s="1" t="s">
        <v>9449</v>
      </c>
      <c r="L2205" s="1" t="s">
        <v>8951</v>
      </c>
      <c r="M2205" s="1">
        <v>745479</v>
      </c>
      <c r="N2205" s="1" t="s">
        <v>8953</v>
      </c>
      <c r="O2205" s="1" t="s">
        <v>8989</v>
      </c>
      <c r="P2205" s="1" t="s">
        <v>8955</v>
      </c>
      <c r="Q2205" s="1" t="s">
        <v>8956</v>
      </c>
      <c r="R2205" s="1" t="s">
        <v>8957</v>
      </c>
      <c r="S2205" s="1" t="s">
        <v>8958</v>
      </c>
      <c r="T2205" s="1" t="s">
        <v>5878</v>
      </c>
      <c r="U2205" s="1" t="s">
        <v>17</v>
      </c>
      <c r="V2205" s="1" t="s">
        <v>126</v>
      </c>
      <c r="W2205" s="1"/>
    </row>
    <row r="2206" spans="1:23" x14ac:dyDescent="0.2">
      <c r="A2206" s="88" t="s">
        <v>17428</v>
      </c>
      <c r="B2206" s="1" t="e">
        <v>#N/A</v>
      </c>
      <c r="C2206" s="1" t="e">
        <v>#N/A</v>
      </c>
      <c r="D2206" s="1" t="s">
        <v>5879</v>
      </c>
      <c r="E2206" s="1" t="s">
        <v>5880</v>
      </c>
      <c r="F2206" s="1" t="s">
        <v>9380</v>
      </c>
      <c r="G2206" s="1" t="e">
        <v>#N/A</v>
      </c>
      <c r="H2206" t="s">
        <v>8959</v>
      </c>
      <c r="I2206" s="1" t="s">
        <v>20712</v>
      </c>
      <c r="J2206" s="1" t="s">
        <v>9155</v>
      </c>
      <c r="K2206" s="1" t="s">
        <v>20949</v>
      </c>
      <c r="L2206" s="1" t="s">
        <v>9076</v>
      </c>
      <c r="M2206" s="1" t="e">
        <v>#N/A</v>
      </c>
      <c r="N2206" s="1"/>
      <c r="O2206" s="1" t="s">
        <v>8954</v>
      </c>
      <c r="P2206" s="1" t="e">
        <v>#N/A</v>
      </c>
      <c r="Q2206" s="1" t="e">
        <v>#N/A</v>
      </c>
      <c r="R2206" s="1">
        <f>1+LEN(T2206)-LEN(SUBSTITUTE(T2206,",",))</f>
        <v>3</v>
      </c>
      <c r="S2206" s="1" t="str">
        <f>IF(R2206&gt;4,IF(R2206&lt;8,"4-7",IF(R2206&gt;7,"&gt;7")),"&lt;4")</f>
        <v>&lt;4</v>
      </c>
      <c r="T2206" s="1" t="s">
        <v>19802</v>
      </c>
      <c r="U2206" s="1" t="s">
        <v>17</v>
      </c>
      <c r="V2206" s="1" t="s">
        <v>61</v>
      </c>
      <c r="W2206" s="1"/>
    </row>
    <row r="2207" spans="1:23" x14ac:dyDescent="0.2">
      <c r="A2207" s="88" t="s">
        <v>17429</v>
      </c>
      <c r="B2207" s="1" t="e">
        <v>#N/A</v>
      </c>
      <c r="C2207" s="1" t="s">
        <v>13650</v>
      </c>
      <c r="D2207" s="1" t="s">
        <v>5881</v>
      </c>
      <c r="E2207" s="1" t="s">
        <v>5882</v>
      </c>
      <c r="F2207" s="1" t="s">
        <v>9380</v>
      </c>
      <c r="G2207" s="1" t="s">
        <v>8957</v>
      </c>
      <c r="H2207" t="s">
        <v>8959</v>
      </c>
      <c r="I2207" s="1" t="s">
        <v>8984</v>
      </c>
      <c r="J2207" s="1" t="s">
        <v>8971</v>
      </c>
      <c r="K2207" s="1" t="s">
        <v>9036</v>
      </c>
      <c r="L2207" s="1" t="s">
        <v>9292</v>
      </c>
      <c r="M2207" s="1">
        <v>170000</v>
      </c>
      <c r="N2207" s="1" t="s">
        <v>8953</v>
      </c>
      <c r="O2207" s="1" t="s">
        <v>8954</v>
      </c>
      <c r="P2207" s="1" t="s">
        <v>8955</v>
      </c>
      <c r="Q2207" s="1" t="s">
        <v>8956</v>
      </c>
      <c r="R2207" s="1" t="s">
        <v>8957</v>
      </c>
      <c r="S2207" s="1" t="s">
        <v>8958</v>
      </c>
      <c r="T2207" s="1" t="s">
        <v>5883</v>
      </c>
      <c r="U2207" s="1" t="s">
        <v>11</v>
      </c>
      <c r="V2207" s="1" t="s">
        <v>61</v>
      </c>
      <c r="W2207" s="1"/>
    </row>
    <row r="2208" spans="1:23" x14ac:dyDescent="0.2">
      <c r="A2208" s="89" t="s">
        <v>17430</v>
      </c>
      <c r="B2208" s="1" t="e">
        <v>#N/A</v>
      </c>
      <c r="C2208" s="1" t="e">
        <v>#N/A</v>
      </c>
      <c r="D2208" s="1" t="s">
        <v>5884</v>
      </c>
      <c r="E2208" s="1" t="s">
        <v>5885</v>
      </c>
      <c r="F2208" s="1"/>
      <c r="G2208" s="1" t="e">
        <v>#N/A</v>
      </c>
      <c r="H2208" t="e">
        <v>#N/A</v>
      </c>
      <c r="I2208" s="1" t="e">
        <v>#N/A</v>
      </c>
      <c r="J2208" s="1" t="e">
        <v>#N/A</v>
      </c>
      <c r="K2208" s="1" t="e">
        <v>#N/A</v>
      </c>
      <c r="L2208" s="1" t="e">
        <v>#N/A</v>
      </c>
      <c r="M2208" s="1" t="e">
        <v>#N/A</v>
      </c>
      <c r="N2208" s="1"/>
      <c r="O2208" s="1" t="e">
        <v>#N/A</v>
      </c>
      <c r="P2208" s="1" t="e">
        <v>#N/A</v>
      </c>
      <c r="Q2208" s="1" t="e">
        <v>#N/A</v>
      </c>
      <c r="R2208" s="1">
        <f t="shared" ref="R2208:R2210" si="640">1+LEN(T2208)-LEN(SUBSTITUTE(T2208,",",))</f>
        <v>1</v>
      </c>
      <c r="S2208" s="1" t="str">
        <f t="shared" ref="S2208:S2210" si="641">IF(R2208&gt;4,IF(R2208&lt;8,"4-7",IF(R2208&gt;7,"&gt;7")),"&lt;4")</f>
        <v>&lt;4</v>
      </c>
      <c r="U2208" s="1" t="s">
        <v>7</v>
      </c>
      <c r="V2208" s="1" t="s">
        <v>933</v>
      </c>
      <c r="W2208" s="1"/>
    </row>
    <row r="2209" spans="1:23" x14ac:dyDescent="0.2">
      <c r="A2209" s="88" t="s">
        <v>17431</v>
      </c>
      <c r="B2209" s="1" t="e">
        <v>#N/A</v>
      </c>
      <c r="C2209" s="1" t="e">
        <v>#N/A</v>
      </c>
      <c r="D2209" s="1" t="s">
        <v>5886</v>
      </c>
      <c r="E2209" s="1" t="s">
        <v>5887</v>
      </c>
      <c r="F2209" s="1" t="s">
        <v>20718</v>
      </c>
      <c r="G2209" s="1" t="s">
        <v>8959</v>
      </c>
      <c r="H2209" t="s">
        <v>8959</v>
      </c>
      <c r="I2209" s="1" t="s">
        <v>9035</v>
      </c>
      <c r="J2209" s="1" t="s">
        <v>8998</v>
      </c>
      <c r="K2209" s="1" t="s">
        <v>21338</v>
      </c>
      <c r="L2209" s="1" t="s">
        <v>8987</v>
      </c>
      <c r="M2209" s="1">
        <f>397+349</f>
        <v>746</v>
      </c>
      <c r="N2209" s="1" t="s">
        <v>8953</v>
      </c>
      <c r="O2209" s="1" t="s">
        <v>8954</v>
      </c>
      <c r="P2209" s="1" t="e">
        <v>#N/A</v>
      </c>
      <c r="Q2209" s="1" t="e">
        <v>#N/A</v>
      </c>
      <c r="R2209" s="1">
        <f t="shared" si="640"/>
        <v>1</v>
      </c>
      <c r="S2209" s="1" t="str">
        <f t="shared" si="641"/>
        <v>&lt;4</v>
      </c>
      <c r="T2209" s="1" t="s">
        <v>5888</v>
      </c>
      <c r="U2209" s="1" t="s">
        <v>7</v>
      </c>
      <c r="V2209" s="1" t="s">
        <v>24</v>
      </c>
      <c r="W2209" s="1"/>
    </row>
    <row r="2210" spans="1:23" x14ac:dyDescent="0.2">
      <c r="A2210" s="88" t="s">
        <v>17432</v>
      </c>
      <c r="B2210" s="1" t="e">
        <v>#N/A</v>
      </c>
      <c r="C2210" s="1" t="e">
        <v>#N/A</v>
      </c>
      <c r="D2210" s="1" t="s">
        <v>5889</v>
      </c>
      <c r="E2210" s="1" t="s">
        <v>5890</v>
      </c>
      <c r="F2210" s="1" t="s">
        <v>9176</v>
      </c>
      <c r="G2210" s="1" t="s">
        <v>8957</v>
      </c>
      <c r="H2210" t="s">
        <v>8959</v>
      </c>
      <c r="I2210" s="1" t="s">
        <v>9605</v>
      </c>
      <c r="J2210" s="1" t="s">
        <v>8959</v>
      </c>
      <c r="K2210" s="1" t="s">
        <v>20951</v>
      </c>
      <c r="L2210" s="1" t="s">
        <v>20950</v>
      </c>
      <c r="M2210" s="1">
        <v>1050</v>
      </c>
      <c r="N2210" s="1" t="s">
        <v>8953</v>
      </c>
      <c r="O2210" s="1" t="s">
        <v>8989</v>
      </c>
      <c r="P2210" s="1" t="e">
        <v>#N/A</v>
      </c>
      <c r="Q2210" s="1" t="e">
        <v>#N/A</v>
      </c>
      <c r="R2210" s="1">
        <f t="shared" si="640"/>
        <v>5</v>
      </c>
      <c r="S2210" s="1" t="str">
        <f t="shared" si="641"/>
        <v>4-7</v>
      </c>
      <c r="T2210" s="1" t="s">
        <v>19803</v>
      </c>
      <c r="U2210" s="1" t="s">
        <v>17</v>
      </c>
      <c r="V2210" s="1" t="s">
        <v>61</v>
      </c>
      <c r="W2210" s="1"/>
    </row>
    <row r="2211" spans="1:23" x14ac:dyDescent="0.2">
      <c r="A2211" s="89" t="s">
        <v>5891</v>
      </c>
      <c r="B2211" s="1" t="e">
        <v>#N/A</v>
      </c>
      <c r="C2211" s="1" t="s">
        <v>9772</v>
      </c>
      <c r="D2211" s="1" t="s">
        <v>5892</v>
      </c>
      <c r="E2211" s="1" t="s">
        <v>5893</v>
      </c>
      <c r="F2211" s="1" t="s">
        <v>9010</v>
      </c>
      <c r="G2211" s="1" t="s">
        <v>8974</v>
      </c>
      <c r="H2211" t="s">
        <v>8959</v>
      </c>
      <c r="I2211" s="1" t="s">
        <v>9775</v>
      </c>
      <c r="J2211" s="1" t="s">
        <v>9155</v>
      </c>
      <c r="K2211" s="1" t="s">
        <v>9036</v>
      </c>
      <c r="L2211" s="1" t="s">
        <v>8987</v>
      </c>
      <c r="M2211" s="1">
        <v>99</v>
      </c>
      <c r="N2211" s="1" t="s">
        <v>9059</v>
      </c>
      <c r="O2211" s="1" t="s">
        <v>8954</v>
      </c>
      <c r="P2211" s="1" t="s">
        <v>8955</v>
      </c>
      <c r="Q2211" s="1" t="s">
        <v>8956</v>
      </c>
      <c r="R2211" s="1" t="s">
        <v>8974</v>
      </c>
      <c r="S2211" s="1" t="s">
        <v>8975</v>
      </c>
      <c r="T2211" s="1" t="s">
        <v>5894</v>
      </c>
      <c r="U2211" s="1" t="s">
        <v>17</v>
      </c>
      <c r="V2211" s="1" t="s">
        <v>87</v>
      </c>
      <c r="W2211" s="1"/>
    </row>
    <row r="2212" spans="1:23" x14ac:dyDescent="0.2">
      <c r="A2212" s="88" t="s">
        <v>17433</v>
      </c>
      <c r="B2212" s="1" t="e">
        <v>#N/A</v>
      </c>
      <c r="C2212" s="1" t="s">
        <v>11064</v>
      </c>
      <c r="D2212" s="1" t="s">
        <v>5895</v>
      </c>
      <c r="E2212" s="1" t="s">
        <v>5896</v>
      </c>
      <c r="F2212" s="1" t="s">
        <v>9010</v>
      </c>
      <c r="G2212" s="1" t="s">
        <v>8959</v>
      </c>
      <c r="H2212" t="s">
        <v>9061</v>
      </c>
      <c r="I2212" s="1" t="s">
        <v>9035</v>
      </c>
      <c r="J2212" s="1" t="s">
        <v>8998</v>
      </c>
      <c r="K2212" s="1" t="s">
        <v>11067</v>
      </c>
      <c r="L2212" s="1" t="s">
        <v>9464</v>
      </c>
      <c r="M2212" s="1">
        <v>3253</v>
      </c>
      <c r="N2212" s="1" t="s">
        <v>8953</v>
      </c>
      <c r="O2212" s="1" t="s">
        <v>8989</v>
      </c>
      <c r="P2212" s="1" t="s">
        <v>8955</v>
      </c>
      <c r="Q2212" s="1" t="s">
        <v>8956</v>
      </c>
      <c r="R2212" s="1" t="s">
        <v>8959</v>
      </c>
      <c r="S2212" s="1" t="s">
        <v>8975</v>
      </c>
      <c r="T2212" s="1" t="s">
        <v>5897</v>
      </c>
      <c r="U2212" s="1" t="s">
        <v>11</v>
      </c>
      <c r="V2212" s="1" t="s">
        <v>496</v>
      </c>
      <c r="W2212" s="1"/>
    </row>
    <row r="2213" spans="1:23" x14ac:dyDescent="0.2">
      <c r="A2213" s="88" t="s">
        <v>17434</v>
      </c>
      <c r="B2213" s="1" t="e">
        <v>#N/A</v>
      </c>
      <c r="C2213" s="1" t="e">
        <v>#N/A</v>
      </c>
      <c r="D2213" s="1" t="s">
        <v>5898</v>
      </c>
      <c r="E2213" s="1" t="s">
        <v>5899</v>
      </c>
      <c r="F2213" s="1" t="s">
        <v>9176</v>
      </c>
      <c r="G2213" s="1" t="s">
        <v>8974</v>
      </c>
      <c r="H2213" t="s">
        <v>8959</v>
      </c>
      <c r="I2213" s="1" t="s">
        <v>9173</v>
      </c>
      <c r="J2213" s="1" t="s">
        <v>9174</v>
      </c>
      <c r="K2213" s="1" t="s">
        <v>20942</v>
      </c>
      <c r="L2213" s="1" t="s">
        <v>8951</v>
      </c>
      <c r="M2213" s="1">
        <v>1550</v>
      </c>
      <c r="N2213" s="1" t="s">
        <v>8953</v>
      </c>
      <c r="O2213" s="1" t="s">
        <v>8954</v>
      </c>
      <c r="P2213" s="1" t="e">
        <v>#N/A</v>
      </c>
      <c r="Q2213" s="1" t="e">
        <v>#N/A</v>
      </c>
      <c r="R2213" s="1">
        <f t="shared" ref="R2213:R2215" si="642">1+LEN(T2213)-LEN(SUBSTITUTE(T2213,",",))</f>
        <v>12</v>
      </c>
      <c r="S2213" s="1" t="str">
        <f t="shared" ref="S2213:S2215" si="643">IF(R2213&gt;4,IF(R2213&lt;8,"4-7",IF(R2213&gt;7,"&gt;7")),"&lt;4")</f>
        <v>&gt;7</v>
      </c>
      <c r="T2213" s="1" t="s">
        <v>19804</v>
      </c>
      <c r="U2213" s="1" t="s">
        <v>17</v>
      </c>
      <c r="V2213" s="1" t="s">
        <v>1918</v>
      </c>
      <c r="W2213" s="1"/>
    </row>
    <row r="2214" spans="1:23" x14ac:dyDescent="0.2">
      <c r="A2214" s="88" t="s">
        <v>17435</v>
      </c>
      <c r="B2214" s="1" t="e">
        <v>#N/A</v>
      </c>
      <c r="C2214" s="1" t="e">
        <v>#N/A</v>
      </c>
      <c r="D2214" s="1" t="s">
        <v>5900</v>
      </c>
      <c r="E2214" s="1" t="s">
        <v>5901</v>
      </c>
      <c r="F2214" s="1" t="s">
        <v>10049</v>
      </c>
      <c r="G2214" s="1" t="s">
        <v>8957</v>
      </c>
      <c r="H2214" t="s">
        <v>8959</v>
      </c>
      <c r="I2214" s="1" t="s">
        <v>9252</v>
      </c>
      <c r="J2214" s="1" t="s">
        <v>8949</v>
      </c>
      <c r="K2214" s="1" t="s">
        <v>10492</v>
      </c>
      <c r="L2214" s="1" t="s">
        <v>8973</v>
      </c>
      <c r="M2214" s="1">
        <v>109</v>
      </c>
      <c r="N2214" s="1" t="s">
        <v>9059</v>
      </c>
      <c r="O2214" s="1" t="s">
        <v>8954</v>
      </c>
      <c r="P2214" s="1" t="e">
        <v>#N/A</v>
      </c>
      <c r="Q2214" s="1" t="e">
        <v>#N/A</v>
      </c>
      <c r="R2214" s="1">
        <f t="shared" si="642"/>
        <v>4</v>
      </c>
      <c r="S2214" s="1" t="str">
        <f t="shared" si="643"/>
        <v>&lt;4</v>
      </c>
      <c r="T2214" s="1" t="s">
        <v>19805</v>
      </c>
      <c r="U2214" s="1" t="s">
        <v>7</v>
      </c>
      <c r="V2214" s="1" t="s">
        <v>8</v>
      </c>
      <c r="W2214" s="1"/>
    </row>
    <row r="2215" spans="1:23" x14ac:dyDescent="0.2">
      <c r="A2215" s="88" t="s">
        <v>17436</v>
      </c>
      <c r="B2215" s="1" t="e">
        <v>#N/A</v>
      </c>
      <c r="C2215" s="1" t="e">
        <v>#N/A</v>
      </c>
      <c r="D2215" s="1" t="s">
        <v>5902</v>
      </c>
      <c r="E2215" s="1" t="s">
        <v>5903</v>
      </c>
      <c r="F2215" s="1" t="s">
        <v>18502</v>
      </c>
      <c r="G2215" s="1" t="s">
        <v>8957</v>
      </c>
      <c r="H2215" t="s">
        <v>9061</v>
      </c>
      <c r="I2215" s="1" t="s">
        <v>9154</v>
      </c>
      <c r="J2215" s="1" t="s">
        <v>8998</v>
      </c>
      <c r="K2215" s="1" t="s">
        <v>10492</v>
      </c>
      <c r="L2215" s="1" t="s">
        <v>8951</v>
      </c>
      <c r="M2215" s="1">
        <v>9223</v>
      </c>
      <c r="N2215" s="1" t="s">
        <v>9059</v>
      </c>
      <c r="O2215" s="1" t="s">
        <v>8989</v>
      </c>
      <c r="P2215" s="1" t="e">
        <v>#N/A</v>
      </c>
      <c r="Q2215" s="1" t="e">
        <v>#N/A</v>
      </c>
      <c r="R2215" s="1">
        <f t="shared" si="642"/>
        <v>7</v>
      </c>
      <c r="S2215" s="1" t="str">
        <f t="shared" si="643"/>
        <v>4-7</v>
      </c>
      <c r="T2215" s="1" t="s">
        <v>20668</v>
      </c>
      <c r="U2215" s="1" t="s">
        <v>7</v>
      </c>
      <c r="V2215" s="1" t="s">
        <v>686</v>
      </c>
      <c r="W2215" s="1"/>
    </row>
    <row r="2216" spans="1:23" x14ac:dyDescent="0.2">
      <c r="A2216" s="88" t="s">
        <v>17437</v>
      </c>
      <c r="B2216" s="1" t="e">
        <v>#N/A</v>
      </c>
      <c r="C2216" s="1" t="s">
        <v>14202</v>
      </c>
      <c r="D2216" s="1" t="s">
        <v>5904</v>
      </c>
      <c r="E2216" s="1" t="s">
        <v>5905</v>
      </c>
      <c r="F2216" s="1" t="s">
        <v>12547</v>
      </c>
      <c r="G2216" s="1" t="s">
        <v>8957</v>
      </c>
      <c r="H2216" t="s">
        <v>8959</v>
      </c>
      <c r="I2216" s="1" t="s">
        <v>8948</v>
      </c>
      <c r="J2216" s="1" t="s">
        <v>8949</v>
      </c>
      <c r="K2216" s="1" t="s">
        <v>14205</v>
      </c>
      <c r="L2216" s="1" t="s">
        <v>8987</v>
      </c>
      <c r="M2216" s="1">
        <v>258</v>
      </c>
      <c r="N2216" s="1" t="s">
        <v>9059</v>
      </c>
      <c r="O2216" s="1" t="s">
        <v>8989</v>
      </c>
      <c r="P2216" s="1" t="s">
        <v>8955</v>
      </c>
      <c r="Q2216" s="1" t="s">
        <v>8956</v>
      </c>
      <c r="R2216" s="1" t="s">
        <v>8957</v>
      </c>
      <c r="S2216" s="1" t="s">
        <v>8975</v>
      </c>
      <c r="T2216" s="1" t="s">
        <v>5906</v>
      </c>
      <c r="U2216" s="1" t="s">
        <v>242</v>
      </c>
      <c r="V2216" s="1" t="s">
        <v>24</v>
      </c>
      <c r="W2216" s="1"/>
    </row>
    <row r="2217" spans="1:23" x14ac:dyDescent="0.2">
      <c r="A2217" s="88" t="s">
        <v>17438</v>
      </c>
      <c r="B2217" s="1" t="e">
        <v>#N/A</v>
      </c>
      <c r="C2217" s="1" t="e">
        <v>#N/A</v>
      </c>
      <c r="D2217" s="1" t="s">
        <v>5907</v>
      </c>
      <c r="E2217" s="1" t="s">
        <v>5908</v>
      </c>
      <c r="F2217" s="1" t="s">
        <v>12547</v>
      </c>
      <c r="G2217" s="1" t="s">
        <v>8974</v>
      </c>
      <c r="H2217" t="s">
        <v>8959</v>
      </c>
      <c r="I2217" s="1" t="s">
        <v>9100</v>
      </c>
      <c r="J2217" s="1" t="s">
        <v>8949</v>
      </c>
      <c r="K2217" s="1" t="s">
        <v>21205</v>
      </c>
      <c r="L2217" s="1" t="s">
        <v>20952</v>
      </c>
      <c r="M2217" s="1">
        <f>263+1113</f>
        <v>1376</v>
      </c>
      <c r="N2217" s="1" t="s">
        <v>9059</v>
      </c>
      <c r="O2217" s="1" t="s">
        <v>8954</v>
      </c>
      <c r="P2217" s="1" t="e">
        <v>#N/A</v>
      </c>
      <c r="Q2217" s="1" t="e">
        <v>#N/A</v>
      </c>
      <c r="R2217" s="1">
        <f>1+LEN(T2217)-LEN(SUBSTITUTE(T2217,",",))</f>
        <v>3</v>
      </c>
      <c r="S2217" s="1" t="str">
        <f>IF(R2217&gt;4,IF(R2217&lt;8,"4-7",IF(R2217&gt;7,"&gt;7")),"&lt;4")</f>
        <v>&lt;4</v>
      </c>
      <c r="T2217" s="1" t="s">
        <v>19806</v>
      </c>
      <c r="U2217" s="1" t="s">
        <v>17</v>
      </c>
      <c r="V2217" s="1" t="s">
        <v>2988</v>
      </c>
      <c r="W2217" s="1"/>
    </row>
    <row r="2218" spans="1:23" x14ac:dyDescent="0.2">
      <c r="A2218" s="88" t="s">
        <v>17439</v>
      </c>
      <c r="B2218" s="1" t="e">
        <v>#N/A</v>
      </c>
      <c r="C2218" s="1" t="s">
        <v>12118</v>
      </c>
      <c r="D2218" s="1" t="s">
        <v>5909</v>
      </c>
      <c r="E2218" s="1" t="s">
        <v>5910</v>
      </c>
      <c r="F2218" s="1" t="s">
        <v>9380</v>
      </c>
      <c r="G2218" s="1" t="s">
        <v>8957</v>
      </c>
      <c r="H2218" t="s">
        <v>9183</v>
      </c>
      <c r="I2218" s="1" t="s">
        <v>8948</v>
      </c>
      <c r="J2218" s="1" t="s">
        <v>8949</v>
      </c>
      <c r="K2218" s="1" t="s">
        <v>12121</v>
      </c>
      <c r="L2218" s="1" t="s">
        <v>9292</v>
      </c>
      <c r="M2218" s="1">
        <v>86068</v>
      </c>
      <c r="N2218" s="1" t="s">
        <v>8953</v>
      </c>
      <c r="O2218" s="1" t="s">
        <v>8989</v>
      </c>
      <c r="P2218" s="1" t="s">
        <v>8955</v>
      </c>
      <c r="Q2218" s="1" t="s">
        <v>8956</v>
      </c>
      <c r="R2218" s="1" t="s">
        <v>8957</v>
      </c>
      <c r="S2218" s="1" t="s">
        <v>8958</v>
      </c>
      <c r="T2218" s="1" t="s">
        <v>5911</v>
      </c>
      <c r="U2218" s="1" t="s">
        <v>17</v>
      </c>
      <c r="V2218" s="1" t="s">
        <v>467</v>
      </c>
      <c r="W2218" s="1"/>
    </row>
    <row r="2219" spans="1:23" x14ac:dyDescent="0.2">
      <c r="A2219" s="88" t="s">
        <v>17440</v>
      </c>
      <c r="B2219" s="1" t="e">
        <v>#N/A</v>
      </c>
      <c r="C2219" s="1" t="s">
        <v>11826</v>
      </c>
      <c r="D2219" s="1" t="s">
        <v>5912</v>
      </c>
      <c r="E2219" s="1" t="s">
        <v>5913</v>
      </c>
      <c r="F2219" s="1" t="s">
        <v>9010</v>
      </c>
      <c r="G2219" s="1" t="s">
        <v>8957</v>
      </c>
      <c r="H2219" t="s">
        <v>9183</v>
      </c>
      <c r="I2219" s="1" t="s">
        <v>9049</v>
      </c>
      <c r="J2219" s="1" t="s">
        <v>8949</v>
      </c>
      <c r="K2219" s="1" t="s">
        <v>9041</v>
      </c>
      <c r="L2219" s="1" t="s">
        <v>8951</v>
      </c>
      <c r="M2219" s="1">
        <v>298</v>
      </c>
      <c r="N2219" s="1" t="s">
        <v>9059</v>
      </c>
      <c r="O2219" s="1" t="s">
        <v>8989</v>
      </c>
      <c r="P2219" s="1" t="s">
        <v>8955</v>
      </c>
      <c r="Q2219" s="1" t="s">
        <v>8956</v>
      </c>
      <c r="R2219" s="1" t="s">
        <v>8957</v>
      </c>
      <c r="S2219" s="1" t="s">
        <v>8975</v>
      </c>
      <c r="T2219" s="1" t="s">
        <v>5914</v>
      </c>
      <c r="U2219" s="1" t="s">
        <v>11</v>
      </c>
      <c r="V2219" s="1" t="s">
        <v>392</v>
      </c>
      <c r="W2219" s="1"/>
    </row>
    <row r="2220" spans="1:23" x14ac:dyDescent="0.2">
      <c r="A2220" s="89" t="s">
        <v>5915</v>
      </c>
      <c r="B2220" s="1" t="e">
        <v>#N/A</v>
      </c>
      <c r="C2220" s="1" t="e">
        <v>#N/A</v>
      </c>
      <c r="D2220" s="1" t="s">
        <v>5916</v>
      </c>
      <c r="E2220" s="1" t="s">
        <v>5917</v>
      </c>
      <c r="F2220" s="1" t="e">
        <v>#N/A</v>
      </c>
      <c r="G2220" s="1" t="e">
        <v>#N/A</v>
      </c>
      <c r="H2220" t="e">
        <v>#N/A</v>
      </c>
      <c r="I2220" s="1" t="e">
        <v>#N/A</v>
      </c>
      <c r="J2220" s="1" t="e">
        <v>#N/A</v>
      </c>
      <c r="K2220" s="1" t="e">
        <v>#N/A</v>
      </c>
      <c r="L2220" s="1" t="e">
        <v>#N/A</v>
      </c>
      <c r="M2220" s="1" t="e">
        <v>#N/A</v>
      </c>
      <c r="N2220" s="1" t="e">
        <v>#N/A</v>
      </c>
      <c r="O2220" s="1" t="e">
        <v>#N/A</v>
      </c>
      <c r="P2220" s="1" t="e">
        <v>#N/A</v>
      </c>
      <c r="Q2220" s="1" t="e">
        <v>#N/A</v>
      </c>
      <c r="R2220" s="1">
        <f t="shared" ref="R2220:R2222" si="644">1+LEN(T2220)-LEN(SUBSTITUTE(T2220,",",))</f>
        <v>7</v>
      </c>
      <c r="S2220" s="1" t="str">
        <f t="shared" ref="S2220:S2222" si="645">IF(R2220&gt;4,IF(R2220&lt;8,"4-7",IF(R2220&gt;7,"&gt;7")),"&lt;4")</f>
        <v>4-7</v>
      </c>
      <c r="T2220" s="1" t="s">
        <v>20669</v>
      </c>
      <c r="U2220" s="1" t="s">
        <v>7</v>
      </c>
      <c r="V2220" s="1" t="s">
        <v>2044</v>
      </c>
      <c r="W2220" s="1"/>
    </row>
    <row r="2221" spans="1:23" x14ac:dyDescent="0.2">
      <c r="A2221" s="88" t="s">
        <v>17441</v>
      </c>
      <c r="B2221" s="1" t="e">
        <v>#N/A</v>
      </c>
      <c r="C2221" s="1" t="e">
        <v>#N/A</v>
      </c>
      <c r="D2221" s="1" t="s">
        <v>5918</v>
      </c>
      <c r="E2221" s="1" t="s">
        <v>5919</v>
      </c>
      <c r="F2221" s="1" t="s">
        <v>11671</v>
      </c>
      <c r="G2221" s="1" t="s">
        <v>8957</v>
      </c>
      <c r="H2221" t="s">
        <v>9061</v>
      </c>
      <c r="I2221" s="1" t="s">
        <v>9075</v>
      </c>
      <c r="J2221" s="1" t="s">
        <v>9155</v>
      </c>
      <c r="K2221" s="1" t="s">
        <v>20943</v>
      </c>
      <c r="L2221" s="1" t="s">
        <v>9157</v>
      </c>
      <c r="M2221" s="1">
        <v>150</v>
      </c>
      <c r="N2221" s="1" t="s">
        <v>9059</v>
      </c>
      <c r="O2221" s="1" t="s">
        <v>8954</v>
      </c>
      <c r="P2221" s="1" t="e">
        <v>#N/A</v>
      </c>
      <c r="Q2221" s="1" t="e">
        <v>#N/A</v>
      </c>
      <c r="R2221" s="1">
        <f t="shared" si="644"/>
        <v>13</v>
      </c>
      <c r="S2221" s="1" t="str">
        <f t="shared" si="645"/>
        <v>&gt;7</v>
      </c>
      <c r="T2221" s="1" t="s">
        <v>20670</v>
      </c>
      <c r="U2221" s="1" t="s">
        <v>7</v>
      </c>
      <c r="V2221" s="1" t="s">
        <v>5920</v>
      </c>
      <c r="W2221" s="1"/>
    </row>
    <row r="2222" spans="1:23" x14ac:dyDescent="0.2">
      <c r="A2222" s="88" t="s">
        <v>17442</v>
      </c>
      <c r="B2222" s="1" t="e">
        <v>#N/A</v>
      </c>
      <c r="C2222" s="1" t="e">
        <v>#N/A</v>
      </c>
      <c r="D2222" s="1" t="s">
        <v>5921</v>
      </c>
      <c r="E2222" s="1" t="s">
        <v>5922</v>
      </c>
      <c r="F2222" s="1" t="s">
        <v>9310</v>
      </c>
      <c r="G2222" s="1" t="s">
        <v>8957</v>
      </c>
      <c r="H2222" t="s">
        <v>8959</v>
      </c>
      <c r="I2222" s="1" t="s">
        <v>8984</v>
      </c>
      <c r="J2222" s="1" t="s">
        <v>9131</v>
      </c>
      <c r="K2222" s="1" t="s">
        <v>21382</v>
      </c>
      <c r="L2222" s="1" t="s">
        <v>8951</v>
      </c>
      <c r="M2222" s="1">
        <v>291090</v>
      </c>
      <c r="N2222" s="1" t="s">
        <v>8953</v>
      </c>
      <c r="O2222" s="1" t="s">
        <v>8954</v>
      </c>
      <c r="P2222" s="1" t="e">
        <v>#N/A</v>
      </c>
      <c r="Q2222" s="1" t="e">
        <v>#N/A</v>
      </c>
      <c r="R2222" s="1">
        <f t="shared" si="644"/>
        <v>12</v>
      </c>
      <c r="S2222" s="1" t="str">
        <f t="shared" si="645"/>
        <v>&gt;7</v>
      </c>
      <c r="T2222" s="1" t="s">
        <v>19807</v>
      </c>
      <c r="U2222" s="1" t="s">
        <v>7</v>
      </c>
      <c r="V2222" s="1" t="s">
        <v>2819</v>
      </c>
      <c r="W2222" s="1"/>
    </row>
    <row r="2223" spans="1:23" x14ac:dyDescent="0.2">
      <c r="A2223" s="88" t="s">
        <v>17443</v>
      </c>
      <c r="B2223" s="1" t="e">
        <v>#N/A</v>
      </c>
      <c r="C2223" s="1" t="s">
        <v>9881</v>
      </c>
      <c r="D2223" s="1" t="s">
        <v>5923</v>
      </c>
      <c r="E2223" s="1" t="s">
        <v>5924</v>
      </c>
      <c r="F2223" s="1" t="s">
        <v>9010</v>
      </c>
      <c r="G2223" s="1" t="s">
        <v>8959</v>
      </c>
      <c r="H2223" t="s">
        <v>8959</v>
      </c>
      <c r="I2223" s="1" t="s">
        <v>9884</v>
      </c>
      <c r="J2223" s="1" t="s">
        <v>9050</v>
      </c>
      <c r="K2223" s="1" t="s">
        <v>9885</v>
      </c>
      <c r="L2223" s="1" t="s">
        <v>9157</v>
      </c>
      <c r="M2223" s="1">
        <v>284335</v>
      </c>
      <c r="N2223" s="1" t="s">
        <v>8953</v>
      </c>
      <c r="O2223" s="1" t="s">
        <v>8954</v>
      </c>
      <c r="P2223" s="1" t="s">
        <v>8955</v>
      </c>
      <c r="Q2223" s="1" t="s">
        <v>8956</v>
      </c>
      <c r="R2223" s="1" t="s">
        <v>8959</v>
      </c>
      <c r="S2223" s="1" t="s">
        <v>8975</v>
      </c>
      <c r="T2223" s="1" t="s">
        <v>5925</v>
      </c>
      <c r="U2223" s="1" t="s">
        <v>11</v>
      </c>
      <c r="V2223" s="1" t="s">
        <v>4369</v>
      </c>
      <c r="W2223" s="1"/>
    </row>
    <row r="2224" spans="1:23" x14ac:dyDescent="0.2">
      <c r="A2224" s="89" t="s">
        <v>17444</v>
      </c>
      <c r="B2224" s="1" t="e">
        <v>#N/A</v>
      </c>
      <c r="C2224" s="1" t="e">
        <v>#N/A</v>
      </c>
      <c r="D2224" s="1" t="s">
        <v>5926</v>
      </c>
      <c r="E2224" s="1" t="s">
        <v>5927</v>
      </c>
      <c r="F2224" s="1" t="s">
        <v>9815</v>
      </c>
      <c r="G2224" s="1" t="e">
        <v>#N/A</v>
      </c>
      <c r="H2224" t="s">
        <v>8959</v>
      </c>
      <c r="I2224" s="1" t="s">
        <v>20714</v>
      </c>
      <c r="J2224" s="1" t="e">
        <v>#N/A</v>
      </c>
      <c r="K2224" s="1" t="e">
        <v>#N/A</v>
      </c>
      <c r="L2224" s="1" t="s">
        <v>8973</v>
      </c>
      <c r="M2224" s="1" t="e">
        <v>#N/A</v>
      </c>
      <c r="N2224" s="1" t="e">
        <v>#N/A</v>
      </c>
      <c r="O2224" s="1" t="e">
        <v>#N/A</v>
      </c>
      <c r="P2224" s="1" t="e">
        <v>#N/A</v>
      </c>
      <c r="Q2224" s="1" t="e">
        <v>#N/A</v>
      </c>
      <c r="R2224" s="1">
        <f t="shared" ref="R2224:R2225" si="646">1+LEN(T2224)-LEN(SUBSTITUTE(T2224,",",))</f>
        <v>57</v>
      </c>
      <c r="S2224" s="1" t="str">
        <f t="shared" ref="S2224:S2225" si="647">IF(R2224&gt;4,IF(R2224&lt;8,"4-7",IF(R2224&gt;7,"&gt;7")),"&lt;4")</f>
        <v>&gt;7</v>
      </c>
      <c r="T2224" s="1" t="s">
        <v>19808</v>
      </c>
      <c r="U2224" s="1" t="s">
        <v>7</v>
      </c>
      <c r="V2224" s="1" t="s">
        <v>126</v>
      </c>
      <c r="W2224" s="1"/>
    </row>
    <row r="2225" spans="1:23" x14ac:dyDescent="0.2">
      <c r="A2225" s="89" t="s">
        <v>5928</v>
      </c>
      <c r="B2225" s="1" t="e">
        <v>#N/A</v>
      </c>
      <c r="C2225" s="1" t="e">
        <v>#N/A</v>
      </c>
      <c r="D2225" s="1" t="s">
        <v>5929</v>
      </c>
      <c r="E2225" s="1" t="s">
        <v>5930</v>
      </c>
      <c r="F2225" s="1" t="e">
        <v>#N/A</v>
      </c>
      <c r="G2225" s="1" t="e">
        <v>#N/A</v>
      </c>
      <c r="H2225" t="e">
        <v>#N/A</v>
      </c>
      <c r="I2225" s="1" t="e">
        <v>#N/A</v>
      </c>
      <c r="J2225" s="1" t="e">
        <v>#N/A</v>
      </c>
      <c r="K2225" s="1" t="e">
        <v>#N/A</v>
      </c>
      <c r="L2225" s="1" t="e">
        <v>#N/A</v>
      </c>
      <c r="M2225" s="1" t="e">
        <v>#N/A</v>
      </c>
      <c r="N2225" s="1" t="e">
        <v>#N/A</v>
      </c>
      <c r="O2225" s="1" t="e">
        <v>#N/A</v>
      </c>
      <c r="P2225" s="1" t="e">
        <v>#N/A</v>
      </c>
      <c r="Q2225" s="1" t="e">
        <v>#N/A</v>
      </c>
      <c r="R2225" s="1">
        <f t="shared" si="646"/>
        <v>4</v>
      </c>
      <c r="S2225" s="1" t="str">
        <f t="shared" si="647"/>
        <v>&lt;4</v>
      </c>
      <c r="T2225" s="1" t="s">
        <v>19809</v>
      </c>
      <c r="U2225" s="1" t="s">
        <v>7</v>
      </c>
      <c r="V2225" s="1" t="s">
        <v>5931</v>
      </c>
      <c r="W2225" s="1"/>
    </row>
    <row r="2226" spans="1:23" x14ac:dyDescent="0.2">
      <c r="A2226" s="88" t="s">
        <v>17445</v>
      </c>
      <c r="B2226" s="1" t="e">
        <v>#N/A</v>
      </c>
      <c r="C2226" s="1" t="s">
        <v>13430</v>
      </c>
      <c r="D2226" s="1" t="s">
        <v>5932</v>
      </c>
      <c r="E2226" s="1" t="s">
        <v>5933</v>
      </c>
      <c r="F2226" s="1" t="s">
        <v>10873</v>
      </c>
      <c r="G2226" s="1" t="s">
        <v>8959</v>
      </c>
      <c r="H2226" t="s">
        <v>8959</v>
      </c>
      <c r="I2226" s="1" t="s">
        <v>9173</v>
      </c>
      <c r="J2226" s="1" t="s">
        <v>9174</v>
      </c>
      <c r="K2226" s="1" t="s">
        <v>13433</v>
      </c>
      <c r="L2226" s="1" t="s">
        <v>8973</v>
      </c>
      <c r="M2226" s="1">
        <v>1949</v>
      </c>
      <c r="N2226" s="1" t="s">
        <v>8953</v>
      </c>
      <c r="O2226" s="1" t="s">
        <v>8989</v>
      </c>
      <c r="P2226" s="1" t="s">
        <v>8955</v>
      </c>
      <c r="Q2226" s="1" t="s">
        <v>8956</v>
      </c>
      <c r="R2226" s="1" t="s">
        <v>8959</v>
      </c>
      <c r="S2226" s="1" t="s">
        <v>9103</v>
      </c>
      <c r="T2226" s="1" t="s">
        <v>5934</v>
      </c>
      <c r="U2226" s="1" t="s">
        <v>4</v>
      </c>
      <c r="V2226" s="1" t="s">
        <v>46</v>
      </c>
      <c r="W2226" s="1"/>
    </row>
    <row r="2227" spans="1:23" x14ac:dyDescent="0.2">
      <c r="A2227" s="89" t="s">
        <v>5935</v>
      </c>
      <c r="B2227" s="1" t="e">
        <v>#N/A</v>
      </c>
      <c r="C2227" s="1" t="e">
        <v>#N/A</v>
      </c>
      <c r="D2227" s="1" t="s">
        <v>5936</v>
      </c>
      <c r="E2227" s="1" t="s">
        <v>5937</v>
      </c>
      <c r="F2227" s="1" t="e">
        <v>#N/A</v>
      </c>
      <c r="G2227" s="1" t="e">
        <v>#N/A</v>
      </c>
      <c r="H2227" t="e">
        <v>#N/A</v>
      </c>
      <c r="I2227" s="1" t="e">
        <v>#N/A</v>
      </c>
      <c r="J2227" s="1" t="e">
        <v>#N/A</v>
      </c>
      <c r="K2227" s="1" t="e">
        <v>#N/A</v>
      </c>
      <c r="L2227" s="1" t="e">
        <v>#N/A</v>
      </c>
      <c r="M2227" s="1" t="e">
        <v>#N/A</v>
      </c>
      <c r="N2227" s="1" t="e">
        <v>#N/A</v>
      </c>
      <c r="O2227" s="1" t="e">
        <v>#N/A</v>
      </c>
      <c r="P2227" s="1" t="e">
        <v>#N/A</v>
      </c>
      <c r="Q2227" s="1" t="e">
        <v>#N/A</v>
      </c>
      <c r="R2227" s="1">
        <f>1+LEN(T2227)-LEN(SUBSTITUTE(T2227,",",))</f>
        <v>4</v>
      </c>
      <c r="S2227" s="1" t="str">
        <f>IF(R2227&gt;4,IF(R2227&lt;8,"4-7",IF(R2227&gt;7,"&gt;7")),"&lt;4")</f>
        <v>&lt;4</v>
      </c>
      <c r="T2227" s="1" t="s">
        <v>19810</v>
      </c>
      <c r="U2227" s="1" t="s">
        <v>11</v>
      </c>
      <c r="V2227" s="1" t="s">
        <v>5268</v>
      </c>
      <c r="W2227" s="1"/>
    </row>
    <row r="2228" spans="1:23" x14ac:dyDescent="0.2">
      <c r="A2228" s="88" t="s">
        <v>17446</v>
      </c>
      <c r="B2228" s="1" t="e">
        <v>#N/A</v>
      </c>
      <c r="C2228" s="1" t="s">
        <v>13329</v>
      </c>
      <c r="D2228" s="1" t="s">
        <v>5938</v>
      </c>
      <c r="E2228" s="1" t="s">
        <v>5939</v>
      </c>
      <c r="F2228" s="1" t="s">
        <v>9317</v>
      </c>
      <c r="G2228" s="1" t="s">
        <v>8959</v>
      </c>
      <c r="H2228" t="s">
        <v>9183</v>
      </c>
      <c r="I2228" s="1" t="s">
        <v>9049</v>
      </c>
      <c r="J2228" s="1" t="s">
        <v>9325</v>
      </c>
      <c r="K2228" s="1" t="s">
        <v>10135</v>
      </c>
      <c r="L2228" s="1" t="s">
        <v>8987</v>
      </c>
      <c r="M2228" s="1">
        <v>183402</v>
      </c>
      <c r="N2228" s="1" t="s">
        <v>8953</v>
      </c>
      <c r="O2228" s="1" t="s">
        <v>8989</v>
      </c>
      <c r="P2228" s="1" t="s">
        <v>9182</v>
      </c>
      <c r="Q2228" s="1" t="s">
        <v>8956</v>
      </c>
      <c r="R2228" s="1" t="s">
        <v>8959</v>
      </c>
      <c r="S2228" s="1" t="s">
        <v>8958</v>
      </c>
      <c r="T2228" s="1" t="s">
        <v>5940</v>
      </c>
      <c r="U2228" s="1" t="s">
        <v>11</v>
      </c>
      <c r="V2228" s="1" t="s">
        <v>4060</v>
      </c>
      <c r="W2228" s="1"/>
    </row>
    <row r="2229" spans="1:23" x14ac:dyDescent="0.2">
      <c r="A2229" s="88" t="s">
        <v>17447</v>
      </c>
      <c r="B2229" s="1" t="e">
        <v>#N/A</v>
      </c>
      <c r="C2229" s="1" t="s">
        <v>10096</v>
      </c>
      <c r="D2229" s="1" t="s">
        <v>5941</v>
      </c>
      <c r="E2229" s="1" t="s">
        <v>5942</v>
      </c>
      <c r="F2229" s="1" t="s">
        <v>9310</v>
      </c>
      <c r="G2229" s="1" t="s">
        <v>8957</v>
      </c>
      <c r="H2229" t="s">
        <v>8959</v>
      </c>
      <c r="I2229" s="1" t="s">
        <v>9092</v>
      </c>
      <c r="J2229" s="1" t="s">
        <v>8998</v>
      </c>
      <c r="K2229" s="1" t="s">
        <v>10099</v>
      </c>
      <c r="L2229" s="1" t="s">
        <v>8987</v>
      </c>
      <c r="M2229" s="1">
        <v>1931</v>
      </c>
      <c r="N2229" s="1" t="s">
        <v>8953</v>
      </c>
      <c r="O2229" s="1" t="s">
        <v>8989</v>
      </c>
      <c r="P2229" s="1" t="s">
        <v>8955</v>
      </c>
      <c r="Q2229" s="1" t="s">
        <v>8990</v>
      </c>
      <c r="R2229" s="1" t="s">
        <v>8957</v>
      </c>
      <c r="S2229" s="1" t="s">
        <v>8958</v>
      </c>
      <c r="T2229" s="1" t="s">
        <v>5943</v>
      </c>
      <c r="U2229" s="1" t="s">
        <v>17</v>
      </c>
      <c r="V2229" s="1" t="s">
        <v>184</v>
      </c>
      <c r="W2229" s="1"/>
    </row>
    <row r="2230" spans="1:23" x14ac:dyDescent="0.2">
      <c r="A2230" s="88" t="s">
        <v>17448</v>
      </c>
      <c r="B2230" s="1" t="e">
        <v>#N/A</v>
      </c>
      <c r="C2230" s="1" t="s">
        <v>14616</v>
      </c>
      <c r="D2230" s="1" t="s">
        <v>5944</v>
      </c>
      <c r="E2230" s="1" t="s">
        <v>5945</v>
      </c>
      <c r="F2230" s="1" t="s">
        <v>12526</v>
      </c>
      <c r="G2230" s="1" t="s">
        <v>8957</v>
      </c>
      <c r="H2230" t="s">
        <v>8959</v>
      </c>
      <c r="I2230" s="1" t="s">
        <v>9092</v>
      </c>
      <c r="J2230" s="1" t="s">
        <v>8949</v>
      </c>
      <c r="K2230" s="1" t="s">
        <v>9036</v>
      </c>
      <c r="L2230" s="1" t="s">
        <v>8973</v>
      </c>
      <c r="M2230" s="1">
        <v>2114</v>
      </c>
      <c r="N2230" s="1" t="s">
        <v>8953</v>
      </c>
      <c r="O2230" s="1" t="s">
        <v>8954</v>
      </c>
      <c r="P2230" s="1" t="s">
        <v>8955</v>
      </c>
      <c r="Q2230" s="1" t="s">
        <v>8956</v>
      </c>
      <c r="R2230" s="1" t="s">
        <v>8957</v>
      </c>
      <c r="S2230" s="1" t="s">
        <v>8958</v>
      </c>
      <c r="T2230" s="1" t="s">
        <v>5946</v>
      </c>
      <c r="U2230" s="1" t="s">
        <v>920</v>
      </c>
      <c r="V2230" s="1" t="s">
        <v>921</v>
      </c>
      <c r="W2230" s="1"/>
    </row>
    <row r="2231" spans="1:23" x14ac:dyDescent="0.2">
      <c r="A2231" s="88" t="s">
        <v>17449</v>
      </c>
      <c r="B2231" s="1" t="e">
        <v>#N/A</v>
      </c>
      <c r="C2231" s="1" t="s">
        <v>14435</v>
      </c>
      <c r="D2231" s="1" t="s">
        <v>5947</v>
      </c>
      <c r="E2231" s="1" t="s">
        <v>5948</v>
      </c>
      <c r="F2231" s="1" t="s">
        <v>9815</v>
      </c>
      <c r="G2231" s="1" t="s">
        <v>8957</v>
      </c>
      <c r="H2231" t="s">
        <v>8959</v>
      </c>
      <c r="I2231" s="1" t="s">
        <v>9173</v>
      </c>
      <c r="J2231" s="1" t="s">
        <v>9174</v>
      </c>
      <c r="K2231" s="1" t="s">
        <v>9102</v>
      </c>
      <c r="L2231" s="1" t="s">
        <v>9133</v>
      </c>
      <c r="M2231" s="1">
        <v>992</v>
      </c>
      <c r="N2231" s="1" t="s">
        <v>8953</v>
      </c>
      <c r="O2231" s="1" t="s">
        <v>8954</v>
      </c>
      <c r="P2231" s="1" t="s">
        <v>8955</v>
      </c>
      <c r="Q2231" s="1" t="s">
        <v>8956</v>
      </c>
      <c r="R2231" s="1" t="s">
        <v>8957</v>
      </c>
      <c r="S2231" s="1" t="s">
        <v>9103</v>
      </c>
      <c r="T2231" s="1" t="s">
        <v>5949</v>
      </c>
      <c r="U2231" s="1" t="s">
        <v>242</v>
      </c>
      <c r="V2231" s="1" t="s">
        <v>97</v>
      </c>
      <c r="W2231" s="1"/>
    </row>
    <row r="2232" spans="1:23" x14ac:dyDescent="0.2">
      <c r="A2232" s="88" t="s">
        <v>17450</v>
      </c>
      <c r="B2232" s="1" t="e">
        <v>#N/A</v>
      </c>
      <c r="C2232" s="1" t="s">
        <v>14344</v>
      </c>
      <c r="D2232" s="1" t="s">
        <v>5950</v>
      </c>
      <c r="E2232" s="1" t="s">
        <v>5951</v>
      </c>
      <c r="F2232" s="1" t="s">
        <v>14347</v>
      </c>
      <c r="G2232" s="1" t="s">
        <v>8957</v>
      </c>
      <c r="H2232" t="s">
        <v>8959</v>
      </c>
      <c r="I2232" s="1" t="s">
        <v>9049</v>
      </c>
      <c r="J2232" s="1" t="s">
        <v>9325</v>
      </c>
      <c r="K2232" s="1" t="s">
        <v>9316</v>
      </c>
      <c r="L2232" s="1" t="s">
        <v>8973</v>
      </c>
      <c r="M2232" s="1">
        <v>80</v>
      </c>
      <c r="N2232" s="1" t="s">
        <v>8953</v>
      </c>
      <c r="O2232" s="1" t="s">
        <v>8989</v>
      </c>
      <c r="P2232" s="1" t="s">
        <v>8955</v>
      </c>
      <c r="Q2232" s="1" t="s">
        <v>8956</v>
      </c>
      <c r="R2232" s="1" t="s">
        <v>8957</v>
      </c>
      <c r="S2232" s="1" t="s">
        <v>8975</v>
      </c>
      <c r="T2232" s="1" t="s">
        <v>5952</v>
      </c>
      <c r="U2232" s="1" t="s">
        <v>242</v>
      </c>
      <c r="V2232" s="1" t="s">
        <v>2287</v>
      </c>
      <c r="W2232" s="1"/>
    </row>
    <row r="2233" spans="1:23" x14ac:dyDescent="0.2">
      <c r="A2233" s="88" t="s">
        <v>17451</v>
      </c>
      <c r="B2233" s="1" t="e">
        <v>#N/A</v>
      </c>
      <c r="C2233" s="1" t="s">
        <v>13773</v>
      </c>
      <c r="D2233" s="1" t="s">
        <v>5953</v>
      </c>
      <c r="E2233" s="1" t="s">
        <v>5954</v>
      </c>
      <c r="F2233" s="1" t="s">
        <v>9010</v>
      </c>
      <c r="G2233" s="1" t="s">
        <v>8974</v>
      </c>
      <c r="H2233" t="s">
        <v>9061</v>
      </c>
      <c r="I2233" s="1" t="s">
        <v>8948</v>
      </c>
      <c r="J2233" s="1" t="s">
        <v>8998</v>
      </c>
      <c r="K2233" s="1" t="s">
        <v>9036</v>
      </c>
      <c r="L2233" s="1" t="s">
        <v>8951</v>
      </c>
      <c r="M2233" s="1">
        <v>2583</v>
      </c>
      <c r="N2233" s="1" t="s">
        <v>8953</v>
      </c>
      <c r="O2233" s="1" t="s">
        <v>8954</v>
      </c>
      <c r="P2233" s="1" t="s">
        <v>8955</v>
      </c>
      <c r="Q2233" s="1" t="s">
        <v>8956</v>
      </c>
      <c r="R2233" s="1" t="s">
        <v>8974</v>
      </c>
      <c r="S2233" s="1" t="s">
        <v>8958</v>
      </c>
      <c r="T2233" s="1" t="s">
        <v>5955</v>
      </c>
      <c r="U2233" s="1" t="s">
        <v>4</v>
      </c>
      <c r="V2233" s="1" t="s">
        <v>180</v>
      </c>
      <c r="W2233" s="1"/>
    </row>
    <row r="2234" spans="1:23" x14ac:dyDescent="0.2">
      <c r="A2234" s="88" t="s">
        <v>17452</v>
      </c>
      <c r="B2234" s="1" t="e">
        <v>#N/A</v>
      </c>
      <c r="C2234" s="1" t="s">
        <v>12156</v>
      </c>
      <c r="D2234" s="1" t="s">
        <v>5956</v>
      </c>
      <c r="E2234" s="1" t="s">
        <v>5957</v>
      </c>
      <c r="F2234" s="1" t="s">
        <v>9317</v>
      </c>
      <c r="G2234" s="1" t="s">
        <v>8957</v>
      </c>
      <c r="H2234" t="s">
        <v>9183</v>
      </c>
      <c r="I2234" s="1" t="s">
        <v>9605</v>
      </c>
      <c r="J2234" s="1" t="s">
        <v>8971</v>
      </c>
      <c r="K2234" s="1" t="s">
        <v>9036</v>
      </c>
      <c r="L2234" s="1" t="s">
        <v>8951</v>
      </c>
      <c r="M2234" s="1">
        <v>800</v>
      </c>
      <c r="N2234" s="1" t="s">
        <v>8953</v>
      </c>
      <c r="O2234" s="1" t="s">
        <v>8954</v>
      </c>
      <c r="P2234" s="1" t="s">
        <v>8955</v>
      </c>
      <c r="Q2234" s="1" t="s">
        <v>8956</v>
      </c>
      <c r="R2234" s="1" t="s">
        <v>8957</v>
      </c>
      <c r="S2234" s="1" t="s">
        <v>8975</v>
      </c>
      <c r="T2234" s="1" t="s">
        <v>5958</v>
      </c>
      <c r="U2234" s="1" t="s">
        <v>11</v>
      </c>
      <c r="V2234" s="1" t="s">
        <v>126</v>
      </c>
      <c r="W2234" s="1"/>
    </row>
    <row r="2235" spans="1:23" x14ac:dyDescent="0.2">
      <c r="A2235" s="88" t="s">
        <v>17453</v>
      </c>
      <c r="B2235" s="1" t="e">
        <v>#N/A</v>
      </c>
      <c r="C2235" s="1" t="s">
        <v>10372</v>
      </c>
      <c r="D2235" s="1" t="s">
        <v>5959</v>
      </c>
      <c r="E2235" s="1" t="s">
        <v>5960</v>
      </c>
      <c r="F2235" s="1" t="s">
        <v>10873</v>
      </c>
      <c r="G2235" s="1" t="s">
        <v>8957</v>
      </c>
      <c r="H2235" t="s">
        <v>9009</v>
      </c>
      <c r="I2235" s="1" t="s">
        <v>8948</v>
      </c>
      <c r="J2235" s="1" t="s">
        <v>8949</v>
      </c>
      <c r="K2235" s="1" t="s">
        <v>10375</v>
      </c>
      <c r="L2235" s="1" t="s">
        <v>8973</v>
      </c>
      <c r="M2235" s="1">
        <v>50</v>
      </c>
      <c r="N2235" s="1" t="s">
        <v>9059</v>
      </c>
      <c r="O2235" s="1" t="s">
        <v>8989</v>
      </c>
      <c r="P2235" s="1" t="s">
        <v>8955</v>
      </c>
      <c r="Q2235" s="1" t="s">
        <v>8956</v>
      </c>
      <c r="R2235" s="1" t="s">
        <v>8957</v>
      </c>
      <c r="S2235" s="1" t="s">
        <v>8975</v>
      </c>
      <c r="T2235" s="1" t="s">
        <v>5961</v>
      </c>
      <c r="U2235" s="1" t="s">
        <v>17</v>
      </c>
      <c r="V2235" s="1" t="s">
        <v>74</v>
      </c>
      <c r="W2235" s="1"/>
    </row>
    <row r="2236" spans="1:23" x14ac:dyDescent="0.2">
      <c r="A2236" s="88" t="s">
        <v>17454</v>
      </c>
      <c r="B2236" s="1" t="e">
        <v>#N/A</v>
      </c>
      <c r="C2236" s="1" t="e">
        <v>#N/A</v>
      </c>
      <c r="D2236" s="1" t="s">
        <v>5962</v>
      </c>
      <c r="E2236" s="1" t="s">
        <v>5963</v>
      </c>
      <c r="F2236" s="1" t="e">
        <v>#N/A</v>
      </c>
      <c r="G2236" s="1" t="e">
        <v>#N/A</v>
      </c>
      <c r="H2236" t="e">
        <v>#N/A</v>
      </c>
      <c r="I2236" s="1" t="e">
        <v>#N/A</v>
      </c>
      <c r="J2236" s="1" t="e">
        <v>#N/A</v>
      </c>
      <c r="K2236" s="1" t="e">
        <v>#N/A</v>
      </c>
      <c r="L2236" s="1" t="e">
        <v>#N/A</v>
      </c>
      <c r="M2236" s="1" t="e">
        <v>#N/A</v>
      </c>
      <c r="N2236" s="1" t="e">
        <v>#N/A</v>
      </c>
      <c r="O2236" s="1" t="e">
        <v>#N/A</v>
      </c>
      <c r="P2236" s="1" t="e">
        <v>#N/A</v>
      </c>
      <c r="Q2236" s="1" t="e">
        <v>#N/A</v>
      </c>
      <c r="R2236" s="1">
        <f t="shared" ref="R2236:R2246" si="648">1+LEN(T2236)-LEN(SUBSTITUTE(T2236,",",))</f>
        <v>13</v>
      </c>
      <c r="S2236" s="1" t="str">
        <f t="shared" ref="S2236:S2246" si="649">IF(R2236&gt;4,IF(R2236&lt;8,"4-7",IF(R2236&gt;7,"&gt;7")),"&lt;4")</f>
        <v>&gt;7</v>
      </c>
      <c r="T2236" s="1" t="s">
        <v>20671</v>
      </c>
      <c r="U2236" s="1" t="s">
        <v>252</v>
      </c>
      <c r="V2236" s="1" t="s">
        <v>147</v>
      </c>
      <c r="W2236" s="1"/>
    </row>
    <row r="2237" spans="1:23" x14ac:dyDescent="0.2">
      <c r="A2237" s="88" t="s">
        <v>17455</v>
      </c>
      <c r="B2237" s="1" t="e">
        <v>#N/A</v>
      </c>
      <c r="C2237" s="1" t="e">
        <v>#N/A</v>
      </c>
      <c r="D2237" s="1" t="s">
        <v>5964</v>
      </c>
      <c r="E2237" s="1" t="s">
        <v>5965</v>
      </c>
      <c r="F2237" s="1" t="s">
        <v>18502</v>
      </c>
      <c r="G2237" s="1" t="s">
        <v>8957</v>
      </c>
      <c r="H2237" t="s">
        <v>8959</v>
      </c>
      <c r="I2237" s="1" t="s">
        <v>9100</v>
      </c>
      <c r="J2237" s="1" t="s">
        <v>8949</v>
      </c>
      <c r="K2237" s="1" t="s">
        <v>20945</v>
      </c>
      <c r="L2237" s="1" t="s">
        <v>8987</v>
      </c>
      <c r="M2237" s="1">
        <v>1299</v>
      </c>
      <c r="N2237" s="1" t="s">
        <v>8953</v>
      </c>
      <c r="O2237" s="1" t="s">
        <v>8954</v>
      </c>
      <c r="P2237" s="1" t="e">
        <v>#N/A</v>
      </c>
      <c r="Q2237" s="1" t="e">
        <v>#N/A</v>
      </c>
      <c r="R2237" s="1">
        <f t="shared" si="648"/>
        <v>5</v>
      </c>
      <c r="S2237" s="1" t="str">
        <f t="shared" si="649"/>
        <v>4-7</v>
      </c>
      <c r="T2237" s="1" t="s">
        <v>19811</v>
      </c>
      <c r="U2237" s="1" t="s">
        <v>17</v>
      </c>
      <c r="V2237" s="1" t="s">
        <v>110</v>
      </c>
      <c r="W2237" s="1"/>
    </row>
    <row r="2238" spans="1:23" x14ac:dyDescent="0.2">
      <c r="A2238" s="89" t="s">
        <v>5966</v>
      </c>
      <c r="B2238" s="1" t="e">
        <v>#N/A</v>
      </c>
      <c r="C2238" s="1" t="e">
        <v>#N/A</v>
      </c>
      <c r="D2238" s="1" t="s">
        <v>15484</v>
      </c>
      <c r="E2238" s="1" t="s">
        <v>5967</v>
      </c>
      <c r="F2238" s="1" t="e">
        <v>#N/A</v>
      </c>
      <c r="G2238" s="1" t="e">
        <v>#N/A</v>
      </c>
      <c r="H2238" t="e">
        <v>#N/A</v>
      </c>
      <c r="I2238" s="1" t="e">
        <v>#N/A</v>
      </c>
      <c r="J2238" s="1" t="e">
        <v>#N/A</v>
      </c>
      <c r="K2238" s="1" t="e">
        <v>#N/A</v>
      </c>
      <c r="L2238" s="1" t="e">
        <v>#N/A</v>
      </c>
      <c r="M2238" s="1" t="e">
        <v>#N/A</v>
      </c>
      <c r="N2238" s="1" t="e">
        <v>#N/A</v>
      </c>
      <c r="O2238" s="1" t="e">
        <v>#N/A</v>
      </c>
      <c r="P2238" s="1" t="e">
        <v>#N/A</v>
      </c>
      <c r="Q2238" s="1" t="e">
        <v>#N/A</v>
      </c>
      <c r="R2238" s="1">
        <f t="shared" si="648"/>
        <v>19</v>
      </c>
      <c r="S2238" s="1" t="str">
        <f t="shared" si="649"/>
        <v>&gt;7</v>
      </c>
      <c r="T2238" s="1" t="s">
        <v>19812</v>
      </c>
      <c r="U2238" s="1" t="s">
        <v>7</v>
      </c>
      <c r="V2238" s="1" t="s">
        <v>1558</v>
      </c>
      <c r="W2238" s="1"/>
    </row>
    <row r="2239" spans="1:23" x14ac:dyDescent="0.2">
      <c r="A2239" s="88" t="s">
        <v>17456</v>
      </c>
      <c r="B2239" s="1" t="e">
        <v>#N/A</v>
      </c>
      <c r="C2239" s="1" t="e">
        <v>#N/A</v>
      </c>
      <c r="D2239" s="1" t="s">
        <v>5968</v>
      </c>
      <c r="E2239" s="1" t="s">
        <v>5969</v>
      </c>
      <c r="F2239" s="1" t="s">
        <v>10873</v>
      </c>
      <c r="G2239" s="1" t="s">
        <v>8959</v>
      </c>
      <c r="H2239" t="s">
        <v>8959</v>
      </c>
      <c r="I2239" s="1" t="s">
        <v>9173</v>
      </c>
      <c r="J2239" s="1" t="s">
        <v>8985</v>
      </c>
      <c r="K2239" s="1" t="s">
        <v>20953</v>
      </c>
      <c r="L2239" s="1" t="s">
        <v>9157</v>
      </c>
      <c r="M2239" s="1">
        <v>172</v>
      </c>
      <c r="N2239" s="1" t="s">
        <v>8953</v>
      </c>
      <c r="O2239" s="1" t="s">
        <v>8989</v>
      </c>
      <c r="P2239" s="1" t="e">
        <v>#N/A</v>
      </c>
      <c r="Q2239" s="1" t="e">
        <v>#N/A</v>
      </c>
      <c r="R2239" s="1">
        <f t="shared" si="648"/>
        <v>2</v>
      </c>
      <c r="S2239" s="1" t="str">
        <f t="shared" si="649"/>
        <v>&lt;4</v>
      </c>
      <c r="T2239" s="1" t="s">
        <v>19813</v>
      </c>
      <c r="U2239" s="1" t="s">
        <v>17</v>
      </c>
      <c r="V2239" s="1" t="s">
        <v>61</v>
      </c>
      <c r="W2239" s="1"/>
    </row>
    <row r="2240" spans="1:23" x14ac:dyDescent="0.2">
      <c r="A2240" s="88" t="s">
        <v>17457</v>
      </c>
      <c r="B2240" s="1" t="e">
        <v>#N/A</v>
      </c>
      <c r="C2240" s="1" t="e">
        <v>#N/A</v>
      </c>
      <c r="D2240" s="1" t="s">
        <v>5970</v>
      </c>
      <c r="E2240" s="1" t="s">
        <v>5971</v>
      </c>
      <c r="F2240" s="1" t="s">
        <v>10032</v>
      </c>
      <c r="G2240" s="1" t="s">
        <v>8957</v>
      </c>
      <c r="H2240" t="s">
        <v>8959</v>
      </c>
      <c r="I2240" s="1" t="s">
        <v>8984</v>
      </c>
      <c r="J2240" s="1" t="s">
        <v>8998</v>
      </c>
      <c r="K2240" s="1" t="s">
        <v>20954</v>
      </c>
      <c r="L2240" s="1" t="s">
        <v>8973</v>
      </c>
      <c r="M2240" s="1">
        <f>210+170</f>
        <v>380</v>
      </c>
      <c r="N2240" s="1" t="s">
        <v>9059</v>
      </c>
      <c r="O2240" s="1" t="s">
        <v>8954</v>
      </c>
      <c r="P2240" s="1" t="e">
        <v>#N/A</v>
      </c>
      <c r="Q2240" s="1" t="e">
        <v>#N/A</v>
      </c>
      <c r="R2240" s="1">
        <f t="shared" si="648"/>
        <v>3</v>
      </c>
      <c r="S2240" s="1" t="str">
        <f t="shared" si="649"/>
        <v>&lt;4</v>
      </c>
      <c r="T2240" s="1" t="s">
        <v>20672</v>
      </c>
      <c r="U2240" s="1" t="s">
        <v>7</v>
      </c>
      <c r="V2240" s="1" t="s">
        <v>74</v>
      </c>
      <c r="W2240" s="1"/>
    </row>
    <row r="2241" spans="1:23" x14ac:dyDescent="0.2">
      <c r="A2241" s="88" t="s">
        <v>17458</v>
      </c>
      <c r="B2241" s="1" t="e">
        <v>#N/A</v>
      </c>
      <c r="C2241" s="1" t="e">
        <v>#N/A</v>
      </c>
      <c r="D2241" s="1" t="s">
        <v>5972</v>
      </c>
      <c r="E2241" s="1" t="s">
        <v>5973</v>
      </c>
      <c r="F2241" s="1" t="s">
        <v>9310</v>
      </c>
      <c r="G2241" s="1" t="s">
        <v>8957</v>
      </c>
      <c r="H2241" t="s">
        <v>9061</v>
      </c>
      <c r="I2241" s="1" t="s">
        <v>9035</v>
      </c>
      <c r="J2241" s="1" t="s">
        <v>8998</v>
      </c>
      <c r="K2241" s="1" t="s">
        <v>20955</v>
      </c>
      <c r="L2241" s="1" t="s">
        <v>8973</v>
      </c>
      <c r="M2241" s="1">
        <v>573</v>
      </c>
      <c r="N2241" s="1" t="s">
        <v>8953</v>
      </c>
      <c r="O2241" s="1" t="s">
        <v>8989</v>
      </c>
      <c r="P2241" s="1" t="e">
        <v>#N/A</v>
      </c>
      <c r="Q2241" s="1" t="e">
        <v>#N/A</v>
      </c>
      <c r="R2241" s="1">
        <f t="shared" si="648"/>
        <v>16</v>
      </c>
      <c r="S2241" s="1" t="str">
        <f t="shared" si="649"/>
        <v>&gt;7</v>
      </c>
      <c r="T2241" s="1" t="s">
        <v>19814</v>
      </c>
      <c r="U2241" s="1" t="s">
        <v>7</v>
      </c>
      <c r="V2241" s="1" t="s">
        <v>147</v>
      </c>
      <c r="W2241" s="1"/>
    </row>
    <row r="2242" spans="1:23" x14ac:dyDescent="0.2">
      <c r="A2242" s="88" t="s">
        <v>17459</v>
      </c>
      <c r="B2242" s="1" t="e">
        <v>#N/A</v>
      </c>
      <c r="C2242" s="1" t="e">
        <v>#N/A</v>
      </c>
      <c r="D2242" s="1" t="s">
        <v>5974</v>
      </c>
      <c r="E2242" s="1" t="s">
        <v>5975</v>
      </c>
      <c r="F2242" s="1" t="s">
        <v>9310</v>
      </c>
      <c r="G2242" s="1" t="s">
        <v>8957</v>
      </c>
      <c r="H2242" t="s">
        <v>8959</v>
      </c>
      <c r="I2242" s="1" t="s">
        <v>8948</v>
      </c>
      <c r="J2242" s="1" t="s">
        <v>9155</v>
      </c>
      <c r="K2242" s="1" t="s">
        <v>10629</v>
      </c>
      <c r="L2242" s="1" t="s">
        <v>9076</v>
      </c>
      <c r="M2242" s="1">
        <v>5471</v>
      </c>
      <c r="N2242" s="1" t="s">
        <v>8953</v>
      </c>
      <c r="O2242" s="1" t="s">
        <v>8989</v>
      </c>
      <c r="P2242" s="1" t="e">
        <v>#N/A</v>
      </c>
      <c r="Q2242" s="1" t="e">
        <v>#N/A</v>
      </c>
      <c r="R2242" s="1">
        <f t="shared" si="648"/>
        <v>11</v>
      </c>
      <c r="S2242" s="1" t="str">
        <f t="shared" si="649"/>
        <v>&gt;7</v>
      </c>
      <c r="T2242" s="1" t="s">
        <v>19815</v>
      </c>
      <c r="U2242" s="1" t="s">
        <v>7</v>
      </c>
      <c r="V2242" s="1" t="s">
        <v>93</v>
      </c>
      <c r="W2242" s="1"/>
    </row>
    <row r="2243" spans="1:23" x14ac:dyDescent="0.2">
      <c r="A2243" s="88" t="s">
        <v>17460</v>
      </c>
      <c r="B2243" s="1" t="e">
        <v>#N/A</v>
      </c>
      <c r="C2243" s="1" t="e">
        <v>#N/A</v>
      </c>
      <c r="D2243" s="1" t="s">
        <v>5976</v>
      </c>
      <c r="E2243" s="1" t="s">
        <v>5977</v>
      </c>
      <c r="F2243" s="1" t="s">
        <v>9310</v>
      </c>
      <c r="G2243" s="1" t="s">
        <v>9060</v>
      </c>
      <c r="H2243" t="s">
        <v>8959</v>
      </c>
      <c r="I2243" s="1" t="s">
        <v>9252</v>
      </c>
      <c r="J2243" s="1" t="s">
        <v>20800</v>
      </c>
      <c r="K2243" s="1" t="s">
        <v>20736</v>
      </c>
      <c r="L2243" s="1" t="s">
        <v>8987</v>
      </c>
      <c r="M2243" s="1">
        <v>7909</v>
      </c>
      <c r="N2243" s="1" t="s">
        <v>8953</v>
      </c>
      <c r="O2243" s="1" t="s">
        <v>8954</v>
      </c>
      <c r="P2243" s="1" t="e">
        <v>#N/A</v>
      </c>
      <c r="Q2243" s="1" t="e">
        <v>#N/A</v>
      </c>
      <c r="R2243" s="1">
        <f t="shared" si="648"/>
        <v>7</v>
      </c>
      <c r="S2243" s="1" t="str">
        <f t="shared" si="649"/>
        <v>4-7</v>
      </c>
      <c r="T2243" s="1" t="s">
        <v>19816</v>
      </c>
      <c r="U2243" s="1" t="s">
        <v>17</v>
      </c>
      <c r="V2243" s="1" t="s">
        <v>27</v>
      </c>
      <c r="W2243" s="1"/>
    </row>
    <row r="2244" spans="1:23" x14ac:dyDescent="0.2">
      <c r="A2244" s="94" t="s">
        <v>17461</v>
      </c>
      <c r="B2244" s="1" t="e">
        <v>#N/A</v>
      </c>
      <c r="C2244" s="1" t="e">
        <v>#N/A</v>
      </c>
      <c r="D2244" s="1" t="s">
        <v>5978</v>
      </c>
      <c r="E2244" s="1" t="s">
        <v>5979</v>
      </c>
      <c r="F2244" s="1" t="e">
        <v>#N/A</v>
      </c>
      <c r="G2244" s="1" t="e">
        <v>#N/A</v>
      </c>
      <c r="H2244" t="e">
        <v>#N/A</v>
      </c>
      <c r="I2244" s="1" t="e">
        <v>#N/A</v>
      </c>
      <c r="J2244" s="1" t="e">
        <v>#N/A</v>
      </c>
      <c r="K2244" s="1" t="e">
        <v>#N/A</v>
      </c>
      <c r="L2244" s="1"/>
      <c r="M2244" s="1" t="e">
        <v>#N/A</v>
      </c>
      <c r="N2244" s="1" t="e">
        <v>#N/A</v>
      </c>
      <c r="O2244" s="1" t="e">
        <v>#N/A</v>
      </c>
      <c r="P2244" s="1" t="e">
        <v>#N/A</v>
      </c>
      <c r="Q2244" s="1" t="e">
        <v>#N/A</v>
      </c>
      <c r="R2244" s="1">
        <f t="shared" si="648"/>
        <v>9</v>
      </c>
      <c r="S2244" s="1" t="str">
        <f t="shared" si="649"/>
        <v>&gt;7</v>
      </c>
      <c r="T2244" s="1" t="s">
        <v>19817</v>
      </c>
      <c r="U2244" s="1" t="s">
        <v>7</v>
      </c>
      <c r="V2244" s="1" t="s">
        <v>46</v>
      </c>
      <c r="W2244" s="1"/>
    </row>
    <row r="2245" spans="1:23" x14ac:dyDescent="0.2">
      <c r="A2245" s="88" t="s">
        <v>17462</v>
      </c>
      <c r="B2245" s="1" t="e">
        <v>#N/A</v>
      </c>
      <c r="C2245" s="1" t="e">
        <v>#N/A</v>
      </c>
      <c r="D2245" s="1" t="s">
        <v>5980</v>
      </c>
      <c r="E2245" s="1" t="s">
        <v>5981</v>
      </c>
      <c r="F2245" s="1" t="s">
        <v>9310</v>
      </c>
      <c r="G2245" s="1" t="s">
        <v>8957</v>
      </c>
      <c r="H2245" t="s">
        <v>8959</v>
      </c>
      <c r="I2245" s="1" t="s">
        <v>9035</v>
      </c>
      <c r="J2245" s="1" t="s">
        <v>8998</v>
      </c>
      <c r="K2245" s="1" t="s">
        <v>18497</v>
      </c>
      <c r="L2245" s="1" t="s">
        <v>8987</v>
      </c>
      <c r="M2245" s="1">
        <v>734</v>
      </c>
      <c r="N2245" s="1" t="s">
        <v>9059</v>
      </c>
      <c r="O2245" s="1" t="s">
        <v>8989</v>
      </c>
      <c r="P2245" s="1" t="e">
        <v>#N/A</v>
      </c>
      <c r="Q2245" s="1" t="e">
        <v>#N/A</v>
      </c>
      <c r="R2245" s="1">
        <f t="shared" si="648"/>
        <v>7</v>
      </c>
      <c r="S2245" s="1" t="str">
        <f t="shared" si="649"/>
        <v>4-7</v>
      </c>
      <c r="T2245" s="1" t="s">
        <v>19818</v>
      </c>
      <c r="U2245" s="1" t="s">
        <v>7</v>
      </c>
      <c r="V2245" s="1" t="s">
        <v>27</v>
      </c>
      <c r="W2245" s="1"/>
    </row>
    <row r="2246" spans="1:23" x14ac:dyDescent="0.2">
      <c r="A2246" s="88" t="s">
        <v>17463</v>
      </c>
      <c r="B2246" s="1" t="e">
        <v>#N/A</v>
      </c>
      <c r="C2246" s="1" t="e">
        <v>#N/A</v>
      </c>
      <c r="D2246" s="1" t="s">
        <v>5982</v>
      </c>
      <c r="E2246" s="1" t="s">
        <v>5983</v>
      </c>
      <c r="F2246" s="1" t="s">
        <v>10873</v>
      </c>
      <c r="G2246" s="1" t="s">
        <v>8957</v>
      </c>
      <c r="H2246" t="s">
        <v>8959</v>
      </c>
      <c r="I2246" s="1" t="s">
        <v>9154</v>
      </c>
      <c r="J2246" s="1" t="s">
        <v>8949</v>
      </c>
      <c r="K2246" s="1" t="s">
        <v>20958</v>
      </c>
      <c r="L2246" s="1" t="s">
        <v>9076</v>
      </c>
      <c r="M2246" s="1">
        <v>300</v>
      </c>
      <c r="N2246" s="1" t="s">
        <v>8953</v>
      </c>
      <c r="O2246" s="1" t="s">
        <v>8989</v>
      </c>
      <c r="P2246" s="1" t="e">
        <v>#N/A</v>
      </c>
      <c r="Q2246" s="1" t="e">
        <v>#N/A</v>
      </c>
      <c r="R2246" s="1">
        <f t="shared" si="648"/>
        <v>6</v>
      </c>
      <c r="S2246" s="1" t="str">
        <f t="shared" si="649"/>
        <v>4-7</v>
      </c>
      <c r="T2246" s="1" t="s">
        <v>19819</v>
      </c>
      <c r="U2246" s="1" t="s">
        <v>17</v>
      </c>
      <c r="V2246" s="1" t="s">
        <v>61</v>
      </c>
      <c r="W2246" s="1"/>
    </row>
    <row r="2247" spans="1:23" x14ac:dyDescent="0.2">
      <c r="A2247" s="88" t="s">
        <v>17464</v>
      </c>
      <c r="B2247" s="1" t="e">
        <v>#N/A</v>
      </c>
      <c r="C2247" s="1" t="s">
        <v>12198</v>
      </c>
      <c r="D2247" s="1" t="s">
        <v>5984</v>
      </c>
      <c r="E2247" s="1" t="s">
        <v>5985</v>
      </c>
      <c r="F2247" s="1" t="s">
        <v>9310</v>
      </c>
      <c r="G2247" s="1" t="s">
        <v>8957</v>
      </c>
      <c r="H2247" t="s">
        <v>8959</v>
      </c>
      <c r="I2247" s="1" t="s">
        <v>9605</v>
      </c>
      <c r="J2247" s="1" t="s">
        <v>9101</v>
      </c>
      <c r="K2247" s="1" t="s">
        <v>12201</v>
      </c>
      <c r="L2247" s="1" t="s">
        <v>8987</v>
      </c>
      <c r="M2247" s="1">
        <v>100000</v>
      </c>
      <c r="N2247" s="1" t="s">
        <v>8953</v>
      </c>
      <c r="O2247" s="1" t="s">
        <v>8954</v>
      </c>
      <c r="P2247" s="1" t="s">
        <v>8955</v>
      </c>
      <c r="Q2247" s="1" t="s">
        <v>8956</v>
      </c>
      <c r="R2247" s="1" t="s">
        <v>8957</v>
      </c>
      <c r="S2247" s="1" t="s">
        <v>8958</v>
      </c>
      <c r="T2247" s="1" t="s">
        <v>5986</v>
      </c>
      <c r="U2247" s="1" t="s">
        <v>11</v>
      </c>
      <c r="V2247" s="1" t="s">
        <v>184</v>
      </c>
      <c r="W2247" s="1"/>
    </row>
    <row r="2248" spans="1:23" x14ac:dyDescent="0.2">
      <c r="A2248" s="88" t="s">
        <v>17465</v>
      </c>
      <c r="B2248" s="1" t="e">
        <v>#N/A</v>
      </c>
      <c r="C2248" s="1" t="e">
        <v>#N/A</v>
      </c>
      <c r="D2248" s="1" t="s">
        <v>5987</v>
      </c>
      <c r="E2248" s="1" t="s">
        <v>5988</v>
      </c>
      <c r="F2248" s="1" t="s">
        <v>9310</v>
      </c>
      <c r="G2248" s="1" t="s">
        <v>8959</v>
      </c>
      <c r="H2248" t="s">
        <v>8959</v>
      </c>
      <c r="I2248" s="1" t="s">
        <v>9173</v>
      </c>
      <c r="J2248" s="1" t="s">
        <v>9174</v>
      </c>
      <c r="K2248" s="1" t="s">
        <v>20956</v>
      </c>
      <c r="L2248" s="1" t="s">
        <v>8987</v>
      </c>
      <c r="M2248" s="1">
        <v>10015</v>
      </c>
      <c r="N2248" s="1" t="s">
        <v>8953</v>
      </c>
      <c r="O2248" s="1" t="s">
        <v>8954</v>
      </c>
      <c r="P2248" s="1" t="e">
        <v>#N/A</v>
      </c>
      <c r="Q2248" s="1" t="e">
        <v>#N/A</v>
      </c>
      <c r="R2248" s="1">
        <f t="shared" ref="R2248:R2249" si="650">1+LEN(T2248)-LEN(SUBSTITUTE(T2248,",",))</f>
        <v>4</v>
      </c>
      <c r="S2248" s="1" t="str">
        <f t="shared" ref="S2248:S2249" si="651">IF(R2248&gt;4,IF(R2248&lt;8,"4-7",IF(R2248&gt;7,"&gt;7")),"&lt;4")</f>
        <v>&lt;4</v>
      </c>
      <c r="T2248" s="1" t="s">
        <v>19820</v>
      </c>
      <c r="U2248" s="1" t="s">
        <v>7</v>
      </c>
      <c r="V2248" s="1" t="s">
        <v>184</v>
      </c>
      <c r="W2248" s="1"/>
    </row>
    <row r="2249" spans="1:23" x14ac:dyDescent="0.2">
      <c r="A2249" s="88" t="s">
        <v>17466</v>
      </c>
      <c r="B2249" s="1" t="e">
        <v>#N/A</v>
      </c>
      <c r="C2249" s="1" t="e">
        <v>#N/A</v>
      </c>
      <c r="D2249" s="1" t="s">
        <v>5989</v>
      </c>
      <c r="E2249" s="1" t="s">
        <v>5990</v>
      </c>
      <c r="F2249" s="1" t="s">
        <v>9465</v>
      </c>
      <c r="G2249" s="1" t="s">
        <v>8959</v>
      </c>
      <c r="H2249" t="s">
        <v>8959</v>
      </c>
      <c r="I2249" s="1" t="s">
        <v>9035</v>
      </c>
      <c r="J2249" s="1" t="s">
        <v>9308</v>
      </c>
      <c r="K2249" s="1" t="s">
        <v>20959</v>
      </c>
      <c r="L2249" s="1" t="s">
        <v>8951</v>
      </c>
      <c r="M2249" s="1">
        <v>1196</v>
      </c>
      <c r="N2249" s="1" t="s">
        <v>9059</v>
      </c>
      <c r="O2249" s="1" t="s">
        <v>8954</v>
      </c>
      <c r="P2249" s="1" t="e">
        <v>#N/A</v>
      </c>
      <c r="Q2249" s="1" t="e">
        <v>#N/A</v>
      </c>
      <c r="R2249" s="1">
        <f t="shared" si="650"/>
        <v>11</v>
      </c>
      <c r="S2249" s="1" t="str">
        <f t="shared" si="651"/>
        <v>&gt;7</v>
      </c>
      <c r="T2249" s="1" t="s">
        <v>20673</v>
      </c>
      <c r="U2249" s="1" t="s">
        <v>17</v>
      </c>
      <c r="V2249" s="1" t="s">
        <v>24</v>
      </c>
      <c r="W2249" s="1"/>
    </row>
    <row r="2250" spans="1:23" x14ac:dyDescent="0.2">
      <c r="A2250" s="88" t="s">
        <v>17467</v>
      </c>
      <c r="B2250" s="1" t="e">
        <v>#N/A</v>
      </c>
      <c r="C2250" s="1" t="s">
        <v>9145</v>
      </c>
      <c r="D2250" s="1" t="s">
        <v>5991</v>
      </c>
      <c r="E2250" s="1" t="s">
        <v>5992</v>
      </c>
      <c r="F2250" s="1" t="s">
        <v>9310</v>
      </c>
      <c r="G2250" s="1" t="s">
        <v>8957</v>
      </c>
      <c r="H2250" t="s">
        <v>8959</v>
      </c>
      <c r="I2250" s="1" t="s">
        <v>9092</v>
      </c>
      <c r="J2250" s="1" t="s">
        <v>8949</v>
      </c>
      <c r="K2250" s="1" t="s">
        <v>9148</v>
      </c>
      <c r="L2250" s="1" t="s">
        <v>9076</v>
      </c>
      <c r="M2250" s="1">
        <v>410</v>
      </c>
      <c r="N2250" s="1" t="s">
        <v>8953</v>
      </c>
      <c r="O2250" s="1" t="s">
        <v>8954</v>
      </c>
      <c r="P2250" s="1" t="s">
        <v>8955</v>
      </c>
      <c r="Q2250" s="1" t="s">
        <v>8956</v>
      </c>
      <c r="R2250" s="1" t="s">
        <v>8957</v>
      </c>
      <c r="S2250" s="1" t="s">
        <v>8958</v>
      </c>
      <c r="T2250" s="1" t="s">
        <v>5993</v>
      </c>
      <c r="U2250" s="1" t="s">
        <v>7</v>
      </c>
      <c r="V2250" s="1" t="s">
        <v>184</v>
      </c>
      <c r="W2250" s="1"/>
    </row>
    <row r="2251" spans="1:23" x14ac:dyDescent="0.2">
      <c r="A2251" s="88" t="s">
        <v>17468</v>
      </c>
      <c r="B2251" s="1" t="e">
        <v>#N/A</v>
      </c>
      <c r="C2251" s="1" t="e">
        <v>#N/A</v>
      </c>
      <c r="D2251" s="1" t="s">
        <v>5994</v>
      </c>
      <c r="E2251" s="1" t="s">
        <v>5995</v>
      </c>
      <c r="F2251" s="1" t="s">
        <v>9310</v>
      </c>
      <c r="G2251" s="1" t="s">
        <v>8957</v>
      </c>
      <c r="H2251" t="s">
        <v>8959</v>
      </c>
      <c r="I2251" s="1" t="s">
        <v>20714</v>
      </c>
      <c r="J2251" s="1" t="s">
        <v>20725</v>
      </c>
      <c r="K2251" s="1" t="s">
        <v>18497</v>
      </c>
      <c r="L2251" s="1" t="s">
        <v>8987</v>
      </c>
      <c r="M2251" s="1">
        <f>44+42+43+269+115</f>
        <v>513</v>
      </c>
      <c r="N2251" s="1" t="s">
        <v>9059</v>
      </c>
      <c r="O2251" s="1" t="s">
        <v>8954</v>
      </c>
      <c r="P2251" s="1" t="e">
        <v>#N/A</v>
      </c>
      <c r="Q2251" s="1" t="e">
        <v>#N/A</v>
      </c>
      <c r="R2251" s="1">
        <f t="shared" ref="R2251:R2253" si="652">1+LEN(T2251)-LEN(SUBSTITUTE(T2251,",",))</f>
        <v>2</v>
      </c>
      <c r="S2251" s="1" t="str">
        <f t="shared" ref="S2251:S2253" si="653">IF(R2251&gt;4,IF(R2251&lt;8,"4-7",IF(R2251&gt;7,"&gt;7")),"&lt;4")</f>
        <v>&lt;4</v>
      </c>
      <c r="T2251" s="1" t="s">
        <v>19821</v>
      </c>
      <c r="U2251" s="1" t="s">
        <v>17</v>
      </c>
      <c r="V2251" s="1" t="s">
        <v>74</v>
      </c>
      <c r="W2251" s="1"/>
    </row>
    <row r="2252" spans="1:23" x14ac:dyDescent="0.2">
      <c r="A2252" s="88" t="s">
        <v>17469</v>
      </c>
      <c r="B2252" s="1" t="e">
        <v>#N/A</v>
      </c>
      <c r="C2252" s="1" t="e">
        <v>#N/A</v>
      </c>
      <c r="D2252" s="1" t="s">
        <v>5996</v>
      </c>
      <c r="E2252" s="1" t="s">
        <v>5997</v>
      </c>
      <c r="F2252" s="1" t="s">
        <v>18502</v>
      </c>
      <c r="G2252" s="1" t="s">
        <v>8957</v>
      </c>
      <c r="H2252" t="s">
        <v>8959</v>
      </c>
      <c r="I2252" s="1" t="s">
        <v>9100</v>
      </c>
      <c r="J2252" s="1" t="s">
        <v>8949</v>
      </c>
      <c r="K2252" s="1" t="s">
        <v>20960</v>
      </c>
      <c r="L2252" s="1" t="s">
        <v>8987</v>
      </c>
      <c r="M2252" s="1">
        <f>417+382+102</f>
        <v>901</v>
      </c>
      <c r="N2252" s="1" t="s">
        <v>9059</v>
      </c>
      <c r="O2252" s="1" t="s">
        <v>8954</v>
      </c>
      <c r="P2252" s="1" t="e">
        <v>#N/A</v>
      </c>
      <c r="Q2252" s="1" t="e">
        <v>#N/A</v>
      </c>
      <c r="R2252" s="1">
        <f t="shared" si="652"/>
        <v>21</v>
      </c>
      <c r="S2252" s="1" t="str">
        <f t="shared" si="653"/>
        <v>&gt;7</v>
      </c>
      <c r="T2252" s="1" t="s">
        <v>19822</v>
      </c>
      <c r="U2252" s="1" t="s">
        <v>7</v>
      </c>
      <c r="V2252" s="1" t="s">
        <v>647</v>
      </c>
      <c r="W2252" s="1"/>
    </row>
    <row r="2253" spans="1:23" x14ac:dyDescent="0.2">
      <c r="A2253" s="88" t="s">
        <v>17470</v>
      </c>
      <c r="B2253" s="1" t="e">
        <v>#N/A</v>
      </c>
      <c r="C2253" s="1" t="e">
        <v>#N/A</v>
      </c>
      <c r="D2253" s="1" t="s">
        <v>5998</v>
      </c>
      <c r="E2253" s="1" t="s">
        <v>5999</v>
      </c>
      <c r="F2253" s="1" t="s">
        <v>9310</v>
      </c>
      <c r="G2253" s="1" t="s">
        <v>8957</v>
      </c>
      <c r="H2253" t="s">
        <v>8959</v>
      </c>
      <c r="I2253" s="1" t="s">
        <v>8948</v>
      </c>
      <c r="J2253" s="1" t="s">
        <v>8949</v>
      </c>
      <c r="K2253" s="1" t="s">
        <v>20956</v>
      </c>
      <c r="L2253" s="1" t="s">
        <v>9076</v>
      </c>
      <c r="M2253" s="1">
        <v>20587</v>
      </c>
      <c r="N2253" s="1" t="s">
        <v>8953</v>
      </c>
      <c r="O2253" s="1" t="s">
        <v>8954</v>
      </c>
      <c r="P2253" s="1" t="e">
        <v>#N/A</v>
      </c>
      <c r="Q2253" s="1" t="e">
        <v>#N/A</v>
      </c>
      <c r="R2253" s="1">
        <f t="shared" si="652"/>
        <v>5</v>
      </c>
      <c r="S2253" s="1" t="str">
        <f t="shared" si="653"/>
        <v>4-7</v>
      </c>
      <c r="T2253" s="1" t="s">
        <v>19823</v>
      </c>
      <c r="U2253" s="1" t="s">
        <v>7</v>
      </c>
      <c r="V2253" s="1" t="s">
        <v>21</v>
      </c>
      <c r="W2253" s="1"/>
    </row>
    <row r="2254" spans="1:23" x14ac:dyDescent="0.2">
      <c r="A2254" s="88" t="s">
        <v>17471</v>
      </c>
      <c r="B2254" s="1" t="e">
        <v>#N/A</v>
      </c>
      <c r="C2254" s="1" t="s">
        <v>13920</v>
      </c>
      <c r="D2254" s="1" t="s">
        <v>6000</v>
      </c>
      <c r="E2254" s="1" t="s">
        <v>6001</v>
      </c>
      <c r="F2254" s="1" t="s">
        <v>9010</v>
      </c>
      <c r="G2254" s="1" t="s">
        <v>8957</v>
      </c>
      <c r="H2254" t="s">
        <v>8959</v>
      </c>
      <c r="I2254" s="1" t="s">
        <v>9252</v>
      </c>
      <c r="J2254" s="1" t="s">
        <v>9253</v>
      </c>
      <c r="K2254" s="1" t="s">
        <v>13923</v>
      </c>
      <c r="L2254" s="1" t="s">
        <v>8987</v>
      </c>
      <c r="M2254" s="1">
        <v>560</v>
      </c>
      <c r="N2254" s="1" t="s">
        <v>8953</v>
      </c>
      <c r="O2254" s="1" t="s">
        <v>8989</v>
      </c>
      <c r="P2254" s="1" t="s">
        <v>8955</v>
      </c>
      <c r="Q2254" s="1" t="s">
        <v>8956</v>
      </c>
      <c r="R2254" s="1" t="s">
        <v>8957</v>
      </c>
      <c r="S2254" s="1" t="s">
        <v>8975</v>
      </c>
      <c r="T2254" s="1" t="s">
        <v>6002</v>
      </c>
      <c r="U2254" s="1" t="s">
        <v>4</v>
      </c>
      <c r="V2254" s="1" t="s">
        <v>234</v>
      </c>
      <c r="W2254" s="1"/>
    </row>
    <row r="2255" spans="1:23" x14ac:dyDescent="0.2">
      <c r="A2255" s="88" t="s">
        <v>6003</v>
      </c>
      <c r="B2255" s="1" t="e">
        <v>#N/A</v>
      </c>
      <c r="C2255" s="1" t="e">
        <v>#N/A</v>
      </c>
      <c r="D2255" s="1" t="s">
        <v>6004</v>
      </c>
      <c r="E2255" s="1" t="s">
        <v>6005</v>
      </c>
      <c r="F2255" s="1" t="s">
        <v>9333</v>
      </c>
      <c r="G2255" s="1" t="s">
        <v>8959</v>
      </c>
      <c r="H2255" t="s">
        <v>8959</v>
      </c>
      <c r="I2255" s="1" t="s">
        <v>8984</v>
      </c>
      <c r="J2255" s="1" t="s">
        <v>20800</v>
      </c>
      <c r="K2255" s="1" t="s">
        <v>21235</v>
      </c>
      <c r="L2255" s="1" t="s">
        <v>8987</v>
      </c>
      <c r="M2255" s="1">
        <f>48000+15000+1000+7672+6457+5400+5400+1620+1620+2700+2700</f>
        <v>97569</v>
      </c>
      <c r="N2255" s="1" t="s">
        <v>20915</v>
      </c>
      <c r="O2255" s="1" t="s">
        <v>8989</v>
      </c>
      <c r="P2255" s="1" t="e">
        <v>#N/A</v>
      </c>
      <c r="Q2255" s="1" t="e">
        <v>#N/A</v>
      </c>
      <c r="R2255" s="1">
        <f>1+LEN(T2255)-LEN(SUBSTITUTE(T2255,",",))</f>
        <v>6</v>
      </c>
      <c r="S2255" s="1" t="str">
        <f>IF(R2255&gt;4,IF(R2255&lt;8,"4-7",IF(R2255&gt;7,"&gt;7")),"&lt;4")</f>
        <v>4-7</v>
      </c>
      <c r="T2255" s="1" t="s">
        <v>19824</v>
      </c>
      <c r="U2255" s="1" t="s">
        <v>11</v>
      </c>
      <c r="V2255" s="1" t="s">
        <v>35</v>
      </c>
      <c r="W2255" s="1"/>
    </row>
    <row r="2256" spans="1:23" x14ac:dyDescent="0.2">
      <c r="A2256" s="88" t="s">
        <v>17472</v>
      </c>
      <c r="B2256" s="1" t="e">
        <v>#N/A</v>
      </c>
      <c r="C2256" s="1" t="s">
        <v>12257</v>
      </c>
      <c r="D2256" s="1" t="s">
        <v>6006</v>
      </c>
      <c r="E2256" s="1" t="s">
        <v>6007</v>
      </c>
      <c r="F2256" s="1" t="s">
        <v>9213</v>
      </c>
      <c r="G2256" s="1" t="s">
        <v>8957</v>
      </c>
      <c r="H2256" t="s">
        <v>9183</v>
      </c>
      <c r="I2256" s="1" t="s">
        <v>9100</v>
      </c>
      <c r="J2256" s="1" t="s">
        <v>8949</v>
      </c>
      <c r="K2256" s="1" t="s">
        <v>9051</v>
      </c>
      <c r="L2256" s="1" t="s">
        <v>9076</v>
      </c>
      <c r="M2256" s="1">
        <v>400</v>
      </c>
      <c r="N2256" s="1" t="s">
        <v>8953</v>
      </c>
      <c r="O2256" s="1" t="s">
        <v>8954</v>
      </c>
      <c r="P2256" s="1" t="s">
        <v>8955</v>
      </c>
      <c r="Q2256" s="1" t="s">
        <v>8956</v>
      </c>
      <c r="R2256" s="1" t="s">
        <v>8957</v>
      </c>
      <c r="S2256" s="1" t="s">
        <v>9103</v>
      </c>
      <c r="T2256" s="1" t="s">
        <v>6008</v>
      </c>
      <c r="U2256" s="1" t="s">
        <v>11</v>
      </c>
      <c r="V2256" s="1" t="s">
        <v>61</v>
      </c>
      <c r="W2256" s="1"/>
    </row>
    <row r="2257" spans="1:23" x14ac:dyDescent="0.2">
      <c r="A2257" s="88" t="s">
        <v>17473</v>
      </c>
      <c r="B2257" s="1" t="e">
        <v>#N/A</v>
      </c>
      <c r="C2257" s="1" t="s">
        <v>10939</v>
      </c>
      <c r="D2257" s="1" t="s">
        <v>6009</v>
      </c>
      <c r="E2257" s="1" t="s">
        <v>6010</v>
      </c>
      <c r="F2257" s="1" t="s">
        <v>10850</v>
      </c>
      <c r="G2257" s="1" t="s">
        <v>8957</v>
      </c>
      <c r="H2257" t="s">
        <v>9183</v>
      </c>
      <c r="I2257" s="1" t="s">
        <v>9154</v>
      </c>
      <c r="J2257" s="1" t="s">
        <v>9308</v>
      </c>
      <c r="K2257" s="1" t="s">
        <v>10942</v>
      </c>
      <c r="L2257" s="1" t="s">
        <v>8951</v>
      </c>
      <c r="M2257" s="1">
        <v>103</v>
      </c>
      <c r="N2257" s="1" t="s">
        <v>8953</v>
      </c>
      <c r="O2257" s="1" t="s">
        <v>8989</v>
      </c>
      <c r="P2257" s="1" t="s">
        <v>8955</v>
      </c>
      <c r="Q2257" s="1" t="s">
        <v>8956</v>
      </c>
      <c r="R2257" s="1" t="s">
        <v>8957</v>
      </c>
      <c r="S2257" s="1" t="s">
        <v>8975</v>
      </c>
      <c r="T2257" s="1" t="s">
        <v>6011</v>
      </c>
      <c r="U2257" s="1" t="s">
        <v>11</v>
      </c>
      <c r="V2257" s="1" t="s">
        <v>46</v>
      </c>
      <c r="W2257" s="1"/>
    </row>
    <row r="2258" spans="1:23" x14ac:dyDescent="0.2">
      <c r="A2258" s="88" t="s">
        <v>17474</v>
      </c>
      <c r="B2258" s="1" t="e">
        <v>#N/A</v>
      </c>
      <c r="C2258" s="1" t="s">
        <v>13873</v>
      </c>
      <c r="D2258" s="1" t="s">
        <v>6012</v>
      </c>
      <c r="E2258" s="1" t="s">
        <v>6013</v>
      </c>
      <c r="F2258" s="1" t="s">
        <v>10032</v>
      </c>
      <c r="G2258" s="1" t="s">
        <v>8957</v>
      </c>
      <c r="H2258" t="s">
        <v>9009</v>
      </c>
      <c r="I2258" s="1" t="s">
        <v>9049</v>
      </c>
      <c r="J2258" s="1" t="s">
        <v>9050</v>
      </c>
      <c r="K2258" s="1" t="s">
        <v>9036</v>
      </c>
      <c r="L2258" s="1" t="s">
        <v>8951</v>
      </c>
      <c r="M2258" s="1">
        <v>88702</v>
      </c>
      <c r="N2258" s="1" t="s">
        <v>8953</v>
      </c>
      <c r="O2258" s="1" t="s">
        <v>8954</v>
      </c>
      <c r="P2258" s="1" t="s">
        <v>8955</v>
      </c>
      <c r="Q2258" s="1" t="s">
        <v>8956</v>
      </c>
      <c r="R2258" s="1" t="s">
        <v>8957</v>
      </c>
      <c r="S2258" s="1" t="s">
        <v>8958</v>
      </c>
      <c r="T2258" s="1" t="s">
        <v>6014</v>
      </c>
      <c r="U2258" s="1" t="s">
        <v>4</v>
      </c>
      <c r="V2258" s="1" t="s">
        <v>126</v>
      </c>
      <c r="W2258" s="1"/>
    </row>
    <row r="2259" spans="1:23" x14ac:dyDescent="0.2">
      <c r="A2259" s="88" t="s">
        <v>17475</v>
      </c>
      <c r="B2259" s="1" t="e">
        <v>#N/A</v>
      </c>
      <c r="C2259" s="1" t="e">
        <v>#N/A</v>
      </c>
      <c r="D2259" s="1" t="s">
        <v>6015</v>
      </c>
      <c r="E2259" s="1" t="s">
        <v>6016</v>
      </c>
      <c r="F2259" s="1" t="s">
        <v>18502</v>
      </c>
      <c r="G2259" s="1" t="s">
        <v>8974</v>
      </c>
      <c r="H2259" t="s">
        <v>9183</v>
      </c>
      <c r="I2259" s="1" t="s">
        <v>9100</v>
      </c>
      <c r="J2259" s="1" t="s">
        <v>8949</v>
      </c>
      <c r="K2259" s="1" t="s">
        <v>21289</v>
      </c>
      <c r="L2259" s="1" t="s">
        <v>20957</v>
      </c>
      <c r="M2259" s="1">
        <v>617</v>
      </c>
      <c r="N2259" s="1" t="s">
        <v>9059</v>
      </c>
      <c r="O2259" s="1" t="s">
        <v>8954</v>
      </c>
      <c r="P2259" s="1" t="e">
        <v>#N/A</v>
      </c>
      <c r="Q2259" s="1" t="e">
        <v>#N/A</v>
      </c>
      <c r="R2259" s="1">
        <f t="shared" ref="R2259:R2261" si="654">1+LEN(T2259)-LEN(SUBSTITUTE(T2259,",",))</f>
        <v>26</v>
      </c>
      <c r="S2259" s="1" t="str">
        <f t="shared" ref="S2259:S2261" si="655">IF(R2259&gt;4,IF(R2259&lt;8,"4-7",IF(R2259&gt;7,"&gt;7")),"&lt;4")</f>
        <v>&gt;7</v>
      </c>
      <c r="T2259" s="1" t="s">
        <v>19825</v>
      </c>
      <c r="U2259" s="1" t="s">
        <v>7</v>
      </c>
      <c r="V2259" s="1" t="s">
        <v>1202</v>
      </c>
      <c r="W2259" s="1"/>
    </row>
    <row r="2260" spans="1:23" x14ac:dyDescent="0.2">
      <c r="A2260" s="88" t="s">
        <v>17476</v>
      </c>
      <c r="B2260" s="1" t="e">
        <v>#N/A</v>
      </c>
      <c r="C2260" s="1" t="e">
        <v>#N/A</v>
      </c>
      <c r="D2260" s="1" t="s">
        <v>6017</v>
      </c>
      <c r="E2260" s="1" t="s">
        <v>6018</v>
      </c>
      <c r="F2260" s="1" t="s">
        <v>9380</v>
      </c>
      <c r="G2260" s="1" t="s">
        <v>8957</v>
      </c>
      <c r="H2260" t="s">
        <v>9061</v>
      </c>
      <c r="I2260" s="1" t="s">
        <v>9100</v>
      </c>
      <c r="J2260" s="1" t="s">
        <v>8949</v>
      </c>
      <c r="K2260" s="1" t="s">
        <v>10525</v>
      </c>
      <c r="L2260" s="1" t="s">
        <v>8987</v>
      </c>
      <c r="M2260" s="1">
        <v>72</v>
      </c>
      <c r="N2260" s="1" t="s">
        <v>9059</v>
      </c>
      <c r="O2260" s="1" t="s">
        <v>8954</v>
      </c>
      <c r="P2260" s="1" t="e">
        <v>#N/A</v>
      </c>
      <c r="Q2260" s="1" t="e">
        <v>#N/A</v>
      </c>
      <c r="R2260" s="1">
        <f t="shared" si="654"/>
        <v>3</v>
      </c>
      <c r="S2260" s="1" t="str">
        <f t="shared" si="655"/>
        <v>&lt;4</v>
      </c>
      <c r="T2260" s="1" t="s">
        <v>19826</v>
      </c>
      <c r="U2260" s="1" t="s">
        <v>17</v>
      </c>
      <c r="V2260" s="1" t="s">
        <v>8</v>
      </c>
      <c r="W2260" s="1"/>
    </row>
    <row r="2261" spans="1:23" x14ac:dyDescent="0.2">
      <c r="A2261" s="89" t="s">
        <v>6019</v>
      </c>
      <c r="B2261" s="1" t="e">
        <v>#N/A</v>
      </c>
      <c r="C2261" s="1" t="e">
        <v>#N/A</v>
      </c>
      <c r="D2261" s="1" t="s">
        <v>6020</v>
      </c>
      <c r="E2261" s="1" t="s">
        <v>6021</v>
      </c>
      <c r="F2261" s="1" t="e">
        <v>#N/A</v>
      </c>
      <c r="G2261" s="1" t="e">
        <v>#N/A</v>
      </c>
      <c r="H2261" t="e">
        <v>#N/A</v>
      </c>
      <c r="I2261" s="1" t="e">
        <v>#N/A</v>
      </c>
      <c r="J2261" s="1" t="e">
        <v>#N/A</v>
      </c>
      <c r="K2261" s="1" t="e">
        <v>#N/A</v>
      </c>
      <c r="L2261" s="1" t="e">
        <v>#N/A</v>
      </c>
      <c r="M2261" s="1" t="e">
        <v>#N/A</v>
      </c>
      <c r="N2261" s="1" t="e">
        <v>#N/A</v>
      </c>
      <c r="O2261" s="1" t="e">
        <v>#N/A</v>
      </c>
      <c r="P2261" s="1" t="e">
        <v>#N/A</v>
      </c>
      <c r="Q2261" s="1" t="e">
        <v>#N/A</v>
      </c>
      <c r="R2261" s="1">
        <f t="shared" si="654"/>
        <v>2</v>
      </c>
      <c r="S2261" s="1" t="str">
        <f t="shared" si="655"/>
        <v>&lt;4</v>
      </c>
      <c r="T2261" s="1" t="s">
        <v>19827</v>
      </c>
      <c r="U2261" s="1" t="s">
        <v>7</v>
      </c>
      <c r="V2261" s="1" t="s">
        <v>6022</v>
      </c>
      <c r="W2261" s="1"/>
    </row>
    <row r="2262" spans="1:23" x14ac:dyDescent="0.2">
      <c r="A2262" s="88" t="s">
        <v>17477</v>
      </c>
      <c r="B2262" s="1" t="e">
        <v>#N/A</v>
      </c>
      <c r="C2262" s="1" t="s">
        <v>14940</v>
      </c>
      <c r="D2262" s="1" t="s">
        <v>6023</v>
      </c>
      <c r="E2262" s="1" t="s">
        <v>6024</v>
      </c>
      <c r="F2262" s="1" t="s">
        <v>9815</v>
      </c>
      <c r="G2262" s="1" t="s">
        <v>8959</v>
      </c>
      <c r="H2262" t="s">
        <v>8959</v>
      </c>
      <c r="I2262" s="1" t="s">
        <v>9173</v>
      </c>
      <c r="J2262" s="1" t="s">
        <v>9174</v>
      </c>
      <c r="K2262" s="1" t="s">
        <v>8972</v>
      </c>
      <c r="L2262" s="1" t="s">
        <v>8987</v>
      </c>
      <c r="M2262" s="1">
        <v>1800</v>
      </c>
      <c r="N2262" s="1" t="s">
        <v>8953</v>
      </c>
      <c r="O2262" s="1" t="s">
        <v>8954</v>
      </c>
      <c r="P2262" s="1" t="s">
        <v>8955</v>
      </c>
      <c r="Q2262" s="1" t="s">
        <v>8956</v>
      </c>
      <c r="R2262" s="1" t="s">
        <v>8959</v>
      </c>
      <c r="S2262" s="1" t="s">
        <v>9103</v>
      </c>
      <c r="T2262" s="1" t="s">
        <v>6025</v>
      </c>
      <c r="U2262" s="1" t="s">
        <v>17</v>
      </c>
      <c r="V2262" s="1" t="s">
        <v>3451</v>
      </c>
      <c r="W2262" s="1"/>
    </row>
    <row r="2263" spans="1:23" x14ac:dyDescent="0.2">
      <c r="A2263" s="88" t="s">
        <v>17478</v>
      </c>
      <c r="B2263" s="1" t="e">
        <v>#N/A</v>
      </c>
      <c r="C2263" s="1" t="s">
        <v>12815</v>
      </c>
      <c r="D2263" s="1" t="s">
        <v>6026</v>
      </c>
      <c r="E2263" s="1" t="s">
        <v>6027</v>
      </c>
      <c r="F2263" s="1" t="s">
        <v>10873</v>
      </c>
      <c r="G2263" s="1" t="s">
        <v>9060</v>
      </c>
      <c r="H2263" t="s">
        <v>8959</v>
      </c>
      <c r="I2263" s="1" t="s">
        <v>8948</v>
      </c>
      <c r="J2263" s="1" t="s">
        <v>8949</v>
      </c>
      <c r="K2263" s="1" t="s">
        <v>12818</v>
      </c>
      <c r="L2263" s="1" t="s">
        <v>8973</v>
      </c>
      <c r="M2263" s="1">
        <v>24</v>
      </c>
      <c r="N2263" s="1" t="s">
        <v>8953</v>
      </c>
      <c r="O2263" s="1" t="s">
        <v>8989</v>
      </c>
      <c r="P2263" s="1" t="s">
        <v>8955</v>
      </c>
      <c r="Q2263" s="1" t="s">
        <v>8956</v>
      </c>
      <c r="R2263" s="1" t="s">
        <v>9060</v>
      </c>
      <c r="S2263" s="1" t="s">
        <v>8958</v>
      </c>
      <c r="T2263" s="1" t="s">
        <v>6028</v>
      </c>
      <c r="U2263" s="1" t="s">
        <v>11</v>
      </c>
      <c r="V2263" s="1" t="s">
        <v>43</v>
      </c>
      <c r="W2263" s="1"/>
    </row>
    <row r="2264" spans="1:23" x14ac:dyDescent="0.2">
      <c r="A2264" s="89" t="s">
        <v>17479</v>
      </c>
      <c r="B2264" s="1" t="e">
        <v>#N/A</v>
      </c>
      <c r="C2264" s="1" t="e">
        <v>#N/A</v>
      </c>
      <c r="D2264" s="1" t="s">
        <v>6029</v>
      </c>
      <c r="E2264" s="1" t="s">
        <v>6030</v>
      </c>
      <c r="F2264" s="1" t="e">
        <v>#N/A</v>
      </c>
      <c r="G2264" s="1" t="e">
        <v>#N/A</v>
      </c>
      <c r="H2264" t="e">
        <v>#N/A</v>
      </c>
      <c r="I2264" s="1" t="e">
        <v>#N/A</v>
      </c>
      <c r="J2264" s="1" t="e">
        <v>#N/A</v>
      </c>
      <c r="K2264" s="1" t="e">
        <v>#N/A</v>
      </c>
      <c r="L2264" s="1" t="e">
        <v>#N/A</v>
      </c>
      <c r="M2264" s="1" t="e">
        <v>#N/A</v>
      </c>
      <c r="N2264" s="1" t="e">
        <v>#N/A</v>
      </c>
      <c r="O2264" s="1" t="e">
        <v>#N/A</v>
      </c>
      <c r="P2264" s="1" t="e">
        <v>#N/A</v>
      </c>
      <c r="Q2264" s="1" t="e">
        <v>#N/A</v>
      </c>
      <c r="R2264" s="1">
        <f t="shared" ref="R2264:R2265" si="656">1+LEN(T2264)-LEN(SUBSTITUTE(T2264,",",))</f>
        <v>1</v>
      </c>
      <c r="S2264" s="1" t="str">
        <f t="shared" ref="S2264:S2265" si="657">IF(R2264&gt;4,IF(R2264&lt;8,"4-7",IF(R2264&gt;7,"&gt;7")),"&lt;4")</f>
        <v>&lt;4</v>
      </c>
      <c r="U2264" s="1" t="s">
        <v>4</v>
      </c>
      <c r="V2264" s="1" t="s">
        <v>43</v>
      </c>
      <c r="W2264" s="1"/>
    </row>
    <row r="2265" spans="1:23" x14ac:dyDescent="0.2">
      <c r="A2265" s="88" t="s">
        <v>17480</v>
      </c>
      <c r="B2265" s="1" t="e">
        <v>#N/A</v>
      </c>
      <c r="C2265" s="1" t="e">
        <v>#N/A</v>
      </c>
      <c r="D2265" s="1" t="s">
        <v>6031</v>
      </c>
      <c r="E2265" s="1" t="s">
        <v>6032</v>
      </c>
      <c r="F2265" s="1" t="s">
        <v>9380</v>
      </c>
      <c r="G2265" s="1" t="s">
        <v>8959</v>
      </c>
      <c r="H2265" t="s">
        <v>8959</v>
      </c>
      <c r="I2265" s="1" t="s">
        <v>9075</v>
      </c>
      <c r="J2265" s="1" t="s">
        <v>9101</v>
      </c>
      <c r="K2265" s="1" t="s">
        <v>20776</v>
      </c>
      <c r="L2265" s="1" t="s">
        <v>8973</v>
      </c>
      <c r="M2265" s="1">
        <f>235+592</f>
        <v>827</v>
      </c>
      <c r="N2265" s="1" t="s">
        <v>8953</v>
      </c>
      <c r="O2265" s="1" t="s">
        <v>8989</v>
      </c>
      <c r="P2265" s="1" t="e">
        <v>#N/A</v>
      </c>
      <c r="Q2265" s="1" t="e">
        <v>#N/A</v>
      </c>
      <c r="R2265" s="1">
        <f t="shared" si="656"/>
        <v>4</v>
      </c>
      <c r="S2265" s="1" t="str">
        <f t="shared" si="657"/>
        <v>&lt;4</v>
      </c>
      <c r="T2265" s="1" t="s">
        <v>19828</v>
      </c>
      <c r="U2265" s="1" t="s">
        <v>7</v>
      </c>
      <c r="V2265" s="1" t="s">
        <v>126</v>
      </c>
      <c r="W2265" s="1"/>
    </row>
    <row r="2266" spans="1:23" x14ac:dyDescent="0.2">
      <c r="A2266" s="88" t="s">
        <v>17481</v>
      </c>
      <c r="B2266" s="1" t="e">
        <v>#N/A</v>
      </c>
      <c r="C2266" s="1" t="s">
        <v>13171</v>
      </c>
      <c r="D2266" s="1" t="s">
        <v>6033</v>
      </c>
      <c r="E2266" s="1" t="s">
        <v>6034</v>
      </c>
      <c r="F2266" s="1" t="s">
        <v>9010</v>
      </c>
      <c r="G2266" s="1" t="s">
        <v>8957</v>
      </c>
      <c r="H2266" t="s">
        <v>8959</v>
      </c>
      <c r="I2266" s="1" t="s">
        <v>9252</v>
      </c>
      <c r="J2266" s="1" t="s">
        <v>9422</v>
      </c>
      <c r="K2266" s="1" t="s">
        <v>9018</v>
      </c>
      <c r="L2266" s="1" t="s">
        <v>8987</v>
      </c>
      <c r="M2266" s="1">
        <v>3700</v>
      </c>
      <c r="N2266" s="1" t="s">
        <v>8953</v>
      </c>
      <c r="O2266" s="1" t="s">
        <v>8954</v>
      </c>
      <c r="P2266" s="1" t="s">
        <v>8955</v>
      </c>
      <c r="Q2266" s="1" t="s">
        <v>8956</v>
      </c>
      <c r="R2266" s="1" t="s">
        <v>8957</v>
      </c>
      <c r="S2266" s="1" t="s">
        <v>8958</v>
      </c>
      <c r="T2266" s="1" t="s">
        <v>6035</v>
      </c>
      <c r="U2266" s="1" t="s">
        <v>4</v>
      </c>
      <c r="V2266" s="1" t="s">
        <v>24</v>
      </c>
      <c r="W2266" s="1"/>
    </row>
    <row r="2267" spans="1:23" x14ac:dyDescent="0.2">
      <c r="A2267" s="88" t="s">
        <v>17482</v>
      </c>
      <c r="B2267" s="1" t="e">
        <v>#N/A</v>
      </c>
      <c r="C2267" s="1" t="e">
        <v>#N/A</v>
      </c>
      <c r="D2267" s="1" t="s">
        <v>6036</v>
      </c>
      <c r="E2267" s="1" t="s">
        <v>6037</v>
      </c>
      <c r="F2267" s="1" t="s">
        <v>10032</v>
      </c>
      <c r="G2267" s="1" t="s">
        <v>8959</v>
      </c>
      <c r="H2267" t="s">
        <v>9183</v>
      </c>
      <c r="I2267" s="1" t="s">
        <v>8984</v>
      </c>
      <c r="J2267" s="1" t="s">
        <v>8998</v>
      </c>
      <c r="K2267" s="1" t="s">
        <v>9102</v>
      </c>
      <c r="L2267" s="1" t="s">
        <v>8973</v>
      </c>
      <c r="M2267" s="1">
        <v>9914</v>
      </c>
      <c r="N2267" s="1" t="s">
        <v>8953</v>
      </c>
      <c r="O2267" s="1" t="s">
        <v>8954</v>
      </c>
      <c r="P2267" s="1" t="e">
        <v>#N/A</v>
      </c>
      <c r="Q2267" s="1" t="e">
        <v>#N/A</v>
      </c>
      <c r="R2267" s="1">
        <f t="shared" ref="R2267:R2277" si="658">1+LEN(T2267)-LEN(SUBSTITUTE(T2267,",",))</f>
        <v>9</v>
      </c>
      <c r="S2267" s="1" t="str">
        <f t="shared" ref="S2267:S2277" si="659">IF(R2267&gt;4,IF(R2267&lt;8,"4-7",IF(R2267&gt;7,"&gt;7")),"&lt;4")</f>
        <v>&gt;7</v>
      </c>
      <c r="T2267" s="1" t="s">
        <v>19829</v>
      </c>
      <c r="U2267" s="1" t="s">
        <v>7</v>
      </c>
      <c r="V2267" s="1" t="s">
        <v>6038</v>
      </c>
      <c r="W2267" s="1"/>
    </row>
    <row r="2268" spans="1:23" x14ac:dyDescent="0.2">
      <c r="A2268" s="88" t="s">
        <v>17483</v>
      </c>
      <c r="B2268" s="1" t="e">
        <v>#N/A</v>
      </c>
      <c r="C2268" s="1" t="e">
        <v>#N/A</v>
      </c>
      <c r="D2268" s="1" t="s">
        <v>6039</v>
      </c>
      <c r="E2268" s="1" t="s">
        <v>6040</v>
      </c>
      <c r="F2268" s="1" t="s">
        <v>9310</v>
      </c>
      <c r="G2268" s="1" t="s">
        <v>8957</v>
      </c>
      <c r="H2268" t="s">
        <v>8959</v>
      </c>
      <c r="I2268" s="1" t="s">
        <v>9035</v>
      </c>
      <c r="J2268" s="1" t="s">
        <v>9308</v>
      </c>
      <c r="K2268" s="1" t="s">
        <v>21339</v>
      </c>
      <c r="L2268" s="1" t="s">
        <v>9292</v>
      </c>
      <c r="M2268" s="1">
        <v>860</v>
      </c>
      <c r="N2268" s="1" t="s">
        <v>8953</v>
      </c>
      <c r="O2268" s="1" t="s">
        <v>8954</v>
      </c>
      <c r="P2268" s="1" t="e">
        <v>#N/A</v>
      </c>
      <c r="Q2268" s="1" t="e">
        <v>#N/A</v>
      </c>
      <c r="R2268" s="1">
        <f t="shared" si="658"/>
        <v>10</v>
      </c>
      <c r="S2268" s="1" t="str">
        <f t="shared" si="659"/>
        <v>&gt;7</v>
      </c>
      <c r="T2268" s="1" t="s">
        <v>19830</v>
      </c>
      <c r="U2268" s="1" t="s">
        <v>7</v>
      </c>
      <c r="V2268" s="1" t="s">
        <v>234</v>
      </c>
      <c r="W2268" s="1"/>
    </row>
    <row r="2269" spans="1:23" x14ac:dyDescent="0.2">
      <c r="A2269" s="89" t="s">
        <v>6041</v>
      </c>
      <c r="B2269" s="1" t="e">
        <v>#N/A</v>
      </c>
      <c r="C2269" s="1" t="e">
        <v>#N/A</v>
      </c>
      <c r="D2269" s="1" t="s">
        <v>6042</v>
      </c>
      <c r="E2269" s="1" t="s">
        <v>6043</v>
      </c>
      <c r="F2269" s="1" t="e">
        <v>#N/A</v>
      </c>
      <c r="G2269" s="1" t="e">
        <v>#N/A</v>
      </c>
      <c r="H2269" t="e">
        <v>#N/A</v>
      </c>
      <c r="I2269" s="1" t="e">
        <v>#N/A</v>
      </c>
      <c r="J2269" s="1" t="e">
        <v>#N/A</v>
      </c>
      <c r="K2269" s="1" t="e">
        <v>#N/A</v>
      </c>
      <c r="L2269" s="1" t="e">
        <v>#N/A</v>
      </c>
      <c r="M2269" s="1" t="e">
        <v>#N/A</v>
      </c>
      <c r="N2269" s="1" t="e">
        <v>#N/A</v>
      </c>
      <c r="O2269" s="1" t="e">
        <v>#N/A</v>
      </c>
      <c r="P2269" s="1" t="e">
        <v>#N/A</v>
      </c>
      <c r="Q2269" s="1" t="e">
        <v>#N/A</v>
      </c>
      <c r="R2269" s="1">
        <f t="shared" si="658"/>
        <v>1</v>
      </c>
      <c r="S2269" s="1" t="str">
        <f t="shared" si="659"/>
        <v>&lt;4</v>
      </c>
      <c r="T2269" s="1" t="s">
        <v>6044</v>
      </c>
      <c r="U2269" s="1" t="s">
        <v>11</v>
      </c>
      <c r="V2269" s="1" t="s">
        <v>104</v>
      </c>
      <c r="W2269" s="1"/>
    </row>
    <row r="2270" spans="1:23" x14ac:dyDescent="0.2">
      <c r="A2270" s="88" t="s">
        <v>17484</v>
      </c>
      <c r="B2270" s="1" t="e">
        <v>#N/A</v>
      </c>
      <c r="C2270" s="1" t="e">
        <v>#N/A</v>
      </c>
      <c r="D2270" s="1" t="s">
        <v>20961</v>
      </c>
      <c r="E2270" s="1" t="s">
        <v>6045</v>
      </c>
      <c r="F2270" s="1" t="s">
        <v>18493</v>
      </c>
      <c r="G2270" s="1" t="s">
        <v>8957</v>
      </c>
      <c r="H2270" t="s">
        <v>8959</v>
      </c>
      <c r="I2270" s="1" t="s">
        <v>9605</v>
      </c>
      <c r="J2270" s="1" t="s">
        <v>9101</v>
      </c>
      <c r="K2270" s="1" t="s">
        <v>21383</v>
      </c>
      <c r="L2270" s="1" t="s">
        <v>8987</v>
      </c>
      <c r="M2270" s="1">
        <v>1364</v>
      </c>
      <c r="N2270" s="1" t="s">
        <v>8953</v>
      </c>
      <c r="O2270" s="1" t="s">
        <v>8989</v>
      </c>
      <c r="P2270" s="1" t="e">
        <v>#N/A</v>
      </c>
      <c r="Q2270" s="1" t="e">
        <v>#N/A</v>
      </c>
      <c r="R2270" s="1">
        <f t="shared" si="658"/>
        <v>5</v>
      </c>
      <c r="S2270" s="1" t="str">
        <f t="shared" si="659"/>
        <v>4-7</v>
      </c>
      <c r="T2270" s="1" t="s">
        <v>19831</v>
      </c>
      <c r="U2270" s="1" t="s">
        <v>7</v>
      </c>
      <c r="V2270" s="1" t="s">
        <v>2953</v>
      </c>
      <c r="W2270" s="1"/>
    </row>
    <row r="2271" spans="1:23" x14ac:dyDescent="0.2">
      <c r="A2271" s="88" t="s">
        <v>17485</v>
      </c>
      <c r="B2271" s="1" t="e">
        <v>#N/A</v>
      </c>
      <c r="C2271" s="1" t="e">
        <v>#N/A</v>
      </c>
      <c r="D2271" s="1" t="s">
        <v>6046</v>
      </c>
      <c r="E2271" s="1" t="s">
        <v>6047</v>
      </c>
      <c r="F2271" s="1" t="s">
        <v>10873</v>
      </c>
      <c r="G2271" s="1" t="s">
        <v>8957</v>
      </c>
      <c r="H2271" t="s">
        <v>9009</v>
      </c>
      <c r="I2271" s="1" t="s">
        <v>9100</v>
      </c>
      <c r="J2271" s="1" t="s">
        <v>8949</v>
      </c>
      <c r="K2271" s="1" t="s">
        <v>20962</v>
      </c>
      <c r="L2271" s="1" t="s">
        <v>8973</v>
      </c>
      <c r="M2271" s="1">
        <v>136</v>
      </c>
      <c r="N2271" s="1" t="s">
        <v>9059</v>
      </c>
      <c r="O2271" s="1" t="s">
        <v>8989</v>
      </c>
      <c r="P2271" s="1" t="e">
        <v>#N/A</v>
      </c>
      <c r="Q2271" s="1" t="e">
        <v>#N/A</v>
      </c>
      <c r="R2271" s="1">
        <f t="shared" si="658"/>
        <v>6</v>
      </c>
      <c r="S2271" s="1" t="str">
        <f t="shared" si="659"/>
        <v>4-7</v>
      </c>
      <c r="T2271" s="1" t="s">
        <v>19832</v>
      </c>
      <c r="U2271" s="1" t="s">
        <v>7</v>
      </c>
      <c r="V2271" s="1" t="s">
        <v>74</v>
      </c>
      <c r="W2271" s="1"/>
    </row>
    <row r="2272" spans="1:23" x14ac:dyDescent="0.2">
      <c r="A2272" s="88" t="s">
        <v>17486</v>
      </c>
      <c r="B2272" s="1" t="e">
        <v>#N/A</v>
      </c>
      <c r="C2272" s="1" t="e">
        <v>#N/A</v>
      </c>
      <c r="D2272" s="1" t="s">
        <v>6048</v>
      </c>
      <c r="E2272" s="1" t="s">
        <v>6049</v>
      </c>
      <c r="F2272" s="1" t="s">
        <v>9815</v>
      </c>
      <c r="G2272" s="1" t="s">
        <v>8959</v>
      </c>
      <c r="H2272" t="s">
        <v>8959</v>
      </c>
      <c r="I2272" s="1" t="s">
        <v>8948</v>
      </c>
      <c r="J2272" s="1" t="s">
        <v>20930</v>
      </c>
      <c r="K2272" s="1" t="s">
        <v>20962</v>
      </c>
      <c r="L2272" s="1" t="s">
        <v>20867</v>
      </c>
      <c r="M2272" s="1">
        <v>1500</v>
      </c>
      <c r="N2272" s="1" t="s">
        <v>8953</v>
      </c>
      <c r="O2272" s="1" t="s">
        <v>8989</v>
      </c>
      <c r="P2272" s="1" t="e">
        <v>#N/A</v>
      </c>
      <c r="Q2272" s="1" t="e">
        <v>#N/A</v>
      </c>
      <c r="R2272" s="1">
        <f t="shared" si="658"/>
        <v>4</v>
      </c>
      <c r="S2272" s="1" t="str">
        <f t="shared" si="659"/>
        <v>&lt;4</v>
      </c>
      <c r="T2272" s="1" t="s">
        <v>19833</v>
      </c>
      <c r="U2272" s="1" t="s">
        <v>17</v>
      </c>
      <c r="V2272" s="1" t="s">
        <v>97</v>
      </c>
      <c r="W2272" s="1"/>
    </row>
    <row r="2273" spans="1:23" x14ac:dyDescent="0.2">
      <c r="A2273" s="88" t="s">
        <v>17487</v>
      </c>
      <c r="B2273" s="1" t="e">
        <v>#N/A</v>
      </c>
      <c r="C2273" s="1" t="e">
        <v>#N/A</v>
      </c>
      <c r="D2273" s="1" t="s">
        <v>6050</v>
      </c>
      <c r="E2273" s="1" t="s">
        <v>6051</v>
      </c>
      <c r="F2273" s="1" t="s">
        <v>18502</v>
      </c>
      <c r="G2273" s="1" t="s">
        <v>20963</v>
      </c>
      <c r="H2273" t="s">
        <v>8959</v>
      </c>
      <c r="I2273" s="1" t="s">
        <v>9035</v>
      </c>
      <c r="J2273" s="1" t="s">
        <v>9308</v>
      </c>
      <c r="K2273" s="1" t="s">
        <v>21290</v>
      </c>
      <c r="L2273" s="1" t="s">
        <v>8951</v>
      </c>
      <c r="M2273" s="1">
        <v>223648</v>
      </c>
      <c r="N2273" s="1" t="s">
        <v>8953</v>
      </c>
      <c r="O2273" s="1" t="s">
        <v>8954</v>
      </c>
      <c r="P2273" s="1" t="e">
        <v>#N/A</v>
      </c>
      <c r="Q2273" s="1" t="e">
        <v>#N/A</v>
      </c>
      <c r="R2273" s="1">
        <f t="shared" si="658"/>
        <v>3</v>
      </c>
      <c r="S2273" s="1" t="str">
        <f t="shared" si="659"/>
        <v>&lt;4</v>
      </c>
      <c r="T2273" s="1" t="s">
        <v>19834</v>
      </c>
      <c r="U2273" s="1" t="s">
        <v>7</v>
      </c>
      <c r="V2273" s="1" t="s">
        <v>6052</v>
      </c>
      <c r="W2273" s="1"/>
    </row>
    <row r="2274" spans="1:23" ht="114" x14ac:dyDescent="0.2">
      <c r="A2274" s="88" t="s">
        <v>17488</v>
      </c>
      <c r="B2274" s="1" t="e">
        <v>#N/A</v>
      </c>
      <c r="C2274" s="1" t="e">
        <v>#N/A</v>
      </c>
      <c r="D2274" s="1" t="s">
        <v>6053</v>
      </c>
      <c r="E2274" s="1" t="s">
        <v>6054</v>
      </c>
      <c r="F2274" s="1" t="s">
        <v>18502</v>
      </c>
      <c r="G2274" s="1" t="s">
        <v>8957</v>
      </c>
      <c r="H2274" t="s">
        <v>8959</v>
      </c>
      <c r="I2274" s="1" t="s">
        <v>9035</v>
      </c>
      <c r="J2274" s="1" t="s">
        <v>9308</v>
      </c>
      <c r="K2274" s="83" t="s">
        <v>21291</v>
      </c>
      <c r="L2274" s="1" t="s">
        <v>8951</v>
      </c>
      <c r="M2274" s="1">
        <f>63340+48780+5856+26684+191219+134+226</f>
        <v>336239</v>
      </c>
      <c r="N2274" s="1" t="s">
        <v>8953</v>
      </c>
      <c r="O2274" s="1" t="s">
        <v>8954</v>
      </c>
      <c r="P2274" s="1" t="e">
        <v>#N/A</v>
      </c>
      <c r="Q2274" s="1" t="e">
        <v>#N/A</v>
      </c>
      <c r="R2274" s="1">
        <f t="shared" si="658"/>
        <v>5</v>
      </c>
      <c r="S2274" s="1" t="str">
        <f t="shared" si="659"/>
        <v>4-7</v>
      </c>
      <c r="T2274" s="1" t="s">
        <v>19835</v>
      </c>
      <c r="U2274" s="1" t="s">
        <v>7</v>
      </c>
      <c r="V2274" s="1" t="s">
        <v>110</v>
      </c>
      <c r="W2274" s="1"/>
    </row>
    <row r="2275" spans="1:23" x14ac:dyDescent="0.2">
      <c r="A2275" s="88" t="s">
        <v>17489</v>
      </c>
      <c r="B2275" s="1" t="e">
        <v>#N/A</v>
      </c>
      <c r="C2275" s="1" t="e">
        <v>#N/A</v>
      </c>
      <c r="D2275" s="1" t="s">
        <v>6055</v>
      </c>
      <c r="E2275" s="1" t="s">
        <v>6056</v>
      </c>
      <c r="F2275" s="1" t="s">
        <v>18502</v>
      </c>
      <c r="G2275" s="1" t="s">
        <v>8957</v>
      </c>
      <c r="H2275" t="s">
        <v>8959</v>
      </c>
      <c r="I2275" s="1" t="s">
        <v>9035</v>
      </c>
      <c r="J2275" s="1" t="s">
        <v>9308</v>
      </c>
      <c r="K2275" s="1" t="s">
        <v>21423</v>
      </c>
      <c r="L2275" s="1" t="s">
        <v>20839</v>
      </c>
      <c r="M2275" s="1">
        <f>17833+8851</f>
        <v>26684</v>
      </c>
      <c r="N2275" s="1" t="s">
        <v>8953</v>
      </c>
      <c r="O2275" s="1" t="s">
        <v>8954</v>
      </c>
      <c r="P2275" s="1" t="e">
        <v>#N/A</v>
      </c>
      <c r="Q2275" s="1" t="e">
        <v>#N/A</v>
      </c>
      <c r="R2275" s="1">
        <f t="shared" si="658"/>
        <v>4</v>
      </c>
      <c r="S2275" s="1" t="str">
        <f t="shared" si="659"/>
        <v>&lt;4</v>
      </c>
      <c r="T2275" s="1" t="s">
        <v>19836</v>
      </c>
      <c r="U2275" s="1" t="s">
        <v>17</v>
      </c>
      <c r="V2275" s="1" t="s">
        <v>46</v>
      </c>
      <c r="W2275" s="1"/>
    </row>
    <row r="2276" spans="1:23" x14ac:dyDescent="0.2">
      <c r="A2276" s="94" t="s">
        <v>17490</v>
      </c>
      <c r="B2276" s="1" t="e">
        <v>#N/A</v>
      </c>
      <c r="C2276" s="1" t="e">
        <v>#N/A</v>
      </c>
      <c r="D2276" s="1" t="s">
        <v>6057</v>
      </c>
      <c r="E2276" s="1" t="s">
        <v>6058</v>
      </c>
      <c r="F2276" s="1" t="s">
        <v>10850</v>
      </c>
      <c r="G2276" s="1" t="e">
        <v>#N/A</v>
      </c>
      <c r="H2276" t="s">
        <v>8959</v>
      </c>
      <c r="I2276" s="1" t="s">
        <v>9154</v>
      </c>
      <c r="J2276" s="1" t="s">
        <v>8998</v>
      </c>
      <c r="K2276" s="1" t="e">
        <v>#N/A</v>
      </c>
      <c r="L2276" s="1" t="s">
        <v>8987</v>
      </c>
      <c r="M2276" s="1">
        <v>2646</v>
      </c>
      <c r="N2276" s="1" t="s">
        <v>8953</v>
      </c>
      <c r="O2276" s="1" t="s">
        <v>8989</v>
      </c>
      <c r="P2276" s="1" t="e">
        <v>#N/A</v>
      </c>
      <c r="Q2276" s="1" t="e">
        <v>#N/A</v>
      </c>
      <c r="R2276" s="1">
        <f t="shared" si="658"/>
        <v>10</v>
      </c>
      <c r="S2276" s="1" t="str">
        <f t="shared" si="659"/>
        <v>&gt;7</v>
      </c>
      <c r="T2276" s="1" t="s">
        <v>19837</v>
      </c>
      <c r="U2276" s="1" t="s">
        <v>17</v>
      </c>
      <c r="V2276" s="1" t="s">
        <v>8</v>
      </c>
      <c r="W2276" s="1"/>
    </row>
    <row r="2277" spans="1:23" x14ac:dyDescent="0.2">
      <c r="A2277" s="89" t="s">
        <v>6059</v>
      </c>
      <c r="B2277" s="1" t="e">
        <v>#N/A</v>
      </c>
      <c r="C2277" s="1" t="e">
        <v>#N/A</v>
      </c>
      <c r="D2277" s="1" t="s">
        <v>6060</v>
      </c>
      <c r="E2277" s="1" t="s">
        <v>6061</v>
      </c>
      <c r="F2277" s="1" t="e">
        <v>#N/A</v>
      </c>
      <c r="G2277" s="1" t="e">
        <v>#N/A</v>
      </c>
      <c r="H2277" t="e">
        <v>#N/A</v>
      </c>
      <c r="I2277" s="1" t="e">
        <v>#N/A</v>
      </c>
      <c r="J2277" s="1" t="e">
        <v>#N/A</v>
      </c>
      <c r="K2277" s="1" t="e">
        <v>#N/A</v>
      </c>
      <c r="L2277" s="1" t="e">
        <v>#N/A</v>
      </c>
      <c r="M2277" s="1" t="e">
        <v>#N/A</v>
      </c>
      <c r="N2277" s="1" t="e">
        <v>#N/A</v>
      </c>
      <c r="O2277" s="1" t="e">
        <v>#N/A</v>
      </c>
      <c r="P2277" s="1" t="e">
        <v>#N/A</v>
      </c>
      <c r="Q2277" s="1" t="e">
        <v>#N/A</v>
      </c>
      <c r="R2277" s="1">
        <f t="shared" si="658"/>
        <v>1</v>
      </c>
      <c r="S2277" s="1" t="str">
        <f t="shared" si="659"/>
        <v>&lt;4</v>
      </c>
      <c r="T2277" s="1" t="s">
        <v>6062</v>
      </c>
      <c r="U2277" s="1" t="s">
        <v>7</v>
      </c>
      <c r="V2277" s="1" t="s">
        <v>4818</v>
      </c>
      <c r="W2277" s="1"/>
    </row>
    <row r="2278" spans="1:23" x14ac:dyDescent="0.2">
      <c r="A2278" s="88" t="s">
        <v>17491</v>
      </c>
      <c r="B2278" s="1" t="e">
        <v>#N/A</v>
      </c>
      <c r="C2278" s="1" t="s">
        <v>14275</v>
      </c>
      <c r="D2278" s="1" t="s">
        <v>6063</v>
      </c>
      <c r="E2278" s="1" t="s">
        <v>6064</v>
      </c>
      <c r="F2278" s="1" t="s">
        <v>9010</v>
      </c>
      <c r="G2278" s="1" t="s">
        <v>8959</v>
      </c>
      <c r="H2278" t="s">
        <v>9009</v>
      </c>
      <c r="I2278" s="1" t="s">
        <v>9035</v>
      </c>
      <c r="J2278" s="1" t="s">
        <v>9308</v>
      </c>
      <c r="K2278" s="1" t="s">
        <v>10936</v>
      </c>
      <c r="L2278" s="1" t="s">
        <v>8987</v>
      </c>
      <c r="M2278" s="1">
        <v>1885</v>
      </c>
      <c r="N2278" s="1" t="s">
        <v>8953</v>
      </c>
      <c r="O2278" s="1" t="s">
        <v>8989</v>
      </c>
      <c r="P2278" s="1" t="s">
        <v>8955</v>
      </c>
      <c r="Q2278" s="1" t="s">
        <v>8956</v>
      </c>
      <c r="R2278" s="1" t="s">
        <v>8959</v>
      </c>
      <c r="S2278" s="1" t="s">
        <v>8958</v>
      </c>
      <c r="T2278" s="1" t="s">
        <v>6065</v>
      </c>
      <c r="U2278" s="1" t="s">
        <v>4</v>
      </c>
      <c r="V2278" s="1" t="s">
        <v>87</v>
      </c>
      <c r="W2278" s="1"/>
    </row>
    <row r="2279" spans="1:23" x14ac:dyDescent="0.2">
      <c r="A2279" s="88" t="s">
        <v>17492</v>
      </c>
      <c r="B2279" s="1" t="e">
        <v>#N/A</v>
      </c>
      <c r="C2279" s="1" t="s">
        <v>10808</v>
      </c>
      <c r="D2279" s="1" t="s">
        <v>6066</v>
      </c>
      <c r="E2279" s="1" t="s">
        <v>6067</v>
      </c>
      <c r="F2279" s="1" t="s">
        <v>9010</v>
      </c>
      <c r="G2279" s="1" t="s">
        <v>8957</v>
      </c>
      <c r="H2279" t="s">
        <v>8959</v>
      </c>
      <c r="I2279" s="1" t="s">
        <v>9035</v>
      </c>
      <c r="J2279" s="1" t="s">
        <v>9308</v>
      </c>
      <c r="K2279" s="1" t="s">
        <v>9270</v>
      </c>
      <c r="L2279" s="1" t="s">
        <v>9133</v>
      </c>
      <c r="M2279" s="1">
        <v>112120</v>
      </c>
      <c r="N2279" s="1" t="s">
        <v>8953</v>
      </c>
      <c r="O2279" s="1" t="s">
        <v>8989</v>
      </c>
      <c r="P2279" s="1" t="s">
        <v>8955</v>
      </c>
      <c r="Q2279" s="1" t="s">
        <v>8956</v>
      </c>
      <c r="R2279" s="1" t="s">
        <v>8957</v>
      </c>
      <c r="S2279" s="1" t="s">
        <v>8975</v>
      </c>
      <c r="T2279" s="1" t="s">
        <v>6068</v>
      </c>
      <c r="U2279" s="1" t="s">
        <v>11</v>
      </c>
      <c r="V2279" s="1" t="s">
        <v>771</v>
      </c>
      <c r="W2279" s="1"/>
    </row>
    <row r="2280" spans="1:23" x14ac:dyDescent="0.2">
      <c r="A2280" s="88" t="s">
        <v>17493</v>
      </c>
      <c r="B2280" s="1" t="e">
        <v>#N/A</v>
      </c>
      <c r="C2280" s="1" t="e">
        <v>#N/A</v>
      </c>
      <c r="D2280" s="1" t="s">
        <v>6069</v>
      </c>
      <c r="E2280" s="1" t="s">
        <v>6070</v>
      </c>
      <c r="F2280" s="1" t="s">
        <v>18502</v>
      </c>
      <c r="G2280" s="1" t="s">
        <v>8974</v>
      </c>
      <c r="H2280" t="s">
        <v>8959</v>
      </c>
      <c r="I2280" s="1" t="s">
        <v>8984</v>
      </c>
      <c r="J2280" s="1" t="s">
        <v>8998</v>
      </c>
      <c r="K2280" s="1" t="s">
        <v>21384</v>
      </c>
      <c r="L2280" s="1" t="s">
        <v>9133</v>
      </c>
      <c r="M2280" s="1">
        <v>213335</v>
      </c>
      <c r="N2280" s="1" t="s">
        <v>8953</v>
      </c>
      <c r="O2280" s="1" t="s">
        <v>8989</v>
      </c>
      <c r="P2280" s="1" t="e">
        <v>#N/A</v>
      </c>
      <c r="Q2280" s="1" t="e">
        <v>#N/A</v>
      </c>
      <c r="R2280" s="1">
        <f t="shared" ref="R2280:R2281" si="660">1+LEN(T2280)-LEN(SUBSTITUTE(T2280,",",))</f>
        <v>10</v>
      </c>
      <c r="S2280" s="1" t="str">
        <f t="shared" ref="S2280:S2281" si="661">IF(R2280&gt;4,IF(R2280&lt;8,"4-7",IF(R2280&gt;7,"&gt;7")),"&lt;4")</f>
        <v>&gt;7</v>
      </c>
      <c r="T2280" s="1" t="s">
        <v>19838</v>
      </c>
      <c r="U2280" s="1" t="s">
        <v>7</v>
      </c>
      <c r="V2280" s="1" t="s">
        <v>24</v>
      </c>
      <c r="W2280" s="1"/>
    </row>
    <row r="2281" spans="1:23" x14ac:dyDescent="0.2">
      <c r="A2281" s="88" t="s">
        <v>17494</v>
      </c>
      <c r="B2281" s="1" t="e">
        <v>#N/A</v>
      </c>
      <c r="C2281" s="1" t="e">
        <v>#N/A</v>
      </c>
      <c r="D2281" s="1" t="s">
        <v>6071</v>
      </c>
      <c r="E2281" s="1" t="s">
        <v>6072</v>
      </c>
      <c r="F2281" s="1" t="s">
        <v>10873</v>
      </c>
      <c r="G2281" s="1" t="s">
        <v>8957</v>
      </c>
      <c r="H2281" t="s">
        <v>8959</v>
      </c>
      <c r="I2281" s="1" t="s">
        <v>9092</v>
      </c>
      <c r="J2281" s="1" t="s">
        <v>8998</v>
      </c>
      <c r="K2281" s="1" t="s">
        <v>20962</v>
      </c>
      <c r="L2281" s="1" t="s">
        <v>8987</v>
      </c>
      <c r="M2281" s="1">
        <v>52000</v>
      </c>
      <c r="N2281" s="1" t="s">
        <v>8953</v>
      </c>
      <c r="O2281" s="1" t="s">
        <v>8989</v>
      </c>
      <c r="P2281" s="1" t="e">
        <v>#N/A</v>
      </c>
      <c r="Q2281" s="1" t="e">
        <v>#N/A</v>
      </c>
      <c r="R2281" s="1">
        <f t="shared" si="660"/>
        <v>4</v>
      </c>
      <c r="S2281" s="1" t="str">
        <f t="shared" si="661"/>
        <v>&lt;4</v>
      </c>
      <c r="T2281" s="1" t="s">
        <v>19839</v>
      </c>
      <c r="U2281" s="1" t="s">
        <v>7</v>
      </c>
      <c r="V2281" s="1" t="s">
        <v>110</v>
      </c>
      <c r="W2281" s="1"/>
    </row>
    <row r="2282" spans="1:23" x14ac:dyDescent="0.2">
      <c r="A2282" s="88" t="s">
        <v>17495</v>
      </c>
      <c r="B2282" s="1" t="e">
        <v>#N/A</v>
      </c>
      <c r="C2282" s="1" t="s">
        <v>11309</v>
      </c>
      <c r="D2282" s="1" t="s">
        <v>6073</v>
      </c>
      <c r="E2282" s="1" t="s">
        <v>6074</v>
      </c>
      <c r="F2282" s="1" t="s">
        <v>9213</v>
      </c>
      <c r="G2282" s="1" t="s">
        <v>8959</v>
      </c>
      <c r="H2282" t="s">
        <v>9061</v>
      </c>
      <c r="I2282" s="1" t="s">
        <v>9100</v>
      </c>
      <c r="J2282" s="1" t="s">
        <v>9269</v>
      </c>
      <c r="K2282" s="1" t="s">
        <v>9036</v>
      </c>
      <c r="L2282" s="1" t="s">
        <v>8951</v>
      </c>
      <c r="M2282" s="1">
        <v>400</v>
      </c>
      <c r="N2282" s="1" t="s">
        <v>8953</v>
      </c>
      <c r="O2282" s="1" t="s">
        <v>8989</v>
      </c>
      <c r="P2282" s="1" t="s">
        <v>8955</v>
      </c>
      <c r="Q2282" s="1" t="s">
        <v>8990</v>
      </c>
      <c r="R2282" s="1" t="s">
        <v>8959</v>
      </c>
      <c r="S2282" s="1" t="s">
        <v>8958</v>
      </c>
      <c r="T2282" s="1" t="s">
        <v>6075</v>
      </c>
      <c r="U2282" s="1" t="s">
        <v>11</v>
      </c>
      <c r="V2282" s="1" t="s">
        <v>6076</v>
      </c>
      <c r="W2282" s="1"/>
    </row>
    <row r="2283" spans="1:23" x14ac:dyDescent="0.2">
      <c r="A2283" s="88" t="s">
        <v>17496</v>
      </c>
      <c r="B2283" s="1" t="e">
        <v>#N/A</v>
      </c>
      <c r="C2283" s="1" t="e">
        <v>#N/A</v>
      </c>
      <c r="D2283" s="1" t="s">
        <v>6077</v>
      </c>
      <c r="E2283" s="1" t="s">
        <v>6078</v>
      </c>
      <c r="F2283" s="1" t="s">
        <v>9815</v>
      </c>
      <c r="G2283" s="1" t="s">
        <v>8959</v>
      </c>
      <c r="H2283" t="s">
        <v>8959</v>
      </c>
      <c r="I2283" s="1" t="s">
        <v>8984</v>
      </c>
      <c r="J2283" s="1" t="s">
        <v>8998</v>
      </c>
      <c r="K2283" s="1" t="s">
        <v>21317</v>
      </c>
      <c r="L2283" s="1" t="s">
        <v>20964</v>
      </c>
      <c r="M2283" s="1">
        <v>200</v>
      </c>
      <c r="N2283" s="1" t="s">
        <v>9059</v>
      </c>
      <c r="O2283" s="1" t="s">
        <v>8954</v>
      </c>
      <c r="P2283" s="1" t="e">
        <v>#N/A</v>
      </c>
      <c r="Q2283" s="1" t="e">
        <v>#N/A</v>
      </c>
      <c r="R2283" s="1">
        <f>1+LEN(T2283)-LEN(SUBSTITUTE(T2283,",",))</f>
        <v>4</v>
      </c>
      <c r="S2283" s="1" t="str">
        <f>IF(R2283&gt;4,IF(R2283&lt;8,"4-7",IF(R2283&gt;7,"&gt;7")),"&lt;4")</f>
        <v>&lt;4</v>
      </c>
      <c r="T2283" s="1" t="s">
        <v>19840</v>
      </c>
      <c r="U2283" s="1" t="s">
        <v>7</v>
      </c>
      <c r="V2283" s="1" t="s">
        <v>6079</v>
      </c>
      <c r="W2283" s="1"/>
    </row>
    <row r="2284" spans="1:23" x14ac:dyDescent="0.2">
      <c r="A2284" s="89" t="s">
        <v>6080</v>
      </c>
      <c r="B2284" s="1" t="e">
        <v>#N/A</v>
      </c>
      <c r="C2284" s="1" t="s">
        <v>11076</v>
      </c>
      <c r="D2284" s="1" t="s">
        <v>6081</v>
      </c>
      <c r="E2284" s="1" t="s">
        <v>6082</v>
      </c>
      <c r="F2284" s="1" t="s">
        <v>10873</v>
      </c>
      <c r="G2284" s="1" t="s">
        <v>8957</v>
      </c>
      <c r="H2284" t="s">
        <v>9183</v>
      </c>
      <c r="I2284" s="1" t="s">
        <v>9049</v>
      </c>
      <c r="J2284" s="1" t="s">
        <v>9050</v>
      </c>
      <c r="K2284" s="1" t="s">
        <v>9036</v>
      </c>
      <c r="L2284" s="1" t="s">
        <v>8951</v>
      </c>
      <c r="M2284" s="1">
        <v>900</v>
      </c>
      <c r="N2284" s="1" t="s">
        <v>9059</v>
      </c>
      <c r="O2284" s="1" t="s">
        <v>8989</v>
      </c>
      <c r="P2284" s="1" t="s">
        <v>8955</v>
      </c>
      <c r="Q2284" s="1" t="s">
        <v>8956</v>
      </c>
      <c r="R2284" s="1" t="s">
        <v>8957</v>
      </c>
      <c r="S2284" s="1" t="s">
        <v>8958</v>
      </c>
      <c r="T2284" s="1"/>
      <c r="U2284" s="1"/>
      <c r="V2284" s="1"/>
      <c r="W2284" s="1"/>
    </row>
    <row r="2285" spans="1:23" s="3" customFormat="1" x14ac:dyDescent="0.2">
      <c r="A2285" s="89" t="s">
        <v>6083</v>
      </c>
      <c r="B2285" s="2" t="e">
        <v>#N/A</v>
      </c>
      <c r="C2285" s="2" t="e">
        <v>#N/A</v>
      </c>
      <c r="D2285" s="2" t="s">
        <v>15485</v>
      </c>
      <c r="E2285" s="2" t="s">
        <v>17</v>
      </c>
      <c r="F2285" s="2" t="e">
        <v>#N/A</v>
      </c>
      <c r="G2285" s="2" t="e">
        <v>#N/A</v>
      </c>
      <c r="H2285" t="e">
        <v>#N/A</v>
      </c>
      <c r="I2285" s="2" t="e">
        <v>#N/A</v>
      </c>
      <c r="J2285" s="1" t="e">
        <v>#N/A</v>
      </c>
      <c r="K2285" s="2" t="e">
        <v>#N/A</v>
      </c>
      <c r="L2285" s="2" t="e">
        <v>#N/A</v>
      </c>
      <c r="M2285" s="2" t="e">
        <v>#N/A</v>
      </c>
      <c r="N2285" s="1" t="e">
        <v>#N/A</v>
      </c>
      <c r="O2285" s="2" t="e">
        <v>#N/A</v>
      </c>
      <c r="P2285" s="2" t="e">
        <v>#N/A</v>
      </c>
      <c r="Q2285" s="2" t="e">
        <v>#N/A</v>
      </c>
      <c r="R2285" s="1">
        <f t="shared" ref="R2285:R2289" si="662">1+LEN(T2285)-LEN(SUBSTITUTE(T2285,",",))</f>
        <v>1</v>
      </c>
      <c r="S2285" s="1" t="str">
        <f t="shared" ref="S2285:S2289" si="663">IF(R2285&gt;4,IF(R2285&lt;8,"4-7",IF(R2285&gt;7,"&gt;7")),"&lt;4")</f>
        <v>&lt;4</v>
      </c>
      <c r="T2285" s="2" t="s">
        <v>6084</v>
      </c>
      <c r="U2285" s="2"/>
      <c r="V2285" s="2"/>
      <c r="W2285" s="2"/>
    </row>
    <row r="2286" spans="1:23" x14ac:dyDescent="0.2">
      <c r="A2286" s="88" t="s">
        <v>17497</v>
      </c>
      <c r="B2286" s="1" t="e">
        <v>#N/A</v>
      </c>
      <c r="C2286" s="1" t="e">
        <v>#N/A</v>
      </c>
      <c r="D2286" s="1" t="s">
        <v>6085</v>
      </c>
      <c r="E2286" s="1" t="s">
        <v>6086</v>
      </c>
      <c r="F2286" s="1" t="s">
        <v>10873</v>
      </c>
      <c r="G2286" s="1" t="s">
        <v>8957</v>
      </c>
      <c r="H2286" t="s">
        <v>8959</v>
      </c>
      <c r="I2286" s="1" t="s">
        <v>9252</v>
      </c>
      <c r="J2286" s="1" t="s">
        <v>18504</v>
      </c>
      <c r="K2286" s="1" t="s">
        <v>20962</v>
      </c>
      <c r="L2286" s="1" t="s">
        <v>8973</v>
      </c>
      <c r="M2286" s="1">
        <f>2729+303+321+3165+351+201+3528+392+100+2243+249+457</f>
        <v>14039</v>
      </c>
      <c r="N2286" s="1" t="s">
        <v>8953</v>
      </c>
      <c r="O2286" s="1" t="s">
        <v>8954</v>
      </c>
      <c r="P2286" s="1" t="e">
        <v>#N/A</v>
      </c>
      <c r="Q2286" s="1" t="e">
        <v>#N/A</v>
      </c>
      <c r="R2286" s="1">
        <f t="shared" si="662"/>
        <v>10</v>
      </c>
      <c r="S2286" s="1" t="str">
        <f t="shared" si="663"/>
        <v>&gt;7</v>
      </c>
      <c r="T2286" s="1" t="s">
        <v>19841</v>
      </c>
      <c r="U2286" s="1" t="s">
        <v>17</v>
      </c>
      <c r="V2286" s="1" t="s">
        <v>126</v>
      </c>
      <c r="W2286" s="1"/>
    </row>
    <row r="2287" spans="1:23" x14ac:dyDescent="0.2">
      <c r="A2287" s="88" t="s">
        <v>17498</v>
      </c>
      <c r="B2287" s="1" t="e">
        <v>#N/A</v>
      </c>
      <c r="C2287" s="1" t="e">
        <v>#N/A</v>
      </c>
      <c r="D2287" s="1" t="s">
        <v>6087</v>
      </c>
      <c r="E2287" s="1" t="s">
        <v>6088</v>
      </c>
      <c r="F2287" s="1" t="s">
        <v>9852</v>
      </c>
      <c r="G2287" s="1" t="s">
        <v>9060</v>
      </c>
      <c r="H2287" t="s">
        <v>8959</v>
      </c>
      <c r="I2287" s="1" t="s">
        <v>9100</v>
      </c>
      <c r="J2287" s="1" t="s">
        <v>8949</v>
      </c>
      <c r="K2287" s="1" t="s">
        <v>18497</v>
      </c>
      <c r="L2287" s="1" t="s">
        <v>8987</v>
      </c>
      <c r="M2287" s="1">
        <v>138</v>
      </c>
      <c r="N2287" s="1" t="s">
        <v>9059</v>
      </c>
      <c r="O2287" s="1" t="s">
        <v>8954</v>
      </c>
      <c r="P2287" s="1" t="e">
        <v>#N/A</v>
      </c>
      <c r="Q2287" s="1" t="e">
        <v>#N/A</v>
      </c>
      <c r="R2287" s="1">
        <f t="shared" si="662"/>
        <v>7</v>
      </c>
      <c r="S2287" s="1" t="str">
        <f t="shared" si="663"/>
        <v>4-7</v>
      </c>
      <c r="T2287" s="1" t="s">
        <v>19842</v>
      </c>
      <c r="U2287" s="1" t="s">
        <v>17</v>
      </c>
      <c r="V2287" s="1" t="s">
        <v>97</v>
      </c>
      <c r="W2287" s="1"/>
    </row>
    <row r="2288" spans="1:23" x14ac:dyDescent="0.2">
      <c r="A2288" s="88" t="s">
        <v>17499</v>
      </c>
      <c r="B2288" s="1" t="e">
        <v>#N/A</v>
      </c>
      <c r="C2288" s="1" t="e">
        <v>#N/A</v>
      </c>
      <c r="D2288" s="1" t="s">
        <v>6089</v>
      </c>
      <c r="E2288" s="1" t="s">
        <v>6090</v>
      </c>
      <c r="F2288" s="1" t="s">
        <v>9310</v>
      </c>
      <c r="G2288" s="1" t="s">
        <v>8957</v>
      </c>
      <c r="H2288" t="s">
        <v>8959</v>
      </c>
      <c r="I2288" s="1" t="s">
        <v>20714</v>
      </c>
      <c r="J2288" s="1" t="s">
        <v>20725</v>
      </c>
      <c r="K2288" s="1" t="s">
        <v>18497</v>
      </c>
      <c r="L2288" s="1" t="s">
        <v>8951</v>
      </c>
      <c r="M2288" s="1">
        <v>1384200</v>
      </c>
      <c r="N2288" s="1" t="s">
        <v>8953</v>
      </c>
      <c r="O2288" s="1" t="s">
        <v>8954</v>
      </c>
      <c r="P2288" s="1" t="e">
        <v>#N/A</v>
      </c>
      <c r="Q2288" s="1" t="e">
        <v>#N/A</v>
      </c>
      <c r="R2288" s="1">
        <f t="shared" si="662"/>
        <v>14</v>
      </c>
      <c r="S2288" s="1" t="str">
        <f t="shared" si="663"/>
        <v>&gt;7</v>
      </c>
      <c r="T2288" s="1" t="s">
        <v>19843</v>
      </c>
      <c r="U2288" s="1" t="s">
        <v>17</v>
      </c>
      <c r="V2288" s="1" t="s">
        <v>686</v>
      </c>
      <c r="W2288" s="1"/>
    </row>
    <row r="2289" spans="1:23" x14ac:dyDescent="0.2">
      <c r="A2289" s="89" t="s">
        <v>6091</v>
      </c>
      <c r="B2289" s="1" t="e">
        <v>#N/A</v>
      </c>
      <c r="C2289" s="1" t="e">
        <v>#N/A</v>
      </c>
      <c r="D2289" s="5" t="s">
        <v>6092</v>
      </c>
      <c r="E2289" s="1" t="s">
        <v>6093</v>
      </c>
      <c r="F2289" s="1" t="e">
        <v>#N/A</v>
      </c>
      <c r="G2289" s="1" t="e">
        <v>#N/A</v>
      </c>
      <c r="H2289" t="e">
        <v>#N/A</v>
      </c>
      <c r="I2289" s="1" t="e">
        <v>#N/A</v>
      </c>
      <c r="J2289" s="1" t="e">
        <v>#N/A</v>
      </c>
      <c r="K2289" s="1" t="e">
        <v>#N/A</v>
      </c>
      <c r="L2289" s="1" t="e">
        <v>#N/A</v>
      </c>
      <c r="M2289" s="1" t="e">
        <v>#N/A</v>
      </c>
      <c r="N2289" s="1" t="e">
        <v>#N/A</v>
      </c>
      <c r="O2289" s="1" t="e">
        <v>#N/A</v>
      </c>
      <c r="P2289" s="1" t="e">
        <v>#N/A</v>
      </c>
      <c r="Q2289" s="1" t="e">
        <v>#N/A</v>
      </c>
      <c r="R2289" s="1">
        <f t="shared" si="662"/>
        <v>7</v>
      </c>
      <c r="S2289" s="1" t="str">
        <f t="shared" si="663"/>
        <v>4-7</v>
      </c>
      <c r="T2289" s="1" t="s">
        <v>19844</v>
      </c>
      <c r="U2289" s="1" t="s">
        <v>252</v>
      </c>
      <c r="V2289" s="1" t="s">
        <v>6084</v>
      </c>
      <c r="W2289" s="1"/>
    </row>
    <row r="2290" spans="1:23" x14ac:dyDescent="0.2">
      <c r="A2290" s="88" t="s">
        <v>17500</v>
      </c>
      <c r="B2290" s="1" t="e">
        <v>#N/A</v>
      </c>
      <c r="C2290" s="1" t="s">
        <v>9778</v>
      </c>
      <c r="D2290" s="1" t="s">
        <v>6094</v>
      </c>
      <c r="E2290" s="1" t="s">
        <v>6095</v>
      </c>
      <c r="F2290" s="1" t="s">
        <v>9310</v>
      </c>
      <c r="G2290" s="1" t="s">
        <v>8957</v>
      </c>
      <c r="H2290" t="s">
        <v>8959</v>
      </c>
      <c r="I2290" s="1" t="s">
        <v>8948</v>
      </c>
      <c r="J2290" s="1" t="s">
        <v>8949</v>
      </c>
      <c r="K2290" s="1" t="s">
        <v>9781</v>
      </c>
      <c r="L2290" s="1" t="s">
        <v>9464</v>
      </c>
      <c r="M2290" s="1">
        <v>110</v>
      </c>
      <c r="N2290" s="1" t="s">
        <v>8953</v>
      </c>
      <c r="O2290" s="1" t="s">
        <v>8954</v>
      </c>
      <c r="P2290" s="1" t="s">
        <v>8955</v>
      </c>
      <c r="Q2290" s="1" t="s">
        <v>8956</v>
      </c>
      <c r="R2290" s="1" t="s">
        <v>8957</v>
      </c>
      <c r="S2290" s="1" t="s">
        <v>8958</v>
      </c>
      <c r="T2290" s="1" t="s">
        <v>6096</v>
      </c>
      <c r="U2290" s="1" t="s">
        <v>17</v>
      </c>
      <c r="V2290" s="1" t="s">
        <v>126</v>
      </c>
      <c r="W2290" s="1"/>
    </row>
    <row r="2291" spans="1:23" x14ac:dyDescent="0.2">
      <c r="A2291" s="88" t="s">
        <v>17501</v>
      </c>
      <c r="B2291" s="1" t="e">
        <v>#N/A</v>
      </c>
      <c r="C2291" s="1" t="s">
        <v>9015</v>
      </c>
      <c r="D2291" s="1" t="s">
        <v>6097</v>
      </c>
      <c r="E2291" s="1" t="s">
        <v>6098</v>
      </c>
      <c r="F2291" s="1" t="s">
        <v>9010</v>
      </c>
      <c r="G2291" s="1" t="s">
        <v>8957</v>
      </c>
      <c r="H2291" t="s">
        <v>9009</v>
      </c>
      <c r="I2291" s="1" t="s">
        <v>8948</v>
      </c>
      <c r="J2291" s="1" t="s">
        <v>8949</v>
      </c>
      <c r="K2291" s="1" t="s">
        <v>9018</v>
      </c>
      <c r="L2291" s="1" t="s">
        <v>8987</v>
      </c>
      <c r="M2291" s="1">
        <v>14400</v>
      </c>
      <c r="N2291" s="1" t="s">
        <v>8953</v>
      </c>
      <c r="O2291" s="1" t="s">
        <v>8954</v>
      </c>
      <c r="P2291" s="1" t="s">
        <v>8955</v>
      </c>
      <c r="Q2291" s="1" t="s">
        <v>8956</v>
      </c>
      <c r="R2291" s="1" t="s">
        <v>8957</v>
      </c>
      <c r="S2291" s="1" t="s">
        <v>8975</v>
      </c>
      <c r="T2291" s="1" t="s">
        <v>6099</v>
      </c>
      <c r="U2291" s="1" t="s">
        <v>7</v>
      </c>
      <c r="V2291" s="1" t="s">
        <v>87</v>
      </c>
      <c r="W2291" s="1"/>
    </row>
    <row r="2292" spans="1:23" x14ac:dyDescent="0.2">
      <c r="A2292" s="88" t="s">
        <v>17502</v>
      </c>
      <c r="B2292" s="1" t="e">
        <v>#N/A</v>
      </c>
      <c r="C2292" s="1" t="e">
        <v>#N/A</v>
      </c>
      <c r="D2292" s="1" t="s">
        <v>6100</v>
      </c>
      <c r="E2292" s="1" t="s">
        <v>6101</v>
      </c>
      <c r="F2292" s="1" t="s">
        <v>9333</v>
      </c>
      <c r="G2292" s="1" t="s">
        <v>8957</v>
      </c>
      <c r="H2292" t="s">
        <v>8959</v>
      </c>
      <c r="I2292" s="1" t="s">
        <v>8948</v>
      </c>
      <c r="J2292" s="1" t="s">
        <v>8949</v>
      </c>
      <c r="K2292" s="1" t="s">
        <v>20962</v>
      </c>
      <c r="L2292" s="1" t="s">
        <v>8973</v>
      </c>
      <c r="M2292" s="1">
        <v>18</v>
      </c>
      <c r="N2292" s="1" t="s">
        <v>9059</v>
      </c>
      <c r="O2292" s="1" t="s">
        <v>8989</v>
      </c>
      <c r="P2292" s="1" t="e">
        <v>#N/A</v>
      </c>
      <c r="Q2292" s="1" t="e">
        <v>#N/A</v>
      </c>
      <c r="R2292" s="1">
        <f t="shared" ref="R2292:R2303" si="664">1+LEN(T2292)-LEN(SUBSTITUTE(T2292,",",))</f>
        <v>3</v>
      </c>
      <c r="S2292" s="1" t="str">
        <f t="shared" ref="S2292:S2303" si="665">IF(R2292&gt;4,IF(R2292&lt;8,"4-7",IF(R2292&gt;7,"&gt;7")),"&lt;4")</f>
        <v>&lt;4</v>
      </c>
      <c r="T2292" s="1" t="s">
        <v>19845</v>
      </c>
      <c r="U2292" s="1" t="s">
        <v>7</v>
      </c>
      <c r="V2292" s="1" t="s">
        <v>378</v>
      </c>
      <c r="W2292" s="1"/>
    </row>
    <row r="2293" spans="1:23" x14ac:dyDescent="0.2">
      <c r="A2293" s="88" t="s">
        <v>17503</v>
      </c>
      <c r="B2293" s="1" t="e">
        <v>#N/A</v>
      </c>
      <c r="C2293" s="1" t="e">
        <v>#N/A</v>
      </c>
      <c r="D2293" s="1" t="s">
        <v>6102</v>
      </c>
      <c r="E2293" s="1" t="s">
        <v>6103</v>
      </c>
      <c r="F2293" s="1" t="s">
        <v>9333</v>
      </c>
      <c r="G2293" s="1" t="s">
        <v>8957</v>
      </c>
      <c r="H2293" t="s">
        <v>8959</v>
      </c>
      <c r="I2293" s="1" t="s">
        <v>8948</v>
      </c>
      <c r="J2293" s="1" t="s">
        <v>8949</v>
      </c>
      <c r="K2293" s="1" t="s">
        <v>10492</v>
      </c>
      <c r="L2293" s="1" t="s">
        <v>8973</v>
      </c>
      <c r="M2293" s="1">
        <v>18</v>
      </c>
      <c r="N2293" s="1" t="s">
        <v>9059</v>
      </c>
      <c r="O2293" s="1" t="s">
        <v>8989</v>
      </c>
      <c r="P2293" s="1" t="e">
        <v>#N/A</v>
      </c>
      <c r="Q2293" s="1" t="e">
        <v>#N/A</v>
      </c>
      <c r="R2293" s="1">
        <f t="shared" si="664"/>
        <v>3</v>
      </c>
      <c r="S2293" s="1" t="str">
        <f t="shared" si="665"/>
        <v>&lt;4</v>
      </c>
      <c r="T2293" s="1" t="s">
        <v>19846</v>
      </c>
      <c r="U2293" s="1" t="s">
        <v>17</v>
      </c>
      <c r="V2293" s="1" t="s">
        <v>392</v>
      </c>
      <c r="W2293" s="1"/>
    </row>
    <row r="2294" spans="1:23" x14ac:dyDescent="0.2">
      <c r="A2294" s="88" t="s">
        <v>17504</v>
      </c>
      <c r="B2294" s="1" t="e">
        <v>#N/A</v>
      </c>
      <c r="C2294" s="1" t="e">
        <v>#N/A</v>
      </c>
      <c r="D2294" s="1" t="s">
        <v>6104</v>
      </c>
      <c r="E2294" s="1" t="s">
        <v>6105</v>
      </c>
      <c r="F2294" s="1" t="s">
        <v>9852</v>
      </c>
      <c r="G2294" s="1" t="s">
        <v>8959</v>
      </c>
      <c r="H2294" t="s">
        <v>8959</v>
      </c>
      <c r="I2294" s="1" t="s">
        <v>9173</v>
      </c>
      <c r="J2294" s="1" t="s">
        <v>9174</v>
      </c>
      <c r="K2294" s="1" t="s">
        <v>21340</v>
      </c>
      <c r="L2294" s="1" t="s">
        <v>20966</v>
      </c>
      <c r="M2294" s="1">
        <v>2000</v>
      </c>
      <c r="N2294" s="1" t="s">
        <v>8953</v>
      </c>
      <c r="O2294" s="1" t="s">
        <v>8954</v>
      </c>
      <c r="P2294" s="1" t="e">
        <v>#N/A</v>
      </c>
      <c r="Q2294" s="1" t="e">
        <v>#N/A</v>
      </c>
      <c r="R2294" s="1">
        <f t="shared" si="664"/>
        <v>3</v>
      </c>
      <c r="S2294" s="1" t="str">
        <f t="shared" si="665"/>
        <v>&lt;4</v>
      </c>
      <c r="T2294" s="1" t="s">
        <v>19847</v>
      </c>
      <c r="U2294" s="1" t="s">
        <v>17</v>
      </c>
      <c r="V2294" s="1" t="s">
        <v>46</v>
      </c>
      <c r="W2294" s="1"/>
    </row>
    <row r="2295" spans="1:23" x14ac:dyDescent="0.2">
      <c r="A2295" s="89" t="s">
        <v>6106</v>
      </c>
      <c r="B2295" s="1" t="e">
        <v>#N/A</v>
      </c>
      <c r="C2295" s="1" t="e">
        <v>#N/A</v>
      </c>
      <c r="D2295" s="1" t="s">
        <v>6107</v>
      </c>
      <c r="E2295" s="1" t="s">
        <v>6108</v>
      </c>
      <c r="F2295" s="1" t="e">
        <v>#N/A</v>
      </c>
      <c r="G2295" s="1" t="e">
        <v>#N/A</v>
      </c>
      <c r="H2295" t="e">
        <v>#N/A</v>
      </c>
      <c r="I2295" s="1" t="e">
        <v>#N/A</v>
      </c>
      <c r="J2295" s="1" t="e">
        <v>#N/A</v>
      </c>
      <c r="K2295" s="1" t="e">
        <v>#N/A</v>
      </c>
      <c r="L2295" s="1" t="e">
        <v>#N/A</v>
      </c>
      <c r="M2295" s="1" t="e">
        <v>#N/A</v>
      </c>
      <c r="N2295" s="1" t="e">
        <v>#N/A</v>
      </c>
      <c r="O2295" s="1" t="e">
        <v>#N/A</v>
      </c>
      <c r="P2295" s="1" t="e">
        <v>#N/A</v>
      </c>
      <c r="Q2295" s="1" t="e">
        <v>#N/A</v>
      </c>
      <c r="R2295" s="1">
        <f t="shared" si="664"/>
        <v>2</v>
      </c>
      <c r="S2295" s="1" t="str">
        <f t="shared" si="665"/>
        <v>&lt;4</v>
      </c>
      <c r="T2295" s="1" t="s">
        <v>19848</v>
      </c>
      <c r="U2295" s="1" t="s">
        <v>7</v>
      </c>
      <c r="V2295" s="1" t="s">
        <v>6109</v>
      </c>
      <c r="W2295" s="1"/>
    </row>
    <row r="2296" spans="1:23" x14ac:dyDescent="0.2">
      <c r="A2296" s="89" t="s">
        <v>6110</v>
      </c>
      <c r="B2296" s="1" t="e">
        <v>#N/A</v>
      </c>
      <c r="C2296" s="1" t="e">
        <v>#N/A</v>
      </c>
      <c r="D2296" s="1" t="s">
        <v>6111</v>
      </c>
      <c r="E2296" s="1" t="s">
        <v>6112</v>
      </c>
      <c r="F2296" s="1" t="e">
        <v>#N/A</v>
      </c>
      <c r="G2296" s="1" t="e">
        <v>#N/A</v>
      </c>
      <c r="H2296" t="e">
        <v>#N/A</v>
      </c>
      <c r="I2296" s="1" t="e">
        <v>#N/A</v>
      </c>
      <c r="J2296" s="1" t="e">
        <v>#N/A</v>
      </c>
      <c r="K2296" s="1" t="e">
        <v>#N/A</v>
      </c>
      <c r="L2296" s="1" t="e">
        <v>#N/A</v>
      </c>
      <c r="M2296" s="1" t="e">
        <v>#N/A</v>
      </c>
      <c r="N2296" s="1" t="e">
        <v>#N/A</v>
      </c>
      <c r="O2296" s="1" t="e">
        <v>#N/A</v>
      </c>
      <c r="P2296" s="1" t="e">
        <v>#N/A</v>
      </c>
      <c r="Q2296" s="1" t="e">
        <v>#N/A</v>
      </c>
      <c r="R2296" s="1">
        <f t="shared" si="664"/>
        <v>3</v>
      </c>
      <c r="S2296" s="1" t="str">
        <f t="shared" si="665"/>
        <v>&lt;4</v>
      </c>
      <c r="T2296" s="1" t="s">
        <v>19849</v>
      </c>
      <c r="U2296" s="1" t="s">
        <v>17</v>
      </c>
      <c r="V2296" s="1" t="s">
        <v>6113</v>
      </c>
      <c r="W2296" s="1"/>
    </row>
    <row r="2297" spans="1:23" x14ac:dyDescent="0.2">
      <c r="A2297" s="89">
        <v>1</v>
      </c>
      <c r="B2297" t="e">
        <v>#N/A</v>
      </c>
      <c r="C2297" t="e">
        <v>#N/A</v>
      </c>
      <c r="D2297" s="1" t="s">
        <v>6114</v>
      </c>
      <c r="E2297" s="1" t="s">
        <v>6115</v>
      </c>
      <c r="F2297" s="1" t="e">
        <v>#N/A</v>
      </c>
      <c r="G2297" s="1" t="e">
        <v>#N/A</v>
      </c>
      <c r="H2297" t="e">
        <v>#N/A</v>
      </c>
      <c r="I2297" s="1" t="e">
        <v>#N/A</v>
      </c>
      <c r="J2297" s="1" t="e">
        <v>#N/A</v>
      </c>
      <c r="K2297" s="1" t="e">
        <v>#N/A</v>
      </c>
      <c r="L2297" s="1" t="e">
        <v>#N/A</v>
      </c>
      <c r="M2297" s="1" t="e">
        <v>#N/A</v>
      </c>
      <c r="N2297" s="1" t="e">
        <v>#N/A</v>
      </c>
      <c r="O2297" s="1" t="e">
        <v>#N/A</v>
      </c>
      <c r="P2297" s="1" t="e">
        <v>#N/A</v>
      </c>
      <c r="Q2297" s="1" t="e">
        <v>#N/A</v>
      </c>
      <c r="R2297" s="1">
        <f t="shared" si="664"/>
        <v>10</v>
      </c>
      <c r="S2297" s="1" t="str">
        <f t="shared" si="665"/>
        <v>&gt;7</v>
      </c>
      <c r="T2297" s="1" t="s">
        <v>19850</v>
      </c>
      <c r="U2297" s="1" t="s">
        <v>7</v>
      </c>
      <c r="V2297" s="1"/>
      <c r="W2297" s="1"/>
    </row>
    <row r="2298" spans="1:23" x14ac:dyDescent="0.2">
      <c r="A2298" s="88" t="s">
        <v>17505</v>
      </c>
      <c r="B2298" s="1" t="e">
        <v>#N/A</v>
      </c>
      <c r="C2298" s="1" t="e">
        <v>#N/A</v>
      </c>
      <c r="D2298" s="1" t="s">
        <v>6116</v>
      </c>
      <c r="E2298" s="1" t="s">
        <v>6117</v>
      </c>
      <c r="F2298" s="1" t="s">
        <v>10032</v>
      </c>
      <c r="G2298" s="1" t="s">
        <v>8957</v>
      </c>
      <c r="H2298" t="s">
        <v>8959</v>
      </c>
      <c r="I2298" s="1" t="s">
        <v>8984</v>
      </c>
      <c r="J2298" s="1" t="s">
        <v>9131</v>
      </c>
      <c r="K2298" s="1" t="s">
        <v>10525</v>
      </c>
      <c r="L2298" s="1" t="s">
        <v>8987</v>
      </c>
      <c r="M2298" s="1">
        <v>66788</v>
      </c>
      <c r="N2298" s="1" t="s">
        <v>8953</v>
      </c>
      <c r="O2298" s="1" t="s">
        <v>8989</v>
      </c>
      <c r="P2298" s="1" t="e">
        <v>#N/A</v>
      </c>
      <c r="Q2298" s="1" t="e">
        <v>#N/A</v>
      </c>
      <c r="R2298" s="1">
        <f t="shared" si="664"/>
        <v>7</v>
      </c>
      <c r="S2298" s="1" t="str">
        <f t="shared" si="665"/>
        <v>4-7</v>
      </c>
      <c r="T2298" s="1" t="s">
        <v>19851</v>
      </c>
      <c r="U2298" s="1" t="s">
        <v>17</v>
      </c>
      <c r="V2298" s="1" t="s">
        <v>24</v>
      </c>
      <c r="W2298" s="1"/>
    </row>
    <row r="2299" spans="1:23" x14ac:dyDescent="0.2">
      <c r="A2299" s="88" t="s">
        <v>17506</v>
      </c>
      <c r="B2299" s="1" t="e">
        <v>#N/A</v>
      </c>
      <c r="C2299" s="1" t="e">
        <v>#N/A</v>
      </c>
      <c r="D2299" s="1" t="s">
        <v>6118</v>
      </c>
      <c r="E2299" s="1" t="s">
        <v>6119</v>
      </c>
      <c r="F2299" s="1" t="s">
        <v>9815</v>
      </c>
      <c r="G2299" s="1" t="s">
        <v>8957</v>
      </c>
      <c r="H2299" t="s">
        <v>8959</v>
      </c>
      <c r="I2299" s="1" t="s">
        <v>9252</v>
      </c>
      <c r="J2299" s="1" t="s">
        <v>8949</v>
      </c>
      <c r="K2299" s="1" t="s">
        <v>20962</v>
      </c>
      <c r="L2299" s="1" t="s">
        <v>9076</v>
      </c>
      <c r="M2299" s="1">
        <v>76328</v>
      </c>
      <c r="N2299" s="1" t="s">
        <v>8953</v>
      </c>
      <c r="O2299" s="1" t="s">
        <v>8989</v>
      </c>
      <c r="P2299" s="1" t="e">
        <v>#N/A</v>
      </c>
      <c r="Q2299" s="1" t="e">
        <v>#N/A</v>
      </c>
      <c r="R2299" s="1">
        <f t="shared" si="664"/>
        <v>2</v>
      </c>
      <c r="S2299" s="1" t="str">
        <f t="shared" si="665"/>
        <v>&lt;4</v>
      </c>
      <c r="T2299" s="1" t="s">
        <v>19852</v>
      </c>
      <c r="U2299" s="1" t="s">
        <v>7</v>
      </c>
      <c r="V2299" s="1" t="s">
        <v>93</v>
      </c>
      <c r="W2299" s="1"/>
    </row>
    <row r="2300" spans="1:23" x14ac:dyDescent="0.2">
      <c r="A2300" s="88" t="s">
        <v>17507</v>
      </c>
      <c r="B2300" s="1" t="e">
        <v>#N/A</v>
      </c>
      <c r="C2300" s="1" t="e">
        <v>#N/A</v>
      </c>
      <c r="D2300" s="1" t="s">
        <v>6120</v>
      </c>
      <c r="E2300" s="1" t="s">
        <v>6121</v>
      </c>
      <c r="F2300" s="1" t="s">
        <v>20967</v>
      </c>
      <c r="G2300" s="1" t="s">
        <v>8959</v>
      </c>
      <c r="H2300" t="s">
        <v>8959</v>
      </c>
      <c r="I2300" s="1" t="s">
        <v>9075</v>
      </c>
      <c r="J2300" s="1" t="s">
        <v>8959</v>
      </c>
      <c r="K2300" s="1" t="s">
        <v>21255</v>
      </c>
      <c r="L2300" s="1" t="s">
        <v>8951</v>
      </c>
      <c r="M2300" s="1">
        <v>114793</v>
      </c>
      <c r="N2300" s="1" t="s">
        <v>8953</v>
      </c>
      <c r="O2300" s="1" t="s">
        <v>8989</v>
      </c>
      <c r="P2300" s="1" t="e">
        <v>#N/A</v>
      </c>
      <c r="Q2300" s="1" t="e">
        <v>#N/A</v>
      </c>
      <c r="R2300" s="1">
        <f t="shared" si="664"/>
        <v>4</v>
      </c>
      <c r="S2300" s="1" t="str">
        <f t="shared" si="665"/>
        <v>&lt;4</v>
      </c>
      <c r="T2300" s="1" t="s">
        <v>19853</v>
      </c>
      <c r="U2300" s="1" t="s">
        <v>17</v>
      </c>
      <c r="V2300" s="1" t="s">
        <v>1598</v>
      </c>
      <c r="W2300" s="1"/>
    </row>
    <row r="2301" spans="1:23" x14ac:dyDescent="0.2">
      <c r="A2301" s="88" t="s">
        <v>17508</v>
      </c>
      <c r="B2301" s="1" t="e">
        <v>#N/A</v>
      </c>
      <c r="C2301" s="1" t="e">
        <v>#N/A</v>
      </c>
      <c r="D2301" s="1" t="s">
        <v>6122</v>
      </c>
      <c r="E2301" s="1" t="s">
        <v>6123</v>
      </c>
      <c r="F2301" s="1" t="s">
        <v>9317</v>
      </c>
      <c r="G2301" s="1" t="s">
        <v>8957</v>
      </c>
      <c r="H2301" t="s">
        <v>8959</v>
      </c>
      <c r="I2301" s="1" t="s">
        <v>8984</v>
      </c>
      <c r="J2301" s="1" t="s">
        <v>9101</v>
      </c>
      <c r="K2301" s="1" t="s">
        <v>21213</v>
      </c>
      <c r="L2301" s="1" t="s">
        <v>8987</v>
      </c>
      <c r="M2301" s="1">
        <v>70</v>
      </c>
      <c r="N2301" s="1" t="s">
        <v>9059</v>
      </c>
      <c r="O2301" s="1" t="s">
        <v>8954</v>
      </c>
      <c r="P2301" s="1" t="e">
        <v>#N/A</v>
      </c>
      <c r="Q2301" s="1" t="e">
        <v>#N/A</v>
      </c>
      <c r="R2301" s="1">
        <f t="shared" si="664"/>
        <v>6</v>
      </c>
      <c r="S2301" s="1" t="str">
        <f t="shared" si="665"/>
        <v>4-7</v>
      </c>
      <c r="T2301" s="1" t="s">
        <v>19854</v>
      </c>
      <c r="U2301" s="1" t="s">
        <v>7</v>
      </c>
      <c r="V2301" s="1" t="s">
        <v>493</v>
      </c>
      <c r="W2301" s="1"/>
    </row>
    <row r="2302" spans="1:23" x14ac:dyDescent="0.2">
      <c r="A2302" s="88" t="s">
        <v>17509</v>
      </c>
      <c r="B2302" s="1" t="e">
        <v>#N/A</v>
      </c>
      <c r="C2302" s="1" t="e">
        <v>#N/A</v>
      </c>
      <c r="D2302" s="1" t="s">
        <v>6124</v>
      </c>
      <c r="E2302" s="1" t="s">
        <v>6125</v>
      </c>
      <c r="F2302" s="1" t="s">
        <v>18502</v>
      </c>
      <c r="G2302" s="1" t="s">
        <v>8957</v>
      </c>
      <c r="H2302" t="s">
        <v>9061</v>
      </c>
      <c r="I2302" s="1" t="s">
        <v>9100</v>
      </c>
      <c r="J2302" s="1" t="s">
        <v>8949</v>
      </c>
      <c r="K2302" s="1" t="s">
        <v>10492</v>
      </c>
      <c r="L2302" s="1" t="s">
        <v>9133</v>
      </c>
      <c r="M2302" s="1">
        <f>86+92</f>
        <v>178</v>
      </c>
      <c r="N2302" s="1" t="s">
        <v>9059</v>
      </c>
      <c r="O2302" s="1" t="s">
        <v>8989</v>
      </c>
      <c r="P2302" s="1" t="e">
        <v>#N/A</v>
      </c>
      <c r="Q2302" s="1" t="e">
        <v>#N/A</v>
      </c>
      <c r="R2302" s="1">
        <f t="shared" si="664"/>
        <v>13</v>
      </c>
      <c r="S2302" s="1" t="str">
        <f t="shared" si="665"/>
        <v>&gt;7</v>
      </c>
      <c r="T2302" s="1" t="s">
        <v>19855</v>
      </c>
      <c r="U2302" s="1" t="s">
        <v>7</v>
      </c>
      <c r="V2302" s="1" t="s">
        <v>180</v>
      </c>
      <c r="W2302" s="1"/>
    </row>
    <row r="2303" spans="1:23" x14ac:dyDescent="0.2">
      <c r="A2303" s="88" t="s">
        <v>17510</v>
      </c>
      <c r="B2303" s="1" t="e">
        <v>#N/A</v>
      </c>
      <c r="C2303" s="1" t="e">
        <v>#N/A</v>
      </c>
      <c r="D2303" s="1" t="s">
        <v>6126</v>
      </c>
      <c r="E2303" s="1" t="s">
        <v>6127</v>
      </c>
      <c r="F2303" s="1" t="s">
        <v>9317</v>
      </c>
      <c r="G2303" s="1" t="s">
        <v>8957</v>
      </c>
      <c r="H2303" t="s">
        <v>8959</v>
      </c>
      <c r="I2303" s="1" t="s">
        <v>9154</v>
      </c>
      <c r="J2303" s="1" t="s">
        <v>8949</v>
      </c>
      <c r="K2303" s="1" t="s">
        <v>21449</v>
      </c>
      <c r="L2303" s="1" t="s">
        <v>20968</v>
      </c>
      <c r="M2303" s="1">
        <v>10</v>
      </c>
      <c r="N2303" s="1" t="s">
        <v>9059</v>
      </c>
      <c r="O2303" s="1" t="s">
        <v>8989</v>
      </c>
      <c r="P2303" s="1" t="e">
        <v>#N/A</v>
      </c>
      <c r="Q2303" s="1" t="e">
        <v>#N/A</v>
      </c>
      <c r="R2303" s="1">
        <f t="shared" si="664"/>
        <v>7</v>
      </c>
      <c r="S2303" s="1" t="str">
        <f t="shared" si="665"/>
        <v>4-7</v>
      </c>
      <c r="T2303" s="1" t="s">
        <v>19856</v>
      </c>
      <c r="U2303" s="1" t="s">
        <v>7</v>
      </c>
      <c r="V2303" s="1" t="s">
        <v>6128</v>
      </c>
      <c r="W2303" s="1"/>
    </row>
    <row r="2304" spans="1:23" x14ac:dyDescent="0.2">
      <c r="A2304" s="88" t="s">
        <v>17511</v>
      </c>
      <c r="B2304" s="1" t="e">
        <v>#N/A</v>
      </c>
      <c r="C2304" s="1" t="s">
        <v>15153</v>
      </c>
      <c r="D2304" s="1" t="s">
        <v>6129</v>
      </c>
      <c r="E2304" s="1" t="s">
        <v>6130</v>
      </c>
      <c r="F2304" s="1" t="s">
        <v>10873</v>
      </c>
      <c r="G2304" s="1" t="s">
        <v>8957</v>
      </c>
      <c r="H2304" t="s">
        <v>9061</v>
      </c>
      <c r="I2304" s="1" t="s">
        <v>9173</v>
      </c>
      <c r="J2304" s="1" t="s">
        <v>9174</v>
      </c>
      <c r="K2304" s="1" t="s">
        <v>9051</v>
      </c>
      <c r="L2304" s="1" t="s">
        <v>9464</v>
      </c>
      <c r="M2304" s="1">
        <v>143</v>
      </c>
      <c r="N2304" s="1" t="s">
        <v>9059</v>
      </c>
      <c r="O2304" s="1" t="s">
        <v>8989</v>
      </c>
      <c r="P2304" s="1" t="s">
        <v>8955</v>
      </c>
      <c r="Q2304" s="1" t="s">
        <v>8956</v>
      </c>
      <c r="R2304" s="1" t="s">
        <v>8957</v>
      </c>
      <c r="S2304" s="1" t="s">
        <v>8958</v>
      </c>
      <c r="T2304" s="1" t="s">
        <v>6131</v>
      </c>
      <c r="U2304" s="1" t="s">
        <v>17</v>
      </c>
      <c r="V2304" s="1" t="s">
        <v>126</v>
      </c>
      <c r="W2304" s="1"/>
    </row>
    <row r="2305" spans="1:23" x14ac:dyDescent="0.2">
      <c r="A2305" s="88" t="s">
        <v>17512</v>
      </c>
      <c r="B2305" s="1" t="e">
        <v>#N/A</v>
      </c>
      <c r="C2305" s="1" t="s">
        <v>12589</v>
      </c>
      <c r="D2305" s="1" t="s">
        <v>6132</v>
      </c>
      <c r="E2305" s="1" t="s">
        <v>6133</v>
      </c>
      <c r="F2305" s="1" t="s">
        <v>10873</v>
      </c>
      <c r="G2305" s="1" t="s">
        <v>8957</v>
      </c>
      <c r="H2305" t="s">
        <v>9183</v>
      </c>
      <c r="I2305" s="1" t="s">
        <v>9605</v>
      </c>
      <c r="J2305" s="1" t="s">
        <v>9101</v>
      </c>
      <c r="K2305" s="1" t="s">
        <v>9316</v>
      </c>
      <c r="L2305" s="1" t="s">
        <v>9076</v>
      </c>
      <c r="M2305" s="1">
        <v>8806</v>
      </c>
      <c r="N2305" s="1" t="s">
        <v>8953</v>
      </c>
      <c r="O2305" s="1" t="s">
        <v>8989</v>
      </c>
      <c r="P2305" s="1" t="s">
        <v>8955</v>
      </c>
      <c r="Q2305" s="1" t="s">
        <v>8956</v>
      </c>
      <c r="R2305" s="1" t="s">
        <v>8957</v>
      </c>
      <c r="S2305" s="1" t="s">
        <v>8958</v>
      </c>
      <c r="T2305" s="1" t="s">
        <v>6134</v>
      </c>
      <c r="U2305" s="1" t="s">
        <v>11</v>
      </c>
      <c r="V2305" s="1" t="s">
        <v>64</v>
      </c>
      <c r="W2305" s="1"/>
    </row>
    <row r="2306" spans="1:23" x14ac:dyDescent="0.2">
      <c r="A2306" s="89" t="s">
        <v>6135</v>
      </c>
      <c r="B2306" s="1" t="e">
        <v>#N/A</v>
      </c>
      <c r="C2306" s="1" t="e">
        <v>#N/A</v>
      </c>
      <c r="D2306" s="1" t="s">
        <v>6136</v>
      </c>
      <c r="E2306" s="1" t="s">
        <v>6137</v>
      </c>
      <c r="F2306" s="1" t="e">
        <v>#N/A</v>
      </c>
      <c r="G2306" s="1" t="e">
        <v>#N/A</v>
      </c>
      <c r="H2306" t="e">
        <v>#N/A</v>
      </c>
      <c r="I2306" s="1" t="e">
        <v>#N/A</v>
      </c>
      <c r="J2306" s="1" t="e">
        <v>#N/A</v>
      </c>
      <c r="K2306" s="1" t="e">
        <v>#N/A</v>
      </c>
      <c r="L2306" s="1" t="e">
        <v>#N/A</v>
      </c>
      <c r="M2306" s="1" t="e">
        <v>#N/A</v>
      </c>
      <c r="N2306" s="1" t="e">
        <v>#N/A</v>
      </c>
      <c r="O2306" s="1" t="e">
        <v>#N/A</v>
      </c>
      <c r="P2306" s="1" t="e">
        <v>#N/A</v>
      </c>
      <c r="Q2306" s="1" t="e">
        <v>#N/A</v>
      </c>
      <c r="R2306" s="1">
        <f t="shared" ref="R2306:R2307" si="666">1+LEN(T2306)-LEN(SUBSTITUTE(T2306,",",))</f>
        <v>7</v>
      </c>
      <c r="S2306" s="1" t="str">
        <f t="shared" ref="S2306:S2307" si="667">IF(R2306&gt;4,IF(R2306&lt;8,"4-7",IF(R2306&gt;7,"&gt;7")),"&lt;4")</f>
        <v>4-7</v>
      </c>
      <c r="T2306" s="1" t="s">
        <v>20674</v>
      </c>
      <c r="U2306" s="1" t="s">
        <v>4</v>
      </c>
      <c r="V2306" s="1" t="s">
        <v>27</v>
      </c>
      <c r="W2306" s="1"/>
    </row>
    <row r="2307" spans="1:23" x14ac:dyDescent="0.2">
      <c r="A2307" s="89" t="s">
        <v>17513</v>
      </c>
      <c r="B2307" s="1" t="e">
        <v>#N/A</v>
      </c>
      <c r="C2307" s="1" t="e">
        <v>#N/A</v>
      </c>
      <c r="D2307" s="1" t="s">
        <v>6138</v>
      </c>
      <c r="E2307" s="1" t="s">
        <v>6139</v>
      </c>
      <c r="F2307" s="1" t="e">
        <v>#N/A</v>
      </c>
      <c r="G2307" s="1" t="e">
        <v>#N/A</v>
      </c>
      <c r="H2307" t="e">
        <v>#N/A</v>
      </c>
      <c r="I2307" s="1" t="e">
        <v>#N/A</v>
      </c>
      <c r="J2307" s="1" t="e">
        <v>#N/A</v>
      </c>
      <c r="K2307" s="1" t="e">
        <v>#N/A</v>
      </c>
      <c r="L2307" s="1" t="s">
        <v>9076</v>
      </c>
      <c r="M2307" s="1" t="e">
        <v>#N/A</v>
      </c>
      <c r="N2307" s="1" t="e">
        <v>#N/A</v>
      </c>
      <c r="O2307" s="1" t="e">
        <v>#N/A</v>
      </c>
      <c r="P2307" s="1" t="e">
        <v>#N/A</v>
      </c>
      <c r="Q2307" s="1" t="e">
        <v>#N/A</v>
      </c>
      <c r="R2307" s="1">
        <f t="shared" si="666"/>
        <v>3</v>
      </c>
      <c r="S2307" s="1" t="str">
        <f t="shared" si="667"/>
        <v>&lt;4</v>
      </c>
      <c r="T2307" s="1" t="s">
        <v>19857</v>
      </c>
      <c r="U2307" s="1" t="s">
        <v>7</v>
      </c>
      <c r="V2307" s="1" t="s">
        <v>6140</v>
      </c>
      <c r="W2307" s="1"/>
    </row>
    <row r="2308" spans="1:23" ht="28.5" x14ac:dyDescent="0.2">
      <c r="A2308" s="88" t="s">
        <v>17514</v>
      </c>
      <c r="B2308" s="1" t="e">
        <v>#N/A</v>
      </c>
      <c r="C2308" s="1" t="s">
        <v>15224</v>
      </c>
      <c r="D2308" s="1" t="s">
        <v>6141</v>
      </c>
      <c r="E2308" s="1" t="s">
        <v>6142</v>
      </c>
      <c r="F2308" s="1" t="s">
        <v>10873</v>
      </c>
      <c r="G2308" s="1" t="s">
        <v>8957</v>
      </c>
      <c r="H2308" t="s">
        <v>9183</v>
      </c>
      <c r="I2308" s="1" t="s">
        <v>15227</v>
      </c>
      <c r="J2308" s="1" t="s">
        <v>9269</v>
      </c>
      <c r="K2308" s="83" t="s">
        <v>15216</v>
      </c>
      <c r="L2308" s="1" t="s">
        <v>8973</v>
      </c>
      <c r="M2308" s="1">
        <v>165</v>
      </c>
      <c r="N2308" s="1" t="s">
        <v>9059</v>
      </c>
      <c r="O2308" s="1" t="s">
        <v>8954</v>
      </c>
      <c r="P2308" s="1" t="s">
        <v>9182</v>
      </c>
      <c r="Q2308" s="1" t="s">
        <v>8956</v>
      </c>
      <c r="R2308" s="1" t="s">
        <v>8957</v>
      </c>
      <c r="S2308" s="1" t="s">
        <v>8975</v>
      </c>
      <c r="T2308" s="1" t="s">
        <v>6143</v>
      </c>
      <c r="U2308" s="1" t="s">
        <v>17</v>
      </c>
      <c r="V2308" s="1" t="s">
        <v>126</v>
      </c>
      <c r="W2308" s="1"/>
    </row>
    <row r="2309" spans="1:23" x14ac:dyDescent="0.2">
      <c r="A2309" s="88" t="s">
        <v>17515</v>
      </c>
      <c r="B2309" s="1" t="e">
        <v>#N/A</v>
      </c>
      <c r="C2309" s="1" t="e">
        <v>#N/A</v>
      </c>
      <c r="D2309" s="1" t="s">
        <v>6144</v>
      </c>
      <c r="E2309" s="1" t="s">
        <v>6145</v>
      </c>
      <c r="F2309" s="1" t="s">
        <v>9176</v>
      </c>
      <c r="G2309" s="1" t="s">
        <v>8957</v>
      </c>
      <c r="H2309" t="s">
        <v>8959</v>
      </c>
      <c r="I2309" s="1" t="s">
        <v>9100</v>
      </c>
      <c r="J2309" s="1" t="s">
        <v>8949</v>
      </c>
      <c r="K2309" s="1" t="s">
        <v>20962</v>
      </c>
      <c r="L2309" s="1" t="s">
        <v>8973</v>
      </c>
      <c r="M2309" s="1">
        <v>395</v>
      </c>
      <c r="N2309" s="1" t="s">
        <v>9059</v>
      </c>
      <c r="O2309" s="1" t="s">
        <v>8954</v>
      </c>
      <c r="P2309" s="1" t="e">
        <v>#N/A</v>
      </c>
      <c r="Q2309" s="1" t="e">
        <v>#N/A</v>
      </c>
      <c r="R2309" s="1">
        <f t="shared" ref="R2309:R2310" si="668">1+LEN(T2309)-LEN(SUBSTITUTE(T2309,",",))</f>
        <v>3</v>
      </c>
      <c r="S2309" s="1" t="str">
        <f t="shared" ref="S2309:S2310" si="669">IF(R2309&gt;4,IF(R2309&lt;8,"4-7",IF(R2309&gt;7,"&gt;7")),"&lt;4")</f>
        <v>&lt;4</v>
      </c>
      <c r="T2309" s="1" t="s">
        <v>19858</v>
      </c>
      <c r="U2309" s="1" t="s">
        <v>17</v>
      </c>
      <c r="V2309" s="1" t="s">
        <v>27</v>
      </c>
      <c r="W2309" s="1"/>
    </row>
    <row r="2310" spans="1:23" x14ac:dyDescent="0.2">
      <c r="A2310" s="89" t="s">
        <v>17516</v>
      </c>
      <c r="B2310" s="1" t="e">
        <v>#N/A</v>
      </c>
      <c r="C2310" s="1" t="e">
        <v>#N/A</v>
      </c>
      <c r="D2310" s="1" t="s">
        <v>6146</v>
      </c>
      <c r="E2310" s="1" t="s">
        <v>6147</v>
      </c>
      <c r="F2310" s="1" t="e">
        <v>#N/A</v>
      </c>
      <c r="G2310" s="1" t="e">
        <v>#N/A</v>
      </c>
      <c r="H2310" t="e">
        <v>#N/A</v>
      </c>
      <c r="I2310" s="1" t="e">
        <v>#N/A</v>
      </c>
      <c r="J2310" s="1" t="e">
        <v>#N/A</v>
      </c>
      <c r="K2310" s="1" t="e">
        <v>#N/A</v>
      </c>
      <c r="L2310" s="1" t="e">
        <v>#N/A</v>
      </c>
      <c r="M2310" s="1" t="e">
        <v>#N/A</v>
      </c>
      <c r="N2310" s="1" t="e">
        <v>#N/A</v>
      </c>
      <c r="O2310" s="1" t="e">
        <v>#N/A</v>
      </c>
      <c r="P2310" s="1" t="e">
        <v>#N/A</v>
      </c>
      <c r="Q2310" s="1" t="e">
        <v>#N/A</v>
      </c>
      <c r="R2310" s="1">
        <f t="shared" si="668"/>
        <v>1</v>
      </c>
      <c r="S2310" s="1" t="str">
        <f t="shared" si="669"/>
        <v>&lt;4</v>
      </c>
      <c r="U2310" s="1" t="s">
        <v>17</v>
      </c>
      <c r="V2310" s="1" t="s">
        <v>2782</v>
      </c>
      <c r="W2310" s="1"/>
    </row>
    <row r="2311" spans="1:23" x14ac:dyDescent="0.2">
      <c r="A2311" s="88" t="s">
        <v>17517</v>
      </c>
      <c r="B2311" s="1" t="e">
        <v>#N/A</v>
      </c>
      <c r="C2311" s="1" t="s">
        <v>14787</v>
      </c>
      <c r="D2311" s="1" t="s">
        <v>6148</v>
      </c>
      <c r="E2311" s="1" t="s">
        <v>6149</v>
      </c>
      <c r="F2311" s="1" t="s">
        <v>9465</v>
      </c>
      <c r="G2311" s="1" t="s">
        <v>8957</v>
      </c>
      <c r="H2311" t="s">
        <v>9061</v>
      </c>
      <c r="I2311" s="1" t="s">
        <v>8948</v>
      </c>
      <c r="J2311" s="1" t="s">
        <v>8949</v>
      </c>
      <c r="K2311" s="1" t="s">
        <v>9036</v>
      </c>
      <c r="L2311" s="1" t="s">
        <v>8973</v>
      </c>
      <c r="M2311" s="1">
        <v>285</v>
      </c>
      <c r="N2311" s="1" t="s">
        <v>9059</v>
      </c>
      <c r="O2311" s="1" t="s">
        <v>8954</v>
      </c>
      <c r="P2311" s="1" t="s">
        <v>8955</v>
      </c>
      <c r="Q2311" s="1" t="s">
        <v>8956</v>
      </c>
      <c r="R2311" s="1" t="s">
        <v>8957</v>
      </c>
      <c r="S2311" s="1" t="s">
        <v>8958</v>
      </c>
      <c r="T2311" s="1" t="s">
        <v>6150</v>
      </c>
      <c r="U2311" s="1" t="s">
        <v>17</v>
      </c>
      <c r="V2311" s="1" t="s">
        <v>938</v>
      </c>
      <c r="W2311" s="1"/>
    </row>
    <row r="2312" spans="1:23" x14ac:dyDescent="0.2">
      <c r="A2312" s="88" t="s">
        <v>17518</v>
      </c>
      <c r="B2312" s="1" t="e">
        <v>#N/A</v>
      </c>
      <c r="C2312" s="1" t="s">
        <v>12360</v>
      </c>
      <c r="D2312" s="1" t="s">
        <v>6151</v>
      </c>
      <c r="E2312" s="1" t="s">
        <v>6152</v>
      </c>
      <c r="F2312" s="1" t="s">
        <v>12363</v>
      </c>
      <c r="G2312" s="1" t="s">
        <v>8959</v>
      </c>
      <c r="H2312" t="s">
        <v>9183</v>
      </c>
      <c r="I2312" s="1" t="s">
        <v>9075</v>
      </c>
      <c r="J2312" s="1" t="s">
        <v>8949</v>
      </c>
      <c r="K2312" s="1" t="s">
        <v>9036</v>
      </c>
      <c r="L2312" s="1" t="s">
        <v>9133</v>
      </c>
      <c r="M2312" s="1">
        <v>18</v>
      </c>
      <c r="N2312" s="1" t="s">
        <v>9059</v>
      </c>
      <c r="O2312" s="1" t="s">
        <v>8954</v>
      </c>
      <c r="P2312" s="1" t="s">
        <v>8955</v>
      </c>
      <c r="Q2312" s="1" t="s">
        <v>8956</v>
      </c>
      <c r="R2312" s="1" t="s">
        <v>8959</v>
      </c>
      <c r="S2312" s="1" t="s">
        <v>8975</v>
      </c>
      <c r="T2312" s="1" t="s">
        <v>6153</v>
      </c>
      <c r="U2312" s="1" t="s">
        <v>11</v>
      </c>
      <c r="V2312" s="1" t="s">
        <v>1322</v>
      </c>
      <c r="W2312" s="1"/>
    </row>
    <row r="2313" spans="1:23" x14ac:dyDescent="0.2">
      <c r="A2313" s="88" t="s">
        <v>17519</v>
      </c>
      <c r="B2313" s="1" t="e">
        <v>#N/A</v>
      </c>
      <c r="C2313" s="1" t="s">
        <v>14174</v>
      </c>
      <c r="D2313" s="1" t="s">
        <v>6154</v>
      </c>
      <c r="E2313" s="1" t="s">
        <v>6155</v>
      </c>
      <c r="F2313" s="1" t="s">
        <v>9010</v>
      </c>
      <c r="G2313" s="1" t="s">
        <v>8959</v>
      </c>
      <c r="H2313" t="s">
        <v>8959</v>
      </c>
      <c r="I2313" s="1" t="s">
        <v>9075</v>
      </c>
      <c r="J2313" s="1" t="s">
        <v>8949</v>
      </c>
      <c r="K2313" s="1" t="s">
        <v>21462</v>
      </c>
      <c r="L2313" s="1" t="s">
        <v>9133</v>
      </c>
      <c r="M2313" s="1">
        <v>53</v>
      </c>
      <c r="N2313" s="1" t="s">
        <v>9059</v>
      </c>
      <c r="O2313" s="1" t="s">
        <v>8989</v>
      </c>
      <c r="P2313" s="1" t="s">
        <v>8955</v>
      </c>
      <c r="Q2313" s="1" t="s">
        <v>8956</v>
      </c>
      <c r="R2313" s="1" t="s">
        <v>8959</v>
      </c>
      <c r="S2313" s="1" t="s">
        <v>8975</v>
      </c>
      <c r="T2313" s="1" t="s">
        <v>6156</v>
      </c>
      <c r="U2313" s="1" t="s">
        <v>4</v>
      </c>
      <c r="V2313" s="1" t="s">
        <v>74</v>
      </c>
      <c r="W2313" s="1"/>
    </row>
    <row r="2314" spans="1:23" x14ac:dyDescent="0.2">
      <c r="A2314" s="88" t="s">
        <v>17520</v>
      </c>
      <c r="B2314" s="1" t="e">
        <v>#N/A</v>
      </c>
      <c r="C2314" s="1" t="s">
        <v>11189</v>
      </c>
      <c r="D2314" s="1" t="s">
        <v>6157</v>
      </c>
      <c r="E2314" s="1" t="s">
        <v>6158</v>
      </c>
      <c r="F2314" s="1" t="s">
        <v>10166</v>
      </c>
      <c r="G2314" s="1" t="s">
        <v>8957</v>
      </c>
      <c r="H2314" t="s">
        <v>9009</v>
      </c>
      <c r="I2314" s="1" t="s">
        <v>9100</v>
      </c>
      <c r="J2314" s="1" t="s">
        <v>9308</v>
      </c>
      <c r="K2314" s="1" t="s">
        <v>9036</v>
      </c>
      <c r="L2314" s="1" t="s">
        <v>8987</v>
      </c>
      <c r="M2314" s="1">
        <v>342</v>
      </c>
      <c r="N2314" s="1" t="s">
        <v>8953</v>
      </c>
      <c r="O2314" s="1" t="s">
        <v>8989</v>
      </c>
      <c r="P2314" s="1" t="s">
        <v>8955</v>
      </c>
      <c r="Q2314" s="1" t="s">
        <v>8956</v>
      </c>
      <c r="R2314" s="1" t="s">
        <v>8957</v>
      </c>
      <c r="S2314" s="1" t="s">
        <v>8958</v>
      </c>
      <c r="T2314" s="1" t="s">
        <v>6159</v>
      </c>
      <c r="U2314" s="1" t="s">
        <v>11</v>
      </c>
      <c r="V2314" s="1" t="s">
        <v>3167</v>
      </c>
      <c r="W2314" s="1"/>
    </row>
    <row r="2315" spans="1:23" x14ac:dyDescent="0.2">
      <c r="A2315" s="89" t="s">
        <v>6160</v>
      </c>
      <c r="B2315" s="1" t="e">
        <v>#N/A</v>
      </c>
      <c r="C2315" s="1" t="e">
        <v>#N/A</v>
      </c>
      <c r="D2315" s="5" t="s">
        <v>6161</v>
      </c>
      <c r="E2315" s="1" t="s">
        <v>6162</v>
      </c>
      <c r="F2315" s="1" t="e">
        <v>#N/A</v>
      </c>
      <c r="G2315" s="1" t="e">
        <v>#N/A</v>
      </c>
      <c r="H2315" t="e">
        <v>#N/A</v>
      </c>
      <c r="I2315" s="1" t="e">
        <v>#N/A</v>
      </c>
      <c r="J2315" s="1" t="e">
        <v>#N/A</v>
      </c>
      <c r="K2315" s="1" t="e">
        <v>#N/A</v>
      </c>
      <c r="L2315" s="1" t="e">
        <v>#N/A</v>
      </c>
      <c r="M2315" s="1" t="e">
        <v>#N/A</v>
      </c>
      <c r="N2315" s="1" t="e">
        <v>#N/A</v>
      </c>
      <c r="O2315" s="1" t="e">
        <v>#N/A</v>
      </c>
      <c r="P2315" s="1" t="e">
        <v>#N/A</v>
      </c>
      <c r="Q2315" s="1" t="e">
        <v>#N/A</v>
      </c>
      <c r="R2315" s="1">
        <f>1+LEN(T2315)-LEN(SUBSTITUTE(T2315,",",))</f>
        <v>2</v>
      </c>
      <c r="S2315" s="1" t="str">
        <f>IF(R2315&gt;4,IF(R2315&lt;8,"4-7",IF(R2315&gt;7,"&gt;7")),"&lt;4")</f>
        <v>&lt;4</v>
      </c>
      <c r="T2315" s="1" t="s">
        <v>19859</v>
      </c>
      <c r="U2315" s="1" t="s">
        <v>7</v>
      </c>
      <c r="V2315" s="1" t="s">
        <v>6022</v>
      </c>
      <c r="W2315" s="1"/>
    </row>
    <row r="2316" spans="1:23" x14ac:dyDescent="0.2">
      <c r="A2316" s="88" t="s">
        <v>17521</v>
      </c>
      <c r="B2316" s="1" t="e">
        <v>#N/A</v>
      </c>
      <c r="C2316" s="1" t="s">
        <v>9896</v>
      </c>
      <c r="D2316" s="1" t="s">
        <v>6163</v>
      </c>
      <c r="E2316" s="1" t="s">
        <v>6164</v>
      </c>
      <c r="F2316" s="1" t="s">
        <v>9852</v>
      </c>
      <c r="G2316" s="1" t="s">
        <v>8959</v>
      </c>
      <c r="H2316" t="s">
        <v>8959</v>
      </c>
      <c r="I2316" s="1" t="s">
        <v>9092</v>
      </c>
      <c r="J2316" s="1" t="s">
        <v>8998</v>
      </c>
      <c r="K2316" s="1" t="s">
        <v>8972</v>
      </c>
      <c r="L2316" s="1" t="s">
        <v>8973</v>
      </c>
      <c r="M2316" s="1">
        <v>45</v>
      </c>
      <c r="N2316" s="1" t="s">
        <v>8953</v>
      </c>
      <c r="O2316" s="1" t="s">
        <v>8954</v>
      </c>
      <c r="P2316" s="1" t="s">
        <v>8955</v>
      </c>
      <c r="Q2316" s="1" t="s">
        <v>8990</v>
      </c>
      <c r="R2316" s="1" t="s">
        <v>8959</v>
      </c>
      <c r="S2316" s="1" t="s">
        <v>8958</v>
      </c>
      <c r="T2316" s="1" t="s">
        <v>6165</v>
      </c>
      <c r="U2316" s="1" t="s">
        <v>7</v>
      </c>
      <c r="V2316" s="1" t="s">
        <v>87</v>
      </c>
      <c r="W2316" s="1"/>
    </row>
    <row r="2317" spans="1:23" x14ac:dyDescent="0.2">
      <c r="A2317" s="88" t="s">
        <v>17522</v>
      </c>
      <c r="B2317" s="1" t="e">
        <v>#N/A</v>
      </c>
      <c r="C2317" s="1" t="s">
        <v>11710</v>
      </c>
      <c r="D2317" s="1" t="s">
        <v>6166</v>
      </c>
      <c r="E2317" s="1" t="s">
        <v>6167</v>
      </c>
      <c r="F2317" s="1" t="s">
        <v>11713</v>
      </c>
      <c r="G2317" s="1" t="s">
        <v>8957</v>
      </c>
      <c r="H2317" t="s">
        <v>8959</v>
      </c>
      <c r="I2317" s="1" t="s">
        <v>9092</v>
      </c>
      <c r="J2317" s="1" t="s">
        <v>9121</v>
      </c>
      <c r="K2317" s="1" t="s">
        <v>9036</v>
      </c>
      <c r="L2317" s="1" t="s">
        <v>8951</v>
      </c>
      <c r="M2317" s="1">
        <v>230</v>
      </c>
      <c r="N2317" s="1" t="s">
        <v>9059</v>
      </c>
      <c r="O2317" s="1" t="s">
        <v>8989</v>
      </c>
      <c r="P2317" s="1" t="s">
        <v>8955</v>
      </c>
      <c r="Q2317" s="1" t="s">
        <v>8956</v>
      </c>
      <c r="R2317" s="1" t="s">
        <v>8957</v>
      </c>
      <c r="S2317" s="1" t="s">
        <v>9103</v>
      </c>
      <c r="T2317" s="1" t="s">
        <v>6168</v>
      </c>
      <c r="U2317" s="1" t="s">
        <v>17</v>
      </c>
      <c r="V2317" s="1" t="s">
        <v>6169</v>
      </c>
      <c r="W2317" s="1"/>
    </row>
    <row r="2318" spans="1:23" x14ac:dyDescent="0.2">
      <c r="A2318" s="89" t="s">
        <v>6170</v>
      </c>
      <c r="B2318" s="1" t="e">
        <v>#N/A</v>
      </c>
      <c r="C2318" s="1" t="e">
        <v>#N/A</v>
      </c>
      <c r="D2318" s="1" t="s">
        <v>6171</v>
      </c>
      <c r="E2318" s="1" t="s">
        <v>6172</v>
      </c>
      <c r="F2318" s="1" t="e">
        <v>#N/A</v>
      </c>
      <c r="G2318" s="1" t="e">
        <v>#N/A</v>
      </c>
      <c r="H2318" t="e">
        <v>#N/A</v>
      </c>
      <c r="I2318" s="1" t="e">
        <v>#N/A</v>
      </c>
      <c r="J2318" s="1" t="e">
        <v>#N/A</v>
      </c>
      <c r="K2318" s="1" t="e">
        <v>#N/A</v>
      </c>
      <c r="L2318" s="1" t="e">
        <v>#N/A</v>
      </c>
      <c r="M2318" s="1" t="e">
        <v>#N/A</v>
      </c>
      <c r="N2318" s="1" t="e">
        <v>#N/A</v>
      </c>
      <c r="O2318" s="1" t="e">
        <v>#N/A</v>
      </c>
      <c r="P2318" s="1" t="e">
        <v>#N/A</v>
      </c>
      <c r="Q2318" s="1" t="e">
        <v>#N/A</v>
      </c>
      <c r="R2318" s="1">
        <f>1+LEN(T2318)-LEN(SUBSTITUTE(T2318,",",))</f>
        <v>4</v>
      </c>
      <c r="S2318" s="1" t="str">
        <f>IF(R2318&gt;4,IF(R2318&lt;8,"4-7",IF(R2318&gt;7,"&gt;7")),"&lt;4")</f>
        <v>&lt;4</v>
      </c>
      <c r="T2318" s="1" t="s">
        <v>19860</v>
      </c>
      <c r="U2318" s="1" t="s">
        <v>7</v>
      </c>
      <c r="V2318" s="1" t="s">
        <v>619</v>
      </c>
      <c r="W2318" s="1"/>
    </row>
    <row r="2319" spans="1:23" x14ac:dyDescent="0.2">
      <c r="A2319" s="88" t="s">
        <v>17523</v>
      </c>
      <c r="B2319" s="1" t="e">
        <v>#N/A</v>
      </c>
      <c r="C2319" s="1" t="s">
        <v>9163</v>
      </c>
      <c r="D2319" s="1" t="s">
        <v>6173</v>
      </c>
      <c r="E2319" s="1" t="s">
        <v>6174</v>
      </c>
      <c r="F2319" s="1" t="s">
        <v>9010</v>
      </c>
      <c r="G2319" s="1" t="s">
        <v>8957</v>
      </c>
      <c r="H2319" t="s">
        <v>8959</v>
      </c>
      <c r="I2319" s="1" t="s">
        <v>9166</v>
      </c>
      <c r="J2319" s="1" t="s">
        <v>8949</v>
      </c>
      <c r="K2319" s="1" t="s">
        <v>9167</v>
      </c>
      <c r="L2319" s="1" t="s">
        <v>9076</v>
      </c>
      <c r="M2319" s="1">
        <v>18</v>
      </c>
      <c r="N2319" s="1" t="s">
        <v>8953</v>
      </c>
      <c r="O2319" s="1" t="s">
        <v>8989</v>
      </c>
      <c r="P2319" s="1" t="s">
        <v>8955</v>
      </c>
      <c r="Q2319" s="1" t="s">
        <v>8956</v>
      </c>
      <c r="R2319" s="1" t="s">
        <v>8957</v>
      </c>
      <c r="S2319" s="1" t="s">
        <v>8958</v>
      </c>
      <c r="T2319" s="1" t="s">
        <v>6175</v>
      </c>
      <c r="U2319" s="1" t="s">
        <v>17</v>
      </c>
      <c r="V2319" s="1" t="s">
        <v>53</v>
      </c>
      <c r="W2319" s="1"/>
    </row>
    <row r="2320" spans="1:23" x14ac:dyDescent="0.2">
      <c r="A2320" s="88" t="s">
        <v>17524</v>
      </c>
      <c r="B2320" s="1" t="e">
        <v>#N/A</v>
      </c>
      <c r="C2320" s="1" t="e">
        <v>#N/A</v>
      </c>
      <c r="D2320" s="1" t="s">
        <v>6176</v>
      </c>
      <c r="E2320" s="1" t="s">
        <v>6177</v>
      </c>
      <c r="F2320" s="1" t="s">
        <v>18502</v>
      </c>
      <c r="G2320" s="1" t="s">
        <v>9060</v>
      </c>
      <c r="H2320" t="s">
        <v>9061</v>
      </c>
      <c r="I2320" s="1" t="s">
        <v>9100</v>
      </c>
      <c r="J2320" s="1" t="s">
        <v>20930</v>
      </c>
      <c r="K2320" s="1" t="s">
        <v>18497</v>
      </c>
      <c r="L2320" s="1" t="s">
        <v>8987</v>
      </c>
      <c r="M2320" s="1">
        <v>2582</v>
      </c>
      <c r="N2320" s="1" t="s">
        <v>8953</v>
      </c>
      <c r="O2320" s="1" t="s">
        <v>8954</v>
      </c>
      <c r="P2320" s="1" t="e">
        <v>#N/A</v>
      </c>
      <c r="Q2320" s="1" t="e">
        <v>#N/A</v>
      </c>
      <c r="R2320" s="1">
        <f>1+LEN(T2320)-LEN(SUBSTITUTE(T2320,",",))</f>
        <v>4</v>
      </c>
      <c r="S2320" s="1" t="str">
        <f>IF(R2320&gt;4,IF(R2320&lt;8,"4-7",IF(R2320&gt;7,"&gt;7")),"&lt;4")</f>
        <v>&lt;4</v>
      </c>
      <c r="T2320" s="1" t="s">
        <v>19861</v>
      </c>
      <c r="U2320" s="1" t="s">
        <v>7</v>
      </c>
      <c r="V2320" s="1" t="s">
        <v>1202</v>
      </c>
      <c r="W2320" s="1"/>
    </row>
    <row r="2321" spans="1:23" x14ac:dyDescent="0.2">
      <c r="A2321" s="88" t="s">
        <v>17525</v>
      </c>
      <c r="B2321" s="1" t="e">
        <v>#N/A</v>
      </c>
      <c r="C2321" s="1" t="s">
        <v>9109</v>
      </c>
      <c r="D2321" s="1" t="s">
        <v>6178</v>
      </c>
      <c r="E2321" s="1" t="s">
        <v>6179</v>
      </c>
      <c r="F2321" s="1" t="s">
        <v>10873</v>
      </c>
      <c r="G2321" s="1" t="s">
        <v>9060</v>
      </c>
      <c r="H2321" t="s">
        <v>9009</v>
      </c>
      <c r="I2321" s="1" t="s">
        <v>8948</v>
      </c>
      <c r="J2321" s="1" t="s">
        <v>8998</v>
      </c>
      <c r="K2321" s="1" t="s">
        <v>9112</v>
      </c>
      <c r="L2321" s="1" t="s">
        <v>8973</v>
      </c>
      <c r="M2321" s="1">
        <v>45</v>
      </c>
      <c r="N2321" s="1" t="s">
        <v>8953</v>
      </c>
      <c r="O2321" s="1" t="s">
        <v>8954</v>
      </c>
      <c r="P2321" s="1" t="s">
        <v>8955</v>
      </c>
      <c r="Q2321" s="1" t="s">
        <v>8956</v>
      </c>
      <c r="R2321" s="1" t="s">
        <v>9060</v>
      </c>
      <c r="S2321" s="1" t="s">
        <v>8975</v>
      </c>
      <c r="T2321" s="1" t="s">
        <v>6180</v>
      </c>
      <c r="U2321" s="1" t="s">
        <v>17</v>
      </c>
      <c r="V2321" s="1" t="s">
        <v>53</v>
      </c>
      <c r="W2321" s="1"/>
    </row>
    <row r="2322" spans="1:23" x14ac:dyDescent="0.2">
      <c r="A2322" s="88" t="s">
        <v>17526</v>
      </c>
      <c r="B2322" s="1" t="e">
        <v>#N/A</v>
      </c>
      <c r="C2322" s="1" t="s">
        <v>9004</v>
      </c>
      <c r="D2322" s="1" t="s">
        <v>6181</v>
      </c>
      <c r="E2322" s="1" t="s">
        <v>6182</v>
      </c>
      <c r="F2322" s="1" t="s">
        <v>9010</v>
      </c>
      <c r="G2322" s="1" t="s">
        <v>8957</v>
      </c>
      <c r="H2322" t="s">
        <v>9009</v>
      </c>
      <c r="I2322" s="1" t="s">
        <v>8948</v>
      </c>
      <c r="J2322" s="1" t="s">
        <v>8998</v>
      </c>
      <c r="K2322" s="1" t="s">
        <v>9007</v>
      </c>
      <c r="L2322" s="1" t="s">
        <v>8973</v>
      </c>
      <c r="M2322" s="1">
        <v>55</v>
      </c>
      <c r="N2322" s="1" t="s">
        <v>8953</v>
      </c>
      <c r="O2322" s="1" t="s">
        <v>8954</v>
      </c>
      <c r="P2322" s="1" t="s">
        <v>8955</v>
      </c>
      <c r="Q2322" s="1" t="s">
        <v>8956</v>
      </c>
      <c r="R2322" s="1" t="s">
        <v>8957</v>
      </c>
      <c r="S2322" s="1" t="s">
        <v>8958</v>
      </c>
      <c r="T2322" s="1" t="s">
        <v>6183</v>
      </c>
      <c r="U2322" s="1" t="s">
        <v>7</v>
      </c>
      <c r="V2322" s="1" t="s">
        <v>93</v>
      </c>
      <c r="W2322" s="1"/>
    </row>
    <row r="2323" spans="1:23" x14ac:dyDescent="0.2">
      <c r="A2323" s="88" t="s">
        <v>17527</v>
      </c>
      <c r="B2323" s="1" t="e">
        <v>#N/A</v>
      </c>
      <c r="C2323" s="1" t="e">
        <v>#N/A</v>
      </c>
      <c r="D2323" s="1" t="s">
        <v>6184</v>
      </c>
      <c r="E2323" s="1" t="s">
        <v>6185</v>
      </c>
      <c r="F2323" s="1" t="s">
        <v>9310</v>
      </c>
      <c r="G2323" s="1" t="s">
        <v>8957</v>
      </c>
      <c r="H2323" t="s">
        <v>8959</v>
      </c>
      <c r="I2323" s="1" t="s">
        <v>8948</v>
      </c>
      <c r="J2323" s="1" t="s">
        <v>9131</v>
      </c>
      <c r="K2323" s="1" t="s">
        <v>18497</v>
      </c>
      <c r="L2323" s="1" t="s">
        <v>9292</v>
      </c>
      <c r="M2323" s="1">
        <v>24667</v>
      </c>
      <c r="N2323" s="1" t="s">
        <v>8953</v>
      </c>
      <c r="O2323" s="1" t="s">
        <v>8989</v>
      </c>
      <c r="P2323" s="1" t="e">
        <v>#N/A</v>
      </c>
      <c r="Q2323" s="1" t="e">
        <v>#N/A</v>
      </c>
      <c r="R2323" s="1">
        <f t="shared" ref="R2323:R2330" si="670">1+LEN(T2323)-LEN(SUBSTITUTE(T2323,",",))</f>
        <v>28</v>
      </c>
      <c r="S2323" s="1" t="str">
        <f t="shared" ref="S2323:S2330" si="671">IF(R2323&gt;4,IF(R2323&lt;8,"4-7",IF(R2323&gt;7,"&gt;7")),"&lt;4")</f>
        <v>&gt;7</v>
      </c>
      <c r="T2323" s="1" t="s">
        <v>19862</v>
      </c>
      <c r="U2323" s="1" t="s">
        <v>7</v>
      </c>
      <c r="V2323" s="1" t="s">
        <v>6186</v>
      </c>
      <c r="W2323" s="1"/>
    </row>
    <row r="2324" spans="1:23" x14ac:dyDescent="0.2">
      <c r="A2324" s="88" t="s">
        <v>17528</v>
      </c>
      <c r="B2324" s="1" t="e">
        <v>#N/A</v>
      </c>
      <c r="C2324" s="1" t="e">
        <v>#N/A</v>
      </c>
      <c r="D2324" s="1" t="s">
        <v>6187</v>
      </c>
      <c r="E2324" s="1" t="s">
        <v>6188</v>
      </c>
      <c r="F2324" s="1" t="s">
        <v>9310</v>
      </c>
      <c r="G2324" s="1" t="s">
        <v>8957</v>
      </c>
      <c r="H2324" t="s">
        <v>9061</v>
      </c>
      <c r="I2324" s="1" t="s">
        <v>9092</v>
      </c>
      <c r="J2324" s="1" t="s">
        <v>9308</v>
      </c>
      <c r="K2324" s="1" t="s">
        <v>18489</v>
      </c>
      <c r="L2324" s="1" t="s">
        <v>8987</v>
      </c>
      <c r="M2324" s="1">
        <f>12480+12390</f>
        <v>24870</v>
      </c>
      <c r="N2324" s="1" t="s">
        <v>8953</v>
      </c>
      <c r="O2324" s="1" t="s">
        <v>8954</v>
      </c>
      <c r="P2324" s="1" t="e">
        <v>#N/A</v>
      </c>
      <c r="Q2324" s="1" t="e">
        <v>#N/A</v>
      </c>
      <c r="R2324" s="1">
        <f t="shared" si="670"/>
        <v>11</v>
      </c>
      <c r="S2324" s="1" t="str">
        <f t="shared" si="671"/>
        <v>&gt;7</v>
      </c>
      <c r="T2324" s="1" t="s">
        <v>19863</v>
      </c>
      <c r="U2324" s="1" t="s">
        <v>17</v>
      </c>
      <c r="V2324" s="1" t="s">
        <v>27</v>
      </c>
      <c r="W2324" s="1"/>
    </row>
    <row r="2325" spans="1:23" x14ac:dyDescent="0.2">
      <c r="A2325" s="88" t="s">
        <v>17529</v>
      </c>
      <c r="B2325" s="1" t="e">
        <v>#N/A</v>
      </c>
      <c r="C2325" s="1" t="e">
        <v>#N/A</v>
      </c>
      <c r="D2325" s="1" t="s">
        <v>6189</v>
      </c>
      <c r="E2325" s="1" t="s">
        <v>6190</v>
      </c>
      <c r="F2325" s="1" t="s">
        <v>9310</v>
      </c>
      <c r="G2325" s="1" t="s">
        <v>8957</v>
      </c>
      <c r="H2325" t="s">
        <v>9009</v>
      </c>
      <c r="I2325" s="1" t="s">
        <v>9035</v>
      </c>
      <c r="J2325" s="1" t="s">
        <v>8998</v>
      </c>
      <c r="K2325" s="1" t="s">
        <v>20970</v>
      </c>
      <c r="L2325" s="1" t="s">
        <v>8987</v>
      </c>
      <c r="M2325" s="1">
        <v>1018</v>
      </c>
      <c r="N2325" s="1" t="s">
        <v>9059</v>
      </c>
      <c r="O2325" s="1" t="s">
        <v>8954</v>
      </c>
      <c r="P2325" s="1" t="e">
        <v>#N/A</v>
      </c>
      <c r="Q2325" s="1" t="e">
        <v>#N/A</v>
      </c>
      <c r="R2325" s="1">
        <f t="shared" si="670"/>
        <v>8</v>
      </c>
      <c r="S2325" s="1" t="str">
        <f t="shared" si="671"/>
        <v>&gt;7</v>
      </c>
      <c r="T2325" s="1" t="s">
        <v>19864</v>
      </c>
      <c r="U2325" s="1" t="s">
        <v>7</v>
      </c>
      <c r="V2325" s="1" t="s">
        <v>64</v>
      </c>
      <c r="W2325" s="1"/>
    </row>
    <row r="2326" spans="1:23" x14ac:dyDescent="0.2">
      <c r="A2326" s="89" t="s">
        <v>17530</v>
      </c>
      <c r="B2326" s="1" t="e">
        <v>#N/A</v>
      </c>
      <c r="C2326" s="1" t="e">
        <v>#N/A</v>
      </c>
      <c r="D2326" s="1" t="s">
        <v>6191</v>
      </c>
      <c r="E2326" s="1" t="s">
        <v>6192</v>
      </c>
      <c r="F2326" s="1" t="e">
        <v>#N/A</v>
      </c>
      <c r="G2326" s="1" t="e">
        <v>#N/A</v>
      </c>
      <c r="H2326" t="e">
        <v>#N/A</v>
      </c>
      <c r="I2326" s="1" t="e">
        <v>#N/A</v>
      </c>
      <c r="J2326" s="1" t="e">
        <v>#N/A</v>
      </c>
      <c r="K2326" s="1" t="e">
        <v>#N/A</v>
      </c>
      <c r="L2326" s="1" t="e">
        <v>#N/A</v>
      </c>
      <c r="M2326" s="1" t="e">
        <v>#N/A</v>
      </c>
      <c r="N2326" s="1" t="e">
        <v>#N/A</v>
      </c>
      <c r="O2326" s="1" t="e">
        <v>#N/A</v>
      </c>
      <c r="P2326" s="1" t="e">
        <v>#N/A</v>
      </c>
      <c r="Q2326" s="1" t="e">
        <v>#N/A</v>
      </c>
      <c r="R2326" s="1">
        <f t="shared" si="670"/>
        <v>4</v>
      </c>
      <c r="S2326" s="1" t="str">
        <f t="shared" si="671"/>
        <v>&lt;4</v>
      </c>
      <c r="T2326" s="1" t="s">
        <v>19865</v>
      </c>
      <c r="U2326" s="1" t="s">
        <v>7</v>
      </c>
      <c r="V2326" s="1" t="s">
        <v>24</v>
      </c>
      <c r="W2326" s="1"/>
    </row>
    <row r="2327" spans="1:23" x14ac:dyDescent="0.2">
      <c r="A2327" s="94" t="s">
        <v>17531</v>
      </c>
      <c r="B2327" s="1" t="e">
        <v>#N/A</v>
      </c>
      <c r="C2327" s="1" t="e">
        <v>#N/A</v>
      </c>
      <c r="D2327" s="1" t="s">
        <v>6193</v>
      </c>
      <c r="E2327" s="1" t="s">
        <v>6194</v>
      </c>
      <c r="F2327" s="1" t="e">
        <v>#N/A</v>
      </c>
      <c r="G2327" s="1" t="e">
        <v>#N/A</v>
      </c>
      <c r="H2327" t="e">
        <v>#N/A</v>
      </c>
      <c r="I2327" s="1" t="e">
        <v>#N/A</v>
      </c>
      <c r="J2327" s="1" t="e">
        <v>#N/A</v>
      </c>
      <c r="K2327" s="1" t="e">
        <v>#N/A</v>
      </c>
      <c r="L2327" s="1" t="e">
        <v>#N/A</v>
      </c>
      <c r="M2327" s="1" t="e">
        <v>#N/A</v>
      </c>
      <c r="N2327" s="1" t="e">
        <v>#N/A</v>
      </c>
      <c r="O2327" s="1" t="e">
        <v>#N/A</v>
      </c>
      <c r="P2327" s="1" t="e">
        <v>#N/A</v>
      </c>
      <c r="Q2327" s="1" t="e">
        <v>#N/A</v>
      </c>
      <c r="R2327" s="1">
        <f t="shared" si="670"/>
        <v>3</v>
      </c>
      <c r="S2327" s="1" t="str">
        <f t="shared" si="671"/>
        <v>&lt;4</v>
      </c>
      <c r="T2327" s="1" t="s">
        <v>19866</v>
      </c>
      <c r="U2327" s="1" t="s">
        <v>242</v>
      </c>
      <c r="V2327" s="1" t="s">
        <v>1651</v>
      </c>
      <c r="W2327" s="1"/>
    </row>
    <row r="2328" spans="1:23" x14ac:dyDescent="0.2">
      <c r="A2328" s="88" t="s">
        <v>17532</v>
      </c>
      <c r="B2328" s="1" t="e">
        <v>#N/A</v>
      </c>
      <c r="C2328" s="1" t="e">
        <v>#N/A</v>
      </c>
      <c r="D2328" s="1" t="s">
        <v>6195</v>
      </c>
      <c r="E2328" s="1" t="s">
        <v>6196</v>
      </c>
      <c r="F2328" s="1" t="s">
        <v>18502</v>
      </c>
      <c r="G2328" s="1" t="s">
        <v>9060</v>
      </c>
      <c r="H2328" t="s">
        <v>9061</v>
      </c>
      <c r="I2328" s="1" t="s">
        <v>8984</v>
      </c>
      <c r="J2328" s="1" t="s">
        <v>8998</v>
      </c>
      <c r="K2328" s="1" t="s">
        <v>21385</v>
      </c>
      <c r="L2328" s="1" t="s">
        <v>8973</v>
      </c>
      <c r="M2328" s="1">
        <v>37</v>
      </c>
      <c r="N2328" s="1" t="s">
        <v>9059</v>
      </c>
      <c r="O2328" s="1" t="s">
        <v>8989</v>
      </c>
      <c r="P2328" s="1" t="e">
        <v>#N/A</v>
      </c>
      <c r="Q2328" s="1" t="e">
        <v>#N/A</v>
      </c>
      <c r="R2328" s="1">
        <f t="shared" si="670"/>
        <v>13</v>
      </c>
      <c r="S2328" s="1" t="str">
        <f t="shared" si="671"/>
        <v>&gt;7</v>
      </c>
      <c r="T2328" s="1" t="s">
        <v>19867</v>
      </c>
      <c r="U2328" s="1" t="s">
        <v>7</v>
      </c>
      <c r="V2328" s="1" t="s">
        <v>562</v>
      </c>
      <c r="W2328" s="1"/>
    </row>
    <row r="2329" spans="1:23" x14ac:dyDescent="0.2">
      <c r="A2329" s="88" t="s">
        <v>17533</v>
      </c>
      <c r="B2329" s="1" t="e">
        <v>#N/A</v>
      </c>
      <c r="C2329" s="1" t="e">
        <v>#N/A</v>
      </c>
      <c r="D2329" s="1" t="s">
        <v>6197</v>
      </c>
      <c r="E2329" s="1" t="s">
        <v>6198</v>
      </c>
      <c r="F2329" s="1" t="s">
        <v>9317</v>
      </c>
      <c r="G2329" s="1" t="s">
        <v>8957</v>
      </c>
      <c r="H2329" t="s">
        <v>8959</v>
      </c>
      <c r="I2329" s="1" t="s">
        <v>8984</v>
      </c>
      <c r="J2329" s="1" t="s">
        <v>9155</v>
      </c>
      <c r="K2329" s="1" t="s">
        <v>20965</v>
      </c>
      <c r="L2329" s="1" t="s">
        <v>8973</v>
      </c>
      <c r="M2329" s="1">
        <f>16266+1793+200</f>
        <v>18259</v>
      </c>
      <c r="N2329" s="1" t="s">
        <v>8953</v>
      </c>
      <c r="O2329" s="1" t="s">
        <v>8954</v>
      </c>
      <c r="P2329" s="1" t="e">
        <v>#N/A</v>
      </c>
      <c r="Q2329" s="1" t="e">
        <v>#N/A</v>
      </c>
      <c r="R2329" s="1">
        <f t="shared" si="670"/>
        <v>5</v>
      </c>
      <c r="S2329" s="1" t="str">
        <f t="shared" si="671"/>
        <v>4-7</v>
      </c>
      <c r="T2329" s="1" t="s">
        <v>19868</v>
      </c>
      <c r="U2329" s="1" t="s">
        <v>7</v>
      </c>
      <c r="V2329" s="1" t="s">
        <v>64</v>
      </c>
      <c r="W2329" s="1"/>
    </row>
    <row r="2330" spans="1:23" x14ac:dyDescent="0.2">
      <c r="A2330" s="89" t="s">
        <v>17534</v>
      </c>
      <c r="B2330" s="1" t="e">
        <v>#N/A</v>
      </c>
      <c r="C2330" s="1" t="e">
        <v>#N/A</v>
      </c>
      <c r="D2330" s="5" t="s">
        <v>6199</v>
      </c>
      <c r="E2330" s="1" t="s">
        <v>6200</v>
      </c>
      <c r="F2330" s="1" t="e">
        <v>#N/A</v>
      </c>
      <c r="G2330" s="1" t="e">
        <v>#N/A</v>
      </c>
      <c r="H2330" t="e">
        <v>#N/A</v>
      </c>
      <c r="I2330" s="1" t="e">
        <v>#N/A</v>
      </c>
      <c r="J2330" s="1" t="e">
        <v>#N/A</v>
      </c>
      <c r="K2330" s="1" t="e">
        <v>#N/A</v>
      </c>
      <c r="L2330" s="1" t="e">
        <v>#N/A</v>
      </c>
      <c r="M2330" s="1" t="e">
        <v>#N/A</v>
      </c>
      <c r="N2330" s="1" t="e">
        <v>#N/A</v>
      </c>
      <c r="O2330" s="1" t="e">
        <v>#N/A</v>
      </c>
      <c r="P2330" s="1" t="e">
        <v>#N/A</v>
      </c>
      <c r="Q2330" s="1" t="e">
        <v>#N/A</v>
      </c>
      <c r="R2330" s="1">
        <f t="shared" si="670"/>
        <v>2</v>
      </c>
      <c r="S2330" s="1" t="str">
        <f t="shared" si="671"/>
        <v>&lt;4</v>
      </c>
      <c r="T2330" s="1" t="s">
        <v>19869</v>
      </c>
      <c r="U2330" s="1" t="s">
        <v>7</v>
      </c>
      <c r="V2330" s="1" t="s">
        <v>1689</v>
      </c>
      <c r="W2330" s="1"/>
    </row>
    <row r="2331" spans="1:23" x14ac:dyDescent="0.2">
      <c r="A2331" s="88" t="s">
        <v>17535</v>
      </c>
      <c r="B2331" s="1" t="e">
        <v>#N/A</v>
      </c>
      <c r="C2331" s="1" t="s">
        <v>14235</v>
      </c>
      <c r="D2331" s="1" t="s">
        <v>6201</v>
      </c>
      <c r="E2331" s="1" t="s">
        <v>6202</v>
      </c>
      <c r="F2331" s="1" t="s">
        <v>9010</v>
      </c>
      <c r="G2331" s="1" t="s">
        <v>8957</v>
      </c>
      <c r="H2331" t="s">
        <v>8959</v>
      </c>
      <c r="I2331" s="1" t="s">
        <v>9154</v>
      </c>
      <c r="J2331" s="1" t="s">
        <v>9269</v>
      </c>
      <c r="K2331" s="1" t="s">
        <v>9036</v>
      </c>
      <c r="L2331" s="1" t="s">
        <v>8987</v>
      </c>
      <c r="M2331" s="1">
        <v>16590</v>
      </c>
      <c r="N2331" s="1" t="s">
        <v>8953</v>
      </c>
      <c r="O2331" s="1" t="s">
        <v>8954</v>
      </c>
      <c r="P2331" s="1" t="s">
        <v>8955</v>
      </c>
      <c r="Q2331" s="1" t="s">
        <v>8956</v>
      </c>
      <c r="R2331" s="1" t="s">
        <v>8957</v>
      </c>
      <c r="S2331" s="1" t="s">
        <v>9103</v>
      </c>
      <c r="T2331" s="1" t="s">
        <v>6203</v>
      </c>
      <c r="U2331" s="1" t="s">
        <v>242</v>
      </c>
      <c r="V2331" s="1" t="s">
        <v>286</v>
      </c>
      <c r="W2331" s="1"/>
    </row>
    <row r="2332" spans="1:23" x14ac:dyDescent="0.2">
      <c r="A2332" s="88" t="s">
        <v>17536</v>
      </c>
      <c r="B2332" s="1" t="e">
        <v>#N/A</v>
      </c>
      <c r="C2332" s="1" t="e">
        <v>#N/A</v>
      </c>
      <c r="D2332" s="1" t="s">
        <v>6204</v>
      </c>
      <c r="E2332" s="1" t="s">
        <v>6205</v>
      </c>
      <c r="F2332" s="1" t="s">
        <v>18502</v>
      </c>
      <c r="G2332" s="1" t="s">
        <v>8957</v>
      </c>
      <c r="H2332" t="s">
        <v>8959</v>
      </c>
      <c r="I2332" s="1" t="s">
        <v>8948</v>
      </c>
      <c r="J2332" s="1" t="s">
        <v>8998</v>
      </c>
      <c r="K2332" s="1" t="s">
        <v>21292</v>
      </c>
      <c r="L2332" s="1" t="s">
        <v>20969</v>
      </c>
      <c r="M2332" s="1">
        <v>3495</v>
      </c>
      <c r="N2332" s="1" t="s">
        <v>9059</v>
      </c>
      <c r="O2332" s="1" t="s">
        <v>8989</v>
      </c>
      <c r="P2332" s="1" t="e">
        <v>#N/A</v>
      </c>
      <c r="Q2332" s="1" t="e">
        <v>#N/A</v>
      </c>
      <c r="R2332" s="1">
        <f>1+LEN(T2332)-LEN(SUBSTITUTE(T2332,",",))</f>
        <v>10</v>
      </c>
      <c r="S2332" s="1" t="str">
        <f>IF(R2332&gt;4,IF(R2332&lt;8,"4-7",IF(R2332&gt;7,"&gt;7")),"&lt;4")</f>
        <v>&gt;7</v>
      </c>
      <c r="T2332" s="1" t="s">
        <v>19870</v>
      </c>
      <c r="U2332" s="1" t="s">
        <v>17</v>
      </c>
      <c r="V2332" s="1" t="s">
        <v>93</v>
      </c>
      <c r="W2332" s="1"/>
    </row>
    <row r="2333" spans="1:23" x14ac:dyDescent="0.2">
      <c r="A2333" s="88" t="s">
        <v>17537</v>
      </c>
      <c r="B2333" s="1" t="e">
        <v>#N/A</v>
      </c>
      <c r="C2333" s="1" t="s">
        <v>14888</v>
      </c>
      <c r="D2333" s="1" t="s">
        <v>6206</v>
      </c>
      <c r="E2333" s="1" t="s">
        <v>6207</v>
      </c>
      <c r="F2333" s="1" t="s">
        <v>10687</v>
      </c>
      <c r="G2333" s="1" t="s">
        <v>8957</v>
      </c>
      <c r="H2333" t="s">
        <v>8959</v>
      </c>
      <c r="I2333" s="1" t="s">
        <v>8948</v>
      </c>
      <c r="J2333" s="1" t="s">
        <v>8949</v>
      </c>
      <c r="K2333" s="1" t="s">
        <v>9036</v>
      </c>
      <c r="L2333" s="1" t="s">
        <v>8973</v>
      </c>
      <c r="M2333" s="1">
        <v>11</v>
      </c>
      <c r="N2333" s="1" t="s">
        <v>8953</v>
      </c>
      <c r="O2333" s="1" t="s">
        <v>8989</v>
      </c>
      <c r="P2333" s="1" t="s">
        <v>8955</v>
      </c>
      <c r="Q2333" s="1" t="s">
        <v>8956</v>
      </c>
      <c r="R2333" s="1" t="s">
        <v>8957</v>
      </c>
      <c r="S2333" s="1" t="s">
        <v>8975</v>
      </c>
      <c r="T2333" s="1" t="s">
        <v>6208</v>
      </c>
      <c r="U2333" s="1" t="s">
        <v>17</v>
      </c>
      <c r="V2333" s="1" t="s">
        <v>184</v>
      </c>
      <c r="W2333" s="1"/>
    </row>
    <row r="2334" spans="1:23" x14ac:dyDescent="0.2">
      <c r="A2334" s="88" t="s">
        <v>17538</v>
      </c>
      <c r="B2334" s="1" t="e">
        <v>#N/A</v>
      </c>
      <c r="C2334" s="1" t="s">
        <v>12777</v>
      </c>
      <c r="D2334" s="1" t="s">
        <v>6209</v>
      </c>
      <c r="E2334" s="1" t="s">
        <v>6210</v>
      </c>
      <c r="F2334" s="1" t="s">
        <v>11100</v>
      </c>
      <c r="G2334" s="1" t="s">
        <v>9060</v>
      </c>
      <c r="H2334" t="s">
        <v>8959</v>
      </c>
      <c r="I2334" s="1" t="s">
        <v>9252</v>
      </c>
      <c r="J2334" s="1" t="s">
        <v>9253</v>
      </c>
      <c r="K2334" s="1" t="s">
        <v>9036</v>
      </c>
      <c r="L2334" s="1" t="s">
        <v>8951</v>
      </c>
      <c r="M2334" s="1">
        <v>847</v>
      </c>
      <c r="N2334" s="1" t="s">
        <v>8953</v>
      </c>
      <c r="O2334" s="1" t="s">
        <v>8954</v>
      </c>
      <c r="P2334" s="1" t="s">
        <v>8955</v>
      </c>
      <c r="Q2334" s="1" t="s">
        <v>8956</v>
      </c>
      <c r="R2334" s="1" t="s">
        <v>9060</v>
      </c>
      <c r="S2334" s="1" t="s">
        <v>8958</v>
      </c>
      <c r="T2334" s="1" t="s">
        <v>6211</v>
      </c>
      <c r="U2334" s="1" t="s">
        <v>11</v>
      </c>
      <c r="V2334" s="1" t="s">
        <v>24</v>
      </c>
      <c r="W2334" s="1"/>
    </row>
    <row r="2335" spans="1:23" x14ac:dyDescent="0.2">
      <c r="A2335" s="92" t="s">
        <v>17539</v>
      </c>
      <c r="B2335" s="1" t="e">
        <v>#N/A</v>
      </c>
      <c r="C2335" s="1" t="e">
        <v>#N/A</v>
      </c>
      <c r="D2335" s="1" t="s">
        <v>6212</v>
      </c>
      <c r="E2335" s="1" t="s">
        <v>6213</v>
      </c>
      <c r="F2335" s="1" t="e">
        <v>#N/A</v>
      </c>
      <c r="G2335" s="1" t="e">
        <v>#N/A</v>
      </c>
      <c r="H2335" t="e">
        <v>#N/A</v>
      </c>
      <c r="I2335" s="1" t="e">
        <v>#N/A</v>
      </c>
      <c r="J2335" s="1" t="e">
        <v>#N/A</v>
      </c>
      <c r="K2335" s="1" t="e">
        <v>#N/A</v>
      </c>
      <c r="L2335" s="1" t="e">
        <v>#N/A</v>
      </c>
      <c r="M2335" s="1" t="e">
        <v>#N/A</v>
      </c>
      <c r="N2335" s="1" t="e">
        <v>#N/A</v>
      </c>
      <c r="O2335" s="1" t="e">
        <v>#N/A</v>
      </c>
      <c r="P2335" s="1" t="e">
        <v>#N/A</v>
      </c>
      <c r="Q2335" s="1" t="e">
        <v>#N/A</v>
      </c>
      <c r="R2335" s="1">
        <f t="shared" ref="R2335:R2342" si="672">1+LEN(T2335)-LEN(SUBSTITUTE(T2335,",",))</f>
        <v>8</v>
      </c>
      <c r="S2335" s="1" t="str">
        <f t="shared" ref="S2335:S2342" si="673">IF(R2335&gt;4,IF(R2335&lt;8,"4-7",IF(R2335&gt;7,"&gt;7")),"&lt;4")</f>
        <v>&gt;7</v>
      </c>
      <c r="T2335" s="1" t="s">
        <v>19871</v>
      </c>
      <c r="U2335" s="1" t="s">
        <v>17</v>
      </c>
      <c r="V2335" s="1" t="s">
        <v>6214</v>
      </c>
      <c r="W2335" s="1"/>
    </row>
    <row r="2336" spans="1:23" x14ac:dyDescent="0.2">
      <c r="A2336" s="89" t="s">
        <v>17540</v>
      </c>
      <c r="B2336" s="1" t="e">
        <v>#N/A</v>
      </c>
      <c r="C2336" s="1" t="e">
        <v>#N/A</v>
      </c>
      <c r="D2336" s="1" t="s">
        <v>6215</v>
      </c>
      <c r="E2336" s="1" t="s">
        <v>6216</v>
      </c>
      <c r="F2336" s="1" t="e">
        <v>#N/A</v>
      </c>
      <c r="G2336" s="1" t="e">
        <v>#N/A</v>
      </c>
      <c r="H2336" t="e">
        <v>#N/A</v>
      </c>
      <c r="I2336" s="1" t="e">
        <v>#N/A</v>
      </c>
      <c r="J2336" s="1" t="e">
        <v>#N/A</v>
      </c>
      <c r="K2336" s="1" t="e">
        <v>#N/A</v>
      </c>
      <c r="L2336" s="1" t="e">
        <v>#N/A</v>
      </c>
      <c r="M2336" s="1" t="e">
        <v>#N/A</v>
      </c>
      <c r="N2336" s="1" t="e">
        <v>#N/A</v>
      </c>
      <c r="O2336" s="1" t="e">
        <v>#N/A</v>
      </c>
      <c r="P2336" s="1" t="e">
        <v>#N/A</v>
      </c>
      <c r="Q2336" s="1" t="e">
        <v>#N/A</v>
      </c>
      <c r="R2336" s="1">
        <f t="shared" si="672"/>
        <v>12</v>
      </c>
      <c r="S2336" s="1" t="str">
        <f t="shared" si="673"/>
        <v>&gt;7</v>
      </c>
      <c r="T2336" s="1" t="s">
        <v>19872</v>
      </c>
      <c r="U2336" s="1" t="s">
        <v>7</v>
      </c>
      <c r="V2336" s="1" t="s">
        <v>562</v>
      </c>
      <c r="W2336" s="1"/>
    </row>
    <row r="2337" spans="1:23" x14ac:dyDescent="0.2">
      <c r="A2337" s="88" t="s">
        <v>17541</v>
      </c>
      <c r="B2337" s="1" t="e">
        <v>#N/A</v>
      </c>
      <c r="C2337" s="1" t="e">
        <v>#N/A</v>
      </c>
      <c r="D2337" s="1" t="s">
        <v>6217</v>
      </c>
      <c r="E2337" s="1" t="s">
        <v>6218</v>
      </c>
      <c r="F2337" s="1" t="s">
        <v>18502</v>
      </c>
      <c r="G2337" s="1" t="s">
        <v>9060</v>
      </c>
      <c r="H2337" t="s">
        <v>9061</v>
      </c>
      <c r="I2337" s="1" t="s">
        <v>9075</v>
      </c>
      <c r="J2337" s="1" t="s">
        <v>8998</v>
      </c>
      <c r="K2337" s="1" t="s">
        <v>21453</v>
      </c>
      <c r="L2337" s="1" t="s">
        <v>8973</v>
      </c>
      <c r="M2337" s="1">
        <f>408</f>
        <v>408</v>
      </c>
      <c r="N2337" s="1" t="s">
        <v>9059</v>
      </c>
      <c r="O2337" s="1" t="s">
        <v>8954</v>
      </c>
      <c r="P2337" s="1" t="e">
        <v>#N/A</v>
      </c>
      <c r="Q2337" s="1" t="e">
        <v>#N/A</v>
      </c>
      <c r="R2337" s="1">
        <f t="shared" si="672"/>
        <v>19</v>
      </c>
      <c r="S2337" s="1" t="str">
        <f t="shared" si="673"/>
        <v>&gt;7</v>
      </c>
      <c r="T2337" s="1" t="s">
        <v>20675</v>
      </c>
      <c r="U2337" s="1" t="s">
        <v>7</v>
      </c>
      <c r="V2337" s="1" t="s">
        <v>4044</v>
      </c>
      <c r="W2337" s="1"/>
    </row>
    <row r="2338" spans="1:23" x14ac:dyDescent="0.2">
      <c r="A2338" s="89" t="s">
        <v>6219</v>
      </c>
      <c r="B2338" s="1" t="e">
        <v>#N/A</v>
      </c>
      <c r="C2338" s="1" t="e">
        <v>#N/A</v>
      </c>
      <c r="D2338" s="1" t="s">
        <v>6220</v>
      </c>
      <c r="E2338" s="1" t="s">
        <v>6221</v>
      </c>
      <c r="F2338" s="1" t="e">
        <v>#N/A</v>
      </c>
      <c r="G2338" s="1" t="e">
        <v>#N/A</v>
      </c>
      <c r="H2338" t="e">
        <v>#N/A</v>
      </c>
      <c r="I2338" s="1" t="e">
        <v>#N/A</v>
      </c>
      <c r="J2338" s="1" t="e">
        <v>#N/A</v>
      </c>
      <c r="K2338" s="1" t="e">
        <v>#N/A</v>
      </c>
      <c r="L2338" s="1" t="e">
        <v>#N/A</v>
      </c>
      <c r="M2338" s="1" t="e">
        <v>#N/A</v>
      </c>
      <c r="N2338" s="1" t="e">
        <v>#N/A</v>
      </c>
      <c r="O2338" s="1" t="e">
        <v>#N/A</v>
      </c>
      <c r="P2338" s="1" t="e">
        <v>#N/A</v>
      </c>
      <c r="Q2338" s="1" t="e">
        <v>#N/A</v>
      </c>
      <c r="R2338" s="1">
        <f t="shared" si="672"/>
        <v>4</v>
      </c>
      <c r="S2338" s="1" t="str">
        <f t="shared" si="673"/>
        <v>&lt;4</v>
      </c>
      <c r="T2338" s="1" t="s">
        <v>19873</v>
      </c>
      <c r="U2338" s="1" t="s">
        <v>7</v>
      </c>
      <c r="V2338" s="1" t="s">
        <v>210</v>
      </c>
      <c r="W2338" s="1"/>
    </row>
    <row r="2339" spans="1:23" x14ac:dyDescent="0.2">
      <c r="A2339" s="88" t="s">
        <v>17542</v>
      </c>
      <c r="B2339" s="1" t="e">
        <v>#N/A</v>
      </c>
      <c r="C2339" s="1" t="e">
        <v>#N/A</v>
      </c>
      <c r="D2339" s="1" t="s">
        <v>6222</v>
      </c>
      <c r="E2339" s="1" t="s">
        <v>6223</v>
      </c>
      <c r="F2339" s="1" t="s">
        <v>10850</v>
      </c>
      <c r="G2339" s="1" t="s">
        <v>8957</v>
      </c>
      <c r="H2339" t="s">
        <v>8959</v>
      </c>
      <c r="I2339" s="1" t="s">
        <v>20714</v>
      </c>
      <c r="J2339" s="1" t="s">
        <v>8959</v>
      </c>
      <c r="K2339" s="1" t="s">
        <v>10525</v>
      </c>
      <c r="L2339" s="1" t="s">
        <v>8951</v>
      </c>
      <c r="M2339" s="1">
        <v>236257</v>
      </c>
      <c r="N2339" s="1" t="s">
        <v>8953</v>
      </c>
      <c r="O2339" s="1" t="s">
        <v>8954</v>
      </c>
      <c r="P2339" s="1" t="e">
        <v>#N/A</v>
      </c>
      <c r="Q2339" s="1" t="e">
        <v>#N/A</v>
      </c>
      <c r="R2339" s="1">
        <f t="shared" si="672"/>
        <v>19</v>
      </c>
      <c r="S2339" s="1" t="str">
        <f t="shared" si="673"/>
        <v>&gt;7</v>
      </c>
      <c r="T2339" s="1" t="s">
        <v>19874</v>
      </c>
      <c r="U2339" s="1" t="s">
        <v>7</v>
      </c>
      <c r="V2339" s="1" t="s">
        <v>686</v>
      </c>
      <c r="W2339" s="1"/>
    </row>
    <row r="2340" spans="1:23" x14ac:dyDescent="0.2">
      <c r="A2340" s="88" t="s">
        <v>17543</v>
      </c>
      <c r="B2340" s="1" t="e">
        <v>#N/A</v>
      </c>
      <c r="C2340" s="1" t="e">
        <v>#N/A</v>
      </c>
      <c r="D2340" s="1" t="s">
        <v>6224</v>
      </c>
      <c r="E2340" s="1" t="s">
        <v>6225</v>
      </c>
      <c r="F2340" s="1" t="s">
        <v>9380</v>
      </c>
      <c r="G2340" s="1" t="s">
        <v>8957</v>
      </c>
      <c r="H2340" t="s">
        <v>8959</v>
      </c>
      <c r="I2340" s="1" t="s">
        <v>9075</v>
      </c>
      <c r="J2340" s="1" t="s">
        <v>8959</v>
      </c>
      <c r="K2340" s="1" t="s">
        <v>10525</v>
      </c>
      <c r="L2340" s="1" t="s">
        <v>8987</v>
      </c>
      <c r="M2340" s="1">
        <f>216+1132</f>
        <v>1348</v>
      </c>
      <c r="N2340" s="1" t="s">
        <v>8953</v>
      </c>
      <c r="O2340" s="1" t="s">
        <v>8954</v>
      </c>
      <c r="P2340" s="1" t="e">
        <v>#N/A</v>
      </c>
      <c r="Q2340" s="1" t="e">
        <v>#N/A</v>
      </c>
      <c r="R2340" s="1">
        <f t="shared" si="672"/>
        <v>3</v>
      </c>
      <c r="S2340" s="1" t="str">
        <f t="shared" si="673"/>
        <v>&lt;4</v>
      </c>
      <c r="T2340" s="1" t="s">
        <v>19875</v>
      </c>
      <c r="U2340" s="1" t="s">
        <v>17</v>
      </c>
      <c r="V2340" s="1" t="s">
        <v>74</v>
      </c>
      <c r="W2340" s="1"/>
    </row>
    <row r="2341" spans="1:23" x14ac:dyDescent="0.2">
      <c r="A2341" s="94" t="s">
        <v>17544</v>
      </c>
      <c r="B2341" s="1" t="e">
        <v>#N/A</v>
      </c>
      <c r="C2341" s="1" t="e">
        <v>#N/A</v>
      </c>
      <c r="D2341" s="1" t="s">
        <v>6226</v>
      </c>
      <c r="E2341" s="1" t="s">
        <v>6227</v>
      </c>
      <c r="F2341" s="1" t="s">
        <v>18502</v>
      </c>
      <c r="G2341" s="1" t="e">
        <v>#N/A</v>
      </c>
      <c r="H2341" t="s">
        <v>9061</v>
      </c>
      <c r="I2341" s="1" t="s">
        <v>9035</v>
      </c>
      <c r="J2341" s="1" t="s">
        <v>8998</v>
      </c>
      <c r="K2341" s="1" t="e">
        <v>#N/A</v>
      </c>
      <c r="L2341" s="1" t="s">
        <v>8951</v>
      </c>
      <c r="M2341" s="1">
        <v>763</v>
      </c>
      <c r="N2341" s="1" t="s">
        <v>9059</v>
      </c>
      <c r="O2341" s="1" t="s">
        <v>8954</v>
      </c>
      <c r="P2341" s="1" t="e">
        <v>#N/A</v>
      </c>
      <c r="Q2341" s="1" t="e">
        <v>#N/A</v>
      </c>
      <c r="R2341" s="1">
        <f t="shared" si="672"/>
        <v>13</v>
      </c>
      <c r="S2341" s="1" t="str">
        <f t="shared" si="673"/>
        <v>&gt;7</v>
      </c>
      <c r="T2341" s="1" t="s">
        <v>19876</v>
      </c>
      <c r="U2341" s="1" t="s">
        <v>4</v>
      </c>
      <c r="V2341" s="1" t="s">
        <v>1979</v>
      </c>
      <c r="W2341" s="1"/>
    </row>
    <row r="2342" spans="1:23" x14ac:dyDescent="0.2">
      <c r="A2342" s="88" t="s">
        <v>17545</v>
      </c>
      <c r="B2342" s="1" t="e">
        <v>#N/A</v>
      </c>
      <c r="C2342" s="1" t="e">
        <v>#N/A</v>
      </c>
      <c r="D2342" s="1" t="s">
        <v>6228</v>
      </c>
      <c r="E2342" s="1" t="s">
        <v>6229</v>
      </c>
      <c r="F2342" s="1" t="s">
        <v>9642</v>
      </c>
      <c r="G2342" s="1" t="s">
        <v>9060</v>
      </c>
      <c r="H2342" t="s">
        <v>9061</v>
      </c>
      <c r="I2342" s="1" t="s">
        <v>9100</v>
      </c>
      <c r="J2342" s="1" t="s">
        <v>8998</v>
      </c>
      <c r="K2342" s="1" t="s">
        <v>20971</v>
      </c>
      <c r="L2342" s="1" t="s">
        <v>8951</v>
      </c>
      <c r="M2342" s="1">
        <v>188</v>
      </c>
      <c r="N2342" s="1" t="s">
        <v>9059</v>
      </c>
      <c r="O2342" s="1" t="s">
        <v>8954</v>
      </c>
      <c r="P2342" s="1" t="e">
        <v>#N/A</v>
      </c>
      <c r="Q2342" s="1" t="e">
        <v>#N/A</v>
      </c>
      <c r="R2342" s="1">
        <f t="shared" si="672"/>
        <v>12</v>
      </c>
      <c r="S2342" s="1" t="str">
        <f t="shared" si="673"/>
        <v>&gt;7</v>
      </c>
      <c r="T2342" s="1" t="s">
        <v>19877</v>
      </c>
      <c r="U2342" s="1" t="s">
        <v>7</v>
      </c>
      <c r="V2342" s="1" t="s">
        <v>126</v>
      </c>
      <c r="W2342" s="1"/>
    </row>
    <row r="2343" spans="1:23" x14ac:dyDescent="0.2">
      <c r="A2343" s="88" t="s">
        <v>17546</v>
      </c>
      <c r="B2343" s="1" t="e">
        <v>#N/A</v>
      </c>
      <c r="C2343" s="1" t="s">
        <v>11980</v>
      </c>
      <c r="D2343" s="1" t="s">
        <v>6230</v>
      </c>
      <c r="E2343" s="1" t="s">
        <v>6231</v>
      </c>
      <c r="F2343" s="1" t="s">
        <v>9010</v>
      </c>
      <c r="G2343" s="1" t="s">
        <v>8959</v>
      </c>
      <c r="H2343" t="s">
        <v>9183</v>
      </c>
      <c r="I2343" s="1" t="s">
        <v>9049</v>
      </c>
      <c r="J2343" s="1" t="s">
        <v>9121</v>
      </c>
      <c r="K2343" s="1" t="s">
        <v>10613</v>
      </c>
      <c r="L2343" s="1" t="s">
        <v>9292</v>
      </c>
      <c r="M2343" s="1">
        <v>1000</v>
      </c>
      <c r="N2343" s="1" t="s">
        <v>8953</v>
      </c>
      <c r="O2343" s="1" t="s">
        <v>8989</v>
      </c>
      <c r="P2343" s="1" t="s">
        <v>8955</v>
      </c>
      <c r="Q2343" s="1" t="s">
        <v>8956</v>
      </c>
      <c r="R2343" s="1" t="s">
        <v>8959</v>
      </c>
      <c r="S2343" s="1" t="s">
        <v>8958</v>
      </c>
      <c r="T2343" s="1" t="s">
        <v>6232</v>
      </c>
      <c r="U2343" s="1" t="s">
        <v>11</v>
      </c>
      <c r="V2343" s="1" t="s">
        <v>1110</v>
      </c>
      <c r="W2343" s="1"/>
    </row>
    <row r="2344" spans="1:23" x14ac:dyDescent="0.2">
      <c r="A2344" s="88" t="s">
        <v>17547</v>
      </c>
      <c r="B2344" s="1" t="e">
        <v>#N/A</v>
      </c>
      <c r="C2344" s="1" t="e">
        <v>#N/A</v>
      </c>
      <c r="D2344" s="1" t="s">
        <v>6233</v>
      </c>
      <c r="E2344" s="1" t="s">
        <v>6234</v>
      </c>
      <c r="F2344" s="1" t="s">
        <v>20972</v>
      </c>
      <c r="G2344" s="1" t="s">
        <v>8957</v>
      </c>
      <c r="H2344" t="s">
        <v>8959</v>
      </c>
      <c r="I2344" s="1" t="s">
        <v>9035</v>
      </c>
      <c r="J2344" s="1" t="s">
        <v>8998</v>
      </c>
      <c r="K2344" s="1" t="s">
        <v>21318</v>
      </c>
      <c r="L2344" s="1" t="s">
        <v>8973</v>
      </c>
      <c r="M2344" s="1">
        <v>1010</v>
      </c>
      <c r="N2344" s="1" t="s">
        <v>9059</v>
      </c>
      <c r="O2344" s="1" t="s">
        <v>8954</v>
      </c>
      <c r="P2344" s="1" t="e">
        <v>#N/A</v>
      </c>
      <c r="Q2344" s="1" t="e">
        <v>#N/A</v>
      </c>
      <c r="R2344" s="1">
        <f t="shared" ref="R2344:R2345" si="674">1+LEN(T2344)-LEN(SUBSTITUTE(T2344,",",))</f>
        <v>3</v>
      </c>
      <c r="S2344" s="1" t="str">
        <f t="shared" ref="S2344:S2345" si="675">IF(R2344&gt;4,IF(R2344&lt;8,"4-7",IF(R2344&gt;7,"&gt;7")),"&lt;4")</f>
        <v>&lt;4</v>
      </c>
      <c r="T2344" s="1" t="s">
        <v>19878</v>
      </c>
      <c r="U2344" s="1" t="s">
        <v>7</v>
      </c>
      <c r="V2344" s="1" t="s">
        <v>97</v>
      </c>
      <c r="W2344" s="1"/>
    </row>
    <row r="2345" spans="1:23" x14ac:dyDescent="0.2">
      <c r="A2345" s="88" t="s">
        <v>17548</v>
      </c>
      <c r="B2345" s="1" t="e">
        <v>#N/A</v>
      </c>
      <c r="C2345" s="1" t="e">
        <v>#N/A</v>
      </c>
      <c r="D2345" s="1" t="s">
        <v>6235</v>
      </c>
      <c r="E2345" s="1" t="s">
        <v>6236</v>
      </c>
      <c r="F2345" s="1" t="s">
        <v>20972</v>
      </c>
      <c r="G2345" s="1" t="s">
        <v>8957</v>
      </c>
      <c r="H2345" t="s">
        <v>8959</v>
      </c>
      <c r="I2345" s="1" t="s">
        <v>20973</v>
      </c>
      <c r="J2345" s="1" t="s">
        <v>8959</v>
      </c>
      <c r="K2345" s="1" t="s">
        <v>21423</v>
      </c>
      <c r="L2345" s="1" t="s">
        <v>8973</v>
      </c>
      <c r="M2345" s="1">
        <v>10000</v>
      </c>
      <c r="N2345" s="1" t="s">
        <v>8953</v>
      </c>
      <c r="O2345" s="1" t="s">
        <v>8989</v>
      </c>
      <c r="P2345" s="1" t="e">
        <v>#N/A</v>
      </c>
      <c r="Q2345" s="1" t="e">
        <v>#N/A</v>
      </c>
      <c r="R2345" s="1">
        <f t="shared" si="674"/>
        <v>6</v>
      </c>
      <c r="S2345" s="1" t="str">
        <f t="shared" si="675"/>
        <v>4-7</v>
      </c>
      <c r="T2345" s="1" t="s">
        <v>19879</v>
      </c>
      <c r="U2345" s="1" t="s">
        <v>17</v>
      </c>
      <c r="V2345" s="1" t="s">
        <v>2082</v>
      </c>
      <c r="W2345" s="1"/>
    </row>
    <row r="2346" spans="1:23" x14ac:dyDescent="0.2">
      <c r="A2346" s="88" t="s">
        <v>17549</v>
      </c>
      <c r="B2346" s="1" t="e">
        <v>#N/A</v>
      </c>
      <c r="C2346" s="1" t="s">
        <v>15043</v>
      </c>
      <c r="D2346" s="1" t="s">
        <v>6237</v>
      </c>
      <c r="E2346" s="1" t="s">
        <v>6238</v>
      </c>
      <c r="F2346" s="1" t="s">
        <v>9246</v>
      </c>
      <c r="G2346" s="1" t="s">
        <v>8959</v>
      </c>
      <c r="H2346" t="s">
        <v>9061</v>
      </c>
      <c r="I2346" s="1" t="s">
        <v>9252</v>
      </c>
      <c r="J2346" s="1" t="s">
        <v>9253</v>
      </c>
      <c r="K2346" s="1" t="s">
        <v>9036</v>
      </c>
      <c r="L2346" s="1" t="s">
        <v>9292</v>
      </c>
      <c r="M2346" s="1">
        <v>27000</v>
      </c>
      <c r="N2346" s="1" t="s">
        <v>8953</v>
      </c>
      <c r="O2346" s="1" t="s">
        <v>8954</v>
      </c>
      <c r="P2346" s="1" t="s">
        <v>8955</v>
      </c>
      <c r="Q2346" s="1" t="s">
        <v>8956</v>
      </c>
      <c r="R2346" s="1" t="s">
        <v>8959</v>
      </c>
      <c r="S2346" s="1" t="s">
        <v>8975</v>
      </c>
      <c r="T2346" s="1" t="s">
        <v>6239</v>
      </c>
      <c r="U2346" s="1" t="s">
        <v>17</v>
      </c>
      <c r="V2346" s="1" t="s">
        <v>147</v>
      </c>
      <c r="W2346" s="1"/>
    </row>
    <row r="2347" spans="1:23" x14ac:dyDescent="0.2">
      <c r="A2347" s="88" t="s">
        <v>17550</v>
      </c>
      <c r="B2347" s="1" t="e">
        <v>#N/A</v>
      </c>
      <c r="C2347" s="1" t="s">
        <v>13193</v>
      </c>
      <c r="D2347" s="1" t="s">
        <v>6240</v>
      </c>
      <c r="E2347" s="1" t="s">
        <v>6241</v>
      </c>
      <c r="F2347" s="1" t="s">
        <v>9246</v>
      </c>
      <c r="G2347" s="1" t="s">
        <v>8974</v>
      </c>
      <c r="H2347" t="s">
        <v>9061</v>
      </c>
      <c r="I2347" s="1" t="s">
        <v>9252</v>
      </c>
      <c r="J2347" s="1" t="s">
        <v>9253</v>
      </c>
      <c r="K2347" s="1" t="s">
        <v>9036</v>
      </c>
      <c r="L2347" s="1" t="s">
        <v>9076</v>
      </c>
      <c r="M2347" s="1">
        <v>2071</v>
      </c>
      <c r="N2347" s="1" t="s">
        <v>8953</v>
      </c>
      <c r="O2347" s="1" t="s">
        <v>8989</v>
      </c>
      <c r="P2347" s="1" t="s">
        <v>8955</v>
      </c>
      <c r="Q2347" s="1" t="s">
        <v>8956</v>
      </c>
      <c r="R2347" s="1" t="s">
        <v>8974</v>
      </c>
      <c r="S2347" s="1" t="s">
        <v>8975</v>
      </c>
      <c r="T2347" s="1" t="s">
        <v>6242</v>
      </c>
      <c r="U2347" s="1" t="s">
        <v>11</v>
      </c>
      <c r="V2347" s="1" t="s">
        <v>6243</v>
      </c>
      <c r="W2347" s="1"/>
    </row>
    <row r="2348" spans="1:23" x14ac:dyDescent="0.2">
      <c r="A2348" s="89" t="s">
        <v>6244</v>
      </c>
      <c r="B2348" s="1" t="e">
        <v>#N/A</v>
      </c>
      <c r="C2348" s="1" t="e">
        <v>#N/A</v>
      </c>
      <c r="D2348" s="1" t="s">
        <v>6245</v>
      </c>
      <c r="E2348" s="1" t="s">
        <v>6246</v>
      </c>
      <c r="F2348" s="1" t="e">
        <v>#N/A</v>
      </c>
      <c r="G2348" s="1" t="e">
        <v>#N/A</v>
      </c>
      <c r="H2348" t="e">
        <v>#N/A</v>
      </c>
      <c r="I2348" s="1" t="e">
        <v>#N/A</v>
      </c>
      <c r="J2348" s="1" t="e">
        <v>#N/A</v>
      </c>
      <c r="K2348" s="1" t="e">
        <v>#N/A</v>
      </c>
      <c r="L2348" s="1" t="e">
        <v>#N/A</v>
      </c>
      <c r="M2348" s="1" t="e">
        <v>#N/A</v>
      </c>
      <c r="N2348" s="1" t="e">
        <v>#N/A</v>
      </c>
      <c r="O2348" s="1" t="e">
        <v>#N/A</v>
      </c>
      <c r="P2348" s="1" t="e">
        <v>#N/A</v>
      </c>
      <c r="Q2348" s="1" t="e">
        <v>#N/A</v>
      </c>
      <c r="R2348" s="1">
        <f t="shared" ref="R2348:R2350" si="676">1+LEN(T2348)-LEN(SUBSTITUTE(T2348,",",))</f>
        <v>2</v>
      </c>
      <c r="S2348" s="1" t="str">
        <f t="shared" ref="S2348:S2350" si="677">IF(R2348&gt;4,IF(R2348&lt;8,"4-7",IF(R2348&gt;7,"&gt;7")),"&lt;4")</f>
        <v>&lt;4</v>
      </c>
      <c r="T2348" s="1" t="s">
        <v>19880</v>
      </c>
      <c r="U2348" s="1" t="s">
        <v>17</v>
      </c>
      <c r="V2348" s="1" t="s">
        <v>2021</v>
      </c>
      <c r="W2348" s="1"/>
    </row>
    <row r="2349" spans="1:23" x14ac:dyDescent="0.2">
      <c r="A2349" s="89" t="s">
        <v>6247</v>
      </c>
      <c r="B2349" s="1" t="e">
        <v>#N/A</v>
      </c>
      <c r="C2349" s="1" t="e">
        <v>#N/A</v>
      </c>
      <c r="D2349" s="1" t="s">
        <v>6248</v>
      </c>
      <c r="E2349" s="1" t="s">
        <v>6249</v>
      </c>
      <c r="F2349" s="1" t="e">
        <v>#N/A</v>
      </c>
      <c r="G2349" s="1" t="e">
        <v>#N/A</v>
      </c>
      <c r="H2349" t="e">
        <v>#N/A</v>
      </c>
      <c r="I2349" s="1" t="e">
        <v>#N/A</v>
      </c>
      <c r="J2349" s="1" t="e">
        <v>#N/A</v>
      </c>
      <c r="K2349" s="1" t="e">
        <v>#N/A</v>
      </c>
      <c r="L2349" s="1" t="e">
        <v>#N/A</v>
      </c>
      <c r="M2349" s="1" t="e">
        <v>#N/A</v>
      </c>
      <c r="N2349" s="1" t="e">
        <v>#N/A</v>
      </c>
      <c r="O2349" s="1" t="e">
        <v>#N/A</v>
      </c>
      <c r="P2349" s="1" t="e">
        <v>#N/A</v>
      </c>
      <c r="Q2349" s="1" t="e">
        <v>#N/A</v>
      </c>
      <c r="R2349" s="1">
        <f t="shared" si="676"/>
        <v>17</v>
      </c>
      <c r="S2349" s="1" t="str">
        <f t="shared" si="677"/>
        <v>&gt;7</v>
      </c>
      <c r="T2349" s="1" t="s">
        <v>20676</v>
      </c>
      <c r="U2349" s="1" t="s">
        <v>7</v>
      </c>
      <c r="V2349" s="1" t="s">
        <v>670</v>
      </c>
      <c r="W2349" s="1"/>
    </row>
    <row r="2350" spans="1:23" x14ac:dyDescent="0.2">
      <c r="A2350" s="88" t="s">
        <v>17551</v>
      </c>
      <c r="B2350" s="1" t="e">
        <v>#N/A</v>
      </c>
      <c r="C2350" s="1" t="e">
        <v>#N/A</v>
      </c>
      <c r="D2350" s="1" t="s">
        <v>6250</v>
      </c>
      <c r="E2350" s="1" t="s">
        <v>6251</v>
      </c>
      <c r="F2350" s="1" t="s">
        <v>18502</v>
      </c>
      <c r="G2350" s="1" t="s">
        <v>8957</v>
      </c>
      <c r="H2350" t="s">
        <v>8959</v>
      </c>
      <c r="I2350" s="1" t="s">
        <v>9035</v>
      </c>
      <c r="J2350" s="1" t="s">
        <v>9308</v>
      </c>
      <c r="K2350" s="1" t="s">
        <v>20727</v>
      </c>
      <c r="L2350" s="1" t="s">
        <v>8987</v>
      </c>
      <c r="M2350" s="1">
        <v>112120</v>
      </c>
      <c r="N2350" s="1" t="s">
        <v>8953</v>
      </c>
      <c r="O2350" s="1" t="s">
        <v>8954</v>
      </c>
      <c r="P2350" s="1" t="e">
        <v>#N/A</v>
      </c>
      <c r="Q2350" s="1" t="e">
        <v>#N/A</v>
      </c>
      <c r="R2350" s="1">
        <f t="shared" si="676"/>
        <v>4</v>
      </c>
      <c r="S2350" s="1" t="str">
        <f t="shared" si="677"/>
        <v>&lt;4</v>
      </c>
      <c r="T2350" s="1" t="s">
        <v>19881</v>
      </c>
      <c r="U2350" s="1" t="s">
        <v>7</v>
      </c>
      <c r="V2350" s="1" t="s">
        <v>93</v>
      </c>
      <c r="W2350" s="1"/>
    </row>
    <row r="2351" spans="1:23" x14ac:dyDescent="0.2">
      <c r="A2351" s="88" t="s">
        <v>17552</v>
      </c>
      <c r="B2351" s="1" t="e">
        <v>#N/A</v>
      </c>
      <c r="C2351" s="1" t="s">
        <v>14071</v>
      </c>
      <c r="D2351" s="1" t="s">
        <v>6252</v>
      </c>
      <c r="E2351" s="1" t="s">
        <v>6253</v>
      </c>
      <c r="F2351" s="1" t="s">
        <v>9327</v>
      </c>
      <c r="G2351" s="1" t="s">
        <v>8957</v>
      </c>
      <c r="H2351" t="s">
        <v>8959</v>
      </c>
      <c r="I2351" s="1" t="s">
        <v>9252</v>
      </c>
      <c r="J2351" s="1" t="s">
        <v>8985</v>
      </c>
      <c r="K2351" s="1" t="s">
        <v>14074</v>
      </c>
      <c r="L2351" s="1" t="s">
        <v>8987</v>
      </c>
      <c r="M2351" s="1">
        <v>174</v>
      </c>
      <c r="N2351" s="1" t="s">
        <v>8953</v>
      </c>
      <c r="O2351" s="1" t="s">
        <v>8989</v>
      </c>
      <c r="P2351" s="1" t="s">
        <v>8955</v>
      </c>
      <c r="Q2351" s="1" t="s">
        <v>8956</v>
      </c>
      <c r="R2351" s="1" t="s">
        <v>8957</v>
      </c>
      <c r="S2351" s="1" t="s">
        <v>8958</v>
      </c>
      <c r="T2351" s="1" t="s">
        <v>6254</v>
      </c>
      <c r="U2351" s="1" t="s">
        <v>4</v>
      </c>
      <c r="V2351" s="1" t="s">
        <v>1028</v>
      </c>
      <c r="W2351" s="1"/>
    </row>
    <row r="2352" spans="1:23" x14ac:dyDescent="0.2">
      <c r="A2352" s="88">
        <v>1</v>
      </c>
      <c r="B2352" t="e">
        <v>#N/A</v>
      </c>
      <c r="C2352" t="e">
        <v>#N/A</v>
      </c>
      <c r="D2352" s="1" t="s">
        <v>6255</v>
      </c>
      <c r="E2352" s="1" t="s">
        <v>6256</v>
      </c>
      <c r="F2352" s="1" t="s">
        <v>10032</v>
      </c>
      <c r="G2352" s="1" t="e">
        <v>#N/A</v>
      </c>
      <c r="H2352" t="s">
        <v>8959</v>
      </c>
      <c r="I2352" s="1" t="s">
        <v>9605</v>
      </c>
      <c r="J2352" s="1" t="s">
        <v>8971</v>
      </c>
      <c r="K2352" s="1" t="s">
        <v>10492</v>
      </c>
      <c r="L2352" s="1" t="s">
        <v>9133</v>
      </c>
      <c r="M2352" s="1">
        <v>1311</v>
      </c>
      <c r="N2352" s="1" t="s">
        <v>8953</v>
      </c>
      <c r="O2352" s="1" t="s">
        <v>8954</v>
      </c>
      <c r="P2352" s="1" t="e">
        <v>#N/A</v>
      </c>
      <c r="Q2352" s="1" t="e">
        <v>#N/A</v>
      </c>
      <c r="R2352" s="1">
        <f t="shared" ref="R2352:R2355" si="678">1+LEN(T2352)-LEN(SUBSTITUTE(T2352,",",))</f>
        <v>14</v>
      </c>
      <c r="S2352" s="1" t="str">
        <f t="shared" ref="S2352:S2355" si="679">IF(R2352&gt;4,IF(R2352&lt;8,"4-7",IF(R2352&gt;7,"&gt;7")),"&lt;4")</f>
        <v>&gt;7</v>
      </c>
      <c r="T2352" s="1" t="s">
        <v>19882</v>
      </c>
      <c r="U2352" s="1" t="s">
        <v>7</v>
      </c>
      <c r="V2352" s="1"/>
      <c r="W2352" s="1"/>
    </row>
    <row r="2353" spans="1:23" x14ac:dyDescent="0.2">
      <c r="A2353" s="88" t="s">
        <v>17553</v>
      </c>
      <c r="B2353" s="1" t="e">
        <v>#N/A</v>
      </c>
      <c r="C2353" s="1" t="e">
        <v>#N/A</v>
      </c>
      <c r="D2353" s="1" t="s">
        <v>6257</v>
      </c>
      <c r="E2353" s="1" t="s">
        <v>6258</v>
      </c>
      <c r="F2353" s="1" t="s">
        <v>20974</v>
      </c>
      <c r="G2353" s="1" t="s">
        <v>8974</v>
      </c>
      <c r="H2353" t="s">
        <v>8959</v>
      </c>
      <c r="I2353" s="1" t="s">
        <v>9100</v>
      </c>
      <c r="J2353" s="1" t="s">
        <v>9101</v>
      </c>
      <c r="K2353" s="1" t="s">
        <v>10492</v>
      </c>
      <c r="L2353" s="1" t="s">
        <v>9076</v>
      </c>
      <c r="M2353" s="1">
        <v>17</v>
      </c>
      <c r="N2353" s="1" t="s">
        <v>9059</v>
      </c>
      <c r="O2353" s="1" t="s">
        <v>8989</v>
      </c>
      <c r="P2353" s="1" t="e">
        <v>#N/A</v>
      </c>
      <c r="Q2353" s="1" t="e">
        <v>#N/A</v>
      </c>
      <c r="R2353" s="1">
        <f t="shared" si="678"/>
        <v>13</v>
      </c>
      <c r="S2353" s="1" t="str">
        <f t="shared" si="679"/>
        <v>&gt;7</v>
      </c>
      <c r="T2353" s="1" t="s">
        <v>19883</v>
      </c>
      <c r="U2353" s="1" t="s">
        <v>17</v>
      </c>
      <c r="V2353" s="1" t="s">
        <v>164</v>
      </c>
      <c r="W2353" s="1"/>
    </row>
    <row r="2354" spans="1:23" x14ac:dyDescent="0.2">
      <c r="A2354" s="88" t="s">
        <v>17554</v>
      </c>
      <c r="B2354" s="1" t="e">
        <v>#N/A</v>
      </c>
      <c r="C2354" s="1" t="e">
        <v>#N/A</v>
      </c>
      <c r="D2354" s="1" t="s">
        <v>6259</v>
      </c>
      <c r="E2354" s="1" t="s">
        <v>6260</v>
      </c>
      <c r="F2354" s="1" t="s">
        <v>10032</v>
      </c>
      <c r="G2354" s="1" t="s">
        <v>8957</v>
      </c>
      <c r="H2354" t="s">
        <v>8959</v>
      </c>
      <c r="I2354" s="1" t="s">
        <v>8984</v>
      </c>
      <c r="J2354" s="1" t="s">
        <v>9131</v>
      </c>
      <c r="K2354" s="1" t="s">
        <v>20975</v>
      </c>
      <c r="L2354" s="1" t="s">
        <v>8973</v>
      </c>
      <c r="M2354" s="1">
        <v>3000</v>
      </c>
      <c r="N2354" s="1" t="s">
        <v>8953</v>
      </c>
      <c r="O2354" s="1" t="s">
        <v>8989</v>
      </c>
      <c r="P2354" s="1" t="e">
        <v>#N/A</v>
      </c>
      <c r="Q2354" s="1" t="e">
        <v>#N/A</v>
      </c>
      <c r="R2354" s="1">
        <f t="shared" si="678"/>
        <v>3</v>
      </c>
      <c r="S2354" s="1" t="str">
        <f t="shared" si="679"/>
        <v>&lt;4</v>
      </c>
      <c r="T2354" s="1" t="s">
        <v>19884</v>
      </c>
      <c r="U2354" s="1" t="s">
        <v>17</v>
      </c>
      <c r="V2354" s="1" t="s">
        <v>6261</v>
      </c>
      <c r="W2354" s="1"/>
    </row>
    <row r="2355" spans="1:23" x14ac:dyDescent="0.2">
      <c r="A2355" s="88" t="s">
        <v>17555</v>
      </c>
      <c r="B2355" s="1" t="e">
        <v>#N/A</v>
      </c>
      <c r="C2355" s="1" t="e">
        <v>#N/A</v>
      </c>
      <c r="D2355" s="1" t="s">
        <v>6262</v>
      </c>
      <c r="E2355" s="1" t="s">
        <v>6263</v>
      </c>
      <c r="F2355" s="1" t="s">
        <v>20976</v>
      </c>
      <c r="G2355" s="1" t="s">
        <v>8957</v>
      </c>
      <c r="H2355" t="s">
        <v>8959</v>
      </c>
      <c r="I2355" s="1" t="s">
        <v>9100</v>
      </c>
      <c r="J2355" s="1" t="s">
        <v>12453</v>
      </c>
      <c r="K2355" s="1" t="s">
        <v>20971</v>
      </c>
      <c r="L2355" s="1" t="s">
        <v>8951</v>
      </c>
      <c r="M2355" s="1">
        <v>49</v>
      </c>
      <c r="N2355" s="1" t="s">
        <v>9059</v>
      </c>
      <c r="O2355" s="1" t="s">
        <v>8989</v>
      </c>
      <c r="P2355" s="1" t="e">
        <v>#N/A</v>
      </c>
      <c r="Q2355" s="1" t="e">
        <v>#N/A</v>
      </c>
      <c r="R2355" s="1">
        <f t="shared" si="678"/>
        <v>7</v>
      </c>
      <c r="S2355" s="1" t="str">
        <f t="shared" si="679"/>
        <v>4-7</v>
      </c>
      <c r="T2355" s="1" t="s">
        <v>19885</v>
      </c>
      <c r="U2355" s="1" t="s">
        <v>17</v>
      </c>
      <c r="V2355" s="1" t="s">
        <v>74</v>
      </c>
      <c r="W2355" s="1"/>
    </row>
    <row r="2356" spans="1:23" x14ac:dyDescent="0.2">
      <c r="A2356" s="88" t="s">
        <v>17556</v>
      </c>
      <c r="B2356" s="1" t="e">
        <v>#N/A</v>
      </c>
      <c r="C2356" s="1" t="s">
        <v>12566</v>
      </c>
      <c r="D2356" s="1" t="s">
        <v>6264</v>
      </c>
      <c r="E2356" s="1" t="s">
        <v>6265</v>
      </c>
      <c r="F2356" s="1" t="s">
        <v>9317</v>
      </c>
      <c r="G2356" s="1" t="s">
        <v>8957</v>
      </c>
      <c r="H2356" t="s">
        <v>8959</v>
      </c>
      <c r="I2356" s="1" t="s">
        <v>9100</v>
      </c>
      <c r="J2356" s="1" t="s">
        <v>9131</v>
      </c>
      <c r="K2356" s="1" t="s">
        <v>9051</v>
      </c>
      <c r="L2356" s="1" t="s">
        <v>8951</v>
      </c>
      <c r="M2356" s="1">
        <v>25</v>
      </c>
      <c r="N2356" s="1" t="s">
        <v>8953</v>
      </c>
      <c r="O2356" s="1" t="s">
        <v>8989</v>
      </c>
      <c r="P2356" s="1" t="s">
        <v>8955</v>
      </c>
      <c r="Q2356" s="1" t="s">
        <v>8956</v>
      </c>
      <c r="R2356" s="1" t="s">
        <v>8957</v>
      </c>
      <c r="S2356" s="1" t="s">
        <v>8975</v>
      </c>
      <c r="T2356" s="1" t="s">
        <v>6266</v>
      </c>
      <c r="U2356" s="1" t="s">
        <v>11</v>
      </c>
      <c r="V2356" s="1" t="s">
        <v>64</v>
      </c>
      <c r="W2356" s="1"/>
    </row>
    <row r="2357" spans="1:23" x14ac:dyDescent="0.2">
      <c r="A2357" s="95" t="s">
        <v>20978</v>
      </c>
      <c r="B2357" s="1" t="e">
        <v>#N/A</v>
      </c>
      <c r="C2357" s="1" t="e">
        <v>#N/A</v>
      </c>
      <c r="D2357" s="1" t="s">
        <v>20977</v>
      </c>
      <c r="E2357" s="1" t="s">
        <v>6267</v>
      </c>
      <c r="F2357" s="1" t="s">
        <v>10049</v>
      </c>
      <c r="G2357" s="1" t="s">
        <v>8959</v>
      </c>
      <c r="H2357" t="s">
        <v>8959</v>
      </c>
      <c r="I2357" s="1" t="s">
        <v>9075</v>
      </c>
      <c r="J2357" s="1" t="s">
        <v>8949</v>
      </c>
      <c r="K2357" s="1" t="s">
        <v>21214</v>
      </c>
      <c r="L2357" s="1" t="s">
        <v>8987</v>
      </c>
      <c r="M2357" s="1">
        <f>213990+29555+40033</f>
        <v>283578</v>
      </c>
      <c r="N2357" s="1" t="s">
        <v>8953</v>
      </c>
      <c r="O2357" s="1" t="s">
        <v>8989</v>
      </c>
      <c r="P2357" s="1" t="e">
        <v>#N/A</v>
      </c>
      <c r="Q2357" s="1" t="e">
        <v>#N/A</v>
      </c>
      <c r="R2357" s="1">
        <f>1+LEN(T2357)-LEN(SUBSTITUTE(T2357,",",))</f>
        <v>5</v>
      </c>
      <c r="S2357" s="1" t="str">
        <f>IF(R2357&gt;4,IF(R2357&lt;8,"4-7",IF(R2357&gt;7,"&gt;7")),"&lt;4")</f>
        <v>4-7</v>
      </c>
      <c r="T2357" s="1" t="s">
        <v>19886</v>
      </c>
      <c r="U2357" s="1" t="s">
        <v>7</v>
      </c>
      <c r="V2357" s="1" t="s">
        <v>61</v>
      </c>
      <c r="W2357" s="1"/>
    </row>
    <row r="2358" spans="1:23" x14ac:dyDescent="0.2">
      <c r="A2358" s="88" t="s">
        <v>17557</v>
      </c>
      <c r="B2358" s="1" t="e">
        <v>#N/A</v>
      </c>
      <c r="C2358" s="1" t="s">
        <v>12988</v>
      </c>
      <c r="D2358" s="1" t="s">
        <v>6268</v>
      </c>
      <c r="E2358" s="1" t="s">
        <v>6269</v>
      </c>
      <c r="F2358" s="1" t="s">
        <v>9010</v>
      </c>
      <c r="G2358" s="1" t="s">
        <v>8957</v>
      </c>
      <c r="H2358" t="s">
        <v>9061</v>
      </c>
      <c r="I2358" s="1" t="s">
        <v>8984</v>
      </c>
      <c r="J2358" s="1" t="s">
        <v>8998</v>
      </c>
      <c r="K2358" s="1" t="s">
        <v>10930</v>
      </c>
      <c r="L2358" s="1" t="s">
        <v>8973</v>
      </c>
      <c r="M2358" s="1">
        <v>82</v>
      </c>
      <c r="N2358" s="1" t="s">
        <v>8953</v>
      </c>
      <c r="O2358" s="1" t="s">
        <v>8989</v>
      </c>
      <c r="P2358" s="1" t="s">
        <v>8955</v>
      </c>
      <c r="Q2358" s="1" t="s">
        <v>8956</v>
      </c>
      <c r="R2358" s="1" t="s">
        <v>8957</v>
      </c>
      <c r="S2358" s="1" t="s">
        <v>8958</v>
      </c>
      <c r="T2358" s="1" t="s">
        <v>6270</v>
      </c>
      <c r="U2358" s="1" t="s">
        <v>11</v>
      </c>
      <c r="V2358" s="1" t="s">
        <v>126</v>
      </c>
      <c r="W2358" s="1"/>
    </row>
    <row r="2359" spans="1:23" x14ac:dyDescent="0.2">
      <c r="A2359" s="88" t="s">
        <v>17558</v>
      </c>
      <c r="B2359" s="1" t="e">
        <v>#N/A</v>
      </c>
      <c r="C2359" s="1" t="s">
        <v>12746</v>
      </c>
      <c r="D2359" s="1" t="s">
        <v>6271</v>
      </c>
      <c r="E2359" s="1" t="s">
        <v>6272</v>
      </c>
      <c r="F2359" s="1" t="s">
        <v>9333</v>
      </c>
      <c r="G2359" s="1" t="s">
        <v>9060</v>
      </c>
      <c r="H2359" t="s">
        <v>8959</v>
      </c>
      <c r="I2359" s="1" t="s">
        <v>8984</v>
      </c>
      <c r="J2359" s="1" t="s">
        <v>8998</v>
      </c>
      <c r="K2359" s="1" t="s">
        <v>9436</v>
      </c>
      <c r="L2359" s="1" t="s">
        <v>8973</v>
      </c>
      <c r="M2359" s="1">
        <v>150</v>
      </c>
      <c r="N2359" s="1" t="s">
        <v>8953</v>
      </c>
      <c r="O2359" s="1" t="s">
        <v>8954</v>
      </c>
      <c r="P2359" s="1" t="s">
        <v>8955</v>
      </c>
      <c r="Q2359" s="1" t="s">
        <v>8956</v>
      </c>
      <c r="R2359" s="1" t="s">
        <v>9060</v>
      </c>
      <c r="S2359" s="1" t="s">
        <v>8975</v>
      </c>
      <c r="T2359" s="1" t="s">
        <v>6273</v>
      </c>
      <c r="U2359" s="1" t="s">
        <v>11</v>
      </c>
      <c r="V2359" s="1" t="s">
        <v>43</v>
      </c>
      <c r="W2359" s="1"/>
    </row>
    <row r="2360" spans="1:23" x14ac:dyDescent="0.2">
      <c r="A2360" s="88" t="s">
        <v>17559</v>
      </c>
      <c r="B2360" s="1" t="e">
        <v>#N/A</v>
      </c>
      <c r="C2360" s="1" t="s">
        <v>15074</v>
      </c>
      <c r="D2360" s="1" t="s">
        <v>6274</v>
      </c>
      <c r="E2360" s="1" t="s">
        <v>6275</v>
      </c>
      <c r="F2360" s="1" t="s">
        <v>9317</v>
      </c>
      <c r="G2360" s="1" t="s">
        <v>8957</v>
      </c>
      <c r="H2360" t="s">
        <v>8959</v>
      </c>
      <c r="I2360" s="1" t="s">
        <v>8948</v>
      </c>
      <c r="J2360" s="1" t="s">
        <v>8949</v>
      </c>
      <c r="K2360" s="1" t="s">
        <v>9036</v>
      </c>
      <c r="L2360" s="1" t="s">
        <v>8973</v>
      </c>
      <c r="M2360" s="1">
        <v>75</v>
      </c>
      <c r="N2360" s="1" t="s">
        <v>8953</v>
      </c>
      <c r="O2360" s="1" t="s">
        <v>8954</v>
      </c>
      <c r="P2360" s="1" t="s">
        <v>8955</v>
      </c>
      <c r="Q2360" s="1" t="s">
        <v>8956</v>
      </c>
      <c r="R2360" s="1" t="s">
        <v>8957</v>
      </c>
      <c r="S2360" s="1" t="s">
        <v>8958</v>
      </c>
      <c r="T2360" s="1" t="s">
        <v>6276</v>
      </c>
      <c r="U2360" s="1" t="s">
        <v>17</v>
      </c>
      <c r="V2360" s="1" t="s">
        <v>392</v>
      </c>
      <c r="W2360" s="1"/>
    </row>
    <row r="2361" spans="1:23" x14ac:dyDescent="0.2">
      <c r="A2361" s="88" t="s">
        <v>17560</v>
      </c>
      <c r="B2361" s="1" t="e">
        <v>#N/A</v>
      </c>
      <c r="C2361" s="1" t="e">
        <v>#N/A</v>
      </c>
      <c r="D2361" s="1" t="s">
        <v>6277</v>
      </c>
      <c r="E2361" s="1" t="s">
        <v>6278</v>
      </c>
      <c r="F2361" s="1" t="s">
        <v>18502</v>
      </c>
      <c r="G2361" s="1" t="s">
        <v>8957</v>
      </c>
      <c r="H2361" t="s">
        <v>8959</v>
      </c>
      <c r="I2361" s="1" t="s">
        <v>8984</v>
      </c>
      <c r="J2361" s="1" t="s">
        <v>8985</v>
      </c>
      <c r="K2361" s="1" t="s">
        <v>21430</v>
      </c>
      <c r="L2361" s="1" t="s">
        <v>8973</v>
      </c>
      <c r="M2361" s="1">
        <v>2050</v>
      </c>
      <c r="N2361" s="1" t="s">
        <v>20915</v>
      </c>
      <c r="O2361" s="1" t="s">
        <v>8954</v>
      </c>
      <c r="P2361" s="1" t="e">
        <v>#N/A</v>
      </c>
      <c r="Q2361" s="1" t="e">
        <v>#N/A</v>
      </c>
      <c r="R2361" s="1">
        <f t="shared" ref="R2361:R2365" si="680">1+LEN(T2361)-LEN(SUBSTITUTE(T2361,",",))</f>
        <v>9</v>
      </c>
      <c r="S2361" s="1" t="str">
        <f t="shared" ref="S2361:S2365" si="681">IF(R2361&gt;4,IF(R2361&lt;8,"4-7",IF(R2361&gt;7,"&gt;7")),"&lt;4")</f>
        <v>&gt;7</v>
      </c>
      <c r="T2361" s="1" t="s">
        <v>19887</v>
      </c>
      <c r="U2361" s="1" t="s">
        <v>7</v>
      </c>
      <c r="V2361" s="1" t="s">
        <v>5204</v>
      </c>
      <c r="W2361" s="1"/>
    </row>
    <row r="2362" spans="1:23" x14ac:dyDescent="0.2">
      <c r="A2362" s="88" t="s">
        <v>17561</v>
      </c>
      <c r="B2362" s="1" t="e">
        <v>#N/A</v>
      </c>
      <c r="C2362" s="1" t="e">
        <v>#N/A</v>
      </c>
      <c r="D2362" s="1" t="s">
        <v>6279</v>
      </c>
      <c r="E2362" s="1" t="s">
        <v>6280</v>
      </c>
      <c r="F2362" s="1" t="s">
        <v>9815</v>
      </c>
      <c r="G2362" s="1" t="s">
        <v>8959</v>
      </c>
      <c r="H2362" t="s">
        <v>8959</v>
      </c>
      <c r="I2362" s="1" t="s">
        <v>9035</v>
      </c>
      <c r="J2362" s="1" t="s">
        <v>8998</v>
      </c>
      <c r="K2362" s="1" t="s">
        <v>10492</v>
      </c>
      <c r="L2362" s="1" t="s">
        <v>8973</v>
      </c>
      <c r="M2362" s="1">
        <v>55</v>
      </c>
      <c r="N2362" s="1" t="s">
        <v>9059</v>
      </c>
      <c r="O2362" s="1" t="s">
        <v>8989</v>
      </c>
      <c r="P2362" s="1" t="e">
        <v>#N/A</v>
      </c>
      <c r="Q2362" s="1" t="e">
        <v>#N/A</v>
      </c>
      <c r="R2362" s="1">
        <f t="shared" si="680"/>
        <v>3</v>
      </c>
      <c r="S2362" s="1" t="str">
        <f t="shared" si="681"/>
        <v>&lt;4</v>
      </c>
      <c r="T2362" s="1" t="s">
        <v>19888</v>
      </c>
      <c r="U2362" s="1" t="s">
        <v>7</v>
      </c>
      <c r="V2362" s="1" t="s">
        <v>46</v>
      </c>
      <c r="W2362" s="1"/>
    </row>
    <row r="2363" spans="1:23" x14ac:dyDescent="0.2">
      <c r="A2363" s="88" t="s">
        <v>17562</v>
      </c>
      <c r="B2363" s="1" t="e">
        <v>#N/A</v>
      </c>
      <c r="C2363" s="1" t="e">
        <v>#N/A</v>
      </c>
      <c r="D2363" s="1" t="s">
        <v>6281</v>
      </c>
      <c r="E2363" s="1" t="s">
        <v>6282</v>
      </c>
      <c r="F2363" s="1" t="s">
        <v>9246</v>
      </c>
      <c r="G2363" s="1" t="s">
        <v>8959</v>
      </c>
      <c r="H2363" t="s">
        <v>8959</v>
      </c>
      <c r="I2363" s="1" t="s">
        <v>9035</v>
      </c>
      <c r="J2363" s="1" t="s">
        <v>8971</v>
      </c>
      <c r="K2363" s="1" t="s">
        <v>21386</v>
      </c>
      <c r="L2363" s="1" t="s">
        <v>8987</v>
      </c>
      <c r="M2363" s="1">
        <v>58924</v>
      </c>
      <c r="N2363" s="1" t="s">
        <v>8953</v>
      </c>
      <c r="O2363" s="1" t="s">
        <v>8954</v>
      </c>
      <c r="P2363" s="1" t="e">
        <v>#N/A</v>
      </c>
      <c r="Q2363" s="1" t="e">
        <v>#N/A</v>
      </c>
      <c r="R2363" s="1">
        <f t="shared" si="680"/>
        <v>22</v>
      </c>
      <c r="S2363" s="1" t="str">
        <f t="shared" si="681"/>
        <v>&gt;7</v>
      </c>
      <c r="T2363" s="1" t="s">
        <v>19889</v>
      </c>
      <c r="U2363" s="1" t="s">
        <v>7</v>
      </c>
      <c r="V2363" s="1" t="s">
        <v>61</v>
      </c>
      <c r="W2363" s="1"/>
    </row>
    <row r="2364" spans="1:23" x14ac:dyDescent="0.2">
      <c r="A2364" s="88" t="s">
        <v>17563</v>
      </c>
      <c r="B2364" s="1" t="e">
        <v>#N/A</v>
      </c>
      <c r="C2364" s="1" t="e">
        <v>#N/A</v>
      </c>
      <c r="D2364" s="1" t="s">
        <v>6283</v>
      </c>
      <c r="E2364" s="1" t="s">
        <v>6284</v>
      </c>
      <c r="F2364" s="1" t="s">
        <v>9380</v>
      </c>
      <c r="G2364" s="1" t="s">
        <v>8957</v>
      </c>
      <c r="H2364" t="s">
        <v>8959</v>
      </c>
      <c r="I2364" s="1" t="s">
        <v>9154</v>
      </c>
      <c r="J2364" s="1" t="s">
        <v>9308</v>
      </c>
      <c r="K2364" s="1" t="s">
        <v>21387</v>
      </c>
      <c r="L2364" s="1" t="s">
        <v>9076</v>
      </c>
      <c r="M2364" s="1">
        <f>271+39</f>
        <v>310</v>
      </c>
      <c r="N2364" s="1" t="s">
        <v>11658</v>
      </c>
      <c r="O2364" s="1" t="s">
        <v>8989</v>
      </c>
      <c r="P2364" s="1" t="e">
        <v>#N/A</v>
      </c>
      <c r="Q2364" s="1" t="e">
        <v>#N/A</v>
      </c>
      <c r="R2364" s="1">
        <f t="shared" si="680"/>
        <v>4</v>
      </c>
      <c r="S2364" s="1" t="str">
        <f t="shared" si="681"/>
        <v>&lt;4</v>
      </c>
      <c r="T2364" s="1" t="s">
        <v>19890</v>
      </c>
      <c r="U2364" s="1" t="s">
        <v>7</v>
      </c>
      <c r="V2364" s="1" t="s">
        <v>46</v>
      </c>
      <c r="W2364" s="1"/>
    </row>
    <row r="2365" spans="1:23" x14ac:dyDescent="0.2">
      <c r="A2365" s="88" t="s">
        <v>17564</v>
      </c>
      <c r="B2365" s="1" t="e">
        <v>#N/A</v>
      </c>
      <c r="C2365" s="1" t="e">
        <v>#N/A</v>
      </c>
      <c r="D2365" s="1" t="s">
        <v>6285</v>
      </c>
      <c r="E2365" s="1" t="s">
        <v>6286</v>
      </c>
      <c r="F2365" s="1" t="s">
        <v>18502</v>
      </c>
      <c r="G2365" s="1" t="s">
        <v>8957</v>
      </c>
      <c r="H2365" t="s">
        <v>8959</v>
      </c>
      <c r="I2365" s="1" t="s">
        <v>9605</v>
      </c>
      <c r="J2365" s="1" t="s">
        <v>9101</v>
      </c>
      <c r="K2365" s="1" t="s">
        <v>21205</v>
      </c>
      <c r="L2365" s="1" t="s">
        <v>9076</v>
      </c>
      <c r="M2365" s="1">
        <f>14900+20000+5500+995+30000+16000+500+1500+10000</f>
        <v>99395</v>
      </c>
      <c r="N2365" s="1" t="s">
        <v>8953</v>
      </c>
      <c r="O2365" s="1" t="s">
        <v>8954</v>
      </c>
      <c r="P2365" s="1" t="e">
        <v>#N/A</v>
      </c>
      <c r="Q2365" s="1" t="e">
        <v>#N/A</v>
      </c>
      <c r="R2365" s="1">
        <f t="shared" si="680"/>
        <v>2</v>
      </c>
      <c r="S2365" s="1" t="str">
        <f t="shared" si="681"/>
        <v>&lt;4</v>
      </c>
      <c r="T2365" s="1" t="s">
        <v>19891</v>
      </c>
      <c r="U2365" s="1" t="s">
        <v>17</v>
      </c>
      <c r="V2365" s="1" t="s">
        <v>493</v>
      </c>
      <c r="W2365" s="1"/>
    </row>
    <row r="2366" spans="1:23" x14ac:dyDescent="0.2">
      <c r="A2366" s="88" t="s">
        <v>17565</v>
      </c>
      <c r="B2366" s="1" t="e">
        <v>#N/A</v>
      </c>
      <c r="C2366" s="1" t="s">
        <v>9383</v>
      </c>
      <c r="D2366" s="1" t="s">
        <v>6287</v>
      </c>
      <c r="E2366" s="1" t="s">
        <v>6288</v>
      </c>
      <c r="F2366" s="1" t="s">
        <v>9387</v>
      </c>
      <c r="G2366" s="1" t="s">
        <v>8957</v>
      </c>
      <c r="H2366" t="s">
        <v>8959</v>
      </c>
      <c r="I2366" s="1" t="s">
        <v>9191</v>
      </c>
      <c r="J2366" s="1" t="s">
        <v>9101</v>
      </c>
      <c r="K2366" s="1" t="s">
        <v>9386</v>
      </c>
      <c r="L2366" s="1" t="s">
        <v>8987</v>
      </c>
      <c r="M2366" s="1">
        <v>1228</v>
      </c>
      <c r="N2366" s="1" t="s">
        <v>8953</v>
      </c>
      <c r="O2366" s="1" t="s">
        <v>8954</v>
      </c>
      <c r="P2366" s="1" t="s">
        <v>8955</v>
      </c>
      <c r="Q2366" s="1" t="s">
        <v>8956</v>
      </c>
      <c r="R2366" s="1" t="s">
        <v>8957</v>
      </c>
      <c r="S2366" s="1" t="s">
        <v>8975</v>
      </c>
      <c r="T2366" s="1" t="s">
        <v>6289</v>
      </c>
      <c r="U2366" s="1" t="s">
        <v>17</v>
      </c>
      <c r="V2366" s="1" t="s">
        <v>126</v>
      </c>
      <c r="W2366" s="1"/>
    </row>
    <row r="2367" spans="1:23" x14ac:dyDescent="0.2">
      <c r="A2367" s="89" t="s">
        <v>6290</v>
      </c>
      <c r="B2367" s="1" t="e">
        <v>#N/A</v>
      </c>
      <c r="C2367" s="1" t="e">
        <v>#N/A</v>
      </c>
      <c r="D2367" s="1" t="s">
        <v>6291</v>
      </c>
      <c r="E2367" s="1" t="s">
        <v>6292</v>
      </c>
      <c r="F2367" s="1" t="e">
        <v>#N/A</v>
      </c>
      <c r="G2367" s="1" t="e">
        <v>#N/A</v>
      </c>
      <c r="H2367" t="e">
        <v>#N/A</v>
      </c>
      <c r="I2367" s="1" t="e">
        <v>#N/A</v>
      </c>
      <c r="J2367" s="1" t="e">
        <v>#N/A</v>
      </c>
      <c r="K2367" s="1" t="e">
        <v>#N/A</v>
      </c>
      <c r="L2367" s="1" t="e">
        <v>#N/A</v>
      </c>
      <c r="M2367" s="1" t="e">
        <v>#N/A</v>
      </c>
      <c r="N2367" s="1" t="e">
        <v>#N/A</v>
      </c>
      <c r="O2367" s="1" t="e">
        <v>#N/A</v>
      </c>
      <c r="P2367" s="1" t="e">
        <v>#N/A</v>
      </c>
      <c r="Q2367" s="1" t="e">
        <v>#N/A</v>
      </c>
      <c r="R2367" s="1">
        <f>1+LEN(T2367)-LEN(SUBSTITUTE(T2367,",",))</f>
        <v>3</v>
      </c>
      <c r="S2367" s="1" t="str">
        <f>IF(R2367&gt;4,IF(R2367&lt;8,"4-7",IF(R2367&gt;7,"&gt;7")),"&lt;4")</f>
        <v>&lt;4</v>
      </c>
      <c r="T2367" s="1" t="s">
        <v>19892</v>
      </c>
      <c r="U2367" s="1" t="s">
        <v>17</v>
      </c>
      <c r="V2367" s="1" t="s">
        <v>6293</v>
      </c>
      <c r="W2367" s="1"/>
    </row>
    <row r="2368" spans="1:23" x14ac:dyDescent="0.2">
      <c r="A2368" s="88" t="s">
        <v>17566</v>
      </c>
      <c r="B2368" s="1" t="e">
        <v>#N/A</v>
      </c>
      <c r="C2368" s="1" t="s">
        <v>13436</v>
      </c>
      <c r="D2368" s="1" t="s">
        <v>6294</v>
      </c>
      <c r="E2368" s="1" t="s">
        <v>6295</v>
      </c>
      <c r="F2368" s="1" t="s">
        <v>9010</v>
      </c>
      <c r="G2368" s="1" t="s">
        <v>8957</v>
      </c>
      <c r="H2368" t="s">
        <v>8959</v>
      </c>
      <c r="I2368" s="1" t="s">
        <v>9092</v>
      </c>
      <c r="J2368" s="1" t="s">
        <v>9308</v>
      </c>
      <c r="K2368" s="1" t="s">
        <v>13439</v>
      </c>
      <c r="L2368" s="1" t="s">
        <v>9292</v>
      </c>
      <c r="M2368" s="1">
        <v>974</v>
      </c>
      <c r="N2368" s="1" t="s">
        <v>8953</v>
      </c>
      <c r="O2368" s="1" t="s">
        <v>8989</v>
      </c>
      <c r="P2368" s="1" t="s">
        <v>8955</v>
      </c>
      <c r="Q2368" s="1" t="s">
        <v>8956</v>
      </c>
      <c r="R2368" s="1" t="s">
        <v>8957</v>
      </c>
      <c r="S2368" s="1" t="s">
        <v>8975</v>
      </c>
      <c r="T2368" s="1" t="s">
        <v>6296</v>
      </c>
      <c r="U2368" s="1" t="s">
        <v>4</v>
      </c>
      <c r="V2368" s="1" t="s">
        <v>46</v>
      </c>
      <c r="W2368" s="1"/>
    </row>
    <row r="2369" spans="1:23" x14ac:dyDescent="0.2">
      <c r="A2369" s="88" t="s">
        <v>17567</v>
      </c>
      <c r="B2369" s="1" t="e">
        <v>#N/A</v>
      </c>
      <c r="C2369" s="1" t="e">
        <v>#N/A</v>
      </c>
      <c r="D2369" s="1" t="s">
        <v>6297</v>
      </c>
      <c r="E2369" s="1" t="s">
        <v>6298</v>
      </c>
      <c r="F2369" s="1" t="s">
        <v>10873</v>
      </c>
      <c r="G2369" s="1" t="s">
        <v>8957</v>
      </c>
      <c r="H2369" t="s">
        <v>9061</v>
      </c>
      <c r="I2369" s="1" t="s">
        <v>9154</v>
      </c>
      <c r="J2369" s="1" t="s">
        <v>8949</v>
      </c>
      <c r="K2369" s="1" t="s">
        <v>20979</v>
      </c>
      <c r="L2369" s="1" t="s">
        <v>8973</v>
      </c>
      <c r="M2369" s="1">
        <f>3975+2029</f>
        <v>6004</v>
      </c>
      <c r="N2369" s="1" t="s">
        <v>9059</v>
      </c>
      <c r="O2369" s="1" t="s">
        <v>8954</v>
      </c>
      <c r="P2369" s="1" t="e">
        <v>#N/A</v>
      </c>
      <c r="Q2369" s="1" t="e">
        <v>#N/A</v>
      </c>
      <c r="R2369" s="1">
        <f>1+LEN(T2369)-LEN(SUBSTITUTE(T2369,",",))</f>
        <v>8</v>
      </c>
      <c r="S2369" s="1" t="str">
        <f>IF(R2369&gt;4,IF(R2369&lt;8,"4-7",IF(R2369&gt;7,"&gt;7")),"&lt;4")</f>
        <v>&gt;7</v>
      </c>
      <c r="T2369" s="1" t="s">
        <v>19893</v>
      </c>
      <c r="U2369" s="1" t="s">
        <v>7</v>
      </c>
      <c r="V2369" s="1" t="s">
        <v>652</v>
      </c>
      <c r="W2369" s="1"/>
    </row>
    <row r="2370" spans="1:23" x14ac:dyDescent="0.2">
      <c r="A2370" s="88" t="s">
        <v>17568</v>
      </c>
      <c r="B2370" s="1" t="e">
        <v>#N/A</v>
      </c>
      <c r="C2370" s="1" t="s">
        <v>9338</v>
      </c>
      <c r="D2370" s="1" t="s">
        <v>6299</v>
      </c>
      <c r="E2370" s="1" t="s">
        <v>6300</v>
      </c>
      <c r="F2370" s="1" t="s">
        <v>9317</v>
      </c>
      <c r="G2370" s="1" t="s">
        <v>8957</v>
      </c>
      <c r="H2370" t="s">
        <v>8959</v>
      </c>
      <c r="I2370" s="1" t="s">
        <v>8984</v>
      </c>
      <c r="J2370" s="1" t="s">
        <v>8998</v>
      </c>
      <c r="K2370" s="1" t="s">
        <v>10218</v>
      </c>
      <c r="L2370" s="1" t="s">
        <v>9076</v>
      </c>
      <c r="M2370" s="1">
        <v>60</v>
      </c>
      <c r="N2370" s="1" t="s">
        <v>8953</v>
      </c>
      <c r="O2370" s="1" t="s">
        <v>8954</v>
      </c>
      <c r="P2370" s="1" t="s">
        <v>8955</v>
      </c>
      <c r="Q2370" s="1" t="s">
        <v>8990</v>
      </c>
      <c r="R2370" s="1" t="s">
        <v>8957</v>
      </c>
      <c r="S2370" s="1" t="s">
        <v>8975</v>
      </c>
      <c r="T2370" s="1" t="s">
        <v>6301</v>
      </c>
      <c r="U2370" s="1" t="s">
        <v>17</v>
      </c>
      <c r="V2370" s="1" t="s">
        <v>64</v>
      </c>
      <c r="W2370" s="1"/>
    </row>
    <row r="2371" spans="1:23" x14ac:dyDescent="0.2">
      <c r="A2371" s="88" t="s">
        <v>17569</v>
      </c>
      <c r="B2371" s="1" t="e">
        <v>#N/A</v>
      </c>
      <c r="C2371" s="1" t="s">
        <v>10314</v>
      </c>
      <c r="D2371" s="1" t="s">
        <v>6302</v>
      </c>
      <c r="E2371" s="1" t="s">
        <v>6303</v>
      </c>
      <c r="F2371" s="1" t="s">
        <v>9010</v>
      </c>
      <c r="G2371" s="1" t="s">
        <v>8957</v>
      </c>
      <c r="H2371" t="s">
        <v>8959</v>
      </c>
      <c r="I2371" s="1" t="s">
        <v>9049</v>
      </c>
      <c r="J2371" s="1" t="s">
        <v>9325</v>
      </c>
      <c r="K2371" s="1" t="s">
        <v>9018</v>
      </c>
      <c r="L2371" s="1" t="s">
        <v>9464</v>
      </c>
      <c r="M2371" s="1">
        <v>640</v>
      </c>
      <c r="N2371" s="1" t="s">
        <v>8953</v>
      </c>
      <c r="O2371" s="1" t="s">
        <v>8989</v>
      </c>
      <c r="P2371" s="1" t="s">
        <v>8955</v>
      </c>
      <c r="Q2371" s="1" t="s">
        <v>8956</v>
      </c>
      <c r="R2371" s="1" t="s">
        <v>8957</v>
      </c>
      <c r="S2371" s="1" t="s">
        <v>8958</v>
      </c>
      <c r="T2371" s="1" t="s">
        <v>6304</v>
      </c>
      <c r="U2371" s="1" t="s">
        <v>17</v>
      </c>
      <c r="V2371" s="1" t="s">
        <v>396</v>
      </c>
      <c r="W2371" s="1"/>
    </row>
    <row r="2372" spans="1:23" x14ac:dyDescent="0.2">
      <c r="A2372" s="88" t="s">
        <v>17570</v>
      </c>
      <c r="B2372" s="1" t="e">
        <v>#N/A</v>
      </c>
      <c r="C2372" s="1" t="e">
        <v>#N/A</v>
      </c>
      <c r="D2372" s="1" t="s">
        <v>6305</v>
      </c>
      <c r="E2372" s="1" t="s">
        <v>6306</v>
      </c>
      <c r="F2372" s="1" t="s">
        <v>10873</v>
      </c>
      <c r="G2372" s="1" t="s">
        <v>8957</v>
      </c>
      <c r="H2372" t="s">
        <v>8959</v>
      </c>
      <c r="I2372" s="1" t="s">
        <v>9075</v>
      </c>
      <c r="J2372" s="1" t="s">
        <v>8971</v>
      </c>
      <c r="K2372" s="1" t="s">
        <v>10492</v>
      </c>
      <c r="L2372" s="1" t="s">
        <v>8951</v>
      </c>
      <c r="M2372" s="1">
        <v>65</v>
      </c>
      <c r="N2372" s="1" t="s">
        <v>9059</v>
      </c>
      <c r="O2372" s="1" t="s">
        <v>8954</v>
      </c>
      <c r="P2372" s="1" t="e">
        <v>#N/A</v>
      </c>
      <c r="Q2372" s="1" t="e">
        <v>#N/A</v>
      </c>
      <c r="R2372" s="1">
        <f t="shared" ref="R2372:R2373" si="682">1+LEN(T2372)-LEN(SUBSTITUTE(T2372,",",))</f>
        <v>5</v>
      </c>
      <c r="S2372" s="1" t="str">
        <f t="shared" ref="S2372:S2373" si="683">IF(R2372&gt;4,IF(R2372&lt;8,"4-7",IF(R2372&gt;7,"&gt;7")),"&lt;4")</f>
        <v>4-7</v>
      </c>
      <c r="T2372" s="1" t="s">
        <v>19894</v>
      </c>
      <c r="U2372" s="1" t="s">
        <v>17</v>
      </c>
      <c r="V2372" s="1" t="s">
        <v>378</v>
      </c>
      <c r="W2372" s="1"/>
    </row>
    <row r="2373" spans="1:23" x14ac:dyDescent="0.2">
      <c r="A2373" s="88" t="s">
        <v>17571</v>
      </c>
      <c r="B2373" s="1" t="e">
        <v>#N/A</v>
      </c>
      <c r="C2373" s="1" t="e">
        <v>#N/A</v>
      </c>
      <c r="D2373" s="1" t="s">
        <v>6307</v>
      </c>
      <c r="E2373" s="1" t="s">
        <v>6308</v>
      </c>
      <c r="F2373" s="1" t="s">
        <v>9213</v>
      </c>
      <c r="G2373" s="1" t="s">
        <v>9060</v>
      </c>
      <c r="H2373" t="s">
        <v>8959</v>
      </c>
      <c r="I2373" s="1" t="s">
        <v>9100</v>
      </c>
      <c r="J2373" s="1" t="s">
        <v>8949</v>
      </c>
      <c r="K2373" s="1" t="s">
        <v>21388</v>
      </c>
      <c r="L2373" s="1" t="s">
        <v>8987</v>
      </c>
      <c r="M2373" s="1">
        <f>1071+20+458</f>
        <v>1549</v>
      </c>
      <c r="N2373" s="1" t="s">
        <v>8953</v>
      </c>
      <c r="O2373" s="1" t="s">
        <v>8989</v>
      </c>
      <c r="P2373" s="1" t="e">
        <v>#N/A</v>
      </c>
      <c r="Q2373" s="1" t="e">
        <v>#N/A</v>
      </c>
      <c r="R2373" s="1">
        <f t="shared" si="682"/>
        <v>9</v>
      </c>
      <c r="S2373" s="1" t="str">
        <f t="shared" si="683"/>
        <v>&gt;7</v>
      </c>
      <c r="T2373" s="1" t="s">
        <v>19895</v>
      </c>
      <c r="U2373" s="1" t="s">
        <v>17</v>
      </c>
      <c r="V2373" s="1" t="s">
        <v>619</v>
      </c>
      <c r="W2373" s="1"/>
    </row>
    <row r="2374" spans="1:23" x14ac:dyDescent="0.2">
      <c r="A2374" s="88" t="s">
        <v>17572</v>
      </c>
      <c r="B2374" s="1" t="e">
        <v>#N/A</v>
      </c>
      <c r="C2374" s="1" t="s">
        <v>12077</v>
      </c>
      <c r="D2374" s="1" t="s">
        <v>6309</v>
      </c>
      <c r="E2374" s="1" t="s">
        <v>6310</v>
      </c>
      <c r="F2374" s="1" t="s">
        <v>9815</v>
      </c>
      <c r="G2374" s="1" t="s">
        <v>8957</v>
      </c>
      <c r="H2374" t="s">
        <v>9009</v>
      </c>
      <c r="I2374" s="1" t="s">
        <v>9154</v>
      </c>
      <c r="J2374" s="1" t="s">
        <v>9121</v>
      </c>
      <c r="K2374" s="1" t="s">
        <v>9036</v>
      </c>
      <c r="L2374" s="1" t="s">
        <v>8973</v>
      </c>
      <c r="M2374" s="1">
        <v>220</v>
      </c>
      <c r="N2374" s="1" t="s">
        <v>8953</v>
      </c>
      <c r="O2374" s="1" t="s">
        <v>8989</v>
      </c>
      <c r="P2374" s="1" t="s">
        <v>8955</v>
      </c>
      <c r="Q2374" s="1" t="s">
        <v>8956</v>
      </c>
      <c r="R2374" s="1" t="s">
        <v>8957</v>
      </c>
      <c r="S2374" s="1" t="s">
        <v>8958</v>
      </c>
      <c r="T2374" s="1" t="s">
        <v>6311</v>
      </c>
      <c r="U2374" s="1" t="s">
        <v>11</v>
      </c>
      <c r="V2374" s="1" t="s">
        <v>97</v>
      </c>
      <c r="W2374" s="1"/>
    </row>
    <row r="2375" spans="1:23" x14ac:dyDescent="0.2">
      <c r="A2375" s="89" t="s">
        <v>6312</v>
      </c>
      <c r="B2375" s="1" t="e">
        <v>#N/A</v>
      </c>
      <c r="C2375" s="1" t="e">
        <v>#N/A</v>
      </c>
      <c r="D2375" s="1" t="s">
        <v>6313</v>
      </c>
      <c r="E2375" s="1" t="s">
        <v>6314</v>
      </c>
      <c r="F2375" s="1" t="e">
        <v>#N/A</v>
      </c>
      <c r="G2375" s="1" t="e">
        <v>#N/A</v>
      </c>
      <c r="H2375" t="e">
        <v>#N/A</v>
      </c>
      <c r="I2375" s="1" t="e">
        <v>#N/A</v>
      </c>
      <c r="J2375" s="1" t="e">
        <v>#N/A</v>
      </c>
      <c r="K2375" s="1" t="e">
        <v>#N/A</v>
      </c>
      <c r="L2375" s="1" t="e">
        <v>#N/A</v>
      </c>
      <c r="M2375" s="1" t="e">
        <v>#N/A</v>
      </c>
      <c r="N2375" s="1" t="e">
        <v>#N/A</v>
      </c>
      <c r="O2375" s="1" t="e">
        <v>#N/A</v>
      </c>
      <c r="P2375" s="1" t="e">
        <v>#N/A</v>
      </c>
      <c r="Q2375" s="1" t="e">
        <v>#N/A</v>
      </c>
      <c r="R2375" s="1">
        <f t="shared" ref="R2375:R2380" si="684">1+LEN(T2375)-LEN(SUBSTITUTE(T2375,",",))</f>
        <v>17</v>
      </c>
      <c r="S2375" s="1" t="str">
        <f t="shared" ref="S2375:S2380" si="685">IF(R2375&gt;4,IF(R2375&lt;8,"4-7",IF(R2375&gt;7,"&gt;7")),"&lt;4")</f>
        <v>&gt;7</v>
      </c>
      <c r="T2375" s="1" t="s">
        <v>19896</v>
      </c>
      <c r="U2375" s="1" t="s">
        <v>17</v>
      </c>
      <c r="V2375" s="1" t="s">
        <v>831</v>
      </c>
      <c r="W2375" s="1"/>
    </row>
    <row r="2376" spans="1:23" x14ac:dyDescent="0.2">
      <c r="A2376" s="89" t="s">
        <v>6315</v>
      </c>
      <c r="B2376" s="1" t="e">
        <v>#N/A</v>
      </c>
      <c r="C2376" s="1" t="e">
        <v>#N/A</v>
      </c>
      <c r="D2376" s="1" t="s">
        <v>6316</v>
      </c>
      <c r="E2376" s="1" t="s">
        <v>6317</v>
      </c>
      <c r="F2376" s="1" t="e">
        <v>#N/A</v>
      </c>
      <c r="G2376" s="1" t="e">
        <v>#N/A</v>
      </c>
      <c r="H2376" t="e">
        <v>#N/A</v>
      </c>
      <c r="I2376" s="1" t="e">
        <v>#N/A</v>
      </c>
      <c r="J2376" s="1" t="e">
        <v>#N/A</v>
      </c>
      <c r="K2376" s="1" t="e">
        <v>#N/A</v>
      </c>
      <c r="L2376" s="1" t="e">
        <v>#N/A</v>
      </c>
      <c r="M2376" s="1" t="e">
        <v>#N/A</v>
      </c>
      <c r="N2376" s="1" t="e">
        <v>#N/A</v>
      </c>
      <c r="O2376" s="1" t="e">
        <v>#N/A</v>
      </c>
      <c r="P2376" s="1" t="e">
        <v>#N/A</v>
      </c>
      <c r="Q2376" s="1" t="e">
        <v>#N/A</v>
      </c>
      <c r="R2376" s="1">
        <f t="shared" si="684"/>
        <v>19</v>
      </c>
      <c r="S2376" s="1" t="str">
        <f t="shared" si="685"/>
        <v>&gt;7</v>
      </c>
      <c r="T2376" s="1" t="s">
        <v>19897</v>
      </c>
      <c r="U2376" s="1" t="s">
        <v>17</v>
      </c>
      <c r="V2376" s="1" t="s">
        <v>6318</v>
      </c>
      <c r="W2376" s="1"/>
    </row>
    <row r="2377" spans="1:23" x14ac:dyDescent="0.2">
      <c r="A2377" s="89" t="s">
        <v>17573</v>
      </c>
      <c r="B2377" s="1" t="e">
        <v>#N/A</v>
      </c>
      <c r="C2377" s="1" t="e">
        <v>#N/A</v>
      </c>
      <c r="D2377" s="1" t="s">
        <v>6319</v>
      </c>
      <c r="E2377" s="1" t="s">
        <v>6320</v>
      </c>
      <c r="F2377" s="1" t="e">
        <v>#N/A</v>
      </c>
      <c r="G2377" s="1" t="e">
        <v>#N/A</v>
      </c>
      <c r="H2377" t="e">
        <v>#N/A</v>
      </c>
      <c r="I2377" s="1" t="e">
        <v>#N/A</v>
      </c>
      <c r="J2377" s="1" t="e">
        <v>#N/A</v>
      </c>
      <c r="K2377" s="1" t="e">
        <v>#N/A</v>
      </c>
      <c r="L2377" s="1" t="e">
        <v>#N/A</v>
      </c>
      <c r="M2377" s="1" t="e">
        <v>#N/A</v>
      </c>
      <c r="N2377" s="1" t="e">
        <v>#N/A</v>
      </c>
      <c r="O2377" s="1" t="e">
        <v>#N/A</v>
      </c>
      <c r="P2377" s="1" t="e">
        <v>#N/A</v>
      </c>
      <c r="Q2377" s="1" t="e">
        <v>#N/A</v>
      </c>
      <c r="R2377" s="1">
        <f t="shared" si="684"/>
        <v>1</v>
      </c>
      <c r="S2377" s="1" t="str">
        <f t="shared" si="685"/>
        <v>&lt;4</v>
      </c>
      <c r="T2377" s="1" t="s">
        <v>6321</v>
      </c>
      <c r="U2377" s="1" t="s">
        <v>7</v>
      </c>
      <c r="V2377" s="1" t="s">
        <v>6322</v>
      </c>
      <c r="W2377" s="1"/>
    </row>
    <row r="2378" spans="1:23" x14ac:dyDescent="0.2">
      <c r="A2378" s="88" t="s">
        <v>17574</v>
      </c>
      <c r="B2378" s="1" t="e">
        <v>#N/A</v>
      </c>
      <c r="C2378" s="1" t="e">
        <v>#N/A</v>
      </c>
      <c r="D2378" s="1" t="s">
        <v>6323</v>
      </c>
      <c r="E2378" s="1" t="s">
        <v>6324</v>
      </c>
      <c r="F2378" s="1" t="s">
        <v>20718</v>
      </c>
      <c r="G2378" s="1" t="s">
        <v>8957</v>
      </c>
      <c r="H2378" t="s">
        <v>8959</v>
      </c>
      <c r="I2378" s="1" t="s">
        <v>9173</v>
      </c>
      <c r="J2378" s="1" t="s">
        <v>9174</v>
      </c>
      <c r="K2378" s="1" t="s">
        <v>21236</v>
      </c>
      <c r="L2378" s="1" t="s">
        <v>8987</v>
      </c>
      <c r="M2378" s="1">
        <f>1279+2000</f>
        <v>3279</v>
      </c>
      <c r="N2378" s="1" t="s">
        <v>8953</v>
      </c>
      <c r="O2378" s="1" t="s">
        <v>8954</v>
      </c>
      <c r="P2378" s="1" t="e">
        <v>#N/A</v>
      </c>
      <c r="Q2378" s="1" t="e">
        <v>#N/A</v>
      </c>
      <c r="R2378" s="1">
        <f t="shared" si="684"/>
        <v>4</v>
      </c>
      <c r="S2378" s="1" t="str">
        <f t="shared" si="685"/>
        <v>&lt;4</v>
      </c>
      <c r="T2378" s="1" t="s">
        <v>19898</v>
      </c>
      <c r="U2378" s="1" t="s">
        <v>17</v>
      </c>
      <c r="V2378" s="1" t="s">
        <v>97</v>
      </c>
      <c r="W2378" s="1"/>
    </row>
    <row r="2379" spans="1:23" x14ac:dyDescent="0.2">
      <c r="A2379" s="88" t="s">
        <v>17575</v>
      </c>
      <c r="B2379" s="1" t="e">
        <v>#N/A</v>
      </c>
      <c r="C2379" s="1" t="e">
        <v>#N/A</v>
      </c>
      <c r="D2379" s="1" t="s">
        <v>6325</v>
      </c>
      <c r="E2379" s="1" t="s">
        <v>6326</v>
      </c>
      <c r="F2379" s="1" t="s">
        <v>20718</v>
      </c>
      <c r="G2379" s="1" t="s">
        <v>8957</v>
      </c>
      <c r="H2379" t="s">
        <v>8959</v>
      </c>
      <c r="I2379" s="1" t="s">
        <v>9035</v>
      </c>
      <c r="J2379" s="1" t="s">
        <v>8998</v>
      </c>
      <c r="K2379" s="1" t="s">
        <v>10525</v>
      </c>
      <c r="L2379" s="1" t="s">
        <v>8987</v>
      </c>
      <c r="M2379" s="1">
        <v>244527</v>
      </c>
      <c r="N2379" s="1" t="s">
        <v>8953</v>
      </c>
      <c r="O2379" s="1" t="s">
        <v>8954</v>
      </c>
      <c r="P2379" s="1" t="e">
        <v>#N/A</v>
      </c>
      <c r="Q2379" s="1" t="e">
        <v>#N/A</v>
      </c>
      <c r="R2379" s="1">
        <f t="shared" si="684"/>
        <v>5</v>
      </c>
      <c r="S2379" s="1" t="str">
        <f t="shared" si="685"/>
        <v>4-7</v>
      </c>
      <c r="T2379" s="1" t="s">
        <v>19899</v>
      </c>
      <c r="U2379" s="1" t="s">
        <v>17</v>
      </c>
      <c r="V2379" s="1" t="s">
        <v>97</v>
      </c>
      <c r="W2379" s="1"/>
    </row>
    <row r="2380" spans="1:23" x14ac:dyDescent="0.2">
      <c r="A2380" s="88" t="s">
        <v>17576</v>
      </c>
      <c r="B2380" s="1" t="e">
        <v>#N/A</v>
      </c>
      <c r="C2380" s="1" t="e">
        <v>#N/A</v>
      </c>
      <c r="D2380" s="1" t="s">
        <v>6327</v>
      </c>
      <c r="E2380" s="1" t="s">
        <v>6328</v>
      </c>
      <c r="F2380" s="1" t="s">
        <v>10850</v>
      </c>
      <c r="G2380" s="1" t="s">
        <v>8957</v>
      </c>
      <c r="H2380" t="s">
        <v>8959</v>
      </c>
      <c r="I2380" s="1" t="s">
        <v>9075</v>
      </c>
      <c r="J2380" s="1" t="s">
        <v>8959</v>
      </c>
      <c r="K2380" s="1" t="s">
        <v>20723</v>
      </c>
      <c r="L2380" s="1" t="s">
        <v>8951</v>
      </c>
      <c r="M2380" s="1">
        <v>12970</v>
      </c>
      <c r="N2380" s="1" t="s">
        <v>8953</v>
      </c>
      <c r="O2380" s="1" t="s">
        <v>8954</v>
      </c>
      <c r="P2380" s="1" t="e">
        <v>#N/A</v>
      </c>
      <c r="Q2380" s="1" t="e">
        <v>#N/A</v>
      </c>
      <c r="R2380" s="1">
        <f t="shared" si="684"/>
        <v>16</v>
      </c>
      <c r="S2380" s="1" t="str">
        <f t="shared" si="685"/>
        <v>&gt;7</v>
      </c>
      <c r="T2380" s="1" t="s">
        <v>19900</v>
      </c>
      <c r="U2380" s="1" t="s">
        <v>7</v>
      </c>
      <c r="V2380" s="1" t="s">
        <v>686</v>
      </c>
      <c r="W2380" s="1"/>
    </row>
    <row r="2381" spans="1:23" x14ac:dyDescent="0.2">
      <c r="A2381" s="88" t="s">
        <v>17577</v>
      </c>
      <c r="B2381" s="1" t="e">
        <v>#N/A</v>
      </c>
      <c r="C2381" s="1" t="s">
        <v>14016</v>
      </c>
      <c r="D2381" s="1" t="s">
        <v>6329</v>
      </c>
      <c r="E2381" s="1" t="s">
        <v>6330</v>
      </c>
      <c r="F2381" s="1" t="s">
        <v>9176</v>
      </c>
      <c r="G2381" s="1" t="s">
        <v>8959</v>
      </c>
      <c r="H2381" t="s">
        <v>8959</v>
      </c>
      <c r="I2381" s="1" t="s">
        <v>9173</v>
      </c>
      <c r="J2381" s="1" t="s">
        <v>9174</v>
      </c>
      <c r="K2381" s="1" t="s">
        <v>21468</v>
      </c>
      <c r="L2381" s="1" t="s">
        <v>8987</v>
      </c>
      <c r="M2381" s="1">
        <v>814</v>
      </c>
      <c r="N2381" s="1" t="s">
        <v>8953</v>
      </c>
      <c r="O2381" s="1" t="s">
        <v>8989</v>
      </c>
      <c r="P2381" s="1" t="s">
        <v>8955</v>
      </c>
      <c r="Q2381" s="1" t="s">
        <v>8956</v>
      </c>
      <c r="R2381" s="1" t="s">
        <v>8959</v>
      </c>
      <c r="S2381" s="1" t="s">
        <v>9103</v>
      </c>
      <c r="T2381" s="1" t="s">
        <v>6331</v>
      </c>
      <c r="U2381" s="1" t="s">
        <v>242</v>
      </c>
      <c r="V2381" s="1" t="s">
        <v>46</v>
      </c>
      <c r="W2381" s="1"/>
    </row>
    <row r="2382" spans="1:23" x14ac:dyDescent="0.2">
      <c r="A2382" s="95" t="s">
        <v>20980</v>
      </c>
      <c r="B2382" s="1" t="e">
        <v>#N/A</v>
      </c>
      <c r="C2382" s="1" t="e">
        <v>#N/A</v>
      </c>
      <c r="D2382" s="1" t="s">
        <v>6332</v>
      </c>
      <c r="E2382" s="1" t="s">
        <v>6333</v>
      </c>
      <c r="F2382" s="1" t="s">
        <v>9213</v>
      </c>
      <c r="G2382" s="1" t="s">
        <v>8957</v>
      </c>
      <c r="H2382" t="s">
        <v>8959</v>
      </c>
      <c r="I2382" s="1" t="s">
        <v>9252</v>
      </c>
      <c r="J2382" s="1" t="s">
        <v>18504</v>
      </c>
      <c r="K2382" s="1" t="s">
        <v>21148</v>
      </c>
      <c r="L2382" s="1" t="s">
        <v>9076</v>
      </c>
      <c r="M2382" s="1">
        <v>5000</v>
      </c>
      <c r="N2382" s="1" t="s">
        <v>8953</v>
      </c>
      <c r="O2382" s="1" t="s">
        <v>8989</v>
      </c>
      <c r="P2382" s="1" t="e">
        <v>#N/A</v>
      </c>
      <c r="Q2382" s="1" t="e">
        <v>#N/A</v>
      </c>
      <c r="R2382" s="1">
        <f t="shared" ref="R2382:R2383" si="686">1+LEN(T2382)-LEN(SUBSTITUTE(T2382,",",))</f>
        <v>8</v>
      </c>
      <c r="S2382" s="1" t="str">
        <f t="shared" ref="S2382:S2383" si="687">IF(R2382&gt;4,IF(R2382&lt;8,"4-7",IF(R2382&gt;7,"&gt;7")),"&lt;4")</f>
        <v>&gt;7</v>
      </c>
      <c r="T2382" s="1" t="s">
        <v>19901</v>
      </c>
      <c r="U2382" s="1" t="s">
        <v>7</v>
      </c>
      <c r="V2382" s="1" t="s">
        <v>6334</v>
      </c>
      <c r="W2382" s="1"/>
    </row>
    <row r="2383" spans="1:23" x14ac:dyDescent="0.2">
      <c r="A2383" s="88" t="s">
        <v>17578</v>
      </c>
      <c r="B2383" s="1" t="e">
        <v>#N/A</v>
      </c>
      <c r="C2383" s="1" t="e">
        <v>#N/A</v>
      </c>
      <c r="D2383" s="1" t="s">
        <v>6335</v>
      </c>
      <c r="E2383" s="1" t="s">
        <v>6336</v>
      </c>
      <c r="F2383" s="1" t="s">
        <v>18502</v>
      </c>
      <c r="G2383" s="1" t="s">
        <v>8959</v>
      </c>
      <c r="H2383" t="s">
        <v>8959</v>
      </c>
      <c r="I2383" s="1" t="s">
        <v>8984</v>
      </c>
      <c r="J2383" s="1" t="s">
        <v>8959</v>
      </c>
      <c r="K2383" s="1" t="s">
        <v>21449</v>
      </c>
      <c r="L2383" s="1" t="s">
        <v>8951</v>
      </c>
      <c r="M2383" s="1">
        <v>1107</v>
      </c>
      <c r="N2383" s="1" t="s">
        <v>8953</v>
      </c>
      <c r="O2383" s="1" t="s">
        <v>8989</v>
      </c>
      <c r="P2383" s="1" t="e">
        <v>#N/A</v>
      </c>
      <c r="Q2383" s="1" t="e">
        <v>#N/A</v>
      </c>
      <c r="R2383" s="1">
        <f t="shared" si="686"/>
        <v>4</v>
      </c>
      <c r="S2383" s="1" t="str">
        <f t="shared" si="687"/>
        <v>&lt;4</v>
      </c>
      <c r="T2383" s="1" t="s">
        <v>19902</v>
      </c>
      <c r="U2383" s="1" t="s">
        <v>7</v>
      </c>
      <c r="V2383" s="1" t="s">
        <v>6337</v>
      </c>
      <c r="W2383" s="1"/>
    </row>
    <row r="2384" spans="1:23" x14ac:dyDescent="0.2">
      <c r="A2384" s="88" t="s">
        <v>17579</v>
      </c>
      <c r="B2384" s="1" t="e">
        <v>#N/A</v>
      </c>
      <c r="C2384" s="1" t="s">
        <v>12233</v>
      </c>
      <c r="D2384" s="1" t="s">
        <v>6338</v>
      </c>
      <c r="E2384" s="1" t="s">
        <v>6339</v>
      </c>
      <c r="F2384" s="1" t="s">
        <v>9010</v>
      </c>
      <c r="G2384" s="1" t="s">
        <v>8957</v>
      </c>
      <c r="H2384" t="s">
        <v>9009</v>
      </c>
      <c r="I2384" s="1" t="s">
        <v>9154</v>
      </c>
      <c r="J2384" s="1" t="s">
        <v>9308</v>
      </c>
      <c r="K2384" s="1" t="s">
        <v>9036</v>
      </c>
      <c r="L2384" s="1" t="s">
        <v>8951</v>
      </c>
      <c r="M2384" s="1">
        <v>300</v>
      </c>
      <c r="N2384" s="1" t="s">
        <v>8953</v>
      </c>
      <c r="O2384" s="1" t="s">
        <v>8954</v>
      </c>
      <c r="P2384" s="1" t="s">
        <v>9182</v>
      </c>
      <c r="Q2384" s="1" t="s">
        <v>8956</v>
      </c>
      <c r="R2384" s="1" t="s">
        <v>8957</v>
      </c>
      <c r="S2384" s="1" t="s">
        <v>9103</v>
      </c>
      <c r="T2384" s="1" t="s">
        <v>6340</v>
      </c>
      <c r="U2384" s="1" t="s">
        <v>11</v>
      </c>
      <c r="V2384" s="1" t="s">
        <v>6341</v>
      </c>
      <c r="W2384" s="1"/>
    </row>
    <row r="2385" spans="1:23" x14ac:dyDescent="0.2">
      <c r="A2385" s="89" t="s">
        <v>17580</v>
      </c>
      <c r="B2385" s="1" t="e">
        <v>#N/A</v>
      </c>
      <c r="C2385" s="1" t="e">
        <v>#N/A</v>
      </c>
      <c r="D2385" s="1" t="s">
        <v>6342</v>
      </c>
      <c r="E2385" s="1" t="s">
        <v>6343</v>
      </c>
      <c r="F2385" s="1" t="s">
        <v>9380</v>
      </c>
      <c r="G2385" s="1" t="e">
        <v>#N/A</v>
      </c>
      <c r="H2385" t="s">
        <v>8959</v>
      </c>
      <c r="I2385" s="1" t="e">
        <v>#N/A</v>
      </c>
      <c r="J2385" s="1" t="e">
        <v>#N/A</v>
      </c>
      <c r="K2385" s="1" t="e">
        <v>#N/A</v>
      </c>
      <c r="L2385" s="1" t="s">
        <v>9076</v>
      </c>
      <c r="M2385" s="1" t="e">
        <v>#N/A</v>
      </c>
      <c r="N2385" s="1" t="e">
        <v>#N/A</v>
      </c>
      <c r="O2385" s="1" t="e">
        <v>#N/A</v>
      </c>
      <c r="P2385" s="1" t="e">
        <v>#N/A</v>
      </c>
      <c r="Q2385" s="1" t="e">
        <v>#N/A</v>
      </c>
      <c r="R2385" s="1">
        <f>1+LEN(T2385)-LEN(SUBSTITUTE(T2385,",",))</f>
        <v>3</v>
      </c>
      <c r="S2385" s="1" t="str">
        <f>IF(R2385&gt;4,IF(R2385&lt;8,"4-7",IF(R2385&gt;7,"&gt;7")),"&lt;4")</f>
        <v>&lt;4</v>
      </c>
      <c r="T2385" s="1" t="s">
        <v>19903</v>
      </c>
      <c r="U2385" s="1" t="s">
        <v>7</v>
      </c>
      <c r="V2385" s="1" t="s">
        <v>31</v>
      </c>
      <c r="W2385" s="1"/>
    </row>
    <row r="2386" spans="1:23" x14ac:dyDescent="0.2">
      <c r="A2386" s="88" t="s">
        <v>17581</v>
      </c>
      <c r="B2386" s="1" t="e">
        <v>#N/A</v>
      </c>
      <c r="C2386" s="1" t="s">
        <v>12971</v>
      </c>
      <c r="D2386" s="1" t="s">
        <v>6344</v>
      </c>
      <c r="E2386" s="1" t="s">
        <v>6345</v>
      </c>
      <c r="F2386" s="1" t="s">
        <v>9815</v>
      </c>
      <c r="G2386" s="1" t="s">
        <v>8957</v>
      </c>
      <c r="H2386" t="s">
        <v>9009</v>
      </c>
      <c r="I2386" s="1" t="s">
        <v>9252</v>
      </c>
      <c r="J2386" s="1" t="s">
        <v>8985</v>
      </c>
      <c r="K2386" s="1" t="s">
        <v>9245</v>
      </c>
      <c r="L2386" s="1" t="s">
        <v>8973</v>
      </c>
      <c r="M2386" s="1">
        <v>752</v>
      </c>
      <c r="N2386" s="1" t="s">
        <v>8953</v>
      </c>
      <c r="O2386" s="1" t="s">
        <v>8989</v>
      </c>
      <c r="P2386" s="1" t="s">
        <v>8955</v>
      </c>
      <c r="Q2386" s="1" t="s">
        <v>8956</v>
      </c>
      <c r="R2386" s="1" t="s">
        <v>8957</v>
      </c>
      <c r="S2386" s="1" t="s">
        <v>9103</v>
      </c>
      <c r="T2386" s="1" t="s">
        <v>6346</v>
      </c>
      <c r="U2386" s="1" t="s">
        <v>11</v>
      </c>
      <c r="V2386" s="1" t="s">
        <v>625</v>
      </c>
      <c r="W2386" s="1"/>
    </row>
    <row r="2387" spans="1:23" x14ac:dyDescent="0.2">
      <c r="A2387" s="88" t="s">
        <v>17582</v>
      </c>
      <c r="B2387" s="1" t="e">
        <v>#N/A</v>
      </c>
      <c r="C2387" s="1" t="e">
        <v>#N/A</v>
      </c>
      <c r="D2387" s="1" t="s">
        <v>6347</v>
      </c>
      <c r="E2387" s="1" t="s">
        <v>6348</v>
      </c>
      <c r="F2387" s="1" t="s">
        <v>18502</v>
      </c>
      <c r="G2387" s="1" t="s">
        <v>9060</v>
      </c>
      <c r="H2387" t="s">
        <v>9009</v>
      </c>
      <c r="I2387" s="1" t="s">
        <v>20714</v>
      </c>
      <c r="J2387" s="1" t="s">
        <v>20725</v>
      </c>
      <c r="K2387" s="1" t="s">
        <v>21265</v>
      </c>
      <c r="L2387" s="1" t="s">
        <v>20982</v>
      </c>
      <c r="M2387" s="1">
        <v>20000</v>
      </c>
      <c r="N2387" s="1" t="s">
        <v>8953</v>
      </c>
      <c r="O2387" s="1" t="s">
        <v>8989</v>
      </c>
      <c r="P2387" s="1" t="e">
        <v>#N/A</v>
      </c>
      <c r="Q2387" s="1" t="e">
        <v>#N/A</v>
      </c>
      <c r="R2387" s="1">
        <f>1+LEN(T2387)-LEN(SUBSTITUTE(T2387,",",))</f>
        <v>7</v>
      </c>
      <c r="S2387" s="1" t="str">
        <f>IF(R2387&gt;4,IF(R2387&lt;8,"4-7",IF(R2387&gt;7,"&gt;7")),"&lt;4")</f>
        <v>4-7</v>
      </c>
      <c r="T2387" s="1" t="s">
        <v>19904</v>
      </c>
      <c r="U2387" s="1" t="s">
        <v>17</v>
      </c>
      <c r="V2387" s="1" t="s">
        <v>24</v>
      </c>
      <c r="W2387" s="1"/>
    </row>
    <row r="2388" spans="1:23" x14ac:dyDescent="0.2">
      <c r="A2388" s="88" t="s">
        <v>17583</v>
      </c>
      <c r="B2388" s="1" t="e">
        <v>#N/A</v>
      </c>
      <c r="C2388" s="1" t="s">
        <v>13248</v>
      </c>
      <c r="D2388" s="1" t="s">
        <v>6349</v>
      </c>
      <c r="E2388" s="1" t="s">
        <v>6350</v>
      </c>
      <c r="F2388" s="1" t="s">
        <v>9176</v>
      </c>
      <c r="G2388" s="1" t="s">
        <v>8959</v>
      </c>
      <c r="H2388" t="s">
        <v>9009</v>
      </c>
      <c r="I2388" s="1" t="s">
        <v>9049</v>
      </c>
      <c r="J2388" s="1" t="s">
        <v>9050</v>
      </c>
      <c r="K2388" s="1" t="s">
        <v>9036</v>
      </c>
      <c r="L2388" s="1" t="s">
        <v>9464</v>
      </c>
      <c r="M2388" s="1">
        <v>89</v>
      </c>
      <c r="N2388" s="1" t="s">
        <v>8953</v>
      </c>
      <c r="O2388" s="1" t="s">
        <v>8989</v>
      </c>
      <c r="P2388" s="1" t="s">
        <v>8955</v>
      </c>
      <c r="Q2388" s="1" t="s">
        <v>8956</v>
      </c>
      <c r="R2388" s="1" t="s">
        <v>8959</v>
      </c>
      <c r="S2388" s="1" t="s">
        <v>9103</v>
      </c>
      <c r="T2388" s="1" t="s">
        <v>6351</v>
      </c>
      <c r="U2388" s="1" t="s">
        <v>11</v>
      </c>
      <c r="V2388" s="1" t="s">
        <v>87</v>
      </c>
      <c r="W2388" s="1"/>
    </row>
    <row r="2389" spans="1:23" x14ac:dyDescent="0.2">
      <c r="A2389" s="89" t="s">
        <v>6352</v>
      </c>
      <c r="B2389" s="1" t="e">
        <v>#N/A</v>
      </c>
      <c r="C2389" s="1" t="e">
        <v>#N/A</v>
      </c>
      <c r="D2389" s="1" t="s">
        <v>6353</v>
      </c>
      <c r="E2389" s="1" t="s">
        <v>6354</v>
      </c>
      <c r="F2389" s="1" t="e">
        <v>#N/A</v>
      </c>
      <c r="G2389" s="1" t="e">
        <v>#N/A</v>
      </c>
      <c r="H2389" t="e">
        <v>#N/A</v>
      </c>
      <c r="I2389" s="1" t="e">
        <v>#N/A</v>
      </c>
      <c r="J2389" s="1" t="e">
        <v>#N/A</v>
      </c>
      <c r="K2389" s="1" t="e">
        <v>#N/A</v>
      </c>
      <c r="L2389" s="1" t="e">
        <v>#N/A</v>
      </c>
      <c r="M2389" s="1" t="e">
        <v>#N/A</v>
      </c>
      <c r="N2389" s="1" t="e">
        <v>#N/A</v>
      </c>
      <c r="O2389" s="1" t="e">
        <v>#N/A</v>
      </c>
      <c r="P2389" s="1" t="e">
        <v>#N/A</v>
      </c>
      <c r="Q2389" s="1" t="e">
        <v>#N/A</v>
      </c>
      <c r="R2389" s="1">
        <f t="shared" ref="R2389:R2391" si="688">1+LEN(T2389)-LEN(SUBSTITUTE(T2389,",",))</f>
        <v>8</v>
      </c>
      <c r="S2389" s="1" t="str">
        <f t="shared" ref="S2389:S2391" si="689">IF(R2389&gt;4,IF(R2389&lt;8,"4-7",IF(R2389&gt;7,"&gt;7")),"&lt;4")</f>
        <v>&gt;7</v>
      </c>
      <c r="T2389" s="1" t="s">
        <v>19905</v>
      </c>
      <c r="U2389" s="1" t="s">
        <v>17</v>
      </c>
      <c r="V2389" s="1" t="s">
        <v>93</v>
      </c>
      <c r="W2389" s="1"/>
    </row>
    <row r="2390" spans="1:23" x14ac:dyDescent="0.2">
      <c r="A2390" s="88" t="s">
        <v>17584</v>
      </c>
      <c r="B2390" s="1" t="e">
        <v>#N/A</v>
      </c>
      <c r="C2390" s="1" t="e">
        <v>#N/A</v>
      </c>
      <c r="D2390" s="1" t="s">
        <v>6355</v>
      </c>
      <c r="E2390" s="1" t="s">
        <v>6356</v>
      </c>
      <c r="F2390" s="1" t="s">
        <v>20984</v>
      </c>
      <c r="G2390" s="1" t="s">
        <v>8959</v>
      </c>
      <c r="H2390" t="s">
        <v>8959</v>
      </c>
      <c r="I2390" s="1" t="s">
        <v>9035</v>
      </c>
      <c r="J2390" s="1" t="s">
        <v>9308</v>
      </c>
      <c r="K2390" s="1" t="s">
        <v>18489</v>
      </c>
      <c r="L2390" s="1" t="s">
        <v>8987</v>
      </c>
      <c r="M2390" s="1">
        <f>1875+219+1341</f>
        <v>3435</v>
      </c>
      <c r="N2390" s="1" t="s">
        <v>8953</v>
      </c>
      <c r="O2390" s="1" t="s">
        <v>8954</v>
      </c>
      <c r="P2390" s="1" t="e">
        <v>#N/A</v>
      </c>
      <c r="Q2390" s="1" t="e">
        <v>#N/A</v>
      </c>
      <c r="R2390" s="1">
        <f t="shared" si="688"/>
        <v>6</v>
      </c>
      <c r="S2390" s="1" t="str">
        <f t="shared" si="689"/>
        <v>4-7</v>
      </c>
      <c r="T2390" s="1" t="s">
        <v>19906</v>
      </c>
      <c r="U2390" s="1" t="s">
        <v>7</v>
      </c>
      <c r="V2390" s="1" t="s">
        <v>24</v>
      </c>
      <c r="W2390" s="1"/>
    </row>
    <row r="2391" spans="1:23" x14ac:dyDescent="0.2">
      <c r="A2391" s="88" t="s">
        <v>17585</v>
      </c>
      <c r="B2391" s="1" t="e">
        <v>#N/A</v>
      </c>
      <c r="C2391" s="1" t="e">
        <v>#N/A</v>
      </c>
      <c r="D2391" s="1" t="s">
        <v>6357</v>
      </c>
      <c r="E2391" s="1" t="s">
        <v>6358</v>
      </c>
      <c r="F2391" s="1" t="s">
        <v>12908</v>
      </c>
      <c r="G2391" s="1" t="s">
        <v>9060</v>
      </c>
      <c r="H2391" t="s">
        <v>8959</v>
      </c>
      <c r="I2391" s="1" t="s">
        <v>20714</v>
      </c>
      <c r="J2391" s="1" t="s">
        <v>9050</v>
      </c>
      <c r="K2391" s="1" t="s">
        <v>18489</v>
      </c>
      <c r="L2391" s="1" t="s">
        <v>8987</v>
      </c>
      <c r="M2391" s="1">
        <v>41122</v>
      </c>
      <c r="N2391" s="1" t="s">
        <v>8953</v>
      </c>
      <c r="O2391" s="1" t="s">
        <v>8989</v>
      </c>
      <c r="P2391" s="1" t="e">
        <v>#N/A</v>
      </c>
      <c r="Q2391" s="1" t="e">
        <v>#N/A</v>
      </c>
      <c r="R2391" s="1">
        <f t="shared" si="688"/>
        <v>7</v>
      </c>
      <c r="S2391" s="1" t="str">
        <f t="shared" si="689"/>
        <v>4-7</v>
      </c>
      <c r="T2391" s="1" t="s">
        <v>19907</v>
      </c>
      <c r="U2391" s="1" t="s">
        <v>17</v>
      </c>
      <c r="V2391" s="1" t="s">
        <v>24</v>
      </c>
      <c r="W2391" s="1"/>
    </row>
    <row r="2392" spans="1:23" x14ac:dyDescent="0.2">
      <c r="A2392" s="88" t="s">
        <v>17586</v>
      </c>
      <c r="B2392" s="1" t="e">
        <v>#N/A</v>
      </c>
      <c r="C2392" s="1" t="s">
        <v>9977</v>
      </c>
      <c r="D2392" s="1" t="s">
        <v>6359</v>
      </c>
      <c r="E2392" s="1" t="s">
        <v>6360</v>
      </c>
      <c r="F2392" s="1" t="s">
        <v>9815</v>
      </c>
      <c r="G2392" s="1" t="s">
        <v>8959</v>
      </c>
      <c r="H2392" t="s">
        <v>8959</v>
      </c>
      <c r="I2392" s="1" t="s">
        <v>9252</v>
      </c>
      <c r="J2392" s="1" t="s">
        <v>9101</v>
      </c>
      <c r="K2392" s="1" t="s">
        <v>9980</v>
      </c>
      <c r="L2392" s="1" t="s">
        <v>8987</v>
      </c>
      <c r="M2392" s="1">
        <v>212</v>
      </c>
      <c r="N2392" s="1" t="s">
        <v>8953</v>
      </c>
      <c r="O2392" s="1" t="s">
        <v>8989</v>
      </c>
      <c r="P2392" s="1" t="s">
        <v>8955</v>
      </c>
      <c r="Q2392" s="1" t="s">
        <v>8956</v>
      </c>
      <c r="R2392" s="1" t="s">
        <v>8959</v>
      </c>
      <c r="S2392" s="1" t="s">
        <v>8958</v>
      </c>
      <c r="T2392" s="1" t="s">
        <v>6361</v>
      </c>
      <c r="U2392" s="1" t="s">
        <v>17</v>
      </c>
      <c r="V2392" s="1" t="s">
        <v>2953</v>
      </c>
      <c r="W2392" s="1"/>
    </row>
    <row r="2393" spans="1:23" x14ac:dyDescent="0.2">
      <c r="A2393" s="89" t="s">
        <v>17587</v>
      </c>
      <c r="B2393" s="1" t="e">
        <v>#N/A</v>
      </c>
      <c r="C2393" s="1" t="e">
        <v>#N/A</v>
      </c>
      <c r="D2393" s="1" t="s">
        <v>6362</v>
      </c>
      <c r="E2393" s="1" t="s">
        <v>6363</v>
      </c>
      <c r="F2393" s="1" t="e">
        <v>#N/A</v>
      </c>
      <c r="G2393" s="1" t="e">
        <v>#N/A</v>
      </c>
      <c r="H2393" t="e">
        <v>#N/A</v>
      </c>
      <c r="I2393" s="1" t="e">
        <v>#N/A</v>
      </c>
      <c r="J2393" s="1" t="e">
        <v>#N/A</v>
      </c>
      <c r="K2393" s="1" t="e">
        <v>#N/A</v>
      </c>
      <c r="L2393" s="1" t="e">
        <v>#N/A</v>
      </c>
      <c r="M2393" s="1" t="e">
        <v>#N/A</v>
      </c>
      <c r="N2393" s="1" t="e">
        <v>#N/A</v>
      </c>
      <c r="O2393" s="1" t="e">
        <v>#N/A</v>
      </c>
      <c r="P2393" s="1" t="e">
        <v>#N/A</v>
      </c>
      <c r="Q2393" s="1" t="e">
        <v>#N/A</v>
      </c>
      <c r="R2393" s="1">
        <f t="shared" ref="R2393:R2395" si="690">1+LEN(T2393)-LEN(SUBSTITUTE(T2393,",",))</f>
        <v>2</v>
      </c>
      <c r="S2393" s="1" t="str">
        <f t="shared" ref="S2393:S2395" si="691">IF(R2393&gt;4,IF(R2393&lt;8,"4-7",IF(R2393&gt;7,"&gt;7")),"&lt;4")</f>
        <v>&lt;4</v>
      </c>
      <c r="T2393" s="1" t="s">
        <v>19908</v>
      </c>
      <c r="U2393" s="1" t="s">
        <v>17</v>
      </c>
      <c r="V2393" s="1" t="s">
        <v>97</v>
      </c>
      <c r="W2393" s="1"/>
    </row>
    <row r="2394" spans="1:23" x14ac:dyDescent="0.2">
      <c r="A2394" s="88" t="s">
        <v>17588</v>
      </c>
      <c r="B2394" s="1" t="e">
        <v>#N/A</v>
      </c>
      <c r="C2394" s="1" t="e">
        <v>#N/A</v>
      </c>
      <c r="D2394" s="1" t="s">
        <v>6364</v>
      </c>
      <c r="E2394" s="1" t="s">
        <v>6365</v>
      </c>
      <c r="F2394" s="1" t="s">
        <v>10008</v>
      </c>
      <c r="G2394" s="1" t="s">
        <v>8959</v>
      </c>
      <c r="H2394" t="s">
        <v>8959</v>
      </c>
      <c r="I2394" s="1" t="s">
        <v>9035</v>
      </c>
      <c r="J2394" s="1" t="s">
        <v>8998</v>
      </c>
      <c r="K2394" s="1" t="s">
        <v>20983</v>
      </c>
      <c r="L2394" s="1" t="s">
        <v>9133</v>
      </c>
      <c r="M2394" s="1">
        <f>349+397</f>
        <v>746</v>
      </c>
      <c r="N2394" s="1" t="s">
        <v>8953</v>
      </c>
      <c r="O2394" s="1" t="s">
        <v>8989</v>
      </c>
      <c r="P2394" s="1" t="e">
        <v>#N/A</v>
      </c>
      <c r="Q2394" s="1" t="e">
        <v>#N/A</v>
      </c>
      <c r="R2394" s="1">
        <f t="shared" si="690"/>
        <v>5</v>
      </c>
      <c r="S2394" s="1" t="str">
        <f t="shared" si="691"/>
        <v>4-7</v>
      </c>
      <c r="T2394" s="1" t="s">
        <v>19909</v>
      </c>
      <c r="U2394" s="1" t="s">
        <v>7</v>
      </c>
      <c r="V2394" s="1" t="s">
        <v>308</v>
      </c>
      <c r="W2394" s="1"/>
    </row>
    <row r="2395" spans="1:23" x14ac:dyDescent="0.2">
      <c r="A2395" s="88" t="s">
        <v>17589</v>
      </c>
      <c r="B2395" s="1" t="e">
        <v>#N/A</v>
      </c>
      <c r="C2395" s="1" t="e">
        <v>#N/A</v>
      </c>
      <c r="D2395" s="1" t="s">
        <v>6366</v>
      </c>
      <c r="E2395" s="1" t="s">
        <v>6367</v>
      </c>
      <c r="F2395" s="1" t="s">
        <v>9650</v>
      </c>
      <c r="G2395" s="1" t="s">
        <v>8957</v>
      </c>
      <c r="H2395" t="s">
        <v>8959</v>
      </c>
      <c r="I2395" s="1" t="s">
        <v>9100</v>
      </c>
      <c r="J2395" s="1" t="s">
        <v>8949</v>
      </c>
      <c r="K2395" s="1" t="s">
        <v>10492</v>
      </c>
      <c r="L2395" s="1" t="s">
        <v>8951</v>
      </c>
      <c r="M2395" s="1">
        <v>60</v>
      </c>
      <c r="N2395" s="1" t="s">
        <v>9059</v>
      </c>
      <c r="O2395" s="1" t="s">
        <v>8989</v>
      </c>
      <c r="P2395" s="1" t="e">
        <v>#N/A</v>
      </c>
      <c r="Q2395" s="1" t="e">
        <v>#N/A</v>
      </c>
      <c r="R2395" s="1">
        <f t="shared" si="690"/>
        <v>8</v>
      </c>
      <c r="S2395" s="1" t="str">
        <f t="shared" si="691"/>
        <v>&gt;7</v>
      </c>
      <c r="T2395" s="1" t="s">
        <v>19910</v>
      </c>
      <c r="U2395" s="1" t="s">
        <v>7</v>
      </c>
      <c r="V2395" s="1" t="s">
        <v>57</v>
      </c>
      <c r="W2395" s="1"/>
    </row>
    <row r="2396" spans="1:23" x14ac:dyDescent="0.2">
      <c r="A2396" s="88" t="s">
        <v>17590</v>
      </c>
      <c r="B2396" s="1" t="e">
        <v>#N/A</v>
      </c>
      <c r="C2396" s="1" t="s">
        <v>12683</v>
      </c>
      <c r="D2396" s="1" t="s">
        <v>6368</v>
      </c>
      <c r="E2396" s="1" t="s">
        <v>6369</v>
      </c>
      <c r="F2396" s="1" t="s">
        <v>9010</v>
      </c>
      <c r="G2396" s="1" t="s">
        <v>9060</v>
      </c>
      <c r="H2396" t="s">
        <v>9009</v>
      </c>
      <c r="I2396" s="1" t="s">
        <v>9605</v>
      </c>
      <c r="J2396" s="1" t="s">
        <v>9422</v>
      </c>
      <c r="K2396" s="1" t="s">
        <v>9018</v>
      </c>
      <c r="L2396" s="1" t="s">
        <v>9292</v>
      </c>
      <c r="M2396" s="1">
        <v>5455</v>
      </c>
      <c r="N2396" s="1" t="s">
        <v>8953</v>
      </c>
      <c r="O2396" s="1" t="s">
        <v>8989</v>
      </c>
      <c r="P2396" s="1" t="s">
        <v>8955</v>
      </c>
      <c r="Q2396" s="1" t="s">
        <v>8956</v>
      </c>
      <c r="R2396" s="1" t="s">
        <v>9060</v>
      </c>
      <c r="S2396" s="1" t="s">
        <v>8975</v>
      </c>
      <c r="T2396" s="1" t="s">
        <v>6370</v>
      </c>
      <c r="U2396" s="1" t="s">
        <v>11</v>
      </c>
      <c r="V2396" s="1" t="s">
        <v>6371</v>
      </c>
      <c r="W2396" s="1"/>
    </row>
    <row r="2397" spans="1:23" x14ac:dyDescent="0.2">
      <c r="A2397" s="89" t="s">
        <v>6372</v>
      </c>
      <c r="B2397" s="1" t="e">
        <v>#N/A</v>
      </c>
      <c r="C2397" s="1" t="e">
        <v>#N/A</v>
      </c>
      <c r="D2397" s="5" t="s">
        <v>6373</v>
      </c>
      <c r="E2397" s="1" t="s">
        <v>6374</v>
      </c>
      <c r="F2397" s="1" t="e">
        <v>#N/A</v>
      </c>
      <c r="G2397" s="1" t="e">
        <v>#N/A</v>
      </c>
      <c r="H2397" t="e">
        <v>#N/A</v>
      </c>
      <c r="I2397" s="1" t="e">
        <v>#N/A</v>
      </c>
      <c r="J2397" s="1" t="e">
        <v>#N/A</v>
      </c>
      <c r="K2397" s="1" t="e">
        <v>#N/A</v>
      </c>
      <c r="L2397" s="1" t="e">
        <v>#N/A</v>
      </c>
      <c r="M2397" s="1" t="e">
        <v>#N/A</v>
      </c>
      <c r="N2397" s="1" t="e">
        <v>#N/A</v>
      </c>
      <c r="O2397" s="1" t="e">
        <v>#N/A</v>
      </c>
      <c r="P2397" s="1" t="e">
        <v>#N/A</v>
      </c>
      <c r="Q2397" s="1" t="e">
        <v>#N/A</v>
      </c>
      <c r="R2397" s="1">
        <f t="shared" ref="R2397:R2398" si="692">1+LEN(T2397)-LEN(SUBSTITUTE(T2397,",",))</f>
        <v>4</v>
      </c>
      <c r="S2397" s="1" t="str">
        <f t="shared" ref="S2397:S2398" si="693">IF(R2397&gt;4,IF(R2397&lt;8,"4-7",IF(R2397&gt;7,"&gt;7")),"&lt;4")</f>
        <v>&lt;4</v>
      </c>
      <c r="T2397" s="1" t="s">
        <v>19911</v>
      </c>
      <c r="U2397" s="1" t="s">
        <v>252</v>
      </c>
      <c r="V2397" s="1" t="s">
        <v>74</v>
      </c>
      <c r="W2397" s="1"/>
    </row>
    <row r="2398" spans="1:23" x14ac:dyDescent="0.2">
      <c r="A2398" s="88" t="s">
        <v>17591</v>
      </c>
      <c r="B2398" s="1" t="e">
        <v>#N/A</v>
      </c>
      <c r="C2398" s="1" t="e">
        <v>#N/A</v>
      </c>
      <c r="D2398" s="1" t="s">
        <v>6375</v>
      </c>
      <c r="E2398" s="1" t="s">
        <v>6376</v>
      </c>
      <c r="F2398" s="1" t="s">
        <v>18502</v>
      </c>
      <c r="G2398" s="1" t="s">
        <v>8957</v>
      </c>
      <c r="H2398" t="s">
        <v>9061</v>
      </c>
      <c r="I2398" s="1" t="s">
        <v>9252</v>
      </c>
      <c r="J2398" s="1" t="s">
        <v>18504</v>
      </c>
      <c r="K2398" s="1" t="s">
        <v>21237</v>
      </c>
      <c r="L2398" s="1" t="s">
        <v>8987</v>
      </c>
      <c r="M2398" s="1">
        <v>4577</v>
      </c>
      <c r="N2398" s="1" t="s">
        <v>8953</v>
      </c>
      <c r="O2398" s="1" t="s">
        <v>8954</v>
      </c>
      <c r="P2398" s="1" t="e">
        <v>#N/A</v>
      </c>
      <c r="Q2398" s="1" t="e">
        <v>#N/A</v>
      </c>
      <c r="R2398" s="1">
        <f t="shared" si="692"/>
        <v>4</v>
      </c>
      <c r="S2398" s="1" t="str">
        <f t="shared" si="693"/>
        <v>&lt;4</v>
      </c>
      <c r="T2398" s="1" t="s">
        <v>19912</v>
      </c>
      <c r="U2398" s="1" t="s">
        <v>7</v>
      </c>
      <c r="V2398" s="1" t="s">
        <v>93</v>
      </c>
      <c r="W2398" s="1"/>
    </row>
    <row r="2399" spans="1:23" x14ac:dyDescent="0.2">
      <c r="A2399" s="88" t="s">
        <v>17592</v>
      </c>
      <c r="B2399" s="1" t="e">
        <v>#N/A</v>
      </c>
      <c r="C2399" s="1" t="s">
        <v>12690</v>
      </c>
      <c r="D2399" s="1" t="s">
        <v>6377</v>
      </c>
      <c r="E2399" s="1" t="s">
        <v>6378</v>
      </c>
      <c r="F2399" s="1" t="s">
        <v>9010</v>
      </c>
      <c r="G2399" s="1" t="s">
        <v>8957</v>
      </c>
      <c r="H2399" t="s">
        <v>9061</v>
      </c>
      <c r="I2399" s="1" t="s">
        <v>9252</v>
      </c>
      <c r="J2399" s="1" t="s">
        <v>9253</v>
      </c>
      <c r="K2399" s="1" t="s">
        <v>9036</v>
      </c>
      <c r="L2399" s="1" t="s">
        <v>9133</v>
      </c>
      <c r="M2399" s="1">
        <v>12000000</v>
      </c>
      <c r="N2399" s="1" t="s">
        <v>8953</v>
      </c>
      <c r="O2399" s="1" t="s">
        <v>8989</v>
      </c>
      <c r="P2399" s="1" t="s">
        <v>8955</v>
      </c>
      <c r="Q2399" s="1" t="s">
        <v>8956</v>
      </c>
      <c r="R2399" s="1" t="s">
        <v>8957</v>
      </c>
      <c r="S2399" s="1" t="s">
        <v>8958</v>
      </c>
      <c r="T2399" s="1" t="s">
        <v>6379</v>
      </c>
      <c r="U2399" s="1" t="s">
        <v>11</v>
      </c>
      <c r="V2399" s="1" t="s">
        <v>378</v>
      </c>
      <c r="W2399" s="1"/>
    </row>
    <row r="2400" spans="1:23" x14ac:dyDescent="0.2">
      <c r="A2400" s="88" t="s">
        <v>17593</v>
      </c>
      <c r="B2400" s="1" t="e">
        <v>#N/A</v>
      </c>
      <c r="C2400" s="1" t="e">
        <v>#N/A</v>
      </c>
      <c r="D2400" s="1" t="s">
        <v>6380</v>
      </c>
      <c r="E2400" s="1" t="s">
        <v>6381</v>
      </c>
      <c r="F2400" s="1" t="s">
        <v>18502</v>
      </c>
      <c r="G2400" s="1" t="s">
        <v>8957</v>
      </c>
      <c r="H2400" t="s">
        <v>9061</v>
      </c>
      <c r="I2400" s="1" t="s">
        <v>9252</v>
      </c>
      <c r="J2400" s="1" t="s">
        <v>18504</v>
      </c>
      <c r="K2400" s="1" t="s">
        <v>21196</v>
      </c>
      <c r="L2400" s="1" t="s">
        <v>8987</v>
      </c>
      <c r="M2400" s="1">
        <v>3411</v>
      </c>
      <c r="N2400" s="1" t="s">
        <v>8953</v>
      </c>
      <c r="O2400" s="1" t="s">
        <v>8989</v>
      </c>
      <c r="P2400" s="1" t="e">
        <v>#N/A</v>
      </c>
      <c r="Q2400" s="1" t="e">
        <v>#N/A</v>
      </c>
      <c r="R2400" s="1">
        <f t="shared" ref="R2400:R2404" si="694">1+LEN(T2400)-LEN(SUBSTITUTE(T2400,",",))</f>
        <v>5</v>
      </c>
      <c r="S2400" s="1" t="str">
        <f t="shared" ref="S2400:S2404" si="695">IF(R2400&gt;4,IF(R2400&lt;8,"4-7",IF(R2400&gt;7,"&gt;7")),"&lt;4")</f>
        <v>4-7</v>
      </c>
      <c r="T2400" s="1" t="s">
        <v>19913</v>
      </c>
      <c r="U2400" s="1" t="s">
        <v>7</v>
      </c>
      <c r="V2400" s="1" t="s">
        <v>378</v>
      </c>
      <c r="W2400" s="1"/>
    </row>
    <row r="2401" spans="1:23" x14ac:dyDescent="0.2">
      <c r="A2401" s="88" t="s">
        <v>17594</v>
      </c>
      <c r="B2401" s="1" t="e">
        <v>#N/A</v>
      </c>
      <c r="C2401" s="1" t="e">
        <v>#N/A</v>
      </c>
      <c r="D2401" s="1" t="s">
        <v>15486</v>
      </c>
      <c r="E2401" s="1" t="s">
        <v>6382</v>
      </c>
      <c r="F2401" s="1" t="s">
        <v>18502</v>
      </c>
      <c r="G2401" s="1" t="s">
        <v>8957</v>
      </c>
      <c r="H2401" t="s">
        <v>9009</v>
      </c>
      <c r="I2401" s="1" t="s">
        <v>9100</v>
      </c>
      <c r="J2401" s="1" t="s">
        <v>8949</v>
      </c>
      <c r="K2401" s="1" t="s">
        <v>18489</v>
      </c>
      <c r="L2401" s="1" t="s">
        <v>8951</v>
      </c>
      <c r="M2401" s="1">
        <v>228</v>
      </c>
      <c r="N2401" s="1" t="s">
        <v>9059</v>
      </c>
      <c r="O2401" s="1" t="s">
        <v>8989</v>
      </c>
      <c r="P2401" s="1" t="e">
        <v>#N/A</v>
      </c>
      <c r="Q2401" s="1" t="e">
        <v>#N/A</v>
      </c>
      <c r="R2401" s="1">
        <f t="shared" si="694"/>
        <v>11</v>
      </c>
      <c r="S2401" s="1" t="str">
        <f t="shared" si="695"/>
        <v>&gt;7</v>
      </c>
      <c r="T2401" s="1" t="s">
        <v>19914</v>
      </c>
      <c r="U2401" s="1" t="s">
        <v>7</v>
      </c>
      <c r="V2401" s="1" t="s">
        <v>110</v>
      </c>
      <c r="W2401" s="1"/>
    </row>
    <row r="2402" spans="1:23" x14ac:dyDescent="0.2">
      <c r="A2402" s="88" t="s">
        <v>17595</v>
      </c>
      <c r="B2402" s="1" t="e">
        <v>#N/A</v>
      </c>
      <c r="C2402" s="1" t="e">
        <v>#N/A</v>
      </c>
      <c r="D2402" s="1" t="s">
        <v>6383</v>
      </c>
      <c r="E2402" s="1" t="s">
        <v>6384</v>
      </c>
      <c r="F2402" s="1" t="s">
        <v>9650</v>
      </c>
      <c r="G2402" s="1" t="s">
        <v>8957</v>
      </c>
      <c r="H2402" t="s">
        <v>9183</v>
      </c>
      <c r="I2402" s="1" t="s">
        <v>8984</v>
      </c>
      <c r="J2402" s="1" t="s">
        <v>9131</v>
      </c>
      <c r="K2402" s="1" t="s">
        <v>10492</v>
      </c>
      <c r="L2402" s="1" t="s">
        <v>8973</v>
      </c>
      <c r="M2402" s="1">
        <f>547+183+182+1000</f>
        <v>1912</v>
      </c>
      <c r="N2402" s="1" t="s">
        <v>8953</v>
      </c>
      <c r="O2402" s="1" t="s">
        <v>8954</v>
      </c>
      <c r="P2402" s="1" t="e">
        <v>#N/A</v>
      </c>
      <c r="Q2402" s="1" t="e">
        <v>#N/A</v>
      </c>
      <c r="R2402" s="1">
        <f t="shared" si="694"/>
        <v>4</v>
      </c>
      <c r="S2402" s="1" t="str">
        <f t="shared" si="695"/>
        <v>&lt;4</v>
      </c>
      <c r="T2402" s="1" t="s">
        <v>19915</v>
      </c>
      <c r="U2402" s="1" t="s">
        <v>7</v>
      </c>
      <c r="V2402" s="1" t="s">
        <v>64</v>
      </c>
      <c r="W2402" s="1"/>
    </row>
    <row r="2403" spans="1:23" x14ac:dyDescent="0.2">
      <c r="A2403" s="88" t="s">
        <v>17596</v>
      </c>
      <c r="B2403" s="1" t="e">
        <v>#N/A</v>
      </c>
      <c r="C2403" s="1" t="e">
        <v>#N/A</v>
      </c>
      <c r="D2403" s="1" t="s">
        <v>6385</v>
      </c>
      <c r="E2403" s="1" t="s">
        <v>6386</v>
      </c>
      <c r="F2403" s="1" t="s">
        <v>9465</v>
      </c>
      <c r="G2403" s="1" t="s">
        <v>8957</v>
      </c>
      <c r="H2403" t="s">
        <v>9009</v>
      </c>
      <c r="I2403" s="1" t="s">
        <v>9100</v>
      </c>
      <c r="J2403" s="1" t="s">
        <v>8949</v>
      </c>
      <c r="K2403" s="1" t="s">
        <v>20979</v>
      </c>
      <c r="L2403" s="1" t="s">
        <v>8973</v>
      </c>
      <c r="M2403" s="1">
        <v>121</v>
      </c>
      <c r="N2403" s="1" t="s">
        <v>9059</v>
      </c>
      <c r="O2403" s="1" t="s">
        <v>8989</v>
      </c>
      <c r="P2403" s="1" t="e">
        <v>#N/A</v>
      </c>
      <c r="Q2403" s="1" t="e">
        <v>#N/A</v>
      </c>
      <c r="R2403" s="1">
        <f t="shared" si="694"/>
        <v>14</v>
      </c>
      <c r="S2403" s="1" t="str">
        <f t="shared" si="695"/>
        <v>&gt;7</v>
      </c>
      <c r="T2403" s="1" t="s">
        <v>20677</v>
      </c>
      <c r="U2403" s="1" t="s">
        <v>17</v>
      </c>
      <c r="V2403" s="1" t="s">
        <v>2988</v>
      </c>
      <c r="W2403" s="1"/>
    </row>
    <row r="2404" spans="1:23" x14ac:dyDescent="0.2">
      <c r="A2404" s="88" t="s">
        <v>17597</v>
      </c>
      <c r="B2404" s="1" t="e">
        <v>#N/A</v>
      </c>
      <c r="C2404" s="1" t="e">
        <v>#N/A</v>
      </c>
      <c r="D2404" s="1" t="s">
        <v>6387</v>
      </c>
      <c r="E2404" s="1" t="s">
        <v>6388</v>
      </c>
      <c r="F2404" s="1" t="s">
        <v>18502</v>
      </c>
      <c r="G2404" s="1" t="s">
        <v>8957</v>
      </c>
      <c r="H2404" t="s">
        <v>8959</v>
      </c>
      <c r="I2404" s="1" t="s">
        <v>9154</v>
      </c>
      <c r="J2404" s="1" t="s">
        <v>8949</v>
      </c>
      <c r="K2404" s="1" t="s">
        <v>10492</v>
      </c>
      <c r="L2404" s="1" t="s">
        <v>8973</v>
      </c>
      <c r="M2404" s="1">
        <v>70</v>
      </c>
      <c r="N2404" s="1" t="s">
        <v>9059</v>
      </c>
      <c r="O2404" s="1" t="s">
        <v>8989</v>
      </c>
      <c r="P2404" s="1" t="e">
        <v>#N/A</v>
      </c>
      <c r="Q2404" s="1" t="e">
        <v>#N/A</v>
      </c>
      <c r="R2404" s="1">
        <f t="shared" si="694"/>
        <v>4</v>
      </c>
      <c r="S2404" s="1" t="str">
        <f t="shared" si="695"/>
        <v>&lt;4</v>
      </c>
      <c r="T2404" s="1" t="s">
        <v>20678</v>
      </c>
      <c r="U2404" s="1" t="s">
        <v>7</v>
      </c>
      <c r="V2404" s="1" t="s">
        <v>147</v>
      </c>
      <c r="W2404" s="1"/>
    </row>
    <row r="2405" spans="1:23" x14ac:dyDescent="0.2">
      <c r="A2405" s="88" t="s">
        <v>17598</v>
      </c>
      <c r="B2405" s="1" t="e">
        <v>#N/A</v>
      </c>
      <c r="C2405" s="1" t="s">
        <v>14807</v>
      </c>
      <c r="D2405" s="1" t="s">
        <v>6389</v>
      </c>
      <c r="E2405" s="1" t="s">
        <v>6390</v>
      </c>
      <c r="F2405" s="1" t="s">
        <v>9010</v>
      </c>
      <c r="G2405" s="1" t="s">
        <v>8957</v>
      </c>
      <c r="H2405" t="s">
        <v>9061</v>
      </c>
      <c r="I2405" s="1" t="s">
        <v>8984</v>
      </c>
      <c r="J2405" s="1" t="s">
        <v>8998</v>
      </c>
      <c r="K2405" s="1" t="s">
        <v>10218</v>
      </c>
      <c r="L2405" s="1" t="s">
        <v>8973</v>
      </c>
      <c r="M2405" s="1">
        <v>335</v>
      </c>
      <c r="N2405" s="1" t="s">
        <v>8953</v>
      </c>
      <c r="O2405" s="1" t="s">
        <v>8954</v>
      </c>
      <c r="P2405" s="1" t="s">
        <v>8955</v>
      </c>
      <c r="Q2405" s="1" t="s">
        <v>8956</v>
      </c>
      <c r="R2405" s="1" t="s">
        <v>8957</v>
      </c>
      <c r="S2405" s="1" t="s">
        <v>8958</v>
      </c>
      <c r="T2405" s="1" t="s">
        <v>6391</v>
      </c>
      <c r="U2405" s="1" t="s">
        <v>17</v>
      </c>
      <c r="V2405" s="1" t="s">
        <v>24</v>
      </c>
      <c r="W2405" s="1"/>
    </row>
    <row r="2406" spans="1:23" x14ac:dyDescent="0.2">
      <c r="A2406" s="88" t="s">
        <v>17599</v>
      </c>
      <c r="B2406" s="1" t="e">
        <v>#N/A</v>
      </c>
      <c r="C2406" s="1" t="e">
        <v>#N/A</v>
      </c>
      <c r="D2406" s="1" t="s">
        <v>6392</v>
      </c>
      <c r="E2406" s="1" t="s">
        <v>6393</v>
      </c>
      <c r="F2406" s="1" t="s">
        <v>18502</v>
      </c>
      <c r="G2406" s="1" t="s">
        <v>8959</v>
      </c>
      <c r="H2406" t="s">
        <v>8959</v>
      </c>
      <c r="I2406" s="1" t="s">
        <v>9075</v>
      </c>
      <c r="J2406" s="1" t="s">
        <v>8985</v>
      </c>
      <c r="K2406" s="1" t="s">
        <v>20979</v>
      </c>
      <c r="L2406" s="1" t="s">
        <v>9133</v>
      </c>
      <c r="M2406" s="1">
        <v>2405</v>
      </c>
      <c r="N2406" s="1" t="s">
        <v>9059</v>
      </c>
      <c r="O2406" s="1" t="s">
        <v>8989</v>
      </c>
      <c r="P2406" s="1" t="e">
        <v>#N/A</v>
      </c>
      <c r="Q2406" s="1" t="e">
        <v>#N/A</v>
      </c>
      <c r="R2406" s="1">
        <f>1+LEN(T2406)-LEN(SUBSTITUTE(T2406,",",))</f>
        <v>4</v>
      </c>
      <c r="S2406" s="1" t="str">
        <f>IF(R2406&gt;4,IF(R2406&lt;8,"4-7",IF(R2406&gt;7,"&gt;7")),"&lt;4")</f>
        <v>&lt;4</v>
      </c>
      <c r="T2406" s="1" t="s">
        <v>19916</v>
      </c>
      <c r="U2406" s="1" t="s">
        <v>17</v>
      </c>
      <c r="V2406" s="1" t="s">
        <v>6394</v>
      </c>
      <c r="W2406" s="1"/>
    </row>
    <row r="2407" spans="1:23" x14ac:dyDescent="0.2">
      <c r="A2407" s="88" t="s">
        <v>17600</v>
      </c>
      <c r="B2407" s="1" t="e">
        <v>#N/A</v>
      </c>
      <c r="C2407" s="1" t="s">
        <v>15105</v>
      </c>
      <c r="D2407" s="1" t="s">
        <v>6395</v>
      </c>
      <c r="E2407" s="1" t="s">
        <v>6396</v>
      </c>
      <c r="F2407" s="1" t="s">
        <v>10032</v>
      </c>
      <c r="G2407" s="1" t="s">
        <v>8959</v>
      </c>
      <c r="H2407" t="s">
        <v>8959</v>
      </c>
      <c r="I2407" s="1" t="s">
        <v>9943</v>
      </c>
      <c r="J2407" s="1" t="s">
        <v>8998</v>
      </c>
      <c r="K2407" s="1" t="s">
        <v>9018</v>
      </c>
      <c r="L2407" s="1" t="s">
        <v>8951</v>
      </c>
      <c r="M2407" s="1">
        <v>515</v>
      </c>
      <c r="N2407" s="1" t="s">
        <v>8953</v>
      </c>
      <c r="O2407" s="1" t="s">
        <v>8989</v>
      </c>
      <c r="P2407" s="1" t="s">
        <v>8955</v>
      </c>
      <c r="Q2407" s="1" t="s">
        <v>8956</v>
      </c>
      <c r="R2407" s="1" t="s">
        <v>8959</v>
      </c>
      <c r="S2407" s="1" t="s">
        <v>8975</v>
      </c>
      <c r="T2407" s="1" t="s">
        <v>6397</v>
      </c>
      <c r="U2407" s="1" t="s">
        <v>17</v>
      </c>
      <c r="V2407" s="1" t="s">
        <v>2865</v>
      </c>
      <c r="W2407" s="1"/>
    </row>
    <row r="2408" spans="1:23" x14ac:dyDescent="0.2">
      <c r="A2408" s="94" t="s">
        <v>17601</v>
      </c>
      <c r="B2408" s="1" t="e">
        <v>#N/A</v>
      </c>
      <c r="C2408" s="1" t="e">
        <v>#N/A</v>
      </c>
      <c r="D2408" s="1" t="s">
        <v>6398</v>
      </c>
      <c r="E2408" s="1" t="s">
        <v>6399</v>
      </c>
      <c r="F2408" s="1" t="e">
        <v>#N/A</v>
      </c>
      <c r="G2408" s="1" t="e">
        <v>#N/A</v>
      </c>
      <c r="H2408" t="e">
        <v>#N/A</v>
      </c>
      <c r="I2408" s="1" t="e">
        <v>#N/A</v>
      </c>
      <c r="J2408" s="1" t="e">
        <v>#N/A</v>
      </c>
      <c r="K2408" s="1" t="e">
        <v>#N/A</v>
      </c>
      <c r="L2408" s="1"/>
      <c r="M2408" s="1" t="e">
        <v>#N/A</v>
      </c>
      <c r="N2408" s="1" t="e">
        <v>#N/A</v>
      </c>
      <c r="O2408" s="1" t="e">
        <v>#N/A</v>
      </c>
      <c r="P2408" s="1" t="e">
        <v>#N/A</v>
      </c>
      <c r="Q2408" s="1" t="e">
        <v>#N/A</v>
      </c>
      <c r="R2408" s="1">
        <f t="shared" ref="R2408:R2411" si="696">1+LEN(T2408)-LEN(SUBSTITUTE(T2408,",",))</f>
        <v>13</v>
      </c>
      <c r="S2408" s="1" t="str">
        <f t="shared" ref="S2408:S2411" si="697">IF(R2408&gt;4,IF(R2408&lt;8,"4-7",IF(R2408&gt;7,"&gt;7")),"&lt;4")</f>
        <v>&gt;7</v>
      </c>
      <c r="T2408" s="1" t="s">
        <v>19917</v>
      </c>
      <c r="U2408" s="1" t="s">
        <v>17</v>
      </c>
      <c r="V2408" s="1" t="s">
        <v>210</v>
      </c>
      <c r="W2408" s="1"/>
    </row>
    <row r="2409" spans="1:23" x14ac:dyDescent="0.2">
      <c r="A2409" s="89" t="s">
        <v>6400</v>
      </c>
      <c r="B2409" s="1" t="e">
        <v>#N/A</v>
      </c>
      <c r="C2409" s="1" t="e">
        <v>#N/A</v>
      </c>
      <c r="D2409" s="1" t="s">
        <v>6401</v>
      </c>
      <c r="E2409" s="1" t="s">
        <v>6402</v>
      </c>
      <c r="F2409" s="1" t="e">
        <v>#N/A</v>
      </c>
      <c r="G2409" s="1" t="e">
        <v>#N/A</v>
      </c>
      <c r="H2409" t="e">
        <v>#N/A</v>
      </c>
      <c r="I2409" s="1" t="e">
        <v>#N/A</v>
      </c>
      <c r="J2409" s="1" t="e">
        <v>#N/A</v>
      </c>
      <c r="K2409" s="1" t="e">
        <v>#N/A</v>
      </c>
      <c r="L2409" s="1" t="e">
        <v>#N/A</v>
      </c>
      <c r="M2409" s="1" t="e">
        <v>#N/A</v>
      </c>
      <c r="N2409" s="1" t="e">
        <v>#N/A</v>
      </c>
      <c r="O2409" s="1" t="e">
        <v>#N/A</v>
      </c>
      <c r="P2409" s="1" t="e">
        <v>#N/A</v>
      </c>
      <c r="Q2409" s="1" t="e">
        <v>#N/A</v>
      </c>
      <c r="R2409" s="1">
        <f t="shared" si="696"/>
        <v>6</v>
      </c>
      <c r="S2409" s="1" t="str">
        <f t="shared" si="697"/>
        <v>4-7</v>
      </c>
      <c r="T2409" s="1" t="s">
        <v>19918</v>
      </c>
      <c r="U2409" s="1" t="s">
        <v>17</v>
      </c>
      <c r="V2409" s="1" t="s">
        <v>6403</v>
      </c>
      <c r="W2409" s="1"/>
    </row>
    <row r="2410" spans="1:23" x14ac:dyDescent="0.2">
      <c r="A2410" s="89" t="s">
        <v>17602</v>
      </c>
      <c r="B2410" s="1" t="e">
        <v>#N/A</v>
      </c>
      <c r="C2410" s="1" t="e">
        <v>#N/A</v>
      </c>
      <c r="D2410" s="5" t="s">
        <v>6404</v>
      </c>
      <c r="E2410" s="1" t="s">
        <v>6405</v>
      </c>
      <c r="F2410" s="1" t="e">
        <v>#N/A</v>
      </c>
      <c r="G2410" s="1" t="e">
        <v>#N/A</v>
      </c>
      <c r="H2410" t="e">
        <v>#N/A</v>
      </c>
      <c r="I2410" s="1" t="e">
        <v>#N/A</v>
      </c>
      <c r="J2410" s="1" t="e">
        <v>#N/A</v>
      </c>
      <c r="K2410" s="1" t="e">
        <v>#N/A</v>
      </c>
      <c r="L2410" s="1" t="e">
        <v>#N/A</v>
      </c>
      <c r="M2410" s="1" t="e">
        <v>#N/A</v>
      </c>
      <c r="N2410" s="1" t="e">
        <v>#N/A</v>
      </c>
      <c r="O2410" s="1" t="e">
        <v>#N/A</v>
      </c>
      <c r="P2410" s="1" t="e">
        <v>#N/A</v>
      </c>
      <c r="Q2410" s="1" t="e">
        <v>#N/A</v>
      </c>
      <c r="R2410" s="1">
        <f t="shared" si="696"/>
        <v>7</v>
      </c>
      <c r="S2410" s="1" t="str">
        <f t="shared" si="697"/>
        <v>4-7</v>
      </c>
      <c r="T2410" s="1" t="s">
        <v>19919</v>
      </c>
      <c r="U2410" s="1" t="s">
        <v>7</v>
      </c>
      <c r="V2410" s="1" t="s">
        <v>27</v>
      </c>
      <c r="W2410" s="1"/>
    </row>
    <row r="2411" spans="1:23" x14ac:dyDescent="0.2">
      <c r="A2411" s="88" t="s">
        <v>17603</v>
      </c>
      <c r="B2411" s="1" t="e">
        <v>#N/A</v>
      </c>
      <c r="C2411" s="1" t="e">
        <v>#N/A</v>
      </c>
      <c r="D2411" s="1" t="s">
        <v>6406</v>
      </c>
      <c r="E2411" s="1" t="s">
        <v>6407</v>
      </c>
      <c r="F2411" s="1" t="s">
        <v>14748</v>
      </c>
      <c r="G2411" s="1" t="s">
        <v>8957</v>
      </c>
      <c r="H2411" t="s">
        <v>8959</v>
      </c>
      <c r="I2411" s="1" t="s">
        <v>8984</v>
      </c>
      <c r="J2411" s="1" t="s">
        <v>20800</v>
      </c>
      <c r="K2411" s="1" t="s">
        <v>20985</v>
      </c>
      <c r="L2411" s="1" t="s">
        <v>8987</v>
      </c>
      <c r="M2411" s="1">
        <v>3236</v>
      </c>
      <c r="N2411" s="1" t="s">
        <v>8953</v>
      </c>
      <c r="O2411" s="1" t="s">
        <v>8989</v>
      </c>
      <c r="P2411" s="1" t="e">
        <v>#N/A</v>
      </c>
      <c r="Q2411" s="1" t="e">
        <v>#N/A</v>
      </c>
      <c r="R2411" s="1">
        <f t="shared" si="696"/>
        <v>2</v>
      </c>
      <c r="S2411" s="1" t="str">
        <f t="shared" si="697"/>
        <v>&lt;4</v>
      </c>
      <c r="T2411" s="1" t="s">
        <v>19920</v>
      </c>
      <c r="U2411" s="1" t="s">
        <v>17</v>
      </c>
      <c r="V2411" s="1" t="s">
        <v>61</v>
      </c>
      <c r="W2411" s="1"/>
    </row>
    <row r="2412" spans="1:23" x14ac:dyDescent="0.2">
      <c r="A2412" s="88" t="s">
        <v>17604</v>
      </c>
      <c r="B2412" s="1" t="e">
        <v>#N/A</v>
      </c>
      <c r="C2412" s="1" t="s">
        <v>14087</v>
      </c>
      <c r="D2412" s="1" t="s">
        <v>6408</v>
      </c>
      <c r="E2412" s="1" t="s">
        <v>6409</v>
      </c>
      <c r="F2412" s="1" t="s">
        <v>9010</v>
      </c>
      <c r="G2412" s="1" t="s">
        <v>8959</v>
      </c>
      <c r="H2412" t="s">
        <v>8959</v>
      </c>
      <c r="I2412" s="1" t="s">
        <v>9605</v>
      </c>
      <c r="J2412" s="1" t="s">
        <v>9121</v>
      </c>
      <c r="K2412" s="1" t="s">
        <v>14090</v>
      </c>
      <c r="L2412" s="1" t="s">
        <v>8951</v>
      </c>
      <c r="M2412" s="1">
        <v>99</v>
      </c>
      <c r="N2412" s="1" t="s">
        <v>11658</v>
      </c>
      <c r="O2412" s="1" t="s">
        <v>8989</v>
      </c>
      <c r="P2412" s="1" t="s">
        <v>8955</v>
      </c>
      <c r="Q2412" s="1" t="s">
        <v>8990</v>
      </c>
      <c r="R2412" s="1" t="s">
        <v>8959</v>
      </c>
      <c r="S2412" s="1" t="s">
        <v>9103</v>
      </c>
      <c r="T2412" s="1" t="s">
        <v>6410</v>
      </c>
      <c r="U2412" s="1" t="s">
        <v>4</v>
      </c>
      <c r="V2412" s="1" t="s">
        <v>61</v>
      </c>
      <c r="W2412" s="1"/>
    </row>
    <row r="2413" spans="1:23" x14ac:dyDescent="0.2">
      <c r="A2413" s="88" t="s">
        <v>17605</v>
      </c>
      <c r="B2413" s="1" t="e">
        <v>#N/A</v>
      </c>
      <c r="C2413" s="1" t="s">
        <v>14987</v>
      </c>
      <c r="D2413" s="1" t="s">
        <v>6411</v>
      </c>
      <c r="E2413" s="1" t="s">
        <v>6412</v>
      </c>
      <c r="F2413" s="1" t="s">
        <v>12908</v>
      </c>
      <c r="G2413" s="1" t="s">
        <v>8957</v>
      </c>
      <c r="H2413" t="s">
        <v>8959</v>
      </c>
      <c r="I2413" s="1" t="s">
        <v>9092</v>
      </c>
      <c r="J2413" s="1" t="s">
        <v>9325</v>
      </c>
      <c r="K2413" s="1" t="s">
        <v>9036</v>
      </c>
      <c r="L2413" s="1" t="s">
        <v>8951</v>
      </c>
      <c r="M2413" s="1">
        <v>1620</v>
      </c>
      <c r="N2413" s="1" t="s">
        <v>8953</v>
      </c>
      <c r="O2413" s="1" t="s">
        <v>8989</v>
      </c>
      <c r="P2413" s="1" t="s">
        <v>8955</v>
      </c>
      <c r="Q2413" s="1" t="s">
        <v>8956</v>
      </c>
      <c r="R2413" s="1" t="s">
        <v>8957</v>
      </c>
      <c r="S2413" s="1" t="s">
        <v>8975</v>
      </c>
      <c r="T2413" s="1" t="s">
        <v>6413</v>
      </c>
      <c r="U2413" s="1" t="s">
        <v>17</v>
      </c>
      <c r="V2413" s="1" t="s">
        <v>1130</v>
      </c>
      <c r="W2413" s="1"/>
    </row>
    <row r="2414" spans="1:23" x14ac:dyDescent="0.2">
      <c r="A2414" s="94" t="s">
        <v>17606</v>
      </c>
      <c r="B2414" s="1" t="e">
        <v>#N/A</v>
      </c>
      <c r="C2414" s="1" t="e">
        <v>#N/A</v>
      </c>
      <c r="D2414" s="1" t="s">
        <v>6414</v>
      </c>
      <c r="E2414" s="1" t="s">
        <v>6415</v>
      </c>
      <c r="F2414" s="1" t="e">
        <v>#N/A</v>
      </c>
      <c r="G2414" s="1" t="s">
        <v>8959</v>
      </c>
      <c r="H2414" t="e">
        <v>#N/A</v>
      </c>
      <c r="I2414" s="1" t="s">
        <v>9100</v>
      </c>
      <c r="J2414" s="1" t="s">
        <v>8959</v>
      </c>
      <c r="K2414" s="1" t="e">
        <v>#N/A</v>
      </c>
      <c r="L2414" s="1" t="s">
        <v>8951</v>
      </c>
      <c r="M2414" s="1">
        <v>320240</v>
      </c>
      <c r="N2414" s="1" t="s">
        <v>8953</v>
      </c>
      <c r="O2414" s="1" t="s">
        <v>8989</v>
      </c>
      <c r="P2414" s="1" t="e">
        <v>#N/A</v>
      </c>
      <c r="Q2414" s="1" t="e">
        <v>#N/A</v>
      </c>
      <c r="R2414" s="1">
        <f t="shared" ref="R2414:R2417" si="698">1+LEN(T2414)-LEN(SUBSTITUTE(T2414,",",))</f>
        <v>5</v>
      </c>
      <c r="S2414" s="1" t="str">
        <f t="shared" ref="S2414:S2417" si="699">IF(R2414&gt;4,IF(R2414&lt;8,"4-7",IF(R2414&gt;7,"&gt;7")),"&lt;4")</f>
        <v>4-7</v>
      </c>
      <c r="T2414" s="1" t="s">
        <v>19921</v>
      </c>
      <c r="U2414" s="1" t="s">
        <v>17</v>
      </c>
      <c r="V2414" s="1" t="s">
        <v>110</v>
      </c>
      <c r="W2414" s="1"/>
    </row>
    <row r="2415" spans="1:23" x14ac:dyDescent="0.2">
      <c r="A2415" s="89" t="s">
        <v>6416</v>
      </c>
      <c r="B2415" s="1" t="e">
        <v>#N/A</v>
      </c>
      <c r="C2415" s="1" t="e">
        <v>#N/A</v>
      </c>
      <c r="D2415" s="1" t="s">
        <v>6417</v>
      </c>
      <c r="E2415" s="1" t="s">
        <v>6418</v>
      </c>
      <c r="F2415" s="1" t="e">
        <v>#N/A</v>
      </c>
      <c r="G2415" s="1" t="e">
        <v>#N/A</v>
      </c>
      <c r="H2415" t="e">
        <v>#N/A</v>
      </c>
      <c r="I2415" s="1" t="e">
        <v>#N/A</v>
      </c>
      <c r="J2415" s="1" t="e">
        <v>#N/A</v>
      </c>
      <c r="K2415" s="1" t="e">
        <v>#N/A</v>
      </c>
      <c r="L2415" s="1" t="e">
        <v>#N/A</v>
      </c>
      <c r="M2415" s="1" t="e">
        <v>#N/A</v>
      </c>
      <c r="N2415" s="1" t="e">
        <v>#N/A</v>
      </c>
      <c r="O2415" s="1" t="e">
        <v>#N/A</v>
      </c>
      <c r="P2415" s="1" t="e">
        <v>#N/A</v>
      </c>
      <c r="Q2415" s="1" t="e">
        <v>#N/A</v>
      </c>
      <c r="R2415" s="1">
        <f t="shared" si="698"/>
        <v>7</v>
      </c>
      <c r="S2415" s="1" t="str">
        <f t="shared" si="699"/>
        <v>4-7</v>
      </c>
      <c r="T2415" s="1" t="s">
        <v>19922</v>
      </c>
      <c r="U2415" s="1" t="s">
        <v>17</v>
      </c>
      <c r="V2415" s="1" t="s">
        <v>147</v>
      </c>
      <c r="W2415" s="1"/>
    </row>
    <row r="2416" spans="1:23" x14ac:dyDescent="0.2">
      <c r="A2416" s="89" t="s">
        <v>6419</v>
      </c>
      <c r="B2416" s="1" t="e">
        <v>#N/A</v>
      </c>
      <c r="C2416" s="1" t="e">
        <v>#N/A</v>
      </c>
      <c r="D2416" s="1" t="s">
        <v>6420</v>
      </c>
      <c r="E2416" s="1" t="s">
        <v>6421</v>
      </c>
      <c r="F2416" s="1" t="e">
        <v>#N/A</v>
      </c>
      <c r="G2416" s="1" t="e">
        <v>#N/A</v>
      </c>
      <c r="H2416" t="e">
        <v>#N/A</v>
      </c>
      <c r="I2416" s="1" t="e">
        <v>#N/A</v>
      </c>
      <c r="J2416" s="1" t="e">
        <v>#N/A</v>
      </c>
      <c r="K2416" s="1" t="e">
        <v>#N/A</v>
      </c>
      <c r="L2416" s="1" t="e">
        <v>#N/A</v>
      </c>
      <c r="M2416" s="1" t="e">
        <v>#N/A</v>
      </c>
      <c r="N2416" s="1" t="e">
        <v>#N/A</v>
      </c>
      <c r="O2416" s="1" t="e">
        <v>#N/A</v>
      </c>
      <c r="P2416" s="1" t="e">
        <v>#N/A</v>
      </c>
      <c r="Q2416" s="1" t="e">
        <v>#N/A</v>
      </c>
      <c r="R2416" s="1">
        <f t="shared" si="698"/>
        <v>7</v>
      </c>
      <c r="S2416" s="1" t="str">
        <f t="shared" si="699"/>
        <v>4-7</v>
      </c>
      <c r="T2416" s="1" t="s">
        <v>19923</v>
      </c>
      <c r="U2416" s="1" t="s">
        <v>17</v>
      </c>
      <c r="V2416" s="1" t="s">
        <v>147</v>
      </c>
      <c r="W2416" s="1"/>
    </row>
    <row r="2417" spans="1:23" x14ac:dyDescent="0.2">
      <c r="A2417" s="89" t="s">
        <v>6422</v>
      </c>
      <c r="B2417" s="1" t="e">
        <v>#N/A</v>
      </c>
      <c r="C2417" s="1" t="e">
        <v>#N/A</v>
      </c>
      <c r="D2417" s="1" t="s">
        <v>6423</v>
      </c>
      <c r="E2417" s="1" t="s">
        <v>6424</v>
      </c>
      <c r="F2417" s="1" t="e">
        <v>#N/A</v>
      </c>
      <c r="G2417" s="1" t="e">
        <v>#N/A</v>
      </c>
      <c r="H2417" t="e">
        <v>#N/A</v>
      </c>
      <c r="I2417" s="1" t="e">
        <v>#N/A</v>
      </c>
      <c r="J2417" s="1" t="e">
        <v>#N/A</v>
      </c>
      <c r="K2417" s="1" t="e">
        <v>#N/A</v>
      </c>
      <c r="L2417" s="1" t="e">
        <v>#N/A</v>
      </c>
      <c r="M2417" s="1" t="e">
        <v>#N/A</v>
      </c>
      <c r="N2417" s="1" t="e">
        <v>#N/A</v>
      </c>
      <c r="O2417" s="1" t="e">
        <v>#N/A</v>
      </c>
      <c r="P2417" s="1" t="e">
        <v>#N/A</v>
      </c>
      <c r="Q2417" s="1" t="e">
        <v>#N/A</v>
      </c>
      <c r="R2417" s="1">
        <f t="shared" si="698"/>
        <v>4</v>
      </c>
      <c r="S2417" s="1" t="str">
        <f t="shared" si="699"/>
        <v>&lt;4</v>
      </c>
      <c r="T2417" s="1" t="s">
        <v>19924</v>
      </c>
      <c r="U2417" s="1" t="s">
        <v>7</v>
      </c>
      <c r="V2417" s="1" t="s">
        <v>4070</v>
      </c>
      <c r="W2417" s="1"/>
    </row>
    <row r="2418" spans="1:23" x14ac:dyDescent="0.2">
      <c r="A2418" s="88" t="s">
        <v>17607</v>
      </c>
      <c r="B2418" s="1" t="e">
        <v>#N/A</v>
      </c>
      <c r="C2418" s="1" t="s">
        <v>14878</v>
      </c>
      <c r="D2418" s="1" t="s">
        <v>6425</v>
      </c>
      <c r="E2418" s="1" t="s">
        <v>6426</v>
      </c>
      <c r="F2418" s="1" t="s">
        <v>14748</v>
      </c>
      <c r="G2418" s="1" t="s">
        <v>8959</v>
      </c>
      <c r="H2418" t="s">
        <v>8959</v>
      </c>
      <c r="I2418" s="1" t="s">
        <v>8948</v>
      </c>
      <c r="J2418" s="1" t="s">
        <v>8971</v>
      </c>
      <c r="K2418" s="1" t="s">
        <v>9036</v>
      </c>
      <c r="L2418" s="1" t="s">
        <v>8987</v>
      </c>
      <c r="M2418" s="1">
        <v>501</v>
      </c>
      <c r="N2418" s="1" t="s">
        <v>8953</v>
      </c>
      <c r="O2418" s="1" t="s">
        <v>8989</v>
      </c>
      <c r="P2418" s="1" t="s">
        <v>8955</v>
      </c>
      <c r="Q2418" s="1" t="s">
        <v>8956</v>
      </c>
      <c r="R2418" s="1" t="s">
        <v>8959</v>
      </c>
      <c r="S2418" s="1" t="s">
        <v>8958</v>
      </c>
      <c r="T2418" s="1" t="s">
        <v>6427</v>
      </c>
      <c r="U2418" s="1" t="s">
        <v>17</v>
      </c>
      <c r="V2418" s="1" t="s">
        <v>97</v>
      </c>
      <c r="W2418" s="1"/>
    </row>
    <row r="2419" spans="1:23" x14ac:dyDescent="0.2">
      <c r="A2419" s="88" t="s">
        <v>20986</v>
      </c>
      <c r="B2419" s="1" t="e">
        <v>#N/A</v>
      </c>
      <c r="C2419" s="1" t="e">
        <v>#N/A</v>
      </c>
      <c r="D2419" s="1" t="s">
        <v>6428</v>
      </c>
      <c r="E2419" s="1" t="s">
        <v>6429</v>
      </c>
      <c r="F2419" s="1" t="s">
        <v>10049</v>
      </c>
      <c r="G2419" s="1" t="s">
        <v>8959</v>
      </c>
      <c r="H2419" t="s">
        <v>8959</v>
      </c>
      <c r="I2419" s="1" t="s">
        <v>20712</v>
      </c>
      <c r="J2419" s="1" t="s">
        <v>9155</v>
      </c>
      <c r="K2419" s="1" t="s">
        <v>10525</v>
      </c>
      <c r="L2419" s="1" t="s">
        <v>8951</v>
      </c>
      <c r="M2419" s="1">
        <v>410</v>
      </c>
      <c r="N2419" s="1" t="s">
        <v>8953</v>
      </c>
      <c r="O2419" s="1" t="s">
        <v>8954</v>
      </c>
      <c r="P2419" s="1" t="e">
        <v>#N/A</v>
      </c>
      <c r="Q2419" s="1" t="e">
        <v>#N/A</v>
      </c>
      <c r="R2419" s="1">
        <f t="shared" ref="R2419:R2421" si="700">1+LEN(T2419)-LEN(SUBSTITUTE(T2419,",",))</f>
        <v>5</v>
      </c>
      <c r="S2419" s="1" t="str">
        <f t="shared" ref="S2419:S2421" si="701">IF(R2419&gt;4,IF(R2419&lt;8,"4-7",IF(R2419&gt;7,"&gt;7")),"&lt;4")</f>
        <v>4-7</v>
      </c>
      <c r="T2419" s="1" t="s">
        <v>19925</v>
      </c>
      <c r="U2419" s="1" t="s">
        <v>7</v>
      </c>
      <c r="V2419" s="1" t="s">
        <v>8</v>
      </c>
      <c r="W2419" s="1"/>
    </row>
    <row r="2420" spans="1:23" x14ac:dyDescent="0.2">
      <c r="A2420" s="88" t="s">
        <v>17608</v>
      </c>
      <c r="B2420" s="1" t="e">
        <v>#N/A</v>
      </c>
      <c r="C2420" s="1" t="e">
        <v>#N/A</v>
      </c>
      <c r="D2420" s="1" t="s">
        <v>6430</v>
      </c>
      <c r="E2420" s="1" t="s">
        <v>6431</v>
      </c>
      <c r="F2420" s="1" t="s">
        <v>9333</v>
      </c>
      <c r="G2420" s="1" t="s">
        <v>8957</v>
      </c>
      <c r="H2420" t="s">
        <v>8959</v>
      </c>
      <c r="I2420" s="1" t="s">
        <v>20714</v>
      </c>
      <c r="J2420" s="1" t="s">
        <v>20725</v>
      </c>
      <c r="K2420" s="1" t="s">
        <v>20983</v>
      </c>
      <c r="L2420" s="1" t="s">
        <v>9464</v>
      </c>
      <c r="M2420" s="1">
        <v>10</v>
      </c>
      <c r="N2420" s="1" t="s">
        <v>8953</v>
      </c>
      <c r="O2420" s="1" t="s">
        <v>8989</v>
      </c>
      <c r="P2420" s="1" t="e">
        <v>#N/A</v>
      </c>
      <c r="Q2420" s="1" t="e">
        <v>#N/A</v>
      </c>
      <c r="R2420" s="1">
        <f t="shared" si="700"/>
        <v>15</v>
      </c>
      <c r="S2420" s="1" t="str">
        <f t="shared" si="701"/>
        <v>&gt;7</v>
      </c>
      <c r="T2420" s="1" t="s">
        <v>19926</v>
      </c>
      <c r="U2420" s="1" t="s">
        <v>7</v>
      </c>
      <c r="V2420" s="1" t="s">
        <v>24</v>
      </c>
      <c r="W2420" s="1"/>
    </row>
    <row r="2421" spans="1:23" x14ac:dyDescent="0.2">
      <c r="A2421" s="88" t="s">
        <v>17609</v>
      </c>
      <c r="B2421" s="1" t="e">
        <v>#N/A</v>
      </c>
      <c r="C2421" s="1" t="e">
        <v>#N/A</v>
      </c>
      <c r="D2421" s="1" t="s">
        <v>6432</v>
      </c>
      <c r="E2421" s="1" t="s">
        <v>6433</v>
      </c>
      <c r="F2421" s="1" t="e">
        <v>#N/A</v>
      </c>
      <c r="G2421" s="1" t="e">
        <v>#N/A</v>
      </c>
      <c r="H2421" t="e">
        <v>#N/A</v>
      </c>
      <c r="I2421" s="1" t="e">
        <v>#N/A</v>
      </c>
      <c r="J2421" s="1" t="e">
        <v>#N/A</v>
      </c>
      <c r="K2421" s="1" t="e">
        <v>#N/A</v>
      </c>
      <c r="L2421" s="1" t="e">
        <v>#N/A</v>
      </c>
      <c r="M2421" s="1" t="e">
        <v>#N/A</v>
      </c>
      <c r="N2421" s="1" t="e">
        <v>#N/A</v>
      </c>
      <c r="O2421" s="1" t="e">
        <v>#N/A</v>
      </c>
      <c r="P2421" s="1" t="e">
        <v>#N/A</v>
      </c>
      <c r="Q2421" s="1" t="e">
        <v>#N/A</v>
      </c>
      <c r="R2421" s="1">
        <f t="shared" si="700"/>
        <v>6</v>
      </c>
      <c r="S2421" s="1" t="str">
        <f t="shared" si="701"/>
        <v>4-7</v>
      </c>
      <c r="T2421" s="1" t="s">
        <v>19927</v>
      </c>
      <c r="U2421" s="1" t="s">
        <v>252</v>
      </c>
      <c r="V2421" s="1" t="s">
        <v>598</v>
      </c>
      <c r="W2421" s="1"/>
    </row>
    <row r="2422" spans="1:23" x14ac:dyDescent="0.2">
      <c r="A2422" s="88" t="s">
        <v>17610</v>
      </c>
      <c r="B2422" s="1" t="e">
        <v>#N/A</v>
      </c>
      <c r="C2422" s="1" t="s">
        <v>15241</v>
      </c>
      <c r="D2422" s="1" t="s">
        <v>6434</v>
      </c>
      <c r="E2422" s="1" t="s">
        <v>6435</v>
      </c>
      <c r="F2422" s="1" t="s">
        <v>9010</v>
      </c>
      <c r="G2422" s="1" t="s">
        <v>8959</v>
      </c>
      <c r="H2422" t="s">
        <v>8959</v>
      </c>
      <c r="I2422" s="1" t="s">
        <v>9049</v>
      </c>
      <c r="J2422" s="1" t="s">
        <v>9050</v>
      </c>
      <c r="K2422" s="1" t="s">
        <v>9112</v>
      </c>
      <c r="L2422" s="1" t="s">
        <v>9133</v>
      </c>
      <c r="M2422" s="1">
        <v>3796</v>
      </c>
      <c r="N2422" s="1" t="s">
        <v>8953</v>
      </c>
      <c r="O2422" s="1" t="s">
        <v>8954</v>
      </c>
      <c r="P2422" s="1" t="s">
        <v>8955</v>
      </c>
      <c r="Q2422" s="1" t="s">
        <v>8956</v>
      </c>
      <c r="R2422" s="1" t="s">
        <v>8959</v>
      </c>
      <c r="S2422" s="1" t="s">
        <v>8975</v>
      </c>
      <c r="T2422" s="1" t="s">
        <v>6436</v>
      </c>
      <c r="U2422" s="1" t="s">
        <v>17</v>
      </c>
      <c r="V2422" s="1" t="s">
        <v>447</v>
      </c>
      <c r="W2422" s="1"/>
    </row>
    <row r="2423" spans="1:23" x14ac:dyDescent="0.2">
      <c r="A2423" s="88" t="s">
        <v>17611</v>
      </c>
      <c r="B2423" s="1" t="e">
        <v>#N/A</v>
      </c>
      <c r="C2423" s="1" t="s">
        <v>9118</v>
      </c>
      <c r="D2423" s="1" t="s">
        <v>6437</v>
      </c>
      <c r="E2423" s="1" t="s">
        <v>6438</v>
      </c>
      <c r="F2423" s="1" t="s">
        <v>10032</v>
      </c>
      <c r="G2423" s="1" t="s">
        <v>8959</v>
      </c>
      <c r="H2423" t="s">
        <v>8959</v>
      </c>
      <c r="I2423" s="1" t="s">
        <v>9075</v>
      </c>
      <c r="J2423" s="1" t="s">
        <v>9121</v>
      </c>
      <c r="K2423" s="1" t="s">
        <v>9018</v>
      </c>
      <c r="L2423" s="1" t="s">
        <v>9076</v>
      </c>
      <c r="M2423" s="1">
        <v>1000</v>
      </c>
      <c r="N2423" s="1" t="s">
        <v>8953</v>
      </c>
      <c r="O2423" s="1" t="s">
        <v>8989</v>
      </c>
      <c r="P2423" s="1" t="s">
        <v>8955</v>
      </c>
      <c r="Q2423" s="1" t="s">
        <v>8956</v>
      </c>
      <c r="R2423" s="1" t="s">
        <v>8959</v>
      </c>
      <c r="S2423" s="1" t="s">
        <v>9103</v>
      </c>
      <c r="T2423" s="1" t="s">
        <v>6439</v>
      </c>
      <c r="U2423" s="1" t="s">
        <v>17</v>
      </c>
      <c r="V2423" s="1" t="s">
        <v>1028</v>
      </c>
      <c r="W2423" s="1"/>
    </row>
    <row r="2424" spans="1:23" x14ac:dyDescent="0.2">
      <c r="A2424" s="88" t="s">
        <v>17612</v>
      </c>
      <c r="B2424" s="1" t="e">
        <v>#N/A</v>
      </c>
      <c r="C2424" s="1" t="e">
        <v>#N/A</v>
      </c>
      <c r="D2424" s="1" t="s">
        <v>6440</v>
      </c>
      <c r="E2424" s="1" t="s">
        <v>6441</v>
      </c>
      <c r="F2424" s="1" t="s">
        <v>10049</v>
      </c>
      <c r="G2424" s="1" t="s">
        <v>8959</v>
      </c>
      <c r="H2424" t="s">
        <v>8959</v>
      </c>
      <c r="I2424" s="1" t="s">
        <v>20714</v>
      </c>
      <c r="J2424" s="1" t="s">
        <v>8959</v>
      </c>
      <c r="K2424" s="1" t="s">
        <v>20979</v>
      </c>
      <c r="L2424" s="1" t="s">
        <v>8951</v>
      </c>
      <c r="M2424" s="1">
        <v>600</v>
      </c>
      <c r="N2424" s="1" t="s">
        <v>8953</v>
      </c>
      <c r="O2424" s="1" t="s">
        <v>8989</v>
      </c>
      <c r="P2424" s="1" t="e">
        <v>#N/A</v>
      </c>
      <c r="Q2424" s="1" t="e">
        <v>#N/A</v>
      </c>
      <c r="R2424" s="1">
        <f t="shared" ref="R2424:R2431" si="702">1+LEN(T2424)-LEN(SUBSTITUTE(T2424,",",))</f>
        <v>3</v>
      </c>
      <c r="S2424" s="1" t="str">
        <f t="shared" ref="S2424:S2431" si="703">IF(R2424&gt;4,IF(R2424&lt;8,"4-7",IF(R2424&gt;7,"&gt;7")),"&lt;4")</f>
        <v>&lt;4</v>
      </c>
      <c r="T2424" s="1" t="s">
        <v>19928</v>
      </c>
      <c r="U2424" s="1" t="s">
        <v>7</v>
      </c>
      <c r="V2424" s="1" t="s">
        <v>6442</v>
      </c>
      <c r="W2424" s="1"/>
    </row>
    <row r="2425" spans="1:23" x14ac:dyDescent="0.2">
      <c r="A2425" s="88" t="s">
        <v>17613</v>
      </c>
      <c r="B2425" s="1" t="e">
        <v>#N/A</v>
      </c>
      <c r="C2425" s="1" t="e">
        <v>#N/A</v>
      </c>
      <c r="D2425" s="1" t="s">
        <v>6443</v>
      </c>
      <c r="E2425" s="1" t="s">
        <v>6444</v>
      </c>
      <c r="F2425" s="1" t="s">
        <v>18502</v>
      </c>
      <c r="G2425" s="1" t="s">
        <v>9060</v>
      </c>
      <c r="H2425" t="s">
        <v>8959</v>
      </c>
      <c r="I2425" s="1" t="s">
        <v>9252</v>
      </c>
      <c r="J2425" s="1" t="s">
        <v>18504</v>
      </c>
      <c r="K2425" s="1" t="s">
        <v>10381</v>
      </c>
      <c r="L2425" s="1" t="s">
        <v>9133</v>
      </c>
      <c r="M2425" s="1">
        <f>166578+144231</f>
        <v>310809</v>
      </c>
      <c r="N2425" s="1" t="s">
        <v>8953</v>
      </c>
      <c r="O2425" s="1" t="s">
        <v>8954</v>
      </c>
      <c r="P2425" s="1" t="e">
        <v>#N/A</v>
      </c>
      <c r="Q2425" s="1" t="e">
        <v>#N/A</v>
      </c>
      <c r="R2425" s="1">
        <f t="shared" si="702"/>
        <v>73</v>
      </c>
      <c r="S2425" s="1" t="str">
        <f t="shared" si="703"/>
        <v>&gt;7</v>
      </c>
      <c r="T2425" s="1" t="s">
        <v>20679</v>
      </c>
      <c r="U2425" s="1" t="s">
        <v>7</v>
      </c>
      <c r="V2425" s="1" t="s">
        <v>1918</v>
      </c>
      <c r="W2425" s="1"/>
    </row>
    <row r="2426" spans="1:23" x14ac:dyDescent="0.2">
      <c r="A2426" s="88" t="s">
        <v>17614</v>
      </c>
      <c r="B2426" s="1" t="e">
        <v>#N/A</v>
      </c>
      <c r="C2426" s="1" t="e">
        <v>#N/A</v>
      </c>
      <c r="D2426" s="1" t="s">
        <v>6445</v>
      </c>
      <c r="E2426" s="1" t="s">
        <v>6446</v>
      </c>
      <c r="F2426" s="1" t="s">
        <v>18502</v>
      </c>
      <c r="G2426" s="1" t="s">
        <v>8957</v>
      </c>
      <c r="H2426" t="s">
        <v>8959</v>
      </c>
      <c r="I2426" s="1" t="s">
        <v>20714</v>
      </c>
      <c r="J2426" s="1" t="s">
        <v>9101</v>
      </c>
      <c r="K2426" s="1" t="s">
        <v>20987</v>
      </c>
      <c r="L2426" s="1" t="s">
        <v>9292</v>
      </c>
      <c r="M2426" s="1">
        <v>12</v>
      </c>
      <c r="N2426" s="1" t="s">
        <v>8953</v>
      </c>
      <c r="O2426" s="1" t="s">
        <v>8989</v>
      </c>
      <c r="P2426" s="1" t="e">
        <v>#N/A</v>
      </c>
      <c r="Q2426" s="1" t="e">
        <v>#N/A</v>
      </c>
      <c r="R2426" s="1">
        <f t="shared" si="702"/>
        <v>14</v>
      </c>
      <c r="S2426" s="1" t="str">
        <f t="shared" si="703"/>
        <v>&gt;7</v>
      </c>
      <c r="T2426" s="1" t="s">
        <v>19929</v>
      </c>
      <c r="U2426" s="1" t="s">
        <v>7</v>
      </c>
      <c r="V2426" s="1" t="s">
        <v>6447</v>
      </c>
      <c r="W2426" s="1"/>
    </row>
    <row r="2427" spans="1:23" x14ac:dyDescent="0.2">
      <c r="A2427" s="88" t="s">
        <v>17615</v>
      </c>
      <c r="B2427" s="1" t="e">
        <v>#N/A</v>
      </c>
      <c r="C2427" s="1" t="e">
        <v>#N/A</v>
      </c>
      <c r="D2427" s="1" t="s">
        <v>6448</v>
      </c>
      <c r="E2427" s="1" t="s">
        <v>6449</v>
      </c>
      <c r="F2427" s="1" t="s">
        <v>9317</v>
      </c>
      <c r="G2427" s="1" t="s">
        <v>8959</v>
      </c>
      <c r="H2427" t="s">
        <v>8959</v>
      </c>
      <c r="I2427" s="1" t="s">
        <v>9075</v>
      </c>
      <c r="J2427" s="1" t="s">
        <v>8949</v>
      </c>
      <c r="K2427" s="1" t="s">
        <v>10492</v>
      </c>
      <c r="L2427" s="1" t="s">
        <v>8987</v>
      </c>
      <c r="M2427" s="1">
        <v>312</v>
      </c>
      <c r="N2427" s="1" t="s">
        <v>9059</v>
      </c>
      <c r="O2427" s="1" t="s">
        <v>8989</v>
      </c>
      <c r="P2427" s="1" t="e">
        <v>#N/A</v>
      </c>
      <c r="Q2427" s="1" t="e">
        <v>#N/A</v>
      </c>
      <c r="R2427" s="1">
        <f t="shared" si="702"/>
        <v>12</v>
      </c>
      <c r="S2427" s="1" t="str">
        <f t="shared" si="703"/>
        <v>&gt;7</v>
      </c>
      <c r="T2427" s="1" t="s">
        <v>19930</v>
      </c>
      <c r="U2427" s="1" t="s">
        <v>17</v>
      </c>
      <c r="V2427" s="1" t="s">
        <v>180</v>
      </c>
      <c r="W2427" s="1"/>
    </row>
    <row r="2428" spans="1:23" x14ac:dyDescent="0.2">
      <c r="A2428" s="88" t="s">
        <v>17616</v>
      </c>
      <c r="B2428" s="1" t="e">
        <v>#N/A</v>
      </c>
      <c r="C2428" s="1" t="e">
        <v>#N/A</v>
      </c>
      <c r="D2428" s="1" t="s">
        <v>6450</v>
      </c>
      <c r="E2428" s="1" t="s">
        <v>6451</v>
      </c>
      <c r="F2428" s="1" t="s">
        <v>9317</v>
      </c>
      <c r="G2428" s="1" t="s">
        <v>8974</v>
      </c>
      <c r="H2428" t="s">
        <v>8959</v>
      </c>
      <c r="I2428" s="1" t="s">
        <v>9605</v>
      </c>
      <c r="J2428" s="1" t="s">
        <v>9101</v>
      </c>
      <c r="K2428" s="1" t="s">
        <v>10492</v>
      </c>
      <c r="L2428" s="1" t="s">
        <v>8973</v>
      </c>
      <c r="M2428" s="1">
        <f>268+52</f>
        <v>320</v>
      </c>
      <c r="N2428" s="1" t="s">
        <v>8953</v>
      </c>
      <c r="O2428" s="1" t="s">
        <v>20988</v>
      </c>
      <c r="P2428" s="1" t="e">
        <v>#N/A</v>
      </c>
      <c r="Q2428" s="1" t="e">
        <v>#N/A</v>
      </c>
      <c r="R2428" s="1">
        <f t="shared" si="702"/>
        <v>4</v>
      </c>
      <c r="S2428" s="1" t="str">
        <f t="shared" si="703"/>
        <v>&lt;4</v>
      </c>
      <c r="T2428" s="1" t="s">
        <v>20680</v>
      </c>
      <c r="U2428" s="1" t="s">
        <v>7</v>
      </c>
      <c r="V2428" s="1" t="s">
        <v>110</v>
      </c>
      <c r="W2428" s="1"/>
    </row>
    <row r="2429" spans="1:23" x14ac:dyDescent="0.2">
      <c r="A2429" s="88" t="s">
        <v>17617</v>
      </c>
      <c r="B2429" s="1" t="e">
        <v>#N/A</v>
      </c>
      <c r="C2429" s="1" t="e">
        <v>#N/A</v>
      </c>
      <c r="D2429" s="1" t="s">
        <v>6452</v>
      </c>
      <c r="E2429" s="1" t="s">
        <v>6453</v>
      </c>
      <c r="F2429" s="1" t="s">
        <v>18502</v>
      </c>
      <c r="G2429" s="1" t="s">
        <v>9060</v>
      </c>
      <c r="H2429" t="s">
        <v>9061</v>
      </c>
      <c r="I2429" s="1" t="s">
        <v>9100</v>
      </c>
      <c r="J2429" s="1" t="s">
        <v>8949</v>
      </c>
      <c r="K2429" s="1" t="s">
        <v>10492</v>
      </c>
      <c r="L2429" s="1" t="s">
        <v>9076</v>
      </c>
      <c r="M2429" s="1">
        <f>850+100</f>
        <v>950</v>
      </c>
      <c r="N2429" s="1" t="s">
        <v>9059</v>
      </c>
      <c r="O2429" s="1" t="s">
        <v>8989</v>
      </c>
      <c r="P2429" s="1" t="e">
        <v>#N/A</v>
      </c>
      <c r="Q2429" s="1" t="e">
        <v>#N/A</v>
      </c>
      <c r="R2429" s="1">
        <f t="shared" si="702"/>
        <v>15</v>
      </c>
      <c r="S2429" s="1" t="str">
        <f t="shared" si="703"/>
        <v>&gt;7</v>
      </c>
      <c r="T2429" s="1" t="s">
        <v>20681</v>
      </c>
      <c r="U2429" s="1" t="s">
        <v>7</v>
      </c>
      <c r="V2429" s="1" t="s">
        <v>110</v>
      </c>
      <c r="W2429" s="1"/>
    </row>
    <row r="2430" spans="1:23" x14ac:dyDescent="0.2">
      <c r="A2430" s="88" t="s">
        <v>17618</v>
      </c>
      <c r="B2430" s="1" t="e">
        <v>#N/A</v>
      </c>
      <c r="C2430" s="1" t="e">
        <v>#N/A</v>
      </c>
      <c r="D2430" s="1" t="s">
        <v>6454</v>
      </c>
      <c r="E2430" s="1" t="s">
        <v>6455</v>
      </c>
      <c r="F2430" s="1" t="s">
        <v>18502</v>
      </c>
      <c r="G2430" s="1" t="s">
        <v>8957</v>
      </c>
      <c r="H2430" t="s">
        <v>9061</v>
      </c>
      <c r="I2430" s="1" t="s">
        <v>9100</v>
      </c>
      <c r="J2430" s="1" t="s">
        <v>8949</v>
      </c>
      <c r="K2430" s="1" t="s">
        <v>20981</v>
      </c>
      <c r="L2430" s="1" t="s">
        <v>9076</v>
      </c>
      <c r="M2430" s="1">
        <f>25+586</f>
        <v>611</v>
      </c>
      <c r="N2430" s="1" t="s">
        <v>9059</v>
      </c>
      <c r="O2430" s="1" t="s">
        <v>8954</v>
      </c>
      <c r="P2430" s="1" t="e">
        <v>#N/A</v>
      </c>
      <c r="Q2430" s="1" t="e">
        <v>#N/A</v>
      </c>
      <c r="R2430" s="1">
        <f t="shared" si="702"/>
        <v>12</v>
      </c>
      <c r="S2430" s="1" t="str">
        <f t="shared" si="703"/>
        <v>&gt;7</v>
      </c>
      <c r="T2430" s="1" t="s">
        <v>20682</v>
      </c>
      <c r="U2430" s="1" t="s">
        <v>17</v>
      </c>
      <c r="V2430" s="1" t="s">
        <v>21</v>
      </c>
      <c r="W2430" s="1"/>
    </row>
    <row r="2431" spans="1:23" x14ac:dyDescent="0.2">
      <c r="A2431" s="88" t="s">
        <v>17619</v>
      </c>
      <c r="B2431" s="1" t="e">
        <v>#N/A</v>
      </c>
      <c r="C2431" s="1" t="e">
        <v>#N/A</v>
      </c>
      <c r="D2431" s="1" t="s">
        <v>6456</v>
      </c>
      <c r="E2431" s="1" t="s">
        <v>6457</v>
      </c>
      <c r="F2431" s="1" t="s">
        <v>18502</v>
      </c>
      <c r="G2431" s="1" t="s">
        <v>8957</v>
      </c>
      <c r="H2431" t="s">
        <v>9009</v>
      </c>
      <c r="I2431" s="1" t="s">
        <v>9100</v>
      </c>
      <c r="J2431" s="1" t="s">
        <v>8949</v>
      </c>
      <c r="K2431" s="1" t="s">
        <v>10492</v>
      </c>
      <c r="L2431" s="1" t="s">
        <v>8973</v>
      </c>
      <c r="M2431" s="1">
        <f>12+2781</f>
        <v>2793</v>
      </c>
      <c r="N2431" s="1" t="s">
        <v>9059</v>
      </c>
      <c r="O2431" s="1" t="s">
        <v>8954</v>
      </c>
      <c r="P2431" s="1" t="e">
        <v>#N/A</v>
      </c>
      <c r="Q2431" s="1" t="e">
        <v>#N/A</v>
      </c>
      <c r="R2431" s="1">
        <f t="shared" si="702"/>
        <v>35</v>
      </c>
      <c r="S2431" s="1" t="str">
        <f t="shared" si="703"/>
        <v>&gt;7</v>
      </c>
      <c r="T2431" s="1" t="s">
        <v>20683</v>
      </c>
      <c r="U2431" s="1" t="s">
        <v>17</v>
      </c>
      <c r="V2431" s="1" t="s">
        <v>57</v>
      </c>
      <c r="W2431" s="1"/>
    </row>
    <row r="2432" spans="1:23" x14ac:dyDescent="0.2">
      <c r="A2432" s="88" t="s">
        <v>17620</v>
      </c>
      <c r="B2432" s="1" t="e">
        <v>#N/A</v>
      </c>
      <c r="C2432" s="1" t="s">
        <v>13688</v>
      </c>
      <c r="D2432" s="1" t="s">
        <v>6458</v>
      </c>
      <c r="E2432" s="1" t="s">
        <v>6459</v>
      </c>
      <c r="F2432" s="1" t="s">
        <v>9317</v>
      </c>
      <c r="G2432" s="1" t="s">
        <v>8957</v>
      </c>
      <c r="H2432" t="s">
        <v>9009</v>
      </c>
      <c r="I2432" s="1" t="s">
        <v>8948</v>
      </c>
      <c r="J2432" s="1" t="s">
        <v>12453</v>
      </c>
      <c r="K2432" s="1" t="s">
        <v>9036</v>
      </c>
      <c r="L2432" s="1" t="s">
        <v>9464</v>
      </c>
      <c r="M2432" s="1" t="s">
        <v>9479</v>
      </c>
      <c r="N2432" s="1" t="s">
        <v>9479</v>
      </c>
      <c r="O2432" s="1" t="s">
        <v>8954</v>
      </c>
      <c r="P2432" s="1" t="s">
        <v>8955</v>
      </c>
      <c r="Q2432" s="1" t="s">
        <v>8956</v>
      </c>
      <c r="R2432" s="1" t="s">
        <v>8957</v>
      </c>
      <c r="S2432" s="1" t="s">
        <v>8975</v>
      </c>
      <c r="T2432" s="1" t="s">
        <v>6460</v>
      </c>
      <c r="U2432" s="1" t="s">
        <v>4</v>
      </c>
      <c r="V2432" s="1" t="s">
        <v>2988</v>
      </c>
      <c r="W2432" s="1"/>
    </row>
    <row r="2433" spans="1:23" x14ac:dyDescent="0.2">
      <c r="A2433" s="88" t="s">
        <v>17621</v>
      </c>
      <c r="B2433" s="1" t="e">
        <v>#N/A</v>
      </c>
      <c r="C2433" s="1" t="s">
        <v>13222</v>
      </c>
      <c r="D2433" s="1" t="s">
        <v>6461</v>
      </c>
      <c r="E2433" s="1" t="s">
        <v>6462</v>
      </c>
      <c r="F2433" s="1" t="s">
        <v>9636</v>
      </c>
      <c r="G2433" s="1" t="s">
        <v>8957</v>
      </c>
      <c r="H2433" t="s">
        <v>9009</v>
      </c>
      <c r="I2433" s="1" t="s">
        <v>9049</v>
      </c>
      <c r="J2433" s="1" t="s">
        <v>9325</v>
      </c>
      <c r="K2433" s="1" t="s">
        <v>9036</v>
      </c>
      <c r="L2433" s="1" t="s">
        <v>8951</v>
      </c>
      <c r="M2433" s="1">
        <v>1200</v>
      </c>
      <c r="N2433" s="1" t="s">
        <v>8953</v>
      </c>
      <c r="O2433" s="1" t="s">
        <v>8954</v>
      </c>
      <c r="P2433" s="1" t="s">
        <v>8955</v>
      </c>
      <c r="Q2433" s="1" t="s">
        <v>8956</v>
      </c>
      <c r="R2433" s="1" t="s">
        <v>8957</v>
      </c>
      <c r="S2433" s="1" t="s">
        <v>8975</v>
      </c>
      <c r="T2433" s="1" t="s">
        <v>6463</v>
      </c>
      <c r="U2433" s="1" t="s">
        <v>11</v>
      </c>
      <c r="V2433" s="1" t="s">
        <v>447</v>
      </c>
      <c r="W2433" s="1"/>
    </row>
    <row r="2434" spans="1:23" x14ac:dyDescent="0.2">
      <c r="A2434" s="88" t="s">
        <v>17622</v>
      </c>
      <c r="B2434" s="1" t="e">
        <v>#N/A</v>
      </c>
      <c r="C2434" s="1" t="s">
        <v>13475</v>
      </c>
      <c r="D2434" s="1" t="s">
        <v>6464</v>
      </c>
      <c r="E2434" s="1" t="s">
        <v>6465</v>
      </c>
      <c r="F2434" s="1" t="s">
        <v>10873</v>
      </c>
      <c r="G2434" s="1" t="s">
        <v>8959</v>
      </c>
      <c r="H2434" t="s">
        <v>8959</v>
      </c>
      <c r="I2434" s="1" t="s">
        <v>9154</v>
      </c>
      <c r="J2434" s="1" t="s">
        <v>8949</v>
      </c>
      <c r="K2434" s="1" t="s">
        <v>9036</v>
      </c>
      <c r="L2434" s="1" t="s">
        <v>9076</v>
      </c>
      <c r="M2434" s="1">
        <v>300</v>
      </c>
      <c r="N2434" s="1" t="s">
        <v>8953</v>
      </c>
      <c r="O2434" s="1" t="s">
        <v>8989</v>
      </c>
      <c r="P2434" s="1" t="s">
        <v>8955</v>
      </c>
      <c r="Q2434" s="1" t="s">
        <v>8956</v>
      </c>
      <c r="R2434" s="1" t="s">
        <v>8959</v>
      </c>
      <c r="S2434" s="1" t="s">
        <v>8958</v>
      </c>
      <c r="T2434" s="1" t="s">
        <v>6466</v>
      </c>
      <c r="U2434" s="1" t="s">
        <v>11</v>
      </c>
      <c r="V2434" s="1" t="s">
        <v>61</v>
      </c>
      <c r="W2434" s="1"/>
    </row>
    <row r="2435" spans="1:23" x14ac:dyDescent="0.2">
      <c r="A2435" s="88" t="s">
        <v>17623</v>
      </c>
      <c r="B2435" s="1" t="e">
        <v>#N/A</v>
      </c>
      <c r="C2435" s="1" t="e">
        <v>#N/A</v>
      </c>
      <c r="D2435" s="1" t="s">
        <v>6467</v>
      </c>
      <c r="E2435" s="1" t="s">
        <v>6468</v>
      </c>
      <c r="F2435" s="1" t="s">
        <v>9465</v>
      </c>
      <c r="G2435" s="1" t="s">
        <v>8957</v>
      </c>
      <c r="H2435" t="s">
        <v>9183</v>
      </c>
      <c r="I2435" s="1" t="s">
        <v>20989</v>
      </c>
      <c r="J2435" s="1" t="s">
        <v>8949</v>
      </c>
      <c r="K2435" s="1" t="s">
        <v>10492</v>
      </c>
      <c r="L2435" s="1" t="s">
        <v>8973</v>
      </c>
      <c r="M2435" s="1">
        <v>25</v>
      </c>
      <c r="N2435" s="1" t="s">
        <v>9059</v>
      </c>
      <c r="O2435" s="1" t="s">
        <v>8989</v>
      </c>
      <c r="P2435" s="1" t="e">
        <v>#N/A</v>
      </c>
      <c r="Q2435" s="1" t="e">
        <v>#N/A</v>
      </c>
      <c r="R2435" s="1">
        <f>1+LEN(T2435)-LEN(SUBSTITUTE(T2435,",",))</f>
        <v>10</v>
      </c>
      <c r="S2435" s="1" t="str">
        <f>IF(R2435&gt;4,IF(R2435&lt;8,"4-7",IF(R2435&gt;7,"&gt;7")),"&lt;4")</f>
        <v>&gt;7</v>
      </c>
      <c r="T2435" s="1" t="s">
        <v>19931</v>
      </c>
      <c r="U2435" s="1" t="s">
        <v>17</v>
      </c>
      <c r="V2435" s="1" t="s">
        <v>6469</v>
      </c>
      <c r="W2435" s="1"/>
    </row>
    <row r="2436" spans="1:23" x14ac:dyDescent="0.2">
      <c r="A2436" s="88" t="s">
        <v>17624</v>
      </c>
      <c r="B2436" s="1" t="e">
        <v>#N/A</v>
      </c>
      <c r="C2436" s="1" t="s">
        <v>10028</v>
      </c>
      <c r="D2436" s="1" t="s">
        <v>6470</v>
      </c>
      <c r="E2436" s="1" t="s">
        <v>6471</v>
      </c>
      <c r="F2436" s="1" t="s">
        <v>10032</v>
      </c>
      <c r="G2436" s="1" t="s">
        <v>8959</v>
      </c>
      <c r="H2436" t="s">
        <v>8959</v>
      </c>
      <c r="I2436" s="1" t="s">
        <v>8984</v>
      </c>
      <c r="J2436" s="1" t="s">
        <v>8971</v>
      </c>
      <c r="K2436" s="1" t="s">
        <v>10031</v>
      </c>
      <c r="L2436" s="1" t="s">
        <v>9133</v>
      </c>
      <c r="M2436" s="1">
        <v>367</v>
      </c>
      <c r="N2436" s="1" t="s">
        <v>8953</v>
      </c>
      <c r="O2436" s="1" t="s">
        <v>8954</v>
      </c>
      <c r="P2436" s="1" t="s">
        <v>8955</v>
      </c>
      <c r="Q2436" s="1" t="s">
        <v>8990</v>
      </c>
      <c r="R2436" s="1" t="s">
        <v>8959</v>
      </c>
      <c r="S2436" s="1" t="s">
        <v>8975</v>
      </c>
      <c r="T2436" s="1" t="s">
        <v>6472</v>
      </c>
      <c r="U2436" s="1" t="s">
        <v>17</v>
      </c>
      <c r="V2436" s="1" t="s">
        <v>2865</v>
      </c>
      <c r="W2436" s="1"/>
    </row>
    <row r="2437" spans="1:23" x14ac:dyDescent="0.2">
      <c r="A2437" s="88" t="s">
        <v>17625</v>
      </c>
      <c r="B2437" s="1" t="e">
        <v>#N/A</v>
      </c>
      <c r="C2437" s="1" t="e">
        <v>#N/A</v>
      </c>
      <c r="D2437" s="1" t="s">
        <v>6473</v>
      </c>
      <c r="E2437" s="1" t="s">
        <v>6474</v>
      </c>
      <c r="F2437" s="1" t="s">
        <v>9636</v>
      </c>
      <c r="G2437" s="1" t="s">
        <v>8959</v>
      </c>
      <c r="H2437" t="s">
        <v>9061</v>
      </c>
      <c r="I2437" s="1" t="s">
        <v>20714</v>
      </c>
      <c r="J2437" s="1" t="s">
        <v>20725</v>
      </c>
      <c r="K2437" s="1" t="s">
        <v>10492</v>
      </c>
      <c r="L2437" s="1" t="s">
        <v>9292</v>
      </c>
      <c r="M2437" s="1">
        <v>491</v>
      </c>
      <c r="N2437" s="1" t="s">
        <v>8953</v>
      </c>
      <c r="O2437" s="1" t="s">
        <v>8989</v>
      </c>
      <c r="P2437" s="1" t="e">
        <v>#N/A</v>
      </c>
      <c r="Q2437" s="1" t="e">
        <v>#N/A</v>
      </c>
      <c r="R2437" s="1">
        <f t="shared" ref="R2437:R2438" si="704">1+LEN(T2437)-LEN(SUBSTITUTE(T2437,",",))</f>
        <v>7</v>
      </c>
      <c r="S2437" s="1" t="str">
        <f t="shared" ref="S2437:S2438" si="705">IF(R2437&gt;4,IF(R2437&lt;8,"4-7",IF(R2437&gt;7,"&gt;7")),"&lt;4")</f>
        <v>4-7</v>
      </c>
      <c r="T2437" s="1" t="s">
        <v>19932</v>
      </c>
      <c r="U2437" s="1" t="s">
        <v>7</v>
      </c>
      <c r="V2437" s="1" t="s">
        <v>443</v>
      </c>
      <c r="W2437" s="1"/>
    </row>
    <row r="2438" spans="1:23" x14ac:dyDescent="0.2">
      <c r="A2438" s="88" t="s">
        <v>17626</v>
      </c>
      <c r="B2438" s="1" t="e">
        <v>#N/A</v>
      </c>
      <c r="C2438" s="1" t="e">
        <v>#N/A</v>
      </c>
      <c r="D2438" s="1" t="s">
        <v>6475</v>
      </c>
      <c r="E2438" s="1" t="s">
        <v>6476</v>
      </c>
      <c r="F2438" s="1" t="s">
        <v>9636</v>
      </c>
      <c r="G2438" s="1" t="s">
        <v>8957</v>
      </c>
      <c r="H2438" t="s">
        <v>9061</v>
      </c>
      <c r="I2438" s="1" t="s">
        <v>20714</v>
      </c>
      <c r="J2438" s="1" t="s">
        <v>20725</v>
      </c>
      <c r="K2438" s="1" t="s">
        <v>20990</v>
      </c>
      <c r="L2438" s="1" t="s">
        <v>8973</v>
      </c>
      <c r="M2438" s="1">
        <v>24362</v>
      </c>
      <c r="N2438" s="1" t="s">
        <v>8953</v>
      </c>
      <c r="O2438" s="1" t="s">
        <v>8954</v>
      </c>
      <c r="P2438" s="1" t="e">
        <v>#N/A</v>
      </c>
      <c r="Q2438" s="1" t="e">
        <v>#N/A</v>
      </c>
      <c r="R2438" s="1">
        <f t="shared" si="704"/>
        <v>4</v>
      </c>
      <c r="S2438" s="1" t="str">
        <f t="shared" si="705"/>
        <v>&lt;4</v>
      </c>
      <c r="T2438" s="1" t="s">
        <v>19933</v>
      </c>
      <c r="U2438" s="1" t="s">
        <v>7</v>
      </c>
      <c r="V2438" s="1" t="s">
        <v>447</v>
      </c>
      <c r="W2438" s="1"/>
    </row>
    <row r="2439" spans="1:23" x14ac:dyDescent="0.2">
      <c r="A2439" s="88" t="s">
        <v>17627</v>
      </c>
      <c r="B2439" s="1" t="e">
        <v>#N/A</v>
      </c>
      <c r="C2439" s="1" t="s">
        <v>15142</v>
      </c>
      <c r="D2439" s="1" t="s">
        <v>6477</v>
      </c>
      <c r="E2439" s="1" t="s">
        <v>6478</v>
      </c>
      <c r="F2439" s="1" t="s">
        <v>9317</v>
      </c>
      <c r="G2439" s="1" t="s">
        <v>8957</v>
      </c>
      <c r="H2439" t="s">
        <v>9183</v>
      </c>
      <c r="I2439" s="1" t="s">
        <v>9605</v>
      </c>
      <c r="J2439" s="1" t="s">
        <v>8998</v>
      </c>
      <c r="K2439" s="1" t="s">
        <v>9192</v>
      </c>
      <c r="L2439" s="1" t="s">
        <v>9464</v>
      </c>
      <c r="M2439" s="1">
        <v>596</v>
      </c>
      <c r="N2439" s="1" t="s">
        <v>8953</v>
      </c>
      <c r="O2439" s="1" t="s">
        <v>8954</v>
      </c>
      <c r="P2439" s="1" t="s">
        <v>8955</v>
      </c>
      <c r="Q2439" s="1" t="s">
        <v>8956</v>
      </c>
      <c r="R2439" s="1" t="s">
        <v>8957</v>
      </c>
      <c r="S2439" s="1" t="s">
        <v>8958</v>
      </c>
      <c r="T2439" s="1" t="s">
        <v>6479</v>
      </c>
      <c r="U2439" s="1" t="s">
        <v>17</v>
      </c>
      <c r="V2439" s="1" t="s">
        <v>857</v>
      </c>
      <c r="W2439" s="1"/>
    </row>
    <row r="2440" spans="1:23" x14ac:dyDescent="0.2">
      <c r="A2440" s="88" t="s">
        <v>17628</v>
      </c>
      <c r="B2440" s="1" t="e">
        <v>#N/A</v>
      </c>
      <c r="C2440" s="1" t="e">
        <v>#N/A</v>
      </c>
      <c r="D2440" s="1" t="s">
        <v>6480</v>
      </c>
      <c r="E2440" s="1" t="s">
        <v>6481</v>
      </c>
      <c r="F2440" s="1" t="s">
        <v>9317</v>
      </c>
      <c r="G2440" s="1" t="s">
        <v>8957</v>
      </c>
      <c r="H2440" t="s">
        <v>8959</v>
      </c>
      <c r="I2440" s="1" t="s">
        <v>20712</v>
      </c>
      <c r="J2440" s="1" t="s">
        <v>9155</v>
      </c>
      <c r="K2440" s="1" t="s">
        <v>10492</v>
      </c>
      <c r="L2440" s="1" t="s">
        <v>8973</v>
      </c>
      <c r="M2440" s="1">
        <v>20</v>
      </c>
      <c r="N2440" s="1" t="s">
        <v>9059</v>
      </c>
      <c r="O2440" s="1" t="s">
        <v>8954</v>
      </c>
      <c r="P2440" s="1" t="e">
        <v>#N/A</v>
      </c>
      <c r="Q2440" s="1" t="e">
        <v>#N/A</v>
      </c>
      <c r="R2440" s="1">
        <f t="shared" ref="R2440:R2443" si="706">1+LEN(T2440)-LEN(SUBSTITUTE(T2440,",",))</f>
        <v>11</v>
      </c>
      <c r="S2440" s="1" t="str">
        <f t="shared" ref="S2440:S2443" si="707">IF(R2440&gt;4,IF(R2440&lt;8,"4-7",IF(R2440&gt;7,"&gt;7")),"&lt;4")</f>
        <v>&gt;7</v>
      </c>
      <c r="T2440" s="1" t="s">
        <v>19934</v>
      </c>
      <c r="U2440" s="1" t="s">
        <v>7</v>
      </c>
      <c r="V2440" s="1" t="s">
        <v>580</v>
      </c>
      <c r="W2440" s="1"/>
    </row>
    <row r="2441" spans="1:23" x14ac:dyDescent="0.2">
      <c r="A2441" s="88" t="s">
        <v>17629</v>
      </c>
      <c r="B2441" s="1" t="e">
        <v>#N/A</v>
      </c>
      <c r="C2441" s="1" t="e">
        <v>#N/A</v>
      </c>
      <c r="D2441" s="1" t="s">
        <v>6482</v>
      </c>
      <c r="E2441" s="1" t="s">
        <v>6483</v>
      </c>
      <c r="F2441" s="1" t="s">
        <v>9317</v>
      </c>
      <c r="G2441" s="1" t="s">
        <v>8957</v>
      </c>
      <c r="H2441" t="s">
        <v>9009</v>
      </c>
      <c r="I2441" s="1" t="s">
        <v>9100</v>
      </c>
      <c r="J2441" s="1" t="s">
        <v>8949</v>
      </c>
      <c r="K2441" s="1" t="s">
        <v>10525</v>
      </c>
      <c r="L2441" s="1" t="s">
        <v>8951</v>
      </c>
      <c r="M2441" s="1">
        <v>10000</v>
      </c>
      <c r="N2441" s="1" t="s">
        <v>9059</v>
      </c>
      <c r="O2441" s="1" t="s">
        <v>8954</v>
      </c>
      <c r="P2441" s="1" t="e">
        <v>#N/A</v>
      </c>
      <c r="Q2441" s="1" t="e">
        <v>#N/A</v>
      </c>
      <c r="R2441" s="1">
        <f t="shared" si="706"/>
        <v>8</v>
      </c>
      <c r="S2441" s="1" t="str">
        <f t="shared" si="707"/>
        <v>&gt;7</v>
      </c>
      <c r="T2441" s="1" t="s">
        <v>19935</v>
      </c>
      <c r="U2441" s="1" t="s">
        <v>7</v>
      </c>
      <c r="V2441" s="1" t="s">
        <v>580</v>
      </c>
      <c r="W2441" s="1"/>
    </row>
    <row r="2442" spans="1:23" x14ac:dyDescent="0.2">
      <c r="A2442" s="88" t="s">
        <v>17630</v>
      </c>
      <c r="B2442" s="1" t="e">
        <v>#N/A</v>
      </c>
      <c r="C2442" s="1" t="e">
        <v>#N/A</v>
      </c>
      <c r="D2442" s="1" t="s">
        <v>6484</v>
      </c>
      <c r="E2442" s="1" t="s">
        <v>6485</v>
      </c>
      <c r="F2442" s="1" t="s">
        <v>9317</v>
      </c>
      <c r="G2442" s="1" t="s">
        <v>8957</v>
      </c>
      <c r="H2442" t="s">
        <v>9183</v>
      </c>
      <c r="I2442" s="1" t="s">
        <v>8948</v>
      </c>
      <c r="J2442" s="1" t="s">
        <v>8959</v>
      </c>
      <c r="K2442" s="1" t="s">
        <v>18497</v>
      </c>
      <c r="L2442" s="1" t="s">
        <v>8951</v>
      </c>
      <c r="M2442" s="1">
        <v>226</v>
      </c>
      <c r="N2442" s="1" t="s">
        <v>8953</v>
      </c>
      <c r="O2442" s="1" t="s">
        <v>8989</v>
      </c>
      <c r="P2442" s="1" t="e">
        <v>#N/A</v>
      </c>
      <c r="Q2442" s="1" t="e">
        <v>#N/A</v>
      </c>
      <c r="R2442" s="1">
        <f t="shared" si="706"/>
        <v>5</v>
      </c>
      <c r="S2442" s="1" t="str">
        <f t="shared" si="707"/>
        <v>4-7</v>
      </c>
      <c r="T2442" s="1" t="s">
        <v>19936</v>
      </c>
      <c r="U2442" s="1" t="s">
        <v>7</v>
      </c>
      <c r="V2442" s="1" t="s">
        <v>6486</v>
      </c>
      <c r="W2442" s="1"/>
    </row>
    <row r="2443" spans="1:23" x14ac:dyDescent="0.2">
      <c r="A2443" s="88" t="s">
        <v>17631</v>
      </c>
      <c r="B2443" s="1" t="e">
        <v>#N/A</v>
      </c>
      <c r="C2443" s="1" t="e">
        <v>#N/A</v>
      </c>
      <c r="D2443" s="1" t="s">
        <v>6487</v>
      </c>
      <c r="E2443" s="1" t="s">
        <v>6488</v>
      </c>
      <c r="F2443" s="1" t="s">
        <v>9317</v>
      </c>
      <c r="G2443" s="1" t="s">
        <v>8957</v>
      </c>
      <c r="H2443" t="s">
        <v>8959</v>
      </c>
      <c r="I2443" s="1" t="s">
        <v>9605</v>
      </c>
      <c r="J2443" s="1" t="s">
        <v>9101</v>
      </c>
      <c r="K2443" s="1" t="s">
        <v>20991</v>
      </c>
      <c r="L2443" s="1" t="s">
        <v>8973</v>
      </c>
      <c r="M2443" s="1">
        <v>4600</v>
      </c>
      <c r="N2443" s="1" t="s">
        <v>8953</v>
      </c>
      <c r="O2443" s="1" t="s">
        <v>8989</v>
      </c>
      <c r="P2443" s="1" t="e">
        <v>#N/A</v>
      </c>
      <c r="Q2443" s="1" t="e">
        <v>#N/A</v>
      </c>
      <c r="R2443" s="1">
        <f t="shared" si="706"/>
        <v>3</v>
      </c>
      <c r="S2443" s="1" t="str">
        <f t="shared" si="707"/>
        <v>&lt;4</v>
      </c>
      <c r="T2443" s="1" t="s">
        <v>19937</v>
      </c>
      <c r="U2443" s="1" t="s">
        <v>7</v>
      </c>
      <c r="V2443" s="1" t="s">
        <v>493</v>
      </c>
      <c r="W2443" s="1"/>
    </row>
    <row r="2444" spans="1:23" x14ac:dyDescent="0.2">
      <c r="A2444" s="88" t="s">
        <v>17632</v>
      </c>
      <c r="B2444" s="1" t="e">
        <v>#N/A</v>
      </c>
      <c r="C2444" s="1" t="s">
        <v>10645</v>
      </c>
      <c r="D2444" s="1" t="s">
        <v>6489</v>
      </c>
      <c r="E2444" s="1" t="s">
        <v>6490</v>
      </c>
      <c r="F2444" s="1" t="s">
        <v>9465</v>
      </c>
      <c r="G2444" s="1" t="s">
        <v>8957</v>
      </c>
      <c r="H2444" t="s">
        <v>9009</v>
      </c>
      <c r="I2444" s="1" t="s">
        <v>9035</v>
      </c>
      <c r="J2444" s="1" t="s">
        <v>9155</v>
      </c>
      <c r="K2444" s="1" t="s">
        <v>9051</v>
      </c>
      <c r="L2444" s="1" t="s">
        <v>8951</v>
      </c>
      <c r="M2444" s="1">
        <v>3936</v>
      </c>
      <c r="N2444" s="1" t="s">
        <v>8953</v>
      </c>
      <c r="O2444" s="1" t="s">
        <v>8954</v>
      </c>
      <c r="P2444" s="1" t="s">
        <v>8955</v>
      </c>
      <c r="Q2444" s="1" t="s">
        <v>8956</v>
      </c>
      <c r="R2444" s="1" t="s">
        <v>8957</v>
      </c>
      <c r="S2444" s="1" t="s">
        <v>8975</v>
      </c>
      <c r="T2444" s="1" t="s">
        <v>6491</v>
      </c>
      <c r="U2444" s="1" t="s">
        <v>11</v>
      </c>
      <c r="V2444" s="1" t="s">
        <v>424</v>
      </c>
      <c r="W2444" s="1"/>
    </row>
    <row r="2445" spans="1:23" x14ac:dyDescent="0.2">
      <c r="A2445" s="88" t="s">
        <v>17633</v>
      </c>
      <c r="B2445" s="1" t="e">
        <v>#N/A</v>
      </c>
      <c r="C2445" s="1" t="s">
        <v>14739</v>
      </c>
      <c r="D2445" s="1" t="s">
        <v>6492</v>
      </c>
      <c r="E2445" s="1" t="s">
        <v>6493</v>
      </c>
      <c r="F2445" s="1" t="s">
        <v>9465</v>
      </c>
      <c r="G2445" s="1" t="s">
        <v>9060</v>
      </c>
      <c r="H2445" t="s">
        <v>9009</v>
      </c>
      <c r="I2445" s="1" t="s">
        <v>9035</v>
      </c>
      <c r="J2445" s="1" t="s">
        <v>9725</v>
      </c>
      <c r="K2445" s="1" t="s">
        <v>10258</v>
      </c>
      <c r="L2445" s="1" t="s">
        <v>9076</v>
      </c>
      <c r="M2445" s="1">
        <v>8824</v>
      </c>
      <c r="N2445" s="1" t="s">
        <v>8953</v>
      </c>
      <c r="O2445" s="1" t="s">
        <v>8989</v>
      </c>
      <c r="P2445" s="1" t="s">
        <v>8955</v>
      </c>
      <c r="Q2445" s="1" t="s">
        <v>8956</v>
      </c>
      <c r="R2445" s="1" t="s">
        <v>9060</v>
      </c>
      <c r="S2445" s="1" t="s">
        <v>8975</v>
      </c>
      <c r="T2445" s="1" t="s">
        <v>6494</v>
      </c>
      <c r="U2445" s="1" t="s">
        <v>7</v>
      </c>
      <c r="V2445" s="1" t="s">
        <v>147</v>
      </c>
      <c r="W2445" s="1"/>
    </row>
    <row r="2446" spans="1:23" x14ac:dyDescent="0.2">
      <c r="A2446" s="89" t="s">
        <v>17634</v>
      </c>
      <c r="B2446" s="1" t="e">
        <v>#N/A</v>
      </c>
      <c r="C2446" s="1" t="e">
        <v>#N/A</v>
      </c>
      <c r="D2446" s="1" t="s">
        <v>6495</v>
      </c>
      <c r="E2446" s="1" t="s">
        <v>6496</v>
      </c>
      <c r="F2446" s="1" t="e">
        <v>#N/A</v>
      </c>
      <c r="G2446" s="1" t="e">
        <v>#N/A</v>
      </c>
      <c r="H2446" t="e">
        <v>#N/A</v>
      </c>
      <c r="I2446" s="1" t="e">
        <v>#N/A</v>
      </c>
      <c r="J2446" s="1" t="e">
        <v>#N/A</v>
      </c>
      <c r="K2446" s="1" t="e">
        <v>#N/A</v>
      </c>
      <c r="L2446" s="1" t="e">
        <v>#N/A</v>
      </c>
      <c r="M2446" s="1" t="e">
        <v>#N/A</v>
      </c>
      <c r="N2446" s="1" t="e">
        <v>#N/A</v>
      </c>
      <c r="O2446" s="1" t="e">
        <v>#N/A</v>
      </c>
      <c r="P2446" s="1" t="e">
        <v>#N/A</v>
      </c>
      <c r="Q2446" s="1" t="e">
        <v>#N/A</v>
      </c>
      <c r="R2446" s="1">
        <f t="shared" ref="R2446:R2447" si="708">1+LEN(T2446)-LEN(SUBSTITUTE(T2446,",",))</f>
        <v>2</v>
      </c>
      <c r="S2446" s="1" t="str">
        <f t="shared" ref="S2446:S2447" si="709">IF(R2446&gt;4,IF(R2446&lt;8,"4-7",IF(R2446&gt;7,"&gt;7")),"&lt;4")</f>
        <v>&lt;4</v>
      </c>
      <c r="T2446" s="1" t="s">
        <v>19938</v>
      </c>
      <c r="U2446" s="1" t="s">
        <v>7</v>
      </c>
      <c r="V2446" s="1" t="s">
        <v>1097</v>
      </c>
      <c r="W2446" s="1"/>
    </row>
    <row r="2447" spans="1:23" x14ac:dyDescent="0.2">
      <c r="A2447" s="88" t="s">
        <v>17635</v>
      </c>
      <c r="B2447" s="1" t="e">
        <v>#N/A</v>
      </c>
      <c r="C2447" s="1" t="e">
        <v>#N/A</v>
      </c>
      <c r="D2447" s="1" t="s">
        <v>6497</v>
      </c>
      <c r="E2447" s="1" t="s">
        <v>6498</v>
      </c>
      <c r="F2447" s="1" t="s">
        <v>9380</v>
      </c>
      <c r="G2447" s="1" t="s">
        <v>8957</v>
      </c>
      <c r="H2447" t="s">
        <v>8959</v>
      </c>
      <c r="I2447" s="1" t="s">
        <v>9075</v>
      </c>
      <c r="J2447" s="1" t="s">
        <v>9155</v>
      </c>
      <c r="K2447" s="1" t="s">
        <v>21451</v>
      </c>
      <c r="L2447" s="1" t="s">
        <v>8951</v>
      </c>
      <c r="M2447" s="1">
        <v>107</v>
      </c>
      <c r="N2447" s="1" t="s">
        <v>9059</v>
      </c>
      <c r="O2447" s="1" t="s">
        <v>8989</v>
      </c>
      <c r="P2447" s="1" t="e">
        <v>#N/A</v>
      </c>
      <c r="Q2447" s="1" t="e">
        <v>#N/A</v>
      </c>
      <c r="R2447" s="1">
        <f t="shared" si="708"/>
        <v>15</v>
      </c>
      <c r="S2447" s="1" t="str">
        <f t="shared" si="709"/>
        <v>&gt;7</v>
      </c>
      <c r="T2447" s="1" t="s">
        <v>19939</v>
      </c>
      <c r="U2447" s="1" t="s">
        <v>7</v>
      </c>
      <c r="V2447" s="1" t="s">
        <v>64</v>
      </c>
      <c r="W2447" s="1"/>
    </row>
    <row r="2448" spans="1:23" x14ac:dyDescent="0.2">
      <c r="A2448" s="88" t="s">
        <v>17636</v>
      </c>
      <c r="B2448" s="1" t="e">
        <v>#N/A</v>
      </c>
      <c r="C2448" s="1" t="s">
        <v>10090</v>
      </c>
      <c r="D2448" s="1" t="s">
        <v>6499</v>
      </c>
      <c r="E2448" s="1" t="s">
        <v>6500</v>
      </c>
      <c r="F2448" s="1" t="s">
        <v>9380</v>
      </c>
      <c r="G2448" s="1" t="s">
        <v>8957</v>
      </c>
      <c r="H2448" t="s">
        <v>8959</v>
      </c>
      <c r="I2448" s="1" t="s">
        <v>9075</v>
      </c>
      <c r="J2448" s="1" t="s">
        <v>8971</v>
      </c>
      <c r="K2448" s="1" t="s">
        <v>21205</v>
      </c>
      <c r="L2448" s="1" t="s">
        <v>9464</v>
      </c>
      <c r="M2448" s="1">
        <v>255</v>
      </c>
      <c r="N2448" s="1" t="s">
        <v>8953</v>
      </c>
      <c r="O2448" s="1" t="s">
        <v>8954</v>
      </c>
      <c r="P2448" s="1" t="s">
        <v>8955</v>
      </c>
      <c r="Q2448" s="1" t="s">
        <v>8990</v>
      </c>
      <c r="R2448" s="1" t="s">
        <v>8957</v>
      </c>
      <c r="S2448" s="1" t="s">
        <v>8975</v>
      </c>
      <c r="T2448" s="1" t="s">
        <v>6501</v>
      </c>
      <c r="U2448" s="1" t="s">
        <v>17</v>
      </c>
      <c r="V2448" s="1" t="s">
        <v>64</v>
      </c>
      <c r="W2448" s="1"/>
    </row>
    <row r="2449" spans="1:23" x14ac:dyDescent="0.2">
      <c r="A2449" s="88" t="s">
        <v>17637</v>
      </c>
      <c r="B2449" s="1" t="e">
        <v>#N/A</v>
      </c>
      <c r="C2449" s="1" t="e">
        <v>#N/A</v>
      </c>
      <c r="D2449" s="1" t="s">
        <v>6502</v>
      </c>
      <c r="E2449" s="1" t="s">
        <v>6503</v>
      </c>
      <c r="F2449" s="1" t="s">
        <v>20993</v>
      </c>
      <c r="G2449" s="1" t="s">
        <v>8957</v>
      </c>
      <c r="H2449" t="s">
        <v>8959</v>
      </c>
      <c r="I2449" s="1" t="s">
        <v>9035</v>
      </c>
      <c r="J2449" s="1" t="s">
        <v>9155</v>
      </c>
      <c r="K2449" s="1" t="s">
        <v>20994</v>
      </c>
      <c r="L2449" s="1" t="s">
        <v>8951</v>
      </c>
      <c r="M2449" s="1">
        <f>2880+1500</f>
        <v>4380</v>
      </c>
      <c r="N2449" s="1" t="s">
        <v>8953</v>
      </c>
      <c r="O2449" s="1" t="s">
        <v>8954</v>
      </c>
      <c r="P2449" s="1" t="e">
        <v>#N/A</v>
      </c>
      <c r="Q2449" s="1" t="e">
        <v>#N/A</v>
      </c>
      <c r="R2449" s="1">
        <f>1+LEN(T2449)-LEN(SUBSTITUTE(T2449,",",))</f>
        <v>9</v>
      </c>
      <c r="S2449" s="1" t="str">
        <f>IF(R2449&gt;4,IF(R2449&lt;8,"4-7",IF(R2449&gt;7,"&gt;7")),"&lt;4")</f>
        <v>&gt;7</v>
      </c>
      <c r="T2449" s="1" t="s">
        <v>19940</v>
      </c>
      <c r="U2449" s="1" t="s">
        <v>7</v>
      </c>
      <c r="V2449" s="1" t="s">
        <v>6504</v>
      </c>
      <c r="W2449" s="1"/>
    </row>
    <row r="2450" spans="1:23" x14ac:dyDescent="0.2">
      <c r="A2450" s="88" t="s">
        <v>17638</v>
      </c>
      <c r="B2450" s="1" t="e">
        <v>#N/A</v>
      </c>
      <c r="C2450" s="1" t="s">
        <v>9633</v>
      </c>
      <c r="D2450" s="1" t="s">
        <v>6505</v>
      </c>
      <c r="E2450" s="1" t="s">
        <v>6506</v>
      </c>
      <c r="F2450" s="1" t="s">
        <v>9636</v>
      </c>
      <c r="G2450" s="1" t="s">
        <v>8957</v>
      </c>
      <c r="H2450" t="s">
        <v>9061</v>
      </c>
      <c r="I2450" s="1" t="s">
        <v>9049</v>
      </c>
      <c r="J2450" s="1" t="s">
        <v>9325</v>
      </c>
      <c r="K2450" s="1" t="s">
        <v>8972</v>
      </c>
      <c r="L2450" s="1" t="s">
        <v>8951</v>
      </c>
      <c r="M2450" s="1">
        <v>290</v>
      </c>
      <c r="N2450" s="1" t="s">
        <v>8953</v>
      </c>
      <c r="O2450" s="1" t="s">
        <v>8954</v>
      </c>
      <c r="P2450" s="1" t="s">
        <v>8955</v>
      </c>
      <c r="Q2450" s="1" t="s">
        <v>8956</v>
      </c>
      <c r="R2450" s="1" t="s">
        <v>8957</v>
      </c>
      <c r="S2450" s="1" t="s">
        <v>8975</v>
      </c>
      <c r="T2450" s="1" t="s">
        <v>6507</v>
      </c>
      <c r="U2450" s="1" t="s">
        <v>7</v>
      </c>
      <c r="V2450" s="1" t="s">
        <v>61</v>
      </c>
      <c r="W2450" s="1"/>
    </row>
    <row r="2451" spans="1:23" x14ac:dyDescent="0.2">
      <c r="A2451" s="89" t="s">
        <v>6508</v>
      </c>
      <c r="B2451" s="1" t="e">
        <v>#N/A</v>
      </c>
      <c r="C2451" s="1" t="e">
        <v>#N/A</v>
      </c>
      <c r="D2451" s="1" t="s">
        <v>6509</v>
      </c>
      <c r="E2451" s="1" t="s">
        <v>6510</v>
      </c>
      <c r="F2451" s="1" t="e">
        <v>#N/A</v>
      </c>
      <c r="G2451" s="1" t="e">
        <v>#N/A</v>
      </c>
      <c r="H2451" t="e">
        <v>#N/A</v>
      </c>
      <c r="I2451" s="1" t="e">
        <v>#N/A</v>
      </c>
      <c r="J2451" s="1" t="e">
        <v>#N/A</v>
      </c>
      <c r="K2451" s="1" t="e">
        <v>#N/A</v>
      </c>
      <c r="L2451" s="1" t="e">
        <v>#N/A</v>
      </c>
      <c r="M2451" s="1" t="e">
        <v>#N/A</v>
      </c>
      <c r="N2451" s="1" t="e">
        <v>#N/A</v>
      </c>
      <c r="O2451" s="1" t="e">
        <v>#N/A</v>
      </c>
      <c r="P2451" s="1" t="e">
        <v>#N/A</v>
      </c>
      <c r="Q2451" s="1" t="e">
        <v>#N/A</v>
      </c>
      <c r="R2451" s="1">
        <f t="shared" ref="R2451:R2453" si="710">1+LEN(T2451)-LEN(SUBSTITUTE(T2451,",",))</f>
        <v>2</v>
      </c>
      <c r="S2451" s="1" t="str">
        <f t="shared" ref="S2451:S2453" si="711">IF(R2451&gt;4,IF(R2451&lt;8,"4-7",IF(R2451&gt;7,"&gt;7")),"&lt;4")</f>
        <v>&lt;4</v>
      </c>
      <c r="T2451" s="1" t="s">
        <v>19941</v>
      </c>
      <c r="U2451" s="1" t="s">
        <v>7</v>
      </c>
      <c r="V2451" s="1" t="s">
        <v>6511</v>
      </c>
      <c r="W2451" s="1"/>
    </row>
    <row r="2452" spans="1:23" x14ac:dyDescent="0.2">
      <c r="A2452" s="88" t="s">
        <v>17639</v>
      </c>
      <c r="B2452" s="1" t="e">
        <v>#N/A</v>
      </c>
      <c r="C2452" s="1" t="e">
        <v>#N/A</v>
      </c>
      <c r="D2452" s="1" t="s">
        <v>6512</v>
      </c>
      <c r="E2452" s="1" t="s">
        <v>6513</v>
      </c>
      <c r="F2452" s="1" t="s">
        <v>14748</v>
      </c>
      <c r="G2452" s="1" t="s">
        <v>8959</v>
      </c>
      <c r="H2452" t="s">
        <v>8959</v>
      </c>
      <c r="I2452" s="1" t="s">
        <v>9035</v>
      </c>
      <c r="J2452" s="1" t="s">
        <v>9308</v>
      </c>
      <c r="K2452" s="1" t="s">
        <v>21389</v>
      </c>
      <c r="L2452" s="1" t="s">
        <v>8951</v>
      </c>
      <c r="M2452" s="1">
        <f>1583+4292+225</f>
        <v>6100</v>
      </c>
      <c r="N2452" s="1" t="s">
        <v>8953</v>
      </c>
      <c r="O2452" s="1" t="s">
        <v>8954</v>
      </c>
      <c r="P2452" s="1" t="e">
        <v>#N/A</v>
      </c>
      <c r="Q2452" s="1" t="e">
        <v>#N/A</v>
      </c>
      <c r="R2452" s="1">
        <f t="shared" si="710"/>
        <v>2</v>
      </c>
      <c r="S2452" s="1" t="str">
        <f t="shared" si="711"/>
        <v>&lt;4</v>
      </c>
      <c r="T2452" s="1" t="s">
        <v>19942</v>
      </c>
      <c r="U2452" s="1" t="s">
        <v>7</v>
      </c>
      <c r="V2452" s="1" t="s">
        <v>1889</v>
      </c>
      <c r="W2452" s="1"/>
    </row>
    <row r="2453" spans="1:23" x14ac:dyDescent="0.2">
      <c r="A2453" s="89" t="s">
        <v>17640</v>
      </c>
      <c r="B2453" s="1" t="e">
        <v>#N/A</v>
      </c>
      <c r="C2453" s="1" t="e">
        <v>#N/A</v>
      </c>
      <c r="D2453" s="1" t="s">
        <v>6514</v>
      </c>
      <c r="E2453" s="1" t="s">
        <v>6515</v>
      </c>
      <c r="F2453" s="1" t="e">
        <v>#N/A</v>
      </c>
      <c r="G2453" s="1" t="e">
        <v>#N/A</v>
      </c>
      <c r="H2453" t="e">
        <v>#N/A</v>
      </c>
      <c r="I2453" s="1" t="e">
        <v>#N/A</v>
      </c>
      <c r="J2453" s="1" t="e">
        <v>#N/A</v>
      </c>
      <c r="K2453" s="1" t="e">
        <v>#N/A</v>
      </c>
      <c r="L2453" s="1" t="e">
        <v>#N/A</v>
      </c>
      <c r="M2453" s="1" t="e">
        <v>#N/A</v>
      </c>
      <c r="N2453" s="1" t="e">
        <v>#N/A</v>
      </c>
      <c r="O2453" s="1" t="e">
        <v>#N/A</v>
      </c>
      <c r="P2453" s="1" t="e">
        <v>#N/A</v>
      </c>
      <c r="Q2453" s="1" t="e">
        <v>#N/A</v>
      </c>
      <c r="R2453" s="1">
        <f t="shared" si="710"/>
        <v>5</v>
      </c>
      <c r="S2453" s="1" t="str">
        <f t="shared" si="711"/>
        <v>4-7</v>
      </c>
      <c r="T2453" s="1" t="s">
        <v>19943</v>
      </c>
      <c r="U2453" s="1" t="s">
        <v>7</v>
      </c>
      <c r="V2453" s="1" t="s">
        <v>6516</v>
      </c>
      <c r="W2453" s="1"/>
    </row>
    <row r="2454" spans="1:23" x14ac:dyDescent="0.2">
      <c r="A2454" s="88" t="s">
        <v>17641</v>
      </c>
      <c r="B2454" s="1" t="e">
        <v>#N/A</v>
      </c>
      <c r="C2454" s="1" t="s">
        <v>14772</v>
      </c>
      <c r="D2454" s="1" t="s">
        <v>6517</v>
      </c>
      <c r="E2454" s="1" t="s">
        <v>6518</v>
      </c>
      <c r="F2454" s="1" t="s">
        <v>10049</v>
      </c>
      <c r="G2454" s="1" t="s">
        <v>8974</v>
      </c>
      <c r="H2454" t="s">
        <v>9009</v>
      </c>
      <c r="I2454" s="1" t="s">
        <v>8984</v>
      </c>
      <c r="J2454" s="1" t="s">
        <v>9269</v>
      </c>
      <c r="K2454" s="1" t="s">
        <v>9036</v>
      </c>
      <c r="L2454" s="1" t="s">
        <v>8951</v>
      </c>
      <c r="M2454" s="1">
        <v>393</v>
      </c>
      <c r="N2454" s="1" t="s">
        <v>8953</v>
      </c>
      <c r="O2454" s="1" t="s">
        <v>8989</v>
      </c>
      <c r="P2454" s="1" t="s">
        <v>8955</v>
      </c>
      <c r="Q2454" s="1" t="s">
        <v>8956</v>
      </c>
      <c r="R2454" s="1" t="s">
        <v>8974</v>
      </c>
      <c r="S2454" s="1" t="s">
        <v>8958</v>
      </c>
      <c r="T2454" s="1" t="s">
        <v>6519</v>
      </c>
      <c r="U2454" s="1" t="s">
        <v>17</v>
      </c>
      <c r="V2454" s="1" t="s">
        <v>6520</v>
      </c>
      <c r="W2454" s="1"/>
    </row>
    <row r="2455" spans="1:23" x14ac:dyDescent="0.2">
      <c r="A2455" s="88" t="s">
        <v>17642</v>
      </c>
      <c r="B2455" s="1" t="e">
        <v>#N/A</v>
      </c>
      <c r="C2455" s="1" t="e">
        <v>#N/A</v>
      </c>
      <c r="D2455" s="1" t="s">
        <v>6521</v>
      </c>
      <c r="E2455" s="1" t="s">
        <v>6522</v>
      </c>
      <c r="F2455" s="1" t="s">
        <v>18502</v>
      </c>
      <c r="G2455" s="1" t="s">
        <v>8957</v>
      </c>
      <c r="H2455" t="s">
        <v>8959</v>
      </c>
      <c r="I2455" s="1" t="s">
        <v>9100</v>
      </c>
      <c r="J2455" s="1" t="s">
        <v>8949</v>
      </c>
      <c r="K2455" s="1" t="s">
        <v>20992</v>
      </c>
      <c r="L2455" s="1" t="s">
        <v>9133</v>
      </c>
      <c r="M2455" s="1">
        <v>1479</v>
      </c>
      <c r="N2455" s="1" t="s">
        <v>9059</v>
      </c>
      <c r="O2455" s="1" t="s">
        <v>8954</v>
      </c>
      <c r="P2455" s="1" t="e">
        <v>#N/A</v>
      </c>
      <c r="Q2455" s="1" t="e">
        <v>#N/A</v>
      </c>
      <c r="R2455" s="1">
        <f t="shared" ref="R2455:R2457" si="712">1+LEN(T2455)-LEN(SUBSTITUTE(T2455,",",))</f>
        <v>11</v>
      </c>
      <c r="S2455" s="1" t="str">
        <f t="shared" ref="S2455:S2457" si="713">IF(R2455&gt;4,IF(R2455&lt;8,"4-7",IF(R2455&gt;7,"&gt;7")),"&lt;4")</f>
        <v>&gt;7</v>
      </c>
      <c r="T2455" s="1" t="s">
        <v>19944</v>
      </c>
      <c r="U2455" s="1" t="s">
        <v>17</v>
      </c>
      <c r="V2455" s="1" t="s">
        <v>1122</v>
      </c>
      <c r="W2455" s="1"/>
    </row>
    <row r="2456" spans="1:23" x14ac:dyDescent="0.2">
      <c r="A2456" s="89" t="s">
        <v>6523</v>
      </c>
      <c r="B2456" s="1" t="e">
        <v>#N/A</v>
      </c>
      <c r="C2456" s="1" t="e">
        <v>#N/A</v>
      </c>
      <c r="D2456" s="5" t="s">
        <v>6524</v>
      </c>
      <c r="E2456" s="1" t="s">
        <v>6525</v>
      </c>
      <c r="F2456" s="1" t="e">
        <v>#N/A</v>
      </c>
      <c r="G2456" s="1" t="e">
        <v>#N/A</v>
      </c>
      <c r="H2456" t="e">
        <v>#N/A</v>
      </c>
      <c r="I2456" s="1" t="e">
        <v>#N/A</v>
      </c>
      <c r="J2456" s="1" t="e">
        <v>#N/A</v>
      </c>
      <c r="K2456" s="1" t="e">
        <v>#N/A</v>
      </c>
      <c r="L2456" s="1" t="e">
        <v>#N/A</v>
      </c>
      <c r="M2456" s="1" t="e">
        <v>#N/A</v>
      </c>
      <c r="N2456" s="1" t="e">
        <v>#N/A</v>
      </c>
      <c r="O2456" s="1" t="e">
        <v>#N/A</v>
      </c>
      <c r="P2456" s="1" t="e">
        <v>#N/A</v>
      </c>
      <c r="Q2456" s="1" t="e">
        <v>#N/A</v>
      </c>
      <c r="R2456" s="1">
        <f t="shared" si="712"/>
        <v>5</v>
      </c>
      <c r="S2456" s="1" t="str">
        <f t="shared" si="713"/>
        <v>4-7</v>
      </c>
      <c r="T2456" s="1" t="s">
        <v>19945</v>
      </c>
      <c r="U2456" s="1" t="s">
        <v>7</v>
      </c>
      <c r="V2456" s="1" t="s">
        <v>8</v>
      </c>
      <c r="W2456" s="1"/>
    </row>
    <row r="2457" spans="1:23" x14ac:dyDescent="0.2">
      <c r="A2457" s="89" t="s">
        <v>17643</v>
      </c>
      <c r="B2457" s="1" t="e">
        <v>#N/A</v>
      </c>
      <c r="C2457" s="1" t="e">
        <v>#N/A</v>
      </c>
      <c r="D2457" s="1" t="s">
        <v>20995</v>
      </c>
      <c r="E2457" s="1" t="s">
        <v>6526</v>
      </c>
      <c r="F2457" s="1" t="e">
        <v>#N/A</v>
      </c>
      <c r="G2457" s="1" t="e">
        <v>#N/A</v>
      </c>
      <c r="H2457" t="e">
        <v>#N/A</v>
      </c>
      <c r="I2457" s="1" t="e">
        <v>#N/A</v>
      </c>
      <c r="J2457" s="1" t="e">
        <v>#N/A</v>
      </c>
      <c r="K2457" s="1" t="e">
        <v>#N/A</v>
      </c>
      <c r="L2457" s="1" t="e">
        <v>#N/A</v>
      </c>
      <c r="M2457" s="1" t="e">
        <v>#N/A</v>
      </c>
      <c r="N2457" s="1" t="e">
        <v>#N/A</v>
      </c>
      <c r="O2457" s="1" t="e">
        <v>#N/A</v>
      </c>
      <c r="P2457" s="1" t="e">
        <v>#N/A</v>
      </c>
      <c r="Q2457" s="1" t="e">
        <v>#N/A</v>
      </c>
      <c r="R2457" s="1">
        <f t="shared" si="712"/>
        <v>8</v>
      </c>
      <c r="S2457" s="1" t="str">
        <f t="shared" si="713"/>
        <v>&gt;7</v>
      </c>
      <c r="T2457" s="1" t="s">
        <v>19946</v>
      </c>
      <c r="U2457" s="1" t="s">
        <v>7</v>
      </c>
      <c r="V2457" s="1" t="s">
        <v>93</v>
      </c>
      <c r="W2457" s="1"/>
    </row>
    <row r="2458" spans="1:23" x14ac:dyDescent="0.2">
      <c r="A2458" s="88" t="s">
        <v>17644</v>
      </c>
      <c r="B2458" s="1" t="e">
        <v>#N/A</v>
      </c>
      <c r="C2458" s="1" t="s">
        <v>14187</v>
      </c>
      <c r="D2458" s="1" t="s">
        <v>6527</v>
      </c>
      <c r="E2458" s="1" t="s">
        <v>6528</v>
      </c>
      <c r="F2458" s="1" t="s">
        <v>9213</v>
      </c>
      <c r="G2458" s="1" t="s">
        <v>8957</v>
      </c>
      <c r="H2458" t="s">
        <v>9009</v>
      </c>
      <c r="I2458" s="1" t="s">
        <v>9943</v>
      </c>
      <c r="J2458" s="1" t="s">
        <v>8971</v>
      </c>
      <c r="K2458" s="1" t="s">
        <v>9036</v>
      </c>
      <c r="L2458" s="1" t="s">
        <v>8987</v>
      </c>
      <c r="M2458" s="1">
        <v>333</v>
      </c>
      <c r="N2458" s="1" t="s">
        <v>8953</v>
      </c>
      <c r="O2458" s="1" t="s">
        <v>8954</v>
      </c>
      <c r="P2458" s="1" t="s">
        <v>8955</v>
      </c>
      <c r="Q2458" s="1" t="s">
        <v>8956</v>
      </c>
      <c r="R2458" s="1" t="s">
        <v>8957</v>
      </c>
      <c r="S2458" s="1" t="s">
        <v>8958</v>
      </c>
      <c r="T2458" s="1" t="s">
        <v>6529</v>
      </c>
      <c r="U2458" s="1" t="s">
        <v>4</v>
      </c>
      <c r="V2458" s="1" t="s">
        <v>1343</v>
      </c>
      <c r="W2458" s="1"/>
    </row>
    <row r="2459" spans="1:23" x14ac:dyDescent="0.2">
      <c r="A2459" s="88" t="s">
        <v>17645</v>
      </c>
      <c r="B2459" s="1" t="e">
        <v>#N/A</v>
      </c>
      <c r="C2459" s="1" t="e">
        <v>#N/A</v>
      </c>
      <c r="D2459" s="1" t="s">
        <v>6530</v>
      </c>
      <c r="E2459" s="1" t="s">
        <v>6531</v>
      </c>
      <c r="F2459" s="1" t="s">
        <v>14748</v>
      </c>
      <c r="G2459" s="1" t="s">
        <v>8959</v>
      </c>
      <c r="H2459" t="s">
        <v>8959</v>
      </c>
      <c r="I2459" s="1" t="s">
        <v>9100</v>
      </c>
      <c r="J2459" s="1" t="s">
        <v>8949</v>
      </c>
      <c r="K2459" s="1" t="s">
        <v>18497</v>
      </c>
      <c r="L2459" s="1" t="s">
        <v>8973</v>
      </c>
      <c r="M2459" s="1">
        <v>200</v>
      </c>
      <c r="N2459" s="1" t="s">
        <v>8953</v>
      </c>
      <c r="O2459" s="1" t="s">
        <v>8954</v>
      </c>
      <c r="P2459" s="1" t="e">
        <v>#N/A</v>
      </c>
      <c r="Q2459" s="1" t="e">
        <v>#N/A</v>
      </c>
      <c r="R2459" s="1">
        <f t="shared" ref="R2459:R2460" si="714">1+LEN(T2459)-LEN(SUBSTITUTE(T2459,",",))</f>
        <v>3</v>
      </c>
      <c r="S2459" s="1" t="str">
        <f t="shared" ref="S2459:S2460" si="715">IF(R2459&gt;4,IF(R2459&lt;8,"4-7",IF(R2459&gt;7,"&gt;7")),"&lt;4")</f>
        <v>&lt;4</v>
      </c>
      <c r="T2459" s="1" t="s">
        <v>19947</v>
      </c>
      <c r="U2459" s="1" t="s">
        <v>17</v>
      </c>
      <c r="V2459" s="1" t="s">
        <v>948</v>
      </c>
      <c r="W2459" s="1"/>
    </row>
    <row r="2460" spans="1:23" x14ac:dyDescent="0.2">
      <c r="A2460" s="88" t="s">
        <v>17646</v>
      </c>
      <c r="B2460" s="1" t="e">
        <v>#N/A</v>
      </c>
      <c r="C2460" s="1" t="e">
        <v>#N/A</v>
      </c>
      <c r="D2460" s="1" t="s">
        <v>6532</v>
      </c>
      <c r="E2460" s="1" t="s">
        <v>6533</v>
      </c>
      <c r="F2460" s="1" t="s">
        <v>14748</v>
      </c>
      <c r="G2460" s="1" t="s">
        <v>8959</v>
      </c>
      <c r="H2460" t="s">
        <v>8959</v>
      </c>
      <c r="I2460" s="1" t="s">
        <v>9173</v>
      </c>
      <c r="J2460" s="1" t="s">
        <v>9174</v>
      </c>
      <c r="K2460" s="1" t="s">
        <v>21248</v>
      </c>
      <c r="L2460" s="1" t="s">
        <v>20997</v>
      </c>
      <c r="M2460" s="1">
        <f>1372+254+374</f>
        <v>2000</v>
      </c>
      <c r="N2460" s="1" t="s">
        <v>9059</v>
      </c>
      <c r="O2460" s="1" t="s">
        <v>8954</v>
      </c>
      <c r="P2460" s="1" t="e">
        <v>#N/A</v>
      </c>
      <c r="Q2460" s="1" t="e">
        <v>#N/A</v>
      </c>
      <c r="R2460" s="1">
        <f t="shared" si="714"/>
        <v>2</v>
      </c>
      <c r="S2460" s="1" t="str">
        <f t="shared" si="715"/>
        <v>&lt;4</v>
      </c>
      <c r="T2460" s="1" t="s">
        <v>19948</v>
      </c>
      <c r="U2460" s="1" t="s">
        <v>17</v>
      </c>
      <c r="V2460" s="1" t="s">
        <v>74</v>
      </c>
      <c r="W2460" s="1"/>
    </row>
    <row r="2461" spans="1:23" x14ac:dyDescent="0.2">
      <c r="A2461" s="88" t="s">
        <v>17647</v>
      </c>
      <c r="B2461" s="1" t="e">
        <v>#N/A</v>
      </c>
      <c r="C2461" s="1" t="s">
        <v>13722</v>
      </c>
      <c r="D2461" s="1" t="s">
        <v>6534</v>
      </c>
      <c r="E2461" s="1" t="s">
        <v>6535</v>
      </c>
      <c r="F2461" s="1" t="s">
        <v>9246</v>
      </c>
      <c r="G2461" s="1" t="s">
        <v>8957</v>
      </c>
      <c r="H2461" t="s">
        <v>9061</v>
      </c>
      <c r="I2461" s="1" t="s">
        <v>9035</v>
      </c>
      <c r="J2461" s="1" t="s">
        <v>8998</v>
      </c>
      <c r="K2461" s="1" t="s">
        <v>13725</v>
      </c>
      <c r="L2461" s="1" t="s">
        <v>8951</v>
      </c>
      <c r="M2461" s="1">
        <v>1018</v>
      </c>
      <c r="N2461" s="1" t="s">
        <v>8953</v>
      </c>
      <c r="O2461" s="1" t="s">
        <v>8989</v>
      </c>
      <c r="P2461" s="1" t="s">
        <v>8955</v>
      </c>
      <c r="Q2461" s="1" t="s">
        <v>8956</v>
      </c>
      <c r="R2461" s="1" t="s">
        <v>8957</v>
      </c>
      <c r="S2461" s="1" t="s">
        <v>8975</v>
      </c>
      <c r="T2461" s="1" t="s">
        <v>6536</v>
      </c>
      <c r="U2461" s="1" t="s">
        <v>4</v>
      </c>
      <c r="V2461" s="1" t="s">
        <v>126</v>
      </c>
      <c r="W2461" s="1"/>
    </row>
    <row r="2462" spans="1:23" x14ac:dyDescent="0.2">
      <c r="A2462" s="88" t="s">
        <v>17648</v>
      </c>
      <c r="B2462" s="1" t="e">
        <v>#N/A</v>
      </c>
      <c r="C2462" s="1" t="e">
        <v>#N/A</v>
      </c>
      <c r="D2462" s="1" t="s">
        <v>6537</v>
      </c>
      <c r="E2462" s="1" t="s">
        <v>6538</v>
      </c>
      <c r="F2462" s="1" t="s">
        <v>18502</v>
      </c>
      <c r="G2462" s="1" t="s">
        <v>8959</v>
      </c>
      <c r="H2462" t="s">
        <v>9183</v>
      </c>
      <c r="I2462" s="1" t="s">
        <v>8948</v>
      </c>
      <c r="J2462" s="1" t="s">
        <v>8998</v>
      </c>
      <c r="K2462" s="1" t="s">
        <v>10492</v>
      </c>
      <c r="L2462" s="1" t="s">
        <v>8951</v>
      </c>
      <c r="M2462" s="1">
        <v>20</v>
      </c>
      <c r="N2462" s="1" t="s">
        <v>8953</v>
      </c>
      <c r="O2462" s="1" t="s">
        <v>8989</v>
      </c>
      <c r="P2462" s="1" t="e">
        <v>#N/A</v>
      </c>
      <c r="Q2462" s="1" t="e">
        <v>#N/A</v>
      </c>
      <c r="R2462" s="1">
        <f t="shared" ref="R2462:R2464" si="716">1+LEN(T2462)-LEN(SUBSTITUTE(T2462,",",))</f>
        <v>7</v>
      </c>
      <c r="S2462" s="1" t="str">
        <f t="shared" ref="S2462:S2464" si="717">IF(R2462&gt;4,IF(R2462&lt;8,"4-7",IF(R2462&gt;7,"&gt;7")),"&lt;4")</f>
        <v>4-7</v>
      </c>
      <c r="T2462" s="1" t="s">
        <v>19949</v>
      </c>
      <c r="U2462" s="1" t="s">
        <v>7</v>
      </c>
      <c r="V2462" s="1" t="s">
        <v>6539</v>
      </c>
      <c r="W2462" s="1"/>
    </row>
    <row r="2463" spans="1:23" x14ac:dyDescent="0.2">
      <c r="A2463" s="88" t="s">
        <v>17649</v>
      </c>
      <c r="B2463" s="1" t="e">
        <v>#N/A</v>
      </c>
      <c r="C2463" s="1" t="e">
        <v>#N/A</v>
      </c>
      <c r="D2463" s="1" t="s">
        <v>6540</v>
      </c>
      <c r="E2463" s="1" t="s">
        <v>6541</v>
      </c>
      <c r="F2463" s="1" t="s">
        <v>9213</v>
      </c>
      <c r="G2463" s="1" t="s">
        <v>8957</v>
      </c>
      <c r="H2463" t="s">
        <v>8959</v>
      </c>
      <c r="I2463" s="1" t="s">
        <v>9252</v>
      </c>
      <c r="J2463" s="1" t="s">
        <v>8971</v>
      </c>
      <c r="K2463" s="1" t="s">
        <v>21000</v>
      </c>
      <c r="L2463" s="1" t="s">
        <v>8987</v>
      </c>
      <c r="M2463" s="1">
        <f>1400+5624</f>
        <v>7024</v>
      </c>
      <c r="N2463" s="1" t="s">
        <v>8953</v>
      </c>
      <c r="O2463" s="1" t="s">
        <v>8954</v>
      </c>
      <c r="P2463" s="1" t="e">
        <v>#N/A</v>
      </c>
      <c r="Q2463" s="1" t="e">
        <v>#N/A</v>
      </c>
      <c r="R2463" s="1">
        <f t="shared" si="716"/>
        <v>5</v>
      </c>
      <c r="S2463" s="1" t="str">
        <f t="shared" si="717"/>
        <v>4-7</v>
      </c>
      <c r="T2463" s="1" t="s">
        <v>19950</v>
      </c>
      <c r="U2463" s="1" t="s">
        <v>17</v>
      </c>
      <c r="V2463" s="1" t="s">
        <v>61</v>
      </c>
      <c r="W2463" s="1"/>
    </row>
    <row r="2464" spans="1:23" x14ac:dyDescent="0.2">
      <c r="A2464" s="88" t="s">
        <v>17650</v>
      </c>
      <c r="B2464" s="1" t="e">
        <v>#N/A</v>
      </c>
      <c r="C2464" s="1" t="e">
        <v>#N/A</v>
      </c>
      <c r="D2464" s="1" t="s">
        <v>6542</v>
      </c>
      <c r="E2464" s="1" t="s">
        <v>6543</v>
      </c>
      <c r="F2464" s="1" t="s">
        <v>18502</v>
      </c>
      <c r="G2464" s="1" t="s">
        <v>8959</v>
      </c>
      <c r="H2464" t="s">
        <v>8959</v>
      </c>
      <c r="I2464" s="1" t="s">
        <v>20714</v>
      </c>
      <c r="J2464" s="1" t="s">
        <v>20725</v>
      </c>
      <c r="K2464" s="1" t="s">
        <v>10525</v>
      </c>
      <c r="L2464" s="1" t="s">
        <v>8951</v>
      </c>
      <c r="M2464" s="1">
        <v>3661</v>
      </c>
      <c r="N2464" s="1" t="s">
        <v>8953</v>
      </c>
      <c r="O2464" s="1" t="s">
        <v>8954</v>
      </c>
      <c r="P2464" s="1" t="e">
        <v>#N/A</v>
      </c>
      <c r="Q2464" s="1" t="e">
        <v>#N/A</v>
      </c>
      <c r="R2464" s="1">
        <f t="shared" si="716"/>
        <v>11</v>
      </c>
      <c r="S2464" s="1" t="str">
        <f t="shared" si="717"/>
        <v>&gt;7</v>
      </c>
      <c r="T2464" s="1" t="s">
        <v>20684</v>
      </c>
      <c r="U2464" s="1" t="s">
        <v>7</v>
      </c>
      <c r="V2464" s="1" t="s">
        <v>110</v>
      </c>
      <c r="W2464" s="1"/>
    </row>
    <row r="2465" spans="1:23" x14ac:dyDescent="0.2">
      <c r="A2465" s="88" t="s">
        <v>17651</v>
      </c>
      <c r="B2465" s="1" t="e">
        <v>#N/A</v>
      </c>
      <c r="C2465" s="1" t="s">
        <v>11466</v>
      </c>
      <c r="D2465" s="1" t="s">
        <v>6544</v>
      </c>
      <c r="E2465" s="1" t="s">
        <v>6545</v>
      </c>
      <c r="F2465" s="1" t="s">
        <v>9010</v>
      </c>
      <c r="G2465" s="1" t="s">
        <v>8959</v>
      </c>
      <c r="H2465" t="s">
        <v>9183</v>
      </c>
      <c r="I2465" s="1" t="s">
        <v>9035</v>
      </c>
      <c r="J2465" s="1" t="s">
        <v>8998</v>
      </c>
      <c r="K2465" s="1" t="s">
        <v>9036</v>
      </c>
      <c r="L2465" s="1" t="s">
        <v>9133</v>
      </c>
      <c r="M2465" s="1">
        <v>727</v>
      </c>
      <c r="N2465" s="1" t="s">
        <v>8953</v>
      </c>
      <c r="O2465" s="1" t="s">
        <v>8989</v>
      </c>
      <c r="P2465" s="1" t="s">
        <v>8955</v>
      </c>
      <c r="Q2465" s="1" t="s">
        <v>8956</v>
      </c>
      <c r="R2465" s="1" t="s">
        <v>8959</v>
      </c>
      <c r="S2465" s="1" t="s">
        <v>8975</v>
      </c>
      <c r="T2465" s="1" t="s">
        <v>6546</v>
      </c>
      <c r="U2465" s="1" t="s">
        <v>11</v>
      </c>
      <c r="V2465" s="1" t="s">
        <v>1322</v>
      </c>
      <c r="W2465" s="1"/>
    </row>
    <row r="2466" spans="1:23" x14ac:dyDescent="0.2">
      <c r="A2466" s="88" t="s">
        <v>17652</v>
      </c>
      <c r="B2466" s="1" t="e">
        <v>#N/A</v>
      </c>
      <c r="C2466" s="1" t="e">
        <v>#N/A</v>
      </c>
      <c r="D2466" s="1" t="s">
        <v>6547</v>
      </c>
      <c r="E2466" s="1" t="s">
        <v>6548</v>
      </c>
      <c r="F2466" s="1" t="s">
        <v>9010</v>
      </c>
      <c r="G2466" s="1" t="s">
        <v>8959</v>
      </c>
      <c r="H2466" t="s">
        <v>8959</v>
      </c>
      <c r="I2466" s="1" t="s">
        <v>9154</v>
      </c>
      <c r="J2466" s="1" t="s">
        <v>8971</v>
      </c>
      <c r="K2466" s="1" t="s">
        <v>10492</v>
      </c>
      <c r="L2466" s="1" t="s">
        <v>8973</v>
      </c>
      <c r="M2466" s="1">
        <v>435</v>
      </c>
      <c r="N2466" s="1" t="s">
        <v>8953</v>
      </c>
      <c r="O2466" s="1" t="s">
        <v>20998</v>
      </c>
      <c r="P2466" s="1" t="e">
        <v>#N/A</v>
      </c>
      <c r="Q2466" s="1" t="e">
        <v>#N/A</v>
      </c>
      <c r="R2466" s="1">
        <f t="shared" ref="R2466:R2468" si="718">1+LEN(T2466)-LEN(SUBSTITUTE(T2466,",",))</f>
        <v>3</v>
      </c>
      <c r="S2466" s="1" t="str">
        <f t="shared" ref="S2466:S2468" si="719">IF(R2466&gt;4,IF(R2466&lt;8,"4-7",IF(R2466&gt;7,"&gt;7")),"&lt;4")</f>
        <v>&lt;4</v>
      </c>
      <c r="T2466" s="1" t="s">
        <v>19951</v>
      </c>
      <c r="U2466" s="1" t="s">
        <v>17</v>
      </c>
      <c r="V2466" s="1" t="s">
        <v>126</v>
      </c>
      <c r="W2466" s="1"/>
    </row>
    <row r="2467" spans="1:23" x14ac:dyDescent="0.2">
      <c r="A2467" s="88" t="s">
        <v>17653</v>
      </c>
      <c r="B2467" s="1" t="e">
        <v>#N/A</v>
      </c>
      <c r="C2467" s="1" t="e">
        <v>#N/A</v>
      </c>
      <c r="D2467" s="1" t="s">
        <v>6549</v>
      </c>
      <c r="E2467" s="1" t="s">
        <v>6550</v>
      </c>
      <c r="F2467" s="1" t="s">
        <v>20999</v>
      </c>
      <c r="G2467" s="1" t="s">
        <v>8959</v>
      </c>
      <c r="H2467" t="s">
        <v>8959</v>
      </c>
      <c r="I2467" s="1" t="s">
        <v>9035</v>
      </c>
      <c r="J2467" s="1" t="s">
        <v>9308</v>
      </c>
      <c r="K2467" s="1" t="s">
        <v>10525</v>
      </c>
      <c r="L2467" s="1" t="s">
        <v>8951</v>
      </c>
      <c r="M2467" s="1">
        <v>5856</v>
      </c>
      <c r="N2467" s="1" t="s">
        <v>8953</v>
      </c>
      <c r="O2467" s="1" t="s">
        <v>8989</v>
      </c>
      <c r="P2467" s="1" t="e">
        <v>#N/A</v>
      </c>
      <c r="Q2467" s="1" t="e">
        <v>#N/A</v>
      </c>
      <c r="R2467" s="1">
        <f t="shared" si="718"/>
        <v>5</v>
      </c>
      <c r="S2467" s="1" t="str">
        <f t="shared" si="719"/>
        <v>4-7</v>
      </c>
      <c r="T2467" s="1" t="s">
        <v>19952</v>
      </c>
      <c r="U2467" s="1" t="s">
        <v>7</v>
      </c>
      <c r="V2467" s="1" t="s">
        <v>308</v>
      </c>
      <c r="W2467" s="1"/>
    </row>
    <row r="2468" spans="1:23" x14ac:dyDescent="0.2">
      <c r="A2468" s="88" t="s">
        <v>17654</v>
      </c>
      <c r="B2468" s="1" t="e">
        <v>#N/A</v>
      </c>
      <c r="C2468" s="1" t="e">
        <v>#N/A</v>
      </c>
      <c r="D2468" s="1" t="s">
        <v>6551</v>
      </c>
      <c r="E2468" s="1" t="s">
        <v>6552</v>
      </c>
      <c r="F2468" s="1" t="s">
        <v>9968</v>
      </c>
      <c r="G2468" s="1" t="s">
        <v>8959</v>
      </c>
      <c r="H2468" t="s">
        <v>8959</v>
      </c>
      <c r="I2468" s="1" t="s">
        <v>9100</v>
      </c>
      <c r="J2468" s="1" t="s">
        <v>8949</v>
      </c>
      <c r="K2468" s="1" t="s">
        <v>20996</v>
      </c>
      <c r="L2468" s="1" t="s">
        <v>8987</v>
      </c>
      <c r="M2468" s="1">
        <v>1140</v>
      </c>
      <c r="N2468" s="1" t="s">
        <v>9059</v>
      </c>
      <c r="O2468" s="1" t="s">
        <v>8954</v>
      </c>
      <c r="P2468" s="1" t="e">
        <v>#N/A</v>
      </c>
      <c r="Q2468" s="1" t="e">
        <v>#N/A</v>
      </c>
      <c r="R2468" s="1">
        <f t="shared" si="718"/>
        <v>2</v>
      </c>
      <c r="S2468" s="1" t="str">
        <f t="shared" si="719"/>
        <v>&lt;4</v>
      </c>
      <c r="T2468" s="1" t="s">
        <v>19953</v>
      </c>
      <c r="U2468" s="1" t="s">
        <v>7</v>
      </c>
      <c r="V2468" s="1" t="s">
        <v>342</v>
      </c>
      <c r="W2468" s="1"/>
    </row>
    <row r="2469" spans="1:23" x14ac:dyDescent="0.2">
      <c r="A2469" s="88" t="s">
        <v>17655</v>
      </c>
      <c r="B2469" s="1" t="e">
        <v>#N/A</v>
      </c>
      <c r="C2469" s="1" t="s">
        <v>15247</v>
      </c>
      <c r="D2469" s="1" t="s">
        <v>6553</v>
      </c>
      <c r="E2469" s="1" t="s">
        <v>6554</v>
      </c>
      <c r="F2469" s="1" t="s">
        <v>9010</v>
      </c>
      <c r="G2469" s="1" t="s">
        <v>8959</v>
      </c>
      <c r="H2469" t="s">
        <v>9061</v>
      </c>
      <c r="I2469" s="1" t="s">
        <v>9605</v>
      </c>
      <c r="J2469" s="1" t="s">
        <v>8998</v>
      </c>
      <c r="K2469" s="1" t="s">
        <v>9036</v>
      </c>
      <c r="L2469" s="1" t="s">
        <v>8987</v>
      </c>
      <c r="M2469" s="1">
        <v>3319</v>
      </c>
      <c r="N2469" s="1" t="s">
        <v>8953</v>
      </c>
      <c r="O2469" s="1" t="s">
        <v>8989</v>
      </c>
      <c r="P2469" s="1" t="s">
        <v>8955</v>
      </c>
      <c r="Q2469" s="1" t="s">
        <v>8956</v>
      </c>
      <c r="R2469" s="1" t="s">
        <v>8959</v>
      </c>
      <c r="S2469" s="1" t="s">
        <v>8958</v>
      </c>
      <c r="T2469" s="1" t="s">
        <v>6555</v>
      </c>
      <c r="U2469" s="1" t="s">
        <v>17</v>
      </c>
      <c r="V2469" s="1" t="s">
        <v>496</v>
      </c>
      <c r="W2469" s="1"/>
    </row>
    <row r="2470" spans="1:23" x14ac:dyDescent="0.2">
      <c r="A2470" s="89" t="s">
        <v>6556</v>
      </c>
      <c r="B2470" s="1" t="e">
        <v>#N/A</v>
      </c>
      <c r="C2470" s="1" t="e">
        <v>#N/A</v>
      </c>
      <c r="D2470" s="1" t="s">
        <v>6557</v>
      </c>
      <c r="E2470" s="1" t="s">
        <v>6558</v>
      </c>
      <c r="F2470" s="1" t="e">
        <v>#N/A</v>
      </c>
      <c r="G2470" s="1" t="e">
        <v>#N/A</v>
      </c>
      <c r="H2470" t="e">
        <v>#N/A</v>
      </c>
      <c r="I2470" s="1" t="e">
        <v>#N/A</v>
      </c>
      <c r="J2470" s="1" t="e">
        <v>#N/A</v>
      </c>
      <c r="K2470" s="1" t="e">
        <v>#N/A</v>
      </c>
      <c r="L2470" s="1" t="e">
        <v>#N/A</v>
      </c>
      <c r="M2470" s="1" t="e">
        <v>#N/A</v>
      </c>
      <c r="N2470" s="1" t="e">
        <v>#N/A</v>
      </c>
      <c r="O2470" s="1" t="e">
        <v>#N/A</v>
      </c>
      <c r="P2470" s="1" t="e">
        <v>#N/A</v>
      </c>
      <c r="Q2470" s="1" t="e">
        <v>#N/A</v>
      </c>
      <c r="R2470" s="1">
        <f>1+LEN(T2470)-LEN(SUBSTITUTE(T2470,",",))</f>
        <v>5</v>
      </c>
      <c r="S2470" s="1" t="str">
        <f>IF(R2470&gt;4,IF(R2470&lt;8,"4-7",IF(R2470&gt;7,"&gt;7")),"&lt;4")</f>
        <v>4-7</v>
      </c>
      <c r="T2470" s="1" t="s">
        <v>19954</v>
      </c>
      <c r="U2470" s="1" t="s">
        <v>11</v>
      </c>
      <c r="V2470" s="1" t="s">
        <v>6559</v>
      </c>
      <c r="W2470" s="1"/>
    </row>
    <row r="2471" spans="1:23" x14ac:dyDescent="0.2">
      <c r="A2471" s="88" t="s">
        <v>17656</v>
      </c>
      <c r="B2471" s="1" t="e">
        <v>#N/A</v>
      </c>
      <c r="C2471" s="1" t="s">
        <v>12252</v>
      </c>
      <c r="D2471" s="1" t="s">
        <v>6560</v>
      </c>
      <c r="E2471" s="1" t="s">
        <v>6561</v>
      </c>
      <c r="F2471" s="1" t="s">
        <v>9310</v>
      </c>
      <c r="G2471" s="1" t="s">
        <v>8957</v>
      </c>
      <c r="H2471" t="s">
        <v>9183</v>
      </c>
      <c r="I2471" s="1" t="s">
        <v>9035</v>
      </c>
      <c r="J2471" s="1" t="s">
        <v>8998</v>
      </c>
      <c r="K2471" s="1" t="s">
        <v>9051</v>
      </c>
      <c r="L2471" s="1" t="s">
        <v>8951</v>
      </c>
      <c r="M2471" s="1">
        <v>128000</v>
      </c>
      <c r="N2471" s="1" t="s">
        <v>8953</v>
      </c>
      <c r="O2471" s="1" t="s">
        <v>8954</v>
      </c>
      <c r="P2471" s="1" t="s">
        <v>8955</v>
      </c>
      <c r="Q2471" s="1" t="s">
        <v>8956</v>
      </c>
      <c r="R2471" s="1" t="s">
        <v>8957</v>
      </c>
      <c r="S2471" s="1" t="s">
        <v>8975</v>
      </c>
      <c r="T2471" s="1" t="s">
        <v>6562</v>
      </c>
      <c r="U2471" s="1" t="s">
        <v>11</v>
      </c>
      <c r="V2471" s="1" t="s">
        <v>61</v>
      </c>
      <c r="W2471" s="1"/>
    </row>
    <row r="2472" spans="1:23" x14ac:dyDescent="0.2">
      <c r="A2472" s="88" t="s">
        <v>17657</v>
      </c>
      <c r="B2472" s="1" t="e">
        <v>#N/A</v>
      </c>
      <c r="C2472" s="1" t="e">
        <v>#N/A</v>
      </c>
      <c r="D2472" s="1" t="s">
        <v>21001</v>
      </c>
      <c r="E2472" s="1" t="s">
        <v>6563</v>
      </c>
      <c r="F2472" s="1" t="s">
        <v>9815</v>
      </c>
      <c r="G2472" s="1" t="s">
        <v>8959</v>
      </c>
      <c r="H2472" t="s">
        <v>8959</v>
      </c>
      <c r="I2472" s="1" t="s">
        <v>20714</v>
      </c>
      <c r="J2472" s="1" t="s">
        <v>9050</v>
      </c>
      <c r="K2472" s="1" t="s">
        <v>21238</v>
      </c>
      <c r="L2472" s="1" t="s">
        <v>8973</v>
      </c>
      <c r="M2472" s="1">
        <f>650</f>
        <v>650</v>
      </c>
      <c r="N2472" s="1" t="s">
        <v>8953</v>
      </c>
      <c r="O2472" s="1" t="s">
        <v>8954</v>
      </c>
      <c r="P2472" s="1" t="e">
        <v>#N/A</v>
      </c>
      <c r="Q2472" s="1" t="e">
        <v>#N/A</v>
      </c>
      <c r="R2472" s="1">
        <f t="shared" ref="R2472:R2473" si="720">1+LEN(T2472)-LEN(SUBSTITUTE(T2472,",",))</f>
        <v>4</v>
      </c>
      <c r="S2472" s="1" t="str">
        <f t="shared" ref="S2472:S2473" si="721">IF(R2472&gt;4,IF(R2472&lt;8,"4-7",IF(R2472&gt;7,"&gt;7")),"&lt;4")</f>
        <v>&lt;4</v>
      </c>
      <c r="T2472" s="1" t="s">
        <v>19955</v>
      </c>
      <c r="U2472" s="1" t="s">
        <v>17</v>
      </c>
      <c r="V2472" s="1" t="s">
        <v>27</v>
      </c>
      <c r="W2472" s="1"/>
    </row>
    <row r="2473" spans="1:23" x14ac:dyDescent="0.2">
      <c r="A2473" s="88" t="s">
        <v>17658</v>
      </c>
      <c r="B2473" s="1" t="e">
        <v>#N/A</v>
      </c>
      <c r="C2473" s="1" t="e">
        <v>#N/A</v>
      </c>
      <c r="D2473" s="1" t="s">
        <v>21002</v>
      </c>
      <c r="E2473" s="1" t="s">
        <v>6564</v>
      </c>
      <c r="F2473" s="1" t="s">
        <v>18502</v>
      </c>
      <c r="G2473" s="1" t="s">
        <v>8957</v>
      </c>
      <c r="H2473" t="s">
        <v>8959</v>
      </c>
      <c r="I2473" s="1" t="s">
        <v>9100</v>
      </c>
      <c r="J2473" s="1" t="s">
        <v>8949</v>
      </c>
      <c r="K2473" s="1" t="s">
        <v>10492</v>
      </c>
      <c r="L2473" s="1" t="s">
        <v>8973</v>
      </c>
      <c r="M2473" s="1">
        <v>145</v>
      </c>
      <c r="N2473" s="1" t="s">
        <v>8953</v>
      </c>
      <c r="O2473" s="1" t="s">
        <v>8954</v>
      </c>
      <c r="P2473" s="1" t="e">
        <v>#N/A</v>
      </c>
      <c r="Q2473" s="1" t="e">
        <v>#N/A</v>
      </c>
      <c r="R2473" s="1">
        <f t="shared" si="720"/>
        <v>8</v>
      </c>
      <c r="S2473" s="1" t="str">
        <f t="shared" si="721"/>
        <v>&gt;7</v>
      </c>
      <c r="T2473" s="1" t="s">
        <v>19956</v>
      </c>
      <c r="U2473" s="1" t="s">
        <v>17</v>
      </c>
      <c r="V2473" s="1" t="s">
        <v>57</v>
      </c>
      <c r="W2473" s="1"/>
    </row>
    <row r="2474" spans="1:23" x14ac:dyDescent="0.2">
      <c r="A2474" s="88" t="s">
        <v>17659</v>
      </c>
      <c r="B2474" s="1" t="e">
        <v>#N/A</v>
      </c>
      <c r="C2474" s="1" t="s">
        <v>13863</v>
      </c>
      <c r="D2474" s="1" t="s">
        <v>6565</v>
      </c>
      <c r="E2474" s="1" t="s">
        <v>6566</v>
      </c>
      <c r="F2474" s="1" t="s">
        <v>10049</v>
      </c>
      <c r="G2474" s="1" t="s">
        <v>8957</v>
      </c>
      <c r="H2474" t="s">
        <v>9009</v>
      </c>
      <c r="I2474" s="1" t="s">
        <v>9075</v>
      </c>
      <c r="J2474" s="1" t="s">
        <v>8998</v>
      </c>
      <c r="K2474" s="1" t="s">
        <v>9018</v>
      </c>
      <c r="L2474" s="1" t="s">
        <v>8973</v>
      </c>
      <c r="M2474" s="1">
        <v>244</v>
      </c>
      <c r="N2474" s="1" t="s">
        <v>8953</v>
      </c>
      <c r="O2474" s="1" t="s">
        <v>8954</v>
      </c>
      <c r="P2474" s="1" t="s">
        <v>8955</v>
      </c>
      <c r="Q2474" s="1" t="s">
        <v>8956</v>
      </c>
      <c r="R2474" s="1" t="s">
        <v>8957</v>
      </c>
      <c r="S2474" s="1" t="s">
        <v>8958</v>
      </c>
      <c r="T2474" s="1" t="s">
        <v>6567</v>
      </c>
      <c r="U2474" s="1" t="s">
        <v>4</v>
      </c>
      <c r="V2474" s="1" t="s">
        <v>24</v>
      </c>
      <c r="W2474" s="1"/>
    </row>
    <row r="2475" spans="1:23" x14ac:dyDescent="0.2">
      <c r="A2475" s="89" t="s">
        <v>6568</v>
      </c>
      <c r="B2475" s="1" t="e">
        <v>#N/A</v>
      </c>
      <c r="C2475" s="1" t="e">
        <v>#N/A</v>
      </c>
      <c r="D2475" s="5" t="s">
        <v>6569</v>
      </c>
      <c r="E2475" s="1" t="s">
        <v>6570</v>
      </c>
      <c r="F2475" s="1" t="e">
        <v>#N/A</v>
      </c>
      <c r="G2475" s="1" t="e">
        <v>#N/A</v>
      </c>
      <c r="H2475" t="e">
        <v>#N/A</v>
      </c>
      <c r="I2475" s="1" t="e">
        <v>#N/A</v>
      </c>
      <c r="J2475" s="1" t="e">
        <v>#N/A</v>
      </c>
      <c r="K2475" s="1" t="e">
        <v>#N/A</v>
      </c>
      <c r="L2475" s="1" t="e">
        <v>#N/A</v>
      </c>
      <c r="M2475" s="1" t="e">
        <v>#N/A</v>
      </c>
      <c r="N2475" s="1" t="e">
        <v>#N/A</v>
      </c>
      <c r="O2475" s="1" t="e">
        <v>#N/A</v>
      </c>
      <c r="P2475" s="1" t="e">
        <v>#N/A</v>
      </c>
      <c r="Q2475" s="1" t="e">
        <v>#N/A</v>
      </c>
      <c r="R2475" s="1">
        <f t="shared" ref="R2475:R2476" si="722">1+LEN(T2475)-LEN(SUBSTITUTE(T2475,",",))</f>
        <v>11</v>
      </c>
      <c r="S2475" s="1" t="str">
        <f t="shared" ref="S2475:S2476" si="723">IF(R2475&gt;4,IF(R2475&lt;8,"4-7",IF(R2475&gt;7,"&gt;7")),"&lt;4")</f>
        <v>&gt;7</v>
      </c>
      <c r="T2475" s="1" t="s">
        <v>20685</v>
      </c>
      <c r="U2475" s="1" t="s">
        <v>17</v>
      </c>
      <c r="V2475" s="1" t="s">
        <v>1089</v>
      </c>
      <c r="W2475" s="1"/>
    </row>
    <row r="2476" spans="1:23" x14ac:dyDescent="0.2">
      <c r="A2476" s="88" t="s">
        <v>17660</v>
      </c>
      <c r="B2476" s="1" t="e">
        <v>#N/A</v>
      </c>
      <c r="C2476" s="1" t="e">
        <v>#N/A</v>
      </c>
      <c r="D2476" s="1" t="s">
        <v>6571</v>
      </c>
      <c r="E2476" s="1" t="s">
        <v>6572</v>
      </c>
      <c r="F2476" s="1" t="s">
        <v>18502</v>
      </c>
      <c r="G2476" s="1" t="s">
        <v>8957</v>
      </c>
      <c r="H2476" t="s">
        <v>8959</v>
      </c>
      <c r="I2476" s="1" t="s">
        <v>9075</v>
      </c>
      <c r="J2476" s="1" t="s">
        <v>8949</v>
      </c>
      <c r="K2476" s="1" t="s">
        <v>21205</v>
      </c>
      <c r="L2476" s="1" t="s">
        <v>8951</v>
      </c>
      <c r="M2476" s="1">
        <v>110</v>
      </c>
      <c r="N2476" s="1" t="s">
        <v>9059</v>
      </c>
      <c r="O2476" s="1" t="s">
        <v>8989</v>
      </c>
      <c r="P2476" s="1" t="e">
        <v>#N/A</v>
      </c>
      <c r="Q2476" s="1" t="e">
        <v>#N/A</v>
      </c>
      <c r="R2476" s="1">
        <f t="shared" si="722"/>
        <v>10</v>
      </c>
      <c r="S2476" s="1" t="str">
        <f t="shared" si="723"/>
        <v>&gt;7</v>
      </c>
      <c r="T2476" s="1" t="s">
        <v>19957</v>
      </c>
      <c r="U2476" s="1" t="s">
        <v>17</v>
      </c>
      <c r="V2476" s="1" t="s">
        <v>1076</v>
      </c>
      <c r="W2476" s="1"/>
    </row>
    <row r="2477" spans="1:23" x14ac:dyDescent="0.2">
      <c r="A2477" s="88" t="s">
        <v>17661</v>
      </c>
      <c r="B2477" s="1" t="e">
        <v>#N/A</v>
      </c>
      <c r="C2477" s="1" t="s">
        <v>9513</v>
      </c>
      <c r="D2477" s="1" t="s">
        <v>6573</v>
      </c>
      <c r="E2477" s="1" t="s">
        <v>6574</v>
      </c>
      <c r="F2477" s="1" t="s">
        <v>9010</v>
      </c>
      <c r="G2477" s="1" t="s">
        <v>8957</v>
      </c>
      <c r="H2477" t="s">
        <v>8959</v>
      </c>
      <c r="I2477" s="1" t="s">
        <v>8948</v>
      </c>
      <c r="J2477" s="1" t="s">
        <v>8949</v>
      </c>
      <c r="K2477" s="1" t="s">
        <v>8972</v>
      </c>
      <c r="L2477" s="1" t="s">
        <v>8973</v>
      </c>
      <c r="M2477" s="1" t="s">
        <v>9479</v>
      </c>
      <c r="N2477" s="1" t="s">
        <v>8953</v>
      </c>
      <c r="O2477" s="1" t="s">
        <v>8954</v>
      </c>
      <c r="P2477" s="1" t="s">
        <v>8955</v>
      </c>
      <c r="Q2477" s="1" t="s">
        <v>8990</v>
      </c>
      <c r="R2477" s="1" t="s">
        <v>8957</v>
      </c>
      <c r="S2477" s="1" t="s">
        <v>8958</v>
      </c>
      <c r="T2477" s="1" t="s">
        <v>6575</v>
      </c>
      <c r="U2477" s="1" t="s">
        <v>17</v>
      </c>
      <c r="V2477" s="1" t="s">
        <v>6576</v>
      </c>
      <c r="W2477" s="1"/>
    </row>
    <row r="2478" spans="1:23" x14ac:dyDescent="0.2">
      <c r="A2478" s="88" t="s">
        <v>17662</v>
      </c>
      <c r="B2478" s="1" t="e">
        <v>#N/A</v>
      </c>
      <c r="C2478" s="1" t="s">
        <v>12277</v>
      </c>
      <c r="D2478" s="1" t="s">
        <v>6577</v>
      </c>
      <c r="E2478" s="1" t="s">
        <v>6578</v>
      </c>
      <c r="F2478" s="1" t="s">
        <v>9310</v>
      </c>
      <c r="G2478" s="1" t="s">
        <v>8957</v>
      </c>
      <c r="H2478" t="s">
        <v>8959</v>
      </c>
      <c r="I2478" s="1" t="s">
        <v>10729</v>
      </c>
      <c r="J2478" s="1" t="s">
        <v>8998</v>
      </c>
      <c r="K2478" s="1" t="s">
        <v>9036</v>
      </c>
      <c r="L2478" s="1" t="s">
        <v>9076</v>
      </c>
      <c r="M2478" s="1">
        <v>12</v>
      </c>
      <c r="N2478" s="1" t="s">
        <v>8953</v>
      </c>
      <c r="O2478" s="1" t="s">
        <v>8989</v>
      </c>
      <c r="P2478" s="1" t="s">
        <v>8955</v>
      </c>
      <c r="Q2478" s="1" t="s">
        <v>8956</v>
      </c>
      <c r="R2478" s="1" t="s">
        <v>8957</v>
      </c>
      <c r="S2478" s="1" t="s">
        <v>8958</v>
      </c>
      <c r="T2478" s="1" t="s">
        <v>6579</v>
      </c>
      <c r="U2478" s="1" t="s">
        <v>11</v>
      </c>
      <c r="V2478" s="1" t="s">
        <v>61</v>
      </c>
      <c r="W2478" s="1"/>
    </row>
    <row r="2479" spans="1:23" x14ac:dyDescent="0.2">
      <c r="A2479" s="89" t="s">
        <v>6580</v>
      </c>
      <c r="B2479" s="1" t="e">
        <v>#N/A</v>
      </c>
      <c r="C2479" s="1" t="e">
        <v>#N/A</v>
      </c>
      <c r="D2479" s="1" t="s">
        <v>6581</v>
      </c>
      <c r="E2479" s="1" t="s">
        <v>6582</v>
      </c>
      <c r="F2479" s="1" t="e">
        <v>#N/A</v>
      </c>
      <c r="G2479" s="1" t="e">
        <v>#N/A</v>
      </c>
      <c r="H2479" t="e">
        <v>#N/A</v>
      </c>
      <c r="I2479" s="1" t="e">
        <v>#N/A</v>
      </c>
      <c r="J2479" s="1" t="e">
        <v>#N/A</v>
      </c>
      <c r="K2479" s="1" t="e">
        <v>#N/A</v>
      </c>
      <c r="L2479" s="1" t="e">
        <v>#N/A</v>
      </c>
      <c r="M2479" s="1" t="e">
        <v>#N/A</v>
      </c>
      <c r="N2479" s="1" t="e">
        <v>#N/A</v>
      </c>
      <c r="O2479" s="1" t="e">
        <v>#N/A</v>
      </c>
      <c r="P2479" s="1" t="e">
        <v>#N/A</v>
      </c>
      <c r="Q2479" s="1" t="e">
        <v>#N/A</v>
      </c>
      <c r="R2479" s="1">
        <f t="shared" ref="R2479:R2481" si="724">1+LEN(T2479)-LEN(SUBSTITUTE(T2479,",",))</f>
        <v>6</v>
      </c>
      <c r="S2479" s="1" t="str">
        <f t="shared" ref="S2479:S2481" si="725">IF(R2479&gt;4,IF(R2479&lt;8,"4-7",IF(R2479&gt;7,"&gt;7")),"&lt;4")</f>
        <v>4-7</v>
      </c>
      <c r="T2479" s="1" t="s">
        <v>19958</v>
      </c>
      <c r="U2479" s="1" t="s">
        <v>7</v>
      </c>
      <c r="V2479" s="1" t="s">
        <v>378</v>
      </c>
      <c r="W2479" s="1"/>
    </row>
    <row r="2480" spans="1:23" x14ac:dyDescent="0.2">
      <c r="A2480" s="88" t="s">
        <v>17663</v>
      </c>
      <c r="B2480" s="1" t="e">
        <v>#N/A</v>
      </c>
      <c r="C2480" s="1" t="e">
        <v>#N/A</v>
      </c>
      <c r="D2480" s="1" t="s">
        <v>6583</v>
      </c>
      <c r="E2480" s="1" t="s">
        <v>6584</v>
      </c>
      <c r="F2480" s="1" t="s">
        <v>18502</v>
      </c>
      <c r="G2480" s="1" t="e">
        <v>#N/A</v>
      </c>
      <c r="H2480" t="s">
        <v>9061</v>
      </c>
      <c r="I2480" s="1" t="s">
        <v>9035</v>
      </c>
      <c r="J2480" s="1" t="s">
        <v>8998</v>
      </c>
      <c r="K2480" s="1" t="e">
        <v>#N/A</v>
      </c>
      <c r="L2480" s="1" t="s">
        <v>8987</v>
      </c>
      <c r="M2480" s="1" t="e">
        <v>#N/A</v>
      </c>
      <c r="N2480" s="1" t="e">
        <v>#N/A</v>
      </c>
      <c r="O2480" s="1" t="e">
        <v>#N/A</v>
      </c>
      <c r="P2480" s="1" t="e">
        <v>#N/A</v>
      </c>
      <c r="Q2480" s="1" t="e">
        <v>#N/A</v>
      </c>
      <c r="R2480" s="1">
        <f t="shared" si="724"/>
        <v>8</v>
      </c>
      <c r="S2480" s="1" t="str">
        <f t="shared" si="725"/>
        <v>&gt;7</v>
      </c>
      <c r="T2480" s="1" t="s">
        <v>19959</v>
      </c>
      <c r="U2480" s="1" t="s">
        <v>7</v>
      </c>
      <c r="V2480" s="1" t="s">
        <v>378</v>
      </c>
      <c r="W2480" s="1"/>
    </row>
    <row r="2481" spans="1:23" x14ac:dyDescent="0.2">
      <c r="A2481" s="89" t="s">
        <v>6585</v>
      </c>
      <c r="B2481" s="1" t="e">
        <v>#N/A</v>
      </c>
      <c r="C2481" s="1" t="e">
        <v>#N/A</v>
      </c>
      <c r="D2481" s="1" t="s">
        <v>1177</v>
      </c>
      <c r="E2481" s="1" t="s">
        <v>6586</v>
      </c>
      <c r="F2481" s="1" t="e">
        <v>#N/A</v>
      </c>
      <c r="G2481" s="1" t="e">
        <v>#N/A</v>
      </c>
      <c r="H2481" t="e">
        <v>#N/A</v>
      </c>
      <c r="I2481" s="1" t="e">
        <v>#N/A</v>
      </c>
      <c r="J2481" s="1" t="e">
        <v>#N/A</v>
      </c>
      <c r="K2481" s="1" t="e">
        <v>#N/A</v>
      </c>
      <c r="L2481" s="1" t="e">
        <v>#N/A</v>
      </c>
      <c r="M2481" s="1" t="e">
        <v>#N/A</v>
      </c>
      <c r="N2481" s="1" t="e">
        <v>#N/A</v>
      </c>
      <c r="O2481" s="1" t="e">
        <v>#N/A</v>
      </c>
      <c r="P2481" s="1" t="e">
        <v>#N/A</v>
      </c>
      <c r="Q2481" s="1" t="e">
        <v>#N/A</v>
      </c>
      <c r="R2481" s="1">
        <f t="shared" si="724"/>
        <v>3</v>
      </c>
      <c r="S2481" s="1" t="str">
        <f t="shared" si="725"/>
        <v>&lt;4</v>
      </c>
      <c r="T2481" s="1" t="s">
        <v>19960</v>
      </c>
      <c r="U2481" s="1" t="s">
        <v>4</v>
      </c>
      <c r="V2481" s="1" t="s">
        <v>4867</v>
      </c>
      <c r="W2481" s="1"/>
    </row>
    <row r="2482" spans="1:23" x14ac:dyDescent="0.2">
      <c r="A2482" s="88" t="s">
        <v>17664</v>
      </c>
      <c r="B2482" s="1" t="e">
        <v>#N/A</v>
      </c>
      <c r="C2482" s="1" t="s">
        <v>10456</v>
      </c>
      <c r="D2482" s="1" t="s">
        <v>6587</v>
      </c>
      <c r="E2482" s="1" t="s">
        <v>6588</v>
      </c>
      <c r="F2482" s="1" t="s">
        <v>9333</v>
      </c>
      <c r="G2482" s="1" t="s">
        <v>8957</v>
      </c>
      <c r="H2482" t="s">
        <v>8959</v>
      </c>
      <c r="I2482" s="1" t="s">
        <v>8948</v>
      </c>
      <c r="J2482" s="1" t="s">
        <v>8949</v>
      </c>
      <c r="K2482" s="1" t="s">
        <v>10459</v>
      </c>
      <c r="L2482" s="1" t="s">
        <v>9076</v>
      </c>
      <c r="M2482" s="1">
        <v>6025</v>
      </c>
      <c r="N2482" s="1" t="s">
        <v>8953</v>
      </c>
      <c r="O2482" s="1" t="s">
        <v>8954</v>
      </c>
      <c r="P2482" s="1" t="s">
        <v>8955</v>
      </c>
      <c r="Q2482" s="1" t="s">
        <v>8956</v>
      </c>
      <c r="R2482" s="1" t="s">
        <v>8957</v>
      </c>
      <c r="S2482" s="1" t="s">
        <v>8958</v>
      </c>
      <c r="T2482" s="1" t="s">
        <v>6589</v>
      </c>
      <c r="U2482" s="1" t="s">
        <v>17</v>
      </c>
      <c r="V2482" s="1" t="s">
        <v>808</v>
      </c>
      <c r="W2482" s="1"/>
    </row>
    <row r="2483" spans="1:23" x14ac:dyDescent="0.2">
      <c r="A2483" s="89" t="s">
        <v>6590</v>
      </c>
      <c r="B2483" s="1" t="e">
        <v>#N/A</v>
      </c>
      <c r="C2483" s="1" t="e">
        <v>#N/A</v>
      </c>
      <c r="D2483" s="5" t="s">
        <v>6591</v>
      </c>
      <c r="E2483" s="1" t="s">
        <v>6592</v>
      </c>
      <c r="F2483" s="1" t="e">
        <v>#N/A</v>
      </c>
      <c r="G2483" s="1" t="e">
        <v>#N/A</v>
      </c>
      <c r="H2483" t="e">
        <v>#N/A</v>
      </c>
      <c r="I2483" s="1" t="e">
        <v>#N/A</v>
      </c>
      <c r="J2483" s="1" t="e">
        <v>#N/A</v>
      </c>
      <c r="K2483" s="1" t="e">
        <v>#N/A</v>
      </c>
      <c r="L2483" s="1" t="e">
        <v>#N/A</v>
      </c>
      <c r="M2483" s="1" t="e">
        <v>#N/A</v>
      </c>
      <c r="N2483" s="1" t="e">
        <v>#N/A</v>
      </c>
      <c r="O2483" s="1" t="e">
        <v>#N/A</v>
      </c>
      <c r="P2483" s="1" t="e">
        <v>#N/A</v>
      </c>
      <c r="Q2483" s="1" t="e">
        <v>#N/A</v>
      </c>
      <c r="R2483" s="1">
        <f>1+LEN(T2483)-LEN(SUBSTITUTE(T2483,",",))</f>
        <v>10</v>
      </c>
      <c r="S2483" s="1" t="str">
        <f>IF(R2483&gt;4,IF(R2483&lt;8,"4-7",IF(R2483&gt;7,"&gt;7")),"&lt;4")</f>
        <v>&gt;7</v>
      </c>
      <c r="T2483" s="1" t="s">
        <v>19961</v>
      </c>
      <c r="U2483" s="1" t="s">
        <v>17</v>
      </c>
      <c r="V2483" s="1" t="s">
        <v>1614</v>
      </c>
      <c r="W2483" s="1"/>
    </row>
    <row r="2484" spans="1:23" x14ac:dyDescent="0.2">
      <c r="A2484" s="88" t="s">
        <v>17665</v>
      </c>
      <c r="B2484" s="1" t="e">
        <v>#N/A</v>
      </c>
      <c r="C2484" s="1" t="s">
        <v>9249</v>
      </c>
      <c r="D2484" s="1" t="s">
        <v>6593</v>
      </c>
      <c r="E2484" s="1" t="s">
        <v>6594</v>
      </c>
      <c r="F2484" s="1" t="s">
        <v>9010</v>
      </c>
      <c r="G2484" s="1" t="s">
        <v>8957</v>
      </c>
      <c r="H2484" t="s">
        <v>9009</v>
      </c>
      <c r="I2484" s="1" t="s">
        <v>9252</v>
      </c>
      <c r="J2484" s="1" t="s">
        <v>9253</v>
      </c>
      <c r="K2484" s="1" t="s">
        <v>21390</v>
      </c>
      <c r="L2484" s="1" t="s">
        <v>8951</v>
      </c>
      <c r="M2484" s="1">
        <v>2478</v>
      </c>
      <c r="N2484" s="1" t="s">
        <v>8953</v>
      </c>
      <c r="O2484" s="1" t="s">
        <v>8989</v>
      </c>
      <c r="P2484" s="1" t="s">
        <v>8955</v>
      </c>
      <c r="Q2484" s="1" t="s">
        <v>8990</v>
      </c>
      <c r="R2484" s="1" t="s">
        <v>8957</v>
      </c>
      <c r="S2484" s="1" t="s">
        <v>8958</v>
      </c>
      <c r="T2484" s="1" t="s">
        <v>6595</v>
      </c>
      <c r="U2484" s="1" t="s">
        <v>17</v>
      </c>
      <c r="V2484" s="1" t="s">
        <v>24</v>
      </c>
      <c r="W2484" s="1"/>
    </row>
    <row r="2485" spans="1:23" x14ac:dyDescent="0.2">
      <c r="A2485" s="92" t="s">
        <v>17666</v>
      </c>
      <c r="B2485" s="1" t="e">
        <v>#N/A</v>
      </c>
      <c r="C2485" s="1" t="e">
        <v>#N/A</v>
      </c>
      <c r="D2485" s="1" t="s">
        <v>6596</v>
      </c>
      <c r="E2485" s="1" t="s">
        <v>6597</v>
      </c>
      <c r="F2485" s="1" t="e">
        <v>#N/A</v>
      </c>
      <c r="G2485" s="1" t="e">
        <v>#N/A</v>
      </c>
      <c r="H2485" t="e">
        <v>#N/A</v>
      </c>
      <c r="I2485" s="1" t="e">
        <v>#N/A</v>
      </c>
      <c r="J2485" s="1" t="e">
        <v>#N/A</v>
      </c>
      <c r="K2485" s="1" t="e">
        <v>#N/A</v>
      </c>
      <c r="L2485" s="1" t="e">
        <v>#N/A</v>
      </c>
      <c r="M2485" s="1" t="e">
        <v>#N/A</v>
      </c>
      <c r="N2485" s="1" t="e">
        <v>#N/A</v>
      </c>
      <c r="O2485" s="1" t="e">
        <v>#N/A</v>
      </c>
      <c r="P2485" s="1" t="e">
        <v>#N/A</v>
      </c>
      <c r="Q2485" s="1" t="e">
        <v>#N/A</v>
      </c>
      <c r="R2485" s="1">
        <f t="shared" ref="R2485:R2487" si="726">1+LEN(T2485)-LEN(SUBSTITUTE(T2485,",",))</f>
        <v>3</v>
      </c>
      <c r="S2485" s="1" t="str">
        <f t="shared" ref="S2485:S2487" si="727">IF(R2485&gt;4,IF(R2485&lt;8,"4-7",IF(R2485&gt;7,"&gt;7")),"&lt;4")</f>
        <v>&lt;4</v>
      </c>
      <c r="T2485" s="1" t="s">
        <v>19962</v>
      </c>
      <c r="U2485" s="1" t="s">
        <v>7</v>
      </c>
      <c r="V2485" s="1" t="s">
        <v>1328</v>
      </c>
      <c r="W2485" s="1"/>
    </row>
    <row r="2486" spans="1:23" x14ac:dyDescent="0.2">
      <c r="A2486" s="88" t="s">
        <v>17667</v>
      </c>
      <c r="B2486" s="1" t="e">
        <v>#N/A</v>
      </c>
      <c r="C2486" s="1" t="e">
        <v>#N/A</v>
      </c>
      <c r="D2486" s="1" t="s">
        <v>6598</v>
      </c>
      <c r="E2486" s="1" t="s">
        <v>6599</v>
      </c>
      <c r="F2486" s="1" t="s">
        <v>18502</v>
      </c>
      <c r="G2486" s="1" t="s">
        <v>8957</v>
      </c>
      <c r="H2486" t="s">
        <v>9061</v>
      </c>
      <c r="I2486" s="1" t="s">
        <v>20712</v>
      </c>
      <c r="J2486" s="1" t="s">
        <v>9155</v>
      </c>
      <c r="K2486" s="1" t="s">
        <v>18497</v>
      </c>
      <c r="L2486" s="1" t="s">
        <v>9076</v>
      </c>
      <c r="M2486" s="1">
        <f>3200</f>
        <v>3200</v>
      </c>
      <c r="N2486" s="1" t="s">
        <v>8953</v>
      </c>
      <c r="O2486" s="1" t="s">
        <v>8954</v>
      </c>
      <c r="P2486" s="1" t="e">
        <v>#N/A</v>
      </c>
      <c r="Q2486" s="1" t="e">
        <v>#N/A</v>
      </c>
      <c r="R2486" s="1">
        <f t="shared" si="726"/>
        <v>3</v>
      </c>
      <c r="S2486" s="1" t="str">
        <f t="shared" si="727"/>
        <v>&lt;4</v>
      </c>
      <c r="T2486" s="1" t="s">
        <v>19963</v>
      </c>
      <c r="U2486" s="1" t="s">
        <v>17</v>
      </c>
      <c r="V2486" s="1" t="s">
        <v>4369</v>
      </c>
      <c r="W2486" s="1"/>
    </row>
    <row r="2487" spans="1:23" x14ac:dyDescent="0.2">
      <c r="A2487" s="88" t="s">
        <v>17668</v>
      </c>
      <c r="B2487" s="1" t="e">
        <v>#N/A</v>
      </c>
      <c r="C2487" s="1" t="e">
        <v>#N/A</v>
      </c>
      <c r="D2487" s="1" t="s">
        <v>6600</v>
      </c>
      <c r="E2487" s="1" t="s">
        <v>6601</v>
      </c>
      <c r="F2487" s="1" t="s">
        <v>9310</v>
      </c>
      <c r="G2487" s="1" t="s">
        <v>8959</v>
      </c>
      <c r="H2487" t="s">
        <v>8959</v>
      </c>
      <c r="I2487" s="1" t="s">
        <v>9252</v>
      </c>
      <c r="J2487" s="1" t="s">
        <v>18504</v>
      </c>
      <c r="K2487" s="1" t="s">
        <v>18497</v>
      </c>
      <c r="L2487" s="1" t="s">
        <v>8951</v>
      </c>
      <c r="M2487" s="1">
        <f>107+1592</f>
        <v>1699</v>
      </c>
      <c r="N2487" s="1" t="s">
        <v>8953</v>
      </c>
      <c r="O2487" s="1" t="s">
        <v>8954</v>
      </c>
      <c r="P2487" s="1" t="e">
        <v>#N/A</v>
      </c>
      <c r="Q2487" s="1" t="e">
        <v>#N/A</v>
      </c>
      <c r="R2487" s="1">
        <f t="shared" si="726"/>
        <v>5</v>
      </c>
      <c r="S2487" s="1" t="str">
        <f t="shared" si="727"/>
        <v>4-7</v>
      </c>
      <c r="T2487" s="1" t="s">
        <v>19964</v>
      </c>
      <c r="U2487" s="1" t="s">
        <v>7</v>
      </c>
      <c r="V2487" s="1" t="s">
        <v>93</v>
      </c>
      <c r="W2487" s="1"/>
    </row>
    <row r="2488" spans="1:23" x14ac:dyDescent="0.2">
      <c r="A2488" s="88" t="s">
        <v>17669</v>
      </c>
      <c r="B2488" s="1" t="e">
        <v>#N/A</v>
      </c>
      <c r="C2488" s="1" t="s">
        <v>9305</v>
      </c>
      <c r="D2488" s="1" t="s">
        <v>6602</v>
      </c>
      <c r="E2488" s="1" t="s">
        <v>6603</v>
      </c>
      <c r="F2488" s="1" t="s">
        <v>9310</v>
      </c>
      <c r="G2488" s="1" t="s">
        <v>8957</v>
      </c>
      <c r="H2488" t="s">
        <v>8959</v>
      </c>
      <c r="I2488" s="1" t="s">
        <v>9252</v>
      </c>
      <c r="J2488" s="1" t="s">
        <v>9308</v>
      </c>
      <c r="K2488" s="1" t="s">
        <v>9309</v>
      </c>
      <c r="L2488" s="1" t="s">
        <v>8973</v>
      </c>
      <c r="M2488" s="1">
        <v>2606</v>
      </c>
      <c r="N2488" s="1" t="s">
        <v>8953</v>
      </c>
      <c r="O2488" s="1" t="s">
        <v>8954</v>
      </c>
      <c r="P2488" s="1" t="s">
        <v>8955</v>
      </c>
      <c r="Q2488" s="1" t="s">
        <v>8990</v>
      </c>
      <c r="R2488" s="1" t="s">
        <v>8957</v>
      </c>
      <c r="S2488" s="1" t="s">
        <v>8958</v>
      </c>
      <c r="T2488" s="1" t="s">
        <v>6604</v>
      </c>
      <c r="U2488" s="1" t="s">
        <v>17</v>
      </c>
      <c r="V2488" s="1" t="s">
        <v>184</v>
      </c>
      <c r="W2488" s="1"/>
    </row>
    <row r="2489" spans="1:23" x14ac:dyDescent="0.2">
      <c r="A2489" s="88" t="s">
        <v>17670</v>
      </c>
      <c r="B2489" s="1" t="e">
        <v>#N/A</v>
      </c>
      <c r="C2489" s="1" t="s">
        <v>10887</v>
      </c>
      <c r="D2489" s="1" t="s">
        <v>6605</v>
      </c>
      <c r="E2489" s="1" t="s">
        <v>6606</v>
      </c>
      <c r="F2489" s="1" t="s">
        <v>9310</v>
      </c>
      <c r="G2489" s="1" t="s">
        <v>8957</v>
      </c>
      <c r="H2489" t="s">
        <v>9183</v>
      </c>
      <c r="I2489" s="1" t="s">
        <v>9100</v>
      </c>
      <c r="J2489" s="1" t="s">
        <v>8949</v>
      </c>
      <c r="K2489" s="1" t="s">
        <v>10178</v>
      </c>
      <c r="L2489" s="1" t="s">
        <v>8951</v>
      </c>
      <c r="M2489" s="1">
        <v>165</v>
      </c>
      <c r="N2489" s="1" t="s">
        <v>8953</v>
      </c>
      <c r="O2489" s="1" t="s">
        <v>8989</v>
      </c>
      <c r="P2489" s="1" t="s">
        <v>8955</v>
      </c>
      <c r="Q2489" s="1" t="s">
        <v>8956</v>
      </c>
      <c r="R2489" s="1" t="s">
        <v>8957</v>
      </c>
      <c r="S2489" s="1" t="s">
        <v>8958</v>
      </c>
      <c r="T2489" s="1" t="s">
        <v>6607</v>
      </c>
      <c r="U2489" s="1" t="s">
        <v>11</v>
      </c>
      <c r="V2489" s="1" t="s">
        <v>46</v>
      </c>
      <c r="W2489" s="1"/>
    </row>
    <row r="2490" spans="1:23" x14ac:dyDescent="0.2">
      <c r="A2490" s="88" t="s">
        <v>17671</v>
      </c>
      <c r="B2490" s="1" t="e">
        <v>#N/A</v>
      </c>
      <c r="C2490" s="1" t="s">
        <v>9722</v>
      </c>
      <c r="D2490" s="1" t="s">
        <v>6608</v>
      </c>
      <c r="E2490" s="1" t="s">
        <v>6609</v>
      </c>
      <c r="F2490" s="1" t="s">
        <v>9310</v>
      </c>
      <c r="G2490" s="1" t="s">
        <v>8957</v>
      </c>
      <c r="H2490" t="s">
        <v>8959</v>
      </c>
      <c r="I2490" s="1" t="s">
        <v>9100</v>
      </c>
      <c r="J2490" s="1" t="s">
        <v>9725</v>
      </c>
      <c r="K2490" s="1" t="s">
        <v>12500</v>
      </c>
      <c r="L2490" s="1" t="s">
        <v>9133</v>
      </c>
      <c r="M2490" s="1">
        <v>220</v>
      </c>
      <c r="N2490" s="1" t="s">
        <v>9059</v>
      </c>
      <c r="O2490" s="1" t="s">
        <v>8954</v>
      </c>
      <c r="P2490" s="1" t="s">
        <v>8955</v>
      </c>
      <c r="Q2490" s="1" t="s">
        <v>8956</v>
      </c>
      <c r="R2490" s="1" t="s">
        <v>8957</v>
      </c>
      <c r="S2490" s="1" t="s">
        <v>8975</v>
      </c>
      <c r="T2490" s="1" t="s">
        <v>6610</v>
      </c>
      <c r="U2490" s="1" t="s">
        <v>17</v>
      </c>
      <c r="V2490" s="1" t="s">
        <v>938</v>
      </c>
      <c r="W2490" s="1"/>
    </row>
    <row r="2491" spans="1:23" x14ac:dyDescent="0.2">
      <c r="A2491" s="88" t="s">
        <v>17672</v>
      </c>
      <c r="B2491" s="1" t="e">
        <v>#N/A</v>
      </c>
      <c r="C2491" s="1" t="e">
        <v>#N/A</v>
      </c>
      <c r="D2491" s="1" t="s">
        <v>6611</v>
      </c>
      <c r="E2491" s="1" t="s">
        <v>6612</v>
      </c>
      <c r="F2491" s="1" t="s">
        <v>9310</v>
      </c>
      <c r="G2491" s="1" t="s">
        <v>9060</v>
      </c>
      <c r="H2491" t="s">
        <v>8959</v>
      </c>
      <c r="I2491" s="1" t="s">
        <v>9075</v>
      </c>
      <c r="J2491" s="1" t="s">
        <v>9155</v>
      </c>
      <c r="K2491" s="1" t="s">
        <v>21004</v>
      </c>
      <c r="L2491" s="1" t="s">
        <v>8987</v>
      </c>
      <c r="M2491" s="1">
        <v>1562</v>
      </c>
      <c r="N2491" s="1" t="s">
        <v>8953</v>
      </c>
      <c r="O2491" s="1" t="s">
        <v>8989</v>
      </c>
      <c r="P2491" s="1" t="e">
        <v>#N/A</v>
      </c>
      <c r="Q2491" s="1" t="e">
        <v>#N/A</v>
      </c>
      <c r="R2491" s="1">
        <f t="shared" ref="R2491:R2498" si="728">1+LEN(T2491)-LEN(SUBSTITUTE(T2491,",",))</f>
        <v>11</v>
      </c>
      <c r="S2491" s="1" t="str">
        <f t="shared" ref="S2491:S2498" si="729">IF(R2491&gt;4,IF(R2491&lt;8,"4-7",IF(R2491&gt;7,"&gt;7")),"&lt;4")</f>
        <v>&gt;7</v>
      </c>
      <c r="T2491" s="1" t="s">
        <v>19965</v>
      </c>
      <c r="U2491" s="1" t="s">
        <v>17</v>
      </c>
      <c r="V2491" s="1" t="s">
        <v>147</v>
      </c>
      <c r="W2491" s="1"/>
    </row>
    <row r="2492" spans="1:23" x14ac:dyDescent="0.2">
      <c r="A2492" s="88" t="s">
        <v>17673</v>
      </c>
      <c r="B2492" s="1" t="e">
        <v>#N/A</v>
      </c>
      <c r="C2492" s="1" t="e">
        <v>#N/A</v>
      </c>
      <c r="D2492" s="1" t="s">
        <v>6613</v>
      </c>
      <c r="E2492" s="1" t="s">
        <v>6614</v>
      </c>
      <c r="F2492" s="1" t="s">
        <v>9310</v>
      </c>
      <c r="G2492" s="1" t="s">
        <v>8957</v>
      </c>
      <c r="H2492" t="s">
        <v>9061</v>
      </c>
      <c r="I2492" s="1" t="s">
        <v>8948</v>
      </c>
      <c r="J2492" s="1" t="s">
        <v>9308</v>
      </c>
      <c r="K2492" s="1" t="s">
        <v>21003</v>
      </c>
      <c r="L2492" s="1" t="s">
        <v>9133</v>
      </c>
      <c r="M2492" s="1">
        <v>688</v>
      </c>
      <c r="N2492" s="1" t="s">
        <v>8953</v>
      </c>
      <c r="O2492" s="1" t="s">
        <v>8989</v>
      </c>
      <c r="P2492" s="1" t="e">
        <v>#N/A</v>
      </c>
      <c r="Q2492" s="1" t="e">
        <v>#N/A</v>
      </c>
      <c r="R2492" s="1">
        <f t="shared" si="728"/>
        <v>7</v>
      </c>
      <c r="S2492" s="1" t="str">
        <f t="shared" si="729"/>
        <v>4-7</v>
      </c>
      <c r="T2492" s="1" t="s">
        <v>19966</v>
      </c>
      <c r="U2492" s="1" t="s">
        <v>7</v>
      </c>
      <c r="V2492" s="1" t="s">
        <v>93</v>
      </c>
      <c r="W2492" s="1"/>
    </row>
    <row r="2493" spans="1:23" x14ac:dyDescent="0.2">
      <c r="A2493" s="88" t="s">
        <v>17674</v>
      </c>
      <c r="B2493" s="1" t="e">
        <v>#N/A</v>
      </c>
      <c r="C2493" s="1" t="e">
        <v>#N/A</v>
      </c>
      <c r="D2493" s="1" t="s">
        <v>6615</v>
      </c>
      <c r="E2493" s="1" t="s">
        <v>6616</v>
      </c>
      <c r="F2493" s="1" t="s">
        <v>18502</v>
      </c>
      <c r="G2493" s="1" t="s">
        <v>8959</v>
      </c>
      <c r="H2493" t="s">
        <v>8959</v>
      </c>
      <c r="I2493" s="1" t="s">
        <v>9252</v>
      </c>
      <c r="J2493" s="1" t="s">
        <v>18504</v>
      </c>
      <c r="K2493" s="1" t="s">
        <v>18497</v>
      </c>
      <c r="L2493" s="1" t="s">
        <v>8987</v>
      </c>
      <c r="M2493" s="1">
        <v>229426</v>
      </c>
      <c r="N2493" s="1" t="s">
        <v>8953</v>
      </c>
      <c r="O2493" s="1" t="s">
        <v>8989</v>
      </c>
      <c r="P2493" s="1" t="e">
        <v>#N/A</v>
      </c>
      <c r="Q2493" s="1" t="e">
        <v>#N/A</v>
      </c>
      <c r="R2493" s="1">
        <f t="shared" si="728"/>
        <v>8</v>
      </c>
      <c r="S2493" s="1" t="str">
        <f t="shared" si="729"/>
        <v>&gt;7</v>
      </c>
      <c r="T2493" s="1" t="s">
        <v>19967</v>
      </c>
      <c r="U2493" s="1" t="s">
        <v>17</v>
      </c>
      <c r="V2493" s="1" t="s">
        <v>1957</v>
      </c>
      <c r="W2493" s="1"/>
    </row>
    <row r="2494" spans="1:23" x14ac:dyDescent="0.2">
      <c r="A2494" s="88" t="s">
        <v>17675</v>
      </c>
      <c r="B2494" s="1" t="e">
        <v>#N/A</v>
      </c>
      <c r="C2494" s="1" t="e">
        <v>#N/A</v>
      </c>
      <c r="D2494" s="1" t="s">
        <v>6617</v>
      </c>
      <c r="E2494" s="1" t="s">
        <v>6618</v>
      </c>
      <c r="F2494" s="1" t="e">
        <v>#N/A</v>
      </c>
      <c r="G2494" s="1" t="e">
        <v>#N/A</v>
      </c>
      <c r="H2494" t="e">
        <v>#N/A</v>
      </c>
      <c r="I2494" s="1" t="e">
        <v>#N/A</v>
      </c>
      <c r="J2494" s="1" t="e">
        <v>#N/A</v>
      </c>
      <c r="K2494" s="1" t="e">
        <v>#N/A</v>
      </c>
      <c r="L2494" s="1" t="e">
        <v>#N/A</v>
      </c>
      <c r="M2494" s="1" t="e">
        <v>#N/A</v>
      </c>
      <c r="N2494" s="1" t="e">
        <v>#N/A</v>
      </c>
      <c r="O2494" s="1" t="e">
        <v>#N/A</v>
      </c>
      <c r="P2494" s="1" t="e">
        <v>#N/A</v>
      </c>
      <c r="Q2494" s="1" t="e">
        <v>#N/A</v>
      </c>
      <c r="R2494" s="1">
        <f t="shared" si="728"/>
        <v>11</v>
      </c>
      <c r="S2494" s="1" t="str">
        <f t="shared" si="729"/>
        <v>&gt;7</v>
      </c>
      <c r="T2494" s="1" t="s">
        <v>19968</v>
      </c>
      <c r="U2494" s="1" t="s">
        <v>252</v>
      </c>
      <c r="V2494" s="1" t="s">
        <v>126</v>
      </c>
      <c r="W2494" s="1"/>
    </row>
    <row r="2495" spans="1:23" x14ac:dyDescent="0.2">
      <c r="A2495" s="88" t="s">
        <v>17676</v>
      </c>
      <c r="B2495" s="1" t="e">
        <v>#N/A</v>
      </c>
      <c r="C2495" s="1" t="e">
        <v>#N/A</v>
      </c>
      <c r="D2495" s="1" t="s">
        <v>6619</v>
      </c>
      <c r="E2495" s="1" t="s">
        <v>6620</v>
      </c>
      <c r="F2495" s="1" t="s">
        <v>18502</v>
      </c>
      <c r="G2495" s="1" t="s">
        <v>8957</v>
      </c>
      <c r="H2495" t="s">
        <v>8959</v>
      </c>
      <c r="I2495" s="1" t="s">
        <v>9092</v>
      </c>
      <c r="J2495" s="1" t="s">
        <v>8949</v>
      </c>
      <c r="K2495" s="1" t="s">
        <v>10492</v>
      </c>
      <c r="L2495" s="1" t="s">
        <v>9464</v>
      </c>
      <c r="M2495" s="1">
        <v>22950</v>
      </c>
      <c r="N2495" s="1" t="s">
        <v>8953</v>
      </c>
      <c r="O2495" s="1" t="s">
        <v>8989</v>
      </c>
      <c r="P2495" s="1" t="e">
        <v>#N/A</v>
      </c>
      <c r="Q2495" s="1" t="e">
        <v>#N/A</v>
      </c>
      <c r="R2495" s="1">
        <f t="shared" si="728"/>
        <v>4</v>
      </c>
      <c r="S2495" s="1" t="str">
        <f t="shared" si="729"/>
        <v>&lt;4</v>
      </c>
      <c r="T2495" s="1" t="s">
        <v>19969</v>
      </c>
      <c r="U2495" s="1" t="s">
        <v>17</v>
      </c>
      <c r="V2495" s="1" t="s">
        <v>5497</v>
      </c>
      <c r="W2495" s="1"/>
    </row>
    <row r="2496" spans="1:23" x14ac:dyDescent="0.2">
      <c r="A2496" s="89" t="s">
        <v>6621</v>
      </c>
      <c r="B2496" s="1" t="e">
        <v>#N/A</v>
      </c>
      <c r="C2496" s="1" t="e">
        <v>#N/A</v>
      </c>
      <c r="D2496" s="5" t="s">
        <v>6622</v>
      </c>
      <c r="E2496" s="1" t="s">
        <v>6623</v>
      </c>
      <c r="F2496" s="1" t="e">
        <v>#N/A</v>
      </c>
      <c r="G2496" s="1" t="e">
        <v>#N/A</v>
      </c>
      <c r="H2496" t="e">
        <v>#N/A</v>
      </c>
      <c r="I2496" s="1" t="e">
        <v>#N/A</v>
      </c>
      <c r="J2496" s="1" t="e">
        <v>#N/A</v>
      </c>
      <c r="K2496" s="1" t="e">
        <v>#N/A</v>
      </c>
      <c r="L2496" s="1" t="e">
        <v>#N/A</v>
      </c>
      <c r="M2496" s="1" t="e">
        <v>#N/A</v>
      </c>
      <c r="N2496" s="1" t="e">
        <v>#N/A</v>
      </c>
      <c r="O2496" s="1" t="e">
        <v>#N/A</v>
      </c>
      <c r="P2496" s="1" t="e">
        <v>#N/A</v>
      </c>
      <c r="Q2496" s="1" t="e">
        <v>#N/A</v>
      </c>
      <c r="R2496" s="1">
        <f t="shared" si="728"/>
        <v>1</v>
      </c>
      <c r="S2496" s="1" t="str">
        <f t="shared" si="729"/>
        <v>&lt;4</v>
      </c>
      <c r="T2496" s="1" t="s">
        <v>6624</v>
      </c>
      <c r="U2496" s="1" t="s">
        <v>7</v>
      </c>
      <c r="V2496" s="1" t="s">
        <v>4890</v>
      </c>
      <c r="W2496" s="1"/>
    </row>
    <row r="2497" spans="1:23" x14ac:dyDescent="0.2">
      <c r="A2497" s="88" t="s">
        <v>17677</v>
      </c>
      <c r="B2497" s="1" t="e">
        <v>#N/A</v>
      </c>
      <c r="C2497" s="1" t="e">
        <v>#N/A</v>
      </c>
      <c r="D2497" s="1" t="s">
        <v>6625</v>
      </c>
      <c r="E2497" s="1" t="s">
        <v>6626</v>
      </c>
      <c r="F2497" s="1" t="s">
        <v>9387</v>
      </c>
      <c r="G2497" s="1" t="s">
        <v>8957</v>
      </c>
      <c r="H2497" t="s">
        <v>8959</v>
      </c>
      <c r="I2497" s="1" t="s">
        <v>9092</v>
      </c>
      <c r="J2497" s="1" t="s">
        <v>8998</v>
      </c>
      <c r="K2497" s="1" t="s">
        <v>10492</v>
      </c>
      <c r="L2497" s="1" t="s">
        <v>21010</v>
      </c>
      <c r="M2497" s="1">
        <v>50941</v>
      </c>
      <c r="N2497" s="1" t="s">
        <v>8953</v>
      </c>
      <c r="O2497" s="1" t="s">
        <v>8989</v>
      </c>
      <c r="P2497" s="1" t="e">
        <v>#N/A</v>
      </c>
      <c r="Q2497" s="1" t="e">
        <v>#N/A</v>
      </c>
      <c r="R2497" s="1">
        <f t="shared" si="728"/>
        <v>7</v>
      </c>
      <c r="S2497" s="1" t="str">
        <f t="shared" si="729"/>
        <v>4-7</v>
      </c>
      <c r="T2497" s="1" t="s">
        <v>19970</v>
      </c>
      <c r="U2497" s="1" t="s">
        <v>17</v>
      </c>
      <c r="V2497" s="1" t="s">
        <v>126</v>
      </c>
      <c r="W2497" s="1"/>
    </row>
    <row r="2498" spans="1:23" x14ac:dyDescent="0.2">
      <c r="A2498" s="88" t="s">
        <v>17678</v>
      </c>
      <c r="B2498" s="1" t="e">
        <v>#N/A</v>
      </c>
      <c r="C2498" s="1" t="e">
        <v>#N/A</v>
      </c>
      <c r="D2498" s="1" t="s">
        <v>6627</v>
      </c>
      <c r="E2498" s="1" t="s">
        <v>6628</v>
      </c>
      <c r="F2498" s="1" t="s">
        <v>18502</v>
      </c>
      <c r="G2498" s="1" t="s">
        <v>8957</v>
      </c>
      <c r="H2498" t="s">
        <v>9009</v>
      </c>
      <c r="I2498" s="1" t="s">
        <v>9154</v>
      </c>
      <c r="J2498" s="1" t="s">
        <v>8998</v>
      </c>
      <c r="K2498" s="1" t="s">
        <v>21005</v>
      </c>
      <c r="L2498" s="1" t="s">
        <v>9292</v>
      </c>
      <c r="M2498" s="1">
        <v>300</v>
      </c>
      <c r="N2498" s="1" t="s">
        <v>9059</v>
      </c>
      <c r="O2498" s="1" t="s">
        <v>8989</v>
      </c>
      <c r="P2498" s="1" t="e">
        <v>#N/A</v>
      </c>
      <c r="Q2498" s="1" t="e">
        <v>#N/A</v>
      </c>
      <c r="R2498" s="1">
        <f t="shared" si="728"/>
        <v>9</v>
      </c>
      <c r="S2498" s="1" t="str">
        <f t="shared" si="729"/>
        <v>&gt;7</v>
      </c>
      <c r="T2498" s="1" t="s">
        <v>19971</v>
      </c>
      <c r="U2498" s="1" t="s">
        <v>17</v>
      </c>
      <c r="V2498" s="1" t="s">
        <v>544</v>
      </c>
      <c r="W2498" s="1"/>
    </row>
    <row r="2499" spans="1:23" x14ac:dyDescent="0.2">
      <c r="A2499" s="88" t="s">
        <v>17679</v>
      </c>
      <c r="B2499" s="1" t="e">
        <v>#N/A</v>
      </c>
      <c r="C2499" s="1" t="s">
        <v>13018</v>
      </c>
      <c r="D2499" s="1" t="s">
        <v>6629</v>
      </c>
      <c r="E2499" s="1" t="s">
        <v>6630</v>
      </c>
      <c r="F2499" s="1" t="s">
        <v>9010</v>
      </c>
      <c r="G2499" s="1" t="s">
        <v>8957</v>
      </c>
      <c r="H2499" t="s">
        <v>8959</v>
      </c>
      <c r="I2499" s="1" t="s">
        <v>9252</v>
      </c>
      <c r="J2499" s="1" t="s">
        <v>9253</v>
      </c>
      <c r="K2499" s="1" t="s">
        <v>9036</v>
      </c>
      <c r="L2499" s="1" t="s">
        <v>8951</v>
      </c>
      <c r="M2499" s="1">
        <v>99</v>
      </c>
      <c r="N2499" s="1" t="s">
        <v>9059</v>
      </c>
      <c r="O2499" s="1" t="s">
        <v>8989</v>
      </c>
      <c r="P2499" s="1" t="s">
        <v>8955</v>
      </c>
      <c r="Q2499" s="1" t="s">
        <v>8956</v>
      </c>
      <c r="R2499" s="1" t="s">
        <v>8957</v>
      </c>
      <c r="S2499" s="1" t="s">
        <v>8975</v>
      </c>
      <c r="T2499" s="1" t="s">
        <v>6631</v>
      </c>
      <c r="U2499" s="1" t="s">
        <v>11</v>
      </c>
      <c r="V2499" s="1" t="s">
        <v>174</v>
      </c>
      <c r="W2499" s="1"/>
    </row>
    <row r="2500" spans="1:23" x14ac:dyDescent="0.2">
      <c r="A2500" s="88" t="s">
        <v>17680</v>
      </c>
      <c r="B2500" s="1" t="e">
        <v>#N/A</v>
      </c>
      <c r="C2500" s="1" t="e">
        <v>#N/A</v>
      </c>
      <c r="D2500" s="1" t="s">
        <v>6632</v>
      </c>
      <c r="E2500" s="1" t="s">
        <v>6633</v>
      </c>
      <c r="F2500" s="1" t="s">
        <v>9310</v>
      </c>
      <c r="G2500" s="1" t="s">
        <v>8957</v>
      </c>
      <c r="H2500" t="s">
        <v>8959</v>
      </c>
      <c r="I2500" s="1" t="s">
        <v>8984</v>
      </c>
      <c r="J2500" s="1" t="s">
        <v>9131</v>
      </c>
      <c r="K2500" s="1" t="s">
        <v>21007</v>
      </c>
      <c r="L2500" s="1" t="s">
        <v>21006</v>
      </c>
      <c r="M2500" s="1">
        <v>43</v>
      </c>
      <c r="N2500" s="1" t="s">
        <v>9059</v>
      </c>
      <c r="O2500" s="1" t="s">
        <v>8989</v>
      </c>
      <c r="P2500" s="1" t="e">
        <v>#N/A</v>
      </c>
      <c r="Q2500" s="1" t="e">
        <v>#N/A</v>
      </c>
      <c r="R2500" s="1">
        <f t="shared" ref="R2500:R2502" si="730">1+LEN(T2500)-LEN(SUBSTITUTE(T2500,",",))</f>
        <v>5</v>
      </c>
      <c r="S2500" s="1" t="str">
        <f t="shared" ref="S2500:S2502" si="731">IF(R2500&gt;4,IF(R2500&lt;8,"4-7",IF(R2500&gt;7,"&gt;7")),"&lt;4")</f>
        <v>4-7</v>
      </c>
      <c r="T2500" s="1" t="s">
        <v>19972</v>
      </c>
      <c r="U2500" s="1" t="s">
        <v>17</v>
      </c>
      <c r="V2500" s="1" t="s">
        <v>1010</v>
      </c>
      <c r="W2500" s="1"/>
    </row>
    <row r="2501" spans="1:23" x14ac:dyDescent="0.2">
      <c r="A2501" s="88" t="s">
        <v>17681</v>
      </c>
      <c r="B2501" s="1" t="e">
        <v>#N/A</v>
      </c>
      <c r="C2501" s="1" t="e">
        <v>#N/A</v>
      </c>
      <c r="D2501" s="1" t="s">
        <v>6634</v>
      </c>
      <c r="E2501" s="1" t="s">
        <v>6635</v>
      </c>
      <c r="F2501" s="1" t="s">
        <v>9310</v>
      </c>
      <c r="G2501" s="1" t="s">
        <v>8957</v>
      </c>
      <c r="H2501" t="s">
        <v>8959</v>
      </c>
      <c r="I2501" s="1" t="s">
        <v>20714</v>
      </c>
      <c r="J2501" s="1" t="s">
        <v>20725</v>
      </c>
      <c r="K2501" s="1" t="s">
        <v>21005</v>
      </c>
      <c r="L2501" s="1" t="s">
        <v>9464</v>
      </c>
      <c r="M2501" s="1">
        <v>90112</v>
      </c>
      <c r="N2501" s="1" t="s">
        <v>20915</v>
      </c>
      <c r="O2501" s="1" t="s">
        <v>8989</v>
      </c>
      <c r="P2501" s="1" t="e">
        <v>#N/A</v>
      </c>
      <c r="Q2501" s="1" t="e">
        <v>#N/A</v>
      </c>
      <c r="R2501" s="1">
        <f t="shared" si="730"/>
        <v>7</v>
      </c>
      <c r="S2501" s="1" t="str">
        <f t="shared" si="731"/>
        <v>4-7</v>
      </c>
      <c r="T2501" s="1" t="s">
        <v>19973</v>
      </c>
      <c r="U2501" s="1" t="s">
        <v>17</v>
      </c>
      <c r="V2501" s="1" t="s">
        <v>378</v>
      </c>
      <c r="W2501" s="1"/>
    </row>
    <row r="2502" spans="1:23" x14ac:dyDescent="0.2">
      <c r="A2502" s="88" t="s">
        <v>17682</v>
      </c>
      <c r="B2502" s="1" t="e">
        <v>#N/A</v>
      </c>
      <c r="C2502" s="1" t="e">
        <v>#N/A</v>
      </c>
      <c r="D2502" s="1" t="s">
        <v>6636</v>
      </c>
      <c r="E2502" s="1" t="s">
        <v>6637</v>
      </c>
      <c r="F2502" s="1" t="s">
        <v>9310</v>
      </c>
      <c r="G2502" s="1" t="s">
        <v>8957</v>
      </c>
      <c r="H2502" t="s">
        <v>8959</v>
      </c>
      <c r="I2502" s="1" t="s">
        <v>9943</v>
      </c>
      <c r="J2502" s="1" t="s">
        <v>8971</v>
      </c>
      <c r="K2502" s="1" t="s">
        <v>21008</v>
      </c>
      <c r="L2502" s="1" t="s">
        <v>8987</v>
      </c>
      <c r="M2502" s="1">
        <v>1937</v>
      </c>
      <c r="N2502" s="1" t="s">
        <v>8953</v>
      </c>
      <c r="O2502" s="1" t="s">
        <v>8989</v>
      </c>
      <c r="P2502" s="1" t="e">
        <v>#N/A</v>
      </c>
      <c r="Q2502" s="1" t="e">
        <v>#N/A</v>
      </c>
      <c r="R2502" s="1">
        <f t="shared" si="730"/>
        <v>9</v>
      </c>
      <c r="S2502" s="1" t="str">
        <f t="shared" si="731"/>
        <v>&gt;7</v>
      </c>
      <c r="T2502" s="1" t="s">
        <v>19974</v>
      </c>
      <c r="U2502" s="1" t="s">
        <v>7</v>
      </c>
      <c r="V2502" s="1" t="s">
        <v>184</v>
      </c>
      <c r="W2502" s="1"/>
    </row>
    <row r="2503" spans="1:23" x14ac:dyDescent="0.2">
      <c r="A2503" s="88" t="s">
        <v>17683</v>
      </c>
      <c r="B2503" s="1" t="e">
        <v>#N/A</v>
      </c>
      <c r="C2503" s="1" t="s">
        <v>12961</v>
      </c>
      <c r="D2503" s="1" t="s">
        <v>6638</v>
      </c>
      <c r="E2503" s="1" t="s">
        <v>6639</v>
      </c>
      <c r="F2503" s="1" t="s">
        <v>9010</v>
      </c>
      <c r="G2503" s="1" t="s">
        <v>8957</v>
      </c>
      <c r="H2503" t="s">
        <v>8959</v>
      </c>
      <c r="I2503" s="1" t="s">
        <v>8948</v>
      </c>
      <c r="J2503" s="1" t="s">
        <v>8949</v>
      </c>
      <c r="K2503" s="1" t="s">
        <v>9679</v>
      </c>
      <c r="L2503" s="1" t="s">
        <v>9464</v>
      </c>
      <c r="M2503" s="1">
        <v>9300</v>
      </c>
      <c r="N2503" s="1" t="s">
        <v>8953</v>
      </c>
      <c r="O2503" s="1" t="s">
        <v>8954</v>
      </c>
      <c r="P2503" s="1" t="s">
        <v>8955</v>
      </c>
      <c r="Q2503" s="1" t="s">
        <v>8956</v>
      </c>
      <c r="R2503" s="1" t="s">
        <v>8957</v>
      </c>
      <c r="S2503" s="1" t="s">
        <v>8958</v>
      </c>
      <c r="T2503" s="1" t="s">
        <v>6640</v>
      </c>
      <c r="U2503" s="1" t="s">
        <v>11</v>
      </c>
      <c r="V2503" s="1" t="s">
        <v>2988</v>
      </c>
      <c r="W2503" s="1"/>
    </row>
    <row r="2504" spans="1:23" x14ac:dyDescent="0.2">
      <c r="A2504" s="88" t="s">
        <v>17684</v>
      </c>
      <c r="B2504" s="1" t="e">
        <v>#N/A</v>
      </c>
      <c r="C2504" s="1" t="s">
        <v>14295</v>
      </c>
      <c r="D2504" s="1" t="s">
        <v>6641</v>
      </c>
      <c r="E2504" s="1" t="s">
        <v>6642</v>
      </c>
      <c r="F2504" s="1" t="s">
        <v>9310</v>
      </c>
      <c r="G2504" s="1" t="s">
        <v>8957</v>
      </c>
      <c r="H2504" t="s">
        <v>9009</v>
      </c>
      <c r="I2504" s="1" t="s">
        <v>9605</v>
      </c>
      <c r="J2504" s="1" t="s">
        <v>9422</v>
      </c>
      <c r="K2504" s="1" t="s">
        <v>21469</v>
      </c>
      <c r="L2504" s="1" t="s">
        <v>8987</v>
      </c>
      <c r="M2504" s="1">
        <v>166</v>
      </c>
      <c r="N2504" s="1" t="s">
        <v>8953</v>
      </c>
      <c r="O2504" s="1" t="s">
        <v>8954</v>
      </c>
      <c r="P2504" s="1" t="s">
        <v>8955</v>
      </c>
      <c r="Q2504" s="1" t="s">
        <v>8956</v>
      </c>
      <c r="R2504" s="1" t="s">
        <v>8957</v>
      </c>
      <c r="S2504" s="1" t="s">
        <v>8958</v>
      </c>
      <c r="T2504" s="1" t="s">
        <v>6643</v>
      </c>
      <c r="U2504" s="1" t="s">
        <v>4</v>
      </c>
      <c r="V2504" s="1" t="s">
        <v>27</v>
      </c>
      <c r="W2504" s="1"/>
    </row>
    <row r="2505" spans="1:23" x14ac:dyDescent="0.2">
      <c r="A2505" s="88" t="s">
        <v>17685</v>
      </c>
      <c r="B2505" s="1" t="e">
        <v>#N/A</v>
      </c>
      <c r="C2505" s="1" t="s">
        <v>14143</v>
      </c>
      <c r="D2505" s="1" t="s">
        <v>6644</v>
      </c>
      <c r="E2505" s="1" t="s">
        <v>6645</v>
      </c>
      <c r="F2505" s="1" t="s">
        <v>9310</v>
      </c>
      <c r="G2505" s="1" t="s">
        <v>8957</v>
      </c>
      <c r="H2505" t="s">
        <v>8959</v>
      </c>
      <c r="I2505" s="1" t="s">
        <v>9100</v>
      </c>
      <c r="J2505" s="1" t="s">
        <v>9155</v>
      </c>
      <c r="K2505" s="1" t="s">
        <v>21470</v>
      </c>
      <c r="L2505" s="1" t="s">
        <v>8987</v>
      </c>
      <c r="M2505" s="1">
        <v>152</v>
      </c>
      <c r="N2505" s="1" t="s">
        <v>9059</v>
      </c>
      <c r="O2505" s="1" t="s">
        <v>8989</v>
      </c>
      <c r="P2505" s="1" t="s">
        <v>8955</v>
      </c>
      <c r="Q2505" s="1" t="s">
        <v>8956</v>
      </c>
      <c r="R2505" s="1" t="s">
        <v>8957</v>
      </c>
      <c r="S2505" s="1" t="s">
        <v>8958</v>
      </c>
      <c r="T2505" s="1" t="s">
        <v>6646</v>
      </c>
      <c r="U2505" s="1" t="s">
        <v>11</v>
      </c>
      <c r="V2505" s="1" t="s">
        <v>27</v>
      </c>
      <c r="W2505" s="1"/>
    </row>
    <row r="2506" spans="1:23" x14ac:dyDescent="0.2">
      <c r="A2506" s="88" t="s">
        <v>17686</v>
      </c>
      <c r="B2506" s="1" t="e">
        <v>#N/A</v>
      </c>
      <c r="C2506" s="1" t="s">
        <v>14992</v>
      </c>
      <c r="D2506" s="1" t="s">
        <v>6647</v>
      </c>
      <c r="E2506" s="1" t="s">
        <v>6648</v>
      </c>
      <c r="F2506" s="1" t="s">
        <v>9310</v>
      </c>
      <c r="G2506" s="1" t="s">
        <v>8957</v>
      </c>
      <c r="H2506" t="s">
        <v>9061</v>
      </c>
      <c r="I2506" s="1" t="s">
        <v>8984</v>
      </c>
      <c r="J2506" s="1" t="s">
        <v>8949</v>
      </c>
      <c r="K2506" s="1" t="s">
        <v>9036</v>
      </c>
      <c r="L2506" s="1" t="s">
        <v>9157</v>
      </c>
      <c r="M2506" s="1">
        <v>86</v>
      </c>
      <c r="N2506" s="1" t="s">
        <v>8953</v>
      </c>
      <c r="O2506" s="1" t="s">
        <v>8989</v>
      </c>
      <c r="P2506" s="1" t="s">
        <v>8955</v>
      </c>
      <c r="Q2506" s="1" t="s">
        <v>8956</v>
      </c>
      <c r="R2506" s="1" t="s">
        <v>8957</v>
      </c>
      <c r="S2506" s="1" t="s">
        <v>8975</v>
      </c>
      <c r="T2506" s="1" t="s">
        <v>6649</v>
      </c>
      <c r="U2506" s="1" t="s">
        <v>17</v>
      </c>
      <c r="V2506" s="1" t="s">
        <v>21</v>
      </c>
      <c r="W2506" s="1"/>
    </row>
    <row r="2507" spans="1:23" x14ac:dyDescent="0.2">
      <c r="A2507" s="88" t="s">
        <v>17687</v>
      </c>
      <c r="B2507" s="1" t="e">
        <v>#N/A</v>
      </c>
      <c r="C2507" s="1" t="e">
        <v>#N/A</v>
      </c>
      <c r="D2507" s="1" t="s">
        <v>6650</v>
      </c>
      <c r="E2507" s="1" t="s">
        <v>6651</v>
      </c>
      <c r="F2507" s="1" t="s">
        <v>9310</v>
      </c>
      <c r="G2507" s="1" t="s">
        <v>8959</v>
      </c>
      <c r="H2507" t="s">
        <v>9061</v>
      </c>
      <c r="I2507" s="1" t="s">
        <v>9100</v>
      </c>
      <c r="J2507" s="1" t="s">
        <v>8998</v>
      </c>
      <c r="K2507" s="1" t="s">
        <v>10492</v>
      </c>
      <c r="L2507" s="1" t="s">
        <v>8951</v>
      </c>
      <c r="M2507" s="1">
        <v>16975</v>
      </c>
      <c r="N2507" s="1" t="s">
        <v>8953</v>
      </c>
      <c r="O2507" s="1" t="s">
        <v>8954</v>
      </c>
      <c r="P2507" s="1" t="e">
        <v>#N/A</v>
      </c>
      <c r="Q2507" s="1" t="e">
        <v>#N/A</v>
      </c>
      <c r="R2507" s="1">
        <f>1+LEN(T2507)-LEN(SUBSTITUTE(T2507,",",))</f>
        <v>24</v>
      </c>
      <c r="S2507" s="1" t="str">
        <f>IF(R2507&gt;4,IF(R2507&lt;8,"4-7",IF(R2507&gt;7,"&gt;7")),"&lt;4")</f>
        <v>&gt;7</v>
      </c>
      <c r="T2507" s="1" t="s">
        <v>19975</v>
      </c>
      <c r="U2507" s="1" t="s">
        <v>7</v>
      </c>
      <c r="V2507" s="1" t="s">
        <v>580</v>
      </c>
      <c r="W2507" s="1"/>
    </row>
    <row r="2508" spans="1:23" x14ac:dyDescent="0.2">
      <c r="A2508" s="88" t="s">
        <v>17688</v>
      </c>
      <c r="B2508" s="1" t="e">
        <v>#N/A</v>
      </c>
      <c r="C2508" s="1" t="s">
        <v>15322</v>
      </c>
      <c r="D2508" s="1" t="s">
        <v>6652</v>
      </c>
      <c r="E2508" s="1" t="s">
        <v>6653</v>
      </c>
      <c r="F2508" s="1" t="s">
        <v>9333</v>
      </c>
      <c r="G2508" s="1" t="s">
        <v>8957</v>
      </c>
      <c r="H2508" t="s">
        <v>8959</v>
      </c>
      <c r="I2508" s="1" t="s">
        <v>9049</v>
      </c>
      <c r="J2508" s="1" t="s">
        <v>9050</v>
      </c>
      <c r="K2508" s="1" t="s">
        <v>10258</v>
      </c>
      <c r="L2508" s="1" t="s">
        <v>9292</v>
      </c>
      <c r="M2508" s="1">
        <v>17364</v>
      </c>
      <c r="N2508" s="1" t="s">
        <v>8953</v>
      </c>
      <c r="O2508" s="1" t="s">
        <v>8954</v>
      </c>
      <c r="P2508" s="1" t="s">
        <v>8955</v>
      </c>
      <c r="Q2508" s="1" t="s">
        <v>8956</v>
      </c>
      <c r="R2508" s="1" t="s">
        <v>8957</v>
      </c>
      <c r="S2508" s="1" t="s">
        <v>8958</v>
      </c>
      <c r="T2508" s="1" t="s">
        <v>6654</v>
      </c>
      <c r="U2508" s="1" t="s">
        <v>11</v>
      </c>
      <c r="V2508" s="1" t="s">
        <v>24</v>
      </c>
      <c r="W2508" s="1"/>
    </row>
    <row r="2509" spans="1:23" x14ac:dyDescent="0.2">
      <c r="A2509" s="88" t="s">
        <v>17689</v>
      </c>
      <c r="B2509" s="1" t="e">
        <v>#N/A</v>
      </c>
      <c r="C2509" s="1" t="e">
        <v>#N/A</v>
      </c>
      <c r="D2509" s="1" t="s">
        <v>6655</v>
      </c>
      <c r="E2509" s="1" t="s">
        <v>6656</v>
      </c>
      <c r="F2509" s="1" t="s">
        <v>9213</v>
      </c>
      <c r="G2509" s="1" t="s">
        <v>8957</v>
      </c>
      <c r="H2509" t="s">
        <v>21009</v>
      </c>
      <c r="I2509" s="1" t="s">
        <v>9092</v>
      </c>
      <c r="J2509" s="1" t="s">
        <v>8949</v>
      </c>
      <c r="K2509" s="1" t="s">
        <v>18497</v>
      </c>
      <c r="L2509" s="1" t="s">
        <v>8987</v>
      </c>
      <c r="M2509" s="1">
        <v>2124</v>
      </c>
      <c r="N2509" s="1" t="s">
        <v>9059</v>
      </c>
      <c r="O2509" s="1" t="s">
        <v>8989</v>
      </c>
      <c r="P2509" s="1" t="e">
        <v>#N/A</v>
      </c>
      <c r="Q2509" s="1" t="e">
        <v>#N/A</v>
      </c>
      <c r="R2509" s="1">
        <f t="shared" ref="R2509:R2510" si="732">1+LEN(T2509)-LEN(SUBSTITUTE(T2509,",",))</f>
        <v>7</v>
      </c>
      <c r="S2509" s="1" t="str">
        <f t="shared" ref="S2509:S2510" si="733">IF(R2509&gt;4,IF(R2509&lt;8,"4-7",IF(R2509&gt;7,"&gt;7")),"&lt;4")</f>
        <v>4-7</v>
      </c>
      <c r="T2509" s="1" t="s">
        <v>19976</v>
      </c>
      <c r="U2509" s="1" t="s">
        <v>7</v>
      </c>
      <c r="V2509" s="1" t="s">
        <v>24</v>
      </c>
      <c r="W2509" s="1"/>
    </row>
    <row r="2510" spans="1:23" x14ac:dyDescent="0.2">
      <c r="A2510" s="88" t="s">
        <v>17690</v>
      </c>
      <c r="B2510" s="1" t="e">
        <v>#N/A</v>
      </c>
      <c r="C2510" s="1" t="e">
        <v>#N/A</v>
      </c>
      <c r="D2510" s="1" t="s">
        <v>6657</v>
      </c>
      <c r="E2510" s="1" t="s">
        <v>6658</v>
      </c>
      <c r="F2510" s="1" t="s">
        <v>9333</v>
      </c>
      <c r="G2510" s="1" t="s">
        <v>8974</v>
      </c>
      <c r="H2510" t="s">
        <v>8959</v>
      </c>
      <c r="I2510" s="1" t="s">
        <v>9092</v>
      </c>
      <c r="J2510" s="1" t="s">
        <v>8959</v>
      </c>
      <c r="K2510" s="1" t="s">
        <v>10492</v>
      </c>
      <c r="L2510" s="1" t="s">
        <v>8951</v>
      </c>
      <c r="M2510" s="1">
        <v>246</v>
      </c>
      <c r="N2510" s="1" t="s">
        <v>8953</v>
      </c>
      <c r="O2510" s="1" t="s">
        <v>8954</v>
      </c>
      <c r="P2510" s="1" t="e">
        <v>#N/A</v>
      </c>
      <c r="Q2510" s="1" t="e">
        <v>#N/A</v>
      </c>
      <c r="R2510" s="1">
        <f t="shared" si="732"/>
        <v>8</v>
      </c>
      <c r="S2510" s="1" t="str">
        <f t="shared" si="733"/>
        <v>&gt;7</v>
      </c>
      <c r="T2510" s="1" t="s">
        <v>19977</v>
      </c>
      <c r="U2510" s="1" t="s">
        <v>7</v>
      </c>
      <c r="V2510" s="1" t="s">
        <v>64</v>
      </c>
      <c r="W2510" s="1"/>
    </row>
    <row r="2511" spans="1:23" x14ac:dyDescent="0.2">
      <c r="A2511" s="88" t="s">
        <v>17691</v>
      </c>
      <c r="B2511" s="1" t="e">
        <v>#N/A</v>
      </c>
      <c r="C2511" s="1" t="s">
        <v>14634</v>
      </c>
      <c r="D2511" s="1" t="s">
        <v>6659</v>
      </c>
      <c r="E2511" s="1" t="s">
        <v>6660</v>
      </c>
      <c r="F2511" s="1" t="s">
        <v>10873</v>
      </c>
      <c r="G2511" s="1" t="s">
        <v>8957</v>
      </c>
      <c r="H2511" t="s">
        <v>9009</v>
      </c>
      <c r="I2511" s="1" t="s">
        <v>9605</v>
      </c>
      <c r="J2511" s="1" t="s">
        <v>8949</v>
      </c>
      <c r="K2511" s="1" t="s">
        <v>21462</v>
      </c>
      <c r="L2511" s="1" t="s">
        <v>8951</v>
      </c>
      <c r="M2511" s="1">
        <v>78</v>
      </c>
      <c r="N2511" s="1" t="s">
        <v>9059</v>
      </c>
      <c r="O2511" s="1" t="s">
        <v>8954</v>
      </c>
      <c r="P2511" s="1" t="s">
        <v>8955</v>
      </c>
      <c r="Q2511" s="1" t="s">
        <v>8956</v>
      </c>
      <c r="R2511" s="1" t="s">
        <v>8957</v>
      </c>
      <c r="S2511" s="1" t="s">
        <v>8958</v>
      </c>
      <c r="T2511" s="1" t="s">
        <v>6661</v>
      </c>
      <c r="U2511" s="1" t="s">
        <v>920</v>
      </c>
      <c r="V2511" s="1" t="s">
        <v>1110</v>
      </c>
      <c r="W2511" s="1"/>
    </row>
    <row r="2512" spans="1:23" x14ac:dyDescent="0.2">
      <c r="A2512" s="88" t="s">
        <v>17692</v>
      </c>
      <c r="B2512" s="1" t="e">
        <v>#N/A</v>
      </c>
      <c r="C2512" s="1" t="e">
        <v>#N/A</v>
      </c>
      <c r="D2512" s="1" t="s">
        <v>6662</v>
      </c>
      <c r="E2512" s="1" t="s">
        <v>6663</v>
      </c>
      <c r="F2512" s="1" t="e">
        <v>#N/A</v>
      </c>
      <c r="G2512" s="1" t="e">
        <v>#N/A</v>
      </c>
      <c r="H2512" t="e">
        <v>#N/A</v>
      </c>
      <c r="I2512" s="1" t="e">
        <v>#N/A</v>
      </c>
      <c r="J2512" s="1" t="e">
        <v>#N/A</v>
      </c>
      <c r="K2512" s="1" t="e">
        <v>#N/A</v>
      </c>
      <c r="L2512" s="1" t="e">
        <v>#N/A</v>
      </c>
      <c r="M2512" s="1" t="e">
        <v>#N/A</v>
      </c>
      <c r="N2512" s="1" t="e">
        <v>#N/A</v>
      </c>
      <c r="O2512" s="1" t="e">
        <v>#N/A</v>
      </c>
      <c r="P2512" s="1" t="e">
        <v>#N/A</v>
      </c>
      <c r="Q2512" s="1" t="e">
        <v>#N/A</v>
      </c>
      <c r="R2512" s="1">
        <f t="shared" ref="R2512:R2513" si="734">1+LEN(T2512)-LEN(SUBSTITUTE(T2512,",",))</f>
        <v>7</v>
      </c>
      <c r="S2512" s="1" t="str">
        <f t="shared" ref="S2512:S2513" si="735">IF(R2512&gt;4,IF(R2512&lt;8,"4-7",IF(R2512&gt;7,"&gt;7")),"&lt;4")</f>
        <v>4-7</v>
      </c>
      <c r="T2512" s="1" t="s">
        <v>19978</v>
      </c>
      <c r="U2512" s="1" t="s">
        <v>252</v>
      </c>
      <c r="V2512" s="1" t="s">
        <v>184</v>
      </c>
      <c r="W2512" s="1"/>
    </row>
    <row r="2513" spans="1:23" x14ac:dyDescent="0.2">
      <c r="A2513" s="88" t="s">
        <v>17693</v>
      </c>
      <c r="B2513" s="1" t="e">
        <v>#N/A</v>
      </c>
      <c r="C2513" s="1" t="e">
        <v>#N/A</v>
      </c>
      <c r="D2513" s="1" t="s">
        <v>6664</v>
      </c>
      <c r="E2513" s="1" t="s">
        <v>6665</v>
      </c>
      <c r="F2513" s="1" t="s">
        <v>9213</v>
      </c>
      <c r="G2513" s="1" t="s">
        <v>8959</v>
      </c>
      <c r="H2513" t="s">
        <v>8959</v>
      </c>
      <c r="I2513" s="1" t="s">
        <v>20712</v>
      </c>
      <c r="J2513" s="1" t="s">
        <v>9155</v>
      </c>
      <c r="K2513" s="1" t="s">
        <v>10525</v>
      </c>
      <c r="L2513" s="1" t="s">
        <v>8973</v>
      </c>
      <c r="M2513" s="1">
        <v>3137</v>
      </c>
      <c r="N2513" s="1" t="s">
        <v>8953</v>
      </c>
      <c r="O2513" s="1" t="s">
        <v>8954</v>
      </c>
      <c r="P2513" s="1" t="e">
        <v>#N/A</v>
      </c>
      <c r="Q2513" s="1" t="e">
        <v>#N/A</v>
      </c>
      <c r="R2513" s="1">
        <f t="shared" si="734"/>
        <v>4</v>
      </c>
      <c r="S2513" s="1" t="str">
        <f t="shared" si="735"/>
        <v>&lt;4</v>
      </c>
      <c r="T2513" s="1" t="s">
        <v>19979</v>
      </c>
      <c r="U2513" s="1" t="s">
        <v>17</v>
      </c>
      <c r="V2513" s="1" t="s">
        <v>126</v>
      </c>
      <c r="W2513" s="1"/>
    </row>
    <row r="2514" spans="1:23" x14ac:dyDescent="0.2">
      <c r="A2514" s="88" t="s">
        <v>17694</v>
      </c>
      <c r="B2514" s="1" t="e">
        <v>#N/A</v>
      </c>
      <c r="C2514" s="1" t="s">
        <v>11592</v>
      </c>
      <c r="D2514" s="1" t="s">
        <v>6666</v>
      </c>
      <c r="E2514" s="1" t="s">
        <v>6667</v>
      </c>
      <c r="F2514" s="1" t="s">
        <v>9630</v>
      </c>
      <c r="G2514" s="1" t="s">
        <v>8957</v>
      </c>
      <c r="H2514" t="s">
        <v>9183</v>
      </c>
      <c r="I2514" s="1" t="s">
        <v>8984</v>
      </c>
      <c r="J2514" s="1" t="s">
        <v>9121</v>
      </c>
      <c r="K2514" s="1" t="s">
        <v>9036</v>
      </c>
      <c r="L2514" s="1" t="s">
        <v>8951</v>
      </c>
      <c r="M2514" s="1">
        <v>366</v>
      </c>
      <c r="N2514" s="1" t="s">
        <v>8953</v>
      </c>
      <c r="O2514" s="1" t="s">
        <v>8954</v>
      </c>
      <c r="P2514" s="1" t="s">
        <v>8955</v>
      </c>
      <c r="Q2514" s="1" t="s">
        <v>8956</v>
      </c>
      <c r="R2514" s="1" t="s">
        <v>8957</v>
      </c>
      <c r="S2514" s="1" t="s">
        <v>9103</v>
      </c>
      <c r="T2514" s="1" t="s">
        <v>6668</v>
      </c>
      <c r="U2514" s="1" t="s">
        <v>11</v>
      </c>
      <c r="V2514" s="1" t="s">
        <v>43</v>
      </c>
      <c r="W2514" s="1"/>
    </row>
    <row r="2515" spans="1:23" x14ac:dyDescent="0.2">
      <c r="A2515" s="88" t="s">
        <v>17695</v>
      </c>
      <c r="B2515" s="1" t="e">
        <v>#N/A</v>
      </c>
      <c r="C2515" s="1" t="e">
        <v>#N/A</v>
      </c>
      <c r="D2515" s="1" t="s">
        <v>6669</v>
      </c>
      <c r="E2515" s="1" t="s">
        <v>6670</v>
      </c>
      <c r="F2515" s="1" t="s">
        <v>9213</v>
      </c>
      <c r="G2515" s="1" t="s">
        <v>8957</v>
      </c>
      <c r="H2515" t="s">
        <v>9061</v>
      </c>
      <c r="I2515" s="1" t="s">
        <v>8984</v>
      </c>
      <c r="J2515" s="1" t="s">
        <v>8998</v>
      </c>
      <c r="K2515" s="1" t="s">
        <v>21005</v>
      </c>
      <c r="L2515" s="1" t="s">
        <v>9076</v>
      </c>
      <c r="M2515" s="1">
        <v>118</v>
      </c>
      <c r="N2515" s="1" t="s">
        <v>9059</v>
      </c>
      <c r="O2515" s="1" t="s">
        <v>8989</v>
      </c>
      <c r="P2515" s="1" t="e">
        <v>#N/A</v>
      </c>
      <c r="Q2515" s="1" t="e">
        <v>#N/A</v>
      </c>
      <c r="R2515" s="1">
        <f t="shared" ref="R2515:R2520" si="736">1+LEN(T2515)-LEN(SUBSTITUTE(T2515,",",))</f>
        <v>8</v>
      </c>
      <c r="S2515" s="1" t="str">
        <f t="shared" ref="S2515:S2520" si="737">IF(R2515&gt;4,IF(R2515&lt;8,"4-7",IF(R2515&gt;7,"&gt;7")),"&lt;4")</f>
        <v>&gt;7</v>
      </c>
      <c r="T2515" s="1" t="s">
        <v>19980</v>
      </c>
      <c r="U2515" s="1" t="s">
        <v>7</v>
      </c>
      <c r="V2515" s="1" t="s">
        <v>138</v>
      </c>
      <c r="W2515" s="1"/>
    </row>
    <row r="2516" spans="1:23" x14ac:dyDescent="0.2">
      <c r="A2516" s="88" t="s">
        <v>17696</v>
      </c>
      <c r="B2516" s="1" t="e">
        <v>#N/A</v>
      </c>
      <c r="C2516" s="1" t="e">
        <v>#N/A</v>
      </c>
      <c r="D2516" s="1" t="s">
        <v>6671</v>
      </c>
      <c r="E2516" s="1" t="s">
        <v>6672</v>
      </c>
      <c r="F2516" s="1" t="s">
        <v>9815</v>
      </c>
      <c r="G2516" s="1" t="s">
        <v>8957</v>
      </c>
      <c r="H2516" t="s">
        <v>8959</v>
      </c>
      <c r="I2516" s="1" t="s">
        <v>9100</v>
      </c>
      <c r="J2516" s="1" t="s">
        <v>8949</v>
      </c>
      <c r="K2516" s="1" t="s">
        <v>18497</v>
      </c>
      <c r="L2516" s="1" t="s">
        <v>8951</v>
      </c>
      <c r="M2516" s="1">
        <v>100</v>
      </c>
      <c r="N2516" s="1" t="s">
        <v>9059</v>
      </c>
      <c r="O2516" s="1" t="s">
        <v>8954</v>
      </c>
      <c r="P2516" s="1" t="e">
        <v>#N/A</v>
      </c>
      <c r="Q2516" s="1" t="e">
        <v>#N/A</v>
      </c>
      <c r="R2516" s="1">
        <f t="shared" si="736"/>
        <v>7</v>
      </c>
      <c r="S2516" s="1" t="str">
        <f t="shared" si="737"/>
        <v>4-7</v>
      </c>
      <c r="T2516" s="1" t="s">
        <v>19981</v>
      </c>
      <c r="U2516" s="1" t="s">
        <v>17</v>
      </c>
      <c r="V2516" s="1" t="s">
        <v>57</v>
      </c>
      <c r="W2516" s="1"/>
    </row>
    <row r="2517" spans="1:23" x14ac:dyDescent="0.2">
      <c r="A2517" s="88" t="s">
        <v>17697</v>
      </c>
      <c r="B2517" s="1" t="e">
        <v>#N/A</v>
      </c>
      <c r="C2517" s="1" t="e">
        <v>#N/A</v>
      </c>
      <c r="D2517" s="1" t="s">
        <v>6673</v>
      </c>
      <c r="E2517" s="1" t="s">
        <v>6674</v>
      </c>
      <c r="F2517" s="1" t="s">
        <v>9333</v>
      </c>
      <c r="G2517" s="1" t="s">
        <v>8959</v>
      </c>
      <c r="H2517" t="s">
        <v>9061</v>
      </c>
      <c r="I2517" s="1" t="s">
        <v>9100</v>
      </c>
      <c r="J2517" s="1" t="s">
        <v>8998</v>
      </c>
      <c r="K2517" s="1" t="s">
        <v>21011</v>
      </c>
      <c r="L2517" s="1" t="s">
        <v>9292</v>
      </c>
      <c r="M2517" s="1">
        <v>289</v>
      </c>
      <c r="N2517" s="1" t="s">
        <v>9059</v>
      </c>
      <c r="O2517" s="1" t="s">
        <v>8989</v>
      </c>
      <c r="P2517" s="1" t="e">
        <v>#N/A</v>
      </c>
      <c r="Q2517" s="1" t="e">
        <v>#N/A</v>
      </c>
      <c r="R2517" s="1">
        <f t="shared" si="736"/>
        <v>5</v>
      </c>
      <c r="S2517" s="1" t="str">
        <f t="shared" si="737"/>
        <v>4-7</v>
      </c>
      <c r="T2517" s="1" t="s">
        <v>19982</v>
      </c>
      <c r="U2517" s="1" t="s">
        <v>7</v>
      </c>
      <c r="V2517" s="1" t="s">
        <v>2172</v>
      </c>
      <c r="W2517" s="1"/>
    </row>
    <row r="2518" spans="1:23" x14ac:dyDescent="0.2">
      <c r="A2518" s="88" t="s">
        <v>17698</v>
      </c>
      <c r="B2518" s="1" t="e">
        <v>#N/A</v>
      </c>
      <c r="C2518" s="1" t="e">
        <v>#N/A</v>
      </c>
      <c r="D2518" s="1" t="s">
        <v>6675</v>
      </c>
      <c r="E2518" s="1" t="s">
        <v>6676</v>
      </c>
      <c r="F2518" s="1" t="s">
        <v>18502</v>
      </c>
      <c r="G2518" s="1" t="s">
        <v>8974</v>
      </c>
      <c r="H2518" t="s">
        <v>9009</v>
      </c>
      <c r="I2518" s="1" t="s">
        <v>9100</v>
      </c>
      <c r="J2518" s="1" t="s">
        <v>8959</v>
      </c>
      <c r="K2518" s="1" t="s">
        <v>21013</v>
      </c>
      <c r="L2518" s="1" t="s">
        <v>8987</v>
      </c>
      <c r="M2518" s="1">
        <v>180</v>
      </c>
      <c r="N2518" s="1" t="s">
        <v>9059</v>
      </c>
      <c r="O2518" s="1" t="s">
        <v>8989</v>
      </c>
      <c r="P2518" s="1" t="e">
        <v>#N/A</v>
      </c>
      <c r="Q2518" s="1" t="e">
        <v>#N/A</v>
      </c>
      <c r="R2518" s="1">
        <f t="shared" si="736"/>
        <v>9</v>
      </c>
      <c r="S2518" s="1" t="str">
        <f t="shared" si="737"/>
        <v>&gt;7</v>
      </c>
      <c r="T2518" s="1" t="s">
        <v>19983</v>
      </c>
      <c r="U2518" s="1" t="s">
        <v>7</v>
      </c>
      <c r="V2518" s="1" t="s">
        <v>2044</v>
      </c>
      <c r="W2518" s="1"/>
    </row>
    <row r="2519" spans="1:23" x14ac:dyDescent="0.2">
      <c r="A2519" s="88" t="s">
        <v>17699</v>
      </c>
      <c r="B2519" s="1" t="e">
        <v>#N/A</v>
      </c>
      <c r="C2519" s="1" t="e">
        <v>#N/A</v>
      </c>
      <c r="D2519" s="1" t="s">
        <v>6677</v>
      </c>
      <c r="E2519" s="1" t="s">
        <v>6678</v>
      </c>
      <c r="F2519" s="1" t="s">
        <v>9968</v>
      </c>
      <c r="G2519" s="1" t="s">
        <v>8957</v>
      </c>
      <c r="H2519" t="s">
        <v>9009</v>
      </c>
      <c r="I2519" s="1" t="s">
        <v>8948</v>
      </c>
      <c r="J2519" s="1" t="s">
        <v>20930</v>
      </c>
      <c r="K2519" s="1" t="s">
        <v>21012</v>
      </c>
      <c r="L2519" s="1" t="s">
        <v>9076</v>
      </c>
      <c r="M2519" s="1">
        <v>129</v>
      </c>
      <c r="N2519" s="1" t="s">
        <v>9059</v>
      </c>
      <c r="O2519" s="1" t="s">
        <v>8989</v>
      </c>
      <c r="P2519" s="1" t="e">
        <v>#N/A</v>
      </c>
      <c r="Q2519" s="1" t="e">
        <v>#N/A</v>
      </c>
      <c r="R2519" s="1">
        <f t="shared" si="736"/>
        <v>8</v>
      </c>
      <c r="S2519" s="1" t="str">
        <f t="shared" si="737"/>
        <v>&gt;7</v>
      </c>
      <c r="T2519" s="1" t="s">
        <v>19984</v>
      </c>
      <c r="U2519" s="1" t="s">
        <v>17</v>
      </c>
      <c r="V2519" s="1" t="s">
        <v>147</v>
      </c>
      <c r="W2519" s="1"/>
    </row>
    <row r="2520" spans="1:23" x14ac:dyDescent="0.2">
      <c r="A2520" s="89" t="s">
        <v>17700</v>
      </c>
      <c r="B2520" s="1" t="e">
        <v>#N/A</v>
      </c>
      <c r="C2520" s="1" t="e">
        <v>#N/A</v>
      </c>
      <c r="D2520" s="1" t="s">
        <v>6679</v>
      </c>
      <c r="E2520" s="1" t="s">
        <v>6680</v>
      </c>
      <c r="F2520" s="1" t="e">
        <v>#N/A</v>
      </c>
      <c r="G2520" s="1" t="e">
        <v>#N/A</v>
      </c>
      <c r="H2520" t="e">
        <v>#N/A</v>
      </c>
      <c r="I2520" s="1" t="e">
        <v>#N/A</v>
      </c>
      <c r="J2520" s="1" t="e">
        <v>#N/A</v>
      </c>
      <c r="K2520" s="1" t="e">
        <v>#N/A</v>
      </c>
      <c r="L2520" s="1" t="e">
        <v>#N/A</v>
      </c>
      <c r="M2520" s="1" t="e">
        <v>#N/A</v>
      </c>
      <c r="N2520" s="1" t="e">
        <v>#N/A</v>
      </c>
      <c r="O2520" s="1" t="e">
        <v>#N/A</v>
      </c>
      <c r="P2520" s="1" t="e">
        <v>#N/A</v>
      </c>
      <c r="Q2520" s="1" t="e">
        <v>#N/A</v>
      </c>
      <c r="R2520" s="1">
        <f t="shared" si="736"/>
        <v>5</v>
      </c>
      <c r="S2520" s="1" t="str">
        <f t="shared" si="737"/>
        <v>4-7</v>
      </c>
      <c r="T2520" s="1" t="s">
        <v>19985</v>
      </c>
      <c r="U2520" s="1" t="s">
        <v>7</v>
      </c>
      <c r="V2520" s="1" t="s">
        <v>3152</v>
      </c>
      <c r="W2520" s="1"/>
    </row>
    <row r="2521" spans="1:23" x14ac:dyDescent="0.2">
      <c r="A2521" s="88" t="s">
        <v>17701</v>
      </c>
      <c r="B2521" s="1" t="e">
        <v>#N/A</v>
      </c>
      <c r="C2521" s="1" t="s">
        <v>9179</v>
      </c>
      <c r="D2521" s="1" t="s">
        <v>6681</v>
      </c>
      <c r="E2521" s="1" t="s">
        <v>6682</v>
      </c>
      <c r="F2521" s="1" t="s">
        <v>9010</v>
      </c>
      <c r="G2521" s="1" t="s">
        <v>8957</v>
      </c>
      <c r="H2521" t="s">
        <v>9183</v>
      </c>
      <c r="I2521" s="1" t="s">
        <v>9075</v>
      </c>
      <c r="J2521" s="1" t="s">
        <v>9121</v>
      </c>
      <c r="K2521" s="1" t="s">
        <v>9036</v>
      </c>
      <c r="L2521" s="1" t="s">
        <v>8951</v>
      </c>
      <c r="M2521" s="1">
        <v>63480</v>
      </c>
      <c r="N2521" s="1" t="s">
        <v>8953</v>
      </c>
      <c r="O2521" s="1" t="s">
        <v>8954</v>
      </c>
      <c r="P2521" s="1" t="s">
        <v>9182</v>
      </c>
      <c r="Q2521" s="1" t="s">
        <v>8956</v>
      </c>
      <c r="R2521" s="1" t="s">
        <v>8957</v>
      </c>
      <c r="S2521" s="1" t="s">
        <v>8975</v>
      </c>
      <c r="T2521" s="1" t="s">
        <v>6683</v>
      </c>
      <c r="U2521" s="1" t="s">
        <v>17</v>
      </c>
      <c r="V2521" s="1" t="s">
        <v>6684</v>
      </c>
      <c r="W2521" s="1"/>
    </row>
    <row r="2522" spans="1:23" x14ac:dyDescent="0.2">
      <c r="A2522" s="88" t="s">
        <v>17702</v>
      </c>
      <c r="B2522" s="1" t="e">
        <v>#N/A</v>
      </c>
      <c r="C2522" s="1" t="s">
        <v>10991</v>
      </c>
      <c r="D2522" s="1" t="s">
        <v>6685</v>
      </c>
      <c r="E2522" s="1" t="s">
        <v>6686</v>
      </c>
      <c r="F2522" s="1" t="s">
        <v>9010</v>
      </c>
      <c r="G2522" s="1" t="s">
        <v>8959</v>
      </c>
      <c r="H2522" t="s">
        <v>9061</v>
      </c>
      <c r="I2522" s="1" t="s">
        <v>9605</v>
      </c>
      <c r="J2522" s="1" t="s">
        <v>8971</v>
      </c>
      <c r="K2522" s="1" t="s">
        <v>9036</v>
      </c>
      <c r="L2522" s="1" t="s">
        <v>9133</v>
      </c>
      <c r="M2522" s="1" t="s">
        <v>9479</v>
      </c>
      <c r="N2522" s="1" t="s">
        <v>8953</v>
      </c>
      <c r="O2522" s="1" t="s">
        <v>8954</v>
      </c>
      <c r="P2522" s="1" t="s">
        <v>8955</v>
      </c>
      <c r="Q2522" s="1" t="s">
        <v>8956</v>
      </c>
      <c r="R2522" s="1" t="s">
        <v>8959</v>
      </c>
      <c r="S2522" s="1" t="s">
        <v>8958</v>
      </c>
      <c r="T2522" s="1" t="s">
        <v>6687</v>
      </c>
      <c r="U2522" s="1" t="s">
        <v>17</v>
      </c>
      <c r="V2522" s="1" t="s">
        <v>813</v>
      </c>
      <c r="W2522" s="1"/>
    </row>
    <row r="2523" spans="1:23" x14ac:dyDescent="0.2">
      <c r="A2523" s="88" t="s">
        <v>17703</v>
      </c>
      <c r="B2523" s="1" t="e">
        <v>#N/A</v>
      </c>
      <c r="C2523" s="1" t="e">
        <v>#N/A</v>
      </c>
      <c r="D2523" s="1" t="s">
        <v>6688</v>
      </c>
      <c r="E2523" s="1" t="s">
        <v>6689</v>
      </c>
      <c r="F2523" s="1" t="s">
        <v>18502</v>
      </c>
      <c r="G2523" s="1" t="s">
        <v>8959</v>
      </c>
      <c r="H2523" t="s">
        <v>9061</v>
      </c>
      <c r="I2523" s="1" t="s">
        <v>9252</v>
      </c>
      <c r="J2523" s="1" t="s">
        <v>18504</v>
      </c>
      <c r="K2523" s="1" t="s">
        <v>21012</v>
      </c>
      <c r="L2523" s="1" t="s">
        <v>8987</v>
      </c>
      <c r="M2523" s="1">
        <v>6705</v>
      </c>
      <c r="N2523" s="1" t="s">
        <v>8953</v>
      </c>
      <c r="O2523" s="1" t="s">
        <v>8954</v>
      </c>
      <c r="P2523" s="1" t="e">
        <v>#N/A</v>
      </c>
      <c r="Q2523" s="1" t="e">
        <v>#N/A</v>
      </c>
      <c r="R2523" s="1">
        <f t="shared" ref="R2523:R2526" si="738">1+LEN(T2523)-LEN(SUBSTITUTE(T2523,",",))</f>
        <v>4</v>
      </c>
      <c r="S2523" s="1" t="str">
        <f t="shared" ref="S2523:S2526" si="739">IF(R2523&gt;4,IF(R2523&lt;8,"4-7",IF(R2523&gt;7,"&gt;7")),"&lt;4")</f>
        <v>&lt;4</v>
      </c>
      <c r="T2523" s="1" t="s">
        <v>19986</v>
      </c>
      <c r="U2523" s="1" t="s">
        <v>17</v>
      </c>
      <c r="V2523" s="1" t="s">
        <v>87</v>
      </c>
      <c r="W2523" s="1"/>
    </row>
    <row r="2524" spans="1:23" x14ac:dyDescent="0.2">
      <c r="A2524" s="88" t="s">
        <v>17704</v>
      </c>
      <c r="B2524" s="1" t="e">
        <v>#N/A</v>
      </c>
      <c r="C2524" s="1" t="e">
        <v>#N/A</v>
      </c>
      <c r="D2524" s="1" t="s">
        <v>6690</v>
      </c>
      <c r="E2524" s="1" t="s">
        <v>6691</v>
      </c>
      <c r="F2524" s="1" t="s">
        <v>9333</v>
      </c>
      <c r="G2524" s="1" t="s">
        <v>8974</v>
      </c>
      <c r="H2524" t="s">
        <v>8959</v>
      </c>
      <c r="I2524" s="1" t="s">
        <v>9075</v>
      </c>
      <c r="J2524" s="1" t="s">
        <v>8971</v>
      </c>
      <c r="K2524" s="1" t="s">
        <v>21017</v>
      </c>
      <c r="L2524" s="1" t="s">
        <v>8973</v>
      </c>
      <c r="M2524" s="1">
        <v>280</v>
      </c>
      <c r="N2524" s="1" t="s">
        <v>11658</v>
      </c>
      <c r="O2524" s="1" t="s">
        <v>8954</v>
      </c>
      <c r="P2524" s="1" t="e">
        <v>#N/A</v>
      </c>
      <c r="Q2524" s="1" t="e">
        <v>#N/A</v>
      </c>
      <c r="R2524" s="1">
        <f t="shared" si="738"/>
        <v>14</v>
      </c>
      <c r="S2524" s="1" t="str">
        <f t="shared" si="739"/>
        <v>&gt;7</v>
      </c>
      <c r="T2524" s="1" t="s">
        <v>19987</v>
      </c>
      <c r="U2524" s="1" t="s">
        <v>7</v>
      </c>
      <c r="V2524" s="1" t="s">
        <v>150</v>
      </c>
      <c r="W2524" s="1"/>
    </row>
    <row r="2525" spans="1:23" x14ac:dyDescent="0.2">
      <c r="A2525" s="88" t="s">
        <v>17705</v>
      </c>
      <c r="B2525" s="1" t="e">
        <v>#N/A</v>
      </c>
      <c r="C2525" s="1" t="e">
        <v>#N/A</v>
      </c>
      <c r="D2525" s="1" t="s">
        <v>6692</v>
      </c>
      <c r="E2525" s="1" t="s">
        <v>6693</v>
      </c>
      <c r="F2525" s="1" t="s">
        <v>18502</v>
      </c>
      <c r="G2525" s="1" t="s">
        <v>8957</v>
      </c>
      <c r="H2525" t="s">
        <v>9009</v>
      </c>
      <c r="I2525" s="1" t="s">
        <v>9100</v>
      </c>
      <c r="J2525" s="1" t="s">
        <v>8959</v>
      </c>
      <c r="K2525" s="1" t="s">
        <v>21014</v>
      </c>
      <c r="L2525" s="1" t="s">
        <v>8951</v>
      </c>
      <c r="M2525" s="1">
        <v>600</v>
      </c>
      <c r="N2525" s="1" t="s">
        <v>8953</v>
      </c>
      <c r="O2525" s="1" t="s">
        <v>8989</v>
      </c>
      <c r="P2525" s="1" t="e">
        <v>#N/A</v>
      </c>
      <c r="Q2525" s="1" t="e">
        <v>#N/A</v>
      </c>
      <c r="R2525" s="1">
        <f t="shared" si="738"/>
        <v>2</v>
      </c>
      <c r="S2525" s="1" t="str">
        <f t="shared" si="739"/>
        <v>&lt;4</v>
      </c>
      <c r="T2525" s="1" t="s">
        <v>19988</v>
      </c>
      <c r="U2525" s="1" t="s">
        <v>7</v>
      </c>
      <c r="V2525" s="1" t="s">
        <v>6694</v>
      </c>
      <c r="W2525" s="1"/>
    </row>
    <row r="2526" spans="1:23" x14ac:dyDescent="0.2">
      <c r="A2526" s="88" t="s">
        <v>17706</v>
      </c>
      <c r="B2526" s="1" t="e">
        <v>#N/A</v>
      </c>
      <c r="C2526" s="1" t="e">
        <v>#N/A</v>
      </c>
      <c r="D2526" s="1" t="s">
        <v>6695</v>
      </c>
      <c r="E2526" s="1" t="s">
        <v>6696</v>
      </c>
      <c r="F2526" s="1" t="s">
        <v>18502</v>
      </c>
      <c r="G2526" s="1" t="s">
        <v>8957</v>
      </c>
      <c r="H2526" t="s">
        <v>8959</v>
      </c>
      <c r="I2526" s="1" t="s">
        <v>21015</v>
      </c>
      <c r="J2526" s="1" t="s">
        <v>9101</v>
      </c>
      <c r="K2526" s="1" t="s">
        <v>21016</v>
      </c>
      <c r="L2526" s="1" t="s">
        <v>8951</v>
      </c>
      <c r="M2526" s="1">
        <v>7024</v>
      </c>
      <c r="N2526" s="1" t="s">
        <v>8953</v>
      </c>
      <c r="O2526" s="1" t="s">
        <v>8989</v>
      </c>
      <c r="P2526" s="1" t="e">
        <v>#N/A</v>
      </c>
      <c r="Q2526" s="1" t="e">
        <v>#N/A</v>
      </c>
      <c r="R2526" s="1">
        <f t="shared" si="738"/>
        <v>8</v>
      </c>
      <c r="S2526" s="1" t="str">
        <f t="shared" si="739"/>
        <v>&gt;7</v>
      </c>
      <c r="T2526" s="1" t="s">
        <v>19989</v>
      </c>
      <c r="U2526" s="1" t="s">
        <v>7</v>
      </c>
      <c r="V2526" s="1" t="s">
        <v>24</v>
      </c>
      <c r="W2526" s="1"/>
    </row>
    <row r="2527" spans="1:23" x14ac:dyDescent="0.2">
      <c r="A2527" s="88" t="s">
        <v>17707</v>
      </c>
      <c r="B2527" s="1" t="e">
        <v>#N/A</v>
      </c>
      <c r="C2527" s="1" t="s">
        <v>10571</v>
      </c>
      <c r="D2527" s="1" t="s">
        <v>6697</v>
      </c>
      <c r="E2527" s="1" t="s">
        <v>6698</v>
      </c>
      <c r="F2527" s="1" t="s">
        <v>9317</v>
      </c>
      <c r="G2527" s="1" t="s">
        <v>8974</v>
      </c>
      <c r="H2527" t="s">
        <v>9061</v>
      </c>
      <c r="I2527" s="1" t="s">
        <v>8948</v>
      </c>
      <c r="J2527" s="1" t="s">
        <v>8949</v>
      </c>
      <c r="K2527" s="1" t="s">
        <v>9036</v>
      </c>
      <c r="L2527" s="1" t="s">
        <v>8951</v>
      </c>
      <c r="M2527" s="1">
        <v>72</v>
      </c>
      <c r="N2527" s="1" t="s">
        <v>8953</v>
      </c>
      <c r="O2527" s="1" t="s">
        <v>8989</v>
      </c>
      <c r="P2527" s="1" t="s">
        <v>8955</v>
      </c>
      <c r="Q2527" s="1" t="s">
        <v>8956</v>
      </c>
      <c r="R2527" s="1" t="s">
        <v>8974</v>
      </c>
      <c r="S2527" s="1" t="s">
        <v>8958</v>
      </c>
      <c r="T2527" s="1" t="s">
        <v>6699</v>
      </c>
      <c r="U2527" s="1" t="s">
        <v>17</v>
      </c>
      <c r="V2527" s="1" t="s">
        <v>1202</v>
      </c>
      <c r="W2527" s="1"/>
    </row>
    <row r="2528" spans="1:23" x14ac:dyDescent="0.2">
      <c r="A2528" s="89" t="s">
        <v>17708</v>
      </c>
      <c r="B2528" s="1" t="e">
        <v>#N/A</v>
      </c>
      <c r="C2528" s="1" t="e">
        <v>#N/A</v>
      </c>
      <c r="D2528" s="1" t="s">
        <v>6700</v>
      </c>
      <c r="E2528" s="1" t="s">
        <v>6701</v>
      </c>
      <c r="F2528" s="1" t="e">
        <v>#N/A</v>
      </c>
      <c r="G2528" s="1" t="e">
        <v>#N/A</v>
      </c>
      <c r="H2528" t="e">
        <v>#N/A</v>
      </c>
      <c r="I2528" s="1" t="e">
        <v>#N/A</v>
      </c>
      <c r="J2528" s="1" t="e">
        <v>#N/A</v>
      </c>
      <c r="K2528" s="1" t="e">
        <v>#N/A</v>
      </c>
      <c r="L2528" s="1" t="e">
        <v>#N/A</v>
      </c>
      <c r="M2528" s="1" t="e">
        <v>#N/A</v>
      </c>
      <c r="N2528" s="1" t="e">
        <v>#N/A</v>
      </c>
      <c r="O2528" s="1" t="e">
        <v>#N/A</v>
      </c>
      <c r="P2528" s="1" t="e">
        <v>#N/A</v>
      </c>
      <c r="Q2528" s="1" t="e">
        <v>#N/A</v>
      </c>
      <c r="R2528" s="1">
        <f t="shared" ref="R2528:R2530" si="740">1+LEN(T2528)-LEN(SUBSTITUTE(T2528,",",))</f>
        <v>1</v>
      </c>
      <c r="S2528" s="1" t="str">
        <f t="shared" ref="S2528:S2530" si="741">IF(R2528&gt;4,IF(R2528&lt;8,"4-7",IF(R2528&gt;7,"&gt;7")),"&lt;4")</f>
        <v>&lt;4</v>
      </c>
      <c r="U2528" s="1" t="s">
        <v>7</v>
      </c>
      <c r="V2528" s="1" t="s">
        <v>6702</v>
      </c>
      <c r="W2528" s="1"/>
    </row>
    <row r="2529" spans="1:23" x14ac:dyDescent="0.2">
      <c r="A2529" s="88" t="s">
        <v>17709</v>
      </c>
      <c r="B2529" s="1" t="e">
        <v>#N/A</v>
      </c>
      <c r="C2529" s="1" t="e">
        <v>#N/A</v>
      </c>
      <c r="D2529" s="1" t="s">
        <v>6703</v>
      </c>
      <c r="E2529" s="1" t="s">
        <v>6704</v>
      </c>
      <c r="F2529" s="1" t="s">
        <v>9317</v>
      </c>
      <c r="G2529" s="1" t="s">
        <v>8957</v>
      </c>
      <c r="H2529" t="s">
        <v>9183</v>
      </c>
      <c r="I2529" s="1" t="s">
        <v>9173</v>
      </c>
      <c r="J2529" s="1" t="s">
        <v>9174</v>
      </c>
      <c r="K2529" s="1" t="s">
        <v>21016</v>
      </c>
      <c r="L2529" s="1" t="s">
        <v>8987</v>
      </c>
      <c r="M2529" s="1">
        <v>1981</v>
      </c>
      <c r="N2529" s="1" t="s">
        <v>8953</v>
      </c>
      <c r="O2529" s="1" t="s">
        <v>8989</v>
      </c>
      <c r="P2529" s="1" t="e">
        <v>#N/A</v>
      </c>
      <c r="Q2529" s="1" t="e">
        <v>#N/A</v>
      </c>
      <c r="R2529" s="1">
        <f t="shared" si="740"/>
        <v>10</v>
      </c>
      <c r="S2529" s="1" t="str">
        <f t="shared" si="741"/>
        <v>&gt;7</v>
      </c>
      <c r="T2529" s="1" t="s">
        <v>19990</v>
      </c>
      <c r="U2529" s="1" t="s">
        <v>7</v>
      </c>
      <c r="V2529" s="1" t="s">
        <v>910</v>
      </c>
      <c r="W2529" s="1"/>
    </row>
    <row r="2530" spans="1:23" x14ac:dyDescent="0.2">
      <c r="A2530" s="88" t="s">
        <v>17710</v>
      </c>
      <c r="B2530" s="1" t="e">
        <v>#N/A</v>
      </c>
      <c r="C2530" s="1" t="e">
        <v>#N/A</v>
      </c>
      <c r="D2530" s="1" t="s">
        <v>6705</v>
      </c>
      <c r="E2530" s="1" t="s">
        <v>6706</v>
      </c>
      <c r="F2530" s="1" t="s">
        <v>9317</v>
      </c>
      <c r="G2530" s="1" t="s">
        <v>8957</v>
      </c>
      <c r="H2530" t="s">
        <v>9061</v>
      </c>
      <c r="I2530" s="1" t="s">
        <v>9605</v>
      </c>
      <c r="J2530" s="1" t="s">
        <v>9101</v>
      </c>
      <c r="K2530" s="1" t="s">
        <v>18497</v>
      </c>
      <c r="L2530" s="1" t="s">
        <v>8987</v>
      </c>
      <c r="M2530" s="1">
        <v>56</v>
      </c>
      <c r="N2530" s="1" t="s">
        <v>8953</v>
      </c>
      <c r="O2530" s="1" t="s">
        <v>8989</v>
      </c>
      <c r="P2530" s="1" t="e">
        <v>#N/A</v>
      </c>
      <c r="Q2530" s="1" t="e">
        <v>#N/A</v>
      </c>
      <c r="R2530" s="1">
        <f t="shared" si="740"/>
        <v>13</v>
      </c>
      <c r="S2530" s="1" t="str">
        <f t="shared" si="741"/>
        <v>&gt;7</v>
      </c>
      <c r="T2530" s="1" t="s">
        <v>19991</v>
      </c>
      <c r="U2530" s="1" t="s">
        <v>17</v>
      </c>
      <c r="V2530" s="1" t="s">
        <v>6707</v>
      </c>
      <c r="W2530" s="1"/>
    </row>
    <row r="2531" spans="1:23" x14ac:dyDescent="0.2">
      <c r="A2531" s="88" t="s">
        <v>17711</v>
      </c>
      <c r="B2531" s="1" t="e">
        <v>#N/A</v>
      </c>
      <c r="C2531" s="1" t="s">
        <v>14137</v>
      </c>
      <c r="D2531" s="1" t="s">
        <v>6708</v>
      </c>
      <c r="E2531" s="1" t="s">
        <v>6709</v>
      </c>
      <c r="F2531" s="1" t="s">
        <v>9310</v>
      </c>
      <c r="G2531" s="1" t="s">
        <v>8957</v>
      </c>
      <c r="H2531" t="s">
        <v>9061</v>
      </c>
      <c r="I2531" s="1" t="s">
        <v>9035</v>
      </c>
      <c r="J2531" s="1" t="s">
        <v>8998</v>
      </c>
      <c r="K2531" s="1" t="s">
        <v>21471</v>
      </c>
      <c r="L2531" s="1" t="s">
        <v>9133</v>
      </c>
      <c r="M2531" s="1">
        <v>2400</v>
      </c>
      <c r="N2531" s="1" t="s">
        <v>8953</v>
      </c>
      <c r="O2531" s="1" t="s">
        <v>8954</v>
      </c>
      <c r="P2531" s="1" t="s">
        <v>8955</v>
      </c>
      <c r="Q2531" s="1" t="s">
        <v>8956</v>
      </c>
      <c r="R2531" s="1" t="s">
        <v>8957</v>
      </c>
      <c r="S2531" s="1" t="s">
        <v>8958</v>
      </c>
      <c r="T2531" s="1" t="s">
        <v>6710</v>
      </c>
      <c r="U2531" s="1" t="s">
        <v>4</v>
      </c>
      <c r="V2531" s="1" t="s">
        <v>61</v>
      </c>
      <c r="W2531" s="1"/>
    </row>
    <row r="2532" spans="1:23" x14ac:dyDescent="0.2">
      <c r="A2532" s="94" t="s">
        <v>17712</v>
      </c>
      <c r="B2532" s="1" t="e">
        <v>#N/A</v>
      </c>
      <c r="C2532" s="1" t="e">
        <v>#N/A</v>
      </c>
      <c r="D2532" s="1" t="s">
        <v>6711</v>
      </c>
      <c r="E2532" s="1" t="s">
        <v>6712</v>
      </c>
      <c r="F2532" s="1" t="s">
        <v>12547</v>
      </c>
      <c r="G2532" s="1" t="e">
        <v>#N/A</v>
      </c>
      <c r="H2532" t="s">
        <v>8959</v>
      </c>
      <c r="I2532" s="1" t="s">
        <v>9173</v>
      </c>
      <c r="J2532" s="1" t="e">
        <v>#N/A</v>
      </c>
      <c r="K2532" s="1" t="e">
        <v>#N/A</v>
      </c>
      <c r="L2532" s="1" t="s">
        <v>8973</v>
      </c>
      <c r="M2532" s="1">
        <v>105</v>
      </c>
      <c r="N2532" s="1" t="s">
        <v>8953</v>
      </c>
      <c r="O2532" s="1" t="s">
        <v>8989</v>
      </c>
      <c r="P2532" s="1" t="e">
        <v>#N/A</v>
      </c>
      <c r="Q2532" s="1" t="e">
        <v>#N/A</v>
      </c>
      <c r="R2532" s="1">
        <f t="shared" ref="R2532:R2533" si="742">1+LEN(T2532)-LEN(SUBSTITUTE(T2532,",",))</f>
        <v>2</v>
      </c>
      <c r="S2532" s="1" t="str">
        <f t="shared" ref="S2532:S2533" si="743">IF(R2532&gt;4,IF(R2532&lt;8,"4-7",IF(R2532&gt;7,"&gt;7")),"&lt;4")</f>
        <v>&lt;4</v>
      </c>
      <c r="T2532" s="1" t="s">
        <v>19992</v>
      </c>
      <c r="U2532" s="1" t="s">
        <v>7</v>
      </c>
      <c r="V2532" s="1" t="s">
        <v>184</v>
      </c>
      <c r="W2532" s="1"/>
    </row>
    <row r="2533" spans="1:23" x14ac:dyDescent="0.2">
      <c r="A2533" s="88" t="s">
        <v>17713</v>
      </c>
      <c r="B2533" s="1" t="e">
        <v>#N/A</v>
      </c>
      <c r="C2533" s="1" t="e">
        <v>#N/A</v>
      </c>
      <c r="D2533" s="1" t="s">
        <v>6713</v>
      </c>
      <c r="E2533" s="1" t="s">
        <v>6714</v>
      </c>
      <c r="F2533" s="1" t="s">
        <v>9213</v>
      </c>
      <c r="G2533" s="1" t="s">
        <v>8974</v>
      </c>
      <c r="H2533" t="s">
        <v>9061</v>
      </c>
      <c r="I2533" s="1" t="s">
        <v>9035</v>
      </c>
      <c r="J2533" s="1" t="s">
        <v>8998</v>
      </c>
      <c r="K2533" s="1" t="s">
        <v>18497</v>
      </c>
      <c r="L2533" s="1" t="s">
        <v>8951</v>
      </c>
      <c r="M2533" s="1">
        <v>19330</v>
      </c>
      <c r="N2533" s="1" t="s">
        <v>8953</v>
      </c>
      <c r="O2533" s="1" t="s">
        <v>8954</v>
      </c>
      <c r="P2533" s="1" t="e">
        <v>#N/A</v>
      </c>
      <c r="Q2533" s="1" t="e">
        <v>#N/A</v>
      </c>
      <c r="R2533" s="1">
        <f t="shared" si="742"/>
        <v>11</v>
      </c>
      <c r="S2533" s="1" t="str">
        <f t="shared" si="743"/>
        <v>&gt;7</v>
      </c>
      <c r="T2533" s="1" t="s">
        <v>19993</v>
      </c>
      <c r="U2533" s="1" t="s">
        <v>7</v>
      </c>
      <c r="V2533" s="1" t="s">
        <v>180</v>
      </c>
      <c r="W2533" s="1"/>
    </row>
    <row r="2534" spans="1:23" x14ac:dyDescent="0.2">
      <c r="A2534" s="88" t="s">
        <v>17714</v>
      </c>
      <c r="B2534" s="1" t="e">
        <v>#N/A</v>
      </c>
      <c r="C2534" s="1" t="s">
        <v>13023</v>
      </c>
      <c r="D2534" s="1" t="s">
        <v>6715</v>
      </c>
      <c r="E2534" s="1" t="s">
        <v>6716</v>
      </c>
      <c r="F2534" s="1" t="s">
        <v>9010</v>
      </c>
      <c r="G2534" s="1" t="s">
        <v>8959</v>
      </c>
      <c r="H2534" t="s">
        <v>9009</v>
      </c>
      <c r="I2534" s="1" t="s">
        <v>9075</v>
      </c>
      <c r="J2534" s="1" t="s">
        <v>9422</v>
      </c>
      <c r="K2534" s="1" t="s">
        <v>10135</v>
      </c>
      <c r="L2534" s="1" t="s">
        <v>8951</v>
      </c>
      <c r="M2534" s="1">
        <v>1649</v>
      </c>
      <c r="N2534" s="1" t="s">
        <v>8953</v>
      </c>
      <c r="O2534" s="1" t="s">
        <v>8989</v>
      </c>
      <c r="P2534" s="1" t="s">
        <v>8955</v>
      </c>
      <c r="Q2534" s="1" t="s">
        <v>8990</v>
      </c>
      <c r="R2534" s="1" t="s">
        <v>8959</v>
      </c>
      <c r="S2534" s="1" t="s">
        <v>8958</v>
      </c>
      <c r="T2534" s="1" t="s">
        <v>6717</v>
      </c>
      <c r="U2534" s="1" t="s">
        <v>11</v>
      </c>
      <c r="V2534" s="1" t="s">
        <v>24</v>
      </c>
      <c r="W2534" s="1"/>
    </row>
    <row r="2535" spans="1:23" x14ac:dyDescent="0.2">
      <c r="A2535" s="89" t="s">
        <v>17715</v>
      </c>
      <c r="B2535" s="1" t="e">
        <v>#N/A</v>
      </c>
      <c r="C2535" s="1" t="e">
        <v>#N/A</v>
      </c>
      <c r="D2535" s="1" t="s">
        <v>6718</v>
      </c>
      <c r="E2535" s="1" t="s">
        <v>6719</v>
      </c>
      <c r="F2535" s="1" t="e">
        <v>#N/A</v>
      </c>
      <c r="G2535" s="1" t="e">
        <v>#N/A</v>
      </c>
      <c r="H2535" t="e">
        <v>#N/A</v>
      </c>
      <c r="I2535" s="1" t="e">
        <v>#N/A</v>
      </c>
      <c r="J2535" s="1" t="e">
        <v>#N/A</v>
      </c>
      <c r="K2535" s="1" t="e">
        <v>#N/A</v>
      </c>
      <c r="L2535" s="1" t="e">
        <v>#N/A</v>
      </c>
      <c r="M2535" s="1" t="e">
        <v>#N/A</v>
      </c>
      <c r="N2535" s="1" t="e">
        <v>#N/A</v>
      </c>
      <c r="O2535" s="1" t="e">
        <v>#N/A</v>
      </c>
      <c r="P2535" s="1" t="e">
        <v>#N/A</v>
      </c>
      <c r="Q2535" s="1" t="e">
        <v>#N/A</v>
      </c>
      <c r="R2535" s="1">
        <f t="shared" ref="R2535:R2537" si="744">1+LEN(T2535)-LEN(SUBSTITUTE(T2535,",",))</f>
        <v>1</v>
      </c>
      <c r="S2535" s="1" t="str">
        <f t="shared" ref="S2535:S2537" si="745">IF(R2535&gt;4,IF(R2535&lt;8,"4-7",IF(R2535&gt;7,"&gt;7")),"&lt;4")</f>
        <v>&lt;4</v>
      </c>
      <c r="U2535" s="1" t="s">
        <v>7</v>
      </c>
      <c r="V2535" s="1" t="s">
        <v>700</v>
      </c>
      <c r="W2535" s="1"/>
    </row>
    <row r="2536" spans="1:23" x14ac:dyDescent="0.2">
      <c r="A2536" s="88" t="s">
        <v>17716</v>
      </c>
      <c r="B2536" s="1" t="e">
        <v>#N/A</v>
      </c>
      <c r="C2536" s="1" t="e">
        <v>#N/A</v>
      </c>
      <c r="D2536" s="1" t="s">
        <v>6720</v>
      </c>
      <c r="E2536" s="1" t="s">
        <v>6721</v>
      </c>
      <c r="F2536" s="1" t="s">
        <v>9815</v>
      </c>
      <c r="G2536" s="1" t="s">
        <v>8959</v>
      </c>
      <c r="H2536" t="s">
        <v>8959</v>
      </c>
      <c r="I2536" s="1" t="s">
        <v>9035</v>
      </c>
      <c r="J2536" s="1" t="s">
        <v>8998</v>
      </c>
      <c r="K2536" s="1" t="s">
        <v>21016</v>
      </c>
      <c r="L2536" s="1" t="s">
        <v>8987</v>
      </c>
      <c r="M2536" s="1" t="e">
        <v>#N/A</v>
      </c>
      <c r="N2536" s="1" t="e">
        <v>#N/A</v>
      </c>
      <c r="O2536" s="1" t="e">
        <v>#N/A</v>
      </c>
      <c r="P2536" s="1" t="e">
        <v>#N/A</v>
      </c>
      <c r="Q2536" s="1" t="e">
        <v>#N/A</v>
      </c>
      <c r="R2536" s="1">
        <f t="shared" si="744"/>
        <v>4</v>
      </c>
      <c r="S2536" s="1" t="str">
        <f t="shared" si="745"/>
        <v>&lt;4</v>
      </c>
      <c r="T2536" s="1" t="s">
        <v>19994</v>
      </c>
      <c r="U2536" s="1" t="s">
        <v>7</v>
      </c>
      <c r="V2536" s="1" t="s">
        <v>6722</v>
      </c>
      <c r="W2536" s="1"/>
    </row>
    <row r="2537" spans="1:23" x14ac:dyDescent="0.2">
      <c r="A2537" s="88" t="s">
        <v>17717</v>
      </c>
      <c r="B2537" s="1" t="e">
        <v>#N/A</v>
      </c>
      <c r="C2537" s="1" t="e">
        <v>#N/A</v>
      </c>
      <c r="D2537" s="1" t="s">
        <v>6723</v>
      </c>
      <c r="E2537" s="1" t="s">
        <v>6724</v>
      </c>
      <c r="F2537" s="1" t="s">
        <v>18502</v>
      </c>
      <c r="G2537" s="1" t="s">
        <v>8959</v>
      </c>
      <c r="H2537" t="s">
        <v>9061</v>
      </c>
      <c r="I2537" s="1" t="s">
        <v>20712</v>
      </c>
      <c r="J2537" s="1" t="s">
        <v>8998</v>
      </c>
      <c r="K2537" s="1" t="s">
        <v>21016</v>
      </c>
      <c r="L2537" s="1" t="s">
        <v>8951</v>
      </c>
      <c r="M2537" s="1">
        <v>59</v>
      </c>
      <c r="N2537" s="1" t="s">
        <v>9059</v>
      </c>
      <c r="O2537" s="1" t="s">
        <v>8954</v>
      </c>
      <c r="P2537" s="1" t="e">
        <v>#N/A</v>
      </c>
      <c r="Q2537" s="1" t="e">
        <v>#N/A</v>
      </c>
      <c r="R2537" s="1">
        <f t="shared" si="744"/>
        <v>11</v>
      </c>
      <c r="S2537" s="1" t="str">
        <f t="shared" si="745"/>
        <v>&gt;7</v>
      </c>
      <c r="T2537" s="1" t="s">
        <v>19995</v>
      </c>
      <c r="U2537" s="1" t="s">
        <v>7</v>
      </c>
      <c r="V2537" s="1" t="s">
        <v>496</v>
      </c>
      <c r="W2537" s="1"/>
    </row>
    <row r="2538" spans="1:23" x14ac:dyDescent="0.2">
      <c r="A2538" s="88" t="s">
        <v>17718</v>
      </c>
      <c r="B2538" s="1" t="e">
        <v>#N/A</v>
      </c>
      <c r="C2538" s="1" t="s">
        <v>11410</v>
      </c>
      <c r="D2538" s="1" t="s">
        <v>6725</v>
      </c>
      <c r="E2538" s="1" t="s">
        <v>6726</v>
      </c>
      <c r="F2538" s="1" t="s">
        <v>9010</v>
      </c>
      <c r="G2538" s="1" t="s">
        <v>8959</v>
      </c>
      <c r="H2538" t="s">
        <v>9183</v>
      </c>
      <c r="I2538" s="1" t="s">
        <v>9035</v>
      </c>
      <c r="J2538" s="1" t="s">
        <v>9308</v>
      </c>
      <c r="K2538" s="1" t="s">
        <v>10031</v>
      </c>
      <c r="L2538" s="1" t="s">
        <v>8951</v>
      </c>
      <c r="M2538" s="1">
        <v>874</v>
      </c>
      <c r="N2538" s="1" t="s">
        <v>8953</v>
      </c>
      <c r="O2538" s="1" t="s">
        <v>8989</v>
      </c>
      <c r="P2538" s="1" t="s">
        <v>8955</v>
      </c>
      <c r="Q2538" s="1" t="s">
        <v>8956</v>
      </c>
      <c r="R2538" s="1" t="s">
        <v>8959</v>
      </c>
      <c r="S2538" s="1" t="s">
        <v>8975</v>
      </c>
      <c r="T2538" s="1" t="s">
        <v>6727</v>
      </c>
      <c r="U2538" s="1" t="s">
        <v>11</v>
      </c>
      <c r="V2538" s="1" t="s">
        <v>110</v>
      </c>
      <c r="W2538" s="1"/>
    </row>
    <row r="2539" spans="1:23" x14ac:dyDescent="0.2">
      <c r="A2539" s="88" t="s">
        <v>17719</v>
      </c>
      <c r="B2539" s="1" t="e">
        <v>#N/A</v>
      </c>
      <c r="C2539" s="1" t="e">
        <v>#N/A</v>
      </c>
      <c r="D2539" s="1" t="s">
        <v>6728</v>
      </c>
      <c r="E2539" s="1" t="s">
        <v>6729</v>
      </c>
      <c r="F2539" s="1" t="s">
        <v>9010</v>
      </c>
      <c r="G2539" s="1" t="s">
        <v>8959</v>
      </c>
      <c r="H2539" t="s">
        <v>9183</v>
      </c>
      <c r="I2539" s="1" t="s">
        <v>9035</v>
      </c>
      <c r="J2539" s="1" t="s">
        <v>8998</v>
      </c>
      <c r="K2539" s="1" t="s">
        <v>21018</v>
      </c>
      <c r="L2539" s="1" t="s">
        <v>8973</v>
      </c>
      <c r="M2539" s="1">
        <v>88</v>
      </c>
      <c r="N2539" s="1" t="s">
        <v>9059</v>
      </c>
      <c r="O2539" s="1" t="s">
        <v>8989</v>
      </c>
      <c r="P2539" s="1" t="e">
        <v>#N/A</v>
      </c>
      <c r="Q2539" s="1" t="e">
        <v>#N/A</v>
      </c>
      <c r="R2539" s="1">
        <f t="shared" ref="R2539:R2542" si="746">1+LEN(T2539)-LEN(SUBSTITUTE(T2539,",",))</f>
        <v>6</v>
      </c>
      <c r="S2539" s="1" t="str">
        <f t="shared" ref="S2539:S2542" si="747">IF(R2539&gt;4,IF(R2539&lt;8,"4-7",IF(R2539&gt;7,"&gt;7")),"&lt;4")</f>
        <v>4-7</v>
      </c>
      <c r="T2539" s="1" t="s">
        <v>19996</v>
      </c>
      <c r="U2539" s="1" t="s">
        <v>7</v>
      </c>
      <c r="V2539" s="1" t="s">
        <v>147</v>
      </c>
      <c r="W2539" s="1"/>
    </row>
    <row r="2540" spans="1:23" x14ac:dyDescent="0.2">
      <c r="A2540" s="89" t="s">
        <v>6730</v>
      </c>
      <c r="B2540" s="1" t="e">
        <v>#N/A</v>
      </c>
      <c r="C2540" s="1" t="e">
        <v>#N/A</v>
      </c>
      <c r="D2540" s="5" t="s">
        <v>6731</v>
      </c>
      <c r="E2540" s="1" t="s">
        <v>6732</v>
      </c>
      <c r="F2540" s="1" t="e">
        <v>#N/A</v>
      </c>
      <c r="G2540" s="1" t="e">
        <v>#N/A</v>
      </c>
      <c r="H2540" t="e">
        <v>#N/A</v>
      </c>
      <c r="I2540" s="1" t="e">
        <v>#N/A</v>
      </c>
      <c r="J2540" s="1" t="e">
        <v>#N/A</v>
      </c>
      <c r="K2540" s="1" t="e">
        <v>#N/A</v>
      </c>
      <c r="L2540" s="1" t="e">
        <v>#N/A</v>
      </c>
      <c r="M2540" s="1" t="e">
        <v>#N/A</v>
      </c>
      <c r="N2540" s="1" t="e">
        <v>#N/A</v>
      </c>
      <c r="O2540" s="1" t="e">
        <v>#N/A</v>
      </c>
      <c r="P2540" s="1" t="e">
        <v>#N/A</v>
      </c>
      <c r="Q2540" s="1" t="e">
        <v>#N/A</v>
      </c>
      <c r="R2540" s="1">
        <f t="shared" si="746"/>
        <v>6</v>
      </c>
      <c r="S2540" s="1" t="str">
        <f t="shared" si="747"/>
        <v>4-7</v>
      </c>
      <c r="T2540" s="1" t="s">
        <v>19997</v>
      </c>
      <c r="U2540" s="1" t="s">
        <v>7</v>
      </c>
      <c r="V2540" s="1" t="s">
        <v>210</v>
      </c>
      <c r="W2540" s="1"/>
    </row>
    <row r="2541" spans="1:23" x14ac:dyDescent="0.2">
      <c r="A2541" s="88" t="s">
        <v>17720</v>
      </c>
      <c r="B2541" s="1" t="e">
        <v>#N/A</v>
      </c>
      <c r="C2541" s="1" t="e">
        <v>#N/A</v>
      </c>
      <c r="D2541" s="1" t="s">
        <v>6733</v>
      </c>
      <c r="E2541" s="1" t="s">
        <v>6734</v>
      </c>
      <c r="F2541" s="1" t="s">
        <v>18502</v>
      </c>
      <c r="G2541" s="1" t="s">
        <v>8959</v>
      </c>
      <c r="H2541" t="s">
        <v>9061</v>
      </c>
      <c r="I2541" s="1" t="s">
        <v>20712</v>
      </c>
      <c r="J2541" s="1" t="s">
        <v>9308</v>
      </c>
      <c r="K2541" s="1" t="s">
        <v>21279</v>
      </c>
      <c r="L2541" s="1" t="s">
        <v>8951</v>
      </c>
      <c r="M2541" s="1">
        <v>5475</v>
      </c>
      <c r="N2541" s="1" t="s">
        <v>8953</v>
      </c>
      <c r="O2541" s="1" t="s">
        <v>8989</v>
      </c>
      <c r="P2541" s="1" t="e">
        <v>#N/A</v>
      </c>
      <c r="Q2541" s="1" t="e">
        <v>#N/A</v>
      </c>
      <c r="R2541" s="1">
        <f t="shared" si="746"/>
        <v>5</v>
      </c>
      <c r="S2541" s="1" t="str">
        <f t="shared" si="747"/>
        <v>4-7</v>
      </c>
      <c r="T2541" s="1" t="s">
        <v>20686</v>
      </c>
      <c r="U2541" s="1" t="s">
        <v>17</v>
      </c>
      <c r="V2541" s="1" t="s">
        <v>87</v>
      </c>
      <c r="W2541" s="1"/>
    </row>
    <row r="2542" spans="1:23" x14ac:dyDescent="0.2">
      <c r="A2542" s="88" t="s">
        <v>17721</v>
      </c>
      <c r="B2542" s="1" t="e">
        <v>#N/A</v>
      </c>
      <c r="C2542" s="1" t="e">
        <v>#N/A</v>
      </c>
      <c r="D2542" s="1" t="s">
        <v>6735</v>
      </c>
      <c r="E2542" s="1" t="s">
        <v>6736</v>
      </c>
      <c r="F2542" s="1" t="s">
        <v>9815</v>
      </c>
      <c r="G2542" s="1" t="s">
        <v>8959</v>
      </c>
      <c r="H2542" t="s">
        <v>8959</v>
      </c>
      <c r="I2542" s="1" t="s">
        <v>9075</v>
      </c>
      <c r="J2542" s="1" t="s">
        <v>8971</v>
      </c>
      <c r="K2542" s="1" t="s">
        <v>10492</v>
      </c>
      <c r="L2542" s="1" t="s">
        <v>8973</v>
      </c>
      <c r="M2542" s="1">
        <v>136</v>
      </c>
      <c r="N2542" s="1" t="s">
        <v>8953</v>
      </c>
      <c r="O2542" s="1" t="s">
        <v>8989</v>
      </c>
      <c r="P2542" s="1" t="e">
        <v>#N/A</v>
      </c>
      <c r="Q2542" s="1" t="e">
        <v>#N/A</v>
      </c>
      <c r="R2542" s="1">
        <f t="shared" si="746"/>
        <v>3</v>
      </c>
      <c r="S2542" s="1" t="str">
        <f t="shared" si="747"/>
        <v>&lt;4</v>
      </c>
      <c r="T2542" s="1" t="s">
        <v>19998</v>
      </c>
      <c r="U2542" s="1" t="s">
        <v>7</v>
      </c>
      <c r="V2542" s="1" t="s">
        <v>46</v>
      </c>
      <c r="W2542" s="1"/>
    </row>
    <row r="2543" spans="1:23" x14ac:dyDescent="0.2">
      <c r="A2543" s="88" t="s">
        <v>17722</v>
      </c>
      <c r="B2543" s="1" t="e">
        <v>#N/A</v>
      </c>
      <c r="C2543" s="1" t="s">
        <v>10112</v>
      </c>
      <c r="D2543" s="1" t="s">
        <v>6737</v>
      </c>
      <c r="E2543" s="1" t="s">
        <v>6738</v>
      </c>
      <c r="F2543" s="1" t="s">
        <v>9010</v>
      </c>
      <c r="G2543" s="1" t="s">
        <v>9060</v>
      </c>
      <c r="H2543" t="s">
        <v>8959</v>
      </c>
      <c r="I2543" s="1" t="s">
        <v>9035</v>
      </c>
      <c r="J2543" s="1" t="s">
        <v>8998</v>
      </c>
      <c r="K2543" s="1" t="s">
        <v>9787</v>
      </c>
      <c r="L2543" s="1" t="s">
        <v>9157</v>
      </c>
      <c r="M2543" s="1">
        <v>24400</v>
      </c>
      <c r="N2543" s="1" t="s">
        <v>8953</v>
      </c>
      <c r="O2543" s="1" t="s">
        <v>8954</v>
      </c>
      <c r="P2543" s="1" t="s">
        <v>8955</v>
      </c>
      <c r="Q2543" s="1" t="s">
        <v>8990</v>
      </c>
      <c r="R2543" s="1" t="s">
        <v>9060</v>
      </c>
      <c r="S2543" s="1" t="s">
        <v>8958</v>
      </c>
      <c r="T2543" s="1" t="s">
        <v>6739</v>
      </c>
      <c r="U2543" s="1" t="s">
        <v>11</v>
      </c>
      <c r="V2543" s="1" t="s">
        <v>921</v>
      </c>
      <c r="W2543" s="1"/>
    </row>
    <row r="2544" spans="1:23" x14ac:dyDescent="0.2">
      <c r="A2544" s="88" t="s">
        <v>17723</v>
      </c>
      <c r="B2544" s="1" t="e">
        <v>#N/A</v>
      </c>
      <c r="C2544" s="1" t="s">
        <v>14440</v>
      </c>
      <c r="D2544" s="1" t="s">
        <v>6740</v>
      </c>
      <c r="E2544" s="1" t="s">
        <v>6741</v>
      </c>
      <c r="F2544" s="1" t="s">
        <v>10873</v>
      </c>
      <c r="G2544" s="1" t="s">
        <v>8957</v>
      </c>
      <c r="H2544" t="s">
        <v>8959</v>
      </c>
      <c r="I2544" s="1" t="s">
        <v>8984</v>
      </c>
      <c r="J2544" s="1" t="s">
        <v>9269</v>
      </c>
      <c r="K2544" s="1" t="s">
        <v>9036</v>
      </c>
      <c r="L2544" s="1" t="s">
        <v>8987</v>
      </c>
      <c r="M2544" s="1">
        <v>100</v>
      </c>
      <c r="N2544" s="1" t="s">
        <v>8953</v>
      </c>
      <c r="O2544" s="1" t="s">
        <v>8989</v>
      </c>
      <c r="P2544" s="1" t="s">
        <v>8955</v>
      </c>
      <c r="Q2544" s="1" t="s">
        <v>8956</v>
      </c>
      <c r="R2544" s="1" t="s">
        <v>8957</v>
      </c>
      <c r="S2544" s="1" t="s">
        <v>8958</v>
      </c>
      <c r="T2544" s="1" t="s">
        <v>6742</v>
      </c>
      <c r="U2544" s="1" t="s">
        <v>242</v>
      </c>
      <c r="V2544" s="1" t="s">
        <v>61</v>
      </c>
      <c r="W2544" s="1"/>
    </row>
    <row r="2545" spans="1:23" x14ac:dyDescent="0.2">
      <c r="A2545" s="88" t="s">
        <v>17724</v>
      </c>
      <c r="B2545" s="1" t="e">
        <v>#N/A</v>
      </c>
      <c r="C2545" s="1" t="e">
        <v>#N/A</v>
      </c>
      <c r="D2545" s="1" t="s">
        <v>6743</v>
      </c>
      <c r="E2545" s="1" t="s">
        <v>6744</v>
      </c>
      <c r="F2545" s="1" t="s">
        <v>9380</v>
      </c>
      <c r="G2545" s="1" t="s">
        <v>8957</v>
      </c>
      <c r="H2545" t="s">
        <v>8959</v>
      </c>
      <c r="I2545" s="1" t="s">
        <v>9100</v>
      </c>
      <c r="J2545" s="1" t="s">
        <v>12453</v>
      </c>
      <c r="K2545" s="1" t="s">
        <v>20813</v>
      </c>
      <c r="L2545" s="1" t="s">
        <v>8951</v>
      </c>
      <c r="M2545" s="1">
        <v>40</v>
      </c>
      <c r="N2545" s="1" t="s">
        <v>9059</v>
      </c>
      <c r="O2545" s="1" t="s">
        <v>8989</v>
      </c>
      <c r="P2545" s="1" t="e">
        <v>#N/A</v>
      </c>
      <c r="Q2545" s="1" t="e">
        <v>#N/A</v>
      </c>
      <c r="R2545" s="1">
        <f t="shared" ref="R2545:R2550" si="748">1+LEN(T2545)-LEN(SUBSTITUTE(T2545,",",))</f>
        <v>5</v>
      </c>
      <c r="S2545" s="1" t="str">
        <f t="shared" ref="S2545:S2550" si="749">IF(R2545&gt;4,IF(R2545&lt;8,"4-7",IF(R2545&gt;7,"&gt;7")),"&lt;4")</f>
        <v>4-7</v>
      </c>
      <c r="T2545" s="1" t="s">
        <v>19999</v>
      </c>
      <c r="U2545" s="1" t="s">
        <v>17</v>
      </c>
      <c r="V2545" s="1" t="s">
        <v>2287</v>
      </c>
      <c r="W2545" s="1"/>
    </row>
    <row r="2546" spans="1:23" x14ac:dyDescent="0.2">
      <c r="A2546" s="89" t="s">
        <v>6745</v>
      </c>
      <c r="B2546" s="1" t="e">
        <v>#N/A</v>
      </c>
      <c r="C2546" s="1" t="e">
        <v>#N/A</v>
      </c>
      <c r="D2546" s="5" t="s">
        <v>6746</v>
      </c>
      <c r="E2546" s="1" t="s">
        <v>6747</v>
      </c>
      <c r="F2546" s="1" t="e">
        <v>#N/A</v>
      </c>
      <c r="G2546" s="1" t="e">
        <v>#N/A</v>
      </c>
      <c r="H2546" t="e">
        <v>#N/A</v>
      </c>
      <c r="I2546" s="1" t="e">
        <v>#N/A</v>
      </c>
      <c r="J2546" s="1" t="e">
        <v>#N/A</v>
      </c>
      <c r="K2546" s="1" t="e">
        <v>#N/A</v>
      </c>
      <c r="L2546" s="1" t="e">
        <v>#N/A</v>
      </c>
      <c r="M2546" s="1" t="e">
        <v>#N/A</v>
      </c>
      <c r="N2546" s="1" t="e">
        <v>#N/A</v>
      </c>
      <c r="O2546" s="1" t="e">
        <v>#N/A</v>
      </c>
      <c r="P2546" s="1" t="e">
        <v>#N/A</v>
      </c>
      <c r="Q2546" s="1" t="e">
        <v>#N/A</v>
      </c>
      <c r="R2546" s="1">
        <f t="shared" si="748"/>
        <v>3</v>
      </c>
      <c r="S2546" s="1" t="str">
        <f t="shared" si="749"/>
        <v>&lt;4</v>
      </c>
      <c r="T2546" s="1" t="s">
        <v>20000</v>
      </c>
      <c r="U2546" s="1" t="s">
        <v>7</v>
      </c>
      <c r="V2546" s="1" t="s">
        <v>170</v>
      </c>
      <c r="W2546" s="1"/>
    </row>
    <row r="2547" spans="1:23" x14ac:dyDescent="0.2">
      <c r="A2547" s="89" t="s">
        <v>17725</v>
      </c>
      <c r="B2547" s="1" t="e">
        <v>#N/A</v>
      </c>
      <c r="C2547" s="1" t="e">
        <v>#N/A</v>
      </c>
      <c r="D2547" s="1" t="s">
        <v>6748</v>
      </c>
      <c r="E2547" s="1" t="s">
        <v>6749</v>
      </c>
      <c r="F2547" s="1" t="s">
        <v>18502</v>
      </c>
      <c r="G2547" s="1" t="e">
        <v>#N/A</v>
      </c>
      <c r="H2547" t="s">
        <v>8959</v>
      </c>
      <c r="I2547" s="1" t="s">
        <v>9252</v>
      </c>
      <c r="J2547" s="1" t="s">
        <v>18504</v>
      </c>
      <c r="K2547" s="1" t="e">
        <v>#N/A</v>
      </c>
      <c r="L2547" s="1" t="e">
        <v>#N/A</v>
      </c>
      <c r="M2547" s="1" t="e">
        <v>#N/A</v>
      </c>
      <c r="N2547" s="1" t="e">
        <v>#N/A</v>
      </c>
      <c r="O2547" s="1" t="e">
        <v>#N/A</v>
      </c>
      <c r="P2547" s="1" t="e">
        <v>#N/A</v>
      </c>
      <c r="Q2547" s="1" t="e">
        <v>#N/A</v>
      </c>
      <c r="R2547" s="1">
        <f t="shared" si="748"/>
        <v>1</v>
      </c>
      <c r="S2547" s="1" t="str">
        <f t="shared" si="749"/>
        <v>&lt;4</v>
      </c>
      <c r="U2547" s="1" t="s">
        <v>17</v>
      </c>
      <c r="V2547" s="1" t="s">
        <v>180</v>
      </c>
      <c r="W2547" s="1"/>
    </row>
    <row r="2548" spans="1:23" x14ac:dyDescent="0.2">
      <c r="A2548" s="89" t="s">
        <v>6750</v>
      </c>
      <c r="B2548" s="1" t="e">
        <v>#N/A</v>
      </c>
      <c r="C2548" s="1" t="e">
        <v>#N/A</v>
      </c>
      <c r="D2548" s="1" t="s">
        <v>6751</v>
      </c>
      <c r="E2548" s="1" t="s">
        <v>6752</v>
      </c>
      <c r="F2548" s="1" t="e">
        <v>#N/A</v>
      </c>
      <c r="G2548" s="1" t="e">
        <v>#N/A</v>
      </c>
      <c r="H2548" t="e">
        <v>#N/A</v>
      </c>
      <c r="I2548" s="1" t="e">
        <v>#N/A</v>
      </c>
      <c r="J2548" s="1" t="e">
        <v>#N/A</v>
      </c>
      <c r="K2548" s="1" t="e">
        <v>#N/A</v>
      </c>
      <c r="L2548" s="1" t="e">
        <v>#N/A</v>
      </c>
      <c r="M2548" s="1" t="e">
        <v>#N/A</v>
      </c>
      <c r="N2548" s="1" t="e">
        <v>#N/A</v>
      </c>
      <c r="O2548" s="1" t="e">
        <v>#N/A</v>
      </c>
      <c r="P2548" s="1" t="e">
        <v>#N/A</v>
      </c>
      <c r="Q2548" s="1" t="e">
        <v>#N/A</v>
      </c>
      <c r="R2548" s="1">
        <f t="shared" si="748"/>
        <v>6</v>
      </c>
      <c r="S2548" s="1" t="str">
        <f t="shared" si="749"/>
        <v>4-7</v>
      </c>
      <c r="T2548" s="1" t="s">
        <v>20001</v>
      </c>
      <c r="U2548" s="1" t="s">
        <v>4</v>
      </c>
      <c r="V2548" s="1" t="s">
        <v>4511</v>
      </c>
      <c r="W2548" s="1"/>
    </row>
    <row r="2549" spans="1:23" x14ac:dyDescent="0.2">
      <c r="A2549" s="88" t="s">
        <v>17726</v>
      </c>
      <c r="B2549" s="1" t="e">
        <v>#N/A</v>
      </c>
      <c r="C2549" s="1" t="e">
        <v>#N/A</v>
      </c>
      <c r="D2549" s="1" t="s">
        <v>6753</v>
      </c>
      <c r="E2549" s="1" t="s">
        <v>6754</v>
      </c>
      <c r="F2549" s="1" t="s">
        <v>9380</v>
      </c>
      <c r="G2549" s="1" t="s">
        <v>8957</v>
      </c>
      <c r="H2549" t="s">
        <v>9009</v>
      </c>
      <c r="I2549" s="1" t="s">
        <v>9075</v>
      </c>
      <c r="J2549" s="1" t="s">
        <v>8971</v>
      </c>
      <c r="K2549" s="1" t="s">
        <v>21016</v>
      </c>
      <c r="L2549" s="1" t="s">
        <v>8987</v>
      </c>
      <c r="M2549" s="1">
        <v>2420</v>
      </c>
      <c r="N2549" s="1" t="s">
        <v>8953</v>
      </c>
      <c r="O2549" s="1" t="s">
        <v>8989</v>
      </c>
      <c r="P2549" s="1" t="e">
        <v>#N/A</v>
      </c>
      <c r="Q2549" s="1" t="e">
        <v>#N/A</v>
      </c>
      <c r="R2549" s="1">
        <f t="shared" si="748"/>
        <v>5</v>
      </c>
      <c r="S2549" s="1" t="str">
        <f t="shared" si="749"/>
        <v>4-7</v>
      </c>
      <c r="T2549" s="1" t="s">
        <v>20002</v>
      </c>
      <c r="U2549" s="1" t="s">
        <v>7</v>
      </c>
      <c r="V2549" s="1" t="s">
        <v>6755</v>
      </c>
      <c r="W2549" s="1"/>
    </row>
    <row r="2550" spans="1:23" x14ac:dyDescent="0.2">
      <c r="A2550" s="88" t="s">
        <v>17727</v>
      </c>
      <c r="B2550" s="1" t="e">
        <v>#N/A</v>
      </c>
      <c r="C2550" s="1" t="e">
        <v>#N/A</v>
      </c>
      <c r="D2550" s="1" t="s">
        <v>6756</v>
      </c>
      <c r="E2550" s="1" t="s">
        <v>6757</v>
      </c>
      <c r="F2550" s="1" t="s">
        <v>18502</v>
      </c>
      <c r="G2550" s="1" t="s">
        <v>8957</v>
      </c>
      <c r="H2550" t="s">
        <v>8959</v>
      </c>
      <c r="I2550" s="1" t="s">
        <v>20712</v>
      </c>
      <c r="J2550" s="1" t="s">
        <v>9101</v>
      </c>
      <c r="K2550" s="1" t="s">
        <v>21016</v>
      </c>
      <c r="L2550" s="1" t="s">
        <v>9076</v>
      </c>
      <c r="M2550" s="1">
        <v>170</v>
      </c>
      <c r="N2550" s="1" t="s">
        <v>9059</v>
      </c>
      <c r="O2550" s="1" t="s">
        <v>8989</v>
      </c>
      <c r="P2550" s="1" t="e">
        <v>#N/A</v>
      </c>
      <c r="Q2550" s="1" t="e">
        <v>#N/A</v>
      </c>
      <c r="R2550" s="1">
        <f t="shared" si="748"/>
        <v>9</v>
      </c>
      <c r="S2550" s="1" t="str">
        <f t="shared" si="749"/>
        <v>&gt;7</v>
      </c>
      <c r="T2550" s="1" t="s">
        <v>20003</v>
      </c>
      <c r="U2550" s="1" t="s">
        <v>17</v>
      </c>
      <c r="V2550" s="1" t="s">
        <v>2121</v>
      </c>
      <c r="W2550" s="1"/>
    </row>
    <row r="2551" spans="1:23" x14ac:dyDescent="0.2">
      <c r="A2551" s="88" t="s">
        <v>17728</v>
      </c>
      <c r="B2551" s="1" t="e">
        <v>#N/A</v>
      </c>
      <c r="C2551" s="1" t="s">
        <v>13268</v>
      </c>
      <c r="D2551" s="1" t="s">
        <v>6758</v>
      </c>
      <c r="E2551" s="1" t="s">
        <v>6759</v>
      </c>
      <c r="F2551" s="1" t="s">
        <v>9010</v>
      </c>
      <c r="G2551" s="1" t="s">
        <v>9060</v>
      </c>
      <c r="H2551" t="s">
        <v>9009</v>
      </c>
      <c r="I2551" s="1" t="s">
        <v>9092</v>
      </c>
      <c r="J2551" s="1" t="s">
        <v>9422</v>
      </c>
      <c r="K2551" s="1" t="s">
        <v>9036</v>
      </c>
      <c r="L2551" s="1" t="s">
        <v>8987</v>
      </c>
      <c r="M2551" s="1">
        <v>25488</v>
      </c>
      <c r="N2551" s="1" t="s">
        <v>8953</v>
      </c>
      <c r="O2551" s="1" t="s">
        <v>8989</v>
      </c>
      <c r="P2551" s="1" t="s">
        <v>8955</v>
      </c>
      <c r="Q2551" s="1" t="s">
        <v>8956</v>
      </c>
      <c r="R2551" s="1" t="s">
        <v>9060</v>
      </c>
      <c r="S2551" s="1" t="s">
        <v>9103</v>
      </c>
      <c r="T2551" s="1" t="s">
        <v>6760</v>
      </c>
      <c r="U2551" s="1" t="s">
        <v>11</v>
      </c>
      <c r="V2551" s="1" t="s">
        <v>6761</v>
      </c>
      <c r="W2551" s="1"/>
    </row>
    <row r="2552" spans="1:23" x14ac:dyDescent="0.2">
      <c r="A2552" s="88" t="s">
        <v>17729</v>
      </c>
      <c r="B2552" s="1" t="e">
        <v>#N/A</v>
      </c>
      <c r="C2552" s="1" t="s">
        <v>13626</v>
      </c>
      <c r="D2552" s="1" t="s">
        <v>6762</v>
      </c>
      <c r="E2552" s="1" t="s">
        <v>6763</v>
      </c>
      <c r="F2552" s="1" t="s">
        <v>9010</v>
      </c>
      <c r="G2552" s="1" t="s">
        <v>9060</v>
      </c>
      <c r="H2552" t="s">
        <v>9009</v>
      </c>
      <c r="I2552" s="1" t="s">
        <v>9605</v>
      </c>
      <c r="J2552" s="1" t="s">
        <v>9101</v>
      </c>
      <c r="K2552" s="1" t="s">
        <v>9036</v>
      </c>
      <c r="L2552" s="1" t="s">
        <v>8987</v>
      </c>
      <c r="M2552" s="1">
        <v>240</v>
      </c>
      <c r="N2552" s="1" t="s">
        <v>8953</v>
      </c>
      <c r="O2552" s="1" t="s">
        <v>8989</v>
      </c>
      <c r="P2552" s="1" t="s">
        <v>8955</v>
      </c>
      <c r="Q2552" s="1" t="s">
        <v>8956</v>
      </c>
      <c r="R2552" s="1" t="s">
        <v>9060</v>
      </c>
      <c r="S2552" s="1" t="s">
        <v>8958</v>
      </c>
      <c r="T2552" s="1" t="s">
        <v>6764</v>
      </c>
      <c r="U2552" s="1" t="s">
        <v>4</v>
      </c>
      <c r="V2552" s="1" t="s">
        <v>1889</v>
      </c>
      <c r="W2552" s="1"/>
    </row>
    <row r="2553" spans="1:23" x14ac:dyDescent="0.2">
      <c r="A2553" s="89" t="s">
        <v>6765</v>
      </c>
      <c r="B2553" s="1" t="e">
        <v>#N/A</v>
      </c>
      <c r="C2553" s="1" t="e">
        <v>#N/A</v>
      </c>
      <c r="D2553" s="1" t="s">
        <v>6766</v>
      </c>
      <c r="E2553" s="1" t="s">
        <v>6767</v>
      </c>
      <c r="F2553" s="1" t="e">
        <v>#N/A</v>
      </c>
      <c r="G2553" s="1" t="e">
        <v>#N/A</v>
      </c>
      <c r="H2553" t="e">
        <v>#N/A</v>
      </c>
      <c r="I2553" s="1" t="e">
        <v>#N/A</v>
      </c>
      <c r="J2553" s="1" t="e">
        <v>#N/A</v>
      </c>
      <c r="K2553" s="1" t="e">
        <v>#N/A</v>
      </c>
      <c r="L2553" s="1" t="e">
        <v>#N/A</v>
      </c>
      <c r="M2553" s="1" t="e">
        <v>#N/A</v>
      </c>
      <c r="N2553" s="1" t="e">
        <v>#N/A</v>
      </c>
      <c r="O2553" s="1" t="e">
        <v>#N/A</v>
      </c>
      <c r="P2553" s="1" t="e">
        <v>#N/A</v>
      </c>
      <c r="Q2553" s="1" t="e">
        <v>#N/A</v>
      </c>
      <c r="R2553" s="1">
        <f t="shared" ref="R2553:R2560" si="750">1+LEN(T2553)-LEN(SUBSTITUTE(T2553,",",))</f>
        <v>7</v>
      </c>
      <c r="S2553" s="1" t="str">
        <f t="shared" ref="S2553:S2560" si="751">IF(R2553&gt;4,IF(R2553&lt;8,"4-7",IF(R2553&gt;7,"&gt;7")),"&lt;4")</f>
        <v>4-7</v>
      </c>
      <c r="T2553" s="1" t="s">
        <v>20004</v>
      </c>
      <c r="U2553" s="1" t="s">
        <v>17</v>
      </c>
      <c r="V2553" s="1" t="s">
        <v>6768</v>
      </c>
      <c r="W2553" s="1"/>
    </row>
    <row r="2554" spans="1:23" x14ac:dyDescent="0.2">
      <c r="A2554" s="88" t="s">
        <v>17730</v>
      </c>
      <c r="B2554" s="1" t="e">
        <v>#N/A</v>
      </c>
      <c r="C2554" s="1" t="e">
        <v>#N/A</v>
      </c>
      <c r="D2554" s="1" t="s">
        <v>6769</v>
      </c>
      <c r="E2554" s="1" t="s">
        <v>6770</v>
      </c>
      <c r="F2554" s="1" t="s">
        <v>9213</v>
      </c>
      <c r="G2554" s="1" t="e">
        <v>#N/A</v>
      </c>
      <c r="H2554" t="s">
        <v>8959</v>
      </c>
      <c r="I2554" s="1" t="s">
        <v>9100</v>
      </c>
      <c r="J2554" s="1" t="s">
        <v>8949</v>
      </c>
      <c r="K2554" s="1" t="s">
        <v>21019</v>
      </c>
      <c r="L2554" s="1" t="s">
        <v>8987</v>
      </c>
      <c r="M2554" s="1">
        <v>600</v>
      </c>
      <c r="N2554" s="1" t="s">
        <v>9059</v>
      </c>
      <c r="O2554" s="1" t="s">
        <v>8954</v>
      </c>
      <c r="P2554" s="1" t="e">
        <v>#N/A</v>
      </c>
      <c r="Q2554" s="1" t="e">
        <v>#N/A</v>
      </c>
      <c r="R2554" s="1">
        <f t="shared" si="750"/>
        <v>5</v>
      </c>
      <c r="S2554" s="1" t="str">
        <f t="shared" si="751"/>
        <v>4-7</v>
      </c>
      <c r="T2554" s="1" t="s">
        <v>20005</v>
      </c>
      <c r="U2554" s="1" t="s">
        <v>17</v>
      </c>
      <c r="V2554" s="1" t="s">
        <v>4538</v>
      </c>
      <c r="W2554" s="1"/>
    </row>
    <row r="2555" spans="1:23" x14ac:dyDescent="0.2">
      <c r="A2555" s="88" t="s">
        <v>17731</v>
      </c>
      <c r="B2555" s="1" t="e">
        <v>#N/A</v>
      </c>
      <c r="C2555" s="1" t="e">
        <v>#N/A</v>
      </c>
      <c r="D2555" s="1" t="s">
        <v>6771</v>
      </c>
      <c r="E2555" s="1" t="s">
        <v>6772</v>
      </c>
      <c r="F2555" s="1" t="s">
        <v>9968</v>
      </c>
      <c r="G2555" s="1" t="s">
        <v>8959</v>
      </c>
      <c r="H2555" t="s">
        <v>8959</v>
      </c>
      <c r="I2555" s="1" t="s">
        <v>9075</v>
      </c>
      <c r="J2555" s="1" t="s">
        <v>8971</v>
      </c>
      <c r="K2555" s="1" t="s">
        <v>21016</v>
      </c>
      <c r="L2555" s="1" t="s">
        <v>8973</v>
      </c>
      <c r="M2555" s="1">
        <v>8823</v>
      </c>
      <c r="N2555" s="1" t="s">
        <v>8953</v>
      </c>
      <c r="O2555" s="1" t="s">
        <v>8989</v>
      </c>
      <c r="P2555" s="1" t="e">
        <v>#N/A</v>
      </c>
      <c r="Q2555" s="1" t="e">
        <v>#N/A</v>
      </c>
      <c r="R2555" s="1">
        <f t="shared" si="750"/>
        <v>7</v>
      </c>
      <c r="S2555" s="1" t="str">
        <f t="shared" si="751"/>
        <v>4-7</v>
      </c>
      <c r="T2555" s="1" t="s">
        <v>20006</v>
      </c>
      <c r="U2555" s="1" t="s">
        <v>17</v>
      </c>
      <c r="V2555" s="1" t="s">
        <v>46</v>
      </c>
      <c r="W2555" s="1"/>
    </row>
    <row r="2556" spans="1:23" x14ac:dyDescent="0.2">
      <c r="A2556" s="88" t="s">
        <v>17732</v>
      </c>
      <c r="B2556" s="1" t="e">
        <v>#N/A</v>
      </c>
      <c r="C2556" s="1" t="e">
        <v>#N/A</v>
      </c>
      <c r="D2556" s="1" t="s">
        <v>6773</v>
      </c>
      <c r="E2556" s="1" t="s">
        <v>6774</v>
      </c>
      <c r="F2556" s="1" t="s">
        <v>9333</v>
      </c>
      <c r="G2556" s="1" t="s">
        <v>8959</v>
      </c>
      <c r="H2556" t="s">
        <v>8959</v>
      </c>
      <c r="I2556" s="1" t="s">
        <v>20714</v>
      </c>
      <c r="J2556" s="1" t="s">
        <v>20725</v>
      </c>
      <c r="K2556" s="1" t="s">
        <v>21293</v>
      </c>
      <c r="L2556" s="1" t="s">
        <v>8951</v>
      </c>
      <c r="M2556" s="1">
        <v>910</v>
      </c>
      <c r="N2556" s="1" t="s">
        <v>8953</v>
      </c>
      <c r="O2556" s="1" t="s">
        <v>8989</v>
      </c>
      <c r="P2556" s="1" t="e">
        <v>#N/A</v>
      </c>
      <c r="Q2556" s="1" t="e">
        <v>#N/A</v>
      </c>
      <c r="R2556" s="1">
        <f t="shared" si="750"/>
        <v>8</v>
      </c>
      <c r="S2556" s="1" t="str">
        <f t="shared" si="751"/>
        <v>&gt;7</v>
      </c>
      <c r="T2556" s="1" t="s">
        <v>20007</v>
      </c>
      <c r="U2556" s="1" t="s">
        <v>7</v>
      </c>
      <c r="V2556" s="1" t="s">
        <v>110</v>
      </c>
      <c r="W2556" s="1"/>
    </row>
    <row r="2557" spans="1:23" x14ac:dyDescent="0.2">
      <c r="A2557" s="88" t="s">
        <v>17733</v>
      </c>
      <c r="B2557" s="1" t="e">
        <v>#N/A</v>
      </c>
      <c r="C2557" s="1" t="e">
        <v>#N/A</v>
      </c>
      <c r="D2557" s="1" t="s">
        <v>6775</v>
      </c>
      <c r="E2557" s="1" t="s">
        <v>6776</v>
      </c>
      <c r="F2557" s="1" t="s">
        <v>18502</v>
      </c>
      <c r="G2557" s="1" t="s">
        <v>9060</v>
      </c>
      <c r="H2557" t="s">
        <v>8959</v>
      </c>
      <c r="I2557" s="1" t="s">
        <v>9100</v>
      </c>
      <c r="J2557" s="1" t="s">
        <v>9101</v>
      </c>
      <c r="K2557" s="1" t="s">
        <v>10492</v>
      </c>
      <c r="L2557" s="1" t="s">
        <v>8973</v>
      </c>
      <c r="M2557" s="1">
        <v>28</v>
      </c>
      <c r="N2557" s="1" t="s">
        <v>9059</v>
      </c>
      <c r="O2557" s="1" t="s">
        <v>8954</v>
      </c>
      <c r="P2557" s="1" t="e">
        <v>#N/A</v>
      </c>
      <c r="Q2557" s="1" t="e">
        <v>#N/A</v>
      </c>
      <c r="R2557" s="1">
        <f t="shared" si="750"/>
        <v>5</v>
      </c>
      <c r="S2557" s="1" t="str">
        <f t="shared" si="751"/>
        <v>4-7</v>
      </c>
      <c r="T2557" s="1" t="s">
        <v>20008</v>
      </c>
      <c r="U2557" s="1" t="s">
        <v>17</v>
      </c>
      <c r="V2557" s="1" t="s">
        <v>2121</v>
      </c>
      <c r="W2557" s="1"/>
    </row>
    <row r="2558" spans="1:23" x14ac:dyDescent="0.2">
      <c r="A2558" s="89" t="s">
        <v>6777</v>
      </c>
      <c r="B2558" s="1" t="e">
        <v>#N/A</v>
      </c>
      <c r="C2558" s="1" t="e">
        <v>#N/A</v>
      </c>
      <c r="D2558" s="1" t="s">
        <v>6778</v>
      </c>
      <c r="E2558" s="1" t="s">
        <v>6779</v>
      </c>
      <c r="F2558" s="1" t="e">
        <v>#N/A</v>
      </c>
      <c r="G2558" s="1" t="e">
        <v>#N/A</v>
      </c>
      <c r="H2558" t="e">
        <v>#N/A</v>
      </c>
      <c r="I2558" s="1" t="e">
        <v>#N/A</v>
      </c>
      <c r="J2558" s="1" t="e">
        <v>#N/A</v>
      </c>
      <c r="K2558" s="1" t="e">
        <v>#N/A</v>
      </c>
      <c r="L2558" s="1" t="e">
        <v>#N/A</v>
      </c>
      <c r="M2558" s="1" t="e">
        <v>#N/A</v>
      </c>
      <c r="N2558" s="1" t="e">
        <v>#N/A</v>
      </c>
      <c r="O2558" s="1" t="e">
        <v>#N/A</v>
      </c>
      <c r="P2558" s="1" t="e">
        <v>#N/A</v>
      </c>
      <c r="Q2558" s="1" t="e">
        <v>#N/A</v>
      </c>
      <c r="R2558" s="1">
        <f t="shared" si="750"/>
        <v>3</v>
      </c>
      <c r="S2558" s="1" t="str">
        <f t="shared" si="751"/>
        <v>&lt;4</v>
      </c>
      <c r="T2558" s="1" t="s">
        <v>20009</v>
      </c>
      <c r="U2558" s="1" t="s">
        <v>11</v>
      </c>
      <c r="V2558" s="1" t="s">
        <v>634</v>
      </c>
      <c r="W2558" s="1"/>
    </row>
    <row r="2559" spans="1:23" x14ac:dyDescent="0.2">
      <c r="A2559" s="88" t="s">
        <v>17734</v>
      </c>
      <c r="B2559" s="1" t="e">
        <v>#N/A</v>
      </c>
      <c r="C2559" s="1" t="e">
        <v>#N/A</v>
      </c>
      <c r="D2559" s="1" t="s">
        <v>6780</v>
      </c>
      <c r="E2559" s="1" t="s">
        <v>6781</v>
      </c>
      <c r="F2559" s="1" t="s">
        <v>9213</v>
      </c>
      <c r="G2559" s="1" t="s">
        <v>8957</v>
      </c>
      <c r="H2559" t="s">
        <v>8959</v>
      </c>
      <c r="I2559" s="1" t="s">
        <v>20714</v>
      </c>
      <c r="J2559" s="1" t="s">
        <v>9050</v>
      </c>
      <c r="K2559" s="1" t="s">
        <v>21018</v>
      </c>
      <c r="L2559" s="1" t="s">
        <v>8987</v>
      </c>
      <c r="M2559" s="1">
        <v>103262</v>
      </c>
      <c r="N2559" s="1" t="s">
        <v>8953</v>
      </c>
      <c r="O2559" s="1" t="s">
        <v>8954</v>
      </c>
      <c r="P2559" s="1" t="e">
        <v>#N/A</v>
      </c>
      <c r="Q2559" s="1" t="e">
        <v>#N/A</v>
      </c>
      <c r="R2559" s="1">
        <f t="shared" si="750"/>
        <v>6</v>
      </c>
      <c r="S2559" s="1" t="str">
        <f t="shared" si="751"/>
        <v>4-7</v>
      </c>
      <c r="T2559" s="1" t="s">
        <v>20010</v>
      </c>
      <c r="U2559" s="1" t="s">
        <v>7</v>
      </c>
      <c r="V2559" s="1" t="s">
        <v>447</v>
      </c>
      <c r="W2559" s="1"/>
    </row>
    <row r="2560" spans="1:23" x14ac:dyDescent="0.2">
      <c r="A2560" s="88" t="s">
        <v>17735</v>
      </c>
      <c r="B2560" s="1" t="e">
        <v>#N/A</v>
      </c>
      <c r="C2560" s="1" t="e">
        <v>#N/A</v>
      </c>
      <c r="D2560" s="1" t="s">
        <v>6782</v>
      </c>
      <c r="E2560" s="1" t="s">
        <v>6783</v>
      </c>
      <c r="F2560" s="1" t="s">
        <v>9213</v>
      </c>
      <c r="G2560" s="1" t="s">
        <v>8957</v>
      </c>
      <c r="H2560" t="s">
        <v>9061</v>
      </c>
      <c r="I2560" s="1" t="s">
        <v>8984</v>
      </c>
      <c r="J2560" s="1" t="s">
        <v>8998</v>
      </c>
      <c r="K2560" s="1" t="s">
        <v>21016</v>
      </c>
      <c r="L2560" s="1" t="s">
        <v>8987</v>
      </c>
      <c r="M2560" s="1">
        <v>558</v>
      </c>
      <c r="N2560" s="1" t="s">
        <v>9059</v>
      </c>
      <c r="O2560" s="1" t="s">
        <v>8954</v>
      </c>
      <c r="P2560" s="1" t="e">
        <v>#N/A</v>
      </c>
      <c r="Q2560" s="1" t="e">
        <v>#N/A</v>
      </c>
      <c r="R2560" s="1">
        <f t="shared" si="750"/>
        <v>7</v>
      </c>
      <c r="S2560" s="1" t="str">
        <f t="shared" si="751"/>
        <v>4-7</v>
      </c>
      <c r="T2560" s="1" t="s">
        <v>20011</v>
      </c>
      <c r="U2560" s="1" t="s">
        <v>7</v>
      </c>
      <c r="V2560" s="1" t="s">
        <v>147</v>
      </c>
      <c r="W2560" s="1"/>
    </row>
    <row r="2561" spans="1:23" x14ac:dyDescent="0.2">
      <c r="A2561" s="88" t="s">
        <v>17736</v>
      </c>
      <c r="B2561" s="1" t="e">
        <v>#N/A</v>
      </c>
      <c r="C2561" s="1" t="s">
        <v>14797</v>
      </c>
      <c r="D2561" s="1" t="s">
        <v>6784</v>
      </c>
      <c r="E2561" s="1" t="s">
        <v>6785</v>
      </c>
      <c r="F2561" s="1" t="s">
        <v>9213</v>
      </c>
      <c r="G2561" s="1" t="s">
        <v>8957</v>
      </c>
      <c r="H2561" t="s">
        <v>8959</v>
      </c>
      <c r="I2561" s="1" t="s">
        <v>8948</v>
      </c>
      <c r="J2561" s="1" t="s">
        <v>8949</v>
      </c>
      <c r="K2561" s="1" t="s">
        <v>9436</v>
      </c>
      <c r="L2561" s="1" t="s">
        <v>9076</v>
      </c>
      <c r="M2561" s="1">
        <v>941</v>
      </c>
      <c r="N2561" s="1" t="s">
        <v>9059</v>
      </c>
      <c r="O2561" s="1" t="s">
        <v>8954</v>
      </c>
      <c r="P2561" s="1" t="s">
        <v>8955</v>
      </c>
      <c r="Q2561" s="1" t="s">
        <v>8956</v>
      </c>
      <c r="R2561" s="1" t="s">
        <v>8957</v>
      </c>
      <c r="S2561" s="1" t="s">
        <v>8958</v>
      </c>
      <c r="T2561" s="1" t="s">
        <v>6786</v>
      </c>
      <c r="U2561" s="1" t="s">
        <v>17</v>
      </c>
      <c r="V2561" s="1" t="s">
        <v>74</v>
      </c>
      <c r="W2561" s="1"/>
    </row>
    <row r="2562" spans="1:23" x14ac:dyDescent="0.2">
      <c r="A2562" s="89" t="s">
        <v>17737</v>
      </c>
      <c r="B2562" s="1" t="e">
        <v>#N/A</v>
      </c>
      <c r="C2562" s="1" t="e">
        <v>#N/A</v>
      </c>
      <c r="D2562" s="1" t="s">
        <v>6787</v>
      </c>
      <c r="E2562" s="1" t="s">
        <v>6788</v>
      </c>
      <c r="F2562" s="1" t="s">
        <v>9317</v>
      </c>
      <c r="G2562" s="1" t="e">
        <v>#N/A</v>
      </c>
      <c r="H2562" t="s">
        <v>9183</v>
      </c>
      <c r="I2562" s="1" t="s">
        <v>9173</v>
      </c>
      <c r="J2562" s="1" t="e">
        <v>#N/A</v>
      </c>
      <c r="K2562" s="1" t="e">
        <v>#N/A</v>
      </c>
      <c r="L2562" s="1" t="s">
        <v>9133</v>
      </c>
      <c r="M2562" s="1" t="e">
        <v>#N/A</v>
      </c>
      <c r="N2562" s="1" t="e">
        <v>#N/A</v>
      </c>
      <c r="O2562" s="1" t="e">
        <v>#N/A</v>
      </c>
      <c r="P2562" s="1" t="e">
        <v>#N/A</v>
      </c>
      <c r="Q2562" s="1" t="e">
        <v>#N/A</v>
      </c>
      <c r="R2562" s="1">
        <f t="shared" ref="R2562:R2563" si="752">1+LEN(T2562)-LEN(SUBSTITUTE(T2562,",",))</f>
        <v>14</v>
      </c>
      <c r="S2562" s="1" t="str">
        <f t="shared" ref="S2562:S2563" si="753">IF(R2562&gt;4,IF(R2562&lt;8,"4-7",IF(R2562&gt;7,"&gt;7")),"&lt;4")</f>
        <v>&gt;7</v>
      </c>
      <c r="T2562" s="1" t="s">
        <v>20012</v>
      </c>
      <c r="U2562" s="1" t="s">
        <v>17</v>
      </c>
      <c r="V2562" s="1" t="s">
        <v>910</v>
      </c>
      <c r="W2562" s="1"/>
    </row>
    <row r="2563" spans="1:23" x14ac:dyDescent="0.2">
      <c r="A2563" s="88" t="s">
        <v>17738</v>
      </c>
      <c r="B2563" s="1" t="e">
        <v>#N/A</v>
      </c>
      <c r="C2563" s="1" t="e">
        <v>#N/A</v>
      </c>
      <c r="D2563" s="1" t="s">
        <v>6789</v>
      </c>
      <c r="E2563" s="1" t="s">
        <v>6790</v>
      </c>
      <c r="F2563" s="1" t="s">
        <v>9213</v>
      </c>
      <c r="G2563" s="1" t="s">
        <v>8957</v>
      </c>
      <c r="H2563" t="s">
        <v>8959</v>
      </c>
      <c r="I2563" s="1" t="s">
        <v>8984</v>
      </c>
      <c r="J2563" s="1" t="s">
        <v>9131</v>
      </c>
      <c r="K2563" s="1" t="s">
        <v>21341</v>
      </c>
      <c r="L2563" s="1" t="s">
        <v>9133</v>
      </c>
      <c r="M2563" s="1">
        <v>12480</v>
      </c>
      <c r="N2563" s="1" t="s">
        <v>20915</v>
      </c>
      <c r="O2563" s="1" t="s">
        <v>8989</v>
      </c>
      <c r="P2563" s="1" t="e">
        <v>#N/A</v>
      </c>
      <c r="Q2563" s="1" t="e">
        <v>#N/A</v>
      </c>
      <c r="R2563" s="1">
        <f t="shared" si="752"/>
        <v>11</v>
      </c>
      <c r="S2563" s="1" t="str">
        <f t="shared" si="753"/>
        <v>&gt;7</v>
      </c>
      <c r="T2563" s="1" t="s">
        <v>20013</v>
      </c>
      <c r="U2563" s="1" t="s">
        <v>7</v>
      </c>
      <c r="V2563" s="1" t="s">
        <v>24</v>
      </c>
      <c r="W2563" s="1"/>
    </row>
    <row r="2564" spans="1:23" x14ac:dyDescent="0.2">
      <c r="A2564" s="88" t="s">
        <v>17739</v>
      </c>
      <c r="B2564" s="1" t="e">
        <v>#N/A</v>
      </c>
      <c r="C2564" s="1" t="s">
        <v>9940</v>
      </c>
      <c r="D2564" s="1" t="s">
        <v>6791</v>
      </c>
      <c r="E2564" s="1" t="s">
        <v>6792</v>
      </c>
      <c r="F2564" s="1" t="s">
        <v>9213</v>
      </c>
      <c r="G2564" s="1" t="s">
        <v>8957</v>
      </c>
      <c r="H2564" t="s">
        <v>8959</v>
      </c>
      <c r="I2564" s="1" t="s">
        <v>9943</v>
      </c>
      <c r="J2564" s="1" t="s">
        <v>8971</v>
      </c>
      <c r="K2564" s="1" t="s">
        <v>18489</v>
      </c>
      <c r="L2564" s="1" t="s">
        <v>9133</v>
      </c>
      <c r="M2564" s="1">
        <v>1513</v>
      </c>
      <c r="N2564" s="1" t="s">
        <v>8953</v>
      </c>
      <c r="O2564" s="1" t="s">
        <v>8954</v>
      </c>
      <c r="P2564" s="1" t="s">
        <v>8955</v>
      </c>
      <c r="Q2564" s="1" t="s">
        <v>8990</v>
      </c>
      <c r="R2564" s="1" t="s">
        <v>8957</v>
      </c>
      <c r="S2564" s="1" t="s">
        <v>8975</v>
      </c>
      <c r="T2564" s="1" t="s">
        <v>6793</v>
      </c>
      <c r="U2564" s="1" t="s">
        <v>17</v>
      </c>
      <c r="V2564" s="1" t="s">
        <v>267</v>
      </c>
      <c r="W2564" s="1"/>
    </row>
    <row r="2565" spans="1:23" x14ac:dyDescent="0.2">
      <c r="A2565" s="88" t="s">
        <v>17740</v>
      </c>
      <c r="B2565" s="1" t="e">
        <v>#N/A</v>
      </c>
      <c r="C2565" s="1" t="e">
        <v>#N/A</v>
      </c>
      <c r="D2565" s="1" t="s">
        <v>6794</v>
      </c>
      <c r="E2565" s="1" t="s">
        <v>6795</v>
      </c>
      <c r="F2565" s="1" t="s">
        <v>9310</v>
      </c>
      <c r="G2565" s="1" t="s">
        <v>8957</v>
      </c>
      <c r="H2565" t="s">
        <v>8959</v>
      </c>
      <c r="I2565" s="1" t="s">
        <v>9035</v>
      </c>
      <c r="J2565" s="1" t="s">
        <v>8998</v>
      </c>
      <c r="K2565" s="1" t="s">
        <v>21020</v>
      </c>
      <c r="L2565" s="1" t="s">
        <v>8951</v>
      </c>
      <c r="M2565" s="1">
        <v>201</v>
      </c>
      <c r="N2565" s="1" t="s">
        <v>9059</v>
      </c>
      <c r="O2565" s="1" t="s">
        <v>8954</v>
      </c>
      <c r="P2565" s="1" t="e">
        <v>#N/A</v>
      </c>
      <c r="Q2565" s="1" t="e">
        <v>#N/A</v>
      </c>
      <c r="R2565" s="1">
        <f t="shared" ref="R2565:R2567" si="754">1+LEN(T2565)-LEN(SUBSTITUTE(T2565,",",))</f>
        <v>10</v>
      </c>
      <c r="S2565" s="1" t="str">
        <f t="shared" ref="S2565:S2567" si="755">IF(R2565&gt;4,IF(R2565&lt;8,"4-7",IF(R2565&gt;7,"&gt;7")),"&lt;4")</f>
        <v>&gt;7</v>
      </c>
      <c r="T2565" s="1" t="s">
        <v>20014</v>
      </c>
      <c r="U2565" s="1" t="s">
        <v>7</v>
      </c>
      <c r="V2565" s="1" t="s">
        <v>382</v>
      </c>
      <c r="W2565" s="1"/>
    </row>
    <row r="2566" spans="1:23" x14ac:dyDescent="0.2">
      <c r="A2566" s="88" t="s">
        <v>17741</v>
      </c>
      <c r="B2566" s="1" t="e">
        <v>#N/A</v>
      </c>
      <c r="C2566" s="1" t="e">
        <v>#N/A</v>
      </c>
      <c r="D2566" s="1" t="s">
        <v>6796</v>
      </c>
      <c r="E2566" s="1" t="s">
        <v>6797</v>
      </c>
      <c r="F2566" s="1" t="s">
        <v>9310</v>
      </c>
      <c r="G2566" s="1" t="s">
        <v>8957</v>
      </c>
      <c r="H2566" t="s">
        <v>8959</v>
      </c>
      <c r="I2566" s="1" t="s">
        <v>9173</v>
      </c>
      <c r="J2566" s="1" t="s">
        <v>9174</v>
      </c>
      <c r="K2566" s="1" t="s">
        <v>18497</v>
      </c>
      <c r="L2566" s="1" t="s">
        <v>21021</v>
      </c>
      <c r="M2566" s="1">
        <f>12666+1084</f>
        <v>13750</v>
      </c>
      <c r="N2566" s="1" t="s">
        <v>8953</v>
      </c>
      <c r="O2566" s="1" t="s">
        <v>8954</v>
      </c>
      <c r="P2566" s="1" t="e">
        <v>#N/A</v>
      </c>
      <c r="Q2566" s="1" t="e">
        <v>#N/A</v>
      </c>
      <c r="R2566" s="1">
        <f t="shared" si="754"/>
        <v>4</v>
      </c>
      <c r="S2566" s="1" t="str">
        <f t="shared" si="755"/>
        <v>&lt;4</v>
      </c>
      <c r="T2566" s="1" t="s">
        <v>20015</v>
      </c>
      <c r="U2566" s="1" t="s">
        <v>7</v>
      </c>
      <c r="V2566" s="1" t="s">
        <v>27</v>
      </c>
      <c r="W2566" s="1"/>
    </row>
    <row r="2567" spans="1:23" x14ac:dyDescent="0.2">
      <c r="A2567" s="88" t="s">
        <v>17742</v>
      </c>
      <c r="B2567" s="1" t="e">
        <v>#N/A</v>
      </c>
      <c r="C2567" s="1" t="e">
        <v>#N/A</v>
      </c>
      <c r="D2567" s="1" t="s">
        <v>6798</v>
      </c>
      <c r="E2567" s="1" t="s">
        <v>6799</v>
      </c>
      <c r="F2567" s="1" t="s">
        <v>10873</v>
      </c>
      <c r="G2567" s="1" t="s">
        <v>8957</v>
      </c>
      <c r="H2567" t="s">
        <v>8959</v>
      </c>
      <c r="I2567" s="1" t="s">
        <v>9100</v>
      </c>
      <c r="J2567" s="1" t="s">
        <v>8949</v>
      </c>
      <c r="K2567" s="1" t="s">
        <v>21016</v>
      </c>
      <c r="L2567" s="1" t="s">
        <v>9076</v>
      </c>
      <c r="M2567" s="1">
        <v>1200</v>
      </c>
      <c r="N2567" s="1" t="s">
        <v>8953</v>
      </c>
      <c r="O2567" s="1" t="s">
        <v>8954</v>
      </c>
      <c r="P2567" s="1" t="e">
        <v>#N/A</v>
      </c>
      <c r="Q2567" s="1" t="e">
        <v>#N/A</v>
      </c>
      <c r="R2567" s="1">
        <f t="shared" si="754"/>
        <v>4</v>
      </c>
      <c r="S2567" s="1" t="str">
        <f t="shared" si="755"/>
        <v>&lt;4</v>
      </c>
      <c r="T2567" s="1" t="s">
        <v>20016</v>
      </c>
      <c r="U2567" s="1" t="s">
        <v>17</v>
      </c>
      <c r="V2567" s="1" t="s">
        <v>93</v>
      </c>
      <c r="W2567" s="1"/>
    </row>
    <row r="2568" spans="1:23" x14ac:dyDescent="0.2">
      <c r="A2568" s="88" t="s">
        <v>17743</v>
      </c>
      <c r="B2568" s="1" t="e">
        <v>#N/A</v>
      </c>
      <c r="C2568" s="1" t="s">
        <v>13392</v>
      </c>
      <c r="D2568" s="1" t="s">
        <v>6800</v>
      </c>
      <c r="E2568" s="1" t="s">
        <v>6801</v>
      </c>
      <c r="F2568" s="1" t="s">
        <v>9310</v>
      </c>
      <c r="G2568" s="1" t="s">
        <v>9060</v>
      </c>
      <c r="H2568" t="s">
        <v>8959</v>
      </c>
      <c r="I2568" s="1" t="s">
        <v>9035</v>
      </c>
      <c r="J2568" s="1" t="s">
        <v>8998</v>
      </c>
      <c r="K2568" s="1" t="s">
        <v>21472</v>
      </c>
      <c r="L2568" s="1" t="s">
        <v>8987</v>
      </c>
      <c r="M2568" s="1">
        <v>4581</v>
      </c>
      <c r="N2568" s="1" t="s">
        <v>8953</v>
      </c>
      <c r="O2568" s="1" t="s">
        <v>8989</v>
      </c>
      <c r="P2568" s="1" t="s">
        <v>8955</v>
      </c>
      <c r="Q2568" s="1" t="s">
        <v>8956</v>
      </c>
      <c r="R2568" s="1" t="s">
        <v>9060</v>
      </c>
      <c r="S2568" s="1" t="s">
        <v>8958</v>
      </c>
      <c r="T2568" s="1" t="s">
        <v>6802</v>
      </c>
      <c r="U2568" s="1" t="s">
        <v>4</v>
      </c>
      <c r="V2568" s="1" t="s">
        <v>35</v>
      </c>
      <c r="W2568" s="1"/>
    </row>
    <row r="2569" spans="1:23" x14ac:dyDescent="0.2">
      <c r="A2569" s="88" t="s">
        <v>17744</v>
      </c>
      <c r="B2569" s="1" t="e">
        <v>#N/A</v>
      </c>
      <c r="C2569" s="1" t="e">
        <v>#N/A</v>
      </c>
      <c r="D2569" s="1" t="s">
        <v>6803</v>
      </c>
      <c r="E2569" s="1" t="s">
        <v>6804</v>
      </c>
      <c r="F2569" s="1" t="s">
        <v>10873</v>
      </c>
      <c r="G2569" s="1" t="s">
        <v>8959</v>
      </c>
      <c r="H2569" t="s">
        <v>8959</v>
      </c>
      <c r="I2569" s="1" t="s">
        <v>9092</v>
      </c>
      <c r="J2569" s="1" t="s">
        <v>20800</v>
      </c>
      <c r="K2569" s="1" t="s">
        <v>21205</v>
      </c>
      <c r="L2569" s="1" t="s">
        <v>21022</v>
      </c>
      <c r="M2569" s="1">
        <v>52</v>
      </c>
      <c r="N2569" s="1" t="s">
        <v>8953</v>
      </c>
      <c r="O2569" s="1" t="s">
        <v>8989</v>
      </c>
      <c r="P2569" s="1" t="e">
        <v>#N/A</v>
      </c>
      <c r="Q2569" s="1" t="e">
        <v>#N/A</v>
      </c>
      <c r="R2569" s="1">
        <f>1+LEN(T2569)-LEN(SUBSTITUTE(T2569,",",))</f>
        <v>4</v>
      </c>
      <c r="S2569" s="1" t="str">
        <f>IF(R2569&gt;4,IF(R2569&lt;8,"4-7",IF(R2569&gt;7,"&gt;7")),"&lt;4")</f>
        <v>&lt;4</v>
      </c>
      <c r="T2569" s="1" t="s">
        <v>20017</v>
      </c>
      <c r="U2569" s="1" t="s">
        <v>17</v>
      </c>
      <c r="V2569" s="1" t="s">
        <v>27</v>
      </c>
      <c r="W2569" s="1"/>
    </row>
    <row r="2570" spans="1:23" x14ac:dyDescent="0.2">
      <c r="A2570" s="88" t="s">
        <v>17745</v>
      </c>
      <c r="B2570" s="1" t="e">
        <v>#N/A</v>
      </c>
      <c r="C2570" s="1" t="s">
        <v>14527</v>
      </c>
      <c r="D2570" s="1" t="s">
        <v>6805</v>
      </c>
      <c r="E2570" s="1" t="s">
        <v>6806</v>
      </c>
      <c r="F2570" s="1" t="s">
        <v>9310</v>
      </c>
      <c r="G2570" s="1" t="s">
        <v>8957</v>
      </c>
      <c r="H2570" t="s">
        <v>8959</v>
      </c>
      <c r="I2570" s="1" t="s">
        <v>9075</v>
      </c>
      <c r="J2570" s="1" t="s">
        <v>9269</v>
      </c>
      <c r="K2570" s="1" t="s">
        <v>9036</v>
      </c>
      <c r="L2570" s="1" t="s">
        <v>8973</v>
      </c>
      <c r="M2570" s="1">
        <v>53</v>
      </c>
      <c r="N2570" s="1" t="s">
        <v>8953</v>
      </c>
      <c r="O2570" s="1" t="s">
        <v>8989</v>
      </c>
      <c r="P2570" s="1" t="s">
        <v>8955</v>
      </c>
      <c r="Q2570" s="1" t="s">
        <v>8956</v>
      </c>
      <c r="R2570" s="1" t="s">
        <v>8957</v>
      </c>
      <c r="S2570" s="1" t="s">
        <v>8958</v>
      </c>
      <c r="T2570" s="1" t="s">
        <v>6807</v>
      </c>
      <c r="U2570" s="1" t="s">
        <v>924</v>
      </c>
      <c r="V2570" s="1" t="s">
        <v>1076</v>
      </c>
      <c r="W2570" s="1"/>
    </row>
    <row r="2571" spans="1:23" x14ac:dyDescent="0.2">
      <c r="A2571" s="88" t="s">
        <v>17746</v>
      </c>
      <c r="B2571" s="1" t="e">
        <v>#N/A</v>
      </c>
      <c r="C2571" s="1" t="s">
        <v>14537</v>
      </c>
      <c r="D2571" s="1" t="s">
        <v>6808</v>
      </c>
      <c r="E2571" s="1" t="s">
        <v>6809</v>
      </c>
      <c r="F2571" s="1" t="s">
        <v>9310</v>
      </c>
      <c r="G2571" s="1" t="s">
        <v>8957</v>
      </c>
      <c r="H2571" t="s">
        <v>9009</v>
      </c>
      <c r="I2571" s="1" t="s">
        <v>9075</v>
      </c>
      <c r="J2571" s="1" t="s">
        <v>9269</v>
      </c>
      <c r="K2571" s="1" t="s">
        <v>9036</v>
      </c>
      <c r="L2571" s="1" t="s">
        <v>8973</v>
      </c>
      <c r="M2571" s="1">
        <v>1400</v>
      </c>
      <c r="N2571" s="1" t="s">
        <v>8953</v>
      </c>
      <c r="O2571" s="1" t="s">
        <v>8989</v>
      </c>
      <c r="P2571" s="1" t="s">
        <v>8955</v>
      </c>
      <c r="Q2571" s="1" t="s">
        <v>8956</v>
      </c>
      <c r="R2571" s="1" t="s">
        <v>8957</v>
      </c>
      <c r="S2571" s="1" t="s">
        <v>8975</v>
      </c>
      <c r="T2571" s="1" t="s">
        <v>6810</v>
      </c>
      <c r="U2571" s="1" t="s">
        <v>929</v>
      </c>
      <c r="V2571" s="1" t="s">
        <v>46</v>
      </c>
      <c r="W2571" s="1"/>
    </row>
    <row r="2572" spans="1:23" x14ac:dyDescent="0.2">
      <c r="A2572" s="88" t="s">
        <v>17747</v>
      </c>
      <c r="B2572" s="1" t="e">
        <v>#N/A</v>
      </c>
      <c r="C2572" s="1" t="s">
        <v>12617</v>
      </c>
      <c r="D2572" s="1" t="s">
        <v>6811</v>
      </c>
      <c r="E2572" s="1" t="s">
        <v>6812</v>
      </c>
      <c r="F2572" s="1" t="s">
        <v>9310</v>
      </c>
      <c r="G2572" s="1" t="s">
        <v>8957</v>
      </c>
      <c r="H2572" t="s">
        <v>8959</v>
      </c>
      <c r="I2572" s="1" t="s">
        <v>9075</v>
      </c>
      <c r="J2572" s="1" t="s">
        <v>8949</v>
      </c>
      <c r="K2572" s="1" t="s">
        <v>9036</v>
      </c>
      <c r="L2572" s="1" t="s">
        <v>8987</v>
      </c>
      <c r="M2572" s="1">
        <v>444</v>
      </c>
      <c r="N2572" s="1" t="s">
        <v>8953</v>
      </c>
      <c r="O2572" s="1" t="s">
        <v>8954</v>
      </c>
      <c r="P2572" s="1" t="s">
        <v>8955</v>
      </c>
      <c r="Q2572" s="1" t="s">
        <v>8956</v>
      </c>
      <c r="R2572" s="1" t="s">
        <v>8957</v>
      </c>
      <c r="S2572" s="1" t="s">
        <v>8958</v>
      </c>
      <c r="T2572" s="1" t="s">
        <v>6813</v>
      </c>
      <c r="U2572" s="1" t="s">
        <v>11</v>
      </c>
      <c r="V2572" s="1" t="s">
        <v>619</v>
      </c>
      <c r="W2572" s="1"/>
    </row>
    <row r="2573" spans="1:23" x14ac:dyDescent="0.2">
      <c r="A2573" s="88" t="s">
        <v>17748</v>
      </c>
      <c r="B2573" s="1" t="e">
        <v>#N/A</v>
      </c>
      <c r="C2573" s="1" t="e">
        <v>#N/A</v>
      </c>
      <c r="D2573" s="1" t="s">
        <v>6814</v>
      </c>
      <c r="E2573" s="1" t="s">
        <v>6815</v>
      </c>
      <c r="F2573" s="1" t="e">
        <v>#N/A</v>
      </c>
      <c r="G2573" s="1" t="e">
        <v>#N/A</v>
      </c>
      <c r="H2573" t="e">
        <v>#N/A</v>
      </c>
      <c r="I2573" s="1" t="e">
        <v>#N/A</v>
      </c>
      <c r="J2573" s="1" t="e">
        <v>#N/A</v>
      </c>
      <c r="K2573" s="1" t="e">
        <v>#N/A</v>
      </c>
      <c r="L2573" s="1" t="e">
        <v>#N/A</v>
      </c>
      <c r="M2573" s="1" t="e">
        <v>#N/A</v>
      </c>
      <c r="N2573" s="1" t="e">
        <v>#N/A</v>
      </c>
      <c r="O2573" s="1" t="e">
        <v>#N/A</v>
      </c>
      <c r="P2573" s="1" t="e">
        <v>#N/A</v>
      </c>
      <c r="Q2573" s="1" t="e">
        <v>#N/A</v>
      </c>
      <c r="R2573" s="1">
        <f t="shared" ref="R2573:R2574" si="756">1+LEN(T2573)-LEN(SUBSTITUTE(T2573,",",))</f>
        <v>12</v>
      </c>
      <c r="S2573" s="1" t="str">
        <f t="shared" ref="S2573:S2574" si="757">IF(R2573&gt;4,IF(R2573&lt;8,"4-7",IF(R2573&gt;7,"&gt;7")),"&lt;4")</f>
        <v>&gt;7</v>
      </c>
      <c r="T2573" s="1" t="s">
        <v>20018</v>
      </c>
      <c r="U2573" s="1" t="s">
        <v>252</v>
      </c>
      <c r="V2573" s="1" t="s">
        <v>443</v>
      </c>
      <c r="W2573" s="1"/>
    </row>
    <row r="2574" spans="1:23" x14ac:dyDescent="0.2">
      <c r="A2574" s="88" t="s">
        <v>17749</v>
      </c>
      <c r="B2574" s="1" t="e">
        <v>#N/A</v>
      </c>
      <c r="C2574" s="1" t="e">
        <v>#N/A</v>
      </c>
      <c r="D2574" s="1" t="s">
        <v>6816</v>
      </c>
      <c r="E2574" s="1" t="s">
        <v>6817</v>
      </c>
      <c r="F2574" s="1" t="s">
        <v>9176</v>
      </c>
      <c r="G2574" s="1" t="s">
        <v>8959</v>
      </c>
      <c r="H2574" t="s">
        <v>8959</v>
      </c>
      <c r="I2574" s="1" t="s">
        <v>8948</v>
      </c>
      <c r="J2574" s="1" t="s">
        <v>11607</v>
      </c>
      <c r="K2574" s="1" t="s">
        <v>21023</v>
      </c>
      <c r="L2574" s="1" t="s">
        <v>8951</v>
      </c>
      <c r="M2574" s="1">
        <v>20</v>
      </c>
      <c r="N2574" s="1" t="s">
        <v>9059</v>
      </c>
      <c r="O2574" s="1" t="s">
        <v>8989</v>
      </c>
      <c r="P2574" s="1" t="e">
        <v>#N/A</v>
      </c>
      <c r="Q2574" s="1" t="e">
        <v>#N/A</v>
      </c>
      <c r="R2574" s="1">
        <f t="shared" si="756"/>
        <v>10</v>
      </c>
      <c r="S2574" s="1" t="str">
        <f t="shared" si="757"/>
        <v>&gt;7</v>
      </c>
      <c r="T2574" s="1" t="s">
        <v>20019</v>
      </c>
      <c r="U2574" s="1" t="s">
        <v>17</v>
      </c>
      <c r="V2574" s="1" t="s">
        <v>24</v>
      </c>
      <c r="W2574" s="1"/>
    </row>
    <row r="2575" spans="1:23" x14ac:dyDescent="0.2">
      <c r="A2575" s="88" t="s">
        <v>17750</v>
      </c>
      <c r="B2575" s="1" t="e">
        <v>#N/A</v>
      </c>
      <c r="C2575" s="1" t="s">
        <v>11531</v>
      </c>
      <c r="D2575" s="1" t="s">
        <v>6818</v>
      </c>
      <c r="E2575" s="1" t="s">
        <v>6819</v>
      </c>
      <c r="F2575" s="1" t="s">
        <v>9333</v>
      </c>
      <c r="G2575" s="1" t="s">
        <v>8959</v>
      </c>
      <c r="H2575" t="s">
        <v>9183</v>
      </c>
      <c r="I2575" s="1" t="s">
        <v>9049</v>
      </c>
      <c r="J2575" s="1" t="s">
        <v>9325</v>
      </c>
      <c r="K2575" s="1" t="s">
        <v>9041</v>
      </c>
      <c r="L2575" s="1" t="s">
        <v>8987</v>
      </c>
      <c r="M2575" s="1">
        <v>529</v>
      </c>
      <c r="N2575" s="1" t="s">
        <v>8953</v>
      </c>
      <c r="O2575" s="1" t="s">
        <v>8989</v>
      </c>
      <c r="P2575" s="1" t="s">
        <v>8955</v>
      </c>
      <c r="Q2575" s="1" t="s">
        <v>8956</v>
      </c>
      <c r="R2575" s="1" t="s">
        <v>8959</v>
      </c>
      <c r="S2575" s="1" t="s">
        <v>8975</v>
      </c>
      <c r="T2575" s="1" t="s">
        <v>6820</v>
      </c>
      <c r="U2575" s="1" t="s">
        <v>17</v>
      </c>
      <c r="V2575" s="1" t="s">
        <v>6821</v>
      </c>
      <c r="W2575" s="1"/>
    </row>
    <row r="2576" spans="1:23" x14ac:dyDescent="0.2">
      <c r="A2576" s="88" t="s">
        <v>17751</v>
      </c>
      <c r="B2576" s="1" t="e">
        <v>#N/A</v>
      </c>
      <c r="C2576" s="1" t="s">
        <v>10221</v>
      </c>
      <c r="D2576" s="1" t="s">
        <v>6822</v>
      </c>
      <c r="E2576" s="1" t="s">
        <v>6823</v>
      </c>
      <c r="F2576" s="1" t="s">
        <v>10049</v>
      </c>
      <c r="G2576" s="1" t="s">
        <v>8959</v>
      </c>
      <c r="H2576" t="s">
        <v>8959</v>
      </c>
      <c r="I2576" s="1" t="s">
        <v>8984</v>
      </c>
      <c r="J2576" s="1" t="s">
        <v>8949</v>
      </c>
      <c r="K2576" s="1" t="s">
        <v>10224</v>
      </c>
      <c r="L2576" s="1" t="s">
        <v>8973</v>
      </c>
      <c r="M2576" s="1">
        <v>43</v>
      </c>
      <c r="N2576" s="1" t="s">
        <v>8953</v>
      </c>
      <c r="O2576" s="1" t="s">
        <v>8954</v>
      </c>
      <c r="P2576" s="1" t="s">
        <v>8955</v>
      </c>
      <c r="Q2576" s="1" t="s">
        <v>8956</v>
      </c>
      <c r="R2576" s="1" t="s">
        <v>8959</v>
      </c>
      <c r="S2576" s="1" t="s">
        <v>8975</v>
      </c>
      <c r="T2576" s="1" t="s">
        <v>6824</v>
      </c>
      <c r="U2576" s="1" t="s">
        <v>17</v>
      </c>
      <c r="V2576" s="1" t="s">
        <v>35</v>
      </c>
      <c r="W2576" s="1"/>
    </row>
    <row r="2577" spans="1:23" x14ac:dyDescent="0.2">
      <c r="A2577" s="89" t="s">
        <v>6825</v>
      </c>
      <c r="B2577" s="1" t="e">
        <v>#N/A</v>
      </c>
      <c r="C2577" s="1" t="e">
        <v>#N/A</v>
      </c>
      <c r="D2577" s="5" t="s">
        <v>6826</v>
      </c>
      <c r="E2577" s="1" t="s">
        <v>6827</v>
      </c>
      <c r="F2577" s="1" t="e">
        <v>#N/A</v>
      </c>
      <c r="G2577" s="1" t="e">
        <v>#N/A</v>
      </c>
      <c r="H2577" t="e">
        <v>#N/A</v>
      </c>
      <c r="I2577" s="1" t="e">
        <v>#N/A</v>
      </c>
      <c r="J2577" s="1" t="e">
        <v>#N/A</v>
      </c>
      <c r="K2577" s="1" t="e">
        <v>#N/A</v>
      </c>
      <c r="L2577" s="1" t="e">
        <v>#N/A</v>
      </c>
      <c r="M2577" s="1" t="e">
        <v>#N/A</v>
      </c>
      <c r="N2577" s="1" t="e">
        <v>#N/A</v>
      </c>
      <c r="O2577" s="1" t="e">
        <v>#N/A</v>
      </c>
      <c r="P2577" s="1" t="e">
        <v>#N/A</v>
      </c>
      <c r="Q2577" s="1" t="e">
        <v>#N/A</v>
      </c>
      <c r="R2577" s="1">
        <f t="shared" ref="R2577:R2580" si="758">1+LEN(T2577)-LEN(SUBSTITUTE(T2577,",",))</f>
        <v>4</v>
      </c>
      <c r="S2577" s="1" t="str">
        <f t="shared" ref="S2577:S2580" si="759">IF(R2577&gt;4,IF(R2577&lt;8,"4-7",IF(R2577&gt;7,"&gt;7")),"&lt;4")</f>
        <v>&lt;4</v>
      </c>
      <c r="T2577" s="1" t="s">
        <v>20020</v>
      </c>
      <c r="U2577" s="1" t="s">
        <v>7</v>
      </c>
      <c r="V2577" s="1" t="s">
        <v>562</v>
      </c>
      <c r="W2577" s="1"/>
    </row>
    <row r="2578" spans="1:23" x14ac:dyDescent="0.2">
      <c r="A2578" s="89" t="s">
        <v>17752</v>
      </c>
      <c r="B2578" s="1" t="e">
        <v>#N/A</v>
      </c>
      <c r="C2578" s="1" t="e">
        <v>#N/A</v>
      </c>
      <c r="D2578" s="1" t="s">
        <v>6828</v>
      </c>
      <c r="E2578" s="1" t="s">
        <v>6829</v>
      </c>
      <c r="F2578" s="1" t="e">
        <v>#N/A</v>
      </c>
      <c r="G2578" s="1" t="e">
        <v>#N/A</v>
      </c>
      <c r="H2578" t="e">
        <v>#N/A</v>
      </c>
      <c r="I2578" s="1" t="e">
        <v>#N/A</v>
      </c>
      <c r="J2578" s="1" t="e">
        <v>#N/A</v>
      </c>
      <c r="K2578" s="1" t="e">
        <v>#N/A</v>
      </c>
      <c r="L2578" s="1" t="e">
        <v>#N/A</v>
      </c>
      <c r="M2578" s="1" t="e">
        <v>#N/A</v>
      </c>
      <c r="N2578" s="1" t="e">
        <v>#N/A</v>
      </c>
      <c r="O2578" s="1" t="e">
        <v>#N/A</v>
      </c>
      <c r="P2578" s="1" t="e">
        <v>#N/A</v>
      </c>
      <c r="Q2578" s="1" t="e">
        <v>#N/A</v>
      </c>
      <c r="R2578" s="1">
        <f t="shared" si="758"/>
        <v>6</v>
      </c>
      <c r="S2578" s="1" t="str">
        <f t="shared" si="759"/>
        <v>4-7</v>
      </c>
      <c r="T2578" s="1" t="s">
        <v>20021</v>
      </c>
      <c r="U2578" s="1" t="s">
        <v>7</v>
      </c>
      <c r="V2578" s="1" t="s">
        <v>6830</v>
      </c>
      <c r="W2578" s="1"/>
    </row>
    <row r="2579" spans="1:23" x14ac:dyDescent="0.2">
      <c r="A2579" s="88" t="s">
        <v>17753</v>
      </c>
      <c r="B2579" s="1" t="e">
        <v>#N/A</v>
      </c>
      <c r="C2579" s="1" t="e">
        <v>#N/A</v>
      </c>
      <c r="D2579" s="1" t="s">
        <v>6831</v>
      </c>
      <c r="E2579" s="1" t="s">
        <v>6832</v>
      </c>
      <c r="F2579" s="1" t="s">
        <v>18502</v>
      </c>
      <c r="G2579" s="1" t="s">
        <v>8957</v>
      </c>
      <c r="H2579" t="s">
        <v>9061</v>
      </c>
      <c r="I2579" s="1" t="s">
        <v>8948</v>
      </c>
      <c r="J2579" s="1" t="s">
        <v>8949</v>
      </c>
      <c r="K2579" s="1" t="s">
        <v>21023</v>
      </c>
      <c r="L2579" s="1" t="s">
        <v>8973</v>
      </c>
      <c r="M2579" s="1">
        <v>26</v>
      </c>
      <c r="N2579" s="1" t="s">
        <v>9059</v>
      </c>
      <c r="O2579" s="1" t="s">
        <v>8954</v>
      </c>
      <c r="P2579" s="1" t="e">
        <v>#N/A</v>
      </c>
      <c r="Q2579" s="1" t="e">
        <v>#N/A</v>
      </c>
      <c r="R2579" s="1">
        <f t="shared" si="758"/>
        <v>6</v>
      </c>
      <c r="S2579" s="1" t="str">
        <f t="shared" si="759"/>
        <v>4-7</v>
      </c>
      <c r="T2579" s="1" t="s">
        <v>20687</v>
      </c>
      <c r="U2579" s="1" t="s">
        <v>17</v>
      </c>
      <c r="V2579" s="1" t="s">
        <v>61</v>
      </c>
      <c r="W2579" s="1"/>
    </row>
    <row r="2580" spans="1:23" x14ac:dyDescent="0.2">
      <c r="A2580" s="88" t="s">
        <v>17754</v>
      </c>
      <c r="B2580" s="1" t="e">
        <v>#N/A</v>
      </c>
      <c r="C2580" s="1" t="e">
        <v>#N/A</v>
      </c>
      <c r="D2580" s="1" t="s">
        <v>6833</v>
      </c>
      <c r="E2580" s="1" t="s">
        <v>6834</v>
      </c>
      <c r="F2580" s="1" t="s">
        <v>9380</v>
      </c>
      <c r="G2580" s="1" t="s">
        <v>8959</v>
      </c>
      <c r="H2580" t="s">
        <v>9061</v>
      </c>
      <c r="I2580" s="1" t="s">
        <v>8948</v>
      </c>
      <c r="J2580" s="1" t="s">
        <v>8949</v>
      </c>
      <c r="K2580" s="1" t="s">
        <v>10492</v>
      </c>
      <c r="L2580" s="1" t="s">
        <v>9076</v>
      </c>
      <c r="M2580" s="1">
        <f>11008+4608+12800</f>
        <v>28416</v>
      </c>
      <c r="N2580" s="1" t="s">
        <v>9059</v>
      </c>
      <c r="O2580" s="1" t="s">
        <v>8989</v>
      </c>
      <c r="P2580" s="1" t="e">
        <v>#N/A</v>
      </c>
      <c r="Q2580" s="1" t="e">
        <v>#N/A</v>
      </c>
      <c r="R2580" s="1">
        <f t="shared" si="758"/>
        <v>7</v>
      </c>
      <c r="S2580" s="1" t="str">
        <f t="shared" si="759"/>
        <v>4-7</v>
      </c>
      <c r="T2580" s="1" t="s">
        <v>20022</v>
      </c>
      <c r="U2580" s="1" t="s">
        <v>7</v>
      </c>
      <c r="V2580" s="1" t="s">
        <v>21</v>
      </c>
      <c r="W2580" s="1"/>
    </row>
    <row r="2581" spans="1:23" x14ac:dyDescent="0.2">
      <c r="A2581" s="89" t="s">
        <v>6835</v>
      </c>
      <c r="B2581" s="1" t="e">
        <v>#N/A</v>
      </c>
      <c r="C2581" s="1" t="s">
        <v>13655</v>
      </c>
      <c r="D2581" s="1" t="s">
        <v>6836</v>
      </c>
      <c r="E2581" s="1" t="s">
        <v>6837</v>
      </c>
      <c r="F2581" s="1" t="s">
        <v>9380</v>
      </c>
      <c r="G2581" s="1" t="s">
        <v>8957</v>
      </c>
      <c r="H2581" t="s">
        <v>8959</v>
      </c>
      <c r="I2581" s="1" t="s">
        <v>8948</v>
      </c>
      <c r="J2581" s="1" t="s">
        <v>8949</v>
      </c>
      <c r="K2581" s="1" t="s">
        <v>9041</v>
      </c>
      <c r="L2581" s="1" t="s">
        <v>8951</v>
      </c>
      <c r="M2581" s="1">
        <v>359</v>
      </c>
      <c r="N2581" s="1" t="s">
        <v>8953</v>
      </c>
      <c r="O2581" s="1" t="s">
        <v>8954</v>
      </c>
      <c r="P2581" s="1" t="s">
        <v>8955</v>
      </c>
      <c r="Q2581" s="1" t="s">
        <v>8956</v>
      </c>
      <c r="R2581" s="1" t="s">
        <v>8957</v>
      </c>
      <c r="S2581" s="1" t="s">
        <v>8975</v>
      </c>
      <c r="T2581" s="1" t="s">
        <v>6838</v>
      </c>
      <c r="U2581" s="1" t="s">
        <v>11</v>
      </c>
      <c r="V2581" s="1" t="s">
        <v>392</v>
      </c>
      <c r="W2581" s="1"/>
    </row>
    <row r="2582" spans="1:23" x14ac:dyDescent="0.2">
      <c r="A2582" s="88" t="s">
        <v>17755</v>
      </c>
      <c r="B2582" s="1" t="e">
        <v>#N/A</v>
      </c>
      <c r="C2582" s="1" t="s">
        <v>14248</v>
      </c>
      <c r="D2582" s="1" t="s">
        <v>6839</v>
      </c>
      <c r="E2582" s="1" t="s">
        <v>6840</v>
      </c>
      <c r="F2582" s="1" t="s">
        <v>10049</v>
      </c>
      <c r="G2582" s="1" t="s">
        <v>8957</v>
      </c>
      <c r="H2582" t="s">
        <v>8959</v>
      </c>
      <c r="I2582" s="1" t="s">
        <v>9092</v>
      </c>
      <c r="J2582" s="1" t="s">
        <v>9308</v>
      </c>
      <c r="K2582" s="1" t="s">
        <v>10135</v>
      </c>
      <c r="L2582" s="1" t="s">
        <v>8987</v>
      </c>
      <c r="M2582" s="1">
        <v>1391</v>
      </c>
      <c r="N2582" s="1" t="s">
        <v>8953</v>
      </c>
      <c r="O2582" s="1" t="s">
        <v>8989</v>
      </c>
      <c r="P2582" s="1" t="s">
        <v>8955</v>
      </c>
      <c r="Q2582" s="1" t="s">
        <v>8956</v>
      </c>
      <c r="R2582" s="1" t="s">
        <v>8957</v>
      </c>
      <c r="S2582" s="1" t="s">
        <v>8958</v>
      </c>
      <c r="T2582" s="1" t="s">
        <v>6841</v>
      </c>
      <c r="U2582" s="1" t="s">
        <v>4</v>
      </c>
      <c r="V2582" s="1" t="s">
        <v>126</v>
      </c>
      <c r="W2582" s="1"/>
    </row>
    <row r="2583" spans="1:23" x14ac:dyDescent="0.2">
      <c r="A2583" s="88" t="s">
        <v>17756</v>
      </c>
      <c r="B2583" s="1" t="e">
        <v>#N/A</v>
      </c>
      <c r="C2583" s="1" t="e">
        <v>#N/A</v>
      </c>
      <c r="D2583" s="1" t="s">
        <v>6842</v>
      </c>
      <c r="E2583" s="1" t="s">
        <v>6843</v>
      </c>
      <c r="F2583" s="1" t="s">
        <v>18502</v>
      </c>
      <c r="G2583" s="1" t="s">
        <v>8959</v>
      </c>
      <c r="H2583" t="s">
        <v>9061</v>
      </c>
      <c r="I2583" s="1" t="s">
        <v>9035</v>
      </c>
      <c r="J2583" s="1" t="s">
        <v>8998</v>
      </c>
      <c r="K2583" s="1" t="s">
        <v>21023</v>
      </c>
      <c r="L2583" s="1" t="s">
        <v>21024</v>
      </c>
      <c r="M2583" s="1">
        <v>475</v>
      </c>
      <c r="N2583" s="1" t="s">
        <v>9059</v>
      </c>
      <c r="O2583" s="1" t="s">
        <v>8989</v>
      </c>
      <c r="P2583" s="1" t="e">
        <v>#N/A</v>
      </c>
      <c r="Q2583" s="1" t="e">
        <v>#N/A</v>
      </c>
      <c r="R2583" s="1">
        <f t="shared" ref="R2583:R2591" si="760">1+LEN(T2583)-LEN(SUBSTITUTE(T2583,",",))</f>
        <v>7</v>
      </c>
      <c r="S2583" s="1" t="str">
        <f t="shared" ref="S2583:S2591" si="761">IF(R2583&gt;4,IF(R2583&lt;8,"4-7",IF(R2583&gt;7,"&gt;7")),"&lt;4")</f>
        <v>4-7</v>
      </c>
      <c r="T2583" s="1" t="s">
        <v>20688</v>
      </c>
      <c r="U2583" s="1" t="s">
        <v>17</v>
      </c>
      <c r="V2583" s="1" t="s">
        <v>640</v>
      </c>
      <c r="W2583" s="1"/>
    </row>
    <row r="2584" spans="1:23" x14ac:dyDescent="0.2">
      <c r="A2584" s="88" t="s">
        <v>17757</v>
      </c>
      <c r="B2584" s="1" t="e">
        <v>#N/A</v>
      </c>
      <c r="C2584" s="1" t="e">
        <v>#N/A</v>
      </c>
      <c r="D2584" s="1" t="s">
        <v>6844</v>
      </c>
      <c r="E2584" s="1" t="s">
        <v>6845</v>
      </c>
      <c r="F2584" s="1" t="s">
        <v>10873</v>
      </c>
      <c r="G2584" s="1" t="s">
        <v>9060</v>
      </c>
      <c r="H2584" t="s">
        <v>8959</v>
      </c>
      <c r="I2584" s="1" t="s">
        <v>9100</v>
      </c>
      <c r="J2584" s="1" t="s">
        <v>8949</v>
      </c>
      <c r="K2584" s="1" t="s">
        <v>20736</v>
      </c>
      <c r="L2584" s="1" t="s">
        <v>8987</v>
      </c>
      <c r="M2584" s="1">
        <f>785+192+409+184</f>
        <v>1570</v>
      </c>
      <c r="N2584" s="1" t="s">
        <v>9059</v>
      </c>
      <c r="O2584" s="1" t="s">
        <v>8954</v>
      </c>
      <c r="P2584" s="1" t="e">
        <v>#N/A</v>
      </c>
      <c r="Q2584" s="1" t="e">
        <v>#N/A</v>
      </c>
      <c r="R2584" s="1">
        <f t="shared" si="760"/>
        <v>5</v>
      </c>
      <c r="S2584" s="1" t="str">
        <f t="shared" si="761"/>
        <v>4-7</v>
      </c>
      <c r="T2584" s="1" t="s">
        <v>20023</v>
      </c>
      <c r="U2584" s="1" t="s">
        <v>17</v>
      </c>
      <c r="V2584" s="1" t="s">
        <v>392</v>
      </c>
      <c r="W2584" s="1"/>
    </row>
    <row r="2585" spans="1:23" x14ac:dyDescent="0.2">
      <c r="A2585" s="88" t="s">
        <v>17758</v>
      </c>
      <c r="B2585" s="1" t="e">
        <v>#N/A</v>
      </c>
      <c r="C2585" s="1" t="e">
        <v>#N/A</v>
      </c>
      <c r="D2585" s="1" t="s">
        <v>6846</v>
      </c>
      <c r="E2585" s="1" t="s">
        <v>6847</v>
      </c>
      <c r="F2585" s="1" t="s">
        <v>9642</v>
      </c>
      <c r="G2585" s="1" t="s">
        <v>8959</v>
      </c>
      <c r="H2585" t="s">
        <v>8959</v>
      </c>
      <c r="I2585" s="1" t="s">
        <v>9154</v>
      </c>
      <c r="J2585" s="1" t="s">
        <v>9308</v>
      </c>
      <c r="K2585" s="1" t="s">
        <v>21256</v>
      </c>
      <c r="L2585" s="1" t="s">
        <v>9076</v>
      </c>
      <c r="M2585" s="1">
        <v>30</v>
      </c>
      <c r="N2585" s="1" t="s">
        <v>8953</v>
      </c>
      <c r="O2585" s="1" t="s">
        <v>8989</v>
      </c>
      <c r="P2585" s="1" t="e">
        <v>#N/A</v>
      </c>
      <c r="Q2585" s="1" t="e">
        <v>#N/A</v>
      </c>
      <c r="R2585" s="1">
        <f t="shared" si="760"/>
        <v>2</v>
      </c>
      <c r="S2585" s="1" t="str">
        <f t="shared" si="761"/>
        <v>&lt;4</v>
      </c>
      <c r="T2585" s="1" t="s">
        <v>20024</v>
      </c>
      <c r="U2585" s="1" t="s">
        <v>17</v>
      </c>
      <c r="V2585" s="1" t="s">
        <v>598</v>
      </c>
      <c r="W2585" s="1"/>
    </row>
    <row r="2586" spans="1:23" x14ac:dyDescent="0.2">
      <c r="A2586" s="88" t="s">
        <v>17759</v>
      </c>
      <c r="B2586" s="1" t="e">
        <v>#N/A</v>
      </c>
      <c r="C2586" s="1" t="e">
        <v>#N/A</v>
      </c>
      <c r="D2586" s="1" t="s">
        <v>6848</v>
      </c>
      <c r="E2586" s="1" t="s">
        <v>6849</v>
      </c>
      <c r="F2586" s="1" t="s">
        <v>18502</v>
      </c>
      <c r="G2586" s="1" t="s">
        <v>8957</v>
      </c>
      <c r="H2586" t="s">
        <v>8959</v>
      </c>
      <c r="I2586" s="1" t="s">
        <v>9252</v>
      </c>
      <c r="J2586" s="1" t="s">
        <v>8949</v>
      </c>
      <c r="K2586" s="1" t="s">
        <v>10492</v>
      </c>
      <c r="L2586" s="1" t="s">
        <v>8973</v>
      </c>
      <c r="M2586" s="1">
        <v>317</v>
      </c>
      <c r="N2586" s="1" t="s">
        <v>9059</v>
      </c>
      <c r="O2586" s="1" t="s">
        <v>8989</v>
      </c>
      <c r="P2586" s="1" t="e">
        <v>#N/A</v>
      </c>
      <c r="Q2586" s="1" t="e">
        <v>#N/A</v>
      </c>
      <c r="R2586" s="1">
        <f t="shared" si="760"/>
        <v>7</v>
      </c>
      <c r="S2586" s="1" t="str">
        <f t="shared" si="761"/>
        <v>4-7</v>
      </c>
      <c r="T2586" s="1" t="s">
        <v>20025</v>
      </c>
      <c r="U2586" s="1" t="s">
        <v>17</v>
      </c>
      <c r="V2586" s="1" t="s">
        <v>161</v>
      </c>
      <c r="W2586" s="1"/>
    </row>
    <row r="2587" spans="1:23" x14ac:dyDescent="0.2">
      <c r="A2587" s="88" t="s">
        <v>17760</v>
      </c>
      <c r="B2587" s="1" t="e">
        <v>#N/A</v>
      </c>
      <c r="C2587" s="1" t="e">
        <v>#N/A</v>
      </c>
      <c r="D2587" s="1" t="s">
        <v>6850</v>
      </c>
      <c r="E2587" s="1" t="s">
        <v>6851</v>
      </c>
      <c r="F2587" s="1" t="s">
        <v>18502</v>
      </c>
      <c r="G2587" s="1" t="s">
        <v>9060</v>
      </c>
      <c r="H2587" t="s">
        <v>8959</v>
      </c>
      <c r="I2587" s="1" t="s">
        <v>9100</v>
      </c>
      <c r="J2587" s="1" t="s">
        <v>9155</v>
      </c>
      <c r="K2587" s="1" t="s">
        <v>10492</v>
      </c>
      <c r="L2587" s="1" t="s">
        <v>21025</v>
      </c>
      <c r="M2587" s="1">
        <v>66</v>
      </c>
      <c r="N2587" s="1" t="s">
        <v>9059</v>
      </c>
      <c r="O2587" s="1" t="s">
        <v>8989</v>
      </c>
      <c r="P2587" s="1" t="e">
        <v>#N/A</v>
      </c>
      <c r="Q2587" s="1" t="e">
        <v>#N/A</v>
      </c>
      <c r="R2587" s="1">
        <f t="shared" si="760"/>
        <v>7</v>
      </c>
      <c r="S2587" s="1" t="str">
        <f t="shared" si="761"/>
        <v>4-7</v>
      </c>
      <c r="T2587" s="1" t="s">
        <v>20026</v>
      </c>
      <c r="U2587" s="1" t="s">
        <v>17</v>
      </c>
      <c r="V2587" s="1" t="s">
        <v>733</v>
      </c>
      <c r="W2587" s="1"/>
    </row>
    <row r="2588" spans="1:23" x14ac:dyDescent="0.2">
      <c r="A2588" s="88" t="s">
        <v>17761</v>
      </c>
      <c r="B2588" s="1" t="e">
        <v>#N/A</v>
      </c>
      <c r="C2588" s="1" t="e">
        <v>#N/A</v>
      </c>
      <c r="D2588" s="1" t="s">
        <v>6852</v>
      </c>
      <c r="E2588" s="1" t="s">
        <v>6853</v>
      </c>
      <c r="F2588" s="1" t="s">
        <v>9815</v>
      </c>
      <c r="G2588" s="1" t="s">
        <v>8959</v>
      </c>
      <c r="H2588" t="s">
        <v>8959</v>
      </c>
      <c r="I2588" s="1" t="s">
        <v>9100</v>
      </c>
      <c r="J2588" s="1" t="s">
        <v>8949</v>
      </c>
      <c r="K2588" s="1" t="s">
        <v>18497</v>
      </c>
      <c r="L2588" s="1" t="s">
        <v>9076</v>
      </c>
      <c r="M2588" s="1">
        <v>7783</v>
      </c>
      <c r="N2588" s="1" t="s">
        <v>8953</v>
      </c>
      <c r="O2588" s="1" t="s">
        <v>8989</v>
      </c>
      <c r="P2588" s="1" t="e">
        <v>#N/A</v>
      </c>
      <c r="Q2588" s="1" t="e">
        <v>#N/A</v>
      </c>
      <c r="R2588" s="1">
        <f t="shared" si="760"/>
        <v>13</v>
      </c>
      <c r="S2588" s="1" t="str">
        <f t="shared" si="761"/>
        <v>&gt;7</v>
      </c>
      <c r="T2588" s="1" t="s">
        <v>20027</v>
      </c>
      <c r="U2588" s="1" t="s">
        <v>17</v>
      </c>
      <c r="V2588" s="1" t="s">
        <v>1202</v>
      </c>
      <c r="W2588" s="1"/>
    </row>
    <row r="2589" spans="1:23" x14ac:dyDescent="0.2">
      <c r="A2589" s="88" t="s">
        <v>17762</v>
      </c>
      <c r="B2589" s="1" t="e">
        <v>#N/A</v>
      </c>
      <c r="C2589" s="1" t="e">
        <v>#N/A</v>
      </c>
      <c r="D2589" s="1" t="s">
        <v>6854</v>
      </c>
      <c r="E2589" s="1" t="s">
        <v>6855</v>
      </c>
      <c r="F2589" s="1" t="s">
        <v>10850</v>
      </c>
      <c r="G2589" s="1" t="s">
        <v>8959</v>
      </c>
      <c r="H2589" t="s">
        <v>8959</v>
      </c>
      <c r="I2589" s="1" t="s">
        <v>20714</v>
      </c>
      <c r="J2589" s="1" t="s">
        <v>20725</v>
      </c>
      <c r="K2589" s="1" t="s">
        <v>18497</v>
      </c>
      <c r="L2589" s="1" t="s">
        <v>8951</v>
      </c>
      <c r="M2589" s="1">
        <v>38400</v>
      </c>
      <c r="N2589" s="1" t="s">
        <v>8953</v>
      </c>
      <c r="O2589" s="1" t="s">
        <v>8989</v>
      </c>
      <c r="P2589" s="1" t="e">
        <v>#N/A</v>
      </c>
      <c r="Q2589" s="1" t="e">
        <v>#N/A</v>
      </c>
      <c r="R2589" s="1">
        <f t="shared" si="760"/>
        <v>3</v>
      </c>
      <c r="S2589" s="1" t="str">
        <f t="shared" si="761"/>
        <v>&lt;4</v>
      </c>
      <c r="T2589" s="1" t="s">
        <v>20028</v>
      </c>
      <c r="U2589" s="1" t="s">
        <v>7</v>
      </c>
      <c r="V2589" s="1" t="s">
        <v>46</v>
      </c>
      <c r="W2589" s="1"/>
    </row>
    <row r="2590" spans="1:23" x14ac:dyDescent="0.2">
      <c r="A2590" s="88" t="s">
        <v>17763</v>
      </c>
      <c r="B2590" s="1" t="e">
        <v>#N/A</v>
      </c>
      <c r="C2590" s="1" t="e">
        <v>#N/A</v>
      </c>
      <c r="D2590" s="1" t="s">
        <v>6856</v>
      </c>
      <c r="E2590" s="1" t="s">
        <v>6857</v>
      </c>
      <c r="F2590" s="1" t="s">
        <v>9317</v>
      </c>
      <c r="G2590" s="1" t="s">
        <v>8957</v>
      </c>
      <c r="H2590" t="s">
        <v>8959</v>
      </c>
      <c r="I2590" s="1" t="s">
        <v>8948</v>
      </c>
      <c r="J2590" s="1" t="s">
        <v>8998</v>
      </c>
      <c r="K2590" s="1" t="s">
        <v>21294</v>
      </c>
      <c r="L2590" s="1" t="s">
        <v>8951</v>
      </c>
      <c r="M2590" s="1">
        <v>291</v>
      </c>
      <c r="N2590" s="1" t="s">
        <v>9059</v>
      </c>
      <c r="O2590" s="1" t="s">
        <v>8954</v>
      </c>
      <c r="P2590" s="1" t="e">
        <v>#N/A</v>
      </c>
      <c r="Q2590" s="1" t="e">
        <v>#N/A</v>
      </c>
      <c r="R2590" s="1">
        <f t="shared" si="760"/>
        <v>24</v>
      </c>
      <c r="S2590" s="1" t="str">
        <f t="shared" si="761"/>
        <v>&gt;7</v>
      </c>
      <c r="T2590" s="1" t="s">
        <v>20029</v>
      </c>
      <c r="U2590" s="1" t="s">
        <v>7</v>
      </c>
      <c r="V2590" s="1" t="s">
        <v>24</v>
      </c>
      <c r="W2590" s="1"/>
    </row>
    <row r="2591" spans="1:23" x14ac:dyDescent="0.2">
      <c r="A2591" s="88" t="s">
        <v>17764</v>
      </c>
      <c r="B2591" s="1" t="e">
        <v>#N/A</v>
      </c>
      <c r="C2591" s="1" t="e">
        <v>#N/A</v>
      </c>
      <c r="D2591" s="1" t="s">
        <v>6858</v>
      </c>
      <c r="E2591" s="1" t="s">
        <v>6859</v>
      </c>
      <c r="F2591" s="1" t="s">
        <v>10873</v>
      </c>
      <c r="G2591" s="1" t="s">
        <v>9060</v>
      </c>
      <c r="H2591" t="s">
        <v>9061</v>
      </c>
      <c r="I2591" s="1" t="s">
        <v>9154</v>
      </c>
      <c r="J2591" s="1" t="s">
        <v>8949</v>
      </c>
      <c r="K2591" s="1" t="s">
        <v>10492</v>
      </c>
      <c r="L2591" s="1" t="s">
        <v>9076</v>
      </c>
      <c r="M2591" s="1">
        <v>500</v>
      </c>
      <c r="N2591" s="1" t="s">
        <v>8953</v>
      </c>
      <c r="O2591" s="1" t="s">
        <v>8989</v>
      </c>
      <c r="P2591" s="1" t="e">
        <v>#N/A</v>
      </c>
      <c r="Q2591" s="1" t="e">
        <v>#N/A</v>
      </c>
      <c r="R2591" s="1">
        <f t="shared" si="760"/>
        <v>8</v>
      </c>
      <c r="S2591" s="1" t="str">
        <f t="shared" si="761"/>
        <v>&gt;7</v>
      </c>
      <c r="T2591" s="1" t="s">
        <v>20030</v>
      </c>
      <c r="U2591" s="1" t="s">
        <v>7</v>
      </c>
      <c r="V2591" s="1" t="s">
        <v>571</v>
      </c>
      <c r="W2591" s="1"/>
    </row>
    <row r="2592" spans="1:23" x14ac:dyDescent="0.2">
      <c r="A2592" s="88" t="s">
        <v>17765</v>
      </c>
      <c r="B2592" s="1" t="e">
        <v>#N/A</v>
      </c>
      <c r="C2592" s="1" t="s">
        <v>11346</v>
      </c>
      <c r="D2592" s="5" t="s">
        <v>6860</v>
      </c>
      <c r="E2592" s="1" t="s">
        <v>6861</v>
      </c>
      <c r="F2592" s="1" t="s">
        <v>9010</v>
      </c>
      <c r="G2592" s="1" t="s">
        <v>8974</v>
      </c>
      <c r="H2592" t="s">
        <v>9183</v>
      </c>
      <c r="I2592" s="1" t="s">
        <v>9252</v>
      </c>
      <c r="J2592" s="1" t="s">
        <v>9422</v>
      </c>
      <c r="K2592" s="1" t="s">
        <v>9036</v>
      </c>
      <c r="L2592" s="1" t="s">
        <v>8951</v>
      </c>
      <c r="M2592" s="1">
        <v>70</v>
      </c>
      <c r="N2592" s="1" t="s">
        <v>8953</v>
      </c>
      <c r="O2592" s="1" t="s">
        <v>8989</v>
      </c>
      <c r="P2592" s="1" t="s">
        <v>8955</v>
      </c>
      <c r="Q2592" s="1" t="s">
        <v>8956</v>
      </c>
      <c r="R2592" s="1" t="s">
        <v>8974</v>
      </c>
      <c r="S2592" s="1" t="s">
        <v>8975</v>
      </c>
      <c r="T2592" s="1" t="s">
        <v>6862</v>
      </c>
      <c r="U2592" s="1" t="s">
        <v>11</v>
      </c>
      <c r="V2592" s="1" t="s">
        <v>6863</v>
      </c>
      <c r="W2592" s="1"/>
    </row>
    <row r="2593" spans="1:23" x14ac:dyDescent="0.2">
      <c r="A2593" s="88" t="s">
        <v>17766</v>
      </c>
      <c r="B2593" s="1" t="e">
        <v>#N/A</v>
      </c>
      <c r="C2593" s="1" t="e">
        <v>#N/A</v>
      </c>
      <c r="D2593" s="1" t="s">
        <v>6864</v>
      </c>
      <c r="E2593" s="1" t="s">
        <v>6865</v>
      </c>
      <c r="F2593" s="1" t="s">
        <v>18502</v>
      </c>
      <c r="G2593" s="1" t="s">
        <v>8959</v>
      </c>
      <c r="H2593" t="s">
        <v>9061</v>
      </c>
      <c r="I2593" s="1" t="s">
        <v>20714</v>
      </c>
      <c r="J2593" s="1" t="s">
        <v>8949</v>
      </c>
      <c r="K2593" s="1" t="s">
        <v>10492</v>
      </c>
      <c r="L2593" s="1" t="s">
        <v>8973</v>
      </c>
      <c r="M2593" s="1">
        <v>356</v>
      </c>
      <c r="N2593" s="1" t="s">
        <v>8953</v>
      </c>
      <c r="O2593" s="1" t="s">
        <v>8954</v>
      </c>
      <c r="P2593" s="1" t="e">
        <v>#N/A</v>
      </c>
      <c r="Q2593" s="1" t="e">
        <v>#N/A</v>
      </c>
      <c r="R2593" s="1">
        <f t="shared" ref="R2593:R2594" si="762">1+LEN(T2593)-LEN(SUBSTITUTE(T2593,",",))</f>
        <v>11</v>
      </c>
      <c r="S2593" s="1" t="str">
        <f t="shared" ref="S2593:S2594" si="763">IF(R2593&gt;4,IF(R2593&lt;8,"4-7",IF(R2593&gt;7,"&gt;7")),"&lt;4")</f>
        <v>&gt;7</v>
      </c>
      <c r="T2593" s="1" t="s">
        <v>20031</v>
      </c>
      <c r="U2593" s="1" t="s">
        <v>17</v>
      </c>
      <c r="V2593" s="1" t="s">
        <v>87</v>
      </c>
      <c r="W2593" s="1"/>
    </row>
    <row r="2594" spans="1:23" x14ac:dyDescent="0.2">
      <c r="A2594" s="88" t="s">
        <v>17767</v>
      </c>
      <c r="B2594" s="1" t="e">
        <v>#N/A</v>
      </c>
      <c r="C2594" s="1" t="e">
        <v>#N/A</v>
      </c>
      <c r="D2594" s="1" t="s">
        <v>6866</v>
      </c>
      <c r="E2594" s="1" t="s">
        <v>6867</v>
      </c>
      <c r="F2594" s="1" t="s">
        <v>18502</v>
      </c>
      <c r="G2594" s="1" t="s">
        <v>8959</v>
      </c>
      <c r="H2594" t="s">
        <v>9061</v>
      </c>
      <c r="I2594" s="1" t="s">
        <v>9100</v>
      </c>
      <c r="J2594" s="1" t="s">
        <v>8949</v>
      </c>
      <c r="K2594" s="1" t="s">
        <v>10492</v>
      </c>
      <c r="L2594" s="1" t="s">
        <v>8951</v>
      </c>
      <c r="M2594" s="1">
        <v>586</v>
      </c>
      <c r="N2594" s="1" t="s">
        <v>8953</v>
      </c>
      <c r="O2594" s="1" t="s">
        <v>8989</v>
      </c>
      <c r="P2594" s="1" t="e">
        <v>#N/A</v>
      </c>
      <c r="Q2594" s="1" t="e">
        <v>#N/A</v>
      </c>
      <c r="R2594" s="1">
        <f t="shared" si="762"/>
        <v>8</v>
      </c>
      <c r="S2594" s="1" t="str">
        <f t="shared" si="763"/>
        <v>&gt;7</v>
      </c>
      <c r="T2594" s="1" t="s">
        <v>20689</v>
      </c>
      <c r="U2594" s="1" t="s">
        <v>17</v>
      </c>
      <c r="V2594" s="1" t="s">
        <v>87</v>
      </c>
      <c r="W2594" s="1"/>
    </row>
    <row r="2595" spans="1:23" x14ac:dyDescent="0.2">
      <c r="A2595" s="88" t="s">
        <v>17768</v>
      </c>
      <c r="B2595" s="1" t="e">
        <v>#N/A</v>
      </c>
      <c r="C2595" s="1" t="s">
        <v>9834</v>
      </c>
      <c r="D2595" s="1" t="s">
        <v>6868</v>
      </c>
      <c r="E2595" s="1" t="s">
        <v>6869</v>
      </c>
      <c r="F2595" s="1" t="s">
        <v>9213</v>
      </c>
      <c r="G2595" s="1" t="s">
        <v>8957</v>
      </c>
      <c r="H2595" t="s">
        <v>8959</v>
      </c>
      <c r="I2595" s="1" t="s">
        <v>9035</v>
      </c>
      <c r="J2595" s="1" t="s">
        <v>9308</v>
      </c>
      <c r="K2595" s="1" t="s">
        <v>9036</v>
      </c>
      <c r="L2595" s="1" t="s">
        <v>8987</v>
      </c>
      <c r="M2595" s="1">
        <v>5856</v>
      </c>
      <c r="N2595" s="1" t="s">
        <v>8953</v>
      </c>
      <c r="O2595" s="1" t="s">
        <v>8989</v>
      </c>
      <c r="P2595" s="1" t="s">
        <v>8955</v>
      </c>
      <c r="Q2595" s="1" t="s">
        <v>8956</v>
      </c>
      <c r="R2595" s="1" t="s">
        <v>8957</v>
      </c>
      <c r="S2595" s="1" t="s">
        <v>8958</v>
      </c>
      <c r="T2595" s="1" t="s">
        <v>6870</v>
      </c>
      <c r="U2595" s="1" t="s">
        <v>17</v>
      </c>
      <c r="V2595" s="1" t="s">
        <v>35</v>
      </c>
      <c r="W2595" s="1"/>
    </row>
    <row r="2596" spans="1:23" x14ac:dyDescent="0.2">
      <c r="A2596" s="88" t="s">
        <v>17769</v>
      </c>
      <c r="B2596" s="1" t="e">
        <v>#N/A</v>
      </c>
      <c r="C2596" s="1" t="e">
        <v>#N/A</v>
      </c>
      <c r="D2596" s="1" t="s">
        <v>6871</v>
      </c>
      <c r="E2596" s="1" t="s">
        <v>6872</v>
      </c>
      <c r="F2596" s="1" t="e">
        <v>#N/A</v>
      </c>
      <c r="G2596" s="1" t="e">
        <v>#N/A</v>
      </c>
      <c r="H2596" t="e">
        <v>#N/A</v>
      </c>
      <c r="I2596" s="1" t="e">
        <v>#N/A</v>
      </c>
      <c r="J2596" s="1" t="e">
        <v>#N/A</v>
      </c>
      <c r="K2596" s="1" t="e">
        <v>#N/A</v>
      </c>
      <c r="L2596" s="1" t="e">
        <v>#N/A</v>
      </c>
      <c r="M2596" s="1" t="e">
        <v>#N/A</v>
      </c>
      <c r="N2596" s="1" t="e">
        <v>#N/A</v>
      </c>
      <c r="O2596" s="1" t="e">
        <v>#N/A</v>
      </c>
      <c r="P2596" s="1" t="e">
        <v>#N/A</v>
      </c>
      <c r="Q2596" s="1" t="e">
        <v>#N/A</v>
      </c>
      <c r="R2596" s="1">
        <f t="shared" ref="R2596:R2601" si="764">1+LEN(T2596)-LEN(SUBSTITUTE(T2596,",",))</f>
        <v>8</v>
      </c>
      <c r="S2596" s="1" t="str">
        <f t="shared" ref="S2596:S2601" si="765">IF(R2596&gt;4,IF(R2596&lt;8,"4-7",IF(R2596&gt;7,"&gt;7")),"&lt;4")</f>
        <v>&gt;7</v>
      </c>
      <c r="T2596" s="1" t="s">
        <v>20032</v>
      </c>
      <c r="U2596" s="1" t="s">
        <v>252</v>
      </c>
      <c r="V2596" s="1" t="s">
        <v>670</v>
      </c>
      <c r="W2596" s="1"/>
    </row>
    <row r="2597" spans="1:23" x14ac:dyDescent="0.2">
      <c r="A2597" s="88" t="s">
        <v>17770</v>
      </c>
      <c r="B2597" s="1" t="e">
        <v>#N/A</v>
      </c>
      <c r="C2597" s="1" t="e">
        <v>#N/A</v>
      </c>
      <c r="D2597" s="1" t="s">
        <v>6873</v>
      </c>
      <c r="E2597" s="1" t="s">
        <v>6874</v>
      </c>
      <c r="F2597" s="1" t="s">
        <v>18502</v>
      </c>
      <c r="G2597" s="1" t="s">
        <v>8959</v>
      </c>
      <c r="H2597" t="s">
        <v>9061</v>
      </c>
      <c r="I2597" s="1" t="s">
        <v>9154</v>
      </c>
      <c r="J2597" s="1" t="s">
        <v>8998</v>
      </c>
      <c r="K2597" s="1" t="s">
        <v>20723</v>
      </c>
      <c r="L2597" s="1" t="s">
        <v>8951</v>
      </c>
      <c r="M2597" s="1">
        <v>540</v>
      </c>
      <c r="N2597" s="1" t="s">
        <v>9059</v>
      </c>
      <c r="O2597" s="1" t="s">
        <v>8954</v>
      </c>
      <c r="P2597" s="1" t="e">
        <v>#N/A</v>
      </c>
      <c r="Q2597" s="1" t="e">
        <v>#N/A</v>
      </c>
      <c r="R2597" s="1">
        <f t="shared" si="764"/>
        <v>15</v>
      </c>
      <c r="S2597" s="1" t="str">
        <f t="shared" si="765"/>
        <v>&gt;7</v>
      </c>
      <c r="T2597" s="1" t="s">
        <v>20033</v>
      </c>
      <c r="U2597" s="1" t="s">
        <v>7</v>
      </c>
      <c r="V2597" s="1" t="s">
        <v>180</v>
      </c>
      <c r="W2597" s="1"/>
    </row>
    <row r="2598" spans="1:23" x14ac:dyDescent="0.2">
      <c r="A2598" s="89" t="s">
        <v>17771</v>
      </c>
      <c r="B2598" s="1" t="e">
        <v>#N/A</v>
      </c>
      <c r="C2598" s="1" t="e">
        <v>#N/A</v>
      </c>
      <c r="D2598" s="1" t="s">
        <v>6875</v>
      </c>
      <c r="E2598" s="1" t="s">
        <v>6876</v>
      </c>
      <c r="F2598" s="1" t="e">
        <v>#N/A</v>
      </c>
      <c r="G2598" s="1" t="e">
        <v>#N/A</v>
      </c>
      <c r="H2598" t="e">
        <v>#N/A</v>
      </c>
      <c r="I2598" s="1" t="e">
        <v>#N/A</v>
      </c>
      <c r="J2598" s="1" t="e">
        <v>#N/A</v>
      </c>
      <c r="K2598" s="1" t="e">
        <v>#N/A</v>
      </c>
      <c r="L2598" s="1" t="e">
        <v>#N/A</v>
      </c>
      <c r="M2598" s="1" t="e">
        <v>#N/A</v>
      </c>
      <c r="N2598" s="1" t="e">
        <v>#N/A</v>
      </c>
      <c r="O2598" s="1" t="e">
        <v>#N/A</v>
      </c>
      <c r="P2598" s="1" t="e">
        <v>#N/A</v>
      </c>
      <c r="Q2598" s="1" t="e">
        <v>#N/A</v>
      </c>
      <c r="R2598" s="1">
        <f t="shared" si="764"/>
        <v>6</v>
      </c>
      <c r="S2598" s="1" t="str">
        <f t="shared" si="765"/>
        <v>4-7</v>
      </c>
      <c r="T2598" s="1" t="s">
        <v>20034</v>
      </c>
      <c r="U2598" s="1" t="s">
        <v>7</v>
      </c>
      <c r="V2598" s="1" t="s">
        <v>61</v>
      </c>
      <c r="W2598" s="1"/>
    </row>
    <row r="2599" spans="1:23" x14ac:dyDescent="0.2">
      <c r="A2599" s="89" t="s">
        <v>6877</v>
      </c>
      <c r="B2599" s="1" t="e">
        <v>#N/A</v>
      </c>
      <c r="C2599" s="1" t="e">
        <v>#N/A</v>
      </c>
      <c r="D2599" s="1" t="s">
        <v>6878</v>
      </c>
      <c r="E2599" s="1" t="s">
        <v>6879</v>
      </c>
      <c r="F2599" s="1" t="e">
        <v>#N/A</v>
      </c>
      <c r="G2599" s="1" t="e">
        <v>#N/A</v>
      </c>
      <c r="H2599" t="e">
        <v>#N/A</v>
      </c>
      <c r="I2599" s="1" t="e">
        <v>#N/A</v>
      </c>
      <c r="J2599" s="1" t="e">
        <v>#N/A</v>
      </c>
      <c r="K2599" s="1" t="e">
        <v>#N/A</v>
      </c>
      <c r="L2599" s="1" t="e">
        <v>#N/A</v>
      </c>
      <c r="M2599" s="1" t="e">
        <v>#N/A</v>
      </c>
      <c r="N2599" s="1" t="e">
        <v>#N/A</v>
      </c>
      <c r="O2599" s="1" t="e">
        <v>#N/A</v>
      </c>
      <c r="P2599" s="1" t="e">
        <v>#N/A</v>
      </c>
      <c r="Q2599" s="1" t="e">
        <v>#N/A</v>
      </c>
      <c r="R2599" s="1">
        <f t="shared" si="764"/>
        <v>1</v>
      </c>
      <c r="S2599" s="1" t="str">
        <f t="shared" si="765"/>
        <v>&lt;4</v>
      </c>
      <c r="T2599" s="1" t="s">
        <v>6880</v>
      </c>
      <c r="U2599" s="1" t="s">
        <v>7</v>
      </c>
      <c r="V2599" s="1" t="s">
        <v>332</v>
      </c>
      <c r="W2599" s="1"/>
    </row>
    <row r="2600" spans="1:23" x14ac:dyDescent="0.2">
      <c r="A2600" s="89" t="s">
        <v>6881</v>
      </c>
      <c r="B2600" s="1" t="e">
        <v>#N/A</v>
      </c>
      <c r="C2600" s="1" t="e">
        <v>#N/A</v>
      </c>
      <c r="D2600" s="1" t="s">
        <v>6882</v>
      </c>
      <c r="E2600" s="1" t="s">
        <v>6883</v>
      </c>
      <c r="F2600" s="1" t="e">
        <v>#N/A</v>
      </c>
      <c r="G2600" s="1" t="e">
        <v>#N/A</v>
      </c>
      <c r="H2600" t="e">
        <v>#N/A</v>
      </c>
      <c r="I2600" s="1" t="e">
        <v>#N/A</v>
      </c>
      <c r="J2600" s="1" t="e">
        <v>#N/A</v>
      </c>
      <c r="K2600" s="1" t="e">
        <v>#N/A</v>
      </c>
      <c r="L2600" s="1" t="e">
        <v>#N/A</v>
      </c>
      <c r="M2600" s="1" t="e">
        <v>#N/A</v>
      </c>
      <c r="N2600" s="1" t="e">
        <v>#N/A</v>
      </c>
      <c r="O2600" s="1" t="e">
        <v>#N/A</v>
      </c>
      <c r="P2600" s="1" t="e">
        <v>#N/A</v>
      </c>
      <c r="Q2600" s="1" t="e">
        <v>#N/A</v>
      </c>
      <c r="R2600" s="1">
        <f t="shared" si="764"/>
        <v>1</v>
      </c>
      <c r="S2600" s="1" t="str">
        <f t="shared" si="765"/>
        <v>&lt;4</v>
      </c>
      <c r="T2600" s="1" t="s">
        <v>6884</v>
      </c>
      <c r="U2600" s="1" t="s">
        <v>17</v>
      </c>
      <c r="V2600" s="1" t="s">
        <v>6885</v>
      </c>
      <c r="W2600" s="1"/>
    </row>
    <row r="2601" spans="1:23" x14ac:dyDescent="0.2">
      <c r="A2601" s="89" t="s">
        <v>17772</v>
      </c>
      <c r="B2601" s="1" t="e">
        <v>#N/A</v>
      </c>
      <c r="C2601" s="1" t="e">
        <v>#N/A</v>
      </c>
      <c r="D2601" s="1" t="s">
        <v>6886</v>
      </c>
      <c r="E2601" s="1" t="s">
        <v>6887</v>
      </c>
      <c r="F2601" s="1" t="e">
        <v>#N/A</v>
      </c>
      <c r="G2601" s="1" t="e">
        <v>#N/A</v>
      </c>
      <c r="H2601" t="e">
        <v>#N/A</v>
      </c>
      <c r="I2601" s="1" t="e">
        <v>#N/A</v>
      </c>
      <c r="J2601" s="1" t="e">
        <v>#N/A</v>
      </c>
      <c r="K2601" s="1" t="e">
        <v>#N/A</v>
      </c>
      <c r="L2601" s="1" t="e">
        <v>#N/A</v>
      </c>
      <c r="M2601" s="1" t="e">
        <v>#N/A</v>
      </c>
      <c r="N2601" s="1" t="e">
        <v>#N/A</v>
      </c>
      <c r="O2601" s="1" t="e">
        <v>#N/A</v>
      </c>
      <c r="P2601" s="1" t="e">
        <v>#N/A</v>
      </c>
      <c r="Q2601" s="1" t="e">
        <v>#N/A</v>
      </c>
      <c r="R2601" s="1">
        <f t="shared" si="764"/>
        <v>2</v>
      </c>
      <c r="S2601" s="1" t="str">
        <f t="shared" si="765"/>
        <v>&lt;4</v>
      </c>
      <c r="T2601" s="1" t="s">
        <v>20035</v>
      </c>
      <c r="U2601" s="1" t="s">
        <v>7</v>
      </c>
      <c r="V2601" s="1" t="s">
        <v>126</v>
      </c>
      <c r="W2601" s="1"/>
    </row>
    <row r="2602" spans="1:23" x14ac:dyDescent="0.2">
      <c r="A2602" s="88" t="s">
        <v>17773</v>
      </c>
      <c r="B2602" s="1" t="e">
        <v>#N/A</v>
      </c>
      <c r="C2602" s="1" t="s">
        <v>14240</v>
      </c>
      <c r="D2602" s="1" t="s">
        <v>6888</v>
      </c>
      <c r="E2602" s="1" t="s">
        <v>6889</v>
      </c>
      <c r="F2602" s="1" t="s">
        <v>9010</v>
      </c>
      <c r="G2602" s="1" t="s">
        <v>8957</v>
      </c>
      <c r="H2602" t="s">
        <v>9061</v>
      </c>
      <c r="I2602" s="1" t="s">
        <v>8948</v>
      </c>
      <c r="J2602" s="1" t="s">
        <v>8949</v>
      </c>
      <c r="K2602" s="1" t="s">
        <v>14243</v>
      </c>
      <c r="L2602" s="1" t="s">
        <v>8973</v>
      </c>
      <c r="M2602" s="1">
        <v>24</v>
      </c>
      <c r="N2602" s="1" t="s">
        <v>9059</v>
      </c>
      <c r="O2602" s="1" t="s">
        <v>8989</v>
      </c>
      <c r="P2602" s="1" t="s">
        <v>8955</v>
      </c>
      <c r="Q2602" s="1" t="s">
        <v>8956</v>
      </c>
      <c r="R2602" s="1" t="s">
        <v>8957</v>
      </c>
      <c r="S2602" s="1" t="s">
        <v>8975</v>
      </c>
      <c r="T2602" s="1" t="s">
        <v>6890</v>
      </c>
      <c r="U2602" s="1" t="s">
        <v>242</v>
      </c>
      <c r="V2602" s="1" t="s">
        <v>6891</v>
      </c>
      <c r="W2602" s="1"/>
    </row>
    <row r="2603" spans="1:23" x14ac:dyDescent="0.2">
      <c r="A2603" s="89" t="s">
        <v>6892</v>
      </c>
      <c r="B2603" s="1" t="e">
        <v>#N/A</v>
      </c>
      <c r="C2603" s="1" t="e">
        <v>#N/A</v>
      </c>
      <c r="D2603" s="1" t="s">
        <v>6893</v>
      </c>
      <c r="E2603" s="1" t="s">
        <v>6894</v>
      </c>
      <c r="F2603" s="1" t="e">
        <v>#N/A</v>
      </c>
      <c r="G2603" s="1" t="e">
        <v>#N/A</v>
      </c>
      <c r="H2603" t="e">
        <v>#N/A</v>
      </c>
      <c r="I2603" s="1" t="e">
        <v>#N/A</v>
      </c>
      <c r="J2603" s="1" t="e">
        <v>#N/A</v>
      </c>
      <c r="K2603" s="1" t="e">
        <v>#N/A</v>
      </c>
      <c r="L2603" s="1" t="e">
        <v>#N/A</v>
      </c>
      <c r="M2603" s="1" t="e">
        <v>#N/A</v>
      </c>
      <c r="N2603" s="1" t="e">
        <v>#N/A</v>
      </c>
      <c r="O2603" s="1" t="e">
        <v>#N/A</v>
      </c>
      <c r="P2603" s="1" t="e">
        <v>#N/A</v>
      </c>
      <c r="Q2603" s="1" t="e">
        <v>#N/A</v>
      </c>
      <c r="R2603" s="1">
        <f t="shared" ref="R2603:R2609" si="766">1+LEN(T2603)-LEN(SUBSTITUTE(T2603,",",))</f>
        <v>3</v>
      </c>
      <c r="S2603" s="1" t="str">
        <f t="shared" ref="S2603:S2609" si="767">IF(R2603&gt;4,IF(R2603&lt;8,"4-7",IF(R2603&gt;7,"&gt;7")),"&lt;4")</f>
        <v>&lt;4</v>
      </c>
      <c r="T2603" s="1" t="s">
        <v>20036</v>
      </c>
      <c r="U2603" s="1" t="s">
        <v>7</v>
      </c>
      <c r="V2603" s="1" t="s">
        <v>713</v>
      </c>
      <c r="W2603" s="1"/>
    </row>
    <row r="2604" spans="1:23" x14ac:dyDescent="0.2">
      <c r="A2604" s="89" t="s">
        <v>17774</v>
      </c>
      <c r="B2604" s="1" t="e">
        <v>#N/A</v>
      </c>
      <c r="C2604" s="1" t="e">
        <v>#N/A</v>
      </c>
      <c r="D2604" s="1" t="s">
        <v>6895</v>
      </c>
      <c r="E2604" s="1" t="s">
        <v>6896</v>
      </c>
      <c r="F2604" s="1" t="e">
        <v>#N/A</v>
      </c>
      <c r="G2604" s="1" t="e">
        <v>#N/A</v>
      </c>
      <c r="H2604" t="e">
        <v>#N/A</v>
      </c>
      <c r="I2604" s="1" t="e">
        <v>#N/A</v>
      </c>
      <c r="J2604" s="1" t="e">
        <v>#N/A</v>
      </c>
      <c r="K2604" s="1" t="e">
        <v>#N/A</v>
      </c>
      <c r="L2604" s="1" t="e">
        <v>#N/A</v>
      </c>
      <c r="M2604" s="1" t="e">
        <v>#N/A</v>
      </c>
      <c r="N2604" s="1" t="e">
        <v>#N/A</v>
      </c>
      <c r="O2604" s="1" t="e">
        <v>#N/A</v>
      </c>
      <c r="P2604" s="1" t="e">
        <v>#N/A</v>
      </c>
      <c r="Q2604" s="1" t="e">
        <v>#N/A</v>
      </c>
      <c r="R2604" s="1">
        <f t="shared" si="766"/>
        <v>1</v>
      </c>
      <c r="S2604" s="1" t="str">
        <f t="shared" si="767"/>
        <v>&lt;4</v>
      </c>
      <c r="U2604" s="1" t="s">
        <v>11</v>
      </c>
      <c r="V2604" s="1" t="s">
        <v>700</v>
      </c>
      <c r="W2604" s="1"/>
    </row>
    <row r="2605" spans="1:23" x14ac:dyDescent="0.2">
      <c r="A2605" s="89" t="s">
        <v>17775</v>
      </c>
      <c r="B2605" s="1" t="e">
        <v>#N/A</v>
      </c>
      <c r="C2605" s="1" t="e">
        <v>#N/A</v>
      </c>
      <c r="D2605" s="1" t="s">
        <v>6897</v>
      </c>
      <c r="E2605" s="1" t="s">
        <v>6896</v>
      </c>
      <c r="F2605" s="1" t="e">
        <v>#N/A</v>
      </c>
      <c r="G2605" s="1" t="e">
        <v>#N/A</v>
      </c>
      <c r="H2605" t="e">
        <v>#N/A</v>
      </c>
      <c r="I2605" s="1" t="e">
        <v>#N/A</v>
      </c>
      <c r="J2605" s="1" t="e">
        <v>#N/A</v>
      </c>
      <c r="K2605" s="1" t="e">
        <v>#N/A</v>
      </c>
      <c r="L2605" s="1" t="e">
        <v>#N/A</v>
      </c>
      <c r="M2605" s="1" t="e">
        <v>#N/A</v>
      </c>
      <c r="N2605" s="1" t="e">
        <v>#N/A</v>
      </c>
      <c r="O2605" s="1" t="e">
        <v>#N/A</v>
      </c>
      <c r="P2605" s="1" t="e">
        <v>#N/A</v>
      </c>
      <c r="Q2605" s="1" t="e">
        <v>#N/A</v>
      </c>
      <c r="R2605" s="1">
        <f t="shared" si="766"/>
        <v>1</v>
      </c>
      <c r="S2605" s="1" t="str">
        <f t="shared" si="767"/>
        <v>&lt;4</v>
      </c>
      <c r="U2605" s="1" t="s">
        <v>17</v>
      </c>
      <c r="V2605" s="1" t="s">
        <v>700</v>
      </c>
      <c r="W2605" s="1"/>
    </row>
    <row r="2606" spans="1:23" x14ac:dyDescent="0.2">
      <c r="A2606" s="88" t="s">
        <v>17776</v>
      </c>
      <c r="B2606" s="1" t="e">
        <v>#N/A</v>
      </c>
      <c r="C2606" s="1" t="e">
        <v>#N/A</v>
      </c>
      <c r="D2606" s="1" t="s">
        <v>6898</v>
      </c>
      <c r="E2606" s="1" t="s">
        <v>6899</v>
      </c>
      <c r="F2606" s="1" t="s">
        <v>9317</v>
      </c>
      <c r="G2606" s="1" t="s">
        <v>9060</v>
      </c>
      <c r="H2606" t="s">
        <v>8959</v>
      </c>
      <c r="I2606" s="1" t="s">
        <v>8984</v>
      </c>
      <c r="J2606" s="1" t="s">
        <v>8971</v>
      </c>
      <c r="K2606" s="1" t="s">
        <v>10492</v>
      </c>
      <c r="L2606" s="1" t="s">
        <v>9076</v>
      </c>
      <c r="M2606" s="1">
        <v>2183</v>
      </c>
      <c r="N2606" s="1" t="s">
        <v>8953</v>
      </c>
      <c r="O2606" s="1" t="s">
        <v>8989</v>
      </c>
      <c r="P2606" s="1" t="e">
        <v>#N/A</v>
      </c>
      <c r="Q2606" s="1" t="e">
        <v>#N/A</v>
      </c>
      <c r="R2606" s="1">
        <f t="shared" si="766"/>
        <v>4</v>
      </c>
      <c r="S2606" s="1" t="str">
        <f t="shared" si="767"/>
        <v>&lt;4</v>
      </c>
      <c r="T2606" s="1" t="s">
        <v>20037</v>
      </c>
      <c r="U2606" s="1" t="s">
        <v>7</v>
      </c>
      <c r="V2606" s="1" t="s">
        <v>64</v>
      </c>
      <c r="W2606" s="1"/>
    </row>
    <row r="2607" spans="1:23" x14ac:dyDescent="0.2">
      <c r="A2607" s="88" t="s">
        <v>6900</v>
      </c>
      <c r="B2607" s="1" t="e">
        <v>#N/A</v>
      </c>
      <c r="C2607" s="1" t="e">
        <v>#N/A</v>
      </c>
      <c r="D2607" s="1" t="s">
        <v>6901</v>
      </c>
      <c r="E2607" s="1" t="s">
        <v>6902</v>
      </c>
      <c r="F2607" s="1" t="s">
        <v>9333</v>
      </c>
      <c r="G2607" s="1" t="s">
        <v>8959</v>
      </c>
      <c r="H2607" t="s">
        <v>8959</v>
      </c>
      <c r="I2607" s="1" t="s">
        <v>20712</v>
      </c>
      <c r="J2607" s="1" t="s">
        <v>8998</v>
      </c>
      <c r="K2607" s="1" t="s">
        <v>21239</v>
      </c>
      <c r="L2607" s="1" t="s">
        <v>8987</v>
      </c>
      <c r="M2607" s="1">
        <v>1539</v>
      </c>
      <c r="N2607" s="1" t="s">
        <v>9059</v>
      </c>
      <c r="O2607" s="1" t="s">
        <v>8989</v>
      </c>
      <c r="P2607" s="1" t="e">
        <v>#N/A</v>
      </c>
      <c r="Q2607" s="1" t="e">
        <v>#N/A</v>
      </c>
      <c r="R2607" s="1">
        <f t="shared" si="766"/>
        <v>1</v>
      </c>
      <c r="S2607" s="1" t="str">
        <f t="shared" si="767"/>
        <v>&lt;4</v>
      </c>
      <c r="T2607" s="1" t="s">
        <v>6903</v>
      </c>
      <c r="U2607" s="1" t="s">
        <v>11</v>
      </c>
      <c r="V2607" s="1" t="s">
        <v>35</v>
      </c>
      <c r="W2607" s="1"/>
    </row>
    <row r="2608" spans="1:23" x14ac:dyDescent="0.2">
      <c r="A2608" s="88" t="s">
        <v>17777</v>
      </c>
      <c r="B2608" s="1" t="e">
        <v>#N/A</v>
      </c>
      <c r="C2608" s="1" t="e">
        <v>#N/A</v>
      </c>
      <c r="D2608" s="1" t="s">
        <v>6904</v>
      </c>
      <c r="E2608" s="1" t="s">
        <v>6905</v>
      </c>
      <c r="F2608" s="1" t="s">
        <v>9213</v>
      </c>
      <c r="G2608" s="1" t="s">
        <v>8957</v>
      </c>
      <c r="H2608" t="s">
        <v>9183</v>
      </c>
      <c r="I2608" s="1" t="s">
        <v>9252</v>
      </c>
      <c r="J2608" s="1" t="s">
        <v>18504</v>
      </c>
      <c r="K2608" s="1" t="s">
        <v>20723</v>
      </c>
      <c r="L2608" s="1" t="s">
        <v>8951</v>
      </c>
      <c r="M2608" s="1">
        <v>3002</v>
      </c>
      <c r="N2608" s="1" t="s">
        <v>8953</v>
      </c>
      <c r="O2608" s="1" t="s">
        <v>8989</v>
      </c>
      <c r="P2608" s="1" t="e">
        <v>#N/A</v>
      </c>
      <c r="Q2608" s="1" t="e">
        <v>#N/A</v>
      </c>
      <c r="R2608" s="1">
        <f t="shared" si="766"/>
        <v>3</v>
      </c>
      <c r="S2608" s="1" t="str">
        <f t="shared" si="767"/>
        <v>&lt;4</v>
      </c>
      <c r="T2608" s="1" t="s">
        <v>20038</v>
      </c>
      <c r="U2608" s="1" t="s">
        <v>7</v>
      </c>
      <c r="V2608" s="1" t="s">
        <v>4168</v>
      </c>
      <c r="W2608" s="1"/>
    </row>
    <row r="2609" spans="1:23" x14ac:dyDescent="0.2">
      <c r="A2609" s="88" t="s">
        <v>17778</v>
      </c>
      <c r="B2609" s="1" t="e">
        <v>#N/A</v>
      </c>
      <c r="C2609" s="1" t="e">
        <v>#N/A</v>
      </c>
      <c r="D2609" s="1" t="s">
        <v>6906</v>
      </c>
      <c r="E2609" s="1" t="s">
        <v>6907</v>
      </c>
      <c r="F2609" s="1" t="s">
        <v>18502</v>
      </c>
      <c r="G2609" s="1" t="s">
        <v>9060</v>
      </c>
      <c r="H2609" t="s">
        <v>9061</v>
      </c>
      <c r="I2609" s="1" t="s">
        <v>9100</v>
      </c>
      <c r="J2609" s="1" t="s">
        <v>8949</v>
      </c>
      <c r="K2609" s="1" t="s">
        <v>10525</v>
      </c>
      <c r="L2609" s="1" t="s">
        <v>8951</v>
      </c>
      <c r="M2609" s="1">
        <f>61248+20448+20448</f>
        <v>102144</v>
      </c>
      <c r="N2609" s="1" t="s">
        <v>8953</v>
      </c>
      <c r="O2609" s="1" t="s">
        <v>8954</v>
      </c>
      <c r="P2609" s="1" t="e">
        <v>#N/A</v>
      </c>
      <c r="Q2609" s="1" t="e">
        <v>#N/A</v>
      </c>
      <c r="R2609" s="1">
        <f t="shared" si="766"/>
        <v>5</v>
      </c>
      <c r="S2609" s="1" t="str">
        <f t="shared" si="767"/>
        <v>4-7</v>
      </c>
      <c r="T2609" s="1" t="s">
        <v>20039</v>
      </c>
      <c r="U2609" s="1" t="s">
        <v>17</v>
      </c>
      <c r="V2609" s="1" t="s">
        <v>619</v>
      </c>
      <c r="W2609" s="1"/>
    </row>
    <row r="2610" spans="1:23" x14ac:dyDescent="0.2">
      <c r="A2610" s="88" t="s">
        <v>17779</v>
      </c>
      <c r="B2610" s="1" t="e">
        <v>#N/A</v>
      </c>
      <c r="C2610" s="1" t="s">
        <v>14588</v>
      </c>
      <c r="D2610" s="1" t="s">
        <v>6908</v>
      </c>
      <c r="E2610" s="1" t="s">
        <v>6909</v>
      </c>
      <c r="F2610" s="1" t="s">
        <v>9010</v>
      </c>
      <c r="G2610" s="1" t="s">
        <v>8957</v>
      </c>
      <c r="H2610" t="s">
        <v>9061</v>
      </c>
      <c r="I2610" s="1" t="s">
        <v>8948</v>
      </c>
      <c r="J2610" s="1" t="s">
        <v>9155</v>
      </c>
      <c r="K2610" s="1" t="s">
        <v>12818</v>
      </c>
      <c r="L2610" s="1" t="s">
        <v>8987</v>
      </c>
      <c r="M2610" s="1">
        <v>398</v>
      </c>
      <c r="N2610" s="1" t="s">
        <v>9059</v>
      </c>
      <c r="O2610" s="1" t="s">
        <v>8989</v>
      </c>
      <c r="P2610" s="1" t="s">
        <v>8955</v>
      </c>
      <c r="Q2610" s="1" t="s">
        <v>8956</v>
      </c>
      <c r="R2610" s="1" t="s">
        <v>8957</v>
      </c>
      <c r="S2610" s="1" t="s">
        <v>8958</v>
      </c>
      <c r="T2610" s="1" t="s">
        <v>6910</v>
      </c>
      <c r="U2610" s="1" t="s">
        <v>929</v>
      </c>
      <c r="V2610" s="1" t="s">
        <v>392</v>
      </c>
      <c r="W2610" s="1"/>
    </row>
    <row r="2611" spans="1:23" x14ac:dyDescent="0.2">
      <c r="A2611" s="88" t="s">
        <v>17780</v>
      </c>
      <c r="B2611" s="1" t="e">
        <v>#N/A</v>
      </c>
      <c r="C2611" s="1" t="s">
        <v>14112</v>
      </c>
      <c r="D2611" s="1" t="s">
        <v>6911</v>
      </c>
      <c r="E2611" s="1" t="s">
        <v>6912</v>
      </c>
      <c r="F2611" s="1" t="s">
        <v>9213</v>
      </c>
      <c r="G2611" s="1" t="s">
        <v>8957</v>
      </c>
      <c r="H2611" t="s">
        <v>8959</v>
      </c>
      <c r="I2611" s="1" t="s">
        <v>8948</v>
      </c>
      <c r="J2611" s="1" t="s">
        <v>8949</v>
      </c>
      <c r="K2611" s="1" t="s">
        <v>10511</v>
      </c>
      <c r="L2611" s="1" t="s">
        <v>8987</v>
      </c>
      <c r="M2611" s="1">
        <v>805</v>
      </c>
      <c r="N2611" s="1" t="s">
        <v>9059</v>
      </c>
      <c r="O2611" s="1" t="s">
        <v>8989</v>
      </c>
      <c r="P2611" s="1" t="s">
        <v>8955</v>
      </c>
      <c r="Q2611" s="1" t="s">
        <v>8956</v>
      </c>
      <c r="R2611" s="1" t="s">
        <v>8957</v>
      </c>
      <c r="S2611" s="1" t="s">
        <v>8958</v>
      </c>
      <c r="T2611" s="1" t="s">
        <v>6910</v>
      </c>
      <c r="U2611" s="1" t="s">
        <v>4</v>
      </c>
      <c r="V2611" s="1" t="s">
        <v>126</v>
      </c>
      <c r="W2611" s="1"/>
    </row>
    <row r="2612" spans="1:23" x14ac:dyDescent="0.2">
      <c r="A2612" s="88" t="s">
        <v>17781</v>
      </c>
      <c r="B2612" s="1" t="e">
        <v>#N/A</v>
      </c>
      <c r="C2612" s="1" t="s">
        <v>14602</v>
      </c>
      <c r="D2612" s="1" t="s">
        <v>6913</v>
      </c>
      <c r="E2612" s="1" t="s">
        <v>6914</v>
      </c>
      <c r="F2612" s="1" t="s">
        <v>9010</v>
      </c>
      <c r="G2612" s="1" t="s">
        <v>8959</v>
      </c>
      <c r="H2612" t="s">
        <v>9061</v>
      </c>
      <c r="I2612" s="1" t="s">
        <v>8948</v>
      </c>
      <c r="J2612" s="1" t="s">
        <v>9155</v>
      </c>
      <c r="K2612" s="1" t="s">
        <v>21462</v>
      </c>
      <c r="L2612" s="1" t="s">
        <v>8987</v>
      </c>
      <c r="M2612" s="1">
        <v>202</v>
      </c>
      <c r="N2612" s="1" t="s">
        <v>9059</v>
      </c>
      <c r="O2612" s="1" t="s">
        <v>8989</v>
      </c>
      <c r="P2612" s="1" t="s">
        <v>8955</v>
      </c>
      <c r="Q2612" s="1" t="s">
        <v>8956</v>
      </c>
      <c r="R2612" s="1" t="s">
        <v>8959</v>
      </c>
      <c r="S2612" s="1" t="s">
        <v>9103</v>
      </c>
      <c r="T2612" s="1" t="s">
        <v>6915</v>
      </c>
      <c r="U2612" s="1" t="s">
        <v>920</v>
      </c>
      <c r="V2612" s="1" t="s">
        <v>921</v>
      </c>
      <c r="W2612" s="1"/>
    </row>
    <row r="2613" spans="1:23" x14ac:dyDescent="0.2">
      <c r="A2613" s="88" t="s">
        <v>17782</v>
      </c>
      <c r="B2613" s="1" t="e">
        <v>#N/A</v>
      </c>
      <c r="C2613" s="1" t="s">
        <v>14460</v>
      </c>
      <c r="D2613" s="1" t="s">
        <v>6916</v>
      </c>
      <c r="E2613" s="1" t="s">
        <v>6917</v>
      </c>
      <c r="F2613" s="1" t="s">
        <v>9213</v>
      </c>
      <c r="G2613" s="1" t="s">
        <v>8957</v>
      </c>
      <c r="H2613" t="s">
        <v>8959</v>
      </c>
      <c r="I2613" s="1" t="s">
        <v>8948</v>
      </c>
      <c r="J2613" s="1" t="s">
        <v>8949</v>
      </c>
      <c r="K2613" s="1" t="s">
        <v>21215</v>
      </c>
      <c r="L2613" s="1" t="s">
        <v>9133</v>
      </c>
      <c r="M2613" s="1">
        <v>2746</v>
      </c>
      <c r="N2613" s="1" t="s">
        <v>8953</v>
      </c>
      <c r="O2613" s="1" t="s">
        <v>8954</v>
      </c>
      <c r="P2613" s="1" t="s">
        <v>8955</v>
      </c>
      <c r="Q2613" s="1" t="s">
        <v>8956</v>
      </c>
      <c r="R2613" s="1" t="s">
        <v>8957</v>
      </c>
      <c r="S2613" s="1" t="s">
        <v>8958</v>
      </c>
      <c r="T2613" s="1" t="s">
        <v>6918</v>
      </c>
      <c r="U2613" s="1" t="s">
        <v>242</v>
      </c>
      <c r="V2613" s="1" t="s">
        <v>392</v>
      </c>
      <c r="W2613" s="1"/>
    </row>
    <row r="2614" spans="1:23" x14ac:dyDescent="0.2">
      <c r="A2614" s="89" t="s">
        <v>17783</v>
      </c>
      <c r="B2614" s="1" t="e">
        <v>#N/A</v>
      </c>
      <c r="C2614" s="1" t="e">
        <v>#N/A</v>
      </c>
      <c r="D2614" s="1" t="s">
        <v>6919</v>
      </c>
      <c r="E2614" s="1" t="s">
        <v>6920</v>
      </c>
      <c r="F2614" s="1" t="e">
        <v>#N/A</v>
      </c>
      <c r="G2614" s="1" t="e">
        <v>#N/A</v>
      </c>
      <c r="H2614" t="e">
        <v>#N/A</v>
      </c>
      <c r="I2614" s="1" t="e">
        <v>#N/A</v>
      </c>
      <c r="J2614" s="1" t="e">
        <v>#N/A</v>
      </c>
      <c r="K2614" s="1" t="e">
        <v>#N/A</v>
      </c>
      <c r="L2614" s="1" t="e">
        <v>#N/A</v>
      </c>
      <c r="M2614" s="1" t="e">
        <v>#N/A</v>
      </c>
      <c r="N2614" s="1" t="e">
        <v>#N/A</v>
      </c>
      <c r="O2614" s="1" t="e">
        <v>#N/A</v>
      </c>
      <c r="P2614" s="1" t="e">
        <v>#N/A</v>
      </c>
      <c r="Q2614" s="1" t="e">
        <v>#N/A</v>
      </c>
      <c r="R2614" s="1">
        <f>1+LEN(T2614)-LEN(SUBSTITUTE(T2614,",",))</f>
        <v>2</v>
      </c>
      <c r="S2614" s="1" t="str">
        <f>IF(R2614&gt;4,IF(R2614&lt;8,"4-7",IF(R2614&gt;7,"&gt;7")),"&lt;4")</f>
        <v>&lt;4</v>
      </c>
      <c r="T2614" s="1" t="s">
        <v>20040</v>
      </c>
      <c r="U2614" s="1" t="s">
        <v>11</v>
      </c>
      <c r="V2614" s="1" t="s">
        <v>1462</v>
      </c>
      <c r="W2614" s="1"/>
    </row>
    <row r="2615" spans="1:23" x14ac:dyDescent="0.2">
      <c r="A2615" s="88" t="s">
        <v>17784</v>
      </c>
      <c r="B2615" s="1" t="e">
        <v>#N/A</v>
      </c>
      <c r="C2615" s="1" t="s">
        <v>11667</v>
      </c>
      <c r="D2615" s="1" t="s">
        <v>6921</v>
      </c>
      <c r="E2615" s="1" t="s">
        <v>6922</v>
      </c>
      <c r="F2615" s="1" t="s">
        <v>11671</v>
      </c>
      <c r="G2615" s="1" t="s">
        <v>8957</v>
      </c>
      <c r="H2615" t="s">
        <v>8959</v>
      </c>
      <c r="I2615" s="1" t="s">
        <v>9605</v>
      </c>
      <c r="J2615" s="1" t="s">
        <v>9101</v>
      </c>
      <c r="K2615" s="1" t="s">
        <v>9036</v>
      </c>
      <c r="L2615" s="1" t="s">
        <v>8987</v>
      </c>
      <c r="M2615" s="1">
        <v>33000000</v>
      </c>
      <c r="N2615" s="1" t="s">
        <v>8953</v>
      </c>
      <c r="O2615" s="1" t="s">
        <v>8989</v>
      </c>
      <c r="P2615" s="1" t="s">
        <v>8955</v>
      </c>
      <c r="Q2615" s="1" t="s">
        <v>8956</v>
      </c>
      <c r="R2615" s="1" t="s">
        <v>8957</v>
      </c>
      <c r="S2615" s="1" t="s">
        <v>8975</v>
      </c>
      <c r="T2615" s="1" t="s">
        <v>6923</v>
      </c>
      <c r="U2615" s="1" t="s">
        <v>11</v>
      </c>
      <c r="V2615" s="1" t="s">
        <v>2540</v>
      </c>
      <c r="W2615" s="1"/>
    </row>
    <row r="2616" spans="1:23" x14ac:dyDescent="0.2">
      <c r="A2616" s="95" t="s">
        <v>17785</v>
      </c>
      <c r="B2616" s="1" t="e">
        <v>#N/A</v>
      </c>
      <c r="C2616" s="1" t="e">
        <v>#N/A</v>
      </c>
      <c r="D2616" s="1" t="s">
        <v>6924</v>
      </c>
      <c r="E2616" s="1" t="s">
        <v>6925</v>
      </c>
      <c r="F2616" s="1" t="s">
        <v>18502</v>
      </c>
      <c r="G2616" s="1" t="s">
        <v>9060</v>
      </c>
      <c r="H2616" t="s">
        <v>9061</v>
      </c>
      <c r="I2616" s="1" t="s">
        <v>8984</v>
      </c>
      <c r="J2616" s="1" t="s">
        <v>8998</v>
      </c>
      <c r="K2616" s="1" t="s">
        <v>21026</v>
      </c>
      <c r="L2616" s="1" t="s">
        <v>8973</v>
      </c>
      <c r="M2616" s="1">
        <v>347</v>
      </c>
      <c r="N2616" s="1" t="s">
        <v>9059</v>
      </c>
      <c r="O2616" s="1" t="s">
        <v>8989</v>
      </c>
      <c r="P2616" s="1" t="e">
        <v>#N/A</v>
      </c>
      <c r="Q2616" s="1" t="e">
        <v>#N/A</v>
      </c>
      <c r="R2616" s="1">
        <f t="shared" ref="R2616:R2618" si="768">1+LEN(T2616)-LEN(SUBSTITUTE(T2616,",",))</f>
        <v>8</v>
      </c>
      <c r="S2616" s="1" t="str">
        <f t="shared" ref="S2616:S2618" si="769">IF(R2616&gt;4,IF(R2616&lt;8,"4-7",IF(R2616&gt;7,"&gt;7")),"&lt;4")</f>
        <v>&gt;7</v>
      </c>
      <c r="T2616" s="1" t="s">
        <v>20690</v>
      </c>
      <c r="U2616" s="1" t="s">
        <v>7</v>
      </c>
      <c r="V2616" s="1" t="s">
        <v>891</v>
      </c>
      <c r="W2616" s="1"/>
    </row>
    <row r="2617" spans="1:23" x14ac:dyDescent="0.2">
      <c r="A2617" s="88" t="s">
        <v>17786</v>
      </c>
      <c r="B2617" s="1" t="e">
        <v>#N/A</v>
      </c>
      <c r="C2617" s="1" t="e">
        <v>#N/A</v>
      </c>
      <c r="D2617" s="1" t="s">
        <v>6926</v>
      </c>
      <c r="E2617" s="1" t="s">
        <v>6927</v>
      </c>
      <c r="F2617" s="1" t="s">
        <v>9333</v>
      </c>
      <c r="G2617" s="1" t="s">
        <v>8959</v>
      </c>
      <c r="H2617" t="s">
        <v>9061</v>
      </c>
      <c r="I2617" s="1" t="s">
        <v>8948</v>
      </c>
      <c r="J2617" s="1" t="s">
        <v>8998</v>
      </c>
      <c r="K2617" s="1" t="s">
        <v>10492</v>
      </c>
      <c r="L2617" s="1" t="s">
        <v>9076</v>
      </c>
      <c r="M2617" s="1">
        <v>14723</v>
      </c>
      <c r="N2617" s="1" t="s">
        <v>20915</v>
      </c>
      <c r="O2617" s="1" t="s">
        <v>21027</v>
      </c>
      <c r="P2617" s="1" t="e">
        <v>#N/A</v>
      </c>
      <c r="Q2617" s="1" t="e">
        <v>#N/A</v>
      </c>
      <c r="R2617" s="1">
        <f t="shared" si="768"/>
        <v>12</v>
      </c>
      <c r="S2617" s="1" t="str">
        <f t="shared" si="769"/>
        <v>&gt;7</v>
      </c>
      <c r="T2617" s="1" t="s">
        <v>20041</v>
      </c>
      <c r="U2617" s="1" t="s">
        <v>17</v>
      </c>
      <c r="V2617" s="1" t="s">
        <v>3852</v>
      </c>
      <c r="W2617" s="1"/>
    </row>
    <row r="2618" spans="1:23" x14ac:dyDescent="0.2">
      <c r="A2618" s="88" t="s">
        <v>17787</v>
      </c>
      <c r="B2618" s="1" t="e">
        <v>#N/A</v>
      </c>
      <c r="C2618" s="1" t="e">
        <v>#N/A</v>
      </c>
      <c r="D2618" s="1" t="s">
        <v>6928</v>
      </c>
      <c r="E2618" s="1" t="s">
        <v>6929</v>
      </c>
      <c r="F2618" s="1" t="s">
        <v>9310</v>
      </c>
      <c r="G2618" s="1" t="s">
        <v>8957</v>
      </c>
      <c r="H2618" t="s">
        <v>8959</v>
      </c>
      <c r="I2618" s="1" t="s">
        <v>9035</v>
      </c>
      <c r="J2618" s="1" t="s">
        <v>8949</v>
      </c>
      <c r="K2618" s="1" t="s">
        <v>10492</v>
      </c>
      <c r="L2618" s="1" t="s">
        <v>8973</v>
      </c>
      <c r="M2618" s="1">
        <v>7200</v>
      </c>
      <c r="N2618" s="1" t="s">
        <v>8953</v>
      </c>
      <c r="O2618" s="1" t="s">
        <v>8989</v>
      </c>
      <c r="P2618" s="1" t="e">
        <v>#N/A</v>
      </c>
      <c r="Q2618" s="1" t="e">
        <v>#N/A</v>
      </c>
      <c r="R2618" s="1">
        <f t="shared" si="768"/>
        <v>7</v>
      </c>
      <c r="S2618" s="1" t="str">
        <f t="shared" si="769"/>
        <v>4-7</v>
      </c>
      <c r="T2618" s="1" t="s">
        <v>20042</v>
      </c>
      <c r="U2618" s="1" t="s">
        <v>7</v>
      </c>
      <c r="V2618" s="1" t="s">
        <v>53</v>
      </c>
      <c r="W2618" s="1"/>
    </row>
    <row r="2619" spans="1:23" x14ac:dyDescent="0.2">
      <c r="A2619" s="88" t="s">
        <v>17788</v>
      </c>
      <c r="B2619" s="1" t="e">
        <v>#N/A</v>
      </c>
      <c r="C2619" s="1" t="s">
        <v>8981</v>
      </c>
      <c r="D2619" s="1" t="s">
        <v>6930</v>
      </c>
      <c r="E2619" s="1" t="s">
        <v>6931</v>
      </c>
      <c r="F2619" s="1" t="s">
        <v>9310</v>
      </c>
      <c r="G2619" s="1" t="s">
        <v>8957</v>
      </c>
      <c r="H2619" t="s">
        <v>8959</v>
      </c>
      <c r="I2619" s="1" t="s">
        <v>8984</v>
      </c>
      <c r="J2619" s="1" t="s">
        <v>8985</v>
      </c>
      <c r="K2619" s="1" t="s">
        <v>10258</v>
      </c>
      <c r="L2619" s="1" t="s">
        <v>8987</v>
      </c>
      <c r="M2619" s="1">
        <v>462</v>
      </c>
      <c r="N2619" s="1" t="s">
        <v>8953</v>
      </c>
      <c r="O2619" s="1" t="s">
        <v>8989</v>
      </c>
      <c r="P2619" s="1" t="s">
        <v>8955</v>
      </c>
      <c r="Q2619" s="1" t="s">
        <v>8990</v>
      </c>
      <c r="R2619" s="1" t="s">
        <v>8957</v>
      </c>
      <c r="S2619" s="1" t="s">
        <v>8958</v>
      </c>
      <c r="T2619" s="1" t="s">
        <v>6932</v>
      </c>
      <c r="U2619" s="1" t="s">
        <v>7</v>
      </c>
      <c r="V2619" s="1" t="s">
        <v>27</v>
      </c>
      <c r="W2619" s="1"/>
    </row>
    <row r="2620" spans="1:23" x14ac:dyDescent="0.2">
      <c r="A2620" s="94" t="s">
        <v>17789</v>
      </c>
      <c r="B2620" s="1" t="e">
        <v>#N/A</v>
      </c>
      <c r="C2620" s="1" t="e">
        <v>#N/A</v>
      </c>
      <c r="D2620" s="1" t="s">
        <v>6933</v>
      </c>
      <c r="E2620" s="1" t="s">
        <v>6934</v>
      </c>
      <c r="F2620" s="1" t="e">
        <v>#N/A</v>
      </c>
      <c r="G2620" s="1" t="e">
        <v>#N/A</v>
      </c>
      <c r="H2620" t="e">
        <v>#N/A</v>
      </c>
      <c r="I2620" s="1" t="e">
        <v>#N/A</v>
      </c>
      <c r="J2620" s="1" t="e">
        <v>#N/A</v>
      </c>
      <c r="K2620" s="1" t="e">
        <v>#N/A</v>
      </c>
      <c r="L2620" s="1" t="e">
        <v>#N/A</v>
      </c>
      <c r="M2620" s="1" t="e">
        <v>#N/A</v>
      </c>
      <c r="N2620" s="1" t="e">
        <v>#N/A</v>
      </c>
      <c r="O2620" s="1" t="e">
        <v>#N/A</v>
      </c>
      <c r="P2620" s="1" t="e">
        <v>#N/A</v>
      </c>
      <c r="Q2620" s="1" t="e">
        <v>#N/A</v>
      </c>
      <c r="R2620" s="1">
        <f>1+LEN(T2620)-LEN(SUBSTITUTE(T2620,",",))</f>
        <v>5</v>
      </c>
      <c r="S2620" s="1" t="str">
        <f>IF(R2620&gt;4,IF(R2620&lt;8,"4-7",IF(R2620&gt;7,"&gt;7")),"&lt;4")</f>
        <v>4-7</v>
      </c>
      <c r="T2620" s="1" t="s">
        <v>20043</v>
      </c>
      <c r="U2620" s="1" t="s">
        <v>17</v>
      </c>
      <c r="V2620" s="1" t="s">
        <v>210</v>
      </c>
      <c r="W2620" s="1"/>
    </row>
    <row r="2621" spans="1:23" x14ac:dyDescent="0.2">
      <c r="A2621" s="88" t="s">
        <v>17790</v>
      </c>
      <c r="B2621" s="1" t="e">
        <v>#N/A</v>
      </c>
      <c r="C2621" s="1" t="s">
        <v>14908</v>
      </c>
      <c r="D2621" s="1" t="s">
        <v>6935</v>
      </c>
      <c r="E2621" s="1" t="s">
        <v>6936</v>
      </c>
      <c r="F2621" s="1" t="s">
        <v>9310</v>
      </c>
      <c r="G2621" s="1" t="s">
        <v>8957</v>
      </c>
      <c r="H2621" t="s">
        <v>8959</v>
      </c>
      <c r="I2621" s="1" t="s">
        <v>8948</v>
      </c>
      <c r="J2621" s="1" t="s">
        <v>8949</v>
      </c>
      <c r="K2621" s="1" t="s">
        <v>8972</v>
      </c>
      <c r="L2621" s="1" t="s">
        <v>8973</v>
      </c>
      <c r="M2621" s="1">
        <v>384</v>
      </c>
      <c r="N2621" s="1" t="s">
        <v>8953</v>
      </c>
      <c r="O2621" s="1" t="s">
        <v>8989</v>
      </c>
      <c r="P2621" s="1" t="s">
        <v>8955</v>
      </c>
      <c r="Q2621" s="1" t="s">
        <v>8956</v>
      </c>
      <c r="R2621" s="1" t="s">
        <v>8957</v>
      </c>
      <c r="S2621" s="1" t="s">
        <v>8958</v>
      </c>
      <c r="T2621" s="1" t="s">
        <v>6937</v>
      </c>
      <c r="U2621" s="1" t="s">
        <v>17</v>
      </c>
      <c r="V2621" s="1" t="s">
        <v>97</v>
      </c>
      <c r="W2621" s="1"/>
    </row>
    <row r="2622" spans="1:23" x14ac:dyDescent="0.2">
      <c r="A2622" s="88" t="s">
        <v>17791</v>
      </c>
      <c r="B2622" s="1" t="e">
        <v>#N/A</v>
      </c>
      <c r="C2622" s="1" t="e">
        <v>#N/A</v>
      </c>
      <c r="D2622" s="1" t="s">
        <v>6938</v>
      </c>
      <c r="E2622" s="1" t="s">
        <v>6939</v>
      </c>
      <c r="F2622" s="1" t="s">
        <v>9310</v>
      </c>
      <c r="G2622" s="1" t="s">
        <v>8957</v>
      </c>
      <c r="H2622" t="s">
        <v>8959</v>
      </c>
      <c r="I2622" s="1" t="s">
        <v>9100</v>
      </c>
      <c r="J2622" s="1" t="s">
        <v>8949</v>
      </c>
      <c r="K2622" s="1" t="s">
        <v>20723</v>
      </c>
      <c r="L2622" s="1" t="s">
        <v>9076</v>
      </c>
      <c r="M2622" s="1">
        <f>320+407+175</f>
        <v>902</v>
      </c>
      <c r="N2622" s="1" t="s">
        <v>8953</v>
      </c>
      <c r="O2622" s="1" t="s">
        <v>8954</v>
      </c>
      <c r="P2622" s="1" t="e">
        <v>#N/A</v>
      </c>
      <c r="Q2622" s="1" t="e">
        <v>#N/A</v>
      </c>
      <c r="R2622" s="1">
        <f t="shared" ref="R2622:R2623" si="770">1+LEN(T2622)-LEN(SUBSTITUTE(T2622,",",))</f>
        <v>6</v>
      </c>
      <c r="S2622" s="1" t="str">
        <f t="shared" ref="S2622:S2623" si="771">IF(R2622&gt;4,IF(R2622&lt;8,"4-7",IF(R2622&gt;7,"&gt;7")),"&lt;4")</f>
        <v>4-7</v>
      </c>
      <c r="T2622" s="1" t="s">
        <v>20044</v>
      </c>
      <c r="U2622" s="1" t="s">
        <v>17</v>
      </c>
      <c r="V2622" s="1" t="s">
        <v>625</v>
      </c>
      <c r="W2622" s="1"/>
    </row>
    <row r="2623" spans="1:23" x14ac:dyDescent="0.2">
      <c r="A2623" s="88" t="s">
        <v>17792</v>
      </c>
      <c r="B2623" s="1" t="e">
        <v>#N/A</v>
      </c>
      <c r="C2623" s="1" t="e">
        <v>#N/A</v>
      </c>
      <c r="D2623" s="1" t="s">
        <v>6940</v>
      </c>
      <c r="E2623" s="1" t="s">
        <v>6941</v>
      </c>
      <c r="F2623" s="1" t="s">
        <v>9310</v>
      </c>
      <c r="G2623" s="1" t="s">
        <v>8957</v>
      </c>
      <c r="H2623" t="s">
        <v>8959</v>
      </c>
      <c r="I2623" s="1" t="s">
        <v>9035</v>
      </c>
      <c r="J2623" s="1" t="s">
        <v>8998</v>
      </c>
      <c r="K2623" s="1" t="s">
        <v>21028</v>
      </c>
      <c r="L2623" s="1" t="s">
        <v>8987</v>
      </c>
      <c r="M2623" s="1">
        <v>2522</v>
      </c>
      <c r="N2623" s="1" t="s">
        <v>8953</v>
      </c>
      <c r="O2623" s="1" t="s">
        <v>8954</v>
      </c>
      <c r="P2623" s="1" t="e">
        <v>#N/A</v>
      </c>
      <c r="Q2623" s="1" t="e">
        <v>#N/A</v>
      </c>
      <c r="R2623" s="1">
        <f t="shared" si="770"/>
        <v>18</v>
      </c>
      <c r="S2623" s="1" t="str">
        <f t="shared" si="771"/>
        <v>&gt;7</v>
      </c>
      <c r="T2623" s="1" t="s">
        <v>20045</v>
      </c>
      <c r="U2623" s="1" t="s">
        <v>7</v>
      </c>
      <c r="V2623" s="1" t="s">
        <v>27</v>
      </c>
      <c r="W2623" s="1"/>
    </row>
    <row r="2624" spans="1:23" x14ac:dyDescent="0.2">
      <c r="A2624" s="88" t="s">
        <v>17793</v>
      </c>
      <c r="B2624" s="1" t="e">
        <v>#N/A</v>
      </c>
      <c r="C2624" s="1" t="s">
        <v>14661</v>
      </c>
      <c r="D2624" s="1" t="s">
        <v>6942</v>
      </c>
      <c r="E2624" s="1" t="s">
        <v>6943</v>
      </c>
      <c r="F2624" s="1" t="s">
        <v>9310</v>
      </c>
      <c r="G2624" s="1" t="s">
        <v>8957</v>
      </c>
      <c r="H2624" t="s">
        <v>8959</v>
      </c>
      <c r="I2624" s="1" t="s">
        <v>8948</v>
      </c>
      <c r="J2624" s="1" t="s">
        <v>8949</v>
      </c>
      <c r="K2624" s="1" t="s">
        <v>9918</v>
      </c>
      <c r="L2624" s="1" t="s">
        <v>8973</v>
      </c>
      <c r="M2624" s="1">
        <v>100</v>
      </c>
      <c r="N2624" s="1" t="s">
        <v>8953</v>
      </c>
      <c r="O2624" s="1" t="s">
        <v>8954</v>
      </c>
      <c r="P2624" s="1" t="s">
        <v>8955</v>
      </c>
      <c r="Q2624" s="1" t="s">
        <v>8956</v>
      </c>
      <c r="R2624" s="1" t="s">
        <v>8957</v>
      </c>
      <c r="S2624" s="1" t="s">
        <v>8958</v>
      </c>
      <c r="T2624" s="1" t="s">
        <v>6944</v>
      </c>
      <c r="U2624" s="1" t="s">
        <v>7</v>
      </c>
      <c r="V2624" s="1" t="s">
        <v>61</v>
      </c>
      <c r="W2624" s="1"/>
    </row>
    <row r="2625" spans="1:23" x14ac:dyDescent="0.2">
      <c r="A2625" s="88" t="s">
        <v>17794</v>
      </c>
      <c r="B2625" s="1" t="e">
        <v>#N/A</v>
      </c>
      <c r="C2625" s="1" t="e">
        <v>#N/A</v>
      </c>
      <c r="D2625" s="1" t="s">
        <v>6945</v>
      </c>
      <c r="E2625" s="1" t="s">
        <v>6946</v>
      </c>
      <c r="F2625" s="1" t="s">
        <v>9310</v>
      </c>
      <c r="G2625" s="1" t="s">
        <v>8957</v>
      </c>
      <c r="H2625" t="s">
        <v>8959</v>
      </c>
      <c r="I2625" s="1" t="s">
        <v>9100</v>
      </c>
      <c r="J2625" s="1" t="s">
        <v>8949</v>
      </c>
      <c r="K2625" s="1" t="s">
        <v>10492</v>
      </c>
      <c r="L2625" s="1" t="s">
        <v>9076</v>
      </c>
      <c r="M2625" s="1">
        <f>50+160+44</f>
        <v>254</v>
      </c>
      <c r="N2625" s="1" t="s">
        <v>8953</v>
      </c>
      <c r="O2625" s="1" t="s">
        <v>8954</v>
      </c>
      <c r="P2625" s="1" t="e">
        <v>#N/A</v>
      </c>
      <c r="Q2625" s="1" t="e">
        <v>#N/A</v>
      </c>
      <c r="R2625" s="1">
        <f t="shared" ref="R2625:R2626" si="772">1+LEN(T2625)-LEN(SUBSTITUTE(T2625,",",))</f>
        <v>9</v>
      </c>
      <c r="S2625" s="1" t="str">
        <f t="shared" ref="S2625:S2626" si="773">IF(R2625&gt;4,IF(R2625&lt;8,"4-7",IF(R2625&gt;7,"&gt;7")),"&lt;4")</f>
        <v>&gt;7</v>
      </c>
      <c r="T2625" s="1" t="s">
        <v>20046</v>
      </c>
      <c r="U2625" s="1" t="s">
        <v>17</v>
      </c>
      <c r="V2625" s="1" t="s">
        <v>392</v>
      </c>
      <c r="W2625" s="1"/>
    </row>
    <row r="2626" spans="1:23" x14ac:dyDescent="0.2">
      <c r="A2626" s="89" t="s">
        <v>17795</v>
      </c>
      <c r="B2626" s="1" t="e">
        <v>#N/A</v>
      </c>
      <c r="C2626" s="1" t="e">
        <v>#N/A</v>
      </c>
      <c r="D2626" s="1" t="s">
        <v>6947</v>
      </c>
      <c r="E2626" s="1" t="s">
        <v>6948</v>
      </c>
      <c r="F2626" s="1" t="s">
        <v>9310</v>
      </c>
      <c r="G2626" s="1" t="s">
        <v>8957</v>
      </c>
      <c r="H2626" t="s">
        <v>8959</v>
      </c>
      <c r="I2626" s="1" t="s">
        <v>9100</v>
      </c>
      <c r="J2626" s="1" t="s">
        <v>8949</v>
      </c>
      <c r="K2626" s="1" t="e">
        <v>#N/A</v>
      </c>
      <c r="L2626" s="1" t="s">
        <v>8973</v>
      </c>
      <c r="M2626" s="1" t="e">
        <v>#N/A</v>
      </c>
      <c r="N2626" s="1" t="e">
        <v>#N/A</v>
      </c>
      <c r="O2626" s="1" t="s">
        <v>8954</v>
      </c>
      <c r="P2626" s="1" t="e">
        <v>#N/A</v>
      </c>
      <c r="Q2626" s="1" t="e">
        <v>#N/A</v>
      </c>
      <c r="R2626" s="1">
        <f t="shared" si="772"/>
        <v>3</v>
      </c>
      <c r="S2626" s="1" t="str">
        <f t="shared" si="773"/>
        <v>&lt;4</v>
      </c>
      <c r="T2626" s="1" t="s">
        <v>20047</v>
      </c>
      <c r="U2626" s="1" t="s">
        <v>17</v>
      </c>
      <c r="V2626" s="1" t="s">
        <v>6949</v>
      </c>
      <c r="W2626" s="1"/>
    </row>
    <row r="2627" spans="1:23" x14ac:dyDescent="0.2">
      <c r="A2627" s="88" t="s">
        <v>17796</v>
      </c>
      <c r="B2627" s="1" t="e">
        <v>#N/A</v>
      </c>
      <c r="C2627" s="1" t="s">
        <v>10070</v>
      </c>
      <c r="D2627" s="1" t="s">
        <v>6950</v>
      </c>
      <c r="E2627" s="1" t="s">
        <v>6951</v>
      </c>
      <c r="F2627" s="1" t="s">
        <v>9310</v>
      </c>
      <c r="G2627" s="1" t="s">
        <v>8957</v>
      </c>
      <c r="H2627" t="s">
        <v>8959</v>
      </c>
      <c r="I2627" s="1" t="s">
        <v>9092</v>
      </c>
      <c r="J2627" s="1" t="s">
        <v>9121</v>
      </c>
      <c r="K2627" s="1" t="s">
        <v>9245</v>
      </c>
      <c r="L2627" s="1" t="s">
        <v>8987</v>
      </c>
      <c r="M2627" s="1">
        <v>1000</v>
      </c>
      <c r="N2627" s="1" t="s">
        <v>8953</v>
      </c>
      <c r="O2627" s="1" t="s">
        <v>8954</v>
      </c>
      <c r="P2627" s="1" t="s">
        <v>8955</v>
      </c>
      <c r="Q2627" s="1" t="s">
        <v>8956</v>
      </c>
      <c r="R2627" s="1" t="s">
        <v>8957</v>
      </c>
      <c r="S2627" s="1" t="s">
        <v>8958</v>
      </c>
      <c r="T2627" s="1" t="s">
        <v>6952</v>
      </c>
      <c r="U2627" s="1" t="s">
        <v>17</v>
      </c>
      <c r="V2627" s="1" t="s">
        <v>210</v>
      </c>
      <c r="W2627" s="1"/>
    </row>
    <row r="2628" spans="1:23" x14ac:dyDescent="0.2">
      <c r="A2628" s="88" t="s">
        <v>17797</v>
      </c>
      <c r="B2628" s="1" t="e">
        <v>#N/A</v>
      </c>
      <c r="C2628" s="1" t="s">
        <v>14327</v>
      </c>
      <c r="D2628" s="1" t="s">
        <v>6953</v>
      </c>
      <c r="E2628" s="1" t="s">
        <v>6954</v>
      </c>
      <c r="F2628" s="1" t="s">
        <v>9010</v>
      </c>
      <c r="G2628" s="1" t="s">
        <v>8957</v>
      </c>
      <c r="H2628" t="s">
        <v>8959</v>
      </c>
      <c r="I2628" s="1" t="s">
        <v>9252</v>
      </c>
      <c r="J2628" s="1" t="s">
        <v>9253</v>
      </c>
      <c r="K2628" s="1" t="s">
        <v>9036</v>
      </c>
      <c r="L2628" s="1" t="s">
        <v>9133</v>
      </c>
      <c r="M2628" s="1">
        <v>2472</v>
      </c>
      <c r="N2628" s="1" t="s">
        <v>8953</v>
      </c>
      <c r="O2628" s="1" t="s">
        <v>8989</v>
      </c>
      <c r="P2628" s="1" t="s">
        <v>8955</v>
      </c>
      <c r="Q2628" s="1" t="s">
        <v>8956</v>
      </c>
      <c r="R2628" s="1" t="s">
        <v>8957</v>
      </c>
      <c r="S2628" s="1" t="s">
        <v>8958</v>
      </c>
      <c r="T2628" s="1" t="s">
        <v>6955</v>
      </c>
      <c r="U2628" s="1" t="s">
        <v>4</v>
      </c>
      <c r="V2628" s="1" t="s">
        <v>43</v>
      </c>
      <c r="W2628" s="1"/>
    </row>
    <row r="2629" spans="1:23" x14ac:dyDescent="0.2">
      <c r="A2629" s="88" t="s">
        <v>17798</v>
      </c>
      <c r="B2629" s="1" t="e">
        <v>#N/A</v>
      </c>
      <c r="C2629" s="1" t="s">
        <v>13903</v>
      </c>
      <c r="D2629" s="1" t="s">
        <v>6956</v>
      </c>
      <c r="E2629" s="1" t="s">
        <v>6957</v>
      </c>
      <c r="F2629" s="1" t="s">
        <v>9010</v>
      </c>
      <c r="G2629" s="1" t="s">
        <v>8959</v>
      </c>
      <c r="H2629" t="s">
        <v>8959</v>
      </c>
      <c r="I2629" s="1" t="s">
        <v>9035</v>
      </c>
      <c r="J2629" s="1" t="s">
        <v>8998</v>
      </c>
      <c r="K2629" s="1" t="s">
        <v>21473</v>
      </c>
      <c r="L2629" s="1" t="s">
        <v>8987</v>
      </c>
      <c r="M2629" s="1">
        <v>134668</v>
      </c>
      <c r="N2629" s="1" t="s">
        <v>8953</v>
      </c>
      <c r="O2629" s="1" t="s">
        <v>8954</v>
      </c>
      <c r="P2629" s="1" t="s">
        <v>8955</v>
      </c>
      <c r="Q2629" s="1" t="s">
        <v>8956</v>
      </c>
      <c r="R2629" s="1" t="s">
        <v>8959</v>
      </c>
      <c r="S2629" s="1" t="s">
        <v>9103</v>
      </c>
      <c r="T2629" s="1" t="s">
        <v>6958</v>
      </c>
      <c r="U2629" s="1" t="s">
        <v>4</v>
      </c>
      <c r="V2629" s="1" t="s">
        <v>74</v>
      </c>
      <c r="W2629" s="1"/>
    </row>
    <row r="2630" spans="1:23" x14ac:dyDescent="0.2">
      <c r="A2630" s="94" t="s">
        <v>17799</v>
      </c>
      <c r="B2630" s="1" t="e">
        <v>#N/A</v>
      </c>
      <c r="C2630" s="1" t="e">
        <v>#N/A</v>
      </c>
      <c r="D2630" s="1" t="s">
        <v>6959</v>
      </c>
      <c r="E2630" s="1" t="s">
        <v>6960</v>
      </c>
      <c r="F2630" s="1" t="e">
        <v>#N/A</v>
      </c>
      <c r="G2630" s="1" t="e">
        <v>#N/A</v>
      </c>
      <c r="H2630" t="e">
        <v>#N/A</v>
      </c>
      <c r="I2630" s="1" t="e">
        <v>#N/A</v>
      </c>
      <c r="J2630" s="1" t="e">
        <v>#N/A</v>
      </c>
      <c r="K2630" s="1" t="e">
        <v>#N/A</v>
      </c>
      <c r="L2630" s="1" t="e">
        <v>#N/A</v>
      </c>
      <c r="M2630" s="1" t="e">
        <v>#N/A</v>
      </c>
      <c r="N2630" s="1" t="e">
        <v>#N/A</v>
      </c>
      <c r="O2630" s="1" t="e">
        <v>#N/A</v>
      </c>
      <c r="P2630" s="1" t="e">
        <v>#N/A</v>
      </c>
      <c r="Q2630" s="1" t="e">
        <v>#N/A</v>
      </c>
      <c r="R2630" s="1">
        <f>1+LEN(T2630)-LEN(SUBSTITUTE(T2630,",",))</f>
        <v>4</v>
      </c>
      <c r="S2630" s="1" t="str">
        <f>IF(R2630&gt;4,IF(R2630&lt;8,"4-7",IF(R2630&gt;7,"&gt;7")),"&lt;4")</f>
        <v>&lt;4</v>
      </c>
      <c r="T2630" s="1" t="s">
        <v>20048</v>
      </c>
      <c r="U2630" s="1" t="s">
        <v>4</v>
      </c>
      <c r="V2630" s="1" t="s">
        <v>1651</v>
      </c>
      <c r="W2630" s="1"/>
    </row>
    <row r="2631" spans="1:23" x14ac:dyDescent="0.2">
      <c r="A2631" s="88" t="s">
        <v>17800</v>
      </c>
      <c r="B2631" s="1" t="e">
        <v>#N/A</v>
      </c>
      <c r="C2631" s="1" t="s">
        <v>14982</v>
      </c>
      <c r="D2631" s="1" t="s">
        <v>6961</v>
      </c>
      <c r="E2631" s="1" t="s">
        <v>6962</v>
      </c>
      <c r="F2631" s="1" t="s">
        <v>9815</v>
      </c>
      <c r="G2631" s="1" t="s">
        <v>8959</v>
      </c>
      <c r="H2631" t="s">
        <v>8959</v>
      </c>
      <c r="I2631" s="1" t="s">
        <v>9092</v>
      </c>
      <c r="J2631" s="1" t="s">
        <v>9121</v>
      </c>
      <c r="K2631" s="1" t="s">
        <v>9036</v>
      </c>
      <c r="L2631" s="1" t="s">
        <v>9076</v>
      </c>
      <c r="M2631" s="1" t="s">
        <v>9479</v>
      </c>
      <c r="N2631" s="1" t="s">
        <v>9479</v>
      </c>
      <c r="O2631" s="1" t="s">
        <v>8954</v>
      </c>
      <c r="P2631" s="1" t="s">
        <v>8955</v>
      </c>
      <c r="Q2631" s="1" t="s">
        <v>8956</v>
      </c>
      <c r="R2631" s="1" t="s">
        <v>8959</v>
      </c>
      <c r="S2631" s="1" t="s">
        <v>9103</v>
      </c>
      <c r="T2631" s="1" t="s">
        <v>6963</v>
      </c>
      <c r="U2631" s="1" t="s">
        <v>17</v>
      </c>
      <c r="V2631" s="1" t="s">
        <v>97</v>
      </c>
      <c r="W2631" s="1"/>
    </row>
    <row r="2632" spans="1:23" x14ac:dyDescent="0.2">
      <c r="A2632" s="89" t="s">
        <v>6964</v>
      </c>
      <c r="B2632" s="1" t="e">
        <v>#N/A</v>
      </c>
      <c r="C2632" s="1" t="e">
        <v>#N/A</v>
      </c>
      <c r="D2632" s="5" t="s">
        <v>6965</v>
      </c>
      <c r="E2632" s="1" t="s">
        <v>6966</v>
      </c>
      <c r="F2632" s="1" t="e">
        <v>#N/A</v>
      </c>
      <c r="G2632" s="1" t="e">
        <v>#N/A</v>
      </c>
      <c r="H2632" t="e">
        <v>#N/A</v>
      </c>
      <c r="I2632" s="1" t="e">
        <v>#N/A</v>
      </c>
      <c r="J2632" s="1" t="e">
        <v>#N/A</v>
      </c>
      <c r="K2632" s="1" t="e">
        <v>#N/A</v>
      </c>
      <c r="L2632" s="1" t="e">
        <v>#N/A</v>
      </c>
      <c r="M2632" s="1" t="e">
        <v>#N/A</v>
      </c>
      <c r="N2632" s="1" t="e">
        <v>#N/A</v>
      </c>
      <c r="O2632" s="1" t="e">
        <v>#N/A</v>
      </c>
      <c r="P2632" s="1" t="e">
        <v>#N/A</v>
      </c>
      <c r="Q2632" s="1" t="e">
        <v>#N/A</v>
      </c>
      <c r="R2632" s="1">
        <f t="shared" ref="R2632:R2635" si="774">1+LEN(T2632)-LEN(SUBSTITUTE(T2632,",",))</f>
        <v>43</v>
      </c>
      <c r="S2632" s="1" t="str">
        <f t="shared" ref="S2632:S2635" si="775">IF(R2632&gt;4,IF(R2632&lt;8,"4-7",IF(R2632&gt;7,"&gt;7")),"&lt;4")</f>
        <v>&gt;7</v>
      </c>
      <c r="T2632" s="1" t="s">
        <v>20049</v>
      </c>
      <c r="U2632" s="1" t="s">
        <v>7</v>
      </c>
      <c r="V2632" s="1" t="s">
        <v>74</v>
      </c>
      <c r="W2632" s="1"/>
    </row>
    <row r="2633" spans="1:23" x14ac:dyDescent="0.2">
      <c r="A2633" s="89" t="s">
        <v>6967</v>
      </c>
      <c r="B2633" s="1" t="e">
        <v>#N/A</v>
      </c>
      <c r="C2633" s="1" t="e">
        <v>#N/A</v>
      </c>
      <c r="D2633" s="1" t="s">
        <v>6968</v>
      </c>
      <c r="E2633" s="1" t="s">
        <v>6969</v>
      </c>
      <c r="F2633" s="1" t="e">
        <v>#N/A</v>
      </c>
      <c r="G2633" s="1" t="e">
        <v>#N/A</v>
      </c>
      <c r="H2633" t="e">
        <v>#N/A</v>
      </c>
      <c r="I2633" s="1" t="e">
        <v>#N/A</v>
      </c>
      <c r="J2633" s="1" t="e">
        <v>#N/A</v>
      </c>
      <c r="K2633" s="1" t="e">
        <v>#N/A</v>
      </c>
      <c r="L2633" s="1" t="e">
        <v>#N/A</v>
      </c>
      <c r="M2633" s="1" t="e">
        <v>#N/A</v>
      </c>
      <c r="N2633" s="1" t="e">
        <v>#N/A</v>
      </c>
      <c r="O2633" s="1" t="e">
        <v>#N/A</v>
      </c>
      <c r="P2633" s="1" t="e">
        <v>#N/A</v>
      </c>
      <c r="Q2633" s="1" t="e">
        <v>#N/A</v>
      </c>
      <c r="R2633" s="1">
        <f t="shared" si="774"/>
        <v>1</v>
      </c>
      <c r="S2633" s="1" t="str">
        <f t="shared" si="775"/>
        <v>&lt;4</v>
      </c>
      <c r="T2633" s="1" t="s">
        <v>6970</v>
      </c>
      <c r="U2633" s="1" t="s">
        <v>4</v>
      </c>
      <c r="V2633" s="1" t="s">
        <v>2183</v>
      </c>
      <c r="W2633" s="1"/>
    </row>
    <row r="2634" spans="1:23" x14ac:dyDescent="0.2">
      <c r="A2634" s="88" t="s">
        <v>17801</v>
      </c>
      <c r="B2634" s="1" t="e">
        <v>#N/A</v>
      </c>
      <c r="C2634" s="1" t="e">
        <v>#N/A</v>
      </c>
      <c r="D2634" s="1" t="s">
        <v>6971</v>
      </c>
      <c r="E2634" s="1" t="s">
        <v>6972</v>
      </c>
      <c r="F2634" s="1" t="s">
        <v>9333</v>
      </c>
      <c r="G2634" s="1" t="s">
        <v>8957</v>
      </c>
      <c r="H2634" t="s">
        <v>8959</v>
      </c>
      <c r="I2634" s="1" t="s">
        <v>9605</v>
      </c>
      <c r="J2634" s="1" t="s">
        <v>9101</v>
      </c>
      <c r="K2634" s="1" t="s">
        <v>10525</v>
      </c>
      <c r="L2634" s="1" t="s">
        <v>8951</v>
      </c>
      <c r="M2634" s="1">
        <f>1000+600+18000+12500+500</f>
        <v>32600</v>
      </c>
      <c r="N2634" s="1" t="s">
        <v>8953</v>
      </c>
      <c r="O2634" s="1" t="s">
        <v>8989</v>
      </c>
      <c r="P2634" s="1" t="e">
        <v>#N/A</v>
      </c>
      <c r="Q2634" s="1" t="e">
        <v>#N/A</v>
      </c>
      <c r="R2634" s="1">
        <f t="shared" si="774"/>
        <v>34</v>
      </c>
      <c r="S2634" s="1" t="str">
        <f t="shared" si="775"/>
        <v>&gt;7</v>
      </c>
      <c r="T2634" s="1" t="s">
        <v>20050</v>
      </c>
      <c r="U2634" s="1" t="s">
        <v>17</v>
      </c>
      <c r="V2634" s="1" t="s">
        <v>2121</v>
      </c>
      <c r="W2634" s="1"/>
    </row>
    <row r="2635" spans="1:23" x14ac:dyDescent="0.2">
      <c r="A2635" s="88" t="s">
        <v>17802</v>
      </c>
      <c r="B2635" s="1" t="e">
        <v>#N/A</v>
      </c>
      <c r="C2635" s="1" t="e">
        <v>#N/A</v>
      </c>
      <c r="D2635" s="1" t="s">
        <v>6973</v>
      </c>
      <c r="E2635" s="1" t="s">
        <v>6974</v>
      </c>
      <c r="F2635" s="1" t="s">
        <v>10049</v>
      </c>
      <c r="G2635" s="1" t="s">
        <v>8957</v>
      </c>
      <c r="H2635" t="s">
        <v>8959</v>
      </c>
      <c r="I2635" s="1" t="s">
        <v>9100</v>
      </c>
      <c r="J2635" s="1" t="s">
        <v>8949</v>
      </c>
      <c r="K2635" s="1" t="s">
        <v>21425</v>
      </c>
      <c r="L2635" s="1" t="s">
        <v>8987</v>
      </c>
      <c r="M2635" s="1">
        <v>1870</v>
      </c>
      <c r="N2635" s="1" t="s">
        <v>8953</v>
      </c>
      <c r="O2635" s="1" t="s">
        <v>8989</v>
      </c>
      <c r="P2635" s="1" t="e">
        <v>#N/A</v>
      </c>
      <c r="Q2635" s="1" t="e">
        <v>#N/A</v>
      </c>
      <c r="R2635" s="1">
        <f t="shared" si="774"/>
        <v>9</v>
      </c>
      <c r="S2635" s="1" t="str">
        <f t="shared" si="775"/>
        <v>&gt;7</v>
      </c>
      <c r="T2635" s="1" t="s">
        <v>20051</v>
      </c>
      <c r="U2635" s="1" t="s">
        <v>17</v>
      </c>
      <c r="V2635" s="1" t="s">
        <v>322</v>
      </c>
      <c r="W2635" s="1"/>
    </row>
    <row r="2636" spans="1:23" x14ac:dyDescent="0.2">
      <c r="A2636" s="88" t="s">
        <v>17803</v>
      </c>
      <c r="B2636" s="1" t="e">
        <v>#N/A</v>
      </c>
      <c r="C2636" s="1" t="s">
        <v>9671</v>
      </c>
      <c r="D2636" s="1" t="s">
        <v>6975</v>
      </c>
      <c r="E2636" s="1" t="s">
        <v>6976</v>
      </c>
      <c r="F2636" s="1" t="s">
        <v>9310</v>
      </c>
      <c r="G2636" s="1" t="s">
        <v>8957</v>
      </c>
      <c r="H2636" t="s">
        <v>8959</v>
      </c>
      <c r="I2636" s="1" t="s">
        <v>8948</v>
      </c>
      <c r="J2636" s="1" t="s">
        <v>8949</v>
      </c>
      <c r="K2636" s="1" t="s">
        <v>9018</v>
      </c>
      <c r="L2636" s="1" t="s">
        <v>8987</v>
      </c>
      <c r="M2636" s="1">
        <v>3064</v>
      </c>
      <c r="N2636" s="1" t="s">
        <v>8953</v>
      </c>
      <c r="O2636" s="1" t="s">
        <v>8954</v>
      </c>
      <c r="P2636" s="1" t="s">
        <v>8955</v>
      </c>
      <c r="Q2636" s="1" t="s">
        <v>8956</v>
      </c>
      <c r="R2636" s="1" t="s">
        <v>8957</v>
      </c>
      <c r="S2636" s="1" t="s">
        <v>8958</v>
      </c>
      <c r="T2636" s="1" t="s">
        <v>6977</v>
      </c>
      <c r="U2636" s="1" t="s">
        <v>17</v>
      </c>
      <c r="V2636" s="1" t="s">
        <v>43</v>
      </c>
      <c r="W2636" s="1"/>
    </row>
    <row r="2637" spans="1:23" x14ac:dyDescent="0.2">
      <c r="A2637" s="88" t="s">
        <v>17804</v>
      </c>
      <c r="B2637" s="1" t="e">
        <v>#N/A</v>
      </c>
      <c r="C2637" s="1" t="e">
        <v>#N/A</v>
      </c>
      <c r="D2637" s="1" t="s">
        <v>6978</v>
      </c>
      <c r="E2637" s="1" t="s">
        <v>6979</v>
      </c>
      <c r="F2637" s="1" t="s">
        <v>9317</v>
      </c>
      <c r="G2637" s="1" t="s">
        <v>9060</v>
      </c>
      <c r="H2637" t="s">
        <v>9061</v>
      </c>
      <c r="I2637" s="1" t="e">
        <v>#N/A</v>
      </c>
      <c r="J2637" s="1" t="s">
        <v>8998</v>
      </c>
      <c r="K2637" s="1" t="s">
        <v>21026</v>
      </c>
      <c r="L2637" s="1" t="s">
        <v>9076</v>
      </c>
      <c r="M2637" s="1" t="e">
        <v>#N/A</v>
      </c>
      <c r="N2637" s="1" t="e">
        <v>#N/A</v>
      </c>
      <c r="O2637" s="1" t="e">
        <v>#N/A</v>
      </c>
      <c r="P2637" s="1" t="e">
        <v>#N/A</v>
      </c>
      <c r="Q2637" s="1" t="e">
        <v>#N/A</v>
      </c>
      <c r="R2637" s="1">
        <f t="shared" ref="R2637:R2640" si="776">1+LEN(T2637)-LEN(SUBSTITUTE(T2637,",",))</f>
        <v>6</v>
      </c>
      <c r="S2637" s="1" t="str">
        <f t="shared" ref="S2637:S2640" si="777">IF(R2637&gt;4,IF(R2637&lt;8,"4-7",IF(R2637&gt;7,"&gt;7")),"&lt;4")</f>
        <v>4-7</v>
      </c>
      <c r="T2637" s="1" t="s">
        <v>20052</v>
      </c>
      <c r="U2637" s="1" t="s">
        <v>17</v>
      </c>
      <c r="V2637" s="1" t="s">
        <v>93</v>
      </c>
      <c r="W2637" s="1"/>
    </row>
    <row r="2638" spans="1:23" x14ac:dyDescent="0.2">
      <c r="A2638" s="89" t="s">
        <v>6980</v>
      </c>
      <c r="B2638" s="1" t="e">
        <v>#N/A</v>
      </c>
      <c r="C2638" s="1" t="e">
        <v>#N/A</v>
      </c>
      <c r="D2638" s="1" t="s">
        <v>6981</v>
      </c>
      <c r="E2638" s="1" t="s">
        <v>6982</v>
      </c>
      <c r="F2638" s="1" t="e">
        <v>#N/A</v>
      </c>
      <c r="G2638" s="1" t="e">
        <v>#N/A</v>
      </c>
      <c r="H2638" t="e">
        <v>#N/A</v>
      </c>
      <c r="I2638" s="1" t="e">
        <v>#N/A</v>
      </c>
      <c r="J2638" s="1" t="e">
        <v>#N/A</v>
      </c>
      <c r="K2638" s="1" t="e">
        <v>#N/A</v>
      </c>
      <c r="L2638" s="1" t="e">
        <v>#N/A</v>
      </c>
      <c r="M2638" s="1" t="e">
        <v>#N/A</v>
      </c>
      <c r="N2638" s="1" t="e">
        <v>#N/A</v>
      </c>
      <c r="O2638" s="1" t="e">
        <v>#N/A</v>
      </c>
      <c r="P2638" s="1" t="e">
        <v>#N/A</v>
      </c>
      <c r="Q2638" s="1" t="e">
        <v>#N/A</v>
      </c>
      <c r="R2638" s="1">
        <f t="shared" si="776"/>
        <v>5</v>
      </c>
      <c r="S2638" s="1" t="str">
        <f t="shared" si="777"/>
        <v>4-7</v>
      </c>
      <c r="T2638" s="1" t="s">
        <v>20053</v>
      </c>
      <c r="U2638" s="1" t="s">
        <v>7</v>
      </c>
      <c r="V2638" s="1" t="s">
        <v>6983</v>
      </c>
      <c r="W2638" s="1"/>
    </row>
    <row r="2639" spans="1:23" x14ac:dyDescent="0.2">
      <c r="A2639" s="89" t="s">
        <v>17805</v>
      </c>
      <c r="B2639" s="1" t="e">
        <v>#N/A</v>
      </c>
      <c r="C2639" s="1" t="e">
        <v>#N/A</v>
      </c>
      <c r="D2639" s="1" t="s">
        <v>6984</v>
      </c>
      <c r="E2639" s="1" t="s">
        <v>6985</v>
      </c>
      <c r="F2639" s="1" t="e">
        <v>#N/A</v>
      </c>
      <c r="G2639" s="1" t="e">
        <v>#N/A</v>
      </c>
      <c r="H2639" t="e">
        <v>#N/A</v>
      </c>
      <c r="I2639" s="1" t="e">
        <v>#N/A</v>
      </c>
      <c r="J2639" s="1" t="e">
        <v>#N/A</v>
      </c>
      <c r="K2639" s="1" t="e">
        <v>#N/A</v>
      </c>
      <c r="L2639" s="1" t="e">
        <v>#N/A</v>
      </c>
      <c r="M2639" s="1" t="e">
        <v>#N/A</v>
      </c>
      <c r="N2639" s="1" t="e">
        <v>#N/A</v>
      </c>
      <c r="O2639" s="1" t="e">
        <v>#N/A</v>
      </c>
      <c r="P2639" s="1" t="e">
        <v>#N/A</v>
      </c>
      <c r="Q2639" s="1" t="e">
        <v>#N/A</v>
      </c>
      <c r="R2639" s="1">
        <f t="shared" si="776"/>
        <v>1</v>
      </c>
      <c r="S2639" s="1" t="str">
        <f t="shared" si="777"/>
        <v>&lt;4</v>
      </c>
      <c r="T2639" s="1" t="s">
        <v>6986</v>
      </c>
      <c r="U2639" s="1" t="s">
        <v>11</v>
      </c>
      <c r="V2639" s="1" t="s">
        <v>174</v>
      </c>
      <c r="W2639" s="1"/>
    </row>
    <row r="2640" spans="1:23" x14ac:dyDescent="0.2">
      <c r="A2640" s="88" t="s">
        <v>17806</v>
      </c>
      <c r="B2640" s="1" t="e">
        <v>#N/A</v>
      </c>
      <c r="C2640" s="1" t="e">
        <v>#N/A</v>
      </c>
      <c r="D2640" s="1" t="s">
        <v>6987</v>
      </c>
      <c r="E2640" s="1" t="s">
        <v>6988</v>
      </c>
      <c r="F2640" s="1" t="s">
        <v>10873</v>
      </c>
      <c r="G2640" s="1" t="s">
        <v>9060</v>
      </c>
      <c r="H2640" t="s">
        <v>9183</v>
      </c>
      <c r="I2640" s="1" t="s">
        <v>9605</v>
      </c>
      <c r="J2640" s="1" t="s">
        <v>9422</v>
      </c>
      <c r="K2640" s="1" t="s">
        <v>21029</v>
      </c>
      <c r="L2640" s="1" t="s">
        <v>9076</v>
      </c>
      <c r="M2640" s="1">
        <v>767</v>
      </c>
      <c r="N2640" s="1" t="s">
        <v>8953</v>
      </c>
      <c r="O2640" s="1" t="s">
        <v>8954</v>
      </c>
      <c r="P2640" s="1" t="e">
        <v>#N/A</v>
      </c>
      <c r="Q2640" s="1" t="e">
        <v>#N/A</v>
      </c>
      <c r="R2640" s="1">
        <f t="shared" si="776"/>
        <v>6</v>
      </c>
      <c r="S2640" s="1" t="str">
        <f t="shared" si="777"/>
        <v>4-7</v>
      </c>
      <c r="T2640" s="1" t="s">
        <v>20054</v>
      </c>
      <c r="U2640" s="1" t="s">
        <v>7</v>
      </c>
      <c r="V2640" s="1" t="s">
        <v>64</v>
      </c>
      <c r="W2640" s="1"/>
    </row>
    <row r="2641" spans="1:23" x14ac:dyDescent="0.2">
      <c r="A2641" s="89" t="s">
        <v>6989</v>
      </c>
      <c r="B2641" s="1" t="e">
        <v>#N/A</v>
      </c>
      <c r="C2641" s="1" t="s">
        <v>11011</v>
      </c>
      <c r="D2641" s="1" t="s">
        <v>6990</v>
      </c>
      <c r="E2641" s="1" t="s">
        <v>6991</v>
      </c>
      <c r="F2641" s="1" t="s">
        <v>9333</v>
      </c>
      <c r="G2641" s="1" t="s">
        <v>8957</v>
      </c>
      <c r="H2641" t="s">
        <v>9183</v>
      </c>
      <c r="I2641" s="1" t="s">
        <v>8984</v>
      </c>
      <c r="J2641" s="1" t="s">
        <v>8998</v>
      </c>
      <c r="K2641" s="1" t="s">
        <v>9036</v>
      </c>
      <c r="L2641" s="1" t="s">
        <v>8951</v>
      </c>
      <c r="M2641" s="1">
        <v>1300000</v>
      </c>
      <c r="N2641" s="1" t="s">
        <v>8953</v>
      </c>
      <c r="O2641" s="1" t="s">
        <v>8954</v>
      </c>
      <c r="P2641" s="1" t="s">
        <v>8955</v>
      </c>
      <c r="Q2641" s="1" t="s">
        <v>8956</v>
      </c>
      <c r="R2641" s="1" t="s">
        <v>8957</v>
      </c>
      <c r="S2641" s="1" t="s">
        <v>8975</v>
      </c>
      <c r="T2641" s="1" t="s">
        <v>6992</v>
      </c>
      <c r="U2641" s="1" t="s">
        <v>11</v>
      </c>
      <c r="V2641" s="1" t="s">
        <v>1223</v>
      </c>
      <c r="W2641" s="1"/>
    </row>
    <row r="2642" spans="1:23" x14ac:dyDescent="0.2">
      <c r="A2642" s="88" t="s">
        <v>17807</v>
      </c>
      <c r="B2642" s="1" t="e">
        <v>#N/A</v>
      </c>
      <c r="C2642" s="1" t="e">
        <v>#N/A</v>
      </c>
      <c r="D2642" s="1" t="s">
        <v>6993</v>
      </c>
      <c r="E2642" s="1" t="s">
        <v>6994</v>
      </c>
      <c r="F2642" s="1" t="s">
        <v>9333</v>
      </c>
      <c r="G2642" s="1" t="s">
        <v>8957</v>
      </c>
      <c r="H2642" t="s">
        <v>9061</v>
      </c>
      <c r="I2642" s="1" t="s">
        <v>8948</v>
      </c>
      <c r="J2642" s="1" t="s">
        <v>8949</v>
      </c>
      <c r="K2642" s="1" t="s">
        <v>9036</v>
      </c>
      <c r="L2642" s="1" t="s">
        <v>9464</v>
      </c>
      <c r="M2642" s="1">
        <v>499</v>
      </c>
      <c r="N2642" s="1" t="s">
        <v>8953</v>
      </c>
      <c r="O2642" s="1" t="s">
        <v>8989</v>
      </c>
      <c r="P2642" s="1" t="e">
        <v>#N/A</v>
      </c>
      <c r="Q2642" s="1" t="e">
        <v>#N/A</v>
      </c>
      <c r="R2642" s="1">
        <f t="shared" ref="R2642:R2643" si="778">1+LEN(T2642)-LEN(SUBSTITUTE(T2642,",",))</f>
        <v>8</v>
      </c>
      <c r="S2642" s="1" t="str">
        <f t="shared" ref="S2642:S2643" si="779">IF(R2642&gt;4,IF(R2642&lt;8,"4-7",IF(R2642&gt;7,"&gt;7")),"&lt;4")</f>
        <v>&gt;7</v>
      </c>
      <c r="T2642" s="1" t="s">
        <v>20055</v>
      </c>
      <c r="U2642" s="1" t="s">
        <v>7</v>
      </c>
      <c r="V2642" s="1" t="s">
        <v>3658</v>
      </c>
      <c r="W2642" s="1"/>
    </row>
    <row r="2643" spans="1:23" x14ac:dyDescent="0.2">
      <c r="A2643" s="88" t="s">
        <v>6995</v>
      </c>
      <c r="B2643" s="1" t="e">
        <v>#N/A</v>
      </c>
      <c r="C2643" s="1" t="e">
        <v>#N/A</v>
      </c>
      <c r="D2643" s="1" t="s">
        <v>6996</v>
      </c>
      <c r="E2643" s="1" t="s">
        <v>6997</v>
      </c>
      <c r="F2643" s="1" t="s">
        <v>9317</v>
      </c>
      <c r="G2643" s="1" t="s">
        <v>9060</v>
      </c>
      <c r="H2643" t="s">
        <v>8959</v>
      </c>
      <c r="I2643" s="1" t="s">
        <v>9092</v>
      </c>
      <c r="J2643" s="1" t="s">
        <v>8949</v>
      </c>
      <c r="K2643" s="1" t="s">
        <v>21314</v>
      </c>
      <c r="L2643" s="1" t="s">
        <v>8973</v>
      </c>
      <c r="M2643" s="1">
        <f>184+184+600</f>
        <v>968</v>
      </c>
      <c r="N2643" s="1" t="s">
        <v>21030</v>
      </c>
      <c r="O2643" s="1" t="s">
        <v>8954</v>
      </c>
      <c r="P2643" s="1" t="e">
        <v>#N/A</v>
      </c>
      <c r="Q2643" s="1" t="e">
        <v>#N/A</v>
      </c>
      <c r="R2643" s="1">
        <f t="shared" si="778"/>
        <v>3</v>
      </c>
      <c r="S2643" s="1" t="str">
        <f t="shared" si="779"/>
        <v>&lt;4</v>
      </c>
      <c r="T2643" s="1" t="s">
        <v>20056</v>
      </c>
      <c r="U2643" s="1" t="s">
        <v>11</v>
      </c>
      <c r="V2643" s="1" t="s">
        <v>5494</v>
      </c>
      <c r="W2643" s="1"/>
    </row>
    <row r="2644" spans="1:23" x14ac:dyDescent="0.2">
      <c r="A2644" s="88" t="s">
        <v>17808</v>
      </c>
      <c r="B2644" s="1" t="e">
        <v>#N/A</v>
      </c>
      <c r="C2644" s="1" t="s">
        <v>9695</v>
      </c>
      <c r="D2644" s="1" t="s">
        <v>6998</v>
      </c>
      <c r="E2644" s="1" t="s">
        <v>6999</v>
      </c>
      <c r="F2644" s="1" t="s">
        <v>9380</v>
      </c>
      <c r="G2644" s="1" t="s">
        <v>8959</v>
      </c>
      <c r="H2644" t="s">
        <v>8959</v>
      </c>
      <c r="I2644" s="1" t="s">
        <v>9154</v>
      </c>
      <c r="J2644" s="1" t="s">
        <v>9155</v>
      </c>
      <c r="K2644" s="1" t="s">
        <v>21319</v>
      </c>
      <c r="L2644" s="1" t="s">
        <v>8973</v>
      </c>
      <c r="M2644" s="1">
        <v>1466</v>
      </c>
      <c r="N2644" s="1" t="s">
        <v>8953</v>
      </c>
      <c r="O2644" s="1" t="s">
        <v>8954</v>
      </c>
      <c r="P2644" s="1" t="s">
        <v>8955</v>
      </c>
      <c r="Q2644" s="1" t="s">
        <v>8990</v>
      </c>
      <c r="R2644" s="1" t="s">
        <v>8959</v>
      </c>
      <c r="S2644" s="1" t="s">
        <v>8975</v>
      </c>
      <c r="T2644" s="1" t="s">
        <v>7000</v>
      </c>
      <c r="U2644" s="1" t="s">
        <v>17</v>
      </c>
      <c r="V2644" s="1" t="s">
        <v>43</v>
      </c>
      <c r="W2644" s="1"/>
    </row>
    <row r="2645" spans="1:23" x14ac:dyDescent="0.2">
      <c r="A2645" s="89" t="s">
        <v>17809</v>
      </c>
      <c r="B2645" s="1" t="e">
        <v>#N/A</v>
      </c>
      <c r="C2645" s="1" t="e">
        <v>#N/A</v>
      </c>
      <c r="D2645" s="85" t="s">
        <v>7001</v>
      </c>
      <c r="E2645" s="1" t="s">
        <v>7002</v>
      </c>
      <c r="F2645" s="1" t="e">
        <v>#N/A</v>
      </c>
      <c r="G2645" s="1" t="e">
        <v>#N/A</v>
      </c>
      <c r="H2645" t="e">
        <v>#N/A</v>
      </c>
      <c r="I2645" s="1" t="e">
        <v>#N/A</v>
      </c>
      <c r="J2645" s="1" t="e">
        <v>#N/A</v>
      </c>
      <c r="K2645" s="1" t="e">
        <v>#N/A</v>
      </c>
      <c r="L2645" s="1" t="e">
        <v>#N/A</v>
      </c>
      <c r="M2645" s="1" t="e">
        <v>#N/A</v>
      </c>
      <c r="N2645" s="1" t="e">
        <v>#N/A</v>
      </c>
      <c r="O2645" s="1" t="e">
        <v>#N/A</v>
      </c>
      <c r="P2645" s="1" t="e">
        <v>#N/A</v>
      </c>
      <c r="Q2645" s="1" t="e">
        <v>#N/A</v>
      </c>
      <c r="R2645" s="1">
        <f t="shared" ref="R2645:R2646" si="780">1+LEN(T2645)-LEN(SUBSTITUTE(T2645,",",))</f>
        <v>5</v>
      </c>
      <c r="S2645" s="1" t="str">
        <f t="shared" ref="S2645:S2646" si="781">IF(R2645&gt;4,IF(R2645&lt;8,"4-7",IF(R2645&gt;7,"&gt;7")),"&lt;4")</f>
        <v>4-7</v>
      </c>
      <c r="T2645" s="1" t="s">
        <v>20057</v>
      </c>
      <c r="U2645" s="1" t="s">
        <v>7</v>
      </c>
      <c r="V2645" s="1" t="s">
        <v>2903</v>
      </c>
      <c r="W2645" s="1"/>
    </row>
    <row r="2646" spans="1:23" x14ac:dyDescent="0.2">
      <c r="A2646" s="88" t="s">
        <v>17810</v>
      </c>
      <c r="B2646" s="1" t="e">
        <v>#N/A</v>
      </c>
      <c r="C2646" s="1" t="e">
        <v>#N/A</v>
      </c>
      <c r="D2646" s="1" t="s">
        <v>7003</v>
      </c>
      <c r="E2646" s="1" t="s">
        <v>7004</v>
      </c>
      <c r="F2646" s="1" t="s">
        <v>9380</v>
      </c>
      <c r="G2646" s="1" t="s">
        <v>8957</v>
      </c>
      <c r="H2646" t="s">
        <v>8959</v>
      </c>
      <c r="I2646" s="1" t="s">
        <v>9154</v>
      </c>
      <c r="J2646" s="1" t="s">
        <v>11607</v>
      </c>
      <c r="K2646" s="1" t="s">
        <v>21342</v>
      </c>
      <c r="L2646" s="1" t="s">
        <v>8951</v>
      </c>
      <c r="M2646" s="1">
        <v>3087</v>
      </c>
      <c r="N2646" s="1" t="s">
        <v>9059</v>
      </c>
      <c r="O2646" s="1" t="s">
        <v>8989</v>
      </c>
      <c r="P2646" s="1" t="e">
        <v>#N/A</v>
      </c>
      <c r="Q2646" s="1" t="e">
        <v>#N/A</v>
      </c>
      <c r="R2646" s="1">
        <f t="shared" si="780"/>
        <v>11</v>
      </c>
      <c r="S2646" s="1" t="str">
        <f t="shared" si="781"/>
        <v>&gt;7</v>
      </c>
      <c r="T2646" s="1" t="s">
        <v>20058</v>
      </c>
      <c r="U2646" s="1" t="s">
        <v>17</v>
      </c>
      <c r="V2646" s="1" t="s">
        <v>61</v>
      </c>
      <c r="W2646" s="1"/>
    </row>
    <row r="2647" spans="1:23" x14ac:dyDescent="0.2">
      <c r="A2647" s="88" t="s">
        <v>17811</v>
      </c>
      <c r="B2647" s="1" t="e">
        <v>#N/A</v>
      </c>
      <c r="C2647" s="1" t="s">
        <v>11947</v>
      </c>
      <c r="D2647" s="1" t="s">
        <v>7005</v>
      </c>
      <c r="E2647" s="1" t="s">
        <v>7006</v>
      </c>
      <c r="F2647" s="1" t="s">
        <v>9317</v>
      </c>
      <c r="G2647" s="1" t="s">
        <v>8957</v>
      </c>
      <c r="H2647" t="s">
        <v>8959</v>
      </c>
      <c r="I2647" s="1" t="s">
        <v>9605</v>
      </c>
      <c r="J2647" s="1" t="s">
        <v>9155</v>
      </c>
      <c r="K2647" s="1" t="s">
        <v>9036</v>
      </c>
      <c r="L2647" s="1" t="s">
        <v>8951</v>
      </c>
      <c r="M2647" s="1">
        <v>29000</v>
      </c>
      <c r="N2647" s="1" t="s">
        <v>8953</v>
      </c>
      <c r="O2647" s="1" t="s">
        <v>8989</v>
      </c>
      <c r="P2647" s="1" t="s">
        <v>8955</v>
      </c>
      <c r="Q2647" s="1" t="s">
        <v>8956</v>
      </c>
      <c r="R2647" s="1" t="s">
        <v>8957</v>
      </c>
      <c r="S2647" s="1" t="s">
        <v>8958</v>
      </c>
      <c r="T2647" s="1" t="s">
        <v>7007</v>
      </c>
      <c r="U2647" s="1" t="s">
        <v>11</v>
      </c>
      <c r="V2647" s="1" t="s">
        <v>1068</v>
      </c>
      <c r="W2647" s="1"/>
    </row>
    <row r="2648" spans="1:23" x14ac:dyDescent="0.2">
      <c r="A2648" s="89" t="s">
        <v>17812</v>
      </c>
      <c r="B2648" s="1" t="e">
        <v>#N/A</v>
      </c>
      <c r="C2648" s="1" t="e">
        <v>#N/A</v>
      </c>
      <c r="D2648" s="5" t="s">
        <v>7008</v>
      </c>
      <c r="E2648" s="1" t="s">
        <v>7009</v>
      </c>
      <c r="F2648" s="1" t="e">
        <v>#N/A</v>
      </c>
      <c r="G2648" s="1" t="e">
        <v>#N/A</v>
      </c>
      <c r="H2648" t="e">
        <v>#N/A</v>
      </c>
      <c r="I2648" s="1" t="e">
        <v>#N/A</v>
      </c>
      <c r="J2648" s="1" t="e">
        <v>#N/A</v>
      </c>
      <c r="K2648" s="1" t="e">
        <v>#N/A</v>
      </c>
      <c r="L2648" s="1" t="e">
        <v>#N/A</v>
      </c>
      <c r="M2648" s="1" t="e">
        <v>#N/A</v>
      </c>
      <c r="N2648" s="1" t="e">
        <v>#N/A</v>
      </c>
      <c r="O2648" s="1" t="e">
        <v>#N/A</v>
      </c>
      <c r="P2648" s="1" t="e">
        <v>#N/A</v>
      </c>
      <c r="Q2648" s="1" t="e">
        <v>#N/A</v>
      </c>
      <c r="R2648" s="1">
        <f>1+LEN(T2648)-LEN(SUBSTITUTE(T2648,",",))</f>
        <v>6</v>
      </c>
      <c r="S2648" s="1" t="str">
        <f>IF(R2648&gt;4,IF(R2648&lt;8,"4-7",IF(R2648&gt;7,"&gt;7")),"&lt;4")</f>
        <v>4-7</v>
      </c>
      <c r="T2648" s="1" t="s">
        <v>20059</v>
      </c>
      <c r="U2648" s="1" t="s">
        <v>7</v>
      </c>
      <c r="V2648" s="1" t="s">
        <v>126</v>
      </c>
      <c r="W2648" s="1"/>
    </row>
    <row r="2649" spans="1:23" x14ac:dyDescent="0.2">
      <c r="A2649" s="88" t="s">
        <v>17813</v>
      </c>
      <c r="B2649" s="1" t="e">
        <v>#N/A</v>
      </c>
      <c r="C2649" s="1" t="s">
        <v>11785</v>
      </c>
      <c r="D2649" s="1" t="s">
        <v>7010</v>
      </c>
      <c r="E2649" s="1" t="s">
        <v>7011</v>
      </c>
      <c r="F2649" s="1" t="s">
        <v>9010</v>
      </c>
      <c r="G2649" s="1" t="s">
        <v>9060</v>
      </c>
      <c r="H2649" t="s">
        <v>8959</v>
      </c>
      <c r="I2649" s="1" t="s">
        <v>9092</v>
      </c>
      <c r="J2649" s="1" t="s">
        <v>9121</v>
      </c>
      <c r="K2649" s="1" t="s">
        <v>11788</v>
      </c>
      <c r="L2649" s="1" t="s">
        <v>9292</v>
      </c>
      <c r="M2649" s="1">
        <v>8325</v>
      </c>
      <c r="N2649" s="1" t="s">
        <v>8953</v>
      </c>
      <c r="O2649" s="1" t="s">
        <v>8989</v>
      </c>
      <c r="P2649" s="1" t="s">
        <v>9182</v>
      </c>
      <c r="Q2649" s="1" t="s">
        <v>8956</v>
      </c>
      <c r="R2649" s="1" t="s">
        <v>9060</v>
      </c>
      <c r="S2649" s="1" t="s">
        <v>8975</v>
      </c>
      <c r="T2649" s="1" t="s">
        <v>7012</v>
      </c>
      <c r="U2649" s="1" t="s">
        <v>17</v>
      </c>
      <c r="V2649" s="1" t="s">
        <v>1238</v>
      </c>
      <c r="W2649" s="1"/>
    </row>
    <row r="2650" spans="1:23" x14ac:dyDescent="0.2">
      <c r="A2650" s="88" t="s">
        <v>17814</v>
      </c>
      <c r="B2650" s="1" t="e">
        <v>#N/A</v>
      </c>
      <c r="C2650" s="1" t="s">
        <v>13807</v>
      </c>
      <c r="D2650" s="1" t="s">
        <v>7013</v>
      </c>
      <c r="E2650" s="1" t="s">
        <v>7014</v>
      </c>
      <c r="F2650" s="1" t="s">
        <v>9333</v>
      </c>
      <c r="G2650" s="1" t="s">
        <v>8959</v>
      </c>
      <c r="H2650" t="s">
        <v>9009</v>
      </c>
      <c r="I2650" s="1" t="s">
        <v>9049</v>
      </c>
      <c r="J2650" s="1" t="s">
        <v>9050</v>
      </c>
      <c r="K2650" s="1" t="s">
        <v>10135</v>
      </c>
      <c r="L2650" s="1" t="s">
        <v>9157</v>
      </c>
      <c r="M2650" s="1">
        <v>9939</v>
      </c>
      <c r="N2650" s="1" t="s">
        <v>8953</v>
      </c>
      <c r="O2650" s="1" t="s">
        <v>8989</v>
      </c>
      <c r="P2650" s="1" t="s">
        <v>8955</v>
      </c>
      <c r="Q2650" s="1" t="s">
        <v>8956</v>
      </c>
      <c r="R2650" s="1" t="s">
        <v>8959</v>
      </c>
      <c r="S2650" s="1" t="s">
        <v>8958</v>
      </c>
      <c r="T2650" s="1" t="s">
        <v>7015</v>
      </c>
      <c r="U2650" s="1" t="s">
        <v>4</v>
      </c>
      <c r="V2650" s="1" t="s">
        <v>110</v>
      </c>
      <c r="W2650" s="1"/>
    </row>
    <row r="2651" spans="1:23" x14ac:dyDescent="0.2">
      <c r="A2651" s="88" t="s">
        <v>17815</v>
      </c>
      <c r="B2651" s="1" t="e">
        <v>#N/A</v>
      </c>
      <c r="C2651" s="1" t="e">
        <v>#N/A</v>
      </c>
      <c r="D2651" s="1" t="s">
        <v>7016</v>
      </c>
      <c r="E2651" s="1" t="s">
        <v>7017</v>
      </c>
      <c r="F2651" s="1" t="s">
        <v>9333</v>
      </c>
      <c r="G2651" s="1" t="s">
        <v>8957</v>
      </c>
      <c r="H2651" t="s">
        <v>8959</v>
      </c>
      <c r="I2651" s="1" t="s">
        <v>9035</v>
      </c>
      <c r="J2651" s="1" t="s">
        <v>8998</v>
      </c>
      <c r="K2651" s="1" t="s">
        <v>21028</v>
      </c>
      <c r="L2651" s="1" t="s">
        <v>8951</v>
      </c>
      <c r="M2651" s="1">
        <v>156250</v>
      </c>
      <c r="N2651" s="1" t="s">
        <v>8953</v>
      </c>
      <c r="O2651" s="1" t="s">
        <v>8989</v>
      </c>
      <c r="P2651" s="1" t="e">
        <v>#N/A</v>
      </c>
      <c r="Q2651" s="1" t="e">
        <v>#N/A</v>
      </c>
      <c r="R2651" s="1">
        <f t="shared" ref="R2651:R2652" si="782">1+LEN(T2651)-LEN(SUBSTITUTE(T2651,",",))</f>
        <v>3</v>
      </c>
      <c r="S2651" s="1" t="str">
        <f t="shared" ref="S2651:S2652" si="783">IF(R2651&gt;4,IF(R2651&lt;8,"4-7",IF(R2651&gt;7,"&gt;7")),"&lt;4")</f>
        <v>&lt;4</v>
      </c>
      <c r="T2651" s="1" t="s">
        <v>20060</v>
      </c>
      <c r="U2651" s="1" t="s">
        <v>7</v>
      </c>
      <c r="V2651" s="1" t="s">
        <v>670</v>
      </c>
      <c r="W2651" s="1"/>
    </row>
    <row r="2652" spans="1:23" x14ac:dyDescent="0.2">
      <c r="A2652" s="88" t="s">
        <v>17816</v>
      </c>
      <c r="B2652" s="1" t="e">
        <v>#N/A</v>
      </c>
      <c r="C2652" s="1" t="e">
        <v>#N/A</v>
      </c>
      <c r="D2652" s="1" t="s">
        <v>7018</v>
      </c>
      <c r="E2652" s="1" t="s">
        <v>7019</v>
      </c>
      <c r="F2652" s="1" t="s">
        <v>9333</v>
      </c>
      <c r="G2652" s="1" t="s">
        <v>8959</v>
      </c>
      <c r="H2652" t="s">
        <v>8959</v>
      </c>
      <c r="I2652" s="1" t="s">
        <v>9035</v>
      </c>
      <c r="J2652" s="1" t="s">
        <v>9308</v>
      </c>
      <c r="K2652" s="1" t="s">
        <v>20735</v>
      </c>
      <c r="L2652" s="1" t="s">
        <v>8987</v>
      </c>
      <c r="M2652" s="1">
        <v>2000</v>
      </c>
      <c r="N2652" s="1" t="s">
        <v>8953</v>
      </c>
      <c r="O2652" s="1" t="s">
        <v>8989</v>
      </c>
      <c r="P2652" s="1" t="e">
        <v>#N/A</v>
      </c>
      <c r="Q2652" s="1" t="e">
        <v>#N/A</v>
      </c>
      <c r="R2652" s="1">
        <f t="shared" si="782"/>
        <v>5</v>
      </c>
      <c r="S2652" s="1" t="str">
        <f t="shared" si="783"/>
        <v>4-7</v>
      </c>
      <c r="T2652" s="1" t="s">
        <v>20061</v>
      </c>
      <c r="U2652" s="1" t="s">
        <v>7</v>
      </c>
      <c r="V2652" s="1" t="s">
        <v>2434</v>
      </c>
      <c r="W2652" s="1"/>
    </row>
    <row r="2653" spans="1:23" x14ac:dyDescent="0.2">
      <c r="A2653" s="88" t="s">
        <v>17817</v>
      </c>
      <c r="B2653" s="1" t="e">
        <v>#N/A</v>
      </c>
      <c r="C2653" s="1" t="s">
        <v>12467</v>
      </c>
      <c r="D2653" s="1" t="s">
        <v>7020</v>
      </c>
      <c r="E2653" s="1" t="s">
        <v>7021</v>
      </c>
      <c r="F2653" s="1" t="s">
        <v>9333</v>
      </c>
      <c r="G2653" s="1" t="s">
        <v>8974</v>
      </c>
      <c r="H2653" t="s">
        <v>9009</v>
      </c>
      <c r="I2653" s="1" t="s">
        <v>8984</v>
      </c>
      <c r="J2653" s="1" t="s">
        <v>9131</v>
      </c>
      <c r="K2653" s="1" t="s">
        <v>10135</v>
      </c>
      <c r="L2653" s="1" t="s">
        <v>9292</v>
      </c>
      <c r="M2653" s="1">
        <v>27355</v>
      </c>
      <c r="N2653" s="1" t="s">
        <v>8953</v>
      </c>
      <c r="O2653" s="1" t="s">
        <v>8954</v>
      </c>
      <c r="P2653" s="1" t="s">
        <v>8955</v>
      </c>
      <c r="Q2653" s="1" t="s">
        <v>8956</v>
      </c>
      <c r="R2653" s="1" t="s">
        <v>8974</v>
      </c>
      <c r="S2653" s="1" t="s">
        <v>8975</v>
      </c>
      <c r="T2653" s="1" t="s">
        <v>7022</v>
      </c>
      <c r="U2653" s="1" t="s">
        <v>11</v>
      </c>
      <c r="V2653" s="1" t="s">
        <v>24</v>
      </c>
      <c r="W2653" s="1"/>
    </row>
    <row r="2654" spans="1:23" x14ac:dyDescent="0.2">
      <c r="A2654" s="88" t="s">
        <v>17818</v>
      </c>
      <c r="B2654" s="1" t="e">
        <v>#N/A</v>
      </c>
      <c r="C2654" s="1" t="s">
        <v>14745</v>
      </c>
      <c r="D2654" s="1" t="s">
        <v>7023</v>
      </c>
      <c r="E2654" s="1" t="s">
        <v>7024</v>
      </c>
      <c r="F2654" s="1" t="s">
        <v>14748</v>
      </c>
      <c r="G2654" s="1" t="s">
        <v>8959</v>
      </c>
      <c r="H2654" t="s">
        <v>8959</v>
      </c>
      <c r="I2654" s="1" t="s">
        <v>9605</v>
      </c>
      <c r="J2654" s="1" t="s">
        <v>9422</v>
      </c>
      <c r="K2654" s="1" t="s">
        <v>11094</v>
      </c>
      <c r="L2654" s="1" t="s">
        <v>8987</v>
      </c>
      <c r="M2654" s="1">
        <v>23916</v>
      </c>
      <c r="N2654" s="1" t="s">
        <v>8953</v>
      </c>
      <c r="O2654" s="1" t="s">
        <v>8989</v>
      </c>
      <c r="P2654" s="1" t="s">
        <v>8955</v>
      </c>
      <c r="Q2654" s="1" t="s">
        <v>8956</v>
      </c>
      <c r="R2654" s="1" t="s">
        <v>8959</v>
      </c>
      <c r="S2654" s="1" t="s">
        <v>9103</v>
      </c>
      <c r="T2654" s="1" t="s">
        <v>7025</v>
      </c>
      <c r="U2654" s="1" t="s">
        <v>17</v>
      </c>
      <c r="V2654" s="1" t="s">
        <v>8</v>
      </c>
      <c r="W2654" s="1"/>
    </row>
    <row r="2655" spans="1:23" x14ac:dyDescent="0.2">
      <c r="A2655" s="88" t="s">
        <v>17819</v>
      </c>
      <c r="B2655" s="1" t="e">
        <v>#N/A</v>
      </c>
      <c r="C2655" s="1" t="s">
        <v>9024</v>
      </c>
      <c r="D2655" s="1" t="s">
        <v>7026</v>
      </c>
      <c r="E2655" s="1" t="s">
        <v>7027</v>
      </c>
      <c r="F2655" s="1" t="s">
        <v>14748</v>
      </c>
      <c r="G2655" s="1" t="s">
        <v>8959</v>
      </c>
      <c r="H2655" t="s">
        <v>8959</v>
      </c>
      <c r="I2655" s="1" t="s">
        <v>8948</v>
      </c>
      <c r="J2655" s="1" t="s">
        <v>8949</v>
      </c>
      <c r="K2655" s="1" t="s">
        <v>21431</v>
      </c>
      <c r="L2655" s="1" t="s">
        <v>8987</v>
      </c>
      <c r="M2655" s="1">
        <v>3200</v>
      </c>
      <c r="N2655" s="1" t="s">
        <v>8953</v>
      </c>
      <c r="O2655" s="1" t="s">
        <v>8989</v>
      </c>
      <c r="P2655" s="1" t="s">
        <v>8955</v>
      </c>
      <c r="Q2655" s="1" t="s">
        <v>8956</v>
      </c>
      <c r="R2655" s="1" t="s">
        <v>8959</v>
      </c>
      <c r="S2655" s="1" t="s">
        <v>8958</v>
      </c>
      <c r="T2655" s="1" t="s">
        <v>7028</v>
      </c>
      <c r="U2655" s="1" t="s">
        <v>17</v>
      </c>
      <c r="V2655" s="1" t="s">
        <v>43</v>
      </c>
      <c r="W2655" s="1"/>
    </row>
    <row r="2656" spans="1:23" x14ac:dyDescent="0.2">
      <c r="A2656" s="88" t="s">
        <v>17820</v>
      </c>
      <c r="B2656" s="1" t="e">
        <v>#N/A</v>
      </c>
      <c r="C2656" s="1" t="e">
        <v>#N/A</v>
      </c>
      <c r="D2656" s="1" t="s">
        <v>7029</v>
      </c>
      <c r="E2656" s="1" t="s">
        <v>7030</v>
      </c>
      <c r="F2656" s="1" t="s">
        <v>9380</v>
      </c>
      <c r="G2656" s="1" t="s">
        <v>8957</v>
      </c>
      <c r="H2656" t="s">
        <v>8959</v>
      </c>
      <c r="I2656" s="1" t="s">
        <v>20712</v>
      </c>
      <c r="J2656" s="1" t="s">
        <v>8998</v>
      </c>
      <c r="K2656" s="1" t="s">
        <v>21391</v>
      </c>
      <c r="L2656" s="1" t="s">
        <v>8973</v>
      </c>
      <c r="M2656" s="1">
        <v>222</v>
      </c>
      <c r="N2656" s="1" t="s">
        <v>9059</v>
      </c>
      <c r="O2656" s="1" t="s">
        <v>8954</v>
      </c>
      <c r="P2656" s="1" t="e">
        <v>#N/A</v>
      </c>
      <c r="Q2656" s="1" t="e">
        <v>#N/A</v>
      </c>
      <c r="R2656" s="1">
        <f t="shared" ref="R2656:R2658" si="784">1+LEN(T2656)-LEN(SUBSTITUTE(T2656,",",))</f>
        <v>5</v>
      </c>
      <c r="S2656" s="1" t="str">
        <f t="shared" ref="S2656:S2658" si="785">IF(R2656&gt;4,IF(R2656&lt;8,"4-7",IF(R2656&gt;7,"&gt;7")),"&lt;4")</f>
        <v>4-7</v>
      </c>
      <c r="T2656" s="1" t="s">
        <v>20062</v>
      </c>
      <c r="U2656" s="1" t="s">
        <v>7</v>
      </c>
      <c r="V2656" s="1" t="s">
        <v>126</v>
      </c>
      <c r="W2656" s="1"/>
    </row>
    <row r="2657" spans="1:23" x14ac:dyDescent="0.2">
      <c r="A2657" s="89" t="s">
        <v>7031</v>
      </c>
      <c r="B2657" s="1" t="e">
        <v>#N/A</v>
      </c>
      <c r="C2657" s="1" t="e">
        <v>#N/A</v>
      </c>
      <c r="D2657" s="1" t="s">
        <v>7032</v>
      </c>
      <c r="E2657" s="1" t="s">
        <v>7033</v>
      </c>
      <c r="F2657" s="1" t="e">
        <v>#N/A</v>
      </c>
      <c r="G2657" s="1" t="e">
        <v>#N/A</v>
      </c>
      <c r="H2657" t="e">
        <v>#N/A</v>
      </c>
      <c r="I2657" s="1" t="e">
        <v>#N/A</v>
      </c>
      <c r="J2657" s="1" t="e">
        <v>#N/A</v>
      </c>
      <c r="K2657" s="1" t="e">
        <v>#N/A</v>
      </c>
      <c r="L2657" s="1" t="e">
        <v>#N/A</v>
      </c>
      <c r="M2657" s="1" t="e">
        <v>#N/A</v>
      </c>
      <c r="N2657" s="1" t="e">
        <v>#N/A</v>
      </c>
      <c r="O2657" s="1" t="e">
        <v>#N/A</v>
      </c>
      <c r="P2657" s="1" t="e">
        <v>#N/A</v>
      </c>
      <c r="Q2657" s="1" t="e">
        <v>#N/A</v>
      </c>
      <c r="R2657" s="1">
        <f t="shared" si="784"/>
        <v>5</v>
      </c>
      <c r="S2657" s="1" t="str">
        <f t="shared" si="785"/>
        <v>4-7</v>
      </c>
      <c r="T2657" s="1" t="s">
        <v>20063</v>
      </c>
      <c r="U2657" s="1" t="s">
        <v>7</v>
      </c>
      <c r="V2657" s="1" t="s">
        <v>7034</v>
      </c>
      <c r="W2657" s="1"/>
    </row>
    <row r="2658" spans="1:23" x14ac:dyDescent="0.2">
      <c r="A2658" s="88" t="s">
        <v>17821</v>
      </c>
      <c r="B2658" s="1" t="e">
        <v>#N/A</v>
      </c>
      <c r="C2658" s="1" t="e">
        <v>#N/A</v>
      </c>
      <c r="D2658" s="1" t="s">
        <v>7035</v>
      </c>
      <c r="E2658" s="1" t="s">
        <v>7036</v>
      </c>
      <c r="F2658" s="1" t="s">
        <v>9333</v>
      </c>
      <c r="G2658" s="1" t="s">
        <v>8957</v>
      </c>
      <c r="H2658" t="s">
        <v>9061</v>
      </c>
      <c r="I2658" s="1" t="s">
        <v>8984</v>
      </c>
      <c r="J2658" s="1" t="s">
        <v>8949</v>
      </c>
      <c r="K2658" s="1" t="s">
        <v>21029</v>
      </c>
      <c r="L2658" s="1" t="s">
        <v>9076</v>
      </c>
      <c r="M2658" s="1">
        <v>127730</v>
      </c>
      <c r="N2658" s="1" t="s">
        <v>20915</v>
      </c>
      <c r="O2658" s="1" t="s">
        <v>8989</v>
      </c>
      <c r="P2658" s="1" t="e">
        <v>#N/A</v>
      </c>
      <c r="Q2658" s="1" t="e">
        <v>#N/A</v>
      </c>
      <c r="R2658" s="1">
        <f t="shared" si="784"/>
        <v>5</v>
      </c>
      <c r="S2658" s="1" t="str">
        <f t="shared" si="785"/>
        <v>4-7</v>
      </c>
      <c r="T2658" s="1" t="s">
        <v>20064</v>
      </c>
      <c r="U2658" s="1" t="s">
        <v>7</v>
      </c>
      <c r="V2658" s="1" t="s">
        <v>3658</v>
      </c>
      <c r="W2658" s="1"/>
    </row>
    <row r="2659" spans="1:23" x14ac:dyDescent="0.2">
      <c r="A2659" s="88" t="s">
        <v>17822</v>
      </c>
      <c r="B2659" s="1" t="e">
        <v>#N/A</v>
      </c>
      <c r="C2659" s="1" t="s">
        <v>9952</v>
      </c>
      <c r="D2659" s="1" t="s">
        <v>7037</v>
      </c>
      <c r="E2659" s="1" t="s">
        <v>7038</v>
      </c>
      <c r="F2659" s="1" t="s">
        <v>9310</v>
      </c>
      <c r="G2659" s="1" t="s">
        <v>8957</v>
      </c>
      <c r="H2659" t="s">
        <v>9009</v>
      </c>
      <c r="I2659" s="1" t="s">
        <v>9049</v>
      </c>
      <c r="J2659" s="1" t="s">
        <v>9325</v>
      </c>
      <c r="K2659" s="1" t="s">
        <v>9955</v>
      </c>
      <c r="L2659" s="1" t="s">
        <v>9133</v>
      </c>
      <c r="M2659" s="1">
        <v>9121</v>
      </c>
      <c r="N2659" s="1" t="s">
        <v>8953</v>
      </c>
      <c r="O2659" s="1" t="s">
        <v>8989</v>
      </c>
      <c r="P2659" s="1" t="s">
        <v>8955</v>
      </c>
      <c r="Q2659" s="1" t="s">
        <v>8956</v>
      </c>
      <c r="R2659" s="1" t="s">
        <v>8957</v>
      </c>
      <c r="S2659" s="1" t="s">
        <v>8958</v>
      </c>
      <c r="T2659" s="1" t="s">
        <v>7039</v>
      </c>
      <c r="U2659" s="1" t="s">
        <v>17</v>
      </c>
      <c r="V2659" s="1" t="s">
        <v>1303</v>
      </c>
      <c r="W2659" s="1"/>
    </row>
    <row r="2660" spans="1:23" x14ac:dyDescent="0.2">
      <c r="A2660" s="88" t="s">
        <v>17823</v>
      </c>
      <c r="B2660" s="1" t="e">
        <v>#N/A</v>
      </c>
      <c r="C2660" s="1" t="e">
        <v>#N/A</v>
      </c>
      <c r="D2660" s="1" t="s">
        <v>7040</v>
      </c>
      <c r="E2660" s="1" t="s">
        <v>7041</v>
      </c>
      <c r="F2660" s="1" t="s">
        <v>18502</v>
      </c>
      <c r="G2660" s="1" t="s">
        <v>8957</v>
      </c>
      <c r="H2660" t="s">
        <v>8959</v>
      </c>
      <c r="I2660" s="1" t="s">
        <v>9035</v>
      </c>
      <c r="J2660" s="1" t="s">
        <v>8998</v>
      </c>
      <c r="K2660" s="1" t="s">
        <v>21029</v>
      </c>
      <c r="L2660" s="1" t="s">
        <v>8951</v>
      </c>
      <c r="M2660" s="1">
        <v>208</v>
      </c>
      <c r="N2660" s="1" t="s">
        <v>9059</v>
      </c>
      <c r="O2660" s="1" t="s">
        <v>8954</v>
      </c>
      <c r="P2660" s="1" t="e">
        <v>#N/A</v>
      </c>
      <c r="Q2660" s="1" t="e">
        <v>#N/A</v>
      </c>
      <c r="R2660" s="1">
        <f t="shared" ref="R2660:R2661" si="786">1+LEN(T2660)-LEN(SUBSTITUTE(T2660,",",))</f>
        <v>4</v>
      </c>
      <c r="S2660" s="1" t="str">
        <f t="shared" ref="S2660:S2661" si="787">IF(R2660&gt;4,IF(R2660&lt;8,"4-7",IF(R2660&gt;7,"&gt;7")),"&lt;4")</f>
        <v>&lt;4</v>
      </c>
      <c r="T2660" s="1" t="s">
        <v>20065</v>
      </c>
      <c r="U2660" s="1" t="s">
        <v>17</v>
      </c>
      <c r="V2660" s="1" t="s">
        <v>234</v>
      </c>
      <c r="W2660" s="1"/>
    </row>
    <row r="2661" spans="1:23" x14ac:dyDescent="0.2">
      <c r="A2661" s="88" t="s">
        <v>17824</v>
      </c>
      <c r="B2661" s="1" t="e">
        <v>#N/A</v>
      </c>
      <c r="C2661" s="1" t="e">
        <v>#N/A</v>
      </c>
      <c r="D2661" s="1" t="s">
        <v>7042</v>
      </c>
      <c r="E2661" s="1" t="s">
        <v>7043</v>
      </c>
      <c r="F2661" s="1" t="e">
        <v>#N/A</v>
      </c>
      <c r="G2661" s="1" t="e">
        <v>#N/A</v>
      </c>
      <c r="H2661" t="e">
        <v>#N/A</v>
      </c>
      <c r="I2661" s="1" t="e">
        <v>#N/A</v>
      </c>
      <c r="J2661" s="1" t="e">
        <v>#N/A</v>
      </c>
      <c r="K2661" s="1" t="e">
        <v>#N/A</v>
      </c>
      <c r="L2661" s="1" t="e">
        <v>#N/A</v>
      </c>
      <c r="M2661" s="1" t="e">
        <v>#N/A</v>
      </c>
      <c r="N2661" s="1" t="e">
        <v>#N/A</v>
      </c>
      <c r="O2661" s="1" t="e">
        <v>#N/A</v>
      </c>
      <c r="P2661" s="1" t="e">
        <v>#N/A</v>
      </c>
      <c r="Q2661" s="1" t="e">
        <v>#N/A</v>
      </c>
      <c r="R2661" s="1">
        <f t="shared" si="786"/>
        <v>6</v>
      </c>
      <c r="S2661" s="1" t="str">
        <f t="shared" si="787"/>
        <v>4-7</v>
      </c>
      <c r="T2661" s="1" t="s">
        <v>20066</v>
      </c>
      <c r="U2661" s="1" t="s">
        <v>252</v>
      </c>
      <c r="V2661" s="1" t="s">
        <v>43</v>
      </c>
      <c r="W2661" s="1"/>
    </row>
    <row r="2662" spans="1:23" x14ac:dyDescent="0.2">
      <c r="A2662" s="88" t="s">
        <v>17825</v>
      </c>
      <c r="B2662" s="1" t="e">
        <v>#N/A</v>
      </c>
      <c r="C2662" s="1" t="s">
        <v>13909</v>
      </c>
      <c r="D2662" s="1" t="s">
        <v>7044</v>
      </c>
      <c r="E2662" s="1" t="s">
        <v>7045</v>
      </c>
      <c r="F2662" s="1" t="s">
        <v>13122</v>
      </c>
      <c r="G2662" s="1" t="s">
        <v>8957</v>
      </c>
      <c r="H2662" t="s">
        <v>9061</v>
      </c>
      <c r="I2662" s="1" t="s">
        <v>9154</v>
      </c>
      <c r="J2662" s="1" t="s">
        <v>8949</v>
      </c>
      <c r="K2662" s="1" t="s">
        <v>9036</v>
      </c>
      <c r="L2662" s="1" t="s">
        <v>8973</v>
      </c>
      <c r="M2662" s="1">
        <v>200</v>
      </c>
      <c r="N2662" s="1" t="s">
        <v>9059</v>
      </c>
      <c r="O2662" s="1" t="s">
        <v>8989</v>
      </c>
      <c r="P2662" s="1" t="s">
        <v>8955</v>
      </c>
      <c r="Q2662" s="1" t="s">
        <v>8990</v>
      </c>
      <c r="R2662" s="1" t="s">
        <v>8957</v>
      </c>
      <c r="S2662" s="1" t="s">
        <v>8958</v>
      </c>
      <c r="T2662" s="1" t="s">
        <v>7046</v>
      </c>
      <c r="U2662" s="1" t="s">
        <v>4</v>
      </c>
      <c r="V2662" s="1" t="s">
        <v>126</v>
      </c>
      <c r="W2662" s="1"/>
    </row>
    <row r="2663" spans="1:23" x14ac:dyDescent="0.2">
      <c r="A2663" s="88" t="s">
        <v>17826</v>
      </c>
      <c r="B2663" s="1" t="e">
        <v>#N/A</v>
      </c>
      <c r="C2663" s="1" t="s">
        <v>13119</v>
      </c>
      <c r="D2663" s="1" t="s">
        <v>7047</v>
      </c>
      <c r="E2663" s="1" t="s">
        <v>7048</v>
      </c>
      <c r="F2663" s="1" t="s">
        <v>13122</v>
      </c>
      <c r="G2663" s="1" t="s">
        <v>8957</v>
      </c>
      <c r="H2663" t="s">
        <v>8959</v>
      </c>
      <c r="I2663" s="1" t="s">
        <v>9154</v>
      </c>
      <c r="J2663" s="1" t="s">
        <v>8949</v>
      </c>
      <c r="K2663" s="1" t="s">
        <v>9436</v>
      </c>
      <c r="L2663" s="1" t="s">
        <v>8973</v>
      </c>
      <c r="M2663" s="1">
        <v>1140</v>
      </c>
      <c r="N2663" s="1" t="s">
        <v>8953</v>
      </c>
      <c r="O2663" s="1" t="s">
        <v>8954</v>
      </c>
      <c r="P2663" s="1" t="s">
        <v>8955</v>
      </c>
      <c r="Q2663" s="1" t="s">
        <v>8956</v>
      </c>
      <c r="R2663" s="1" t="s">
        <v>8957</v>
      </c>
      <c r="S2663" s="1" t="s">
        <v>8958</v>
      </c>
      <c r="T2663" s="1" t="s">
        <v>7049</v>
      </c>
      <c r="U2663" s="1" t="s">
        <v>11</v>
      </c>
      <c r="V2663" s="1" t="s">
        <v>619</v>
      </c>
      <c r="W2663" s="1"/>
    </row>
    <row r="2664" spans="1:23" x14ac:dyDescent="0.2">
      <c r="A2664" s="89" t="s">
        <v>7050</v>
      </c>
      <c r="B2664" s="1" t="e">
        <v>#N/A</v>
      </c>
      <c r="C2664" s="1" t="e">
        <v>#N/A</v>
      </c>
      <c r="D2664" s="1" t="s">
        <v>7051</v>
      </c>
      <c r="E2664" s="1" t="s">
        <v>7052</v>
      </c>
      <c r="F2664" s="1" t="e">
        <v>#N/A</v>
      </c>
      <c r="G2664" s="1" t="e">
        <v>#N/A</v>
      </c>
      <c r="H2664" t="e">
        <v>#N/A</v>
      </c>
      <c r="I2664" s="1" t="e">
        <v>#N/A</v>
      </c>
      <c r="J2664" s="1" t="e">
        <v>#N/A</v>
      </c>
      <c r="K2664" s="1" t="e">
        <v>#N/A</v>
      </c>
      <c r="L2664" s="1" t="e">
        <v>#N/A</v>
      </c>
      <c r="M2664" s="1" t="e">
        <v>#N/A</v>
      </c>
      <c r="N2664" s="1" t="e">
        <v>#N/A</v>
      </c>
      <c r="O2664" s="1" t="e">
        <v>#N/A</v>
      </c>
      <c r="P2664" s="1" t="e">
        <v>#N/A</v>
      </c>
      <c r="Q2664" s="1" t="e">
        <v>#N/A</v>
      </c>
      <c r="R2664" s="1">
        <f t="shared" ref="R2664:R2677" si="788">1+LEN(T2664)-LEN(SUBSTITUTE(T2664,",",))</f>
        <v>5</v>
      </c>
      <c r="S2664" s="1" t="str">
        <f t="shared" ref="S2664:S2677" si="789">IF(R2664&gt;4,IF(R2664&lt;8,"4-7",IF(R2664&gt;7,"&gt;7")),"&lt;4")</f>
        <v>4-7</v>
      </c>
      <c r="T2664" s="1" t="s">
        <v>20067</v>
      </c>
      <c r="U2664" s="1" t="s">
        <v>7</v>
      </c>
      <c r="V2664" s="1" t="s">
        <v>104</v>
      </c>
      <c r="W2664" s="1"/>
    </row>
    <row r="2665" spans="1:23" x14ac:dyDescent="0.2">
      <c r="A2665" s="89" t="s">
        <v>17827</v>
      </c>
      <c r="B2665" s="1" t="e">
        <v>#N/A</v>
      </c>
      <c r="C2665" s="1" t="e">
        <v>#N/A</v>
      </c>
      <c r="D2665" s="1" t="s">
        <v>7053</v>
      </c>
      <c r="E2665" s="1" t="s">
        <v>7054</v>
      </c>
      <c r="F2665" s="1" t="e">
        <v>#N/A</v>
      </c>
      <c r="G2665" s="1" t="e">
        <v>#N/A</v>
      </c>
      <c r="H2665" t="e">
        <v>#N/A</v>
      </c>
      <c r="I2665" s="1" t="e">
        <v>#N/A</v>
      </c>
      <c r="J2665" s="1" t="e">
        <v>#N/A</v>
      </c>
      <c r="K2665" s="1" t="e">
        <v>#N/A</v>
      </c>
      <c r="L2665" s="1" t="e">
        <v>#N/A</v>
      </c>
      <c r="M2665" s="1" t="e">
        <v>#N/A</v>
      </c>
      <c r="N2665" s="1" t="e">
        <v>#N/A</v>
      </c>
      <c r="O2665" s="1" t="e">
        <v>#N/A</v>
      </c>
      <c r="P2665" s="1" t="e">
        <v>#N/A</v>
      </c>
      <c r="Q2665" s="1" t="e">
        <v>#N/A</v>
      </c>
      <c r="R2665" s="1">
        <f t="shared" si="788"/>
        <v>6</v>
      </c>
      <c r="S2665" s="1" t="str">
        <f t="shared" si="789"/>
        <v>4-7</v>
      </c>
      <c r="T2665" s="1" t="s">
        <v>20068</v>
      </c>
      <c r="U2665" s="1" t="s">
        <v>7</v>
      </c>
      <c r="V2665" s="1" t="s">
        <v>7055</v>
      </c>
      <c r="W2665" s="1"/>
    </row>
    <row r="2666" spans="1:23" x14ac:dyDescent="0.2">
      <c r="A2666" s="88" t="s">
        <v>17828</v>
      </c>
      <c r="B2666" s="1" t="e">
        <v>#N/A</v>
      </c>
      <c r="C2666" s="1" t="e">
        <v>#N/A</v>
      </c>
      <c r="D2666" s="1" t="s">
        <v>7056</v>
      </c>
      <c r="E2666" s="1" t="s">
        <v>7057</v>
      </c>
      <c r="F2666" s="1" t="s">
        <v>9333</v>
      </c>
      <c r="G2666" s="1" t="s">
        <v>8959</v>
      </c>
      <c r="H2666" t="s">
        <v>8959</v>
      </c>
      <c r="I2666" s="1" t="s">
        <v>9252</v>
      </c>
      <c r="J2666" s="1" t="s">
        <v>8971</v>
      </c>
      <c r="K2666" s="1" t="s">
        <v>21392</v>
      </c>
      <c r="L2666" s="1" t="s">
        <v>8987</v>
      </c>
      <c r="M2666" s="1">
        <v>1536</v>
      </c>
      <c r="N2666" s="1" t="s">
        <v>8953</v>
      </c>
      <c r="O2666" s="1" t="s">
        <v>8989</v>
      </c>
      <c r="P2666" s="1" t="e">
        <v>#N/A</v>
      </c>
      <c r="Q2666" s="1" t="e">
        <v>#N/A</v>
      </c>
      <c r="R2666" s="1">
        <f t="shared" si="788"/>
        <v>5</v>
      </c>
      <c r="S2666" s="1" t="str">
        <f t="shared" si="789"/>
        <v>4-7</v>
      </c>
      <c r="T2666" s="1" t="s">
        <v>20069</v>
      </c>
      <c r="U2666" s="1" t="s">
        <v>17</v>
      </c>
      <c r="V2666" s="1" t="s">
        <v>378</v>
      </c>
      <c r="W2666" s="1"/>
    </row>
    <row r="2667" spans="1:23" x14ac:dyDescent="0.2">
      <c r="A2667" s="88" t="s">
        <v>17829</v>
      </c>
      <c r="B2667" s="1" t="e">
        <v>#N/A</v>
      </c>
      <c r="C2667" s="1" t="e">
        <v>#N/A</v>
      </c>
      <c r="D2667" s="1" t="s">
        <v>7058</v>
      </c>
      <c r="E2667" s="1" t="s">
        <v>7059</v>
      </c>
      <c r="F2667" s="1" t="s">
        <v>9333</v>
      </c>
      <c r="G2667" s="1" t="s">
        <v>8959</v>
      </c>
      <c r="H2667" t="s">
        <v>9061</v>
      </c>
      <c r="I2667" s="1" t="s">
        <v>9075</v>
      </c>
      <c r="J2667" s="1" t="s">
        <v>8998</v>
      </c>
      <c r="K2667" s="1" t="s">
        <v>18489</v>
      </c>
      <c r="L2667" s="1" t="s">
        <v>8987</v>
      </c>
      <c r="M2667" s="1">
        <f>48832+281</f>
        <v>49113</v>
      </c>
      <c r="N2667" s="1" t="s">
        <v>8953</v>
      </c>
      <c r="O2667" s="1" t="s">
        <v>8989</v>
      </c>
      <c r="P2667" s="1" t="e">
        <v>#N/A</v>
      </c>
      <c r="Q2667" s="1" t="e">
        <v>#N/A</v>
      </c>
      <c r="R2667" s="1">
        <f t="shared" si="788"/>
        <v>12</v>
      </c>
      <c r="S2667" s="1" t="str">
        <f t="shared" si="789"/>
        <v>&gt;7</v>
      </c>
      <c r="T2667" s="1" t="s">
        <v>20070</v>
      </c>
      <c r="U2667" s="1" t="s">
        <v>7</v>
      </c>
      <c r="V2667" s="1" t="s">
        <v>496</v>
      </c>
      <c r="W2667" s="1"/>
    </row>
    <row r="2668" spans="1:23" x14ac:dyDescent="0.2">
      <c r="A2668" s="88" t="s">
        <v>17830</v>
      </c>
      <c r="B2668" s="1" t="e">
        <v>#N/A</v>
      </c>
      <c r="C2668" s="1" t="e">
        <v>#N/A</v>
      </c>
      <c r="D2668" s="1" t="s">
        <v>7060</v>
      </c>
      <c r="E2668" s="1" t="s">
        <v>7061</v>
      </c>
      <c r="F2668" s="1" t="s">
        <v>9310</v>
      </c>
      <c r="G2668" s="1" t="s">
        <v>8957</v>
      </c>
      <c r="H2668" t="s">
        <v>8959</v>
      </c>
      <c r="I2668" s="1" t="s">
        <v>9605</v>
      </c>
      <c r="J2668" s="1" t="s">
        <v>8998</v>
      </c>
      <c r="K2668" s="1" t="s">
        <v>21031</v>
      </c>
      <c r="L2668" s="1" t="s">
        <v>9076</v>
      </c>
      <c r="M2668" s="1">
        <v>5760</v>
      </c>
      <c r="N2668" s="1" t="s">
        <v>8953</v>
      </c>
      <c r="O2668" s="1" t="s">
        <v>8989</v>
      </c>
      <c r="P2668" s="1" t="e">
        <v>#N/A</v>
      </c>
      <c r="Q2668" s="1" t="e">
        <v>#N/A</v>
      </c>
      <c r="R2668" s="1">
        <f t="shared" si="788"/>
        <v>10</v>
      </c>
      <c r="S2668" s="1" t="str">
        <f t="shared" si="789"/>
        <v>&gt;7</v>
      </c>
      <c r="T2668" s="1" t="s">
        <v>20071</v>
      </c>
      <c r="U2668" s="1" t="s">
        <v>17</v>
      </c>
      <c r="V2668" s="1" t="s">
        <v>1010</v>
      </c>
      <c r="W2668" s="1"/>
    </row>
    <row r="2669" spans="1:23" x14ac:dyDescent="0.2">
      <c r="A2669" s="89" t="s">
        <v>7062</v>
      </c>
      <c r="B2669" s="1" t="e">
        <v>#N/A</v>
      </c>
      <c r="C2669" s="1" t="e">
        <v>#N/A</v>
      </c>
      <c r="D2669" s="1" t="s">
        <v>7063</v>
      </c>
      <c r="E2669" s="1" t="s">
        <v>7064</v>
      </c>
      <c r="F2669" s="1" t="e">
        <v>#N/A</v>
      </c>
      <c r="G2669" s="1" t="e">
        <v>#N/A</v>
      </c>
      <c r="H2669" t="e">
        <v>#N/A</v>
      </c>
      <c r="I2669" s="1" t="e">
        <v>#N/A</v>
      </c>
      <c r="J2669" s="1" t="e">
        <v>#N/A</v>
      </c>
      <c r="K2669" s="1" t="e">
        <v>#N/A</v>
      </c>
      <c r="L2669" s="1" t="e">
        <v>#N/A</v>
      </c>
      <c r="M2669" s="1" t="e">
        <v>#N/A</v>
      </c>
      <c r="N2669" s="1" t="e">
        <v>#N/A</v>
      </c>
      <c r="O2669" s="1" t="e">
        <v>#N/A</v>
      </c>
      <c r="P2669" s="1" t="e">
        <v>#N/A</v>
      </c>
      <c r="Q2669" s="1" t="e">
        <v>#N/A</v>
      </c>
      <c r="R2669" s="1">
        <f t="shared" si="788"/>
        <v>4</v>
      </c>
      <c r="S2669" s="1" t="str">
        <f t="shared" si="789"/>
        <v>&lt;4</v>
      </c>
      <c r="T2669" s="1" t="s">
        <v>20072</v>
      </c>
      <c r="U2669" s="1" t="s">
        <v>7</v>
      </c>
      <c r="V2669" s="1" t="s">
        <v>1726</v>
      </c>
      <c r="W2669" s="1"/>
    </row>
    <row r="2670" spans="1:23" x14ac:dyDescent="0.2">
      <c r="A2670" s="88" t="s">
        <v>17831</v>
      </c>
      <c r="B2670" s="1" t="e">
        <v>#N/A</v>
      </c>
      <c r="C2670" s="1" t="e">
        <v>#N/A</v>
      </c>
      <c r="D2670" s="1" t="s">
        <v>7065</v>
      </c>
      <c r="E2670" s="1" t="s">
        <v>7066</v>
      </c>
      <c r="F2670" s="1" t="s">
        <v>9310</v>
      </c>
      <c r="G2670" s="1" t="s">
        <v>8957</v>
      </c>
      <c r="H2670" t="s">
        <v>8959</v>
      </c>
      <c r="I2670" s="1" t="s">
        <v>9100</v>
      </c>
      <c r="J2670" s="1" t="s">
        <v>9155</v>
      </c>
      <c r="K2670" s="1" t="s">
        <v>10492</v>
      </c>
      <c r="L2670" s="1" t="s">
        <v>8973</v>
      </c>
      <c r="M2670" s="1">
        <v>59</v>
      </c>
      <c r="N2670" s="1" t="s">
        <v>9059</v>
      </c>
      <c r="O2670" s="1" t="s">
        <v>8989</v>
      </c>
      <c r="P2670" s="1" t="e">
        <v>#N/A</v>
      </c>
      <c r="Q2670" s="1" t="e">
        <v>#N/A</v>
      </c>
      <c r="R2670" s="1">
        <f t="shared" si="788"/>
        <v>7</v>
      </c>
      <c r="S2670" s="1" t="str">
        <f t="shared" si="789"/>
        <v>4-7</v>
      </c>
      <c r="T2670" s="1" t="s">
        <v>20073</v>
      </c>
      <c r="U2670" s="1" t="s">
        <v>7</v>
      </c>
      <c r="V2670" s="1" t="s">
        <v>147</v>
      </c>
      <c r="W2670" s="1"/>
    </row>
    <row r="2671" spans="1:23" x14ac:dyDescent="0.2">
      <c r="A2671" s="92">
        <v>1</v>
      </c>
      <c r="B2671" t="e">
        <v>#N/A</v>
      </c>
      <c r="C2671" t="e">
        <v>#N/A</v>
      </c>
      <c r="D2671" s="1" t="s">
        <v>7067</v>
      </c>
      <c r="E2671" s="1" t="s">
        <v>7068</v>
      </c>
      <c r="F2671" s="1" t="e">
        <v>#N/A</v>
      </c>
      <c r="G2671" s="1" t="e">
        <v>#N/A</v>
      </c>
      <c r="H2671" t="e">
        <v>#N/A</v>
      </c>
      <c r="I2671" s="1" t="e">
        <v>#N/A</v>
      </c>
      <c r="J2671" s="1" t="e">
        <v>#N/A</v>
      </c>
      <c r="K2671" s="1" t="e">
        <v>#N/A</v>
      </c>
      <c r="L2671" s="1" t="e">
        <v>#N/A</v>
      </c>
      <c r="M2671" s="1" t="e">
        <v>#N/A</v>
      </c>
      <c r="N2671" s="1" t="e">
        <v>#N/A</v>
      </c>
      <c r="O2671" s="1" t="e">
        <v>#N/A</v>
      </c>
      <c r="P2671" s="1" t="e">
        <v>#N/A</v>
      </c>
      <c r="Q2671" s="1" t="e">
        <v>#N/A</v>
      </c>
      <c r="R2671" s="1">
        <f t="shared" si="788"/>
        <v>1</v>
      </c>
      <c r="S2671" s="1" t="str">
        <f t="shared" si="789"/>
        <v>&lt;4</v>
      </c>
      <c r="T2671" s="1" t="s">
        <v>7069</v>
      </c>
      <c r="U2671" s="1" t="s">
        <v>11</v>
      </c>
      <c r="V2671" s="1"/>
      <c r="W2671" s="1"/>
    </row>
    <row r="2672" spans="1:23" x14ac:dyDescent="0.2">
      <c r="A2672" s="88" t="s">
        <v>17832</v>
      </c>
      <c r="B2672" s="1" t="e">
        <v>#N/A</v>
      </c>
      <c r="C2672" s="1" t="e">
        <v>#N/A</v>
      </c>
      <c r="D2672" s="1" t="s">
        <v>7070</v>
      </c>
      <c r="E2672" s="1" t="s">
        <v>7071</v>
      </c>
      <c r="F2672" s="1" t="s">
        <v>9380</v>
      </c>
      <c r="G2672" s="1" t="s">
        <v>8957</v>
      </c>
      <c r="H2672" t="s">
        <v>9061</v>
      </c>
      <c r="I2672" s="1" t="s">
        <v>9035</v>
      </c>
      <c r="J2672" s="1" t="s">
        <v>8998</v>
      </c>
      <c r="K2672" s="1" t="s">
        <v>21032</v>
      </c>
      <c r="L2672" s="1" t="s">
        <v>8951</v>
      </c>
      <c r="M2672" s="1">
        <v>2153</v>
      </c>
      <c r="N2672" s="1" t="s">
        <v>8953</v>
      </c>
      <c r="O2672" s="1" t="s">
        <v>8954</v>
      </c>
      <c r="P2672" s="1" t="e">
        <v>#N/A</v>
      </c>
      <c r="Q2672" s="1" t="e">
        <v>#N/A</v>
      </c>
      <c r="R2672" s="1">
        <f t="shared" si="788"/>
        <v>6</v>
      </c>
      <c r="S2672" s="1" t="str">
        <f t="shared" si="789"/>
        <v>4-7</v>
      </c>
      <c r="T2672" s="1" t="s">
        <v>20074</v>
      </c>
      <c r="U2672" s="1" t="s">
        <v>7</v>
      </c>
      <c r="V2672" s="1" t="s">
        <v>686</v>
      </c>
      <c r="W2672" s="1"/>
    </row>
    <row r="2673" spans="1:23" x14ac:dyDescent="0.2">
      <c r="A2673" s="88" t="s">
        <v>17833</v>
      </c>
      <c r="B2673" s="1" t="e">
        <v>#N/A</v>
      </c>
      <c r="C2673" s="1" t="e">
        <v>#N/A</v>
      </c>
      <c r="D2673" s="1" t="s">
        <v>7072</v>
      </c>
      <c r="E2673" s="1" t="s">
        <v>7073</v>
      </c>
      <c r="F2673" s="1" t="s">
        <v>9310</v>
      </c>
      <c r="G2673" s="1" t="s">
        <v>8957</v>
      </c>
      <c r="H2673" t="s">
        <v>8959</v>
      </c>
      <c r="I2673" s="1" t="s">
        <v>20714</v>
      </c>
      <c r="J2673" s="1" t="s">
        <v>9050</v>
      </c>
      <c r="K2673" s="1" t="s">
        <v>10492</v>
      </c>
      <c r="L2673" s="1" t="s">
        <v>8973</v>
      </c>
      <c r="M2673" s="1">
        <f>40+28+45+20</f>
        <v>133</v>
      </c>
      <c r="N2673" s="1" t="s">
        <v>8953</v>
      </c>
      <c r="O2673" s="1" t="s">
        <v>8954</v>
      </c>
      <c r="P2673" s="1" t="e">
        <v>#N/A</v>
      </c>
      <c r="Q2673" s="1" t="e">
        <v>#N/A</v>
      </c>
      <c r="R2673" s="1">
        <f t="shared" si="788"/>
        <v>6</v>
      </c>
      <c r="S2673" s="1" t="str">
        <f t="shared" si="789"/>
        <v>4-7</v>
      </c>
      <c r="T2673" s="1" t="s">
        <v>20075</v>
      </c>
      <c r="U2673" s="1" t="s">
        <v>17</v>
      </c>
      <c r="V2673" s="1" t="s">
        <v>74</v>
      </c>
      <c r="W2673" s="1"/>
    </row>
    <row r="2674" spans="1:23" x14ac:dyDescent="0.2">
      <c r="A2674" s="88" t="s">
        <v>17834</v>
      </c>
      <c r="B2674" s="1" t="e">
        <v>#N/A</v>
      </c>
      <c r="C2674" s="1" t="e">
        <v>#N/A</v>
      </c>
      <c r="D2674" s="1" t="s">
        <v>7074</v>
      </c>
      <c r="E2674" s="1" t="s">
        <v>7075</v>
      </c>
      <c r="F2674" s="1" t="s">
        <v>9310</v>
      </c>
      <c r="G2674" s="1" t="s">
        <v>9060</v>
      </c>
      <c r="H2674" t="s">
        <v>8959</v>
      </c>
      <c r="I2674" s="1" t="s">
        <v>9605</v>
      </c>
      <c r="J2674" s="1" t="s">
        <v>9101</v>
      </c>
      <c r="K2674" s="1" t="s">
        <v>21031</v>
      </c>
      <c r="L2674" s="1" t="s">
        <v>9076</v>
      </c>
      <c r="M2674" s="1">
        <v>65268</v>
      </c>
      <c r="N2674" s="1" t="s">
        <v>20915</v>
      </c>
      <c r="O2674" s="1" t="s">
        <v>8989</v>
      </c>
      <c r="P2674" s="1" t="e">
        <v>#N/A</v>
      </c>
      <c r="Q2674" s="1" t="e">
        <v>#N/A</v>
      </c>
      <c r="R2674" s="1">
        <f t="shared" si="788"/>
        <v>6</v>
      </c>
      <c r="S2674" s="1" t="str">
        <f t="shared" si="789"/>
        <v>4-7</v>
      </c>
      <c r="T2674" s="1" t="s">
        <v>20076</v>
      </c>
      <c r="U2674" s="1" t="s">
        <v>17</v>
      </c>
      <c r="V2674" s="1" t="s">
        <v>1010</v>
      </c>
      <c r="W2674" s="1"/>
    </row>
    <row r="2675" spans="1:23" x14ac:dyDescent="0.2">
      <c r="A2675" s="95" t="s">
        <v>17835</v>
      </c>
      <c r="B2675" s="1" t="e">
        <v>#N/A</v>
      </c>
      <c r="C2675" s="1" t="e">
        <v>#N/A</v>
      </c>
      <c r="D2675" s="1" t="s">
        <v>7076</v>
      </c>
      <c r="E2675" s="1" t="s">
        <v>7077</v>
      </c>
      <c r="F2675" s="1" t="s">
        <v>18502</v>
      </c>
      <c r="G2675" s="1" t="s">
        <v>9060</v>
      </c>
      <c r="H2675" t="s">
        <v>8959</v>
      </c>
      <c r="I2675" s="1" t="s">
        <v>8984</v>
      </c>
      <c r="J2675" s="1" t="s">
        <v>8998</v>
      </c>
      <c r="K2675" s="1" t="s">
        <v>10492</v>
      </c>
      <c r="L2675" s="1" t="s">
        <v>8973</v>
      </c>
      <c r="M2675" s="1">
        <v>860</v>
      </c>
      <c r="N2675" s="1" t="s">
        <v>9059</v>
      </c>
      <c r="O2675" s="1" t="s">
        <v>8954</v>
      </c>
      <c r="P2675" s="1" t="e">
        <v>#N/A</v>
      </c>
      <c r="Q2675" s="1" t="e">
        <v>#N/A</v>
      </c>
      <c r="R2675" s="1">
        <f t="shared" si="788"/>
        <v>9</v>
      </c>
      <c r="S2675" s="1" t="str">
        <f t="shared" si="789"/>
        <v>&gt;7</v>
      </c>
      <c r="T2675" s="1" t="s">
        <v>20691</v>
      </c>
      <c r="U2675" s="1" t="s">
        <v>7</v>
      </c>
      <c r="V2675" s="1" t="s">
        <v>286</v>
      </c>
      <c r="W2675" s="1"/>
    </row>
    <row r="2676" spans="1:23" x14ac:dyDescent="0.2">
      <c r="A2676" s="88" t="s">
        <v>17836</v>
      </c>
      <c r="B2676" s="1" t="e">
        <v>#N/A</v>
      </c>
      <c r="C2676" s="1" t="e">
        <v>#N/A</v>
      </c>
      <c r="D2676" s="1" t="s">
        <v>7078</v>
      </c>
      <c r="E2676" s="1" t="s">
        <v>7079</v>
      </c>
      <c r="F2676" s="1" t="e">
        <v>#N/A</v>
      </c>
      <c r="G2676" s="1" t="e">
        <v>#N/A</v>
      </c>
      <c r="H2676" t="e">
        <v>#N/A</v>
      </c>
      <c r="I2676" s="1" t="e">
        <v>#N/A</v>
      </c>
      <c r="J2676" s="1" t="e">
        <v>#N/A</v>
      </c>
      <c r="K2676" s="1" t="e">
        <v>#N/A</v>
      </c>
      <c r="L2676" s="1" t="e">
        <v>#N/A</v>
      </c>
      <c r="M2676" s="1" t="e">
        <v>#N/A</v>
      </c>
      <c r="N2676" s="1" t="e">
        <v>#N/A</v>
      </c>
      <c r="O2676" s="1" t="e">
        <v>#N/A</v>
      </c>
      <c r="P2676" s="1" t="e">
        <v>#N/A</v>
      </c>
      <c r="Q2676" s="1" t="e">
        <v>#N/A</v>
      </c>
      <c r="R2676" s="1">
        <f t="shared" si="788"/>
        <v>9</v>
      </c>
      <c r="S2676" s="1" t="str">
        <f t="shared" si="789"/>
        <v>&gt;7</v>
      </c>
      <c r="T2676" s="1" t="s">
        <v>20692</v>
      </c>
      <c r="U2676" s="1" t="s">
        <v>252</v>
      </c>
      <c r="V2676" s="1" t="s">
        <v>392</v>
      </c>
      <c r="W2676" s="1"/>
    </row>
    <row r="2677" spans="1:23" x14ac:dyDescent="0.2">
      <c r="A2677" s="88" t="s">
        <v>17837</v>
      </c>
      <c r="B2677" s="1" t="e">
        <v>#N/A</v>
      </c>
      <c r="C2677" s="1" t="e">
        <v>#N/A</v>
      </c>
      <c r="D2677" s="1" t="s">
        <v>7080</v>
      </c>
      <c r="E2677" s="1" t="s">
        <v>7081</v>
      </c>
      <c r="F2677" s="1" t="s">
        <v>9310</v>
      </c>
      <c r="G2677" s="1" t="s">
        <v>8957</v>
      </c>
      <c r="H2677" t="s">
        <v>8959</v>
      </c>
      <c r="I2677" s="1" t="s">
        <v>9252</v>
      </c>
      <c r="J2677" s="1" t="s">
        <v>8971</v>
      </c>
      <c r="K2677" s="1" t="s">
        <v>21320</v>
      </c>
      <c r="L2677" s="1" t="s">
        <v>8951</v>
      </c>
      <c r="M2677" s="1">
        <v>2280</v>
      </c>
      <c r="N2677" s="1" t="s">
        <v>8953</v>
      </c>
      <c r="O2677" s="1" t="s">
        <v>8954</v>
      </c>
      <c r="P2677" s="1" t="e">
        <v>#N/A</v>
      </c>
      <c r="Q2677" s="1" t="e">
        <v>#N/A</v>
      </c>
      <c r="R2677" s="1">
        <f t="shared" si="788"/>
        <v>7</v>
      </c>
      <c r="S2677" s="1" t="str">
        <f t="shared" si="789"/>
        <v>4-7</v>
      </c>
      <c r="T2677" s="1" t="s">
        <v>20077</v>
      </c>
      <c r="U2677" s="1" t="s">
        <v>17</v>
      </c>
      <c r="V2677" s="1" t="s">
        <v>234</v>
      </c>
      <c r="W2677" s="1"/>
    </row>
    <row r="2678" spans="1:23" x14ac:dyDescent="0.2">
      <c r="A2678" s="88" t="s">
        <v>17838</v>
      </c>
      <c r="B2678" s="1" t="e">
        <v>#N/A</v>
      </c>
      <c r="C2678" s="1" t="s">
        <v>12149</v>
      </c>
      <c r="D2678" s="1" t="s">
        <v>7082</v>
      </c>
      <c r="E2678" s="1" t="s">
        <v>7083</v>
      </c>
      <c r="F2678" s="1" t="s">
        <v>9310</v>
      </c>
      <c r="G2678" s="1" t="s">
        <v>8957</v>
      </c>
      <c r="H2678" t="s">
        <v>9183</v>
      </c>
      <c r="I2678" s="1" t="s">
        <v>9154</v>
      </c>
      <c r="J2678" s="1" t="s">
        <v>8949</v>
      </c>
      <c r="K2678" s="1" t="s">
        <v>10517</v>
      </c>
      <c r="L2678" s="1" t="s">
        <v>8951</v>
      </c>
      <c r="M2678" s="1">
        <v>33</v>
      </c>
      <c r="N2678" s="1" t="s">
        <v>9059</v>
      </c>
      <c r="O2678" s="1" t="s">
        <v>8954</v>
      </c>
      <c r="P2678" s="1" t="s">
        <v>8955</v>
      </c>
      <c r="Q2678" s="1" t="s">
        <v>8956</v>
      </c>
      <c r="R2678" s="1" t="s">
        <v>8957</v>
      </c>
      <c r="S2678" s="1" t="s">
        <v>9103</v>
      </c>
      <c r="T2678" s="1" t="s">
        <v>7084</v>
      </c>
      <c r="U2678" s="1" t="s">
        <v>11</v>
      </c>
      <c r="V2678" s="1" t="s">
        <v>1328</v>
      </c>
      <c r="W2678" s="1"/>
    </row>
    <row r="2679" spans="1:23" x14ac:dyDescent="0.2">
      <c r="A2679" s="89" t="s">
        <v>7085</v>
      </c>
      <c r="B2679" s="1" t="e">
        <v>#N/A</v>
      </c>
      <c r="C2679" s="1" t="e">
        <v>#N/A</v>
      </c>
      <c r="D2679" s="1" t="s">
        <v>7086</v>
      </c>
      <c r="E2679" s="1" t="s">
        <v>7087</v>
      </c>
      <c r="F2679" s="1" t="e">
        <v>#N/A</v>
      </c>
      <c r="G2679" s="1" t="e">
        <v>#N/A</v>
      </c>
      <c r="H2679" t="e">
        <v>#N/A</v>
      </c>
      <c r="I2679" s="1" t="e">
        <v>#N/A</v>
      </c>
      <c r="J2679" s="1" t="e">
        <v>#N/A</v>
      </c>
      <c r="K2679" s="1" t="e">
        <v>#N/A</v>
      </c>
      <c r="L2679" s="1" t="e">
        <v>#N/A</v>
      </c>
      <c r="M2679" s="1" t="e">
        <v>#N/A</v>
      </c>
      <c r="N2679" s="1" t="e">
        <v>#N/A</v>
      </c>
      <c r="O2679" s="1" t="e">
        <v>#N/A</v>
      </c>
      <c r="P2679" s="1" t="e">
        <v>#N/A</v>
      </c>
      <c r="Q2679" s="1" t="e">
        <v>#N/A</v>
      </c>
      <c r="R2679" s="1">
        <f>1+LEN(T2679)-LEN(SUBSTITUTE(T2679,",",))</f>
        <v>3</v>
      </c>
      <c r="S2679" s="1" t="str">
        <f>IF(R2679&gt;4,IF(R2679&lt;8,"4-7",IF(R2679&gt;7,"&gt;7")),"&lt;4")</f>
        <v>&lt;4</v>
      </c>
      <c r="T2679" s="1" t="s">
        <v>20078</v>
      </c>
      <c r="U2679" s="1" t="s">
        <v>7</v>
      </c>
      <c r="V2679" s="1" t="s">
        <v>496</v>
      </c>
      <c r="W2679" s="1"/>
    </row>
    <row r="2680" spans="1:23" x14ac:dyDescent="0.2">
      <c r="A2680" s="88" t="s">
        <v>17839</v>
      </c>
      <c r="B2680" s="1" t="e">
        <v>#N/A</v>
      </c>
      <c r="C2680" s="1" t="s">
        <v>11375</v>
      </c>
      <c r="D2680" s="1" t="s">
        <v>7088</v>
      </c>
      <c r="E2680" s="1" t="s">
        <v>7089</v>
      </c>
      <c r="F2680" s="1" t="s">
        <v>9246</v>
      </c>
      <c r="G2680" s="1" t="s">
        <v>8957</v>
      </c>
      <c r="H2680" t="s">
        <v>9183</v>
      </c>
      <c r="I2680" s="1" t="s">
        <v>9154</v>
      </c>
      <c r="J2680" s="1" t="s">
        <v>8949</v>
      </c>
      <c r="K2680" s="1" t="s">
        <v>8972</v>
      </c>
      <c r="L2680" s="1" t="s">
        <v>9133</v>
      </c>
      <c r="M2680" s="1">
        <v>596</v>
      </c>
      <c r="N2680" s="1" t="s">
        <v>8953</v>
      </c>
      <c r="O2680" s="1" t="s">
        <v>8954</v>
      </c>
      <c r="P2680" s="1" t="s">
        <v>8955</v>
      </c>
      <c r="Q2680" s="1" t="s">
        <v>8956</v>
      </c>
      <c r="R2680" s="1" t="s">
        <v>8957</v>
      </c>
      <c r="S2680" s="1" t="s">
        <v>8975</v>
      </c>
      <c r="T2680" s="1" t="s">
        <v>7090</v>
      </c>
      <c r="U2680" s="1" t="s">
        <v>17</v>
      </c>
      <c r="V2680" s="1" t="s">
        <v>180</v>
      </c>
      <c r="W2680" s="1"/>
    </row>
    <row r="2681" spans="1:23" x14ac:dyDescent="0.2">
      <c r="A2681" s="92" t="s">
        <v>17840</v>
      </c>
      <c r="B2681" s="1" t="e">
        <v>#N/A</v>
      </c>
      <c r="C2681" s="1" t="e">
        <v>#N/A</v>
      </c>
      <c r="D2681" s="1" t="s">
        <v>7091</v>
      </c>
      <c r="E2681" s="1" t="s">
        <v>7092</v>
      </c>
      <c r="F2681" s="1" t="e">
        <v>#N/A</v>
      </c>
      <c r="G2681" s="1" t="e">
        <v>#N/A</v>
      </c>
      <c r="H2681" t="e">
        <v>#N/A</v>
      </c>
      <c r="I2681" s="1" t="e">
        <v>#N/A</v>
      </c>
      <c r="J2681" s="1" t="e">
        <v>#N/A</v>
      </c>
      <c r="K2681" s="1" t="e">
        <v>#N/A</v>
      </c>
      <c r="L2681" s="1" t="e">
        <v>#N/A</v>
      </c>
      <c r="M2681" s="1" t="e">
        <v>#N/A</v>
      </c>
      <c r="N2681" s="1" t="e">
        <v>#N/A</v>
      </c>
      <c r="O2681" s="1" t="e">
        <v>#N/A</v>
      </c>
      <c r="P2681" s="1" t="e">
        <v>#N/A</v>
      </c>
      <c r="Q2681" s="1" t="e">
        <v>#N/A</v>
      </c>
      <c r="R2681" s="1">
        <f t="shared" ref="R2681:R2682" si="790">1+LEN(T2681)-LEN(SUBSTITUTE(T2681,",",))</f>
        <v>7</v>
      </c>
      <c r="S2681" s="1" t="str">
        <f t="shared" ref="S2681:S2682" si="791">IF(R2681&gt;4,IF(R2681&lt;8,"4-7",IF(R2681&gt;7,"&gt;7")),"&lt;4")</f>
        <v>4-7</v>
      </c>
      <c r="T2681" s="1" t="s">
        <v>20079</v>
      </c>
      <c r="U2681" s="1" t="s">
        <v>7</v>
      </c>
      <c r="V2681" s="1" t="s">
        <v>4423</v>
      </c>
      <c r="W2681" s="1"/>
    </row>
    <row r="2682" spans="1:23" x14ac:dyDescent="0.2">
      <c r="A2682" s="88" t="s">
        <v>17841</v>
      </c>
      <c r="B2682" s="1" t="e">
        <v>#N/A</v>
      </c>
      <c r="C2682" s="1" t="e">
        <v>#N/A</v>
      </c>
      <c r="D2682" s="1" t="s">
        <v>7093</v>
      </c>
      <c r="E2682" s="1" t="s">
        <v>7094</v>
      </c>
      <c r="F2682" s="1" t="s">
        <v>9636</v>
      </c>
      <c r="G2682" s="1" t="s">
        <v>8959</v>
      </c>
      <c r="H2682" t="s">
        <v>8959</v>
      </c>
      <c r="I2682" s="1" t="s">
        <v>8948</v>
      </c>
      <c r="J2682" s="1" t="s">
        <v>8998</v>
      </c>
      <c r="K2682" s="1" t="s">
        <v>21033</v>
      </c>
      <c r="L2682" s="1" t="s">
        <v>8973</v>
      </c>
      <c r="M2682" s="1">
        <v>40</v>
      </c>
      <c r="N2682" s="1" t="s">
        <v>8953</v>
      </c>
      <c r="O2682" s="1" t="s">
        <v>8989</v>
      </c>
      <c r="P2682" s="1" t="e">
        <v>#N/A</v>
      </c>
      <c r="Q2682" s="1" t="e">
        <v>#N/A</v>
      </c>
      <c r="R2682" s="1">
        <f t="shared" si="790"/>
        <v>5</v>
      </c>
      <c r="S2682" s="1" t="str">
        <f t="shared" si="791"/>
        <v>4-7</v>
      </c>
      <c r="T2682" s="1" t="s">
        <v>20080</v>
      </c>
      <c r="U2682" s="1" t="s">
        <v>7</v>
      </c>
      <c r="V2682" s="1" t="s">
        <v>64</v>
      </c>
      <c r="W2682" s="1"/>
    </row>
    <row r="2683" spans="1:23" x14ac:dyDescent="0.2">
      <c r="A2683" s="88" t="s">
        <v>17842</v>
      </c>
      <c r="B2683" s="1" t="e">
        <v>#N/A</v>
      </c>
      <c r="C2683" s="1" t="s">
        <v>10209</v>
      </c>
      <c r="D2683" s="1" t="s">
        <v>7095</v>
      </c>
      <c r="E2683" s="1" t="s">
        <v>7096</v>
      </c>
      <c r="F2683" s="1" t="s">
        <v>9636</v>
      </c>
      <c r="G2683" s="1" t="s">
        <v>8959</v>
      </c>
      <c r="H2683" t="s">
        <v>8959</v>
      </c>
      <c r="I2683" s="1" t="s">
        <v>8948</v>
      </c>
      <c r="J2683" s="1" t="s">
        <v>8998</v>
      </c>
      <c r="K2683" s="1" t="s">
        <v>9036</v>
      </c>
      <c r="L2683" s="1" t="s">
        <v>8973</v>
      </c>
      <c r="M2683" s="1">
        <v>40</v>
      </c>
      <c r="N2683" s="1" t="s">
        <v>8953</v>
      </c>
      <c r="O2683" s="1" t="s">
        <v>8989</v>
      </c>
      <c r="P2683" s="1" t="s">
        <v>8955</v>
      </c>
      <c r="Q2683" s="1" t="s">
        <v>8956</v>
      </c>
      <c r="R2683" s="1" t="s">
        <v>8959</v>
      </c>
      <c r="S2683" s="1" t="s">
        <v>8975</v>
      </c>
      <c r="T2683" s="1" t="s">
        <v>7097</v>
      </c>
      <c r="U2683" s="1" t="s">
        <v>17</v>
      </c>
      <c r="V2683" s="1" t="s">
        <v>64</v>
      </c>
      <c r="W2683" s="1"/>
    </row>
    <row r="2684" spans="1:23" x14ac:dyDescent="0.2">
      <c r="A2684" s="89" t="s">
        <v>17843</v>
      </c>
      <c r="B2684" s="1" t="e">
        <v>#N/A</v>
      </c>
      <c r="C2684" s="1" t="e">
        <v>#N/A</v>
      </c>
      <c r="D2684" s="1" t="s">
        <v>7098</v>
      </c>
      <c r="E2684" s="1" t="s">
        <v>7099</v>
      </c>
      <c r="F2684" s="1" t="e">
        <v>#N/A</v>
      </c>
      <c r="G2684" s="1" t="e">
        <v>#N/A</v>
      </c>
      <c r="H2684" t="e">
        <v>#N/A</v>
      </c>
      <c r="I2684" s="1" t="e">
        <v>#N/A</v>
      </c>
      <c r="J2684" s="1" t="e">
        <v>#N/A</v>
      </c>
      <c r="K2684" s="1" t="e">
        <v>#N/A</v>
      </c>
      <c r="L2684" s="1" t="e">
        <v>#N/A</v>
      </c>
      <c r="M2684" s="1" t="e">
        <v>#N/A</v>
      </c>
      <c r="N2684" s="1" t="e">
        <v>#N/A</v>
      </c>
      <c r="O2684" s="1" t="e">
        <v>#N/A</v>
      </c>
      <c r="P2684" s="1" t="e">
        <v>#N/A</v>
      </c>
      <c r="Q2684" s="1" t="e">
        <v>#N/A</v>
      </c>
      <c r="R2684" s="1">
        <f t="shared" ref="R2684:R2686" si="792">1+LEN(T2684)-LEN(SUBSTITUTE(T2684,",",))</f>
        <v>7</v>
      </c>
      <c r="S2684" s="1" t="str">
        <f t="shared" ref="S2684:S2686" si="793">IF(R2684&gt;4,IF(R2684&lt;8,"4-7",IF(R2684&gt;7,"&gt;7")),"&lt;4")</f>
        <v>4-7</v>
      </c>
      <c r="T2684" s="1" t="s">
        <v>20081</v>
      </c>
      <c r="U2684" s="1" t="s">
        <v>7</v>
      </c>
      <c r="V2684" s="1" t="s">
        <v>174</v>
      </c>
      <c r="W2684" s="1"/>
    </row>
    <row r="2685" spans="1:23" x14ac:dyDescent="0.2">
      <c r="A2685" s="88" t="s">
        <v>17844</v>
      </c>
      <c r="B2685" s="1" t="e">
        <v>#N/A</v>
      </c>
      <c r="C2685" s="1" t="e">
        <v>#N/A</v>
      </c>
      <c r="D2685" s="1" t="s">
        <v>7100</v>
      </c>
      <c r="E2685" s="1" t="s">
        <v>7101</v>
      </c>
      <c r="F2685" s="1" t="s">
        <v>10049</v>
      </c>
      <c r="G2685" s="1" t="s">
        <v>8957</v>
      </c>
      <c r="H2685" t="s">
        <v>8959</v>
      </c>
      <c r="I2685" s="1" t="s">
        <v>9035</v>
      </c>
      <c r="J2685" s="1" t="s">
        <v>9308</v>
      </c>
      <c r="K2685" s="77" t="s">
        <v>21343</v>
      </c>
      <c r="L2685" s="1" t="s">
        <v>8987</v>
      </c>
      <c r="M2685" s="1">
        <f>126+105+90+45+(207+207+90+90)*2+165+129+150+98+24+15</f>
        <v>2135</v>
      </c>
      <c r="N2685" s="1" t="s">
        <v>8953</v>
      </c>
      <c r="O2685" s="1" t="s">
        <v>8954</v>
      </c>
      <c r="P2685" s="1" t="e">
        <v>#N/A</v>
      </c>
      <c r="Q2685" s="1" t="e">
        <v>#N/A</v>
      </c>
      <c r="R2685" s="1">
        <f t="shared" si="792"/>
        <v>5</v>
      </c>
      <c r="S2685" s="1" t="str">
        <f t="shared" si="793"/>
        <v>4-7</v>
      </c>
      <c r="T2685" s="1" t="s">
        <v>20693</v>
      </c>
      <c r="U2685" s="1" t="s">
        <v>7</v>
      </c>
      <c r="V2685" s="1" t="s">
        <v>1381</v>
      </c>
      <c r="W2685" s="1"/>
    </row>
    <row r="2686" spans="1:23" x14ac:dyDescent="0.2">
      <c r="A2686" s="89" t="s">
        <v>17845</v>
      </c>
      <c r="B2686" s="1" t="e">
        <v>#N/A</v>
      </c>
      <c r="C2686" s="1" t="e">
        <v>#N/A</v>
      </c>
      <c r="D2686" s="1" t="s">
        <v>7102</v>
      </c>
      <c r="E2686" s="1" t="s">
        <v>7103</v>
      </c>
      <c r="F2686" s="1" t="e">
        <v>#N/A</v>
      </c>
      <c r="G2686" s="1" t="e">
        <v>#N/A</v>
      </c>
      <c r="H2686" t="e">
        <v>#N/A</v>
      </c>
      <c r="I2686" s="1" t="e">
        <v>#N/A</v>
      </c>
      <c r="J2686" s="1" t="e">
        <v>#N/A</v>
      </c>
      <c r="K2686" s="1" t="e">
        <v>#N/A</v>
      </c>
      <c r="L2686" s="1" t="e">
        <v>#N/A</v>
      </c>
      <c r="M2686" s="1" t="e">
        <v>#N/A</v>
      </c>
      <c r="N2686" s="1" t="e">
        <v>#N/A</v>
      </c>
      <c r="O2686" s="1" t="e">
        <v>#N/A</v>
      </c>
      <c r="P2686" s="1" t="e">
        <v>#N/A</v>
      </c>
      <c r="Q2686" s="1" t="e">
        <v>#N/A</v>
      </c>
      <c r="R2686" s="1">
        <f t="shared" si="792"/>
        <v>8</v>
      </c>
      <c r="S2686" s="1" t="str">
        <f t="shared" si="793"/>
        <v>&gt;7</v>
      </c>
      <c r="T2686" s="1" t="s">
        <v>20082</v>
      </c>
      <c r="U2686" s="1" t="s">
        <v>7</v>
      </c>
      <c r="V2686" s="1" t="s">
        <v>493</v>
      </c>
      <c r="W2686" s="1"/>
    </row>
    <row r="2687" spans="1:23" x14ac:dyDescent="0.2">
      <c r="A2687" s="88" t="s">
        <v>17846</v>
      </c>
      <c r="B2687" s="1" t="e">
        <v>#N/A</v>
      </c>
      <c r="C2687" s="1" t="s">
        <v>15048</v>
      </c>
      <c r="D2687" s="1" t="s">
        <v>7104</v>
      </c>
      <c r="E2687" s="1" t="s">
        <v>7105</v>
      </c>
      <c r="F2687" s="1" t="s">
        <v>9333</v>
      </c>
      <c r="G2687" s="1" t="s">
        <v>8959</v>
      </c>
      <c r="H2687" t="s">
        <v>9061</v>
      </c>
      <c r="I2687" s="1" t="s">
        <v>9154</v>
      </c>
      <c r="J2687" s="1" t="s">
        <v>8998</v>
      </c>
      <c r="K2687" s="1" t="s">
        <v>9036</v>
      </c>
      <c r="L2687" s="1" t="s">
        <v>9076</v>
      </c>
      <c r="M2687" s="1">
        <v>30</v>
      </c>
      <c r="N2687" s="1" t="s">
        <v>9059</v>
      </c>
      <c r="O2687" s="1" t="s">
        <v>8989</v>
      </c>
      <c r="P2687" s="1" t="s">
        <v>8955</v>
      </c>
      <c r="Q2687" s="1" t="s">
        <v>8956</v>
      </c>
      <c r="R2687" s="1" t="s">
        <v>8959</v>
      </c>
      <c r="S2687" s="1" t="s">
        <v>8975</v>
      </c>
      <c r="T2687" s="1" t="s">
        <v>7106</v>
      </c>
      <c r="U2687" s="1" t="s">
        <v>17</v>
      </c>
      <c r="V2687" s="1" t="s">
        <v>147</v>
      </c>
      <c r="W2687" s="1"/>
    </row>
    <row r="2688" spans="1:23" x14ac:dyDescent="0.2">
      <c r="A2688" s="88" t="s">
        <v>17847</v>
      </c>
      <c r="B2688" s="1" t="e">
        <v>#N/A</v>
      </c>
      <c r="C2688" s="1" t="e">
        <v>#N/A</v>
      </c>
      <c r="D2688" s="1" t="s">
        <v>7107</v>
      </c>
      <c r="E2688" s="1" t="s">
        <v>7108</v>
      </c>
      <c r="F2688" s="1" t="s">
        <v>18502</v>
      </c>
      <c r="G2688" s="1" t="s">
        <v>8959</v>
      </c>
      <c r="H2688" t="s">
        <v>8959</v>
      </c>
      <c r="I2688" s="1" t="s">
        <v>20714</v>
      </c>
      <c r="J2688" s="1" t="s">
        <v>9155</v>
      </c>
      <c r="K2688" s="1" t="s">
        <v>21031</v>
      </c>
      <c r="L2688" s="1" t="s">
        <v>9076</v>
      </c>
      <c r="M2688" s="1">
        <v>85000</v>
      </c>
      <c r="N2688" s="1" t="s">
        <v>8953</v>
      </c>
      <c r="O2688" s="1" t="s">
        <v>8989</v>
      </c>
      <c r="P2688" s="1" t="e">
        <v>#N/A</v>
      </c>
      <c r="Q2688" s="1" t="e">
        <v>#N/A</v>
      </c>
      <c r="R2688" s="1">
        <f>1+LEN(T2688)-LEN(SUBSTITUTE(T2688,",",))</f>
        <v>4</v>
      </c>
      <c r="S2688" s="1" t="str">
        <f>IF(R2688&gt;4,IF(R2688&lt;8,"4-7",IF(R2688&gt;7,"&gt;7")),"&lt;4")</f>
        <v>&lt;4</v>
      </c>
      <c r="T2688" s="1" t="s">
        <v>20083</v>
      </c>
      <c r="U2688" s="1" t="s">
        <v>7</v>
      </c>
      <c r="V2688" s="1" t="s">
        <v>24</v>
      </c>
      <c r="W2688" s="1"/>
    </row>
    <row r="2689" spans="1:23" x14ac:dyDescent="0.2">
      <c r="A2689" s="88" t="s">
        <v>17848</v>
      </c>
      <c r="B2689" s="1" t="e">
        <v>#N/A</v>
      </c>
      <c r="C2689" s="1" t="s">
        <v>10803</v>
      </c>
      <c r="D2689" s="1" t="s">
        <v>7109</v>
      </c>
      <c r="E2689" s="1" t="s">
        <v>7110</v>
      </c>
      <c r="F2689" s="1" t="s">
        <v>9010</v>
      </c>
      <c r="G2689" s="1" t="s">
        <v>8974</v>
      </c>
      <c r="H2689" t="s">
        <v>9061</v>
      </c>
      <c r="I2689" s="1" t="s">
        <v>9035</v>
      </c>
      <c r="J2689" s="1" t="s">
        <v>9308</v>
      </c>
      <c r="K2689" s="1" t="s">
        <v>9036</v>
      </c>
      <c r="L2689" s="1" t="s">
        <v>8951</v>
      </c>
      <c r="M2689" s="1">
        <v>13292</v>
      </c>
      <c r="N2689" s="1" t="s">
        <v>8953</v>
      </c>
      <c r="O2689" s="1" t="s">
        <v>8954</v>
      </c>
      <c r="P2689" s="1" t="s">
        <v>8955</v>
      </c>
      <c r="Q2689" s="1" t="s">
        <v>8956</v>
      </c>
      <c r="R2689" s="1" t="s">
        <v>8974</v>
      </c>
      <c r="S2689" s="1" t="s">
        <v>9103</v>
      </c>
      <c r="T2689" s="1" t="s">
        <v>7111</v>
      </c>
      <c r="U2689" s="1" t="s">
        <v>11</v>
      </c>
      <c r="V2689" s="1" t="s">
        <v>771</v>
      </c>
      <c r="W2689" s="1"/>
    </row>
    <row r="2690" spans="1:23" x14ac:dyDescent="0.2">
      <c r="A2690" s="88" t="s">
        <v>17849</v>
      </c>
      <c r="B2690" s="1" t="e">
        <v>#N/A</v>
      </c>
      <c r="C2690" s="1" t="s">
        <v>13783</v>
      </c>
      <c r="D2690" s="1" t="s">
        <v>7112</v>
      </c>
      <c r="E2690" s="1" t="s">
        <v>7113</v>
      </c>
      <c r="F2690" s="1" t="s">
        <v>9387</v>
      </c>
      <c r="G2690" s="1" t="s">
        <v>8959</v>
      </c>
      <c r="H2690" t="s">
        <v>9009</v>
      </c>
      <c r="I2690" s="1" t="s">
        <v>9252</v>
      </c>
      <c r="J2690" s="1" t="s">
        <v>9253</v>
      </c>
      <c r="K2690" s="1" t="s">
        <v>9036</v>
      </c>
      <c r="L2690" s="1" t="s">
        <v>8951</v>
      </c>
      <c r="M2690" s="1">
        <v>6000</v>
      </c>
      <c r="N2690" s="1" t="s">
        <v>8953</v>
      </c>
      <c r="O2690" s="1" t="s">
        <v>8954</v>
      </c>
      <c r="P2690" s="1" t="s">
        <v>8955</v>
      </c>
      <c r="Q2690" s="1" t="s">
        <v>8956</v>
      </c>
      <c r="R2690" s="1" t="s">
        <v>8959</v>
      </c>
      <c r="S2690" s="1" t="s">
        <v>8958</v>
      </c>
      <c r="T2690" s="1" t="s">
        <v>7114</v>
      </c>
      <c r="U2690" s="1" t="s">
        <v>4</v>
      </c>
      <c r="V2690" s="1" t="s">
        <v>87</v>
      </c>
      <c r="W2690" s="1"/>
    </row>
    <row r="2691" spans="1:23" x14ac:dyDescent="0.2">
      <c r="A2691" s="88" t="s">
        <v>17850</v>
      </c>
      <c r="B2691" s="1" t="e">
        <v>#N/A</v>
      </c>
      <c r="C2691" s="1" t="e">
        <v>#N/A</v>
      </c>
      <c r="D2691" s="1" t="s">
        <v>7115</v>
      </c>
      <c r="E2691" s="1" t="s">
        <v>7116</v>
      </c>
      <c r="F2691" s="1" t="s">
        <v>9317</v>
      </c>
      <c r="G2691" s="1" t="s">
        <v>8957</v>
      </c>
      <c r="H2691" t="s">
        <v>8959</v>
      </c>
      <c r="I2691" s="1" t="s">
        <v>9605</v>
      </c>
      <c r="J2691" s="1" t="s">
        <v>9101</v>
      </c>
      <c r="K2691" s="1" t="s">
        <v>21197</v>
      </c>
      <c r="L2691" s="1" t="s">
        <v>9464</v>
      </c>
      <c r="M2691" s="1">
        <v>668</v>
      </c>
      <c r="N2691" s="1" t="s">
        <v>11658</v>
      </c>
      <c r="O2691" s="1" t="s">
        <v>8989</v>
      </c>
      <c r="P2691" s="1" t="e">
        <v>#N/A</v>
      </c>
      <c r="Q2691" s="1" t="e">
        <v>#N/A</v>
      </c>
      <c r="R2691" s="1">
        <f t="shared" ref="R2691:R2696" si="794">1+LEN(T2691)-LEN(SUBSTITUTE(T2691,",",))</f>
        <v>2</v>
      </c>
      <c r="S2691" s="1" t="str">
        <f t="shared" ref="S2691:S2696" si="795">IF(R2691&gt;4,IF(R2691&lt;8,"4-7",IF(R2691&gt;7,"&gt;7")),"&lt;4")</f>
        <v>&lt;4</v>
      </c>
      <c r="T2691" s="1" t="s">
        <v>20084</v>
      </c>
      <c r="U2691" s="1" t="s">
        <v>17</v>
      </c>
      <c r="V2691" s="1" t="s">
        <v>700</v>
      </c>
      <c r="W2691" s="1"/>
    </row>
    <row r="2692" spans="1:23" x14ac:dyDescent="0.2">
      <c r="A2692" s="88" t="s">
        <v>17851</v>
      </c>
      <c r="B2692" s="1" t="e">
        <v>#N/A</v>
      </c>
      <c r="C2692" s="1" t="e">
        <v>#N/A</v>
      </c>
      <c r="D2692" s="1" t="s">
        <v>7117</v>
      </c>
      <c r="E2692" s="1" t="s">
        <v>7118</v>
      </c>
      <c r="F2692" s="1" t="s">
        <v>9310</v>
      </c>
      <c r="G2692" s="1" t="s">
        <v>8959</v>
      </c>
      <c r="H2692" t="s">
        <v>8959</v>
      </c>
      <c r="I2692" s="1" t="s">
        <v>9100</v>
      </c>
      <c r="J2692" s="1" t="s">
        <v>8949</v>
      </c>
      <c r="K2692" s="1" t="s">
        <v>10492</v>
      </c>
      <c r="L2692" s="1" t="s">
        <v>8973</v>
      </c>
      <c r="M2692" s="1">
        <v>400</v>
      </c>
      <c r="N2692" s="1" t="s">
        <v>8953</v>
      </c>
      <c r="O2692" s="1" t="s">
        <v>8954</v>
      </c>
      <c r="P2692" s="1" t="e">
        <v>#N/A</v>
      </c>
      <c r="Q2692" s="1" t="e">
        <v>#N/A</v>
      </c>
      <c r="R2692" s="1">
        <f t="shared" si="794"/>
        <v>3</v>
      </c>
      <c r="S2692" s="1" t="str">
        <f t="shared" si="795"/>
        <v>&lt;4</v>
      </c>
      <c r="T2692" s="1" t="s">
        <v>20085</v>
      </c>
      <c r="U2692" s="1" t="s">
        <v>17</v>
      </c>
      <c r="V2692" s="1" t="s">
        <v>35</v>
      </c>
      <c r="W2692" s="1"/>
    </row>
    <row r="2693" spans="1:23" x14ac:dyDescent="0.2">
      <c r="A2693" s="92">
        <v>1</v>
      </c>
      <c r="B2693" t="e">
        <v>#N/A</v>
      </c>
      <c r="C2693" t="e">
        <v>#N/A</v>
      </c>
      <c r="D2693" s="1" t="s">
        <v>7119</v>
      </c>
      <c r="E2693" s="1" t="s">
        <v>7120</v>
      </c>
      <c r="F2693" s="1" t="e">
        <v>#N/A</v>
      </c>
      <c r="G2693" s="1" t="e">
        <v>#N/A</v>
      </c>
      <c r="H2693" t="e">
        <v>#N/A</v>
      </c>
      <c r="I2693" s="1" t="e">
        <v>#N/A</v>
      </c>
      <c r="J2693" s="1" t="e">
        <v>#N/A</v>
      </c>
      <c r="K2693" s="1" t="e">
        <v>#N/A</v>
      </c>
      <c r="L2693" s="1" t="e">
        <v>#N/A</v>
      </c>
      <c r="M2693" s="1" t="e">
        <v>#N/A</v>
      </c>
      <c r="N2693" s="1" t="e">
        <v>#N/A</v>
      </c>
      <c r="O2693" s="1" t="e">
        <v>#N/A</v>
      </c>
      <c r="P2693" s="1" t="e">
        <v>#N/A</v>
      </c>
      <c r="Q2693" s="1" t="e">
        <v>#N/A</v>
      </c>
      <c r="R2693" s="1">
        <f t="shared" si="794"/>
        <v>1</v>
      </c>
      <c r="S2693" s="1" t="str">
        <f t="shared" si="795"/>
        <v>&lt;4</v>
      </c>
      <c r="T2693" s="1" t="s">
        <v>7121</v>
      </c>
      <c r="U2693" s="1" t="s">
        <v>17</v>
      </c>
      <c r="V2693" s="1"/>
      <c r="W2693" s="1"/>
    </row>
    <row r="2694" spans="1:23" x14ac:dyDescent="0.2">
      <c r="A2694" s="88" t="s">
        <v>17852</v>
      </c>
      <c r="B2694" s="1" t="e">
        <v>#N/A</v>
      </c>
      <c r="C2694" s="1" t="e">
        <v>#N/A</v>
      </c>
      <c r="D2694" s="1" t="s">
        <v>7122</v>
      </c>
      <c r="E2694" s="1" t="s">
        <v>7123</v>
      </c>
      <c r="F2694" s="1" t="s">
        <v>9333</v>
      </c>
      <c r="G2694" s="1" t="s">
        <v>8957</v>
      </c>
      <c r="H2694" t="s">
        <v>8959</v>
      </c>
      <c r="I2694" s="1" t="s">
        <v>9035</v>
      </c>
      <c r="J2694" s="1" t="s">
        <v>9101</v>
      </c>
      <c r="K2694" s="1" t="s">
        <v>21031</v>
      </c>
      <c r="L2694" s="1" t="s">
        <v>8987</v>
      </c>
      <c r="M2694" s="1">
        <v>20000</v>
      </c>
      <c r="N2694" s="1" t="s">
        <v>8953</v>
      </c>
      <c r="O2694" s="1" t="s">
        <v>8989</v>
      </c>
      <c r="P2694" s="1" t="e">
        <v>#N/A</v>
      </c>
      <c r="Q2694" s="1" t="e">
        <v>#N/A</v>
      </c>
      <c r="R2694" s="1">
        <f t="shared" si="794"/>
        <v>7</v>
      </c>
      <c r="S2694" s="1" t="str">
        <f t="shared" si="795"/>
        <v>4-7</v>
      </c>
      <c r="T2694" s="1" t="s">
        <v>20086</v>
      </c>
      <c r="U2694" s="1" t="s">
        <v>7</v>
      </c>
      <c r="V2694" s="1" t="s">
        <v>110</v>
      </c>
      <c r="W2694" s="1"/>
    </row>
    <row r="2695" spans="1:23" x14ac:dyDescent="0.2">
      <c r="A2695" s="89" t="s">
        <v>7124</v>
      </c>
      <c r="B2695" s="1" t="e">
        <v>#N/A</v>
      </c>
      <c r="C2695" s="1" t="e">
        <v>#N/A</v>
      </c>
      <c r="D2695" s="1" t="s">
        <v>7125</v>
      </c>
      <c r="E2695" s="1" t="s">
        <v>7126</v>
      </c>
      <c r="F2695" s="1" t="e">
        <v>#N/A</v>
      </c>
      <c r="G2695" s="1" t="e">
        <v>#N/A</v>
      </c>
      <c r="H2695" t="e">
        <v>#N/A</v>
      </c>
      <c r="I2695" s="1" t="e">
        <v>#N/A</v>
      </c>
      <c r="J2695" s="1" t="e">
        <v>#N/A</v>
      </c>
      <c r="K2695" s="1" t="e">
        <v>#N/A</v>
      </c>
      <c r="L2695" s="1" t="e">
        <v>#N/A</v>
      </c>
      <c r="M2695" s="1" t="e">
        <v>#N/A</v>
      </c>
      <c r="N2695" s="1" t="e">
        <v>#N/A</v>
      </c>
      <c r="O2695" s="1" t="e">
        <v>#N/A</v>
      </c>
      <c r="P2695" s="1" t="e">
        <v>#N/A</v>
      </c>
      <c r="Q2695" s="1" t="e">
        <v>#N/A</v>
      </c>
      <c r="R2695" s="1">
        <f t="shared" si="794"/>
        <v>7</v>
      </c>
      <c r="S2695" s="1" t="str">
        <f t="shared" si="795"/>
        <v>4-7</v>
      </c>
      <c r="T2695" s="1" t="s">
        <v>20087</v>
      </c>
      <c r="U2695" s="1" t="s">
        <v>7</v>
      </c>
      <c r="V2695" s="1" t="s">
        <v>204</v>
      </c>
      <c r="W2695" s="1"/>
    </row>
    <row r="2696" spans="1:23" x14ac:dyDescent="0.2">
      <c r="A2696" s="88" t="s">
        <v>17853</v>
      </c>
      <c r="B2696" s="1" t="e">
        <v>#N/A</v>
      </c>
      <c r="C2696" s="1" t="e">
        <v>#N/A</v>
      </c>
      <c r="D2696" s="1" t="s">
        <v>7127</v>
      </c>
      <c r="E2696" s="1" t="s">
        <v>7128</v>
      </c>
      <c r="F2696" s="1" t="s">
        <v>9246</v>
      </c>
      <c r="G2696" s="1" t="s">
        <v>9060</v>
      </c>
      <c r="H2696" t="s">
        <v>9061</v>
      </c>
      <c r="I2696" s="1" t="s">
        <v>8984</v>
      </c>
      <c r="J2696" s="1" t="s">
        <v>8949</v>
      </c>
      <c r="K2696" s="1" t="s">
        <v>21029</v>
      </c>
      <c r="L2696" s="1" t="s">
        <v>9076</v>
      </c>
      <c r="M2696" s="1">
        <v>135</v>
      </c>
      <c r="N2696" s="1" t="s">
        <v>9059</v>
      </c>
      <c r="O2696" s="1" t="s">
        <v>8989</v>
      </c>
      <c r="P2696" s="1" t="e">
        <v>#N/A</v>
      </c>
      <c r="Q2696" s="1" t="e">
        <v>#N/A</v>
      </c>
      <c r="R2696" s="1">
        <f t="shared" si="794"/>
        <v>8</v>
      </c>
      <c r="S2696" s="1" t="str">
        <f t="shared" si="795"/>
        <v>&gt;7</v>
      </c>
      <c r="T2696" s="1" t="s">
        <v>20088</v>
      </c>
      <c r="U2696" s="1" t="s">
        <v>7</v>
      </c>
      <c r="V2696" s="1" t="s">
        <v>378</v>
      </c>
      <c r="W2696" s="1"/>
    </row>
    <row r="2697" spans="1:23" x14ac:dyDescent="0.2">
      <c r="A2697" s="88" t="s">
        <v>17854</v>
      </c>
      <c r="B2697" s="1" t="e">
        <v>#N/A</v>
      </c>
      <c r="C2697" s="1" t="s">
        <v>13154</v>
      </c>
      <c r="D2697" s="1" t="s">
        <v>7129</v>
      </c>
      <c r="E2697" s="1" t="s">
        <v>7130</v>
      </c>
      <c r="F2697" s="1" t="s">
        <v>9333</v>
      </c>
      <c r="G2697" s="1" t="s">
        <v>8957</v>
      </c>
      <c r="H2697" t="s">
        <v>9009</v>
      </c>
      <c r="I2697" s="1" t="s">
        <v>9092</v>
      </c>
      <c r="J2697" s="1" t="s">
        <v>9308</v>
      </c>
      <c r="K2697" s="1" t="s">
        <v>21306</v>
      </c>
      <c r="L2697" s="1" t="s">
        <v>8973</v>
      </c>
      <c r="M2697" s="1">
        <v>2000</v>
      </c>
      <c r="N2697" s="1" t="s">
        <v>8953</v>
      </c>
      <c r="O2697" s="1" t="s">
        <v>8954</v>
      </c>
      <c r="P2697" s="1" t="s">
        <v>8955</v>
      </c>
      <c r="Q2697" s="1" t="s">
        <v>8956</v>
      </c>
      <c r="R2697" s="1" t="s">
        <v>8957</v>
      </c>
      <c r="S2697" s="1" t="s">
        <v>9103</v>
      </c>
      <c r="T2697" s="1" t="s">
        <v>7131</v>
      </c>
      <c r="U2697" s="1" t="s">
        <v>11</v>
      </c>
      <c r="V2697" s="1" t="s">
        <v>2183</v>
      </c>
      <c r="W2697" s="1"/>
    </row>
    <row r="2698" spans="1:23" x14ac:dyDescent="0.2">
      <c r="A2698" s="94" t="s">
        <v>17855</v>
      </c>
      <c r="B2698" s="1" t="e">
        <v>#N/A</v>
      </c>
      <c r="C2698" s="1" t="e">
        <v>#N/A</v>
      </c>
      <c r="D2698" s="1" t="s">
        <v>7132</v>
      </c>
      <c r="E2698" s="1" t="s">
        <v>7133</v>
      </c>
      <c r="F2698" s="1" t="e">
        <v>#N/A</v>
      </c>
      <c r="G2698" s="1" t="e">
        <v>#N/A</v>
      </c>
      <c r="H2698" t="e">
        <v>#N/A</v>
      </c>
      <c r="I2698" s="1" t="e">
        <v>#N/A</v>
      </c>
      <c r="J2698" s="1" t="e">
        <v>#N/A</v>
      </c>
      <c r="K2698" s="1" t="e">
        <v>#N/A</v>
      </c>
      <c r="L2698" s="1" t="e">
        <v>#N/A</v>
      </c>
      <c r="M2698" s="1" t="e">
        <v>#N/A</v>
      </c>
      <c r="N2698" s="1" t="e">
        <v>#N/A</v>
      </c>
      <c r="O2698" s="1" t="e">
        <v>#N/A</v>
      </c>
      <c r="P2698" s="1" t="e">
        <v>#N/A</v>
      </c>
      <c r="Q2698" s="1" t="e">
        <v>#N/A</v>
      </c>
      <c r="R2698" s="1">
        <f t="shared" ref="R2698:R2701" si="796">1+LEN(T2698)-LEN(SUBSTITUTE(T2698,",",))</f>
        <v>7</v>
      </c>
      <c r="S2698" s="1" t="str">
        <f t="shared" ref="S2698:S2701" si="797">IF(R2698&gt;4,IF(R2698&lt;8,"4-7",IF(R2698&gt;7,"&gt;7")),"&lt;4")</f>
        <v>4-7</v>
      </c>
      <c r="T2698" s="1" t="s">
        <v>20089</v>
      </c>
      <c r="U2698" s="1" t="s">
        <v>7</v>
      </c>
      <c r="V2698" s="1" t="s">
        <v>1110</v>
      </c>
      <c r="W2698" s="1"/>
    </row>
    <row r="2699" spans="1:23" x14ac:dyDescent="0.2">
      <c r="A2699" s="88" t="s">
        <v>17856</v>
      </c>
      <c r="B2699" s="1" t="e">
        <v>#N/A</v>
      </c>
      <c r="C2699" s="1" t="e">
        <v>#N/A</v>
      </c>
      <c r="D2699" s="1" t="s">
        <v>7134</v>
      </c>
      <c r="E2699" s="1" t="s">
        <v>7135</v>
      </c>
      <c r="F2699" s="1" t="s">
        <v>9465</v>
      </c>
      <c r="G2699" s="1" t="s">
        <v>8957</v>
      </c>
      <c r="H2699" t="s">
        <v>8959</v>
      </c>
      <c r="I2699" s="1" t="s">
        <v>9100</v>
      </c>
      <c r="J2699" s="1" t="s">
        <v>8949</v>
      </c>
      <c r="K2699" s="1" t="s">
        <v>21205</v>
      </c>
      <c r="L2699" s="1" t="s">
        <v>9076</v>
      </c>
      <c r="M2699" s="1">
        <v>790</v>
      </c>
      <c r="N2699" s="1" t="s">
        <v>8953</v>
      </c>
      <c r="O2699" s="1" t="s">
        <v>8954</v>
      </c>
      <c r="P2699" s="1" t="e">
        <v>#N/A</v>
      </c>
      <c r="Q2699" s="1" t="e">
        <v>#N/A</v>
      </c>
      <c r="R2699" s="1">
        <f t="shared" si="796"/>
        <v>5</v>
      </c>
      <c r="S2699" s="1" t="str">
        <f t="shared" si="797"/>
        <v>4-7</v>
      </c>
      <c r="T2699" s="1" t="s">
        <v>20090</v>
      </c>
      <c r="U2699" s="1" t="s">
        <v>17</v>
      </c>
      <c r="V2699" s="1" t="s">
        <v>61</v>
      </c>
      <c r="W2699" s="1"/>
    </row>
    <row r="2700" spans="1:23" x14ac:dyDescent="0.2">
      <c r="A2700" s="88" t="s">
        <v>17857</v>
      </c>
      <c r="B2700" s="1" t="e">
        <v>#N/A</v>
      </c>
      <c r="C2700" s="1" t="e">
        <v>#N/A</v>
      </c>
      <c r="D2700" s="1" t="s">
        <v>7136</v>
      </c>
      <c r="E2700" s="1" t="s">
        <v>7137</v>
      </c>
      <c r="F2700" s="1" t="s">
        <v>18502</v>
      </c>
      <c r="G2700" s="1" t="s">
        <v>8957</v>
      </c>
      <c r="H2700" t="s">
        <v>8959</v>
      </c>
      <c r="I2700" s="1" t="s">
        <v>8984</v>
      </c>
      <c r="J2700" s="1" t="s">
        <v>9131</v>
      </c>
      <c r="K2700" s="1" t="s">
        <v>21026</v>
      </c>
      <c r="L2700" s="1" t="s">
        <v>9076</v>
      </c>
      <c r="M2700" s="1">
        <v>433</v>
      </c>
      <c r="N2700" s="1" t="s">
        <v>11658</v>
      </c>
      <c r="O2700" s="1" t="s">
        <v>8989</v>
      </c>
      <c r="P2700" s="1" t="e">
        <v>#N/A</v>
      </c>
      <c r="Q2700" s="1" t="e">
        <v>#N/A</v>
      </c>
      <c r="R2700" s="1">
        <f t="shared" si="796"/>
        <v>1</v>
      </c>
      <c r="S2700" s="1" t="str">
        <f t="shared" si="797"/>
        <v>&lt;4</v>
      </c>
      <c r="U2700" s="1" t="s">
        <v>7</v>
      </c>
      <c r="V2700" s="1" t="s">
        <v>1318</v>
      </c>
      <c r="W2700" s="1"/>
    </row>
    <row r="2701" spans="1:23" x14ac:dyDescent="0.2">
      <c r="A2701" s="89" t="s">
        <v>7138</v>
      </c>
      <c r="B2701" s="1" t="e">
        <v>#N/A</v>
      </c>
      <c r="C2701" s="1" t="e">
        <v>#N/A</v>
      </c>
      <c r="D2701" s="1" t="s">
        <v>7139</v>
      </c>
      <c r="E2701" s="1" t="s">
        <v>7140</v>
      </c>
      <c r="F2701" s="1" t="e">
        <v>#N/A</v>
      </c>
      <c r="G2701" s="1" t="e">
        <v>#N/A</v>
      </c>
      <c r="H2701" t="e">
        <v>#N/A</v>
      </c>
      <c r="I2701" s="1" t="e">
        <v>#N/A</v>
      </c>
      <c r="J2701" s="1" t="e">
        <v>#N/A</v>
      </c>
      <c r="K2701" s="1" t="e">
        <v>#N/A</v>
      </c>
      <c r="L2701" s="1" t="e">
        <v>#N/A</v>
      </c>
      <c r="M2701" s="1" t="e">
        <v>#N/A</v>
      </c>
      <c r="N2701" s="1" t="e">
        <v>#N/A</v>
      </c>
      <c r="O2701" s="1" t="e">
        <v>#N/A</v>
      </c>
      <c r="P2701" s="1" t="e">
        <v>#N/A</v>
      </c>
      <c r="Q2701" s="1" t="e">
        <v>#N/A</v>
      </c>
      <c r="R2701" s="1">
        <f t="shared" si="796"/>
        <v>7</v>
      </c>
      <c r="S2701" s="1" t="str">
        <f t="shared" si="797"/>
        <v>4-7</v>
      </c>
      <c r="T2701" s="1" t="s">
        <v>20091</v>
      </c>
      <c r="U2701" s="1" t="s">
        <v>7</v>
      </c>
      <c r="V2701" s="1" t="s">
        <v>713</v>
      </c>
      <c r="W2701" s="1"/>
    </row>
    <row r="2702" spans="1:23" x14ac:dyDescent="0.2">
      <c r="A2702" s="88" t="s">
        <v>17858</v>
      </c>
      <c r="B2702" s="1" t="e">
        <v>#N/A</v>
      </c>
      <c r="C2702" s="1" t="s">
        <v>10261</v>
      </c>
      <c r="D2702" s="1" t="s">
        <v>7141</v>
      </c>
      <c r="E2702" s="1" t="s">
        <v>7142</v>
      </c>
      <c r="F2702" s="1" t="s">
        <v>9815</v>
      </c>
      <c r="G2702" s="1" t="s">
        <v>8959</v>
      </c>
      <c r="H2702" t="s">
        <v>8959</v>
      </c>
      <c r="I2702" s="1" t="s">
        <v>8948</v>
      </c>
      <c r="J2702" s="1" t="s">
        <v>8949</v>
      </c>
      <c r="K2702" s="1" t="s">
        <v>9036</v>
      </c>
      <c r="L2702" s="1" t="s">
        <v>8973</v>
      </c>
      <c r="M2702" s="1">
        <v>40</v>
      </c>
      <c r="N2702" s="1" t="s">
        <v>8953</v>
      </c>
      <c r="O2702" s="1" t="s">
        <v>8989</v>
      </c>
      <c r="P2702" s="1" t="s">
        <v>8955</v>
      </c>
      <c r="Q2702" s="1" t="s">
        <v>8956</v>
      </c>
      <c r="R2702" s="1" t="s">
        <v>8959</v>
      </c>
      <c r="S2702" s="1" t="s">
        <v>9103</v>
      </c>
      <c r="T2702" s="1" t="s">
        <v>7143</v>
      </c>
      <c r="U2702" s="1" t="s">
        <v>17</v>
      </c>
      <c r="V2702" s="1" t="s">
        <v>97</v>
      </c>
      <c r="W2702" s="1"/>
    </row>
    <row r="2703" spans="1:23" x14ac:dyDescent="0.2">
      <c r="A2703" s="88" t="s">
        <v>17859</v>
      </c>
      <c r="B2703" s="1" t="e">
        <v>#N/A</v>
      </c>
      <c r="C2703" s="1" t="e">
        <v>#N/A</v>
      </c>
      <c r="D2703" s="1" t="s">
        <v>7144</v>
      </c>
      <c r="E2703" s="1" t="s">
        <v>7145</v>
      </c>
      <c r="F2703" s="1" t="s">
        <v>9317</v>
      </c>
      <c r="G2703" s="1" t="s">
        <v>8974</v>
      </c>
      <c r="H2703" t="s">
        <v>9061</v>
      </c>
      <c r="I2703" s="1" t="s">
        <v>9092</v>
      </c>
      <c r="J2703" s="1" t="s">
        <v>8959</v>
      </c>
      <c r="K2703" s="1" t="s">
        <v>10492</v>
      </c>
      <c r="L2703" s="1" t="s">
        <v>8973</v>
      </c>
      <c r="M2703" s="1">
        <v>92</v>
      </c>
      <c r="N2703" s="1" t="s">
        <v>9059</v>
      </c>
      <c r="O2703" s="1" t="s">
        <v>8989</v>
      </c>
      <c r="P2703" s="1" t="e">
        <v>#N/A</v>
      </c>
      <c r="Q2703" s="1" t="e">
        <v>#N/A</v>
      </c>
      <c r="R2703" s="1">
        <f t="shared" ref="R2703:R2711" si="798">1+LEN(T2703)-LEN(SUBSTITUTE(T2703,",",))</f>
        <v>13</v>
      </c>
      <c r="S2703" s="1" t="str">
        <f t="shared" ref="S2703:S2711" si="799">IF(R2703&gt;4,IF(R2703&lt;8,"4-7",IF(R2703&gt;7,"&gt;7")),"&lt;4")</f>
        <v>&gt;7</v>
      </c>
      <c r="T2703" s="1" t="s">
        <v>20092</v>
      </c>
      <c r="U2703" s="1" t="s">
        <v>17</v>
      </c>
      <c r="V2703" s="1" t="s">
        <v>64</v>
      </c>
      <c r="W2703" s="1"/>
    </row>
    <row r="2704" spans="1:23" x14ac:dyDescent="0.2">
      <c r="A2704" s="88" t="s">
        <v>17860</v>
      </c>
      <c r="B2704" s="1" t="e">
        <v>#N/A</v>
      </c>
      <c r="C2704" s="1" t="e">
        <v>#N/A</v>
      </c>
      <c r="D2704" s="1" t="s">
        <v>7146</v>
      </c>
      <c r="E2704" s="1" t="s">
        <v>7147</v>
      </c>
      <c r="F2704" s="1" t="s">
        <v>18502</v>
      </c>
      <c r="G2704" s="1" t="s">
        <v>8957</v>
      </c>
      <c r="H2704" t="s">
        <v>9061</v>
      </c>
      <c r="I2704" s="1" t="s">
        <v>20714</v>
      </c>
      <c r="J2704" s="1" t="s">
        <v>20725</v>
      </c>
      <c r="K2704" s="1" t="s">
        <v>18497</v>
      </c>
      <c r="L2704" s="1" t="s">
        <v>9133</v>
      </c>
      <c r="M2704" s="1">
        <v>20806</v>
      </c>
      <c r="N2704" s="1" t="s">
        <v>8953</v>
      </c>
      <c r="O2704" s="1" t="s">
        <v>8989</v>
      </c>
      <c r="P2704" s="1" t="e">
        <v>#N/A</v>
      </c>
      <c r="Q2704" s="1" t="e">
        <v>#N/A</v>
      </c>
      <c r="R2704" s="1">
        <f t="shared" si="798"/>
        <v>5</v>
      </c>
      <c r="S2704" s="1" t="str">
        <f t="shared" si="799"/>
        <v>4-7</v>
      </c>
      <c r="T2704" s="1" t="s">
        <v>20093</v>
      </c>
      <c r="U2704" s="1" t="s">
        <v>7</v>
      </c>
      <c r="V2704" s="1" t="s">
        <v>933</v>
      </c>
      <c r="W2704" s="1"/>
    </row>
    <row r="2705" spans="1:23" x14ac:dyDescent="0.2">
      <c r="A2705" s="88" t="s">
        <v>17861</v>
      </c>
      <c r="B2705" s="1" t="e">
        <v>#N/A</v>
      </c>
      <c r="C2705" s="1" t="e">
        <v>#N/A</v>
      </c>
      <c r="D2705" s="1" t="s">
        <v>7148</v>
      </c>
      <c r="E2705" s="1" t="s">
        <v>7149</v>
      </c>
      <c r="F2705" s="1" t="s">
        <v>18502</v>
      </c>
      <c r="G2705" s="1" t="s">
        <v>9060</v>
      </c>
      <c r="H2705" t="s">
        <v>9061</v>
      </c>
      <c r="I2705" s="1" t="s">
        <v>20714</v>
      </c>
      <c r="J2705" s="1" t="s">
        <v>20725</v>
      </c>
      <c r="K2705" s="1" t="s">
        <v>18497</v>
      </c>
      <c r="L2705" s="1" t="s">
        <v>9292</v>
      </c>
      <c r="M2705" s="1">
        <v>9282</v>
      </c>
      <c r="N2705" s="1" t="s">
        <v>8953</v>
      </c>
      <c r="O2705" s="1" t="s">
        <v>8989</v>
      </c>
      <c r="P2705" s="1" t="e">
        <v>#N/A</v>
      </c>
      <c r="Q2705" s="1" t="e">
        <v>#N/A</v>
      </c>
      <c r="R2705" s="1">
        <f t="shared" si="798"/>
        <v>3</v>
      </c>
      <c r="S2705" s="1" t="str">
        <f t="shared" si="799"/>
        <v>&lt;4</v>
      </c>
      <c r="T2705" s="1" t="s">
        <v>20094</v>
      </c>
      <c r="U2705" s="1" t="s">
        <v>17</v>
      </c>
      <c r="V2705" s="1" t="s">
        <v>443</v>
      </c>
      <c r="W2705" s="1"/>
    </row>
    <row r="2706" spans="1:23" x14ac:dyDescent="0.2">
      <c r="A2706" s="89" t="s">
        <v>7150</v>
      </c>
      <c r="B2706" s="1" t="e">
        <v>#N/A</v>
      </c>
      <c r="C2706" s="1" t="e">
        <v>#N/A</v>
      </c>
      <c r="D2706" s="1" t="s">
        <v>7151</v>
      </c>
      <c r="E2706" s="1" t="s">
        <v>7152</v>
      </c>
      <c r="F2706" s="1" t="e">
        <v>#N/A</v>
      </c>
      <c r="G2706" s="1" t="e">
        <v>#N/A</v>
      </c>
      <c r="H2706" t="e">
        <v>#N/A</v>
      </c>
      <c r="I2706" s="1" t="e">
        <v>#N/A</v>
      </c>
      <c r="J2706" s="1" t="e">
        <v>#N/A</v>
      </c>
      <c r="K2706" s="1" t="e">
        <v>#N/A</v>
      </c>
      <c r="L2706" s="1" t="e">
        <v>#N/A</v>
      </c>
      <c r="M2706" s="1" t="e">
        <v>#N/A</v>
      </c>
      <c r="N2706" s="1" t="e">
        <v>#N/A</v>
      </c>
      <c r="O2706" s="1" t="e">
        <v>#N/A</v>
      </c>
      <c r="P2706" s="1" t="e">
        <v>#N/A</v>
      </c>
      <c r="Q2706" s="1" t="e">
        <v>#N/A</v>
      </c>
      <c r="R2706" s="1">
        <f t="shared" si="798"/>
        <v>15</v>
      </c>
      <c r="S2706" s="1" t="str">
        <f t="shared" si="799"/>
        <v>&gt;7</v>
      </c>
      <c r="T2706" s="1" t="s">
        <v>20095</v>
      </c>
      <c r="U2706" s="1" t="s">
        <v>11</v>
      </c>
      <c r="V2706" s="1" t="s">
        <v>1780</v>
      </c>
      <c r="W2706" s="1"/>
    </row>
    <row r="2707" spans="1:23" x14ac:dyDescent="0.2">
      <c r="A2707" s="88" t="s">
        <v>17862</v>
      </c>
      <c r="B2707" s="1" t="e">
        <v>#N/A</v>
      </c>
      <c r="C2707" s="1" t="e">
        <v>#N/A</v>
      </c>
      <c r="D2707" s="1" t="s">
        <v>7153</v>
      </c>
      <c r="E2707" s="1" t="s">
        <v>7154</v>
      </c>
      <c r="F2707" s="1" t="s">
        <v>9310</v>
      </c>
      <c r="G2707" s="1" t="s">
        <v>8959</v>
      </c>
      <c r="H2707" t="s">
        <v>9061</v>
      </c>
      <c r="I2707" s="1" t="s">
        <v>9075</v>
      </c>
      <c r="J2707" s="1" t="s">
        <v>8998</v>
      </c>
      <c r="K2707" s="1" t="s">
        <v>21034</v>
      </c>
      <c r="L2707" s="1" t="s">
        <v>9076</v>
      </c>
      <c r="M2707" s="1">
        <v>33</v>
      </c>
      <c r="N2707" s="1" t="s">
        <v>9059</v>
      </c>
      <c r="O2707" s="1" t="s">
        <v>8989</v>
      </c>
      <c r="P2707" s="1" t="e">
        <v>#N/A</v>
      </c>
      <c r="Q2707" s="1" t="e">
        <v>#N/A</v>
      </c>
      <c r="R2707" s="1">
        <f t="shared" si="798"/>
        <v>5</v>
      </c>
      <c r="S2707" s="1" t="str">
        <f t="shared" si="799"/>
        <v>4-7</v>
      </c>
      <c r="T2707" s="1" t="s">
        <v>20096</v>
      </c>
      <c r="U2707" s="1" t="s">
        <v>17</v>
      </c>
      <c r="V2707" s="1" t="s">
        <v>2172</v>
      </c>
      <c r="W2707" s="1"/>
    </row>
    <row r="2708" spans="1:23" x14ac:dyDescent="0.2">
      <c r="A2708" s="88" t="s">
        <v>17863</v>
      </c>
      <c r="B2708" s="1" t="e">
        <v>#N/A</v>
      </c>
      <c r="C2708" s="1" t="e">
        <v>#N/A</v>
      </c>
      <c r="D2708" s="1" t="s">
        <v>7155</v>
      </c>
      <c r="E2708" s="1" t="s">
        <v>7156</v>
      </c>
      <c r="F2708" s="1" t="s">
        <v>9310</v>
      </c>
      <c r="G2708" s="1" t="s">
        <v>8957</v>
      </c>
      <c r="H2708" t="s">
        <v>8959</v>
      </c>
      <c r="I2708" s="1" t="s">
        <v>8948</v>
      </c>
      <c r="J2708" s="1" t="s">
        <v>9155</v>
      </c>
      <c r="K2708" s="1" t="s">
        <v>21449</v>
      </c>
      <c r="L2708" s="1" t="s">
        <v>9076</v>
      </c>
      <c r="M2708" s="1">
        <v>7000</v>
      </c>
      <c r="N2708" s="1" t="s">
        <v>8953</v>
      </c>
      <c r="O2708" s="1" t="s">
        <v>8989</v>
      </c>
      <c r="P2708" s="1" t="e">
        <v>#N/A</v>
      </c>
      <c r="Q2708" s="1" t="e">
        <v>#N/A</v>
      </c>
      <c r="R2708" s="1">
        <f t="shared" si="798"/>
        <v>6</v>
      </c>
      <c r="S2708" s="1" t="str">
        <f t="shared" si="799"/>
        <v>4-7</v>
      </c>
      <c r="T2708" s="1" t="s">
        <v>20097</v>
      </c>
      <c r="U2708" s="1" t="s">
        <v>7</v>
      </c>
      <c r="V2708" s="1" t="s">
        <v>93</v>
      </c>
      <c r="W2708" s="1"/>
    </row>
    <row r="2709" spans="1:23" x14ac:dyDescent="0.2">
      <c r="A2709" s="89" t="s">
        <v>17864</v>
      </c>
      <c r="B2709" s="1" t="e">
        <v>#N/A</v>
      </c>
      <c r="C2709" s="1" t="e">
        <v>#N/A</v>
      </c>
      <c r="D2709" s="1" t="s">
        <v>7157</v>
      </c>
      <c r="E2709" s="1" t="s">
        <v>7158</v>
      </c>
      <c r="F2709" s="1" t="e">
        <v>#N/A</v>
      </c>
      <c r="G2709" s="1" t="e">
        <v>#N/A</v>
      </c>
      <c r="H2709" t="e">
        <v>#N/A</v>
      </c>
      <c r="I2709" s="1" t="e">
        <v>#N/A</v>
      </c>
      <c r="J2709" s="1" t="e">
        <v>#N/A</v>
      </c>
      <c r="K2709" s="1" t="e">
        <v>#N/A</v>
      </c>
      <c r="L2709" s="1" t="e">
        <v>#N/A</v>
      </c>
      <c r="M2709" s="1" t="e">
        <v>#N/A</v>
      </c>
      <c r="N2709" s="1" t="e">
        <v>#N/A</v>
      </c>
      <c r="O2709" s="1" t="e">
        <v>#N/A</v>
      </c>
      <c r="P2709" s="1" t="e">
        <v>#N/A</v>
      </c>
      <c r="Q2709" s="1" t="e">
        <v>#N/A</v>
      </c>
      <c r="R2709" s="1">
        <f t="shared" si="798"/>
        <v>1</v>
      </c>
      <c r="S2709" s="1" t="str">
        <f t="shared" si="799"/>
        <v>&lt;4</v>
      </c>
      <c r="U2709" s="1" t="s">
        <v>11</v>
      </c>
      <c r="V2709" s="1" t="s">
        <v>402</v>
      </c>
      <c r="W2709" s="1"/>
    </row>
    <row r="2710" spans="1:23" x14ac:dyDescent="0.2">
      <c r="A2710" s="89" t="s">
        <v>17865</v>
      </c>
      <c r="B2710" s="1" t="e">
        <v>#N/A</v>
      </c>
      <c r="C2710" s="1" t="e">
        <v>#N/A</v>
      </c>
      <c r="D2710" s="1" t="s">
        <v>7159</v>
      </c>
      <c r="E2710" s="1" t="s">
        <v>7160</v>
      </c>
      <c r="F2710" s="1" t="e">
        <v>#N/A</v>
      </c>
      <c r="G2710" s="1" t="e">
        <v>#N/A</v>
      </c>
      <c r="H2710" t="e">
        <v>#N/A</v>
      </c>
      <c r="I2710" s="1" t="e">
        <v>#N/A</v>
      </c>
      <c r="J2710" s="1" t="e">
        <v>#N/A</v>
      </c>
      <c r="K2710" s="1" t="e">
        <v>#N/A</v>
      </c>
      <c r="L2710" s="1" t="e">
        <v>#N/A</v>
      </c>
      <c r="M2710" s="1" t="e">
        <v>#N/A</v>
      </c>
      <c r="N2710" s="1" t="e">
        <v>#N/A</v>
      </c>
      <c r="O2710" s="1" t="e">
        <v>#N/A</v>
      </c>
      <c r="P2710" s="1" t="e">
        <v>#N/A</v>
      </c>
      <c r="Q2710" s="1" t="e">
        <v>#N/A</v>
      </c>
      <c r="R2710" s="1">
        <f t="shared" si="798"/>
        <v>1</v>
      </c>
      <c r="S2710" s="1" t="str">
        <f t="shared" si="799"/>
        <v>&lt;4</v>
      </c>
      <c r="U2710" s="1" t="s">
        <v>11</v>
      </c>
      <c r="V2710" s="1" t="s">
        <v>4369</v>
      </c>
      <c r="W2710" s="1"/>
    </row>
    <row r="2711" spans="1:23" x14ac:dyDescent="0.2">
      <c r="A2711" s="89" t="s">
        <v>17866</v>
      </c>
      <c r="B2711" s="1" t="e">
        <v>#N/A</v>
      </c>
      <c r="C2711" s="1" t="e">
        <v>#N/A</v>
      </c>
      <c r="D2711" s="1" t="s">
        <v>7161</v>
      </c>
      <c r="E2711" s="1" t="s">
        <v>7162</v>
      </c>
      <c r="F2711" s="1" t="e">
        <v>#N/A</v>
      </c>
      <c r="G2711" s="1" t="e">
        <v>#N/A</v>
      </c>
      <c r="H2711" t="e">
        <v>#N/A</v>
      </c>
      <c r="I2711" s="1" t="e">
        <v>#N/A</v>
      </c>
      <c r="J2711" s="1" t="e">
        <v>#N/A</v>
      </c>
      <c r="K2711" s="1" t="e">
        <v>#N/A</v>
      </c>
      <c r="L2711" s="1" t="e">
        <v>#N/A</v>
      </c>
      <c r="M2711" s="1" t="e">
        <v>#N/A</v>
      </c>
      <c r="N2711" s="1" t="e">
        <v>#N/A</v>
      </c>
      <c r="O2711" s="1" t="e">
        <v>#N/A</v>
      </c>
      <c r="P2711" s="1" t="e">
        <v>#N/A</v>
      </c>
      <c r="Q2711" s="1" t="e">
        <v>#N/A</v>
      </c>
      <c r="R2711" s="1">
        <f t="shared" si="798"/>
        <v>1</v>
      </c>
      <c r="S2711" s="1" t="str">
        <f t="shared" si="799"/>
        <v>&lt;4</v>
      </c>
      <c r="U2711" s="1" t="s">
        <v>11</v>
      </c>
      <c r="V2711" s="1" t="s">
        <v>180</v>
      </c>
      <c r="W2711" s="1"/>
    </row>
    <row r="2712" spans="1:23" x14ac:dyDescent="0.2">
      <c r="A2712" s="88" t="s">
        <v>17867</v>
      </c>
      <c r="B2712" s="1" t="e">
        <v>#N/A</v>
      </c>
      <c r="C2712" s="1" t="s">
        <v>13044</v>
      </c>
      <c r="D2712" s="1" t="s">
        <v>7163</v>
      </c>
      <c r="E2712" s="1" t="s">
        <v>7164</v>
      </c>
      <c r="F2712" s="1" t="s">
        <v>12908</v>
      </c>
      <c r="G2712" s="1" t="s">
        <v>9060</v>
      </c>
      <c r="H2712" t="s">
        <v>9009</v>
      </c>
      <c r="I2712" s="1" t="s">
        <v>9092</v>
      </c>
      <c r="J2712" s="1" t="s">
        <v>8949</v>
      </c>
      <c r="K2712" s="1" t="s">
        <v>10258</v>
      </c>
      <c r="L2712" s="1" t="s">
        <v>9133</v>
      </c>
      <c r="M2712" s="1">
        <v>3000</v>
      </c>
      <c r="N2712" s="1" t="s">
        <v>9059</v>
      </c>
      <c r="O2712" s="1" t="s">
        <v>8989</v>
      </c>
      <c r="P2712" s="1" t="s">
        <v>8955</v>
      </c>
      <c r="Q2712" s="1" t="s">
        <v>8956</v>
      </c>
      <c r="R2712" s="1" t="s">
        <v>9060</v>
      </c>
      <c r="S2712" s="1" t="s">
        <v>8958</v>
      </c>
      <c r="T2712" s="1" t="s">
        <v>7165</v>
      </c>
      <c r="U2712" s="1" t="s">
        <v>11</v>
      </c>
      <c r="V2712" s="1" t="s">
        <v>24</v>
      </c>
      <c r="W2712" s="1"/>
    </row>
    <row r="2713" spans="1:23" x14ac:dyDescent="0.2">
      <c r="A2713" s="88" t="s">
        <v>17868</v>
      </c>
      <c r="B2713" s="1" t="e">
        <v>#N/A</v>
      </c>
      <c r="C2713" s="1" t="s">
        <v>12027</v>
      </c>
      <c r="D2713" s="1" t="s">
        <v>7166</v>
      </c>
      <c r="E2713" s="1" t="s">
        <v>7167</v>
      </c>
      <c r="F2713" s="1" t="s">
        <v>9380</v>
      </c>
      <c r="G2713" s="1" t="s">
        <v>8957</v>
      </c>
      <c r="H2713" t="s">
        <v>9183</v>
      </c>
      <c r="I2713" s="1" t="s">
        <v>9035</v>
      </c>
      <c r="J2713" s="1" t="s">
        <v>9155</v>
      </c>
      <c r="K2713" s="1" t="s">
        <v>9018</v>
      </c>
      <c r="L2713" s="1" t="s">
        <v>8987</v>
      </c>
      <c r="M2713" s="1">
        <v>42568</v>
      </c>
      <c r="N2713" s="1" t="s">
        <v>8953</v>
      </c>
      <c r="O2713" s="1" t="s">
        <v>8954</v>
      </c>
      <c r="P2713" s="1" t="s">
        <v>8955</v>
      </c>
      <c r="Q2713" s="1" t="s">
        <v>8956</v>
      </c>
      <c r="R2713" s="1" t="s">
        <v>8957</v>
      </c>
      <c r="S2713" s="1" t="s">
        <v>9103</v>
      </c>
      <c r="T2713" s="1" t="s">
        <v>7168</v>
      </c>
      <c r="U2713" s="1" t="s">
        <v>11</v>
      </c>
      <c r="V2713" s="1" t="s">
        <v>1076</v>
      </c>
      <c r="W2713" s="1"/>
    </row>
    <row r="2714" spans="1:23" x14ac:dyDescent="0.2">
      <c r="A2714" s="88" t="s">
        <v>17869</v>
      </c>
      <c r="B2714" s="1" t="e">
        <v>#N/A</v>
      </c>
      <c r="C2714" s="1" t="e">
        <v>#N/A</v>
      </c>
      <c r="D2714" s="1" t="s">
        <v>7169</v>
      </c>
      <c r="E2714" s="1" t="s">
        <v>7170</v>
      </c>
      <c r="F2714" s="1" t="s">
        <v>9380</v>
      </c>
      <c r="G2714" s="1" t="s">
        <v>8957</v>
      </c>
      <c r="H2714" t="s">
        <v>8959</v>
      </c>
      <c r="I2714" s="1" t="s">
        <v>9154</v>
      </c>
      <c r="J2714" s="1" t="s">
        <v>9308</v>
      </c>
      <c r="K2714" s="1" t="s">
        <v>21035</v>
      </c>
      <c r="L2714" s="1" t="s">
        <v>9076</v>
      </c>
      <c r="M2714" s="1">
        <f>130+154+138+16</f>
        <v>438</v>
      </c>
      <c r="N2714" s="1" t="s">
        <v>8953</v>
      </c>
      <c r="O2714" s="1" t="s">
        <v>8989</v>
      </c>
      <c r="P2714" s="1" t="e">
        <v>#N/A</v>
      </c>
      <c r="Q2714" s="1" t="e">
        <v>#N/A</v>
      </c>
      <c r="R2714" s="1">
        <f t="shared" ref="R2714:R2715" si="800">1+LEN(T2714)-LEN(SUBSTITUTE(T2714,",",))</f>
        <v>3</v>
      </c>
      <c r="S2714" s="1" t="str">
        <f t="shared" ref="S2714:S2715" si="801">IF(R2714&gt;4,IF(R2714&lt;8,"4-7",IF(R2714&gt;7,"&gt;7")),"&lt;4")</f>
        <v>&lt;4</v>
      </c>
      <c r="T2714" s="1" t="s">
        <v>20098</v>
      </c>
      <c r="U2714" s="1" t="s">
        <v>17</v>
      </c>
      <c r="V2714" s="1" t="s">
        <v>64</v>
      </c>
      <c r="W2714" s="1"/>
    </row>
    <row r="2715" spans="1:23" x14ac:dyDescent="0.2">
      <c r="A2715" s="88" t="s">
        <v>17870</v>
      </c>
      <c r="B2715" s="1" t="e">
        <v>#N/A</v>
      </c>
      <c r="C2715" s="1" t="e">
        <v>#N/A</v>
      </c>
      <c r="D2715" s="1" t="s">
        <v>7171</v>
      </c>
      <c r="E2715" s="1" t="s">
        <v>7172</v>
      </c>
      <c r="F2715" s="1" t="s">
        <v>9213</v>
      </c>
      <c r="G2715" s="1" t="s">
        <v>8957</v>
      </c>
      <c r="H2715" t="s">
        <v>8959</v>
      </c>
      <c r="I2715" s="1" t="s">
        <v>9100</v>
      </c>
      <c r="J2715" s="1" t="s">
        <v>8949</v>
      </c>
      <c r="K2715" s="1" t="s">
        <v>21344</v>
      </c>
      <c r="L2715" s="1" t="s">
        <v>9076</v>
      </c>
      <c r="M2715" s="1">
        <f>144+201</f>
        <v>345</v>
      </c>
      <c r="N2715" s="1" t="s">
        <v>9059</v>
      </c>
      <c r="O2715" s="1" t="s">
        <v>8954</v>
      </c>
      <c r="P2715" s="1" t="e">
        <v>#N/A</v>
      </c>
      <c r="Q2715" s="1" t="e">
        <v>#N/A</v>
      </c>
      <c r="R2715" s="1">
        <f t="shared" si="800"/>
        <v>5</v>
      </c>
      <c r="S2715" s="1" t="str">
        <f t="shared" si="801"/>
        <v>4-7</v>
      </c>
      <c r="T2715" s="1" t="s">
        <v>20099</v>
      </c>
      <c r="U2715" s="1" t="s">
        <v>7</v>
      </c>
      <c r="V2715" s="1" t="s">
        <v>64</v>
      </c>
      <c r="W2715" s="1"/>
    </row>
    <row r="2716" spans="1:23" x14ac:dyDescent="0.2">
      <c r="A2716" s="88" t="s">
        <v>17871</v>
      </c>
      <c r="B2716" s="1" t="e">
        <v>#N/A</v>
      </c>
      <c r="C2716" s="1" t="s">
        <v>11750</v>
      </c>
      <c r="D2716" s="1" t="s">
        <v>7173</v>
      </c>
      <c r="E2716" s="1" t="s">
        <v>7174</v>
      </c>
      <c r="F2716" s="1" t="s">
        <v>9213</v>
      </c>
      <c r="G2716" s="1" t="s">
        <v>8957</v>
      </c>
      <c r="H2716" t="s">
        <v>9183</v>
      </c>
      <c r="I2716" s="1" t="s">
        <v>9075</v>
      </c>
      <c r="J2716" s="1" t="s">
        <v>8949</v>
      </c>
      <c r="K2716" s="1" t="s">
        <v>8972</v>
      </c>
      <c r="L2716" s="1" t="s">
        <v>8973</v>
      </c>
      <c r="M2716" s="1">
        <v>280</v>
      </c>
      <c r="N2716" s="1" t="s">
        <v>8953</v>
      </c>
      <c r="O2716" s="1" t="s">
        <v>8954</v>
      </c>
      <c r="P2716" s="1" t="s">
        <v>8955</v>
      </c>
      <c r="Q2716" s="1" t="s">
        <v>8956</v>
      </c>
      <c r="R2716" s="1" t="s">
        <v>8957</v>
      </c>
      <c r="S2716" s="1" t="s">
        <v>8958</v>
      </c>
      <c r="T2716" s="1" t="s">
        <v>7175</v>
      </c>
      <c r="U2716" s="1" t="s">
        <v>11</v>
      </c>
      <c r="V2716" s="1" t="s">
        <v>64</v>
      </c>
      <c r="W2716" s="1"/>
    </row>
    <row r="2717" spans="1:23" x14ac:dyDescent="0.2">
      <c r="A2717" s="88" t="s">
        <v>17872</v>
      </c>
      <c r="B2717" s="1" t="e">
        <v>#N/A</v>
      </c>
      <c r="C2717" s="1" t="e">
        <v>#N/A</v>
      </c>
      <c r="D2717" s="1" t="s">
        <v>7176</v>
      </c>
      <c r="E2717" s="1" t="s">
        <v>7177</v>
      </c>
      <c r="F2717" s="1" t="s">
        <v>9333</v>
      </c>
      <c r="G2717" s="1" t="s">
        <v>8957</v>
      </c>
      <c r="H2717" t="s">
        <v>9183</v>
      </c>
      <c r="I2717" s="1" t="s">
        <v>20712</v>
      </c>
      <c r="J2717" s="1" t="s">
        <v>9308</v>
      </c>
      <c r="K2717" s="1" t="s">
        <v>18489</v>
      </c>
      <c r="L2717" s="1" t="s">
        <v>8951</v>
      </c>
      <c r="M2717" s="1">
        <v>657</v>
      </c>
      <c r="N2717" s="1" t="s">
        <v>9059</v>
      </c>
      <c r="O2717" s="1" t="s">
        <v>8989</v>
      </c>
      <c r="P2717" s="1" t="e">
        <v>#N/A</v>
      </c>
      <c r="Q2717" s="1" t="e">
        <v>#N/A</v>
      </c>
      <c r="R2717" s="1">
        <f t="shared" ref="R2717:R2726" si="802">1+LEN(T2717)-LEN(SUBSTITUTE(T2717,",",))</f>
        <v>13</v>
      </c>
      <c r="S2717" s="1" t="str">
        <f t="shared" ref="S2717:S2726" si="803">IF(R2717&gt;4,IF(R2717&lt;8,"4-7",IF(R2717&gt;7,"&gt;7")),"&lt;4")</f>
        <v>&gt;7</v>
      </c>
      <c r="T2717" s="1" t="s">
        <v>20100</v>
      </c>
      <c r="U2717" s="1" t="s">
        <v>7</v>
      </c>
      <c r="V2717" s="1" t="s">
        <v>7178</v>
      </c>
      <c r="W2717" s="1"/>
    </row>
    <row r="2718" spans="1:23" x14ac:dyDescent="0.2">
      <c r="A2718" s="89" t="s">
        <v>17873</v>
      </c>
      <c r="B2718" s="1" t="e">
        <v>#N/A</v>
      </c>
      <c r="C2718" s="1" t="e">
        <v>#N/A</v>
      </c>
      <c r="D2718" s="1" t="s">
        <v>7179</v>
      </c>
      <c r="E2718" s="1" t="s">
        <v>7180</v>
      </c>
      <c r="F2718" s="1" t="e">
        <v>#N/A</v>
      </c>
      <c r="G2718" s="1" t="e">
        <v>#N/A</v>
      </c>
      <c r="H2718" t="e">
        <v>#N/A</v>
      </c>
      <c r="I2718" s="1" t="e">
        <v>#N/A</v>
      </c>
      <c r="J2718" s="1" t="e">
        <v>#N/A</v>
      </c>
      <c r="K2718" s="1" t="e">
        <v>#N/A</v>
      </c>
      <c r="L2718" s="1" t="e">
        <v>#N/A</v>
      </c>
      <c r="M2718" s="1" t="e">
        <v>#N/A</v>
      </c>
      <c r="N2718" s="1" t="e">
        <v>#N/A</v>
      </c>
      <c r="O2718" s="1" t="e">
        <v>#N/A</v>
      </c>
      <c r="P2718" s="1" t="e">
        <v>#N/A</v>
      </c>
      <c r="Q2718" s="1" t="e">
        <v>#N/A</v>
      </c>
      <c r="R2718" s="1">
        <f t="shared" si="802"/>
        <v>7</v>
      </c>
      <c r="S2718" s="1" t="str">
        <f t="shared" si="803"/>
        <v>4-7</v>
      </c>
      <c r="T2718" s="1" t="s">
        <v>20694</v>
      </c>
      <c r="U2718" s="1" t="s">
        <v>17</v>
      </c>
      <c r="V2718" s="1" t="s">
        <v>7181</v>
      </c>
      <c r="W2718" s="1"/>
    </row>
    <row r="2719" spans="1:23" x14ac:dyDescent="0.2">
      <c r="A2719" s="88" t="s">
        <v>17874</v>
      </c>
      <c r="B2719" s="1" t="e">
        <v>#N/A</v>
      </c>
      <c r="C2719" s="1" t="e">
        <v>#N/A</v>
      </c>
      <c r="D2719" s="1" t="s">
        <v>7182</v>
      </c>
      <c r="E2719" s="1" t="s">
        <v>7183</v>
      </c>
      <c r="F2719" s="1" t="s">
        <v>9317</v>
      </c>
      <c r="G2719" s="1" t="s">
        <v>8957</v>
      </c>
      <c r="H2719" t="s">
        <v>8959</v>
      </c>
      <c r="I2719" s="1" t="s">
        <v>8948</v>
      </c>
      <c r="J2719" s="1" t="s">
        <v>9155</v>
      </c>
      <c r="K2719" s="1" t="s">
        <v>10492</v>
      </c>
      <c r="L2719" s="1" t="s">
        <v>8973</v>
      </c>
      <c r="M2719" s="1">
        <v>20</v>
      </c>
      <c r="N2719" s="1" t="s">
        <v>9059</v>
      </c>
      <c r="O2719" s="1" t="s">
        <v>8989</v>
      </c>
      <c r="P2719" s="1" t="e">
        <v>#N/A</v>
      </c>
      <c r="Q2719" s="1" t="e">
        <v>#N/A</v>
      </c>
      <c r="R2719" s="1">
        <f t="shared" si="802"/>
        <v>12</v>
      </c>
      <c r="S2719" s="1" t="str">
        <f t="shared" si="803"/>
        <v>&gt;7</v>
      </c>
      <c r="T2719" s="1" t="s">
        <v>20101</v>
      </c>
      <c r="U2719" s="1" t="s">
        <v>7</v>
      </c>
      <c r="V2719" s="1" t="s">
        <v>700</v>
      </c>
      <c r="W2719" s="1"/>
    </row>
    <row r="2720" spans="1:23" x14ac:dyDescent="0.2">
      <c r="A2720" s="88" t="s">
        <v>17875</v>
      </c>
      <c r="B2720" s="1" t="e">
        <v>#N/A</v>
      </c>
      <c r="C2720" s="1" t="e">
        <v>#N/A</v>
      </c>
      <c r="D2720" s="1" t="s">
        <v>7184</v>
      </c>
      <c r="E2720" s="1" t="s">
        <v>7185</v>
      </c>
      <c r="F2720" s="1" t="s">
        <v>14748</v>
      </c>
      <c r="G2720" s="1" t="s">
        <v>8959</v>
      </c>
      <c r="H2720" t="s">
        <v>8959</v>
      </c>
      <c r="I2720" s="1" t="s">
        <v>9100</v>
      </c>
      <c r="J2720" s="1" t="s">
        <v>8949</v>
      </c>
      <c r="K2720" s="1" t="s">
        <v>21240</v>
      </c>
      <c r="L2720" s="1" t="s">
        <v>8951</v>
      </c>
      <c r="M2720" s="1">
        <v>253</v>
      </c>
      <c r="N2720" s="1" t="s">
        <v>8953</v>
      </c>
      <c r="O2720" s="1" t="s">
        <v>8989</v>
      </c>
      <c r="P2720" s="1" t="e">
        <v>#N/A</v>
      </c>
      <c r="Q2720" s="1" t="e">
        <v>#N/A</v>
      </c>
      <c r="R2720" s="1">
        <f t="shared" si="802"/>
        <v>3</v>
      </c>
      <c r="S2720" s="1" t="str">
        <f t="shared" si="803"/>
        <v>&lt;4</v>
      </c>
      <c r="T2720" s="1" t="s">
        <v>20102</v>
      </c>
      <c r="U2720" s="1" t="s">
        <v>7</v>
      </c>
      <c r="V2720" s="1" t="s">
        <v>948</v>
      </c>
      <c r="W2720" s="1"/>
    </row>
    <row r="2721" spans="1:23" x14ac:dyDescent="0.2">
      <c r="A2721" s="88" t="s">
        <v>17876</v>
      </c>
      <c r="B2721" s="1" t="e">
        <v>#N/A</v>
      </c>
      <c r="C2721" s="1" t="e">
        <v>#N/A</v>
      </c>
      <c r="D2721" s="1" t="s">
        <v>7186</v>
      </c>
      <c r="E2721" s="1" t="s">
        <v>7187</v>
      </c>
      <c r="F2721" s="1" t="s">
        <v>14748</v>
      </c>
      <c r="G2721" s="1" t="s">
        <v>8959</v>
      </c>
      <c r="H2721" t="s">
        <v>8959</v>
      </c>
      <c r="I2721" s="1" t="s">
        <v>9035</v>
      </c>
      <c r="J2721" s="1" t="s">
        <v>9308</v>
      </c>
      <c r="K2721" s="1" t="s">
        <v>21036</v>
      </c>
      <c r="L2721" s="1" t="s">
        <v>8951</v>
      </c>
      <c r="M2721" s="1">
        <v>295</v>
      </c>
      <c r="N2721" s="1" t="s">
        <v>8953</v>
      </c>
      <c r="O2721" s="1" t="s">
        <v>8954</v>
      </c>
      <c r="P2721" s="1" t="e">
        <v>#N/A</v>
      </c>
      <c r="Q2721" s="1" t="e">
        <v>#N/A</v>
      </c>
      <c r="R2721" s="1">
        <f t="shared" si="802"/>
        <v>3</v>
      </c>
      <c r="S2721" s="1" t="str">
        <f t="shared" si="803"/>
        <v>&lt;4</v>
      </c>
      <c r="T2721" s="1" t="s">
        <v>20102</v>
      </c>
      <c r="U2721" s="1" t="s">
        <v>7</v>
      </c>
      <c r="V2721" s="1" t="s">
        <v>74</v>
      </c>
      <c r="W2721" s="1"/>
    </row>
    <row r="2722" spans="1:23" x14ac:dyDescent="0.2">
      <c r="A2722" s="88" t="s">
        <v>17877</v>
      </c>
      <c r="B2722" s="1" t="e">
        <v>#N/A</v>
      </c>
      <c r="C2722" s="1" t="e">
        <v>#N/A</v>
      </c>
      <c r="D2722" s="1" t="s">
        <v>7188</v>
      </c>
      <c r="E2722" s="1" t="s">
        <v>7189</v>
      </c>
      <c r="F2722" s="1" t="s">
        <v>9333</v>
      </c>
      <c r="G2722" s="1" t="s">
        <v>8957</v>
      </c>
      <c r="H2722" t="s">
        <v>8959</v>
      </c>
      <c r="I2722" s="1" t="s">
        <v>9154</v>
      </c>
      <c r="J2722" s="1" t="s">
        <v>20930</v>
      </c>
      <c r="K2722" s="1" t="s">
        <v>21241</v>
      </c>
      <c r="L2722" s="1" t="s">
        <v>8987</v>
      </c>
      <c r="M2722" s="1">
        <v>85</v>
      </c>
      <c r="N2722" s="1" t="s">
        <v>9059</v>
      </c>
      <c r="O2722" s="1" t="s">
        <v>8989</v>
      </c>
      <c r="P2722" s="1" t="e">
        <v>#N/A</v>
      </c>
      <c r="Q2722" s="1" t="e">
        <v>#N/A</v>
      </c>
      <c r="R2722" s="1">
        <f t="shared" si="802"/>
        <v>9</v>
      </c>
      <c r="S2722" s="1" t="str">
        <f t="shared" si="803"/>
        <v>&gt;7</v>
      </c>
      <c r="T2722" s="1" t="s">
        <v>20103</v>
      </c>
      <c r="U2722" s="1" t="s">
        <v>17</v>
      </c>
      <c r="V2722" s="1" t="s">
        <v>74</v>
      </c>
      <c r="W2722" s="1"/>
    </row>
    <row r="2723" spans="1:23" x14ac:dyDescent="0.2">
      <c r="A2723" s="88" t="s">
        <v>17878</v>
      </c>
      <c r="B2723" s="1" t="e">
        <v>#N/A</v>
      </c>
      <c r="C2723" s="1" t="e">
        <v>#N/A</v>
      </c>
      <c r="D2723" s="1" t="s">
        <v>7190</v>
      </c>
      <c r="E2723" s="1" t="s">
        <v>7191</v>
      </c>
      <c r="F2723" s="1" t="s">
        <v>9333</v>
      </c>
      <c r="G2723" s="1" t="s">
        <v>8957</v>
      </c>
      <c r="H2723" t="s">
        <v>8959</v>
      </c>
      <c r="I2723" s="1" t="s">
        <v>8984</v>
      </c>
      <c r="J2723" s="1" t="s">
        <v>9308</v>
      </c>
      <c r="K2723" s="1" t="s">
        <v>21295</v>
      </c>
      <c r="L2723" s="1" t="s">
        <v>8987</v>
      </c>
      <c r="M2723" s="1">
        <v>6012</v>
      </c>
      <c r="N2723" s="1" t="s">
        <v>9059</v>
      </c>
      <c r="O2723" s="1" t="s">
        <v>8989</v>
      </c>
      <c r="P2723" s="1" t="e">
        <v>#N/A</v>
      </c>
      <c r="Q2723" s="1" t="e">
        <v>#N/A</v>
      </c>
      <c r="R2723" s="1">
        <f t="shared" si="802"/>
        <v>4</v>
      </c>
      <c r="S2723" s="1" t="str">
        <f t="shared" si="803"/>
        <v>&lt;4</v>
      </c>
      <c r="T2723" s="1" t="s">
        <v>20104</v>
      </c>
      <c r="U2723" s="1" t="s">
        <v>7</v>
      </c>
      <c r="V2723" s="1" t="s">
        <v>74</v>
      </c>
      <c r="W2723" s="1"/>
    </row>
    <row r="2724" spans="1:23" x14ac:dyDescent="0.2">
      <c r="A2724" s="88" t="s">
        <v>17879</v>
      </c>
      <c r="B2724" s="1" t="e">
        <v>#N/A</v>
      </c>
      <c r="C2724" s="1" t="e">
        <v>#N/A</v>
      </c>
      <c r="D2724" s="1" t="s">
        <v>7192</v>
      </c>
      <c r="E2724" s="1" t="s">
        <v>7193</v>
      </c>
      <c r="F2724" s="1" t="s">
        <v>9333</v>
      </c>
      <c r="G2724" s="1" t="s">
        <v>8957</v>
      </c>
      <c r="H2724" t="s">
        <v>8959</v>
      </c>
      <c r="I2724" s="1" t="s">
        <v>8984</v>
      </c>
      <c r="J2724" s="1" t="s">
        <v>9308</v>
      </c>
      <c r="K2724" s="1" t="s">
        <v>21037</v>
      </c>
      <c r="L2724" s="1" t="s">
        <v>8951</v>
      </c>
      <c r="M2724" s="1">
        <v>6520</v>
      </c>
      <c r="N2724" s="1" t="s">
        <v>8953</v>
      </c>
      <c r="O2724" s="1" t="s">
        <v>8989</v>
      </c>
      <c r="P2724" s="1" t="e">
        <v>#N/A</v>
      </c>
      <c r="Q2724" s="1" t="e">
        <v>#N/A</v>
      </c>
      <c r="R2724" s="1">
        <f t="shared" si="802"/>
        <v>10</v>
      </c>
      <c r="S2724" s="1" t="str">
        <f t="shared" si="803"/>
        <v>&gt;7</v>
      </c>
      <c r="T2724" s="1" t="s">
        <v>20105</v>
      </c>
      <c r="U2724" s="1" t="s">
        <v>17</v>
      </c>
      <c r="V2724" s="1" t="s">
        <v>7194</v>
      </c>
      <c r="W2724" s="1"/>
    </row>
    <row r="2725" spans="1:23" x14ac:dyDescent="0.2">
      <c r="A2725" s="88" t="s">
        <v>17880</v>
      </c>
      <c r="B2725" s="1" t="e">
        <v>#N/A</v>
      </c>
      <c r="C2725" s="1" t="e">
        <v>#N/A</v>
      </c>
      <c r="D2725" s="1" t="s">
        <v>7195</v>
      </c>
      <c r="E2725" s="1" t="s">
        <v>7196</v>
      </c>
      <c r="F2725" s="1" t="s">
        <v>18502</v>
      </c>
      <c r="G2725" s="1" t="s">
        <v>9060</v>
      </c>
      <c r="H2725" t="s">
        <v>8959</v>
      </c>
      <c r="I2725" s="1" t="s">
        <v>9092</v>
      </c>
      <c r="J2725" s="1" t="s">
        <v>9155</v>
      </c>
      <c r="K2725" s="1" t="s">
        <v>21345</v>
      </c>
      <c r="L2725" s="1" t="s">
        <v>9292</v>
      </c>
      <c r="M2725" s="1">
        <v>35482</v>
      </c>
      <c r="N2725" s="1" t="s">
        <v>8953</v>
      </c>
      <c r="O2725" s="1" t="s">
        <v>8954</v>
      </c>
      <c r="P2725" s="1" t="e">
        <v>#N/A</v>
      </c>
      <c r="Q2725" s="1" t="e">
        <v>#N/A</v>
      </c>
      <c r="R2725" s="1">
        <f t="shared" si="802"/>
        <v>4</v>
      </c>
      <c r="S2725" s="1" t="str">
        <f t="shared" si="803"/>
        <v>&lt;4</v>
      </c>
      <c r="T2725" s="1" t="s">
        <v>20106</v>
      </c>
      <c r="U2725" s="1" t="s">
        <v>7</v>
      </c>
      <c r="V2725" s="1" t="s">
        <v>24</v>
      </c>
      <c r="W2725" s="1"/>
    </row>
    <row r="2726" spans="1:23" x14ac:dyDescent="0.2">
      <c r="A2726" s="88" t="s">
        <v>17881</v>
      </c>
      <c r="B2726" s="1" t="e">
        <v>#N/A</v>
      </c>
      <c r="C2726" s="1" t="e">
        <v>#N/A</v>
      </c>
      <c r="D2726" s="1" t="s">
        <v>7197</v>
      </c>
      <c r="E2726" s="1" t="s">
        <v>7198</v>
      </c>
      <c r="F2726" s="1" t="s">
        <v>18502</v>
      </c>
      <c r="G2726" s="1" t="s">
        <v>8957</v>
      </c>
      <c r="H2726" t="s">
        <v>8959</v>
      </c>
      <c r="I2726" s="1" t="s">
        <v>8984</v>
      </c>
      <c r="J2726" s="1" t="s">
        <v>8985</v>
      </c>
      <c r="K2726" s="1" t="s">
        <v>18497</v>
      </c>
      <c r="L2726" s="1" t="s">
        <v>8951</v>
      </c>
      <c r="M2726" s="1">
        <v>379</v>
      </c>
      <c r="N2726" s="1" t="s">
        <v>8953</v>
      </c>
      <c r="O2726" s="1" t="s">
        <v>8989</v>
      </c>
      <c r="P2726" s="1" t="e">
        <v>#N/A</v>
      </c>
      <c r="Q2726" s="1" t="e">
        <v>#N/A</v>
      </c>
      <c r="R2726" s="1">
        <f t="shared" si="802"/>
        <v>6</v>
      </c>
      <c r="S2726" s="1" t="str">
        <f t="shared" si="803"/>
        <v>4-7</v>
      </c>
      <c r="T2726" s="1" t="s">
        <v>20107</v>
      </c>
      <c r="U2726" s="1" t="s">
        <v>17</v>
      </c>
      <c r="V2726" s="1" t="s">
        <v>1918</v>
      </c>
      <c r="W2726" s="1"/>
    </row>
    <row r="2727" spans="1:23" x14ac:dyDescent="0.2">
      <c r="A2727" s="88" t="s">
        <v>17882</v>
      </c>
      <c r="B2727" s="1" t="e">
        <v>#N/A</v>
      </c>
      <c r="C2727" s="1" t="s">
        <v>11122</v>
      </c>
      <c r="D2727" s="1" t="s">
        <v>7199</v>
      </c>
      <c r="E2727" s="1" t="s">
        <v>7200</v>
      </c>
      <c r="F2727" s="1" t="s">
        <v>9310</v>
      </c>
      <c r="G2727" s="1" t="s">
        <v>8957</v>
      </c>
      <c r="H2727" t="s">
        <v>9183</v>
      </c>
      <c r="I2727" s="1" t="s">
        <v>9092</v>
      </c>
      <c r="J2727" s="1" t="s">
        <v>9308</v>
      </c>
      <c r="K2727" s="1" t="s">
        <v>9018</v>
      </c>
      <c r="L2727" s="1" t="s">
        <v>9133</v>
      </c>
      <c r="M2727" s="1">
        <v>21391</v>
      </c>
      <c r="N2727" s="1" t="s">
        <v>8953</v>
      </c>
      <c r="O2727" s="1" t="s">
        <v>8954</v>
      </c>
      <c r="P2727" s="1" t="s">
        <v>8955</v>
      </c>
      <c r="Q2727" s="1" t="s">
        <v>8956</v>
      </c>
      <c r="R2727" s="1" t="s">
        <v>8957</v>
      </c>
      <c r="S2727" s="1" t="s">
        <v>8958</v>
      </c>
      <c r="T2727" s="1" t="s">
        <v>7201</v>
      </c>
      <c r="U2727" s="1" t="s">
        <v>11</v>
      </c>
      <c r="V2727" s="1" t="s">
        <v>97</v>
      </c>
      <c r="W2727" s="1"/>
    </row>
    <row r="2728" spans="1:23" x14ac:dyDescent="0.2">
      <c r="A2728" s="88" t="s">
        <v>17883</v>
      </c>
      <c r="B2728" s="1" t="e">
        <v>#N/A</v>
      </c>
      <c r="C2728" s="1" t="e">
        <v>#N/A</v>
      </c>
      <c r="D2728" s="1" t="s">
        <v>7202</v>
      </c>
      <c r="E2728" s="1" t="s">
        <v>7203</v>
      </c>
      <c r="F2728" s="1" t="s">
        <v>9333</v>
      </c>
      <c r="G2728" s="1" t="s">
        <v>8957</v>
      </c>
      <c r="H2728" t="s">
        <v>8959</v>
      </c>
      <c r="I2728" s="1" t="s">
        <v>8984</v>
      </c>
      <c r="J2728" s="1" t="s">
        <v>8998</v>
      </c>
      <c r="K2728" s="1" t="s">
        <v>10525</v>
      </c>
      <c r="L2728" s="1" t="s">
        <v>9076</v>
      </c>
      <c r="M2728" s="1">
        <v>124</v>
      </c>
      <c r="N2728" s="1" t="s">
        <v>9059</v>
      </c>
      <c r="O2728" s="1" t="s">
        <v>8989</v>
      </c>
      <c r="P2728" s="1" t="e">
        <v>#N/A</v>
      </c>
      <c r="Q2728" s="1" t="e">
        <v>#N/A</v>
      </c>
      <c r="R2728" s="1">
        <f>1+LEN(T2728)-LEN(SUBSTITUTE(T2728,",",))</f>
        <v>5</v>
      </c>
      <c r="S2728" s="1" t="str">
        <f>IF(R2728&gt;4,IF(R2728&lt;8,"4-7",IF(R2728&gt;7,"&gt;7")),"&lt;4")</f>
        <v>4-7</v>
      </c>
      <c r="T2728" s="1" t="s">
        <v>20108</v>
      </c>
      <c r="U2728" s="1" t="s">
        <v>7</v>
      </c>
      <c r="V2728" s="1" t="s">
        <v>46</v>
      </c>
      <c r="W2728" s="1"/>
    </row>
    <row r="2729" spans="1:23" x14ac:dyDescent="0.2">
      <c r="A2729" s="88" t="s">
        <v>17884</v>
      </c>
      <c r="B2729" s="1" t="e">
        <v>#N/A</v>
      </c>
      <c r="C2729" s="1" t="s">
        <v>11636</v>
      </c>
      <c r="D2729" s="1" t="s">
        <v>7204</v>
      </c>
      <c r="E2729" s="1" t="s">
        <v>7205</v>
      </c>
      <c r="F2729" s="1" t="s">
        <v>9310</v>
      </c>
      <c r="G2729" s="1" t="s">
        <v>8957</v>
      </c>
      <c r="H2729" t="s">
        <v>9183</v>
      </c>
      <c r="I2729" s="1" t="s">
        <v>8948</v>
      </c>
      <c r="J2729" s="1" t="s">
        <v>8998</v>
      </c>
      <c r="K2729" s="1" t="s">
        <v>21474</v>
      </c>
      <c r="L2729" s="1" t="s">
        <v>8973</v>
      </c>
      <c r="M2729" s="1">
        <v>32</v>
      </c>
      <c r="N2729" s="1" t="s">
        <v>8953</v>
      </c>
      <c r="O2729" s="1" t="s">
        <v>8989</v>
      </c>
      <c r="P2729" s="1" t="s">
        <v>8955</v>
      </c>
      <c r="Q2729" s="1" t="s">
        <v>8956</v>
      </c>
      <c r="R2729" s="1" t="s">
        <v>8957</v>
      </c>
      <c r="S2729" s="1" t="s">
        <v>8958</v>
      </c>
      <c r="T2729" s="1" t="s">
        <v>7206</v>
      </c>
      <c r="U2729" s="1" t="s">
        <v>11</v>
      </c>
      <c r="V2729" s="1" t="s">
        <v>93</v>
      </c>
      <c r="W2729" s="1"/>
    </row>
    <row r="2730" spans="1:23" x14ac:dyDescent="0.2">
      <c r="A2730" s="88" t="s">
        <v>17885</v>
      </c>
      <c r="B2730" s="1" t="e">
        <v>#N/A</v>
      </c>
      <c r="C2730" s="1" t="e">
        <v>#N/A</v>
      </c>
      <c r="D2730" s="1" t="s">
        <v>7207</v>
      </c>
      <c r="E2730" s="1" t="s">
        <v>7208</v>
      </c>
      <c r="F2730" s="1" t="s">
        <v>9310</v>
      </c>
      <c r="G2730" s="1" t="s">
        <v>9060</v>
      </c>
      <c r="H2730" t="s">
        <v>9061</v>
      </c>
      <c r="I2730" s="1" t="s">
        <v>8948</v>
      </c>
      <c r="J2730" s="1" t="s">
        <v>8949</v>
      </c>
      <c r="K2730" s="1" t="s">
        <v>21037</v>
      </c>
      <c r="L2730" s="1" t="s">
        <v>9076</v>
      </c>
      <c r="M2730" s="1">
        <v>8</v>
      </c>
      <c r="N2730" s="1" t="s">
        <v>9059</v>
      </c>
      <c r="O2730" s="1" t="s">
        <v>8989</v>
      </c>
      <c r="P2730" s="1" t="e">
        <v>#N/A</v>
      </c>
      <c r="Q2730" s="1" t="e">
        <v>#N/A</v>
      </c>
      <c r="R2730" s="1">
        <f t="shared" ref="R2730:R2735" si="804">1+LEN(T2730)-LEN(SUBSTITUTE(T2730,",",))</f>
        <v>11</v>
      </c>
      <c r="S2730" s="1" t="str">
        <f t="shared" ref="S2730:S2735" si="805">IF(R2730&gt;4,IF(R2730&lt;8,"4-7",IF(R2730&gt;7,"&gt;7")),"&lt;4")</f>
        <v>&gt;7</v>
      </c>
      <c r="T2730" s="1" t="s">
        <v>20109</v>
      </c>
      <c r="U2730" s="1" t="s">
        <v>7</v>
      </c>
      <c r="V2730" s="1" t="s">
        <v>21</v>
      </c>
      <c r="W2730" s="1"/>
    </row>
    <row r="2731" spans="1:23" x14ac:dyDescent="0.2">
      <c r="A2731" s="88" t="s">
        <v>17886</v>
      </c>
      <c r="B2731" s="1" t="e">
        <v>#N/A</v>
      </c>
      <c r="C2731" s="1" t="e">
        <v>#N/A</v>
      </c>
      <c r="D2731" s="1" t="s">
        <v>7209</v>
      </c>
      <c r="E2731" s="1" t="s">
        <v>7210</v>
      </c>
      <c r="F2731" s="1" t="s">
        <v>9310</v>
      </c>
      <c r="G2731" s="1" t="s">
        <v>8957</v>
      </c>
      <c r="H2731" t="s">
        <v>9061</v>
      </c>
      <c r="I2731" s="1" t="s">
        <v>20712</v>
      </c>
      <c r="J2731" s="1" t="s">
        <v>9155</v>
      </c>
      <c r="K2731" s="1" t="s">
        <v>21454</v>
      </c>
      <c r="L2731" s="1" t="s">
        <v>9076</v>
      </c>
      <c r="M2731" s="1">
        <v>15000</v>
      </c>
      <c r="N2731" s="1" t="s">
        <v>8953</v>
      </c>
      <c r="O2731" s="1" t="s">
        <v>8954</v>
      </c>
      <c r="P2731" s="1" t="e">
        <v>#N/A</v>
      </c>
      <c r="Q2731" s="1" t="e">
        <v>#N/A</v>
      </c>
      <c r="R2731" s="1">
        <f t="shared" si="804"/>
        <v>8</v>
      </c>
      <c r="S2731" s="1" t="str">
        <f t="shared" si="805"/>
        <v>&gt;7</v>
      </c>
      <c r="T2731" s="1" t="s">
        <v>20110</v>
      </c>
      <c r="U2731" s="1" t="s">
        <v>7</v>
      </c>
      <c r="V2731" s="1" t="s">
        <v>4018</v>
      </c>
      <c r="W2731" s="1"/>
    </row>
    <row r="2732" spans="1:23" x14ac:dyDescent="0.2">
      <c r="A2732" s="89" t="s">
        <v>7211</v>
      </c>
      <c r="B2732" s="1" t="e">
        <v>#N/A</v>
      </c>
      <c r="C2732" s="1" t="e">
        <v>#N/A</v>
      </c>
      <c r="D2732" s="1" t="s">
        <v>7212</v>
      </c>
      <c r="E2732" s="1" t="s">
        <v>7213</v>
      </c>
      <c r="F2732" s="1" t="e">
        <v>#N/A</v>
      </c>
      <c r="G2732" s="1" t="e">
        <v>#N/A</v>
      </c>
      <c r="H2732" t="e">
        <v>#N/A</v>
      </c>
      <c r="I2732" s="1" t="e">
        <v>#N/A</v>
      </c>
      <c r="J2732" s="1" t="e">
        <v>#N/A</v>
      </c>
      <c r="K2732" s="1" t="e">
        <v>#N/A</v>
      </c>
      <c r="L2732" s="1" t="e">
        <v>#N/A</v>
      </c>
      <c r="M2732" s="1" t="e">
        <v>#N/A</v>
      </c>
      <c r="N2732" s="1" t="e">
        <v>#N/A</v>
      </c>
      <c r="O2732" s="1" t="e">
        <v>#N/A</v>
      </c>
      <c r="P2732" s="1" t="e">
        <v>#N/A</v>
      </c>
      <c r="Q2732" s="1" t="e">
        <v>#N/A</v>
      </c>
      <c r="R2732" s="1">
        <f t="shared" si="804"/>
        <v>4</v>
      </c>
      <c r="S2732" s="1" t="str">
        <f t="shared" si="805"/>
        <v>&lt;4</v>
      </c>
      <c r="T2732" s="1" t="s">
        <v>20111</v>
      </c>
      <c r="U2732" s="1" t="s">
        <v>7</v>
      </c>
      <c r="V2732" s="1" t="s">
        <v>7214</v>
      </c>
      <c r="W2732" s="1"/>
    </row>
    <row r="2733" spans="1:23" x14ac:dyDescent="0.2">
      <c r="A2733" s="88" t="s">
        <v>17887</v>
      </c>
      <c r="B2733" s="1" t="e">
        <v>#N/A</v>
      </c>
      <c r="C2733" s="1" t="e">
        <v>#N/A</v>
      </c>
      <c r="D2733" s="1" t="s">
        <v>7215</v>
      </c>
      <c r="E2733" s="1" t="s">
        <v>7216</v>
      </c>
      <c r="F2733" s="1" t="e">
        <v>#N/A</v>
      </c>
      <c r="G2733" s="1" t="e">
        <v>#N/A</v>
      </c>
      <c r="H2733" t="e">
        <v>#N/A</v>
      </c>
      <c r="I2733" s="1" t="e">
        <v>#N/A</v>
      </c>
      <c r="J2733" s="1" t="e">
        <v>#N/A</v>
      </c>
      <c r="K2733" s="1" t="e">
        <v>#N/A</v>
      </c>
      <c r="L2733" s="1" t="e">
        <v>#N/A</v>
      </c>
      <c r="M2733" s="1" t="e">
        <v>#N/A</v>
      </c>
      <c r="N2733" s="1" t="e">
        <v>#N/A</v>
      </c>
      <c r="O2733" s="1" t="e">
        <v>#N/A</v>
      </c>
      <c r="P2733" s="1" t="e">
        <v>#N/A</v>
      </c>
      <c r="Q2733" s="1" t="e">
        <v>#N/A</v>
      </c>
      <c r="R2733" s="1">
        <f t="shared" si="804"/>
        <v>10</v>
      </c>
      <c r="S2733" s="1" t="str">
        <f t="shared" si="805"/>
        <v>&gt;7</v>
      </c>
      <c r="T2733" s="1" t="s">
        <v>20112</v>
      </c>
      <c r="U2733" s="1" t="s">
        <v>252</v>
      </c>
      <c r="V2733" s="1" t="s">
        <v>7217</v>
      </c>
      <c r="W2733" s="1"/>
    </row>
    <row r="2734" spans="1:23" x14ac:dyDescent="0.2">
      <c r="A2734" s="89" t="s">
        <v>7218</v>
      </c>
      <c r="B2734" s="1" t="e">
        <v>#N/A</v>
      </c>
      <c r="C2734" s="1" t="e">
        <v>#N/A</v>
      </c>
      <c r="D2734" s="1" t="s">
        <v>7219</v>
      </c>
      <c r="E2734" s="1" t="s">
        <v>7220</v>
      </c>
      <c r="F2734" s="1" t="e">
        <v>#N/A</v>
      </c>
      <c r="G2734" s="1" t="e">
        <v>#N/A</v>
      </c>
      <c r="H2734" t="e">
        <v>#N/A</v>
      </c>
      <c r="I2734" s="1" t="e">
        <v>#N/A</v>
      </c>
      <c r="J2734" s="1" t="e">
        <v>#N/A</v>
      </c>
      <c r="K2734" s="1" t="e">
        <v>#N/A</v>
      </c>
      <c r="L2734" s="1" t="e">
        <v>#N/A</v>
      </c>
      <c r="M2734" s="1" t="e">
        <v>#N/A</v>
      </c>
      <c r="N2734" s="1" t="e">
        <v>#N/A</v>
      </c>
      <c r="O2734" s="1" t="e">
        <v>#N/A</v>
      </c>
      <c r="P2734" s="1" t="e">
        <v>#N/A</v>
      </c>
      <c r="Q2734" s="1" t="e">
        <v>#N/A</v>
      </c>
      <c r="R2734" s="1">
        <f t="shared" si="804"/>
        <v>3</v>
      </c>
      <c r="S2734" s="1" t="str">
        <f t="shared" si="805"/>
        <v>&lt;4</v>
      </c>
      <c r="T2734" s="1" t="s">
        <v>20113</v>
      </c>
      <c r="U2734" s="1" t="s">
        <v>7</v>
      </c>
      <c r="V2734" s="1" t="s">
        <v>2024</v>
      </c>
      <c r="W2734" s="1"/>
    </row>
    <row r="2735" spans="1:23" x14ac:dyDescent="0.2">
      <c r="A2735" s="88" t="s">
        <v>17888</v>
      </c>
      <c r="B2735" s="1" t="e">
        <v>#N/A</v>
      </c>
      <c r="C2735" s="1" t="e">
        <v>#N/A</v>
      </c>
      <c r="D2735" s="1" t="s">
        <v>7221</v>
      </c>
      <c r="E2735" s="1" t="s">
        <v>7222</v>
      </c>
      <c r="F2735" s="1" t="s">
        <v>18502</v>
      </c>
      <c r="G2735" s="1" t="s">
        <v>8959</v>
      </c>
      <c r="H2735" t="s">
        <v>8959</v>
      </c>
      <c r="I2735" s="1" t="s">
        <v>8948</v>
      </c>
      <c r="J2735" s="1" t="s">
        <v>8998</v>
      </c>
      <c r="K2735" s="1" t="s">
        <v>21346</v>
      </c>
      <c r="L2735" s="1" t="s">
        <v>8973</v>
      </c>
      <c r="M2735" s="1">
        <v>25600</v>
      </c>
      <c r="N2735" s="1" t="s">
        <v>8953</v>
      </c>
      <c r="O2735" s="1" t="s">
        <v>8954</v>
      </c>
      <c r="P2735" s="1" t="e">
        <v>#N/A</v>
      </c>
      <c r="Q2735" s="1" t="e">
        <v>#N/A</v>
      </c>
      <c r="R2735" s="1">
        <f t="shared" si="804"/>
        <v>6</v>
      </c>
      <c r="S2735" s="1" t="str">
        <f t="shared" si="805"/>
        <v>4-7</v>
      </c>
      <c r="T2735" s="1" t="s">
        <v>20114</v>
      </c>
      <c r="U2735" s="1" t="s">
        <v>17</v>
      </c>
      <c r="V2735" s="1" t="s">
        <v>61</v>
      </c>
      <c r="W2735" s="1"/>
    </row>
    <row r="2736" spans="1:23" x14ac:dyDescent="0.2">
      <c r="A2736" s="88" t="s">
        <v>17889</v>
      </c>
      <c r="B2736" s="1" t="e">
        <v>#N/A</v>
      </c>
      <c r="C2736" s="1" t="s">
        <v>11597</v>
      </c>
      <c r="D2736" s="1" t="s">
        <v>7223</v>
      </c>
      <c r="E2736" s="1" t="s">
        <v>7224</v>
      </c>
      <c r="F2736" s="1" t="s">
        <v>9010</v>
      </c>
      <c r="G2736" s="1" t="s">
        <v>9060</v>
      </c>
      <c r="H2736" t="s">
        <v>9183</v>
      </c>
      <c r="I2736" s="1" t="s">
        <v>9092</v>
      </c>
      <c r="J2736" s="1" t="s">
        <v>9155</v>
      </c>
      <c r="K2736" s="1" t="s">
        <v>9036</v>
      </c>
      <c r="L2736" s="1" t="s">
        <v>9133</v>
      </c>
      <c r="M2736" s="1">
        <v>19</v>
      </c>
      <c r="N2736" s="1" t="s">
        <v>9059</v>
      </c>
      <c r="O2736" s="1" t="s">
        <v>8954</v>
      </c>
      <c r="P2736" s="1" t="s">
        <v>8955</v>
      </c>
      <c r="Q2736" s="1" t="s">
        <v>8956</v>
      </c>
      <c r="R2736" s="1" t="s">
        <v>9060</v>
      </c>
      <c r="S2736" s="1" t="s">
        <v>8975</v>
      </c>
      <c r="T2736" s="1" t="s">
        <v>7225</v>
      </c>
      <c r="U2736" s="1" t="s">
        <v>17</v>
      </c>
      <c r="V2736" s="1" t="s">
        <v>733</v>
      </c>
      <c r="W2736" s="1"/>
    </row>
    <row r="2737" spans="1:23" x14ac:dyDescent="0.2">
      <c r="A2737" s="88" t="s">
        <v>17890</v>
      </c>
      <c r="B2737" s="1" t="e">
        <v>#N/A</v>
      </c>
      <c r="C2737" s="1" t="e">
        <v>#N/A</v>
      </c>
      <c r="D2737" s="1" t="s">
        <v>7226</v>
      </c>
      <c r="E2737" s="1" t="s">
        <v>7227</v>
      </c>
      <c r="F2737" s="1" t="s">
        <v>9650</v>
      </c>
      <c r="G2737" s="1" t="s">
        <v>9060</v>
      </c>
      <c r="H2737" t="s">
        <v>8959</v>
      </c>
      <c r="I2737" s="1" t="s">
        <v>9075</v>
      </c>
      <c r="J2737" s="1" t="s">
        <v>9155</v>
      </c>
      <c r="K2737" s="1" t="s">
        <v>21038</v>
      </c>
      <c r="L2737" s="1" t="s">
        <v>8973</v>
      </c>
      <c r="M2737" s="1">
        <v>21</v>
      </c>
      <c r="N2737" s="1" t="s">
        <v>9059</v>
      </c>
      <c r="O2737" s="1" t="s">
        <v>8989</v>
      </c>
      <c r="P2737" s="1" t="e">
        <v>#N/A</v>
      </c>
      <c r="Q2737" s="1" t="e">
        <v>#N/A</v>
      </c>
      <c r="R2737" s="1">
        <f>1+LEN(T2737)-LEN(SUBSTITUTE(T2737,",",))</f>
        <v>9</v>
      </c>
      <c r="S2737" s="1" t="str">
        <f>IF(R2737&gt;4,IF(R2737&lt;8,"4-7",IF(R2737&gt;7,"&gt;7")),"&lt;4")</f>
        <v>&gt;7</v>
      </c>
      <c r="T2737" s="1" t="s">
        <v>20115</v>
      </c>
      <c r="U2737" s="1" t="s">
        <v>17</v>
      </c>
      <c r="V2737" s="1" t="s">
        <v>184</v>
      </c>
      <c r="W2737" s="1"/>
    </row>
    <row r="2738" spans="1:23" x14ac:dyDescent="0.2">
      <c r="A2738" s="88" t="s">
        <v>17891</v>
      </c>
      <c r="B2738" s="1" t="e">
        <v>#N/A</v>
      </c>
      <c r="C2738" s="1" t="s">
        <v>12478</v>
      </c>
      <c r="D2738" s="1" t="s">
        <v>7228</v>
      </c>
      <c r="E2738" s="1" t="s">
        <v>7229</v>
      </c>
      <c r="F2738" s="1" t="s">
        <v>10873</v>
      </c>
      <c r="G2738" s="1" t="s">
        <v>8974</v>
      </c>
      <c r="H2738" t="s">
        <v>9009</v>
      </c>
      <c r="I2738" s="1" t="s">
        <v>9154</v>
      </c>
      <c r="J2738" s="1" t="s">
        <v>8998</v>
      </c>
      <c r="K2738" s="1" t="s">
        <v>9036</v>
      </c>
      <c r="L2738" s="1" t="s">
        <v>8987</v>
      </c>
      <c r="M2738" s="1">
        <v>802</v>
      </c>
      <c r="N2738" s="1" t="s">
        <v>8953</v>
      </c>
      <c r="O2738" s="1" t="s">
        <v>8954</v>
      </c>
      <c r="P2738" s="1" t="s">
        <v>8955</v>
      </c>
      <c r="Q2738" s="1" t="s">
        <v>8956</v>
      </c>
      <c r="R2738" s="1" t="s">
        <v>8974</v>
      </c>
      <c r="S2738" s="1" t="s">
        <v>8975</v>
      </c>
      <c r="T2738" s="1" t="s">
        <v>7230</v>
      </c>
      <c r="U2738" s="1" t="s">
        <v>11</v>
      </c>
      <c r="V2738" s="1" t="s">
        <v>64</v>
      </c>
      <c r="W2738" s="1"/>
    </row>
    <row r="2739" spans="1:23" x14ac:dyDescent="0.2">
      <c r="A2739" s="88" t="s">
        <v>17892</v>
      </c>
      <c r="B2739" s="1" t="e">
        <v>#N/A</v>
      </c>
      <c r="C2739" s="1" t="e">
        <v>#N/A</v>
      </c>
      <c r="D2739" s="1" t="s">
        <v>7231</v>
      </c>
      <c r="E2739" s="1" t="s">
        <v>7232</v>
      </c>
      <c r="F2739" s="1" t="s">
        <v>11671</v>
      </c>
      <c r="G2739" s="1" t="s">
        <v>9060</v>
      </c>
      <c r="H2739" t="s">
        <v>9061</v>
      </c>
      <c r="I2739" s="1" t="s">
        <v>9035</v>
      </c>
      <c r="J2739" s="1" t="s">
        <v>9155</v>
      </c>
      <c r="K2739" s="1" t="s">
        <v>10492</v>
      </c>
      <c r="L2739" s="1" t="s">
        <v>8973</v>
      </c>
      <c r="M2739" s="1">
        <v>349</v>
      </c>
      <c r="N2739" s="1" t="s">
        <v>8953</v>
      </c>
      <c r="O2739" s="1" t="s">
        <v>8989</v>
      </c>
      <c r="P2739" s="1" t="e">
        <v>#N/A</v>
      </c>
      <c r="Q2739" s="1" t="e">
        <v>#N/A</v>
      </c>
      <c r="R2739" s="1">
        <f t="shared" ref="R2739:R2743" si="806">1+LEN(T2739)-LEN(SUBSTITUTE(T2739,",",))</f>
        <v>7</v>
      </c>
      <c r="S2739" s="1" t="str">
        <f t="shared" ref="S2739:S2743" si="807">IF(R2739&gt;4,IF(R2739&lt;8,"4-7",IF(R2739&gt;7,"&gt;7")),"&lt;4")</f>
        <v>4-7</v>
      </c>
      <c r="T2739" s="1" t="s">
        <v>20695</v>
      </c>
      <c r="U2739" s="1" t="s">
        <v>7</v>
      </c>
      <c r="V2739" s="1" t="s">
        <v>7233</v>
      </c>
      <c r="W2739" s="1"/>
    </row>
    <row r="2740" spans="1:23" x14ac:dyDescent="0.2">
      <c r="A2740" s="88" t="s">
        <v>17893</v>
      </c>
      <c r="B2740" s="1" t="e">
        <v>#N/A</v>
      </c>
      <c r="C2740" s="1" t="e">
        <v>#N/A</v>
      </c>
      <c r="D2740" s="1" t="s">
        <v>7234</v>
      </c>
      <c r="E2740" s="1" t="s">
        <v>7235</v>
      </c>
      <c r="F2740" s="1" t="s">
        <v>9176</v>
      </c>
      <c r="G2740" s="1" t="s">
        <v>8974</v>
      </c>
      <c r="H2740" t="s">
        <v>8959</v>
      </c>
      <c r="I2740" s="1" t="s">
        <v>9075</v>
      </c>
      <c r="J2740" s="1" t="s">
        <v>8971</v>
      </c>
      <c r="K2740" s="1" t="s">
        <v>21039</v>
      </c>
      <c r="L2740" s="1" t="s">
        <v>8951</v>
      </c>
      <c r="M2740" s="1">
        <v>1648</v>
      </c>
      <c r="N2740" s="1" t="s">
        <v>9059</v>
      </c>
      <c r="O2740" s="1" t="s">
        <v>8954</v>
      </c>
      <c r="P2740" s="1" t="e">
        <v>#N/A</v>
      </c>
      <c r="Q2740" s="1" t="e">
        <v>#N/A</v>
      </c>
      <c r="R2740" s="1">
        <f t="shared" si="806"/>
        <v>4</v>
      </c>
      <c r="S2740" s="1" t="str">
        <f t="shared" si="807"/>
        <v>&lt;4</v>
      </c>
      <c r="T2740" s="1" t="s">
        <v>20116</v>
      </c>
      <c r="U2740" s="1" t="s">
        <v>17</v>
      </c>
      <c r="V2740" s="1" t="s">
        <v>7236</v>
      </c>
      <c r="W2740" s="1"/>
    </row>
    <row r="2741" spans="1:23" x14ac:dyDescent="0.2">
      <c r="A2741" s="88" t="s">
        <v>17894</v>
      </c>
      <c r="B2741" s="1" t="e">
        <v>#N/A</v>
      </c>
      <c r="C2741" s="1" t="e">
        <v>#N/A</v>
      </c>
      <c r="D2741" s="1" t="s">
        <v>7237</v>
      </c>
      <c r="E2741" s="1" t="s">
        <v>7238</v>
      </c>
      <c r="F2741" s="1" t="s">
        <v>9380</v>
      </c>
      <c r="G2741" s="1" t="s">
        <v>8959</v>
      </c>
      <c r="H2741" t="s">
        <v>8959</v>
      </c>
      <c r="I2741" s="1" t="s">
        <v>9605</v>
      </c>
      <c r="J2741" s="1" t="s">
        <v>9101</v>
      </c>
      <c r="K2741" s="1" t="s">
        <v>21040</v>
      </c>
      <c r="L2741" s="1" t="s">
        <v>8987</v>
      </c>
      <c r="M2741" s="1">
        <v>862</v>
      </c>
      <c r="N2741" s="1" t="s">
        <v>8953</v>
      </c>
      <c r="O2741" s="1" t="s">
        <v>8989</v>
      </c>
      <c r="P2741" s="1" t="e">
        <v>#N/A</v>
      </c>
      <c r="Q2741" s="1" t="e">
        <v>#N/A</v>
      </c>
      <c r="R2741" s="1">
        <f t="shared" si="806"/>
        <v>3</v>
      </c>
      <c r="S2741" s="1" t="str">
        <f t="shared" si="807"/>
        <v>&lt;4</v>
      </c>
      <c r="T2741" s="1" t="s">
        <v>20117</v>
      </c>
      <c r="U2741" s="1" t="s">
        <v>7</v>
      </c>
      <c r="V2741" s="1" t="s">
        <v>46</v>
      </c>
      <c r="W2741" s="1"/>
    </row>
    <row r="2742" spans="1:23" x14ac:dyDescent="0.2">
      <c r="A2742" s="88" t="s">
        <v>17895</v>
      </c>
      <c r="B2742" s="1" t="e">
        <v>#N/A</v>
      </c>
      <c r="C2742" s="1" t="e">
        <v>#N/A</v>
      </c>
      <c r="D2742" s="1" t="s">
        <v>7239</v>
      </c>
      <c r="E2742" s="1" t="s">
        <v>7240</v>
      </c>
      <c r="F2742" s="1" t="s">
        <v>21041</v>
      </c>
      <c r="G2742" s="1" t="s">
        <v>8957</v>
      </c>
      <c r="H2742" t="s">
        <v>8959</v>
      </c>
      <c r="I2742" s="1" t="s">
        <v>9035</v>
      </c>
      <c r="J2742" s="1" t="s">
        <v>8998</v>
      </c>
      <c r="K2742" s="1" t="s">
        <v>21042</v>
      </c>
      <c r="L2742" s="1" t="s">
        <v>8987</v>
      </c>
      <c r="M2742" s="1">
        <v>1018</v>
      </c>
      <c r="N2742" s="1" t="s">
        <v>9059</v>
      </c>
      <c r="O2742" s="1" t="s">
        <v>8954</v>
      </c>
      <c r="P2742" s="1" t="e">
        <v>#N/A</v>
      </c>
      <c r="Q2742" s="1" t="e">
        <v>#N/A</v>
      </c>
      <c r="R2742" s="1">
        <f t="shared" si="806"/>
        <v>5</v>
      </c>
      <c r="S2742" s="1" t="str">
        <f t="shared" si="807"/>
        <v>4-7</v>
      </c>
      <c r="T2742" s="1" t="s">
        <v>20118</v>
      </c>
      <c r="U2742" s="1" t="s">
        <v>17</v>
      </c>
      <c r="V2742" s="1" t="s">
        <v>35</v>
      </c>
      <c r="W2742" s="1"/>
    </row>
    <row r="2743" spans="1:23" x14ac:dyDescent="0.2">
      <c r="A2743" s="88" t="s">
        <v>17896</v>
      </c>
      <c r="B2743" s="1" t="e">
        <v>#N/A</v>
      </c>
      <c r="C2743" s="1" t="e">
        <v>#N/A</v>
      </c>
      <c r="D2743" s="1" t="s">
        <v>7241</v>
      </c>
      <c r="E2743" s="1" t="s">
        <v>7242</v>
      </c>
      <c r="F2743" s="1" t="s">
        <v>9380</v>
      </c>
      <c r="G2743" s="1" t="s">
        <v>8957</v>
      </c>
      <c r="H2743" t="s">
        <v>8959</v>
      </c>
      <c r="I2743" s="1" t="s">
        <v>9035</v>
      </c>
      <c r="J2743" s="1" t="s">
        <v>8998</v>
      </c>
      <c r="K2743" s="1" t="s">
        <v>21044</v>
      </c>
      <c r="L2743" s="1" t="s">
        <v>21043</v>
      </c>
      <c r="M2743" s="1">
        <f>711+237+238</f>
        <v>1186</v>
      </c>
      <c r="N2743" s="1" t="s">
        <v>8953</v>
      </c>
      <c r="O2743" s="1" t="s">
        <v>8954</v>
      </c>
      <c r="P2743" s="1" t="e">
        <v>#N/A</v>
      </c>
      <c r="Q2743" s="1" t="e">
        <v>#N/A</v>
      </c>
      <c r="R2743" s="1">
        <f t="shared" si="806"/>
        <v>3</v>
      </c>
      <c r="S2743" s="1" t="str">
        <f t="shared" si="807"/>
        <v>&lt;4</v>
      </c>
      <c r="T2743" s="1" t="s">
        <v>20119</v>
      </c>
      <c r="U2743" s="1" t="s">
        <v>7</v>
      </c>
      <c r="V2743" s="1" t="s">
        <v>46</v>
      </c>
      <c r="W2743" s="1"/>
    </row>
    <row r="2744" spans="1:23" x14ac:dyDescent="0.2">
      <c r="A2744" s="88" t="s">
        <v>17897</v>
      </c>
      <c r="B2744" s="1" t="e">
        <v>#N/A</v>
      </c>
      <c r="C2744" s="1" t="s">
        <v>13743</v>
      </c>
      <c r="D2744" s="1" t="s">
        <v>7243</v>
      </c>
      <c r="E2744" s="1" t="s">
        <v>7244</v>
      </c>
      <c r="F2744" s="1" t="s">
        <v>9246</v>
      </c>
      <c r="G2744" s="1" t="s">
        <v>9060</v>
      </c>
      <c r="H2744" t="s">
        <v>9061</v>
      </c>
      <c r="I2744" s="1" t="s">
        <v>8984</v>
      </c>
      <c r="J2744" s="1" t="s">
        <v>8949</v>
      </c>
      <c r="K2744" s="1" t="s">
        <v>9036</v>
      </c>
      <c r="L2744" s="1" t="s">
        <v>8973</v>
      </c>
      <c r="M2744" s="1">
        <v>140</v>
      </c>
      <c r="N2744" s="1" t="s">
        <v>9059</v>
      </c>
      <c r="O2744" s="1" t="s">
        <v>8989</v>
      </c>
      <c r="P2744" s="1" t="s">
        <v>8955</v>
      </c>
      <c r="Q2744" s="1" t="s">
        <v>8956</v>
      </c>
      <c r="R2744" s="1" t="s">
        <v>9060</v>
      </c>
      <c r="S2744" s="1" t="s">
        <v>8975</v>
      </c>
      <c r="T2744" s="1" t="s">
        <v>7245</v>
      </c>
      <c r="U2744" s="1" t="s">
        <v>4</v>
      </c>
      <c r="V2744" s="1" t="s">
        <v>24</v>
      </c>
      <c r="W2744" s="1"/>
    </row>
    <row r="2745" spans="1:23" x14ac:dyDescent="0.2">
      <c r="A2745" s="89" t="s">
        <v>7246</v>
      </c>
      <c r="B2745" s="1" t="e">
        <v>#N/A</v>
      </c>
      <c r="C2745" s="1" t="e">
        <v>#N/A</v>
      </c>
      <c r="D2745" s="1" t="s">
        <v>7247</v>
      </c>
      <c r="E2745" s="1" t="s">
        <v>7248</v>
      </c>
      <c r="F2745" s="1" t="e">
        <v>#N/A</v>
      </c>
      <c r="G2745" s="1" t="e">
        <v>#N/A</v>
      </c>
      <c r="H2745" t="e">
        <v>#N/A</v>
      </c>
      <c r="I2745" s="1" t="e">
        <v>#N/A</v>
      </c>
      <c r="J2745" s="1" t="e">
        <v>#N/A</v>
      </c>
      <c r="K2745" s="1" t="e">
        <v>#N/A</v>
      </c>
      <c r="L2745" s="1" t="e">
        <v>#N/A</v>
      </c>
      <c r="M2745" s="1" t="e">
        <v>#N/A</v>
      </c>
      <c r="N2745" s="1" t="e">
        <v>#N/A</v>
      </c>
      <c r="O2745" s="1" t="e">
        <v>#N/A</v>
      </c>
      <c r="P2745" s="1" t="e">
        <v>#N/A</v>
      </c>
      <c r="Q2745" s="1" t="e">
        <v>#N/A</v>
      </c>
      <c r="R2745" s="1">
        <f>1+LEN(T2745)-LEN(SUBSTITUTE(T2745,",",))</f>
        <v>2</v>
      </c>
      <c r="S2745" s="1" t="str">
        <f>IF(R2745&gt;4,IF(R2745&lt;8,"4-7",IF(R2745&gt;7,"&gt;7")),"&lt;4")</f>
        <v>&lt;4</v>
      </c>
      <c r="T2745" s="1" t="s">
        <v>20120</v>
      </c>
      <c r="U2745" s="1" t="s">
        <v>11</v>
      </c>
      <c r="V2745" s="1" t="s">
        <v>5268</v>
      </c>
      <c r="W2745" s="1"/>
    </row>
    <row r="2746" spans="1:23" x14ac:dyDescent="0.2">
      <c r="A2746" s="88" t="s">
        <v>17898</v>
      </c>
      <c r="B2746" s="1" t="e">
        <v>#N/A</v>
      </c>
      <c r="C2746" s="1" t="s">
        <v>11298</v>
      </c>
      <c r="D2746" s="1" t="s">
        <v>7249</v>
      </c>
      <c r="E2746" s="1" t="s">
        <v>7250</v>
      </c>
      <c r="F2746" s="1" t="s">
        <v>9317</v>
      </c>
      <c r="G2746" s="1" t="s">
        <v>8957</v>
      </c>
      <c r="H2746" t="s">
        <v>8959</v>
      </c>
      <c r="I2746" s="1" t="s">
        <v>9154</v>
      </c>
      <c r="J2746" s="1" t="s">
        <v>9325</v>
      </c>
      <c r="K2746" s="1" t="s">
        <v>9036</v>
      </c>
      <c r="L2746" s="1" t="s">
        <v>8951</v>
      </c>
      <c r="M2746" s="1">
        <v>200000</v>
      </c>
      <c r="N2746" s="1" t="s">
        <v>8953</v>
      </c>
      <c r="O2746" s="1" t="s">
        <v>8989</v>
      </c>
      <c r="P2746" s="1" t="s">
        <v>8955</v>
      </c>
      <c r="Q2746" s="1" t="s">
        <v>8956</v>
      </c>
      <c r="R2746" s="1" t="s">
        <v>8957</v>
      </c>
      <c r="S2746" s="1" t="s">
        <v>8958</v>
      </c>
      <c r="T2746" s="1" t="s">
        <v>7251</v>
      </c>
      <c r="U2746" s="1" t="s">
        <v>17</v>
      </c>
      <c r="V2746" s="1" t="s">
        <v>6442</v>
      </c>
      <c r="W2746" s="1"/>
    </row>
    <row r="2747" spans="1:23" x14ac:dyDescent="0.2">
      <c r="A2747" s="88" t="s">
        <v>17899</v>
      </c>
      <c r="B2747" s="1" t="e">
        <v>#N/A</v>
      </c>
      <c r="C2747" s="1" t="s">
        <v>13298</v>
      </c>
      <c r="D2747" s="1" t="s">
        <v>7252</v>
      </c>
      <c r="E2747" s="1" t="s">
        <v>7253</v>
      </c>
      <c r="F2747" s="1" t="s">
        <v>9317</v>
      </c>
      <c r="G2747" s="1" t="s">
        <v>8959</v>
      </c>
      <c r="H2747" t="s">
        <v>9009</v>
      </c>
      <c r="I2747" s="1" t="s">
        <v>9049</v>
      </c>
      <c r="J2747" s="1" t="s">
        <v>9325</v>
      </c>
      <c r="K2747" s="1" t="s">
        <v>9036</v>
      </c>
      <c r="L2747" s="1" t="s">
        <v>8951</v>
      </c>
      <c r="M2747" s="1" t="s">
        <v>13301</v>
      </c>
      <c r="N2747" s="1" t="s">
        <v>8953</v>
      </c>
      <c r="O2747" s="1" t="s">
        <v>8989</v>
      </c>
      <c r="P2747" s="1" t="s">
        <v>8955</v>
      </c>
      <c r="Q2747" s="1" t="s">
        <v>8956</v>
      </c>
      <c r="R2747" s="1" t="s">
        <v>8959</v>
      </c>
      <c r="S2747" s="1" t="s">
        <v>9103</v>
      </c>
      <c r="T2747" s="1" t="s">
        <v>7254</v>
      </c>
      <c r="U2747" s="1" t="s">
        <v>11</v>
      </c>
      <c r="V2747" s="1" t="s">
        <v>4060</v>
      </c>
      <c r="W2747" s="1"/>
    </row>
    <row r="2748" spans="1:23" x14ac:dyDescent="0.2">
      <c r="A2748" s="88" t="s">
        <v>17900</v>
      </c>
      <c r="B2748" s="1" t="e">
        <v>#N/A</v>
      </c>
      <c r="C2748" s="1" t="s">
        <v>11744</v>
      </c>
      <c r="D2748" s="1" t="s">
        <v>7255</v>
      </c>
      <c r="E2748" s="1" t="s">
        <v>7256</v>
      </c>
      <c r="F2748" s="1" t="s">
        <v>9317</v>
      </c>
      <c r="G2748" s="1" t="s">
        <v>8959</v>
      </c>
      <c r="H2748" t="s">
        <v>9183</v>
      </c>
      <c r="I2748" s="1" t="s">
        <v>9049</v>
      </c>
      <c r="J2748" s="1" t="s">
        <v>9121</v>
      </c>
      <c r="K2748" s="1" t="s">
        <v>9036</v>
      </c>
      <c r="L2748" s="1" t="s">
        <v>11747</v>
      </c>
      <c r="M2748" s="1">
        <v>400</v>
      </c>
      <c r="N2748" s="1" t="s">
        <v>8953</v>
      </c>
      <c r="O2748" s="1" t="s">
        <v>8989</v>
      </c>
      <c r="P2748" s="1" t="s">
        <v>8955</v>
      </c>
      <c r="Q2748" s="1" t="s">
        <v>8956</v>
      </c>
      <c r="R2748" s="1" t="s">
        <v>8959</v>
      </c>
      <c r="S2748" s="1" t="s">
        <v>9103</v>
      </c>
      <c r="T2748" s="1" t="s">
        <v>7254</v>
      </c>
      <c r="U2748" s="1" t="s">
        <v>11</v>
      </c>
      <c r="V2748" s="1" t="s">
        <v>4060</v>
      </c>
      <c r="W2748" s="1"/>
    </row>
    <row r="2749" spans="1:23" x14ac:dyDescent="0.2">
      <c r="A2749" s="88" t="s">
        <v>17901</v>
      </c>
      <c r="B2749" s="1" t="e">
        <v>#N/A</v>
      </c>
      <c r="C2749" s="1" t="s">
        <v>14851</v>
      </c>
      <c r="D2749" s="1" t="s">
        <v>7257</v>
      </c>
      <c r="E2749" s="1" t="s">
        <v>7258</v>
      </c>
      <c r="F2749" s="1" t="s">
        <v>9010</v>
      </c>
      <c r="G2749" s="1" t="s">
        <v>8957</v>
      </c>
      <c r="H2749" t="s">
        <v>8959</v>
      </c>
      <c r="I2749" s="1" t="s">
        <v>14854</v>
      </c>
      <c r="J2749" s="1" t="s">
        <v>9155</v>
      </c>
      <c r="K2749" s="1" t="s">
        <v>9036</v>
      </c>
      <c r="L2749" s="1" t="s">
        <v>9292</v>
      </c>
      <c r="M2749" s="1">
        <v>170052</v>
      </c>
      <c r="N2749" s="1" t="s">
        <v>8953</v>
      </c>
      <c r="O2749" s="1" t="s">
        <v>8989</v>
      </c>
      <c r="P2749" s="1" t="s">
        <v>8955</v>
      </c>
      <c r="Q2749" s="1" t="s">
        <v>8956</v>
      </c>
      <c r="R2749" s="1" t="s">
        <v>8957</v>
      </c>
      <c r="S2749" s="1" t="s">
        <v>8958</v>
      </c>
      <c r="T2749" s="1" t="s">
        <v>7259</v>
      </c>
      <c r="U2749" s="1" t="s">
        <v>17</v>
      </c>
      <c r="V2749" s="1" t="s">
        <v>200</v>
      </c>
      <c r="W2749" s="1"/>
    </row>
    <row r="2750" spans="1:23" x14ac:dyDescent="0.2">
      <c r="A2750" s="88" t="s">
        <v>17902</v>
      </c>
      <c r="B2750" s="1" t="e">
        <v>#N/A</v>
      </c>
      <c r="C2750" s="1" t="s">
        <v>13567</v>
      </c>
      <c r="D2750" s="1" t="s">
        <v>7260</v>
      </c>
      <c r="E2750" s="1" t="s">
        <v>7261</v>
      </c>
      <c r="F2750" s="1" t="s">
        <v>9010</v>
      </c>
      <c r="G2750" s="1" t="s">
        <v>8957</v>
      </c>
      <c r="H2750" t="s">
        <v>9061</v>
      </c>
      <c r="I2750" s="1" t="s">
        <v>9092</v>
      </c>
      <c r="J2750" s="1" t="s">
        <v>8949</v>
      </c>
      <c r="K2750" s="1" t="s">
        <v>13570</v>
      </c>
      <c r="L2750" s="1" t="s">
        <v>8987</v>
      </c>
      <c r="M2750" s="1">
        <v>1240</v>
      </c>
      <c r="N2750" s="1" t="s">
        <v>8953</v>
      </c>
      <c r="O2750" s="1" t="s">
        <v>8989</v>
      </c>
      <c r="P2750" s="1" t="s">
        <v>8955</v>
      </c>
      <c r="Q2750" s="1" t="s">
        <v>8990</v>
      </c>
      <c r="R2750" s="1" t="s">
        <v>8957</v>
      </c>
      <c r="S2750" s="1" t="s">
        <v>8958</v>
      </c>
      <c r="T2750" s="1" t="s">
        <v>7262</v>
      </c>
      <c r="U2750" s="1" t="s">
        <v>11</v>
      </c>
      <c r="V2750" s="1" t="s">
        <v>87</v>
      </c>
      <c r="W2750" s="1"/>
    </row>
    <row r="2751" spans="1:23" x14ac:dyDescent="0.2">
      <c r="A2751" s="94" t="s">
        <v>17903</v>
      </c>
      <c r="B2751" s="1" t="e">
        <v>#N/A</v>
      </c>
      <c r="C2751" s="1" t="e">
        <v>#N/A</v>
      </c>
      <c r="D2751" s="1" t="s">
        <v>7263</v>
      </c>
      <c r="E2751" s="1" t="s">
        <v>7264</v>
      </c>
      <c r="F2751" s="1" t="e">
        <v>#N/A</v>
      </c>
      <c r="G2751" s="1" t="e">
        <v>#N/A</v>
      </c>
      <c r="H2751" t="e">
        <v>#N/A</v>
      </c>
      <c r="I2751" s="1" t="e">
        <v>#N/A</v>
      </c>
      <c r="J2751" s="1" t="e">
        <v>#N/A</v>
      </c>
      <c r="K2751" s="1" t="e">
        <v>#N/A</v>
      </c>
      <c r="L2751" s="1" t="e">
        <v>#N/A</v>
      </c>
      <c r="M2751" s="1" t="e">
        <v>#N/A</v>
      </c>
      <c r="N2751" s="1" t="e">
        <v>#N/A</v>
      </c>
      <c r="O2751" s="1" t="e">
        <v>#N/A</v>
      </c>
      <c r="P2751" s="1" t="e">
        <v>#N/A</v>
      </c>
      <c r="Q2751" s="1" t="e">
        <v>#N/A</v>
      </c>
      <c r="R2751" s="1">
        <f t="shared" ref="R2751:R2752" si="808">1+LEN(T2751)-LEN(SUBSTITUTE(T2751,",",))</f>
        <v>10</v>
      </c>
      <c r="S2751" s="1" t="str">
        <f t="shared" ref="S2751:S2752" si="809">IF(R2751&gt;4,IF(R2751&lt;8,"4-7",IF(R2751&gt;7,"&gt;7")),"&lt;4")</f>
        <v>&gt;7</v>
      </c>
      <c r="T2751" s="1" t="s">
        <v>20121</v>
      </c>
      <c r="U2751" s="1" t="s">
        <v>17</v>
      </c>
      <c r="V2751" s="1" t="s">
        <v>87</v>
      </c>
      <c r="W2751" s="1"/>
    </row>
    <row r="2752" spans="1:23" x14ac:dyDescent="0.2">
      <c r="A2752" s="88" t="s">
        <v>17904</v>
      </c>
      <c r="B2752" s="1" t="e">
        <v>#N/A</v>
      </c>
      <c r="C2752" s="1" t="e">
        <v>#N/A</v>
      </c>
      <c r="D2752" s="1" t="s">
        <v>7265</v>
      </c>
      <c r="E2752" s="1" t="s">
        <v>7266</v>
      </c>
      <c r="F2752" s="1" t="s">
        <v>10008</v>
      </c>
      <c r="G2752" s="1" t="s">
        <v>9060</v>
      </c>
      <c r="H2752" t="s">
        <v>8959</v>
      </c>
      <c r="I2752" s="1" t="s">
        <v>9252</v>
      </c>
      <c r="J2752" s="1" t="s">
        <v>18504</v>
      </c>
      <c r="K2752" s="1" t="s">
        <v>21347</v>
      </c>
      <c r="L2752" s="1" t="s">
        <v>8987</v>
      </c>
      <c r="M2752" s="1">
        <f>322+10239</f>
        <v>10561</v>
      </c>
      <c r="N2752" s="1" t="s">
        <v>8953</v>
      </c>
      <c r="O2752" s="1" t="s">
        <v>8954</v>
      </c>
      <c r="P2752" s="1" t="e">
        <v>#N/A</v>
      </c>
      <c r="Q2752" s="1" t="e">
        <v>#N/A</v>
      </c>
      <c r="R2752" s="1">
        <f t="shared" si="808"/>
        <v>7</v>
      </c>
      <c r="S2752" s="1" t="str">
        <f t="shared" si="809"/>
        <v>4-7</v>
      </c>
      <c r="T2752" s="1" t="s">
        <v>20696</v>
      </c>
      <c r="U2752" s="1" t="s">
        <v>17</v>
      </c>
      <c r="V2752" s="1" t="s">
        <v>7267</v>
      </c>
      <c r="W2752" s="1"/>
    </row>
    <row r="2753" spans="1:23" x14ac:dyDescent="0.2">
      <c r="A2753" s="88" t="s">
        <v>17905</v>
      </c>
      <c r="B2753" s="1" t="e">
        <v>#N/A</v>
      </c>
      <c r="C2753" s="1" t="s">
        <v>10578</v>
      </c>
      <c r="D2753" s="1" t="s">
        <v>7268</v>
      </c>
      <c r="E2753" s="1" t="s">
        <v>7269</v>
      </c>
      <c r="F2753" s="1" t="s">
        <v>10008</v>
      </c>
      <c r="G2753" s="1" t="s">
        <v>8959</v>
      </c>
      <c r="H2753" t="s">
        <v>8959</v>
      </c>
      <c r="I2753" s="1" t="s">
        <v>8984</v>
      </c>
      <c r="J2753" s="1" t="s">
        <v>8949</v>
      </c>
      <c r="K2753" s="1" t="s">
        <v>9036</v>
      </c>
      <c r="L2753" s="1" t="s">
        <v>8987</v>
      </c>
      <c r="M2753" s="1">
        <v>4020</v>
      </c>
      <c r="N2753" s="1" t="s">
        <v>8953</v>
      </c>
      <c r="O2753" s="1" t="s">
        <v>8989</v>
      </c>
      <c r="P2753" s="1" t="s">
        <v>9182</v>
      </c>
      <c r="Q2753" s="1" t="s">
        <v>8956</v>
      </c>
      <c r="R2753" s="1" t="s">
        <v>8959</v>
      </c>
      <c r="S2753" s="1" t="s">
        <v>8958</v>
      </c>
      <c r="T2753" s="1" t="s">
        <v>7270</v>
      </c>
      <c r="U2753" s="1" t="s">
        <v>17</v>
      </c>
      <c r="V2753" s="1" t="s">
        <v>27</v>
      </c>
      <c r="W2753" s="1"/>
    </row>
    <row r="2754" spans="1:23" x14ac:dyDescent="0.2">
      <c r="A2754" s="89" t="s">
        <v>17906</v>
      </c>
      <c r="B2754" s="1" t="e">
        <v>#N/A</v>
      </c>
      <c r="C2754" s="1" t="e">
        <v>#N/A</v>
      </c>
      <c r="D2754" s="5" t="s">
        <v>7271</v>
      </c>
      <c r="E2754" s="1" t="s">
        <v>7272</v>
      </c>
      <c r="F2754" s="1" t="e">
        <v>#N/A</v>
      </c>
      <c r="G2754" s="1" t="e">
        <v>#N/A</v>
      </c>
      <c r="H2754" t="e">
        <v>#N/A</v>
      </c>
      <c r="I2754" s="1" t="e">
        <v>#N/A</v>
      </c>
      <c r="J2754" s="1" t="e">
        <v>#N/A</v>
      </c>
      <c r="K2754" s="1" t="e">
        <v>#N/A</v>
      </c>
      <c r="L2754" s="1" t="e">
        <v>#N/A</v>
      </c>
      <c r="M2754" s="1" t="e">
        <v>#N/A</v>
      </c>
      <c r="N2754" s="1" t="e">
        <v>#N/A</v>
      </c>
      <c r="O2754" s="1" t="e">
        <v>#N/A</v>
      </c>
      <c r="P2754" s="1" t="e">
        <v>#N/A</v>
      </c>
      <c r="Q2754" s="1" t="e">
        <v>#N/A</v>
      </c>
      <c r="R2754" s="1">
        <f t="shared" ref="R2754:R2755" si="810">1+LEN(T2754)-LEN(SUBSTITUTE(T2754,",",))</f>
        <v>9</v>
      </c>
      <c r="S2754" s="1" t="str">
        <f t="shared" ref="S2754:S2755" si="811">IF(R2754&gt;4,IF(R2754&lt;8,"4-7",IF(R2754&gt;7,"&gt;7")),"&lt;4")</f>
        <v>&gt;7</v>
      </c>
      <c r="T2754" s="1" t="s">
        <v>20697</v>
      </c>
      <c r="U2754" s="1" t="s">
        <v>7</v>
      </c>
      <c r="V2754" s="1" t="s">
        <v>7273</v>
      </c>
      <c r="W2754" s="1"/>
    </row>
    <row r="2755" spans="1:23" x14ac:dyDescent="0.2">
      <c r="A2755" s="88" t="s">
        <v>17907</v>
      </c>
      <c r="B2755" s="1" t="e">
        <v>#N/A</v>
      </c>
      <c r="C2755" s="1" t="e">
        <v>#N/A</v>
      </c>
      <c r="D2755" s="1" t="s">
        <v>7274</v>
      </c>
      <c r="E2755" s="1" t="s">
        <v>7275</v>
      </c>
      <c r="F2755" s="1" t="s">
        <v>10008</v>
      </c>
      <c r="G2755" s="1" t="s">
        <v>9060</v>
      </c>
      <c r="H2755" t="s">
        <v>8959</v>
      </c>
      <c r="I2755" s="1" t="s">
        <v>9035</v>
      </c>
      <c r="J2755" s="1" t="s">
        <v>8998</v>
      </c>
      <c r="K2755" s="97" t="s">
        <v>21517</v>
      </c>
      <c r="L2755" s="1" t="s">
        <v>8973</v>
      </c>
      <c r="M2755" s="1">
        <f>109370+5109</f>
        <v>114479</v>
      </c>
      <c r="N2755" s="1" t="s">
        <v>8953</v>
      </c>
      <c r="O2755" s="1" t="s">
        <v>8954</v>
      </c>
      <c r="P2755" s="1" t="e">
        <v>#N/A</v>
      </c>
      <c r="Q2755" s="1" t="e">
        <v>#N/A</v>
      </c>
      <c r="R2755" s="1">
        <f t="shared" si="810"/>
        <v>10</v>
      </c>
      <c r="S2755" s="1" t="str">
        <f t="shared" si="811"/>
        <v>&gt;7</v>
      </c>
      <c r="T2755" s="1" t="s">
        <v>20698</v>
      </c>
      <c r="U2755" s="1" t="s">
        <v>7</v>
      </c>
      <c r="V2755" s="1" t="s">
        <v>7276</v>
      </c>
      <c r="W2755" s="1"/>
    </row>
    <row r="2756" spans="1:23" x14ac:dyDescent="0.2">
      <c r="A2756" s="88" t="s">
        <v>17908</v>
      </c>
      <c r="B2756" s="1" t="e">
        <v>#N/A</v>
      </c>
      <c r="C2756" s="1" t="s">
        <v>10433</v>
      </c>
      <c r="D2756" s="1" t="s">
        <v>7277</v>
      </c>
      <c r="E2756" s="1" t="s">
        <v>7278</v>
      </c>
      <c r="F2756" s="1" t="s">
        <v>10032</v>
      </c>
      <c r="G2756" s="1" t="s">
        <v>8957</v>
      </c>
      <c r="H2756" t="s">
        <v>8959</v>
      </c>
      <c r="I2756" s="1" t="s">
        <v>10436</v>
      </c>
      <c r="J2756" s="1" t="s">
        <v>8998</v>
      </c>
      <c r="K2756" s="1" t="s">
        <v>10437</v>
      </c>
      <c r="L2756" s="1" t="s">
        <v>8973</v>
      </c>
      <c r="M2756" s="1">
        <v>11084</v>
      </c>
      <c r="N2756" s="1" t="s">
        <v>8953</v>
      </c>
      <c r="O2756" s="1" t="s">
        <v>8954</v>
      </c>
      <c r="P2756" s="1" t="s">
        <v>9182</v>
      </c>
      <c r="Q2756" s="1" t="s">
        <v>8956</v>
      </c>
      <c r="R2756" s="1" t="s">
        <v>8957</v>
      </c>
      <c r="S2756" s="1" t="s">
        <v>8958</v>
      </c>
      <c r="T2756" s="1" t="s">
        <v>7279</v>
      </c>
      <c r="U2756" s="1" t="s">
        <v>17</v>
      </c>
      <c r="V2756" s="1" t="s">
        <v>286</v>
      </c>
      <c r="W2756" s="1"/>
    </row>
    <row r="2757" spans="1:23" x14ac:dyDescent="0.2">
      <c r="A2757" s="88" t="s">
        <v>17909</v>
      </c>
      <c r="B2757" s="1" t="e">
        <v>#N/A</v>
      </c>
      <c r="C2757" s="1" t="e">
        <v>#N/A</v>
      </c>
      <c r="D2757" s="1" t="s">
        <v>7280</v>
      </c>
      <c r="E2757" s="1" t="s">
        <v>7281</v>
      </c>
      <c r="F2757" s="1" t="s">
        <v>10008</v>
      </c>
      <c r="G2757" s="1" t="s">
        <v>8957</v>
      </c>
      <c r="H2757" t="s">
        <v>8959</v>
      </c>
      <c r="I2757" s="1" t="s">
        <v>9154</v>
      </c>
      <c r="J2757" s="1" t="s">
        <v>8949</v>
      </c>
      <c r="K2757" s="1" t="s">
        <v>10492</v>
      </c>
      <c r="L2757" s="1" t="s">
        <v>8973</v>
      </c>
      <c r="M2757" s="1">
        <v>60</v>
      </c>
      <c r="N2757" s="1" t="s">
        <v>9059</v>
      </c>
      <c r="O2757" s="1" t="s">
        <v>8989</v>
      </c>
      <c r="P2757" s="1" t="e">
        <v>#N/A</v>
      </c>
      <c r="Q2757" s="1" t="e">
        <v>#N/A</v>
      </c>
      <c r="R2757" s="1">
        <f t="shared" ref="R2757:R2767" si="812">1+LEN(T2757)-LEN(SUBSTITUTE(T2757,",",))</f>
        <v>12</v>
      </c>
      <c r="S2757" s="1" t="str">
        <f t="shared" ref="S2757:S2767" si="813">IF(R2757&gt;4,IF(R2757&lt;8,"4-7",IF(R2757&gt;7,"&gt;7")),"&lt;4")</f>
        <v>&gt;7</v>
      </c>
      <c r="T2757" s="1" t="s">
        <v>20122</v>
      </c>
      <c r="U2757" s="1" t="s">
        <v>7</v>
      </c>
      <c r="V2757" s="1" t="s">
        <v>46</v>
      </c>
      <c r="W2757" s="1"/>
    </row>
    <row r="2758" spans="1:23" x14ac:dyDescent="0.2">
      <c r="A2758" s="89" t="s">
        <v>7282</v>
      </c>
      <c r="B2758" s="1" t="e">
        <v>#N/A</v>
      </c>
      <c r="C2758" s="1" t="e">
        <v>#N/A</v>
      </c>
      <c r="D2758" s="1" t="s">
        <v>7283</v>
      </c>
      <c r="E2758" s="1" t="s">
        <v>7284</v>
      </c>
      <c r="F2758" s="1" t="e">
        <v>#N/A</v>
      </c>
      <c r="G2758" s="1" t="e">
        <v>#N/A</v>
      </c>
      <c r="H2758" t="e">
        <v>#N/A</v>
      </c>
      <c r="I2758" s="1" t="e">
        <v>#N/A</v>
      </c>
      <c r="J2758" s="1" t="e">
        <v>#N/A</v>
      </c>
      <c r="K2758" s="1" t="e">
        <v>#N/A</v>
      </c>
      <c r="L2758" s="1" t="e">
        <v>#N/A</v>
      </c>
      <c r="M2758" s="1" t="e">
        <v>#N/A</v>
      </c>
      <c r="N2758" s="1" t="e">
        <v>#N/A</v>
      </c>
      <c r="O2758" s="1" t="e">
        <v>#N/A</v>
      </c>
      <c r="P2758" s="1" t="e">
        <v>#N/A</v>
      </c>
      <c r="Q2758" s="1" t="e">
        <v>#N/A</v>
      </c>
      <c r="R2758" s="1">
        <f t="shared" si="812"/>
        <v>3</v>
      </c>
      <c r="S2758" s="1" t="str">
        <f t="shared" si="813"/>
        <v>&lt;4</v>
      </c>
      <c r="T2758" s="1" t="s">
        <v>20123</v>
      </c>
      <c r="U2758" s="1" t="s">
        <v>7</v>
      </c>
      <c r="V2758" s="1" t="s">
        <v>114</v>
      </c>
      <c r="W2758" s="1"/>
    </row>
    <row r="2759" spans="1:23" x14ac:dyDescent="0.2">
      <c r="A2759" s="88" t="s">
        <v>17910</v>
      </c>
      <c r="B2759" s="1" t="e">
        <v>#N/A</v>
      </c>
      <c r="C2759" s="1" t="e">
        <v>#N/A</v>
      </c>
      <c r="D2759" s="1" t="s">
        <v>7285</v>
      </c>
      <c r="E2759" s="1" t="s">
        <v>7286</v>
      </c>
      <c r="F2759" s="1" t="s">
        <v>9380</v>
      </c>
      <c r="G2759" s="1" t="s">
        <v>8959</v>
      </c>
      <c r="H2759" t="s">
        <v>8959</v>
      </c>
      <c r="I2759" s="1" t="s">
        <v>9173</v>
      </c>
      <c r="J2759" s="1" t="s">
        <v>9174</v>
      </c>
      <c r="K2759" s="1" t="s">
        <v>18497</v>
      </c>
      <c r="L2759" s="1" t="s">
        <v>21045</v>
      </c>
      <c r="M2759" s="1">
        <f>888+2750+16691</f>
        <v>20329</v>
      </c>
      <c r="N2759" s="1" t="s">
        <v>8953</v>
      </c>
      <c r="O2759" s="1" t="s">
        <v>8954</v>
      </c>
      <c r="P2759" s="1" t="e">
        <v>#N/A</v>
      </c>
      <c r="Q2759" s="1" t="e">
        <v>#N/A</v>
      </c>
      <c r="R2759" s="1">
        <f t="shared" si="812"/>
        <v>4</v>
      </c>
      <c r="S2759" s="1" t="str">
        <f t="shared" si="813"/>
        <v>&lt;4</v>
      </c>
      <c r="T2759" s="1" t="s">
        <v>20699</v>
      </c>
      <c r="U2759" s="1" t="s">
        <v>17</v>
      </c>
      <c r="V2759" s="1" t="s">
        <v>2178</v>
      </c>
      <c r="W2759" s="1"/>
    </row>
    <row r="2760" spans="1:23" x14ac:dyDescent="0.2">
      <c r="A2760" s="88" t="s">
        <v>17911</v>
      </c>
      <c r="B2760" s="1" t="e">
        <v>#N/A</v>
      </c>
      <c r="C2760" s="1" t="e">
        <v>#N/A</v>
      </c>
      <c r="D2760" s="1" t="s">
        <v>7287</v>
      </c>
      <c r="E2760" s="1" t="s">
        <v>7288</v>
      </c>
      <c r="F2760" s="1" t="s">
        <v>9333</v>
      </c>
      <c r="G2760" s="1" t="s">
        <v>8959</v>
      </c>
      <c r="H2760" t="s">
        <v>9009</v>
      </c>
      <c r="I2760" s="1" t="s">
        <v>9100</v>
      </c>
      <c r="J2760" s="1" t="s">
        <v>8949</v>
      </c>
      <c r="K2760" s="1" t="s">
        <v>21039</v>
      </c>
      <c r="L2760" s="1" t="s">
        <v>9133</v>
      </c>
      <c r="M2760" s="1">
        <v>30</v>
      </c>
      <c r="N2760" s="1" t="s">
        <v>9059</v>
      </c>
      <c r="O2760" s="1" t="s">
        <v>8989</v>
      </c>
      <c r="P2760" s="1" t="e">
        <v>#N/A</v>
      </c>
      <c r="Q2760" s="1" t="e">
        <v>#N/A</v>
      </c>
      <c r="R2760" s="1">
        <f t="shared" si="812"/>
        <v>5</v>
      </c>
      <c r="S2760" s="1" t="str">
        <f t="shared" si="813"/>
        <v>4-7</v>
      </c>
      <c r="T2760" s="1" t="s">
        <v>20124</v>
      </c>
      <c r="U2760" s="1" t="s">
        <v>17</v>
      </c>
      <c r="V2760" s="1" t="s">
        <v>7289</v>
      </c>
      <c r="W2760" s="1"/>
    </row>
    <row r="2761" spans="1:23" x14ac:dyDescent="0.2">
      <c r="A2761" s="88" t="s">
        <v>21046</v>
      </c>
      <c r="B2761" s="1" t="e">
        <v>#N/A</v>
      </c>
      <c r="C2761" s="1" t="e">
        <v>#N/A</v>
      </c>
      <c r="D2761" s="1" t="s">
        <v>7290</v>
      </c>
      <c r="E2761" s="1" t="s">
        <v>7291</v>
      </c>
      <c r="F2761" s="1" t="s">
        <v>9333</v>
      </c>
      <c r="G2761" s="1" t="s">
        <v>8959</v>
      </c>
      <c r="H2761" t="s">
        <v>8959</v>
      </c>
      <c r="I2761" s="1" t="s">
        <v>20714</v>
      </c>
      <c r="J2761" s="1" t="s">
        <v>20725</v>
      </c>
      <c r="K2761" s="1" t="s">
        <v>10525</v>
      </c>
      <c r="L2761" s="1" t="s">
        <v>8973</v>
      </c>
      <c r="M2761" s="1">
        <v>290</v>
      </c>
      <c r="N2761" s="1" t="s">
        <v>8953</v>
      </c>
      <c r="O2761" s="1" t="s">
        <v>8989</v>
      </c>
      <c r="P2761" s="1" t="e">
        <v>#N/A</v>
      </c>
      <c r="Q2761" s="1" t="e">
        <v>#N/A</v>
      </c>
      <c r="R2761" s="1">
        <f t="shared" si="812"/>
        <v>7</v>
      </c>
      <c r="S2761" s="1" t="str">
        <f t="shared" si="813"/>
        <v>4-7</v>
      </c>
      <c r="T2761" s="1" t="s">
        <v>20125</v>
      </c>
      <c r="U2761" s="1" t="s">
        <v>7</v>
      </c>
      <c r="V2761" s="1" t="s">
        <v>24</v>
      </c>
      <c r="W2761" s="1"/>
    </row>
    <row r="2762" spans="1:23" x14ac:dyDescent="0.2">
      <c r="A2762" s="88" t="s">
        <v>17912</v>
      </c>
      <c r="B2762" s="1" t="e">
        <v>#N/A</v>
      </c>
      <c r="C2762" s="1" t="e">
        <v>#N/A</v>
      </c>
      <c r="D2762" s="1" t="s">
        <v>7292</v>
      </c>
      <c r="E2762" s="1" t="s">
        <v>7293</v>
      </c>
      <c r="F2762" s="1" t="s">
        <v>9333</v>
      </c>
      <c r="G2762" s="1" t="s">
        <v>8957</v>
      </c>
      <c r="H2762" t="s">
        <v>8959</v>
      </c>
      <c r="I2762" s="1" t="s">
        <v>20714</v>
      </c>
      <c r="J2762" s="1" t="s">
        <v>20725</v>
      </c>
      <c r="K2762" s="1" t="s">
        <v>21521</v>
      </c>
      <c r="L2762" s="1" t="s">
        <v>8987</v>
      </c>
      <c r="M2762" s="1">
        <v>84484</v>
      </c>
      <c r="N2762" s="1" t="s">
        <v>21047</v>
      </c>
      <c r="O2762" s="1" t="s">
        <v>8954</v>
      </c>
      <c r="P2762" s="1" t="e">
        <v>#N/A</v>
      </c>
      <c r="Q2762" s="1" t="e">
        <v>#N/A</v>
      </c>
      <c r="R2762" s="1">
        <f t="shared" si="812"/>
        <v>11</v>
      </c>
      <c r="S2762" s="1" t="str">
        <f t="shared" si="813"/>
        <v>&gt;7</v>
      </c>
      <c r="T2762" s="1" t="s">
        <v>20126</v>
      </c>
      <c r="U2762" s="1" t="s">
        <v>7</v>
      </c>
      <c r="V2762" s="1" t="s">
        <v>3641</v>
      </c>
      <c r="W2762" s="1"/>
    </row>
    <row r="2763" spans="1:23" x14ac:dyDescent="0.2">
      <c r="A2763" s="88" t="s">
        <v>17913</v>
      </c>
      <c r="B2763" s="1" t="e">
        <v>#N/A</v>
      </c>
      <c r="C2763" s="1" t="e">
        <v>#N/A</v>
      </c>
      <c r="D2763" s="1" t="s">
        <v>7294</v>
      </c>
      <c r="E2763" s="1" t="s">
        <v>7295</v>
      </c>
      <c r="F2763" s="1" t="s">
        <v>21041</v>
      </c>
      <c r="G2763" s="1" t="s">
        <v>8957</v>
      </c>
      <c r="H2763" t="s">
        <v>8959</v>
      </c>
      <c r="I2763" s="1" t="s">
        <v>9100</v>
      </c>
      <c r="J2763" s="1" t="s">
        <v>8949</v>
      </c>
      <c r="K2763" s="1" t="s">
        <v>10492</v>
      </c>
      <c r="L2763" s="1" t="s">
        <v>21048</v>
      </c>
      <c r="M2763" s="1">
        <f>86+126</f>
        <v>212</v>
      </c>
      <c r="N2763" s="1" t="s">
        <v>9059</v>
      </c>
      <c r="O2763" s="1" t="s">
        <v>8954</v>
      </c>
      <c r="P2763" s="1" t="e">
        <v>#N/A</v>
      </c>
      <c r="Q2763" s="1" t="e">
        <v>#N/A</v>
      </c>
      <c r="R2763" s="1">
        <f t="shared" si="812"/>
        <v>4</v>
      </c>
      <c r="S2763" s="1" t="str">
        <f t="shared" si="813"/>
        <v>&lt;4</v>
      </c>
      <c r="T2763" s="1" t="s">
        <v>20127</v>
      </c>
      <c r="U2763" s="1" t="s">
        <v>7</v>
      </c>
      <c r="V2763" s="1" t="s">
        <v>2527</v>
      </c>
      <c r="W2763" s="1"/>
    </row>
    <row r="2764" spans="1:23" x14ac:dyDescent="0.2">
      <c r="A2764" s="89" t="s">
        <v>17914</v>
      </c>
      <c r="B2764" s="1" t="e">
        <v>#N/A</v>
      </c>
      <c r="C2764" s="1" t="e">
        <v>#N/A</v>
      </c>
      <c r="D2764" s="1" t="s">
        <v>7296</v>
      </c>
      <c r="E2764" s="1" t="s">
        <v>7297</v>
      </c>
      <c r="F2764" s="1" t="e">
        <v>#N/A</v>
      </c>
      <c r="G2764" s="1" t="e">
        <v>#N/A</v>
      </c>
      <c r="H2764" t="e">
        <v>#N/A</v>
      </c>
      <c r="I2764" s="1" t="e">
        <v>#N/A</v>
      </c>
      <c r="J2764" s="1" t="e">
        <v>#N/A</v>
      </c>
      <c r="K2764" s="1" t="e">
        <v>#N/A</v>
      </c>
      <c r="L2764" s="1" t="e">
        <v>#N/A</v>
      </c>
      <c r="M2764" s="1" t="e">
        <v>#N/A</v>
      </c>
      <c r="N2764" s="1" t="e">
        <v>#N/A</v>
      </c>
      <c r="O2764" s="1" t="e">
        <v>#N/A</v>
      </c>
      <c r="P2764" s="1" t="e">
        <v>#N/A</v>
      </c>
      <c r="Q2764" s="1" t="e">
        <v>#N/A</v>
      </c>
      <c r="R2764" s="1">
        <f t="shared" si="812"/>
        <v>3</v>
      </c>
      <c r="S2764" s="1" t="str">
        <f t="shared" si="813"/>
        <v>&lt;4</v>
      </c>
      <c r="T2764" s="1" t="s">
        <v>20128</v>
      </c>
      <c r="U2764" s="1" t="s">
        <v>7</v>
      </c>
      <c r="V2764" s="1" t="s">
        <v>6447</v>
      </c>
      <c r="W2764" s="1"/>
    </row>
    <row r="2765" spans="1:23" x14ac:dyDescent="0.2">
      <c r="A2765" s="89" t="s">
        <v>17915</v>
      </c>
      <c r="B2765" s="1" t="e">
        <v>#N/A</v>
      </c>
      <c r="C2765" s="1" t="e">
        <v>#N/A</v>
      </c>
      <c r="D2765" s="1" t="s">
        <v>7298</v>
      </c>
      <c r="E2765" s="1" t="s">
        <v>7299</v>
      </c>
      <c r="F2765" s="1" t="e">
        <v>#N/A</v>
      </c>
      <c r="G2765" s="1" t="e">
        <v>#N/A</v>
      </c>
      <c r="H2765" t="e">
        <v>#N/A</v>
      </c>
      <c r="I2765" s="1" t="e">
        <v>#N/A</v>
      </c>
      <c r="J2765" s="1" t="e">
        <v>#N/A</v>
      </c>
      <c r="K2765" s="1" t="e">
        <v>#N/A</v>
      </c>
      <c r="L2765" s="1" t="e">
        <v>#N/A</v>
      </c>
      <c r="M2765" s="1" t="e">
        <v>#N/A</v>
      </c>
      <c r="N2765" s="1" t="e">
        <v>#N/A</v>
      </c>
      <c r="O2765" s="1" t="e">
        <v>#N/A</v>
      </c>
      <c r="P2765" s="1" t="e">
        <v>#N/A</v>
      </c>
      <c r="Q2765" s="1" t="e">
        <v>#N/A</v>
      </c>
      <c r="R2765" s="1">
        <f t="shared" si="812"/>
        <v>1</v>
      </c>
      <c r="S2765" s="1" t="str">
        <f t="shared" si="813"/>
        <v>&lt;4</v>
      </c>
      <c r="U2765" s="1" t="s">
        <v>17</v>
      </c>
      <c r="V2765" s="1" t="s">
        <v>7300</v>
      </c>
      <c r="W2765" s="1"/>
    </row>
    <row r="2766" spans="1:23" x14ac:dyDescent="0.2">
      <c r="A2766" s="88" t="s">
        <v>17916</v>
      </c>
      <c r="B2766" s="1" t="e">
        <v>#N/A</v>
      </c>
      <c r="C2766" s="1" t="e">
        <v>#N/A</v>
      </c>
      <c r="D2766" s="1" t="s">
        <v>7301</v>
      </c>
      <c r="E2766" s="1" t="s">
        <v>7302</v>
      </c>
      <c r="F2766" s="1" t="s">
        <v>9310</v>
      </c>
      <c r="G2766" s="1" t="s">
        <v>8959</v>
      </c>
      <c r="H2766" t="s">
        <v>8959</v>
      </c>
      <c r="I2766" s="1" t="s">
        <v>9100</v>
      </c>
      <c r="J2766" s="1" t="s">
        <v>8949</v>
      </c>
      <c r="K2766" s="1" t="s">
        <v>21296</v>
      </c>
      <c r="L2766" s="1" t="s">
        <v>8987</v>
      </c>
      <c r="M2766" s="1">
        <v>416</v>
      </c>
      <c r="N2766" s="1" t="s">
        <v>9059</v>
      </c>
      <c r="O2766" s="1" t="s">
        <v>8954</v>
      </c>
      <c r="P2766" s="1" t="e">
        <v>#N/A</v>
      </c>
      <c r="Q2766" s="1" t="e">
        <v>#N/A</v>
      </c>
      <c r="R2766" s="1">
        <f t="shared" si="812"/>
        <v>3</v>
      </c>
      <c r="S2766" s="1" t="str">
        <f t="shared" si="813"/>
        <v>&lt;4</v>
      </c>
      <c r="T2766" s="1" t="s">
        <v>20129</v>
      </c>
      <c r="U2766" s="1" t="s">
        <v>7</v>
      </c>
      <c r="V2766" s="1" t="s">
        <v>87</v>
      </c>
      <c r="W2766" s="1"/>
    </row>
    <row r="2767" spans="1:23" x14ac:dyDescent="0.2">
      <c r="A2767" s="88" t="s">
        <v>17917</v>
      </c>
      <c r="B2767" s="1" t="e">
        <v>#N/A</v>
      </c>
      <c r="C2767" s="1" t="e">
        <v>#N/A</v>
      </c>
      <c r="D2767" s="1" t="s">
        <v>7303</v>
      </c>
      <c r="E2767" s="1" t="s">
        <v>7304</v>
      </c>
      <c r="F2767" s="1" t="s">
        <v>21049</v>
      </c>
      <c r="G2767" s="1" t="s">
        <v>8957</v>
      </c>
      <c r="H2767" t="s">
        <v>8959</v>
      </c>
      <c r="I2767" s="1" t="s">
        <v>8984</v>
      </c>
      <c r="J2767" s="1" t="s">
        <v>8998</v>
      </c>
      <c r="K2767" s="87" t="s">
        <v>21455</v>
      </c>
      <c r="L2767" s="1" t="s">
        <v>8973</v>
      </c>
      <c r="M2767" s="1">
        <f>300+201+421</f>
        <v>922</v>
      </c>
      <c r="N2767" s="1" t="s">
        <v>8953</v>
      </c>
      <c r="O2767" s="1" t="s">
        <v>8954</v>
      </c>
      <c r="P2767" s="1" t="e">
        <v>#N/A</v>
      </c>
      <c r="Q2767" s="1" t="e">
        <v>#N/A</v>
      </c>
      <c r="R2767" s="1">
        <f t="shared" si="812"/>
        <v>4</v>
      </c>
      <c r="S2767" s="1" t="str">
        <f t="shared" si="813"/>
        <v>&lt;4</v>
      </c>
      <c r="T2767" s="1" t="s">
        <v>20130</v>
      </c>
      <c r="U2767" s="1" t="s">
        <v>7</v>
      </c>
      <c r="V2767" s="1" t="s">
        <v>6261</v>
      </c>
      <c r="W2767" s="1"/>
    </row>
    <row r="2768" spans="1:23" x14ac:dyDescent="0.2">
      <c r="A2768" s="88" t="s">
        <v>17918</v>
      </c>
      <c r="B2768" s="1" t="e">
        <v>#N/A</v>
      </c>
      <c r="C2768" s="1" t="s">
        <v>14952</v>
      </c>
      <c r="D2768" s="1" t="s">
        <v>7305</v>
      </c>
      <c r="E2768" s="1" t="s">
        <v>7306</v>
      </c>
      <c r="F2768" s="1" t="s">
        <v>12908</v>
      </c>
      <c r="G2768" s="1" t="s">
        <v>8957</v>
      </c>
      <c r="H2768" t="s">
        <v>9009</v>
      </c>
      <c r="I2768" s="1" t="s">
        <v>9252</v>
      </c>
      <c r="J2768" s="1" t="s">
        <v>9121</v>
      </c>
      <c r="K2768" s="1" t="s">
        <v>9018</v>
      </c>
      <c r="L2768" s="1" t="s">
        <v>9157</v>
      </c>
      <c r="M2768" s="1">
        <v>1299</v>
      </c>
      <c r="N2768" s="1" t="s">
        <v>8953</v>
      </c>
      <c r="O2768" s="1" t="s">
        <v>8954</v>
      </c>
      <c r="P2768" s="1" t="s">
        <v>8955</v>
      </c>
      <c r="Q2768" s="1" t="s">
        <v>8956</v>
      </c>
      <c r="R2768" s="1" t="s">
        <v>8957</v>
      </c>
      <c r="S2768" s="1" t="s">
        <v>8975</v>
      </c>
      <c r="T2768" s="1" t="s">
        <v>7307</v>
      </c>
      <c r="U2768" s="1" t="s">
        <v>17</v>
      </c>
      <c r="V2768" s="1" t="s">
        <v>7308</v>
      </c>
      <c r="W2768" s="1"/>
    </row>
    <row r="2769" spans="1:23" x14ac:dyDescent="0.2">
      <c r="A2769" s="89" t="s">
        <v>7309</v>
      </c>
      <c r="B2769" s="1" t="e">
        <v>#N/A</v>
      </c>
      <c r="C2769" s="1" t="e">
        <v>#N/A</v>
      </c>
      <c r="D2769" s="5" t="s">
        <v>7310</v>
      </c>
      <c r="E2769" s="1" t="s">
        <v>7311</v>
      </c>
      <c r="F2769" s="1" t="e">
        <v>#N/A</v>
      </c>
      <c r="G2769" s="1" t="e">
        <v>#N/A</v>
      </c>
      <c r="H2769" t="e">
        <v>#N/A</v>
      </c>
      <c r="I2769" s="1" t="e">
        <v>#N/A</v>
      </c>
      <c r="J2769" s="1" t="e">
        <v>#N/A</v>
      </c>
      <c r="K2769" s="1" t="e">
        <v>#N/A</v>
      </c>
      <c r="L2769" s="1" t="e">
        <v>#N/A</v>
      </c>
      <c r="M2769" s="1" t="e">
        <v>#N/A</v>
      </c>
      <c r="N2769" s="1" t="e">
        <v>#N/A</v>
      </c>
      <c r="O2769" s="1" t="e">
        <v>#N/A</v>
      </c>
      <c r="P2769" s="1" t="e">
        <v>#N/A</v>
      </c>
      <c r="Q2769" s="1" t="e">
        <v>#N/A</v>
      </c>
      <c r="R2769" s="1">
        <f t="shared" ref="R2769:R2772" si="814">1+LEN(T2769)-LEN(SUBSTITUTE(T2769,",",))</f>
        <v>3</v>
      </c>
      <c r="S2769" s="1" t="str">
        <f t="shared" ref="S2769:S2772" si="815">IF(R2769&gt;4,IF(R2769&lt;8,"4-7",IF(R2769&gt;7,"&gt;7")),"&lt;4")</f>
        <v>&lt;4</v>
      </c>
      <c r="T2769" s="1" t="s">
        <v>20131</v>
      </c>
      <c r="U2769" s="1" t="s">
        <v>17</v>
      </c>
      <c r="V2769" s="1" t="s">
        <v>21</v>
      </c>
      <c r="W2769" s="1"/>
    </row>
    <row r="2770" spans="1:23" x14ac:dyDescent="0.2">
      <c r="A2770" s="88" t="s">
        <v>17919</v>
      </c>
      <c r="B2770" s="1" t="e">
        <v>#N/A</v>
      </c>
      <c r="C2770" s="1" t="e">
        <v>#N/A</v>
      </c>
      <c r="D2770" s="1" t="s">
        <v>7312</v>
      </c>
      <c r="E2770" s="1" t="s">
        <v>7313</v>
      </c>
      <c r="F2770" s="1" t="s">
        <v>18502</v>
      </c>
      <c r="G2770" s="1" t="s">
        <v>8957</v>
      </c>
      <c r="H2770" t="s">
        <v>9061</v>
      </c>
      <c r="I2770" s="1" t="s">
        <v>9035</v>
      </c>
      <c r="J2770" s="1" t="s">
        <v>8949</v>
      </c>
      <c r="K2770" s="1" t="s">
        <v>10492</v>
      </c>
      <c r="L2770" s="1" t="s">
        <v>8973</v>
      </c>
      <c r="M2770" s="1">
        <f>205+73+63+40</f>
        <v>381</v>
      </c>
      <c r="N2770" s="1" t="s">
        <v>8953</v>
      </c>
      <c r="O2770" s="1" t="s">
        <v>8989</v>
      </c>
      <c r="P2770" s="1" t="e">
        <v>#N/A</v>
      </c>
      <c r="Q2770" s="1" t="e">
        <v>#N/A</v>
      </c>
      <c r="R2770" s="1">
        <f t="shared" si="814"/>
        <v>11</v>
      </c>
      <c r="S2770" s="1" t="str">
        <f t="shared" si="815"/>
        <v>&gt;7</v>
      </c>
      <c r="T2770" s="1" t="s">
        <v>20132</v>
      </c>
      <c r="U2770" s="1" t="s">
        <v>17</v>
      </c>
      <c r="V2770" s="1" t="s">
        <v>562</v>
      </c>
      <c r="W2770" s="1"/>
    </row>
    <row r="2771" spans="1:23" x14ac:dyDescent="0.2">
      <c r="A2771" s="88" t="s">
        <v>17920</v>
      </c>
      <c r="B2771" s="1" t="e">
        <v>#N/A</v>
      </c>
      <c r="C2771" s="1" t="e">
        <v>#N/A</v>
      </c>
      <c r="D2771" s="1" t="s">
        <v>7314</v>
      </c>
      <c r="E2771" s="1" t="s">
        <v>7315</v>
      </c>
      <c r="F2771" s="1" t="s">
        <v>14748</v>
      </c>
      <c r="G2771" s="1" t="s">
        <v>8959</v>
      </c>
      <c r="H2771" t="s">
        <v>8959</v>
      </c>
      <c r="I2771" s="1" t="s">
        <v>9035</v>
      </c>
      <c r="J2771" s="1" t="s">
        <v>9308</v>
      </c>
      <c r="K2771" s="1" t="s">
        <v>21050</v>
      </c>
      <c r="L2771" s="1" t="s">
        <v>9133</v>
      </c>
      <c r="M2771" s="1">
        <v>5949</v>
      </c>
      <c r="N2771" s="1" t="s">
        <v>8953</v>
      </c>
      <c r="O2771" s="1" t="s">
        <v>8954</v>
      </c>
      <c r="P2771" s="1" t="e">
        <v>#N/A</v>
      </c>
      <c r="Q2771" s="1" t="e">
        <v>#N/A</v>
      </c>
      <c r="R2771" s="1">
        <f t="shared" si="814"/>
        <v>2</v>
      </c>
      <c r="S2771" s="1" t="str">
        <f t="shared" si="815"/>
        <v>&lt;4</v>
      </c>
      <c r="T2771" s="1" t="s">
        <v>20133</v>
      </c>
      <c r="U2771" s="1" t="s">
        <v>7</v>
      </c>
      <c r="V2771" s="1" t="s">
        <v>948</v>
      </c>
      <c r="W2771" s="1"/>
    </row>
    <row r="2772" spans="1:23" x14ac:dyDescent="0.2">
      <c r="A2772" s="88" t="s">
        <v>17921</v>
      </c>
      <c r="B2772" s="1" t="e">
        <v>#N/A</v>
      </c>
      <c r="C2772" s="1" t="e">
        <v>#N/A</v>
      </c>
      <c r="D2772" s="1" t="s">
        <v>21051</v>
      </c>
      <c r="E2772" s="1" t="s">
        <v>7316</v>
      </c>
      <c r="F2772" s="1" t="s">
        <v>20750</v>
      </c>
      <c r="G2772" s="1" t="s">
        <v>8957</v>
      </c>
      <c r="H2772" t="s">
        <v>8959</v>
      </c>
      <c r="I2772" s="1" t="s">
        <v>9173</v>
      </c>
      <c r="J2772" s="1" t="s">
        <v>21053</v>
      </c>
      <c r="K2772" s="1" t="s">
        <v>21042</v>
      </c>
      <c r="L2772" s="1" t="s">
        <v>8987</v>
      </c>
      <c r="M2772" s="1">
        <v>24267</v>
      </c>
      <c r="N2772" s="1" t="s">
        <v>8953</v>
      </c>
      <c r="O2772" s="1" t="s">
        <v>21052</v>
      </c>
      <c r="P2772" s="1" t="e">
        <v>#N/A</v>
      </c>
      <c r="Q2772" s="1" t="e">
        <v>#N/A</v>
      </c>
      <c r="R2772" s="1">
        <f t="shared" si="814"/>
        <v>10</v>
      </c>
      <c r="S2772" s="1" t="str">
        <f t="shared" si="815"/>
        <v>&gt;7</v>
      </c>
      <c r="T2772" s="1" t="s">
        <v>20134</v>
      </c>
      <c r="U2772" s="1" t="s">
        <v>7</v>
      </c>
      <c r="V2772" s="1" t="s">
        <v>7317</v>
      </c>
      <c r="W2772" s="1"/>
    </row>
    <row r="2773" spans="1:23" x14ac:dyDescent="0.2">
      <c r="A2773" s="88" t="s">
        <v>17922</v>
      </c>
      <c r="B2773" s="1" t="e">
        <v>#N/A</v>
      </c>
      <c r="C2773" s="1" t="s">
        <v>11194</v>
      </c>
      <c r="D2773" s="1" t="s">
        <v>7318</v>
      </c>
      <c r="E2773" s="1" t="s">
        <v>7319</v>
      </c>
      <c r="F2773" s="1" t="s">
        <v>9333</v>
      </c>
      <c r="G2773" s="1" t="s">
        <v>9060</v>
      </c>
      <c r="H2773" t="s">
        <v>9183</v>
      </c>
      <c r="I2773" s="1" t="s">
        <v>8948</v>
      </c>
      <c r="J2773" s="1" t="s">
        <v>8949</v>
      </c>
      <c r="K2773" s="1" t="s">
        <v>9036</v>
      </c>
      <c r="L2773" s="1" t="s">
        <v>8987</v>
      </c>
      <c r="M2773" s="1">
        <v>748</v>
      </c>
      <c r="N2773" s="1" t="s">
        <v>9059</v>
      </c>
      <c r="O2773" s="1" t="s">
        <v>8954</v>
      </c>
      <c r="P2773" s="1" t="s">
        <v>8955</v>
      </c>
      <c r="Q2773" s="1" t="s">
        <v>8956</v>
      </c>
      <c r="R2773" s="1" t="s">
        <v>9060</v>
      </c>
      <c r="S2773" s="1" t="s">
        <v>8975</v>
      </c>
      <c r="T2773" s="1" t="s">
        <v>7320</v>
      </c>
      <c r="U2773" s="1" t="s">
        <v>17</v>
      </c>
      <c r="V2773" s="1" t="s">
        <v>180</v>
      </c>
      <c r="W2773" s="1"/>
    </row>
    <row r="2774" spans="1:23" x14ac:dyDescent="0.2">
      <c r="A2774" s="88" t="s">
        <v>17923</v>
      </c>
      <c r="B2774" s="1" t="e">
        <v>#N/A</v>
      </c>
      <c r="C2774" s="1" t="e">
        <v>#N/A</v>
      </c>
      <c r="D2774" s="1" t="s">
        <v>7321</v>
      </c>
      <c r="E2774" s="1" t="s">
        <v>7322</v>
      </c>
      <c r="F2774" s="1" t="e">
        <v>#N/A</v>
      </c>
      <c r="G2774" s="1" t="e">
        <v>#N/A</v>
      </c>
      <c r="H2774" t="e">
        <v>#N/A</v>
      </c>
      <c r="I2774" s="1" t="e">
        <v>#N/A</v>
      </c>
      <c r="J2774" s="1" t="e">
        <v>#N/A</v>
      </c>
      <c r="K2774" s="1" t="e">
        <v>#N/A</v>
      </c>
      <c r="L2774" s="1" t="e">
        <v>#N/A</v>
      </c>
      <c r="M2774" s="1" t="e">
        <v>#N/A</v>
      </c>
      <c r="N2774" s="1" t="e">
        <v>#N/A</v>
      </c>
      <c r="O2774" s="1" t="e">
        <v>#N/A</v>
      </c>
      <c r="P2774" s="1" t="e">
        <v>#N/A</v>
      </c>
      <c r="Q2774" s="1" t="e">
        <v>#N/A</v>
      </c>
      <c r="R2774" s="1">
        <f t="shared" ref="R2774:R2777" si="816">1+LEN(T2774)-LEN(SUBSTITUTE(T2774,",",))</f>
        <v>6</v>
      </c>
      <c r="S2774" s="1" t="str">
        <f t="shared" ref="S2774:S2777" si="817">IF(R2774&gt;4,IF(R2774&lt;8,"4-7",IF(R2774&gt;7,"&gt;7")),"&lt;4")</f>
        <v>4-7</v>
      </c>
      <c r="T2774" s="1" t="s">
        <v>20135</v>
      </c>
      <c r="U2774" s="1" t="s">
        <v>252</v>
      </c>
      <c r="V2774" s="1" t="s">
        <v>64</v>
      </c>
      <c r="W2774" s="1"/>
    </row>
    <row r="2775" spans="1:23" x14ac:dyDescent="0.2">
      <c r="A2775" s="88" t="s">
        <v>17924</v>
      </c>
      <c r="B2775" s="1" t="e">
        <v>#N/A</v>
      </c>
      <c r="C2775" s="1" t="e">
        <v>#N/A</v>
      </c>
      <c r="D2775" s="1" t="s">
        <v>7323</v>
      </c>
      <c r="E2775" s="1" t="s">
        <v>7324</v>
      </c>
      <c r="F2775" s="1" t="s">
        <v>9852</v>
      </c>
      <c r="G2775" s="1" t="s">
        <v>8957</v>
      </c>
      <c r="H2775" t="s">
        <v>8959</v>
      </c>
      <c r="I2775" s="1" t="s">
        <v>9035</v>
      </c>
      <c r="J2775" s="1" t="s">
        <v>9308</v>
      </c>
      <c r="K2775" s="1" t="s">
        <v>10800</v>
      </c>
      <c r="L2775" s="1" t="s">
        <v>9292</v>
      </c>
      <c r="M2775" s="1">
        <f>138+662</f>
        <v>800</v>
      </c>
      <c r="N2775" s="1" t="s">
        <v>8953</v>
      </c>
      <c r="O2775" s="1" t="s">
        <v>8954</v>
      </c>
      <c r="P2775" s="1" t="e">
        <v>#N/A</v>
      </c>
      <c r="Q2775" s="1" t="e">
        <v>#N/A</v>
      </c>
      <c r="R2775" s="1">
        <f t="shared" si="816"/>
        <v>9</v>
      </c>
      <c r="S2775" s="1" t="str">
        <f t="shared" si="817"/>
        <v>&gt;7</v>
      </c>
      <c r="T2775" s="1" t="s">
        <v>20136</v>
      </c>
      <c r="U2775" s="1" t="s">
        <v>7</v>
      </c>
      <c r="V2775" s="1" t="s">
        <v>1929</v>
      </c>
      <c r="W2775" s="1"/>
    </row>
    <row r="2776" spans="1:23" x14ac:dyDescent="0.2">
      <c r="A2776" s="88" t="s">
        <v>17925</v>
      </c>
      <c r="B2776" s="1" t="e">
        <v>#N/A</v>
      </c>
      <c r="C2776" s="1" t="e">
        <v>#N/A</v>
      </c>
      <c r="D2776" s="1" t="s">
        <v>7325</v>
      </c>
      <c r="E2776" s="1" t="s">
        <v>7326</v>
      </c>
      <c r="F2776" s="1" t="s">
        <v>18502</v>
      </c>
      <c r="G2776" s="1" t="s">
        <v>8957</v>
      </c>
      <c r="H2776" t="s">
        <v>8959</v>
      </c>
      <c r="I2776" s="1" t="s">
        <v>20714</v>
      </c>
      <c r="J2776" s="1" t="s">
        <v>8998</v>
      </c>
      <c r="K2776" s="1" t="s">
        <v>10492</v>
      </c>
      <c r="L2776" s="1" t="s">
        <v>8973</v>
      </c>
      <c r="M2776" s="1">
        <f>2610+216</f>
        <v>2826</v>
      </c>
      <c r="N2776" s="1" t="s">
        <v>8953</v>
      </c>
      <c r="O2776" s="1" t="s">
        <v>8989</v>
      </c>
      <c r="P2776" s="1" t="e">
        <v>#N/A</v>
      </c>
      <c r="Q2776" s="1" t="e">
        <v>#N/A</v>
      </c>
      <c r="R2776" s="1">
        <f t="shared" si="816"/>
        <v>7</v>
      </c>
      <c r="S2776" s="1" t="str">
        <f t="shared" si="817"/>
        <v>4-7</v>
      </c>
      <c r="T2776" s="1" t="s">
        <v>20137</v>
      </c>
      <c r="U2776" s="1" t="s">
        <v>7</v>
      </c>
      <c r="V2776" s="1" t="s">
        <v>1202</v>
      </c>
      <c r="W2776" s="1"/>
    </row>
    <row r="2777" spans="1:23" x14ac:dyDescent="0.2">
      <c r="A2777" s="92" t="s">
        <v>17926</v>
      </c>
      <c r="B2777" s="1" t="e">
        <v>#N/A</v>
      </c>
      <c r="C2777" s="1" t="e">
        <v>#N/A</v>
      </c>
      <c r="D2777" s="1" t="s">
        <v>15487</v>
      </c>
      <c r="E2777" s="1" t="s">
        <v>7327</v>
      </c>
      <c r="F2777" s="1" t="e">
        <v>#N/A</v>
      </c>
      <c r="G2777" s="1" t="e">
        <v>#N/A</v>
      </c>
      <c r="H2777" t="e">
        <v>#N/A</v>
      </c>
      <c r="I2777" s="1" t="e">
        <v>#N/A</v>
      </c>
      <c r="J2777" s="1" t="e">
        <v>#N/A</v>
      </c>
      <c r="K2777" s="1" t="e">
        <v>#N/A</v>
      </c>
      <c r="L2777" s="1" t="e">
        <v>#N/A</v>
      </c>
      <c r="M2777" s="1" t="e">
        <v>#N/A</v>
      </c>
      <c r="N2777" s="1" t="e">
        <v>#N/A</v>
      </c>
      <c r="O2777" s="1" t="e">
        <v>#N/A</v>
      </c>
      <c r="P2777" s="1" t="e">
        <v>#N/A</v>
      </c>
      <c r="Q2777" s="1" t="e">
        <v>#N/A</v>
      </c>
      <c r="R2777" s="1">
        <f t="shared" si="816"/>
        <v>1</v>
      </c>
      <c r="S2777" s="1" t="str">
        <f t="shared" si="817"/>
        <v>&lt;4</v>
      </c>
      <c r="U2777" s="1" t="s">
        <v>7</v>
      </c>
      <c r="V2777" s="1" t="s">
        <v>1945</v>
      </c>
      <c r="W2777" s="1"/>
    </row>
    <row r="2778" spans="1:23" x14ac:dyDescent="0.2">
      <c r="A2778" s="88" t="s">
        <v>17927</v>
      </c>
      <c r="B2778" s="1" t="e">
        <v>#N/A</v>
      </c>
      <c r="C2778" s="1" t="s">
        <v>13447</v>
      </c>
      <c r="D2778" s="1" t="s">
        <v>7328</v>
      </c>
      <c r="E2778" s="1" t="s">
        <v>7329</v>
      </c>
      <c r="F2778" s="1" t="s">
        <v>9333</v>
      </c>
      <c r="G2778" s="1" t="s">
        <v>8959</v>
      </c>
      <c r="H2778" t="s">
        <v>9009</v>
      </c>
      <c r="I2778" s="1" t="s">
        <v>9035</v>
      </c>
      <c r="J2778" s="1" t="s">
        <v>8998</v>
      </c>
      <c r="K2778" s="1" t="s">
        <v>9036</v>
      </c>
      <c r="L2778" s="1" t="s">
        <v>9464</v>
      </c>
      <c r="M2778" s="1">
        <v>89</v>
      </c>
      <c r="N2778" s="1" t="s">
        <v>8953</v>
      </c>
      <c r="O2778" s="1" t="s">
        <v>8989</v>
      </c>
      <c r="P2778" s="1" t="s">
        <v>8955</v>
      </c>
      <c r="Q2778" s="1" t="s">
        <v>8956</v>
      </c>
      <c r="R2778" s="1" t="s">
        <v>8959</v>
      </c>
      <c r="S2778" s="1" t="s">
        <v>9103</v>
      </c>
      <c r="T2778" s="1" t="s">
        <v>7330</v>
      </c>
      <c r="U2778" s="1" t="s">
        <v>11</v>
      </c>
      <c r="V2778" s="1" t="s">
        <v>87</v>
      </c>
      <c r="W2778" s="1"/>
    </row>
    <row r="2779" spans="1:23" x14ac:dyDescent="0.2">
      <c r="A2779" s="88" t="s">
        <v>17928</v>
      </c>
      <c r="B2779" s="1" t="e">
        <v>#N/A</v>
      </c>
      <c r="C2779" s="1" t="s">
        <v>14898</v>
      </c>
      <c r="D2779" s="1" t="s">
        <v>7331</v>
      </c>
      <c r="E2779" s="1" t="s">
        <v>7332</v>
      </c>
      <c r="F2779" s="1" t="s">
        <v>9010</v>
      </c>
      <c r="G2779" s="1" t="s">
        <v>8957</v>
      </c>
      <c r="H2779" t="s">
        <v>8959</v>
      </c>
      <c r="I2779" s="1" t="s">
        <v>9092</v>
      </c>
      <c r="J2779" s="1" t="s">
        <v>9155</v>
      </c>
      <c r="K2779" s="1" t="s">
        <v>9036</v>
      </c>
      <c r="L2779" s="1" t="s">
        <v>8973</v>
      </c>
      <c r="M2779" s="1">
        <v>98</v>
      </c>
      <c r="N2779" s="1" t="s">
        <v>8953</v>
      </c>
      <c r="O2779" s="1" t="s">
        <v>8989</v>
      </c>
      <c r="P2779" s="1" t="s">
        <v>8955</v>
      </c>
      <c r="Q2779" s="1" t="s">
        <v>8956</v>
      </c>
      <c r="R2779" s="1" t="s">
        <v>8957</v>
      </c>
      <c r="S2779" s="1" t="s">
        <v>8975</v>
      </c>
      <c r="T2779" s="1" t="s">
        <v>7333</v>
      </c>
      <c r="U2779" s="1" t="s">
        <v>17</v>
      </c>
      <c r="V2779" s="1" t="s">
        <v>64</v>
      </c>
      <c r="W2779" s="1"/>
    </row>
    <row r="2780" spans="1:23" x14ac:dyDescent="0.2">
      <c r="A2780" s="88" t="s">
        <v>17929</v>
      </c>
      <c r="B2780" s="1" t="e">
        <v>#N/A</v>
      </c>
      <c r="C2780" s="1" t="e">
        <v>#N/A</v>
      </c>
      <c r="D2780" s="1" t="s">
        <v>7334</v>
      </c>
      <c r="E2780" s="1" t="s">
        <v>7335</v>
      </c>
      <c r="F2780" s="1" t="s">
        <v>18502</v>
      </c>
      <c r="G2780" s="1" t="s">
        <v>8957</v>
      </c>
      <c r="H2780" t="s">
        <v>9061</v>
      </c>
      <c r="I2780" s="1" t="s">
        <v>9154</v>
      </c>
      <c r="J2780" s="1" t="s">
        <v>8949</v>
      </c>
      <c r="K2780" s="1" t="s">
        <v>21198</v>
      </c>
      <c r="L2780" s="1" t="s">
        <v>8973</v>
      </c>
      <c r="M2780" s="1">
        <v>1902</v>
      </c>
      <c r="N2780" s="1" t="s">
        <v>8953</v>
      </c>
      <c r="O2780" s="1" t="s">
        <v>8989</v>
      </c>
      <c r="P2780" s="1" t="e">
        <v>#N/A</v>
      </c>
      <c r="Q2780" s="1" t="e">
        <v>#N/A</v>
      </c>
      <c r="R2780" s="1">
        <f t="shared" ref="R2780:R2782" si="818">1+LEN(T2780)-LEN(SUBSTITUTE(T2780,",",))</f>
        <v>3</v>
      </c>
      <c r="S2780" s="1" t="str">
        <f t="shared" ref="S2780:S2782" si="819">IF(R2780&gt;4,IF(R2780&lt;8,"4-7",IF(R2780&gt;7,"&gt;7")),"&lt;4")</f>
        <v>&lt;4</v>
      </c>
      <c r="T2780" s="1" t="s">
        <v>20138</v>
      </c>
      <c r="U2780" s="1" t="s">
        <v>17</v>
      </c>
      <c r="V2780" s="1" t="s">
        <v>7336</v>
      </c>
      <c r="W2780" s="1"/>
    </row>
    <row r="2781" spans="1:23" x14ac:dyDescent="0.2">
      <c r="A2781" s="89" t="s">
        <v>17930</v>
      </c>
      <c r="B2781" s="1" t="e">
        <v>#N/A</v>
      </c>
      <c r="C2781" s="1" t="e">
        <v>#N/A</v>
      </c>
      <c r="D2781" s="1" t="s">
        <v>7337</v>
      </c>
      <c r="E2781" s="1" t="s">
        <v>7338</v>
      </c>
      <c r="F2781" s="1" t="s">
        <v>18502</v>
      </c>
      <c r="G2781" s="1" t="e">
        <v>#N/A</v>
      </c>
      <c r="H2781" t="e">
        <v>#N/A</v>
      </c>
      <c r="I2781" s="1" t="s">
        <v>9154</v>
      </c>
      <c r="J2781" s="1" t="s">
        <v>8949</v>
      </c>
      <c r="K2781" s="1" t="e">
        <v>#N/A</v>
      </c>
      <c r="L2781" s="1" t="s">
        <v>8973</v>
      </c>
      <c r="M2781" s="1" t="e">
        <v>#N/A</v>
      </c>
      <c r="N2781" s="1" t="e">
        <v>#N/A</v>
      </c>
      <c r="O2781" s="1" t="e">
        <v>#N/A</v>
      </c>
      <c r="P2781" s="1" t="e">
        <v>#N/A</v>
      </c>
      <c r="Q2781" s="1" t="e">
        <v>#N/A</v>
      </c>
      <c r="R2781" s="1">
        <f t="shared" si="818"/>
        <v>3</v>
      </c>
      <c r="S2781" s="1" t="str">
        <f t="shared" si="819"/>
        <v>&lt;4</v>
      </c>
      <c r="T2781" s="1" t="s">
        <v>20138</v>
      </c>
      <c r="U2781" s="1" t="s">
        <v>7</v>
      </c>
      <c r="V2781" s="1" t="s">
        <v>53</v>
      </c>
      <c r="W2781" s="1"/>
    </row>
    <row r="2782" spans="1:23" x14ac:dyDescent="0.2">
      <c r="A2782" s="88" t="s">
        <v>17931</v>
      </c>
      <c r="B2782" s="1" t="e">
        <v>#N/A</v>
      </c>
      <c r="C2782" s="1" t="e">
        <v>#N/A</v>
      </c>
      <c r="D2782" s="1" t="s">
        <v>7339</v>
      </c>
      <c r="E2782" s="1" t="s">
        <v>7340</v>
      </c>
      <c r="F2782" s="1" t="s">
        <v>18502</v>
      </c>
      <c r="G2782" s="1" t="s">
        <v>9060</v>
      </c>
      <c r="H2782" t="s">
        <v>8959</v>
      </c>
      <c r="I2782" s="1" t="s">
        <v>9605</v>
      </c>
      <c r="J2782" s="1" t="s">
        <v>9101</v>
      </c>
      <c r="K2782" s="1" t="s">
        <v>18489</v>
      </c>
      <c r="L2782" s="1" t="s">
        <v>8951</v>
      </c>
      <c r="M2782" s="1">
        <v>277</v>
      </c>
      <c r="N2782" s="1" t="s">
        <v>8953</v>
      </c>
      <c r="O2782" s="1" t="s">
        <v>8989</v>
      </c>
      <c r="P2782" s="1" t="e">
        <v>#N/A</v>
      </c>
      <c r="Q2782" s="1" t="e">
        <v>#N/A</v>
      </c>
      <c r="R2782" s="1">
        <f t="shared" si="818"/>
        <v>8</v>
      </c>
      <c r="S2782" s="1" t="str">
        <f t="shared" si="819"/>
        <v>&gt;7</v>
      </c>
      <c r="T2782" s="1" t="s">
        <v>20139</v>
      </c>
      <c r="U2782" s="1" t="s">
        <v>17</v>
      </c>
      <c r="V2782" s="1" t="s">
        <v>2061</v>
      </c>
      <c r="W2782" s="1"/>
    </row>
    <row r="2783" spans="1:23" x14ac:dyDescent="0.2">
      <c r="A2783" s="88" t="s">
        <v>17932</v>
      </c>
      <c r="B2783" s="1" t="e">
        <v>#N/A</v>
      </c>
      <c r="C2783" s="1" t="s">
        <v>12176</v>
      </c>
      <c r="D2783" s="1" t="s">
        <v>7341</v>
      </c>
      <c r="E2783" s="1" t="s">
        <v>7342</v>
      </c>
      <c r="F2783" s="1" t="s">
        <v>9010</v>
      </c>
      <c r="G2783" s="1" t="s">
        <v>8957</v>
      </c>
      <c r="H2783" t="s">
        <v>9183</v>
      </c>
      <c r="I2783" s="1" t="s">
        <v>8984</v>
      </c>
      <c r="J2783" s="1" t="s">
        <v>9174</v>
      </c>
      <c r="K2783" s="1" t="s">
        <v>10099</v>
      </c>
      <c r="L2783" s="1" t="s">
        <v>9292</v>
      </c>
      <c r="M2783" s="1">
        <v>8641</v>
      </c>
      <c r="N2783" s="1" t="s">
        <v>8953</v>
      </c>
      <c r="O2783" s="1" t="s">
        <v>8989</v>
      </c>
      <c r="P2783" s="1" t="s">
        <v>8955</v>
      </c>
      <c r="Q2783" s="1" t="s">
        <v>8956</v>
      </c>
      <c r="R2783" s="1" t="s">
        <v>8957</v>
      </c>
      <c r="S2783" s="1" t="s">
        <v>8958</v>
      </c>
      <c r="T2783" s="1" t="s">
        <v>7343</v>
      </c>
      <c r="U2783" s="1" t="s">
        <v>11</v>
      </c>
      <c r="V2783" s="1" t="s">
        <v>1318</v>
      </c>
      <c r="W2783" s="1"/>
    </row>
    <row r="2784" spans="1:23" x14ac:dyDescent="0.2">
      <c r="A2784" s="88" t="s">
        <v>17933</v>
      </c>
      <c r="B2784" s="1" t="e">
        <v>#N/A</v>
      </c>
      <c r="C2784" s="1" t="e">
        <v>#N/A</v>
      </c>
      <c r="D2784" s="1" t="s">
        <v>7344</v>
      </c>
      <c r="E2784" s="1" t="s">
        <v>7345</v>
      </c>
      <c r="F2784" s="1" t="s">
        <v>14748</v>
      </c>
      <c r="G2784" s="1" t="s">
        <v>8959</v>
      </c>
      <c r="H2784" t="s">
        <v>9009</v>
      </c>
      <c r="I2784" s="1" t="s">
        <v>9092</v>
      </c>
      <c r="J2784" s="1" t="s">
        <v>9308</v>
      </c>
      <c r="K2784" s="1" t="s">
        <v>21042</v>
      </c>
      <c r="L2784" s="1" t="s">
        <v>8951</v>
      </c>
      <c r="M2784" s="1">
        <f>135+45</f>
        <v>180</v>
      </c>
      <c r="N2784" s="1" t="s">
        <v>8953</v>
      </c>
      <c r="O2784" s="1" t="s">
        <v>8989</v>
      </c>
      <c r="P2784" s="1" t="e">
        <v>#N/A</v>
      </c>
      <c r="Q2784" s="1" t="e">
        <v>#N/A</v>
      </c>
      <c r="R2784" s="1">
        <f t="shared" ref="R2784:R2786" si="820">1+LEN(T2784)-LEN(SUBSTITUTE(T2784,",",))</f>
        <v>3</v>
      </c>
      <c r="S2784" s="1" t="str">
        <f t="shared" ref="S2784:S2786" si="821">IF(R2784&gt;4,IF(R2784&lt;8,"4-7",IF(R2784&gt;7,"&gt;7")),"&lt;4")</f>
        <v>&lt;4</v>
      </c>
      <c r="T2784" s="1" t="s">
        <v>20140</v>
      </c>
      <c r="U2784" s="1" t="s">
        <v>7</v>
      </c>
      <c r="V2784" s="1" t="s">
        <v>7346</v>
      </c>
      <c r="W2784" s="1"/>
    </row>
    <row r="2785" spans="1:23" x14ac:dyDescent="0.2">
      <c r="A2785" s="88" t="s">
        <v>17934</v>
      </c>
      <c r="B2785" s="1" t="e">
        <v>#N/A</v>
      </c>
      <c r="C2785" s="1" t="e">
        <v>#N/A</v>
      </c>
      <c r="D2785" s="1" t="s">
        <v>7347</v>
      </c>
      <c r="E2785" s="1" t="s">
        <v>7348</v>
      </c>
      <c r="F2785" s="1" t="s">
        <v>21054</v>
      </c>
      <c r="G2785" s="1" t="s">
        <v>8957</v>
      </c>
      <c r="H2785" t="s">
        <v>8959</v>
      </c>
      <c r="I2785" s="1" t="s">
        <v>9035</v>
      </c>
      <c r="J2785" s="1" t="s">
        <v>9308</v>
      </c>
      <c r="K2785" s="1" t="s">
        <v>20723</v>
      </c>
      <c r="L2785" s="1" t="s">
        <v>9133</v>
      </c>
      <c r="M2785" s="1">
        <f>112120+40561+1299+481+1500+14197122</f>
        <v>14353083</v>
      </c>
      <c r="N2785" s="1" t="s">
        <v>8953</v>
      </c>
      <c r="O2785" s="1" t="s">
        <v>8954</v>
      </c>
      <c r="P2785" s="1" t="e">
        <v>#N/A</v>
      </c>
      <c r="Q2785" s="1" t="e">
        <v>#N/A</v>
      </c>
      <c r="R2785" s="1">
        <f t="shared" si="820"/>
        <v>5</v>
      </c>
      <c r="S2785" s="1" t="str">
        <f t="shared" si="821"/>
        <v>4-7</v>
      </c>
      <c r="T2785" s="1" t="s">
        <v>20141</v>
      </c>
      <c r="U2785" s="1" t="s">
        <v>7</v>
      </c>
      <c r="V2785" s="1" t="s">
        <v>46</v>
      </c>
      <c r="W2785" s="1"/>
    </row>
    <row r="2786" spans="1:23" x14ac:dyDescent="0.2">
      <c r="A2786" s="88" t="s">
        <v>17935</v>
      </c>
      <c r="B2786" s="1" t="e">
        <v>#N/A</v>
      </c>
      <c r="C2786" s="1" t="e">
        <v>#N/A</v>
      </c>
      <c r="D2786" s="1" t="s">
        <v>7349</v>
      </c>
      <c r="E2786" s="1" t="s">
        <v>7350</v>
      </c>
      <c r="F2786" s="1" t="e">
        <v>#N/A</v>
      </c>
      <c r="G2786" s="1" t="e">
        <v>#N/A</v>
      </c>
      <c r="H2786" t="e">
        <v>#N/A</v>
      </c>
      <c r="I2786" s="1" t="e">
        <v>#N/A</v>
      </c>
      <c r="J2786" s="1" t="e">
        <v>#N/A</v>
      </c>
      <c r="K2786" s="1" t="e">
        <v>#N/A</v>
      </c>
      <c r="L2786" s="1" t="e">
        <v>#N/A</v>
      </c>
      <c r="M2786" s="1" t="e">
        <v>#N/A</v>
      </c>
      <c r="N2786" s="1" t="e">
        <v>#N/A</v>
      </c>
      <c r="O2786" s="1" t="e">
        <v>#N/A</v>
      </c>
      <c r="P2786" s="1" t="e">
        <v>#N/A</v>
      </c>
      <c r="Q2786" s="1" t="e">
        <v>#N/A</v>
      </c>
      <c r="R2786" s="1">
        <f t="shared" si="820"/>
        <v>9</v>
      </c>
      <c r="S2786" s="1" t="str">
        <f t="shared" si="821"/>
        <v>&gt;7</v>
      </c>
      <c r="T2786" s="1" t="s">
        <v>20142</v>
      </c>
      <c r="U2786" s="1" t="s">
        <v>252</v>
      </c>
      <c r="V2786" s="1" t="s">
        <v>496</v>
      </c>
      <c r="W2786" s="1"/>
    </row>
    <row r="2787" spans="1:23" x14ac:dyDescent="0.2">
      <c r="A2787" s="89" t="s">
        <v>7351</v>
      </c>
      <c r="B2787" s="1" t="e">
        <v>#N/A</v>
      </c>
      <c r="C2787" s="1" t="s">
        <v>11055</v>
      </c>
      <c r="D2787" s="1" t="s">
        <v>7352</v>
      </c>
      <c r="E2787" s="1" t="s">
        <v>7353</v>
      </c>
      <c r="F2787" s="1" t="s">
        <v>9815</v>
      </c>
      <c r="G2787" s="1" t="s">
        <v>8959</v>
      </c>
      <c r="H2787" t="s">
        <v>9061</v>
      </c>
      <c r="I2787" s="1" t="s">
        <v>11058</v>
      </c>
      <c r="J2787" s="1" t="s">
        <v>9155</v>
      </c>
      <c r="K2787" s="1" t="s">
        <v>9036</v>
      </c>
      <c r="L2787" s="1" t="s">
        <v>9133</v>
      </c>
      <c r="M2787" s="1">
        <v>72</v>
      </c>
      <c r="N2787" s="1" t="s">
        <v>8953</v>
      </c>
      <c r="O2787" s="1" t="s">
        <v>8989</v>
      </c>
      <c r="P2787" s="1" t="s">
        <v>8955</v>
      </c>
      <c r="Q2787" s="1" t="s">
        <v>8956</v>
      </c>
      <c r="R2787" s="1" t="s">
        <v>8959</v>
      </c>
      <c r="S2787" s="1" t="s">
        <v>8958</v>
      </c>
      <c r="T2787" s="1" t="s">
        <v>7354</v>
      </c>
      <c r="U2787" s="1" t="s">
        <v>17</v>
      </c>
      <c r="V2787" s="1" t="s">
        <v>7355</v>
      </c>
      <c r="W2787" s="1"/>
    </row>
    <row r="2788" spans="1:23" x14ac:dyDescent="0.2">
      <c r="A2788" s="89" t="s">
        <v>7356</v>
      </c>
      <c r="B2788" s="1" t="e">
        <v>#N/A</v>
      </c>
      <c r="C2788" s="1" t="e">
        <v>#N/A</v>
      </c>
      <c r="D2788" s="1" t="s">
        <v>7357</v>
      </c>
      <c r="E2788" s="1" t="s">
        <v>7358</v>
      </c>
      <c r="F2788" s="1" t="e">
        <v>#N/A</v>
      </c>
      <c r="G2788" s="1" t="e">
        <v>#N/A</v>
      </c>
      <c r="H2788" t="e">
        <v>#N/A</v>
      </c>
      <c r="I2788" s="1" t="e">
        <v>#N/A</v>
      </c>
      <c r="J2788" s="1" t="e">
        <v>#N/A</v>
      </c>
      <c r="K2788" s="1" t="e">
        <v>#N/A</v>
      </c>
      <c r="L2788" s="1" t="e">
        <v>#N/A</v>
      </c>
      <c r="M2788" s="1" t="e">
        <v>#N/A</v>
      </c>
      <c r="N2788" s="1" t="e">
        <v>#N/A</v>
      </c>
      <c r="O2788" s="1" t="e">
        <v>#N/A</v>
      </c>
      <c r="P2788" s="1" t="e">
        <v>#N/A</v>
      </c>
      <c r="Q2788" s="1" t="e">
        <v>#N/A</v>
      </c>
      <c r="R2788" s="1">
        <f t="shared" ref="R2788:R2789" si="822">1+LEN(T2788)-LEN(SUBSTITUTE(T2788,",",))</f>
        <v>5</v>
      </c>
      <c r="S2788" s="1" t="str">
        <f t="shared" ref="S2788:S2789" si="823">IF(R2788&gt;4,IF(R2788&lt;8,"4-7",IF(R2788&gt;7,"&gt;7")),"&lt;4")</f>
        <v>4-7</v>
      </c>
      <c r="T2788" s="1" t="s">
        <v>20143</v>
      </c>
      <c r="U2788" s="1" t="s">
        <v>17</v>
      </c>
      <c r="V2788" s="1" t="s">
        <v>7355</v>
      </c>
      <c r="W2788" s="1"/>
    </row>
    <row r="2789" spans="1:23" x14ac:dyDescent="0.2">
      <c r="A2789" s="88" t="s">
        <v>17936</v>
      </c>
      <c r="B2789" s="1" t="e">
        <v>#N/A</v>
      </c>
      <c r="C2789" s="1" t="e">
        <v>#N/A</v>
      </c>
      <c r="D2789" s="1" t="s">
        <v>7359</v>
      </c>
      <c r="E2789" s="1" t="s">
        <v>7360</v>
      </c>
      <c r="F2789" s="1" t="s">
        <v>18502</v>
      </c>
      <c r="G2789" s="1" t="s">
        <v>8957</v>
      </c>
      <c r="H2789" t="s">
        <v>8959</v>
      </c>
      <c r="I2789" s="1" t="s">
        <v>9252</v>
      </c>
      <c r="J2789" s="1" t="s">
        <v>8971</v>
      </c>
      <c r="K2789" s="1" t="s">
        <v>10492</v>
      </c>
      <c r="L2789" s="1" t="s">
        <v>8973</v>
      </c>
      <c r="M2789" s="1">
        <v>510</v>
      </c>
      <c r="N2789" s="1" t="s">
        <v>8953</v>
      </c>
      <c r="O2789" s="1" t="s">
        <v>8954</v>
      </c>
      <c r="P2789" s="1" t="e">
        <v>#N/A</v>
      </c>
      <c r="Q2789" s="1" t="e">
        <v>#N/A</v>
      </c>
      <c r="R2789" s="1">
        <f t="shared" si="822"/>
        <v>3</v>
      </c>
      <c r="S2789" s="1" t="str">
        <f t="shared" si="823"/>
        <v>&lt;4</v>
      </c>
      <c r="T2789" s="1" t="s">
        <v>20144</v>
      </c>
      <c r="U2789" s="1" t="s">
        <v>7</v>
      </c>
      <c r="V2789" s="1" t="s">
        <v>1524</v>
      </c>
      <c r="W2789" s="1"/>
    </row>
    <row r="2790" spans="1:23" x14ac:dyDescent="0.2">
      <c r="A2790" s="88" t="s">
        <v>17937</v>
      </c>
      <c r="B2790" s="1" t="e">
        <v>#N/A</v>
      </c>
      <c r="C2790" s="1" t="s">
        <v>11097</v>
      </c>
      <c r="D2790" s="1" t="s">
        <v>7361</v>
      </c>
      <c r="E2790" s="1" t="s">
        <v>7362</v>
      </c>
      <c r="F2790" s="1" t="s">
        <v>11100</v>
      </c>
      <c r="G2790" s="1" t="s">
        <v>8957</v>
      </c>
      <c r="H2790" t="s">
        <v>9183</v>
      </c>
      <c r="I2790" s="1" t="s">
        <v>8948</v>
      </c>
      <c r="J2790" s="1" t="s">
        <v>8949</v>
      </c>
      <c r="K2790" s="1" t="s">
        <v>9036</v>
      </c>
      <c r="L2790" s="1" t="s">
        <v>9292</v>
      </c>
      <c r="M2790" s="1">
        <v>368</v>
      </c>
      <c r="N2790" s="1" t="s">
        <v>8953</v>
      </c>
      <c r="O2790" s="1" t="s">
        <v>8954</v>
      </c>
      <c r="P2790" s="1" t="s">
        <v>8955</v>
      </c>
      <c r="Q2790" s="1" t="s">
        <v>8956</v>
      </c>
      <c r="R2790" s="1" t="s">
        <v>8957</v>
      </c>
      <c r="S2790" s="1" t="s">
        <v>8958</v>
      </c>
      <c r="T2790" s="1" t="s">
        <v>7363</v>
      </c>
      <c r="U2790" s="1" t="s">
        <v>11</v>
      </c>
      <c r="V2790" s="1" t="s">
        <v>727</v>
      </c>
      <c r="W2790" s="1"/>
    </row>
    <row r="2791" spans="1:23" x14ac:dyDescent="0.2">
      <c r="A2791" s="88" t="s">
        <v>17938</v>
      </c>
      <c r="B2791" s="1" t="e">
        <v>#N/A</v>
      </c>
      <c r="C2791" s="1" t="e">
        <v>#N/A</v>
      </c>
      <c r="D2791" s="1" t="s">
        <v>7364</v>
      </c>
      <c r="E2791" s="1" t="s">
        <v>7365</v>
      </c>
      <c r="F2791" s="1" t="s">
        <v>18502</v>
      </c>
      <c r="G2791" s="1" t="s">
        <v>9060</v>
      </c>
      <c r="H2791" t="s">
        <v>9183</v>
      </c>
      <c r="I2791" s="1" t="s">
        <v>9100</v>
      </c>
      <c r="J2791" s="1" t="s">
        <v>8949</v>
      </c>
      <c r="K2791" s="1" t="s">
        <v>21042</v>
      </c>
      <c r="L2791" s="1" t="s">
        <v>9292</v>
      </c>
      <c r="M2791" s="1">
        <v>612</v>
      </c>
      <c r="N2791" s="1" t="s">
        <v>9059</v>
      </c>
      <c r="O2791" s="1" t="s">
        <v>8954</v>
      </c>
      <c r="P2791" s="1" t="e">
        <v>#N/A</v>
      </c>
      <c r="Q2791" s="1" t="e">
        <v>#N/A</v>
      </c>
      <c r="R2791" s="1">
        <f t="shared" ref="R2791:R2796" si="824">1+LEN(T2791)-LEN(SUBSTITUTE(T2791,",",))</f>
        <v>2</v>
      </c>
      <c r="S2791" s="1" t="str">
        <f t="shared" ref="S2791:S2796" si="825">IF(R2791&gt;4,IF(R2791&lt;8,"4-7",IF(R2791&gt;7,"&gt;7")),"&lt;4")</f>
        <v>&lt;4</v>
      </c>
      <c r="T2791" s="1" t="s">
        <v>20145</v>
      </c>
      <c r="U2791" s="1" t="s">
        <v>7</v>
      </c>
      <c r="V2791" s="1" t="s">
        <v>2121</v>
      </c>
      <c r="W2791" s="1"/>
    </row>
    <row r="2792" spans="1:23" x14ac:dyDescent="0.2">
      <c r="A2792" s="88" t="s">
        <v>17939</v>
      </c>
      <c r="B2792" s="1" t="e">
        <v>#N/A</v>
      </c>
      <c r="C2792" s="1" t="e">
        <v>#N/A</v>
      </c>
      <c r="D2792" s="1" t="s">
        <v>7366</v>
      </c>
      <c r="E2792" s="1" t="s">
        <v>7367</v>
      </c>
      <c r="F2792" s="1" t="s">
        <v>12908</v>
      </c>
      <c r="G2792" s="1" t="e">
        <v>#N/A</v>
      </c>
      <c r="H2792" t="s">
        <v>8959</v>
      </c>
      <c r="I2792" s="1" t="s">
        <v>9252</v>
      </c>
      <c r="J2792" s="1" t="s">
        <v>9101</v>
      </c>
      <c r="K2792" s="1" t="s">
        <v>21039</v>
      </c>
      <c r="L2792" s="1" t="s">
        <v>8951</v>
      </c>
      <c r="M2792" s="1">
        <v>152</v>
      </c>
      <c r="N2792" s="1" t="s">
        <v>9059</v>
      </c>
      <c r="O2792" s="1" t="s">
        <v>8989</v>
      </c>
      <c r="P2792" s="1" t="e">
        <v>#N/A</v>
      </c>
      <c r="Q2792" s="1" t="e">
        <v>#N/A</v>
      </c>
      <c r="R2792" s="1">
        <f t="shared" si="824"/>
        <v>8</v>
      </c>
      <c r="S2792" s="1" t="str">
        <f t="shared" si="825"/>
        <v>&gt;7</v>
      </c>
      <c r="T2792" s="1" t="s">
        <v>20146</v>
      </c>
      <c r="U2792" s="1" t="s">
        <v>7</v>
      </c>
      <c r="V2792" s="1" t="s">
        <v>61</v>
      </c>
      <c r="W2792" s="1"/>
    </row>
    <row r="2793" spans="1:23" x14ac:dyDescent="0.2">
      <c r="A2793" s="89" t="s">
        <v>7368</v>
      </c>
      <c r="B2793" s="1" t="e">
        <v>#N/A</v>
      </c>
      <c r="C2793" s="1" t="e">
        <v>#N/A</v>
      </c>
      <c r="D2793" s="5" t="s">
        <v>7369</v>
      </c>
      <c r="E2793" s="1" t="s">
        <v>7370</v>
      </c>
      <c r="F2793" s="1" t="e">
        <v>#N/A</v>
      </c>
      <c r="G2793" s="1" t="e">
        <v>#N/A</v>
      </c>
      <c r="H2793" t="e">
        <v>#N/A</v>
      </c>
      <c r="I2793" s="1" t="e">
        <v>#N/A</v>
      </c>
      <c r="J2793" s="1" t="e">
        <v>#N/A</v>
      </c>
      <c r="K2793" s="1" t="e">
        <v>#N/A</v>
      </c>
      <c r="L2793" s="1" t="e">
        <v>#N/A</v>
      </c>
      <c r="M2793" s="1" t="e">
        <v>#N/A</v>
      </c>
      <c r="N2793" s="1" t="e">
        <v>#N/A</v>
      </c>
      <c r="O2793" s="1" t="e">
        <v>#N/A</v>
      </c>
      <c r="P2793" s="1" t="e">
        <v>#N/A</v>
      </c>
      <c r="Q2793" s="1" t="e">
        <v>#N/A</v>
      </c>
      <c r="R2793" s="1">
        <f t="shared" si="824"/>
        <v>3</v>
      </c>
      <c r="S2793" s="1" t="str">
        <f t="shared" si="825"/>
        <v>&lt;4</v>
      </c>
      <c r="T2793" s="1" t="s">
        <v>20147</v>
      </c>
      <c r="U2793" s="1" t="s">
        <v>17</v>
      </c>
      <c r="V2793" s="1" t="s">
        <v>7371</v>
      </c>
      <c r="W2793" s="1"/>
    </row>
    <row r="2794" spans="1:23" x14ac:dyDescent="0.2">
      <c r="A2794" s="88" t="s">
        <v>17940</v>
      </c>
      <c r="B2794" s="1" t="e">
        <v>#N/A</v>
      </c>
      <c r="C2794" s="1" t="e">
        <v>#N/A</v>
      </c>
      <c r="D2794" s="1" t="s">
        <v>7372</v>
      </c>
      <c r="E2794" s="1" t="s">
        <v>7373</v>
      </c>
      <c r="F2794" s="1" t="s">
        <v>10049</v>
      </c>
      <c r="G2794" s="1" t="s">
        <v>8959</v>
      </c>
      <c r="H2794" t="s">
        <v>8959</v>
      </c>
      <c r="I2794" s="1" t="s">
        <v>9252</v>
      </c>
      <c r="J2794" s="1" t="s">
        <v>18504</v>
      </c>
      <c r="K2794" s="1" t="s">
        <v>21063</v>
      </c>
      <c r="L2794" s="1" t="s">
        <v>8973</v>
      </c>
      <c r="M2794" s="1">
        <v>283</v>
      </c>
      <c r="N2794" s="1" t="s">
        <v>21064</v>
      </c>
      <c r="O2794" s="1" t="s">
        <v>8989</v>
      </c>
      <c r="P2794" s="1" t="e">
        <v>#N/A</v>
      </c>
      <c r="Q2794" s="1" t="e">
        <v>#N/A</v>
      </c>
      <c r="R2794" s="1">
        <f t="shared" si="824"/>
        <v>7</v>
      </c>
      <c r="S2794" s="1" t="str">
        <f t="shared" si="825"/>
        <v>4-7</v>
      </c>
      <c r="T2794" s="1" t="s">
        <v>20148</v>
      </c>
      <c r="U2794" s="1" t="s">
        <v>17</v>
      </c>
      <c r="V2794" s="1" t="s">
        <v>35</v>
      </c>
      <c r="W2794" s="1"/>
    </row>
    <row r="2795" spans="1:23" x14ac:dyDescent="0.2">
      <c r="A2795" s="88" t="s">
        <v>17941</v>
      </c>
      <c r="B2795" s="1" t="e">
        <v>#N/A</v>
      </c>
      <c r="C2795" s="1" t="e">
        <v>#N/A</v>
      </c>
      <c r="D2795" s="1" t="s">
        <v>7374</v>
      </c>
      <c r="E2795" s="1" t="s">
        <v>7375</v>
      </c>
      <c r="F2795" s="1" t="s">
        <v>12908</v>
      </c>
      <c r="G2795" s="1" t="s">
        <v>9060</v>
      </c>
      <c r="H2795" t="s">
        <v>8959</v>
      </c>
      <c r="I2795" s="1" t="s">
        <v>8948</v>
      </c>
      <c r="J2795" s="1" t="s">
        <v>8949</v>
      </c>
      <c r="K2795" s="1" t="s">
        <v>10492</v>
      </c>
      <c r="L2795" s="1" t="s">
        <v>8973</v>
      </c>
      <c r="M2795" s="1">
        <v>916</v>
      </c>
      <c r="N2795" s="1" t="s">
        <v>21064</v>
      </c>
      <c r="O2795" s="1" t="s">
        <v>8989</v>
      </c>
      <c r="P2795" s="1" t="e">
        <v>#N/A</v>
      </c>
      <c r="Q2795" s="1" t="e">
        <v>#N/A</v>
      </c>
      <c r="R2795" s="1">
        <f t="shared" si="824"/>
        <v>6</v>
      </c>
      <c r="S2795" s="1" t="str">
        <f t="shared" si="825"/>
        <v>4-7</v>
      </c>
      <c r="T2795" s="1" t="s">
        <v>20149</v>
      </c>
      <c r="U2795" s="1" t="s">
        <v>7</v>
      </c>
      <c r="V2795" s="1" t="s">
        <v>938</v>
      </c>
      <c r="W2795" s="1"/>
    </row>
    <row r="2796" spans="1:23" x14ac:dyDescent="0.2">
      <c r="A2796" s="89" t="s">
        <v>7376</v>
      </c>
      <c r="B2796" s="1" t="e">
        <v>#N/A</v>
      </c>
      <c r="C2796" s="1" t="e">
        <v>#N/A</v>
      </c>
      <c r="D2796" s="1" t="s">
        <v>7377</v>
      </c>
      <c r="E2796" s="1" t="s">
        <v>7378</v>
      </c>
      <c r="F2796" s="1" t="e">
        <v>#N/A</v>
      </c>
      <c r="G2796" s="1" t="e">
        <v>#N/A</v>
      </c>
      <c r="H2796" t="e">
        <v>#N/A</v>
      </c>
      <c r="I2796" s="1" t="e">
        <v>#N/A</v>
      </c>
      <c r="J2796" s="1" t="e">
        <v>#N/A</v>
      </c>
      <c r="K2796" s="1" t="e">
        <v>#N/A</v>
      </c>
      <c r="L2796" s="1" t="e">
        <v>#N/A</v>
      </c>
      <c r="M2796" s="1" t="e">
        <v>#N/A</v>
      </c>
      <c r="N2796" s="1" t="e">
        <v>#N/A</v>
      </c>
      <c r="O2796" s="1" t="e">
        <v>#N/A</v>
      </c>
      <c r="P2796" s="1" t="e">
        <v>#N/A</v>
      </c>
      <c r="Q2796" s="1" t="e">
        <v>#N/A</v>
      </c>
      <c r="R2796" s="1">
        <f t="shared" si="824"/>
        <v>3</v>
      </c>
      <c r="S2796" s="1" t="str">
        <f t="shared" si="825"/>
        <v>&lt;4</v>
      </c>
      <c r="T2796" s="1" t="s">
        <v>20150</v>
      </c>
      <c r="U2796" s="1" t="s">
        <v>11</v>
      </c>
      <c r="V2796" s="1" t="s">
        <v>430</v>
      </c>
      <c r="W2796" s="1"/>
    </row>
    <row r="2797" spans="1:23" x14ac:dyDescent="0.2">
      <c r="A2797" s="88" t="s">
        <v>17942</v>
      </c>
      <c r="B2797" s="1" t="e">
        <v>#N/A</v>
      </c>
      <c r="C2797" s="1" t="s">
        <v>14729</v>
      </c>
      <c r="D2797" s="1" t="s">
        <v>7379</v>
      </c>
      <c r="E2797" s="1" t="s">
        <v>7380</v>
      </c>
      <c r="F2797" s="1" t="s">
        <v>9246</v>
      </c>
      <c r="G2797" s="1" t="s">
        <v>8957</v>
      </c>
      <c r="H2797" t="s">
        <v>9061</v>
      </c>
      <c r="I2797" s="1" t="s">
        <v>9035</v>
      </c>
      <c r="J2797" s="1" t="s">
        <v>8998</v>
      </c>
      <c r="K2797" s="1" t="s">
        <v>9018</v>
      </c>
      <c r="L2797" s="1" t="s">
        <v>9157</v>
      </c>
      <c r="M2797" s="1">
        <v>1018</v>
      </c>
      <c r="N2797" s="1" t="s">
        <v>9059</v>
      </c>
      <c r="O2797" s="1" t="s">
        <v>8954</v>
      </c>
      <c r="P2797" s="1" t="s">
        <v>8955</v>
      </c>
      <c r="Q2797" s="1" t="s">
        <v>8956</v>
      </c>
      <c r="R2797" s="1" t="s">
        <v>8957</v>
      </c>
      <c r="S2797" s="1" t="s">
        <v>8958</v>
      </c>
      <c r="T2797" s="1" t="s">
        <v>7381</v>
      </c>
      <c r="U2797" s="1" t="s">
        <v>17</v>
      </c>
      <c r="V2797" s="1" t="s">
        <v>2819</v>
      </c>
      <c r="W2797" s="1"/>
    </row>
    <row r="2798" spans="1:23" x14ac:dyDescent="0.2">
      <c r="A2798" s="88" t="s">
        <v>17943</v>
      </c>
      <c r="B2798" s="1" t="e">
        <v>#N/A</v>
      </c>
      <c r="C2798" s="1" t="e">
        <v>#N/A</v>
      </c>
      <c r="D2798" s="1" t="s">
        <v>7382</v>
      </c>
      <c r="E2798" s="1" t="s">
        <v>7383</v>
      </c>
      <c r="F2798" s="1" t="s">
        <v>9642</v>
      </c>
      <c r="G2798" s="1" t="s">
        <v>8959</v>
      </c>
      <c r="H2798" t="s">
        <v>8959</v>
      </c>
      <c r="I2798" s="1" t="s">
        <v>20714</v>
      </c>
      <c r="J2798" s="1" t="s">
        <v>9050</v>
      </c>
      <c r="K2798" s="1" t="s">
        <v>21297</v>
      </c>
      <c r="L2798" s="1" t="s">
        <v>8951</v>
      </c>
      <c r="M2798" s="1">
        <v>88704</v>
      </c>
      <c r="N2798" s="1" t="s">
        <v>8953</v>
      </c>
      <c r="O2798" s="1" t="s">
        <v>8954</v>
      </c>
      <c r="P2798" s="1" t="e">
        <v>#N/A</v>
      </c>
      <c r="Q2798" s="1" t="e">
        <v>#N/A</v>
      </c>
      <c r="R2798" s="1">
        <f>1+LEN(T2798)-LEN(SUBSTITUTE(T2798,",",))</f>
        <v>4</v>
      </c>
      <c r="S2798" s="1" t="str">
        <f>IF(R2798&gt;4,IF(R2798&lt;8,"4-7",IF(R2798&gt;7,"&gt;7")),"&lt;4")</f>
        <v>&lt;4</v>
      </c>
      <c r="T2798" s="1" t="s">
        <v>20151</v>
      </c>
      <c r="U2798" s="1" t="s">
        <v>7</v>
      </c>
      <c r="V2798" s="1" t="s">
        <v>7384</v>
      </c>
      <c r="W2798" s="1"/>
    </row>
    <row r="2799" spans="1:23" x14ac:dyDescent="0.2">
      <c r="A2799" s="88" t="s">
        <v>17944</v>
      </c>
      <c r="B2799" s="1" t="e">
        <v>#N/A</v>
      </c>
      <c r="C2799" s="1" t="s">
        <v>9242</v>
      </c>
      <c r="D2799" s="1" t="s">
        <v>7385</v>
      </c>
      <c r="E2799" s="1" t="s">
        <v>7386</v>
      </c>
      <c r="F2799" s="1" t="s">
        <v>9246</v>
      </c>
      <c r="G2799" s="1" t="s">
        <v>9060</v>
      </c>
      <c r="H2799" t="s">
        <v>9061</v>
      </c>
      <c r="I2799" s="1" t="s">
        <v>8948</v>
      </c>
      <c r="J2799" s="1" t="s">
        <v>8998</v>
      </c>
      <c r="K2799" s="1" t="s">
        <v>9245</v>
      </c>
      <c r="L2799" s="1" t="s">
        <v>8951</v>
      </c>
      <c r="M2799" s="1">
        <v>196</v>
      </c>
      <c r="N2799" s="1" t="s">
        <v>8953</v>
      </c>
      <c r="O2799" s="1" t="s">
        <v>8989</v>
      </c>
      <c r="P2799" s="1" t="s">
        <v>8955</v>
      </c>
      <c r="Q2799" s="1" t="s">
        <v>8956</v>
      </c>
      <c r="R2799" s="1" t="s">
        <v>9060</v>
      </c>
      <c r="S2799" s="1" t="s">
        <v>8958</v>
      </c>
      <c r="T2799" s="1" t="s">
        <v>7387</v>
      </c>
      <c r="U2799" s="1" t="s">
        <v>7</v>
      </c>
      <c r="V2799" s="1" t="s">
        <v>61</v>
      </c>
      <c r="W2799" s="1"/>
    </row>
    <row r="2800" spans="1:23" x14ac:dyDescent="0.2">
      <c r="A2800" s="94" t="s">
        <v>17945</v>
      </c>
      <c r="B2800" s="1" t="e">
        <v>#N/A</v>
      </c>
      <c r="C2800" s="1" t="e">
        <v>#N/A</v>
      </c>
      <c r="D2800" s="1" t="s">
        <v>7388</v>
      </c>
      <c r="E2800" s="1" t="s">
        <v>7389</v>
      </c>
      <c r="F2800" s="1" t="e">
        <v>#N/A</v>
      </c>
      <c r="G2800" s="1" t="e">
        <v>#N/A</v>
      </c>
      <c r="H2800" t="e">
        <v>#N/A</v>
      </c>
      <c r="I2800" s="1" t="e">
        <v>#N/A</v>
      </c>
      <c r="J2800" s="1" t="e">
        <v>#N/A</v>
      </c>
      <c r="K2800" s="1" t="e">
        <v>#N/A</v>
      </c>
      <c r="L2800" s="1" t="e">
        <v>#N/A</v>
      </c>
      <c r="M2800" s="1" t="e">
        <v>#N/A</v>
      </c>
      <c r="N2800" s="1" t="e">
        <v>#N/A</v>
      </c>
      <c r="O2800" s="1" t="e">
        <v>#N/A</v>
      </c>
      <c r="P2800" s="1" t="e">
        <v>#N/A</v>
      </c>
      <c r="Q2800" s="1" t="e">
        <v>#N/A</v>
      </c>
      <c r="R2800" s="1">
        <f>1+LEN(T2800)-LEN(SUBSTITUTE(T2800,",",))</f>
        <v>10</v>
      </c>
      <c r="S2800" s="1" t="str">
        <f>IF(R2800&gt;4,IF(R2800&lt;8,"4-7",IF(R2800&gt;7,"&gt;7")),"&lt;4")</f>
        <v>&gt;7</v>
      </c>
      <c r="T2800" s="1" t="s">
        <v>20152</v>
      </c>
      <c r="U2800" s="1" t="s">
        <v>17</v>
      </c>
      <c r="V2800" s="1" t="s">
        <v>7390</v>
      </c>
      <c r="W2800" s="1"/>
    </row>
    <row r="2801" spans="1:23" x14ac:dyDescent="0.2">
      <c r="A2801" s="88" t="s">
        <v>17946</v>
      </c>
      <c r="B2801" s="1" t="e">
        <v>#N/A</v>
      </c>
      <c r="C2801" s="1" t="s">
        <v>15235</v>
      </c>
      <c r="D2801" s="1" t="s">
        <v>7391</v>
      </c>
      <c r="E2801" s="1" t="s">
        <v>7392</v>
      </c>
      <c r="F2801" s="1" t="s">
        <v>9246</v>
      </c>
      <c r="G2801" s="1" t="s">
        <v>8957</v>
      </c>
      <c r="H2801" t="s">
        <v>9061</v>
      </c>
      <c r="I2801" s="1" t="s">
        <v>8948</v>
      </c>
      <c r="J2801" s="1" t="s">
        <v>8971</v>
      </c>
      <c r="K2801" s="1" t="s">
        <v>21456</v>
      </c>
      <c r="L2801" s="1" t="s">
        <v>8951</v>
      </c>
      <c r="M2801" s="1">
        <v>49269</v>
      </c>
      <c r="N2801" s="1" t="s">
        <v>8953</v>
      </c>
      <c r="O2801" s="1" t="s">
        <v>8954</v>
      </c>
      <c r="P2801" s="1" t="s">
        <v>9182</v>
      </c>
      <c r="Q2801" s="1" t="s">
        <v>8956</v>
      </c>
      <c r="R2801" s="1" t="s">
        <v>8957</v>
      </c>
      <c r="S2801" s="1" t="s">
        <v>8958</v>
      </c>
      <c r="T2801" s="1" t="s">
        <v>7393</v>
      </c>
      <c r="U2801" s="1" t="s">
        <v>17</v>
      </c>
      <c r="V2801" s="1" t="s">
        <v>1524</v>
      </c>
      <c r="W2801" s="1"/>
    </row>
    <row r="2802" spans="1:23" x14ac:dyDescent="0.2">
      <c r="A2802" s="88" t="s">
        <v>17947</v>
      </c>
      <c r="B2802" s="1" t="e">
        <v>#N/A</v>
      </c>
      <c r="C2802" s="1" t="e">
        <v>#N/A</v>
      </c>
      <c r="D2802" s="1" t="s">
        <v>7394</v>
      </c>
      <c r="E2802" s="1" t="s">
        <v>7395</v>
      </c>
      <c r="F2802" s="1" t="s">
        <v>9246</v>
      </c>
      <c r="G2802" s="1" t="s">
        <v>8957</v>
      </c>
      <c r="H2802" t="s">
        <v>8959</v>
      </c>
      <c r="I2802" s="1" t="s">
        <v>9075</v>
      </c>
      <c r="J2802" s="1" t="s">
        <v>8971</v>
      </c>
      <c r="K2802" s="1" t="s">
        <v>21063</v>
      </c>
      <c r="L2802" s="1" t="s">
        <v>8973</v>
      </c>
      <c r="M2802" s="1">
        <f>649+64+117+601</f>
        <v>1431</v>
      </c>
      <c r="N2802" s="1" t="s">
        <v>8953</v>
      </c>
      <c r="O2802" s="1" t="s">
        <v>8989</v>
      </c>
      <c r="P2802" s="1" t="e">
        <v>#N/A</v>
      </c>
      <c r="Q2802" s="1" t="e">
        <v>#N/A</v>
      </c>
      <c r="R2802" s="1">
        <f t="shared" ref="R2802:R2803" si="826">1+LEN(T2802)-LEN(SUBSTITUTE(T2802,",",))</f>
        <v>6</v>
      </c>
      <c r="S2802" s="1" t="str">
        <f t="shared" ref="S2802:S2803" si="827">IF(R2802&gt;4,IF(R2802&lt;8,"4-7",IF(R2802&gt;7,"&gt;7")),"&lt;4")</f>
        <v>4-7</v>
      </c>
      <c r="T2802" s="1" t="s">
        <v>20153</v>
      </c>
      <c r="U2802" s="1" t="s">
        <v>17</v>
      </c>
      <c r="V2802" s="1" t="s">
        <v>565</v>
      </c>
      <c r="W2802" s="1"/>
    </row>
    <row r="2803" spans="1:23" x14ac:dyDescent="0.2">
      <c r="A2803" s="88" t="s">
        <v>17948</v>
      </c>
      <c r="B2803" s="1" t="e">
        <v>#N/A</v>
      </c>
      <c r="C2803" s="1" t="e">
        <v>#N/A</v>
      </c>
      <c r="D2803" s="1" t="s">
        <v>7396</v>
      </c>
      <c r="E2803" s="1" t="s">
        <v>7397</v>
      </c>
      <c r="F2803" s="1" t="s">
        <v>9246</v>
      </c>
      <c r="G2803" s="1" t="s">
        <v>8959</v>
      </c>
      <c r="H2803" t="s">
        <v>8959</v>
      </c>
      <c r="I2803" s="1" t="s">
        <v>9154</v>
      </c>
      <c r="J2803" s="1" t="s">
        <v>8998</v>
      </c>
      <c r="K2803" s="1" t="s">
        <v>10492</v>
      </c>
      <c r="L2803" s="1" t="s">
        <v>8951</v>
      </c>
      <c r="M2803" s="1">
        <v>160</v>
      </c>
      <c r="N2803" s="1" t="s">
        <v>9059</v>
      </c>
      <c r="O2803" s="1" t="s">
        <v>8954</v>
      </c>
      <c r="P2803" s="1" t="e">
        <v>#N/A</v>
      </c>
      <c r="Q2803" s="1" t="e">
        <v>#N/A</v>
      </c>
      <c r="R2803" s="1">
        <f t="shared" si="826"/>
        <v>10</v>
      </c>
      <c r="S2803" s="1" t="str">
        <f t="shared" si="827"/>
        <v>&gt;7</v>
      </c>
      <c r="T2803" s="1" t="s">
        <v>20154</v>
      </c>
      <c r="U2803" s="1" t="s">
        <v>7</v>
      </c>
      <c r="V2803" s="1" t="s">
        <v>831</v>
      </c>
      <c r="W2803" s="1"/>
    </row>
    <row r="2804" spans="1:23" x14ac:dyDescent="0.2">
      <c r="A2804" s="88" t="s">
        <v>17949</v>
      </c>
      <c r="B2804" s="1" t="e">
        <v>#N/A</v>
      </c>
      <c r="C2804" s="1" t="s">
        <v>14169</v>
      </c>
      <c r="D2804" s="1" t="s">
        <v>7398</v>
      </c>
      <c r="E2804" s="1" t="s">
        <v>7399</v>
      </c>
      <c r="F2804" s="1" t="s">
        <v>9246</v>
      </c>
      <c r="G2804" s="1" t="s">
        <v>8957</v>
      </c>
      <c r="H2804" t="s">
        <v>9009</v>
      </c>
      <c r="I2804" s="1" t="s">
        <v>9092</v>
      </c>
      <c r="J2804" s="1" t="s">
        <v>8949</v>
      </c>
      <c r="K2804" s="1" t="s">
        <v>9102</v>
      </c>
      <c r="L2804" s="1" t="s">
        <v>9157</v>
      </c>
      <c r="M2804" s="1">
        <v>270</v>
      </c>
      <c r="N2804" s="1" t="s">
        <v>9059</v>
      </c>
      <c r="O2804" s="1" t="s">
        <v>8989</v>
      </c>
      <c r="P2804" s="1" t="s">
        <v>8955</v>
      </c>
      <c r="Q2804" s="1" t="s">
        <v>8956</v>
      </c>
      <c r="R2804" s="1" t="s">
        <v>8957</v>
      </c>
      <c r="S2804" s="1" t="s">
        <v>8958</v>
      </c>
      <c r="T2804" s="1" t="s">
        <v>7400</v>
      </c>
      <c r="U2804" s="1" t="s">
        <v>4</v>
      </c>
      <c r="V2804" s="1" t="s">
        <v>57</v>
      </c>
      <c r="W2804" s="1"/>
    </row>
    <row r="2805" spans="1:23" x14ac:dyDescent="0.2">
      <c r="A2805" s="88" t="s">
        <v>17950</v>
      </c>
      <c r="B2805" s="1" t="e">
        <v>#N/A</v>
      </c>
      <c r="C2805" s="1" t="e">
        <v>#N/A</v>
      </c>
      <c r="D2805" s="1" t="s">
        <v>7401</v>
      </c>
      <c r="E2805" s="1" t="s">
        <v>7402</v>
      </c>
      <c r="F2805" s="1" t="s">
        <v>9246</v>
      </c>
      <c r="G2805" s="1" t="s">
        <v>8974</v>
      </c>
      <c r="H2805" t="s">
        <v>9061</v>
      </c>
      <c r="I2805" s="1" t="s">
        <v>9100</v>
      </c>
      <c r="J2805" s="1" t="s">
        <v>8998</v>
      </c>
      <c r="K2805" s="1" t="s">
        <v>10492</v>
      </c>
      <c r="L2805" s="1" t="s">
        <v>8973</v>
      </c>
      <c r="M2805" s="1">
        <v>14</v>
      </c>
      <c r="N2805" s="1" t="s">
        <v>9059</v>
      </c>
      <c r="O2805" s="1" t="s">
        <v>8989</v>
      </c>
      <c r="P2805" s="1" t="e">
        <v>#N/A</v>
      </c>
      <c r="Q2805" s="1" t="e">
        <v>#N/A</v>
      </c>
      <c r="R2805" s="1">
        <f>1+LEN(T2805)-LEN(SUBSTITUTE(T2805,",",))</f>
        <v>7</v>
      </c>
      <c r="S2805" s="1" t="str">
        <f>IF(R2805&gt;4,IF(R2805&lt;8,"4-7",IF(R2805&gt;7,"&gt;7")),"&lt;4")</f>
        <v>4-7</v>
      </c>
      <c r="T2805" s="1" t="s">
        <v>20155</v>
      </c>
      <c r="U2805" s="1" t="s">
        <v>17</v>
      </c>
      <c r="V2805" s="1" t="s">
        <v>24</v>
      </c>
      <c r="W2805" s="1"/>
    </row>
    <row r="2806" spans="1:23" x14ac:dyDescent="0.2">
      <c r="A2806" s="88" t="s">
        <v>17951</v>
      </c>
      <c r="B2806" s="1" t="e">
        <v>#N/A</v>
      </c>
      <c r="C2806" s="1" t="s">
        <v>11760</v>
      </c>
      <c r="D2806" s="1" t="s">
        <v>7403</v>
      </c>
      <c r="E2806" s="1" t="s">
        <v>7404</v>
      </c>
      <c r="F2806" s="1" t="s">
        <v>9642</v>
      </c>
      <c r="G2806" s="1" t="s">
        <v>8957</v>
      </c>
      <c r="H2806" t="s">
        <v>9183</v>
      </c>
      <c r="I2806" s="1" t="s">
        <v>8984</v>
      </c>
      <c r="J2806" s="1" t="s">
        <v>9269</v>
      </c>
      <c r="K2806" s="1" t="s">
        <v>10218</v>
      </c>
      <c r="L2806" s="1" t="s">
        <v>8973</v>
      </c>
      <c r="M2806" s="1">
        <v>4000</v>
      </c>
      <c r="N2806" s="1" t="s">
        <v>8953</v>
      </c>
      <c r="O2806" s="1" t="s">
        <v>8954</v>
      </c>
      <c r="P2806" s="1" t="s">
        <v>8955</v>
      </c>
      <c r="Q2806" s="1" t="s">
        <v>8956</v>
      </c>
      <c r="R2806" s="1" t="s">
        <v>8957</v>
      </c>
      <c r="S2806" s="1" t="s">
        <v>8958</v>
      </c>
      <c r="T2806" s="1" t="s">
        <v>7405</v>
      </c>
      <c r="U2806" s="1" t="s">
        <v>11</v>
      </c>
      <c r="V2806" s="1" t="s">
        <v>126</v>
      </c>
      <c r="W2806" s="1"/>
    </row>
    <row r="2807" spans="1:23" x14ac:dyDescent="0.2">
      <c r="A2807" s="88" t="s">
        <v>17952</v>
      </c>
      <c r="B2807" s="1" t="e">
        <v>#N/A</v>
      </c>
      <c r="C2807" s="1" t="e">
        <v>#N/A</v>
      </c>
      <c r="D2807" s="1" t="s">
        <v>7406</v>
      </c>
      <c r="E2807" s="1" t="s">
        <v>7407</v>
      </c>
      <c r="F2807" s="1" t="s">
        <v>9246</v>
      </c>
      <c r="G2807" s="1" t="s">
        <v>8957</v>
      </c>
      <c r="H2807" t="s">
        <v>9009</v>
      </c>
      <c r="I2807" s="1" t="s">
        <v>8984</v>
      </c>
      <c r="J2807" s="1" t="s">
        <v>8949</v>
      </c>
      <c r="K2807" s="1" t="s">
        <v>21063</v>
      </c>
      <c r="L2807" s="1" t="s">
        <v>8973</v>
      </c>
      <c r="M2807" s="1">
        <v>440</v>
      </c>
      <c r="N2807" s="1" t="s">
        <v>8953</v>
      </c>
      <c r="O2807" s="1" t="s">
        <v>8954</v>
      </c>
      <c r="P2807" s="1" t="e">
        <v>#N/A</v>
      </c>
      <c r="Q2807" s="1" t="e">
        <v>#N/A</v>
      </c>
      <c r="R2807" s="1">
        <f t="shared" ref="R2807:R2808" si="828">1+LEN(T2807)-LEN(SUBSTITUTE(T2807,",",))</f>
        <v>6</v>
      </c>
      <c r="S2807" s="1" t="str">
        <f t="shared" ref="S2807:S2808" si="829">IF(R2807&gt;4,IF(R2807&lt;8,"4-7",IF(R2807&gt;7,"&gt;7")),"&lt;4")</f>
        <v>4-7</v>
      </c>
      <c r="T2807" s="1" t="s">
        <v>20156</v>
      </c>
      <c r="U2807" s="1" t="s">
        <v>17</v>
      </c>
      <c r="V2807" s="1" t="s">
        <v>7408</v>
      </c>
      <c r="W2807" s="1"/>
    </row>
    <row r="2808" spans="1:23" x14ac:dyDescent="0.2">
      <c r="A2808" s="89" t="s">
        <v>7409</v>
      </c>
      <c r="B2808" s="1" t="e">
        <v>#N/A</v>
      </c>
      <c r="C2808" s="1" t="e">
        <v>#N/A</v>
      </c>
      <c r="D2808" s="1" t="s">
        <v>7410</v>
      </c>
      <c r="E2808" s="1" t="s">
        <v>7411</v>
      </c>
      <c r="F2808" s="1" t="e">
        <v>#N/A</v>
      </c>
      <c r="G2808" s="1" t="e">
        <v>#N/A</v>
      </c>
      <c r="H2808" t="e">
        <v>#N/A</v>
      </c>
      <c r="I2808" s="1" t="e">
        <v>#N/A</v>
      </c>
      <c r="J2808" s="1" t="e">
        <v>#N/A</v>
      </c>
      <c r="K2808" s="1" t="e">
        <v>#N/A</v>
      </c>
      <c r="L2808" s="1" t="e">
        <v>#N/A</v>
      </c>
      <c r="M2808" s="1" t="e">
        <v>#N/A</v>
      </c>
      <c r="N2808" s="1" t="e">
        <v>#N/A</v>
      </c>
      <c r="O2808" s="1" t="e">
        <v>#N/A</v>
      </c>
      <c r="P2808" s="1" t="e">
        <v>#N/A</v>
      </c>
      <c r="Q2808" s="1" t="e">
        <v>#N/A</v>
      </c>
      <c r="R2808" s="1">
        <f t="shared" si="828"/>
        <v>1</v>
      </c>
      <c r="S2808" s="1" t="str">
        <f t="shared" si="829"/>
        <v>&lt;4</v>
      </c>
      <c r="T2808" s="1" t="s">
        <v>7412</v>
      </c>
      <c r="U2808" s="1" t="s">
        <v>4</v>
      </c>
      <c r="V2808" s="1" t="s">
        <v>2183</v>
      </c>
      <c r="W2808" s="1"/>
    </row>
    <row r="2809" spans="1:23" x14ac:dyDescent="0.2">
      <c r="A2809" s="88" t="s">
        <v>17953</v>
      </c>
      <c r="B2809" s="1" t="e">
        <v>#N/A</v>
      </c>
      <c r="C2809" s="1" t="s">
        <v>13358</v>
      </c>
      <c r="D2809" s="1" t="s">
        <v>7413</v>
      </c>
      <c r="E2809" s="1" t="s">
        <v>7414</v>
      </c>
      <c r="F2809" s="1" t="s">
        <v>9010</v>
      </c>
      <c r="G2809" s="1" t="s">
        <v>8957</v>
      </c>
      <c r="H2809" t="s">
        <v>9061</v>
      </c>
      <c r="I2809" s="1" t="s">
        <v>9035</v>
      </c>
      <c r="J2809" s="1" t="s">
        <v>9155</v>
      </c>
      <c r="K2809" s="1" t="s">
        <v>13361</v>
      </c>
      <c r="L2809" s="1" t="s">
        <v>8973</v>
      </c>
      <c r="M2809" s="1">
        <v>535</v>
      </c>
      <c r="N2809" s="1" t="s">
        <v>8953</v>
      </c>
      <c r="O2809" s="1" t="s">
        <v>8989</v>
      </c>
      <c r="P2809" s="1" t="s">
        <v>8955</v>
      </c>
      <c r="Q2809" s="1" t="s">
        <v>8956</v>
      </c>
      <c r="R2809" s="1" t="s">
        <v>8957</v>
      </c>
      <c r="S2809" s="1" t="s">
        <v>8975</v>
      </c>
      <c r="T2809" s="1" t="s">
        <v>7415</v>
      </c>
      <c r="U2809" s="1" t="s">
        <v>4</v>
      </c>
      <c r="V2809" s="1" t="s">
        <v>1979</v>
      </c>
      <c r="W2809" s="1"/>
    </row>
    <row r="2810" spans="1:23" x14ac:dyDescent="0.2">
      <c r="A2810" s="88" t="s">
        <v>17954</v>
      </c>
      <c r="B2810" s="1" t="e">
        <v>#N/A</v>
      </c>
      <c r="C2810" s="1" t="s">
        <v>14430</v>
      </c>
      <c r="D2810" s="1" t="s">
        <v>7416</v>
      </c>
      <c r="E2810" s="1" t="s">
        <v>7417</v>
      </c>
      <c r="F2810" s="1" t="s">
        <v>9246</v>
      </c>
      <c r="G2810" s="1" t="s">
        <v>8957</v>
      </c>
      <c r="H2810" t="s">
        <v>9061</v>
      </c>
      <c r="I2810" s="1" t="s">
        <v>9049</v>
      </c>
      <c r="J2810" s="1" t="s">
        <v>9050</v>
      </c>
      <c r="K2810" s="1" t="s">
        <v>9036</v>
      </c>
      <c r="L2810" s="1" t="s">
        <v>8951</v>
      </c>
      <c r="M2810" s="1">
        <v>7879</v>
      </c>
      <c r="N2810" s="1" t="s">
        <v>8953</v>
      </c>
      <c r="O2810" s="1" t="s">
        <v>8954</v>
      </c>
      <c r="P2810" s="1" t="s">
        <v>8955</v>
      </c>
      <c r="Q2810" s="1" t="s">
        <v>8956</v>
      </c>
      <c r="R2810" s="1" t="s">
        <v>8957</v>
      </c>
      <c r="S2810" s="1" t="s">
        <v>8958</v>
      </c>
      <c r="T2810" s="1" t="s">
        <v>7418</v>
      </c>
      <c r="U2810" s="1" t="s">
        <v>242</v>
      </c>
      <c r="V2810" s="1" t="s">
        <v>61</v>
      </c>
      <c r="W2810" s="1"/>
    </row>
    <row r="2811" spans="1:23" x14ac:dyDescent="0.2">
      <c r="A2811" s="88" t="s">
        <v>17955</v>
      </c>
      <c r="B2811" s="1" t="e">
        <v>#N/A</v>
      </c>
      <c r="C2811" s="1" t="e">
        <v>#N/A</v>
      </c>
      <c r="D2811" s="1" t="s">
        <v>7419</v>
      </c>
      <c r="E2811" s="1" t="s">
        <v>7420</v>
      </c>
      <c r="F2811" s="1" t="s">
        <v>9246</v>
      </c>
      <c r="G2811" s="1" t="s">
        <v>9060</v>
      </c>
      <c r="H2811" t="s">
        <v>9061</v>
      </c>
      <c r="I2811" s="1" t="s">
        <v>9154</v>
      </c>
      <c r="J2811" s="1" t="s">
        <v>8998</v>
      </c>
      <c r="K2811" s="1" t="s">
        <v>21066</v>
      </c>
      <c r="L2811" s="1" t="s">
        <v>9292</v>
      </c>
      <c r="M2811" s="1">
        <v>75</v>
      </c>
      <c r="N2811" s="1" t="s">
        <v>9059</v>
      </c>
      <c r="O2811" s="1" t="s">
        <v>8989</v>
      </c>
      <c r="P2811" s="1" t="e">
        <v>#N/A</v>
      </c>
      <c r="Q2811" s="1" t="e">
        <v>#N/A</v>
      </c>
      <c r="R2811" s="1">
        <f>1+LEN(T2811)-LEN(SUBSTITUTE(T2811,",",))</f>
        <v>8</v>
      </c>
      <c r="S2811" s="1" t="str">
        <f>IF(R2811&gt;4,IF(R2811&lt;8,"4-7",IF(R2811&gt;7,"&gt;7")),"&lt;4")</f>
        <v>&gt;7</v>
      </c>
      <c r="T2811" s="1" t="s">
        <v>20157</v>
      </c>
      <c r="U2811" s="1" t="s">
        <v>17</v>
      </c>
      <c r="V2811" s="1" t="s">
        <v>1915</v>
      </c>
      <c r="W2811" s="1"/>
    </row>
    <row r="2812" spans="1:23" x14ac:dyDescent="0.2">
      <c r="A2812" s="88" t="s">
        <v>17956</v>
      </c>
      <c r="B2812" s="1" t="e">
        <v>#N/A</v>
      </c>
      <c r="C2812" s="1" t="s">
        <v>11034</v>
      </c>
      <c r="D2812" s="1" t="s">
        <v>7421</v>
      </c>
      <c r="E2812" s="1" t="s">
        <v>7422</v>
      </c>
      <c r="F2812" s="1" t="s">
        <v>9246</v>
      </c>
      <c r="G2812" s="1" t="s">
        <v>9060</v>
      </c>
      <c r="H2812" t="s">
        <v>9009</v>
      </c>
      <c r="I2812" s="1" t="s">
        <v>9154</v>
      </c>
      <c r="J2812" s="1" t="s">
        <v>8998</v>
      </c>
      <c r="K2812" s="1" t="s">
        <v>9036</v>
      </c>
      <c r="L2812" s="1" t="s">
        <v>9133</v>
      </c>
      <c r="M2812" s="1">
        <v>126</v>
      </c>
      <c r="N2812" s="1" t="s">
        <v>9059</v>
      </c>
      <c r="O2812" s="1" t="s">
        <v>8989</v>
      </c>
      <c r="P2812" s="1" t="s">
        <v>8955</v>
      </c>
      <c r="Q2812" s="1" t="s">
        <v>8956</v>
      </c>
      <c r="R2812" s="1" t="s">
        <v>9060</v>
      </c>
      <c r="S2812" s="1" t="s">
        <v>8958</v>
      </c>
      <c r="T2812" s="1" t="s">
        <v>7423</v>
      </c>
      <c r="U2812" s="1" t="s">
        <v>17</v>
      </c>
      <c r="V2812" s="1" t="s">
        <v>147</v>
      </c>
      <c r="W2812" s="1"/>
    </row>
    <row r="2813" spans="1:23" x14ac:dyDescent="0.2">
      <c r="A2813" s="88" t="s">
        <v>17957</v>
      </c>
      <c r="B2813" s="1" t="e">
        <v>#N/A</v>
      </c>
      <c r="C2813" s="1" t="s">
        <v>10904</v>
      </c>
      <c r="D2813" s="1" t="s">
        <v>7424</v>
      </c>
      <c r="E2813" s="1" t="s">
        <v>7425</v>
      </c>
      <c r="F2813" s="1" t="s">
        <v>9642</v>
      </c>
      <c r="G2813" s="1" t="s">
        <v>8959</v>
      </c>
      <c r="H2813" t="s">
        <v>9183</v>
      </c>
      <c r="I2813" s="1" t="s">
        <v>9092</v>
      </c>
      <c r="J2813" s="1" t="s">
        <v>9308</v>
      </c>
      <c r="K2813" s="1" t="s">
        <v>9018</v>
      </c>
      <c r="L2813" s="1" t="s">
        <v>8951</v>
      </c>
      <c r="M2813" s="1">
        <v>12611</v>
      </c>
      <c r="N2813" s="1" t="s">
        <v>8953</v>
      </c>
      <c r="O2813" s="1" t="s">
        <v>8954</v>
      </c>
      <c r="P2813" s="1" t="s">
        <v>8955</v>
      </c>
      <c r="Q2813" s="1" t="s">
        <v>8956</v>
      </c>
      <c r="R2813" s="1" t="s">
        <v>8959</v>
      </c>
      <c r="S2813" s="1" t="s">
        <v>8975</v>
      </c>
      <c r="T2813" s="1" t="s">
        <v>7426</v>
      </c>
      <c r="U2813" s="1" t="s">
        <v>11</v>
      </c>
      <c r="V2813" s="1" t="s">
        <v>46</v>
      </c>
      <c r="W2813" s="1"/>
    </row>
    <row r="2814" spans="1:23" x14ac:dyDescent="0.2">
      <c r="A2814" s="88" t="s">
        <v>17958</v>
      </c>
      <c r="B2814" s="1" t="e">
        <v>#N/A</v>
      </c>
      <c r="C2814" s="1" t="s">
        <v>15338</v>
      </c>
      <c r="D2814" s="1" t="s">
        <v>7427</v>
      </c>
      <c r="E2814" s="1" t="s">
        <v>7428</v>
      </c>
      <c r="F2814" s="1" t="s">
        <v>9246</v>
      </c>
      <c r="G2814" s="1" t="s">
        <v>8957</v>
      </c>
      <c r="H2814" t="s">
        <v>9009</v>
      </c>
      <c r="I2814" s="1" t="s">
        <v>15172</v>
      </c>
      <c r="J2814" s="1" t="s">
        <v>8949</v>
      </c>
      <c r="K2814" s="1" t="s">
        <v>9036</v>
      </c>
      <c r="L2814" s="1" t="s">
        <v>8987</v>
      </c>
      <c r="M2814" s="1">
        <v>220</v>
      </c>
      <c r="N2814" s="1" t="s">
        <v>9059</v>
      </c>
      <c r="O2814" s="1" t="s">
        <v>8954</v>
      </c>
      <c r="P2814" s="1" t="s">
        <v>8955</v>
      </c>
      <c r="Q2814" s="1" t="s">
        <v>8956</v>
      </c>
      <c r="R2814" s="1" t="s">
        <v>8957</v>
      </c>
      <c r="S2814" s="1" t="s">
        <v>9103</v>
      </c>
      <c r="T2814" s="1" t="s">
        <v>7429</v>
      </c>
      <c r="U2814" s="1" t="s">
        <v>17</v>
      </c>
      <c r="V2814" s="1" t="s">
        <v>61</v>
      </c>
      <c r="W2814" s="1"/>
    </row>
    <row r="2815" spans="1:23" x14ac:dyDescent="0.2">
      <c r="A2815" s="88" t="s">
        <v>17959</v>
      </c>
      <c r="B2815" s="1" t="e">
        <v>#N/A</v>
      </c>
      <c r="C2815" s="1" t="s">
        <v>14254</v>
      </c>
      <c r="D2815" s="1" t="s">
        <v>7430</v>
      </c>
      <c r="E2815" s="1" t="s">
        <v>7431</v>
      </c>
      <c r="F2815" s="1" t="s">
        <v>9010</v>
      </c>
      <c r="G2815" s="1" t="s">
        <v>8957</v>
      </c>
      <c r="H2815" t="s">
        <v>8959</v>
      </c>
      <c r="I2815" s="1" t="s">
        <v>9605</v>
      </c>
      <c r="J2815" s="1" t="s">
        <v>9101</v>
      </c>
      <c r="K2815" s="1" t="s">
        <v>9036</v>
      </c>
      <c r="L2815" s="1" t="s">
        <v>8973</v>
      </c>
      <c r="M2815" s="1">
        <v>11909</v>
      </c>
      <c r="N2815" s="1" t="s">
        <v>8953</v>
      </c>
      <c r="O2815" s="1" t="s">
        <v>8954</v>
      </c>
      <c r="P2815" s="1" t="s">
        <v>8955</v>
      </c>
      <c r="Q2815" s="1" t="s">
        <v>8956</v>
      </c>
      <c r="R2815" s="1" t="s">
        <v>8957</v>
      </c>
      <c r="S2815" s="1" t="s">
        <v>8975</v>
      </c>
      <c r="T2815" s="1" t="s">
        <v>7432</v>
      </c>
      <c r="U2815" s="1" t="s">
        <v>242</v>
      </c>
      <c r="V2815" s="1" t="s">
        <v>808</v>
      </c>
      <c r="W2815" s="1"/>
    </row>
    <row r="2816" spans="1:23" x14ac:dyDescent="0.2">
      <c r="A2816" s="88" t="s">
        <v>17960</v>
      </c>
      <c r="B2816" s="1" t="e">
        <v>#N/A</v>
      </c>
      <c r="C2816" s="1" t="e">
        <v>#N/A</v>
      </c>
      <c r="D2816" s="1" t="s">
        <v>7433</v>
      </c>
      <c r="E2816" s="1" t="s">
        <v>7434</v>
      </c>
      <c r="F2816" s="1" t="s">
        <v>9246</v>
      </c>
      <c r="G2816" s="1" t="s">
        <v>8957</v>
      </c>
      <c r="H2816" t="s">
        <v>9061</v>
      </c>
      <c r="I2816" s="1" t="s">
        <v>20712</v>
      </c>
      <c r="J2816" s="1" t="s">
        <v>8998</v>
      </c>
      <c r="K2816" s="1" t="s">
        <v>21063</v>
      </c>
      <c r="L2816" s="1" t="s">
        <v>8987</v>
      </c>
      <c r="M2816" s="1">
        <v>7240</v>
      </c>
      <c r="N2816" s="1" t="s">
        <v>9059</v>
      </c>
      <c r="O2816" s="1" t="s">
        <v>8954</v>
      </c>
      <c r="P2816" s="1" t="e">
        <v>#N/A</v>
      </c>
      <c r="Q2816" s="1" t="e">
        <v>#N/A</v>
      </c>
      <c r="R2816" s="1">
        <f t="shared" ref="R2816:R2819" si="830">1+LEN(T2816)-LEN(SUBSTITUTE(T2816,",",))</f>
        <v>14</v>
      </c>
      <c r="S2816" s="1" t="str">
        <f t="shared" ref="S2816:S2819" si="831">IF(R2816&gt;4,IF(R2816&lt;8,"4-7",IF(R2816&gt;7,"&gt;7")),"&lt;4")</f>
        <v>&gt;7</v>
      </c>
      <c r="T2816" s="1" t="s">
        <v>20158</v>
      </c>
      <c r="U2816" s="1" t="s">
        <v>7</v>
      </c>
      <c r="V2816" s="1" t="s">
        <v>180</v>
      </c>
      <c r="W2816" s="1"/>
    </row>
    <row r="2817" spans="1:23" x14ac:dyDescent="0.2">
      <c r="A2817" s="89" t="s">
        <v>7435</v>
      </c>
      <c r="B2817" s="1" t="e">
        <v>#N/A</v>
      </c>
      <c r="C2817" s="1" t="e">
        <v>#N/A</v>
      </c>
      <c r="D2817" s="1" t="s">
        <v>15488</v>
      </c>
      <c r="E2817" s="1" t="s">
        <v>7436</v>
      </c>
      <c r="F2817" s="1" t="e">
        <v>#N/A</v>
      </c>
      <c r="G2817" s="1" t="e">
        <v>#N/A</v>
      </c>
      <c r="H2817" t="e">
        <v>#N/A</v>
      </c>
      <c r="I2817" s="1" t="e">
        <v>#N/A</v>
      </c>
      <c r="J2817" s="1" t="e">
        <v>#N/A</v>
      </c>
      <c r="K2817" s="1" t="e">
        <v>#N/A</v>
      </c>
      <c r="L2817" s="1" t="e">
        <v>#N/A</v>
      </c>
      <c r="M2817" s="1" t="e">
        <v>#N/A</v>
      </c>
      <c r="N2817" s="1" t="e">
        <v>#N/A</v>
      </c>
      <c r="O2817" s="1" t="e">
        <v>#N/A</v>
      </c>
      <c r="P2817" s="1" t="e">
        <v>#N/A</v>
      </c>
      <c r="Q2817" s="1" t="e">
        <v>#N/A</v>
      </c>
      <c r="R2817" s="1">
        <f t="shared" si="830"/>
        <v>2</v>
      </c>
      <c r="S2817" s="1" t="str">
        <f t="shared" si="831"/>
        <v>&lt;4</v>
      </c>
      <c r="T2817" s="1" t="s">
        <v>20159</v>
      </c>
      <c r="U2817" s="1" t="s">
        <v>17</v>
      </c>
      <c r="V2817" s="1" t="s">
        <v>7437</v>
      </c>
      <c r="W2817" s="1"/>
    </row>
    <row r="2818" spans="1:23" x14ac:dyDescent="0.2">
      <c r="A2818" s="88" t="s">
        <v>17961</v>
      </c>
      <c r="B2818" s="1" t="e">
        <v>#N/A</v>
      </c>
      <c r="C2818" s="1" t="e">
        <v>#N/A</v>
      </c>
      <c r="D2818" s="1" t="s">
        <v>7438</v>
      </c>
      <c r="E2818" s="1" t="s">
        <v>7439</v>
      </c>
      <c r="F2818" s="1" t="s">
        <v>10032</v>
      </c>
      <c r="G2818" s="1" t="s">
        <v>9060</v>
      </c>
      <c r="H2818" t="s">
        <v>8959</v>
      </c>
      <c r="I2818" s="1" t="s">
        <v>8948</v>
      </c>
      <c r="J2818" s="1" t="s">
        <v>8949</v>
      </c>
      <c r="K2818" s="1" t="s">
        <v>21065</v>
      </c>
      <c r="L2818" s="1" t="s">
        <v>9076</v>
      </c>
      <c r="M2818" s="1">
        <v>4</v>
      </c>
      <c r="N2818" s="1" t="s">
        <v>9059</v>
      </c>
      <c r="O2818" s="1" t="s">
        <v>8989</v>
      </c>
      <c r="P2818" s="1" t="e">
        <v>#N/A</v>
      </c>
      <c r="Q2818" s="1" t="e">
        <v>#N/A</v>
      </c>
      <c r="R2818" s="1">
        <f t="shared" si="830"/>
        <v>2</v>
      </c>
      <c r="S2818" s="1" t="str">
        <f t="shared" si="831"/>
        <v>&lt;4</v>
      </c>
      <c r="T2818" s="1" t="s">
        <v>20160</v>
      </c>
      <c r="U2818" s="1" t="s">
        <v>17</v>
      </c>
      <c r="V2818" s="1" t="s">
        <v>7440</v>
      </c>
      <c r="W2818" s="1"/>
    </row>
    <row r="2819" spans="1:23" x14ac:dyDescent="0.2">
      <c r="A2819" s="88" t="s">
        <v>17962</v>
      </c>
      <c r="B2819" s="1" t="e">
        <v>#N/A</v>
      </c>
      <c r="C2819" s="1" t="e">
        <v>#N/A</v>
      </c>
      <c r="D2819" s="1" t="s">
        <v>7441</v>
      </c>
      <c r="E2819" s="1" t="s">
        <v>7442</v>
      </c>
      <c r="F2819" s="1" t="s">
        <v>18502</v>
      </c>
      <c r="G2819" s="1" t="s">
        <v>8957</v>
      </c>
      <c r="H2819" t="s">
        <v>8959</v>
      </c>
      <c r="I2819" s="1" t="s">
        <v>20714</v>
      </c>
      <c r="J2819" s="1" t="s">
        <v>9155</v>
      </c>
      <c r="K2819" s="1" t="s">
        <v>21063</v>
      </c>
      <c r="L2819" s="1" t="s">
        <v>8987</v>
      </c>
      <c r="M2819" s="1">
        <f>990+7072</f>
        <v>8062</v>
      </c>
      <c r="N2819" s="1" t="s">
        <v>8953</v>
      </c>
      <c r="O2819" s="1" t="s">
        <v>8954</v>
      </c>
      <c r="P2819" s="1" t="e">
        <v>#N/A</v>
      </c>
      <c r="Q2819" s="1" t="e">
        <v>#N/A</v>
      </c>
      <c r="R2819" s="1">
        <f t="shared" si="830"/>
        <v>18</v>
      </c>
      <c r="S2819" s="1" t="str">
        <f t="shared" si="831"/>
        <v>&gt;7</v>
      </c>
      <c r="T2819" s="1" t="s">
        <v>20161</v>
      </c>
      <c r="U2819" s="1" t="s">
        <v>7</v>
      </c>
      <c r="V2819" s="1" t="s">
        <v>580</v>
      </c>
      <c r="W2819" s="1"/>
    </row>
    <row r="2820" spans="1:23" x14ac:dyDescent="0.2">
      <c r="A2820" s="88" t="s">
        <v>17963</v>
      </c>
      <c r="B2820" s="1" t="e">
        <v>#N/A</v>
      </c>
      <c r="C2820" s="1" t="s">
        <v>11859</v>
      </c>
      <c r="D2820" s="1" t="s">
        <v>7443</v>
      </c>
      <c r="E2820" s="1" t="s">
        <v>7444</v>
      </c>
      <c r="F2820" s="1" t="s">
        <v>9010</v>
      </c>
      <c r="G2820" s="1" t="s">
        <v>8957</v>
      </c>
      <c r="H2820" t="s">
        <v>9183</v>
      </c>
      <c r="I2820" s="1" t="s">
        <v>9049</v>
      </c>
      <c r="J2820" s="1" t="s">
        <v>9325</v>
      </c>
      <c r="K2820" s="1" t="s">
        <v>10258</v>
      </c>
      <c r="L2820" s="1" t="s">
        <v>8951</v>
      </c>
      <c r="M2820" s="1">
        <v>226870</v>
      </c>
      <c r="N2820" s="1" t="s">
        <v>8953</v>
      </c>
      <c r="O2820" s="1" t="s">
        <v>8954</v>
      </c>
      <c r="P2820" s="1" t="s">
        <v>9182</v>
      </c>
      <c r="Q2820" s="1" t="s">
        <v>8956</v>
      </c>
      <c r="R2820" s="1" t="s">
        <v>8957</v>
      </c>
      <c r="S2820" s="1" t="s">
        <v>8975</v>
      </c>
      <c r="T2820" s="1" t="s">
        <v>7445</v>
      </c>
      <c r="U2820" s="1" t="s">
        <v>11</v>
      </c>
      <c r="V2820" s="1" t="s">
        <v>396</v>
      </c>
      <c r="W2820" s="1"/>
    </row>
    <row r="2821" spans="1:23" x14ac:dyDescent="0.2">
      <c r="A2821" s="89" t="s">
        <v>21067</v>
      </c>
      <c r="B2821" s="1" t="e">
        <v>#N/A</v>
      </c>
      <c r="C2821" s="1" t="e">
        <v>#N/A</v>
      </c>
      <c r="D2821" s="1" t="s">
        <v>7446</v>
      </c>
      <c r="E2821" s="1" t="s">
        <v>7447</v>
      </c>
      <c r="F2821" s="1" t="e">
        <v>#N/A</v>
      </c>
      <c r="G2821" s="1" t="e">
        <v>#N/A</v>
      </c>
      <c r="H2821" t="e">
        <v>#N/A</v>
      </c>
      <c r="I2821" s="1" t="e">
        <v>#N/A</v>
      </c>
      <c r="J2821" s="1" t="e">
        <v>#N/A</v>
      </c>
      <c r="K2821" s="1" t="e">
        <v>#N/A</v>
      </c>
      <c r="L2821" s="1" t="e">
        <v>#N/A</v>
      </c>
      <c r="M2821" s="1" t="e">
        <v>#N/A</v>
      </c>
      <c r="N2821" s="1" t="e">
        <v>#N/A</v>
      </c>
      <c r="O2821" s="1" t="e">
        <v>#N/A</v>
      </c>
      <c r="P2821" s="1" t="e">
        <v>#N/A</v>
      </c>
      <c r="Q2821" s="1" t="e">
        <v>#N/A</v>
      </c>
      <c r="R2821" s="1">
        <f t="shared" ref="R2821:R2830" si="832">1+LEN(T2821)-LEN(SUBSTITUTE(T2821,",",))</f>
        <v>1</v>
      </c>
      <c r="S2821" s="1" t="str">
        <f t="shared" ref="S2821:S2830" si="833">IF(R2821&gt;4,IF(R2821&lt;8,"4-7",IF(R2821&gt;7,"&gt;7")),"&lt;4")</f>
        <v>&lt;4</v>
      </c>
      <c r="U2821" s="1" t="s">
        <v>7</v>
      </c>
      <c r="V2821" s="1" t="s">
        <v>686</v>
      </c>
      <c r="W2821" s="1"/>
    </row>
    <row r="2822" spans="1:23" x14ac:dyDescent="0.2">
      <c r="A2822" s="88" t="s">
        <v>17964</v>
      </c>
      <c r="B2822" s="1" t="e">
        <v>#N/A</v>
      </c>
      <c r="C2822" s="1" t="e">
        <v>#N/A</v>
      </c>
      <c r="D2822" s="1" t="s">
        <v>7448</v>
      </c>
      <c r="E2822" s="1" t="s">
        <v>7449</v>
      </c>
      <c r="F2822" s="1" t="s">
        <v>21068</v>
      </c>
      <c r="G2822" s="1" t="s">
        <v>8957</v>
      </c>
      <c r="H2822" t="s">
        <v>8959</v>
      </c>
      <c r="I2822" s="1" t="s">
        <v>20714</v>
      </c>
      <c r="J2822" s="1" t="s">
        <v>20725</v>
      </c>
      <c r="K2822" s="1" t="s">
        <v>21257</v>
      </c>
      <c r="L2822" s="1" t="s">
        <v>8973</v>
      </c>
      <c r="M2822" s="1">
        <v>23</v>
      </c>
      <c r="N2822" s="1" t="s">
        <v>9059</v>
      </c>
      <c r="O2822" s="1" t="s">
        <v>8989</v>
      </c>
      <c r="P2822" s="1" t="e">
        <v>#N/A</v>
      </c>
      <c r="Q2822" s="1" t="e">
        <v>#N/A</v>
      </c>
      <c r="R2822" s="1">
        <f t="shared" si="832"/>
        <v>7</v>
      </c>
      <c r="S2822" s="1" t="str">
        <f t="shared" si="833"/>
        <v>4-7</v>
      </c>
      <c r="T2822" s="1" t="s">
        <v>20162</v>
      </c>
      <c r="U2822" s="1" t="s">
        <v>17</v>
      </c>
      <c r="V2822" s="1" t="s">
        <v>184</v>
      </c>
      <c r="W2822" s="1"/>
    </row>
    <row r="2823" spans="1:23" x14ac:dyDescent="0.2">
      <c r="A2823" s="88" t="s">
        <v>17965</v>
      </c>
      <c r="B2823" s="1" t="e">
        <v>#N/A</v>
      </c>
      <c r="C2823" s="1" t="e">
        <v>#N/A</v>
      </c>
      <c r="D2823" s="1" t="s">
        <v>7450</v>
      </c>
      <c r="E2823" s="1" t="s">
        <v>7451</v>
      </c>
      <c r="F2823" s="1" t="s">
        <v>9815</v>
      </c>
      <c r="G2823" s="1" t="s">
        <v>8959</v>
      </c>
      <c r="H2823" t="s">
        <v>9061</v>
      </c>
      <c r="I2823" s="1" t="s">
        <v>9035</v>
      </c>
      <c r="J2823" s="1" t="s">
        <v>8998</v>
      </c>
      <c r="K2823" s="1" t="s">
        <v>10492</v>
      </c>
      <c r="L2823" s="1" t="s">
        <v>9292</v>
      </c>
      <c r="M2823" s="1">
        <v>1245</v>
      </c>
      <c r="N2823" s="1" t="s">
        <v>9059</v>
      </c>
      <c r="O2823" s="1" t="s">
        <v>8954</v>
      </c>
      <c r="P2823" s="1" t="e">
        <v>#N/A</v>
      </c>
      <c r="Q2823" s="1" t="e">
        <v>#N/A</v>
      </c>
      <c r="R2823" s="1">
        <f t="shared" si="832"/>
        <v>9</v>
      </c>
      <c r="S2823" s="1" t="str">
        <f t="shared" si="833"/>
        <v>&gt;7</v>
      </c>
      <c r="T2823" s="1" t="s">
        <v>20163</v>
      </c>
      <c r="U2823" s="1" t="s">
        <v>7</v>
      </c>
      <c r="V2823" s="1" t="s">
        <v>562</v>
      </c>
      <c r="W2823" s="1"/>
    </row>
    <row r="2824" spans="1:23" x14ac:dyDescent="0.2">
      <c r="A2824" s="88" t="s">
        <v>17966</v>
      </c>
      <c r="B2824" s="1" t="e">
        <v>#N/A</v>
      </c>
      <c r="C2824" s="1" t="e">
        <v>#N/A</v>
      </c>
      <c r="D2824" s="1" t="s">
        <v>7452</v>
      </c>
      <c r="E2824" s="1" t="s">
        <v>7453</v>
      </c>
      <c r="F2824" s="1" t="s">
        <v>9246</v>
      </c>
      <c r="G2824" s="1" t="s">
        <v>8957</v>
      </c>
      <c r="H2824" t="s">
        <v>9061</v>
      </c>
      <c r="I2824" s="1" t="s">
        <v>9252</v>
      </c>
      <c r="J2824" s="1" t="s">
        <v>8949</v>
      </c>
      <c r="K2824" s="1" t="s">
        <v>21063</v>
      </c>
      <c r="L2824" s="1" t="s">
        <v>8973</v>
      </c>
      <c r="M2824" s="1">
        <v>115</v>
      </c>
      <c r="N2824" s="1" t="s">
        <v>9059</v>
      </c>
      <c r="O2824" s="1" t="s">
        <v>8954</v>
      </c>
      <c r="P2824" s="1" t="e">
        <v>#N/A</v>
      </c>
      <c r="Q2824" s="1" t="e">
        <v>#N/A</v>
      </c>
      <c r="R2824" s="1">
        <f t="shared" si="832"/>
        <v>7</v>
      </c>
      <c r="S2824" s="1" t="str">
        <f t="shared" si="833"/>
        <v>4-7</v>
      </c>
      <c r="T2824" s="1" t="s">
        <v>20164</v>
      </c>
      <c r="U2824" s="1" t="s">
        <v>17</v>
      </c>
      <c r="V2824" s="1" t="s">
        <v>93</v>
      </c>
      <c r="W2824" s="1"/>
    </row>
    <row r="2825" spans="1:23" x14ac:dyDescent="0.2">
      <c r="A2825" s="89" t="s">
        <v>17967</v>
      </c>
      <c r="B2825" s="1" t="e">
        <v>#N/A</v>
      </c>
      <c r="C2825" s="1" t="e">
        <v>#N/A</v>
      </c>
      <c r="D2825" s="1" t="s">
        <v>7454</v>
      </c>
      <c r="E2825" s="1" t="s">
        <v>7455</v>
      </c>
      <c r="F2825" s="1" t="e">
        <v>#N/A</v>
      </c>
      <c r="G2825" s="1" t="e">
        <v>#N/A</v>
      </c>
      <c r="H2825" t="e">
        <v>#N/A</v>
      </c>
      <c r="I2825" s="1" t="e">
        <v>#N/A</v>
      </c>
      <c r="J2825" s="1" t="e">
        <v>#N/A</v>
      </c>
      <c r="K2825" s="1" t="e">
        <v>#N/A</v>
      </c>
      <c r="L2825" s="1" t="e">
        <v>#N/A</v>
      </c>
      <c r="M2825" s="1" t="e">
        <v>#N/A</v>
      </c>
      <c r="N2825" s="1" t="e">
        <v>#N/A</v>
      </c>
      <c r="O2825" s="1" t="e">
        <v>#N/A</v>
      </c>
      <c r="P2825" s="1" t="e">
        <v>#N/A</v>
      </c>
      <c r="Q2825" s="1" t="e">
        <v>#N/A</v>
      </c>
      <c r="R2825" s="1">
        <f t="shared" si="832"/>
        <v>4</v>
      </c>
      <c r="S2825" s="1" t="str">
        <f t="shared" si="833"/>
        <v>&lt;4</v>
      </c>
      <c r="T2825" s="1" t="s">
        <v>20165</v>
      </c>
      <c r="U2825" s="1" t="s">
        <v>7</v>
      </c>
      <c r="V2825" s="1" t="s">
        <v>6140</v>
      </c>
      <c r="W2825" s="1"/>
    </row>
    <row r="2826" spans="1:23" x14ac:dyDescent="0.2">
      <c r="A2826" s="89" t="s">
        <v>7456</v>
      </c>
      <c r="B2826" s="1" t="e">
        <v>#N/A</v>
      </c>
      <c r="C2826" s="1" t="e">
        <v>#N/A</v>
      </c>
      <c r="D2826" s="1" t="s">
        <v>7457</v>
      </c>
      <c r="E2826" s="1" t="s">
        <v>7458</v>
      </c>
      <c r="F2826" s="1" t="e">
        <v>#N/A</v>
      </c>
      <c r="G2826" s="1" t="e">
        <v>#N/A</v>
      </c>
      <c r="H2826" t="e">
        <v>#N/A</v>
      </c>
      <c r="I2826" s="1" t="e">
        <v>#N/A</v>
      </c>
      <c r="J2826" s="1" t="e">
        <v>#N/A</v>
      </c>
      <c r="K2826" s="1" t="e">
        <v>#N/A</v>
      </c>
      <c r="L2826" s="1" t="e">
        <v>#N/A</v>
      </c>
      <c r="M2826" s="1" t="e">
        <v>#N/A</v>
      </c>
      <c r="N2826" s="1" t="e">
        <v>#N/A</v>
      </c>
      <c r="O2826" s="1" t="e">
        <v>#N/A</v>
      </c>
      <c r="P2826" s="1" t="e">
        <v>#N/A</v>
      </c>
      <c r="Q2826" s="1" t="e">
        <v>#N/A</v>
      </c>
      <c r="R2826" s="1">
        <f t="shared" si="832"/>
        <v>4</v>
      </c>
      <c r="S2826" s="1" t="str">
        <f t="shared" si="833"/>
        <v>&lt;4</v>
      </c>
      <c r="T2826" s="1" t="s">
        <v>20166</v>
      </c>
      <c r="U2826" s="1" t="s">
        <v>17</v>
      </c>
      <c r="V2826" s="1" t="s">
        <v>174</v>
      </c>
      <c r="W2826" s="1"/>
    </row>
    <row r="2827" spans="1:23" x14ac:dyDescent="0.2">
      <c r="A2827" s="89" t="s">
        <v>7459</v>
      </c>
      <c r="B2827" s="1" t="e">
        <v>#N/A</v>
      </c>
      <c r="C2827" s="1" t="e">
        <v>#N/A</v>
      </c>
      <c r="D2827" s="1" t="s">
        <v>7460</v>
      </c>
      <c r="E2827" s="1" t="s">
        <v>7461</v>
      </c>
      <c r="F2827" s="1" t="e">
        <v>#N/A</v>
      </c>
      <c r="G2827" s="1" t="e">
        <v>#N/A</v>
      </c>
      <c r="H2827" t="e">
        <v>#N/A</v>
      </c>
      <c r="I2827" s="1" t="e">
        <v>#N/A</v>
      </c>
      <c r="J2827" s="1" t="e">
        <v>#N/A</v>
      </c>
      <c r="K2827" s="1" t="e">
        <v>#N/A</v>
      </c>
      <c r="L2827" s="1" t="e">
        <v>#N/A</v>
      </c>
      <c r="M2827" s="1" t="e">
        <v>#N/A</v>
      </c>
      <c r="N2827" s="1" t="e">
        <v>#N/A</v>
      </c>
      <c r="O2827" s="1" t="e">
        <v>#N/A</v>
      </c>
      <c r="P2827" s="1" t="e">
        <v>#N/A</v>
      </c>
      <c r="Q2827" s="1" t="e">
        <v>#N/A</v>
      </c>
      <c r="R2827" s="1">
        <f t="shared" si="832"/>
        <v>3</v>
      </c>
      <c r="S2827" s="1" t="str">
        <f t="shared" si="833"/>
        <v>&lt;4</v>
      </c>
      <c r="T2827" s="1" t="s">
        <v>20167</v>
      </c>
      <c r="U2827" s="1" t="s">
        <v>4</v>
      </c>
      <c r="V2827" s="1" t="s">
        <v>7462</v>
      </c>
      <c r="W2827" s="1"/>
    </row>
    <row r="2828" spans="1:23" x14ac:dyDescent="0.2">
      <c r="A2828" s="89" t="s">
        <v>7463</v>
      </c>
      <c r="B2828" s="1" t="e">
        <v>#N/A</v>
      </c>
      <c r="C2828" s="1" t="e">
        <v>#N/A</v>
      </c>
      <c r="D2828" s="5" t="s">
        <v>7464</v>
      </c>
      <c r="E2828" s="1" t="s">
        <v>7465</v>
      </c>
      <c r="F2828" s="1" t="e">
        <v>#N/A</v>
      </c>
      <c r="G2828" s="1" t="e">
        <v>#N/A</v>
      </c>
      <c r="H2828" t="e">
        <v>#N/A</v>
      </c>
      <c r="I2828" s="1" t="e">
        <v>#N/A</v>
      </c>
      <c r="J2828" s="1" t="e">
        <v>#N/A</v>
      </c>
      <c r="K2828" s="1" t="e">
        <v>#N/A</v>
      </c>
      <c r="L2828" s="1" t="e">
        <v>#N/A</v>
      </c>
      <c r="M2828" s="1" t="e">
        <v>#N/A</v>
      </c>
      <c r="N2828" s="1" t="e">
        <v>#N/A</v>
      </c>
      <c r="O2828" s="1" t="e">
        <v>#N/A</v>
      </c>
      <c r="P2828" s="1" t="e">
        <v>#N/A</v>
      </c>
      <c r="Q2828" s="1" t="e">
        <v>#N/A</v>
      </c>
      <c r="R2828" s="1">
        <f t="shared" si="832"/>
        <v>5</v>
      </c>
      <c r="S2828" s="1" t="str">
        <f t="shared" si="833"/>
        <v>4-7</v>
      </c>
      <c r="T2828" s="1" t="s">
        <v>20700</v>
      </c>
      <c r="U2828" s="1" t="s">
        <v>17</v>
      </c>
      <c r="V2828" s="1" t="s">
        <v>7466</v>
      </c>
      <c r="W2828" s="1"/>
    </row>
    <row r="2829" spans="1:23" x14ac:dyDescent="0.2">
      <c r="A2829" s="89" t="s">
        <v>17968</v>
      </c>
      <c r="B2829" s="1" t="e">
        <v>#N/A</v>
      </c>
      <c r="C2829" s="1" t="e">
        <v>#N/A</v>
      </c>
      <c r="D2829" s="1" t="s">
        <v>7467</v>
      </c>
      <c r="E2829" s="1" t="s">
        <v>7468</v>
      </c>
      <c r="F2829" s="1" t="s">
        <v>21069</v>
      </c>
      <c r="G2829" s="1" t="e">
        <v>#N/A</v>
      </c>
      <c r="H2829" t="s">
        <v>8959</v>
      </c>
      <c r="I2829" s="1" t="s">
        <v>9035</v>
      </c>
      <c r="J2829" s="1" t="e">
        <v>#N/A</v>
      </c>
      <c r="K2829" s="1" t="s">
        <v>21065</v>
      </c>
      <c r="L2829" s="1" t="s">
        <v>9133</v>
      </c>
      <c r="M2829" s="1" t="e">
        <v>#N/A</v>
      </c>
      <c r="N2829" s="1" t="e">
        <v>#N/A</v>
      </c>
      <c r="O2829" s="1" t="e">
        <v>#N/A</v>
      </c>
      <c r="P2829" s="1" t="e">
        <v>#N/A</v>
      </c>
      <c r="Q2829" s="1" t="e">
        <v>#N/A</v>
      </c>
      <c r="R2829" s="1">
        <f t="shared" si="832"/>
        <v>4</v>
      </c>
      <c r="S2829" s="1" t="str">
        <f t="shared" si="833"/>
        <v>&lt;4</v>
      </c>
      <c r="T2829" s="1" t="s">
        <v>20168</v>
      </c>
      <c r="U2829" s="1" t="s">
        <v>7</v>
      </c>
      <c r="V2829" s="1" t="s">
        <v>7469</v>
      </c>
      <c r="W2829" s="1"/>
    </row>
    <row r="2830" spans="1:23" x14ac:dyDescent="0.2">
      <c r="A2830" s="89" t="s">
        <v>7470</v>
      </c>
      <c r="B2830" s="1" t="e">
        <v>#N/A</v>
      </c>
      <c r="C2830" s="1" t="e">
        <v>#N/A</v>
      </c>
      <c r="D2830" s="1" t="s">
        <v>7471</v>
      </c>
      <c r="E2830" s="1" t="s">
        <v>7472</v>
      </c>
      <c r="F2830" s="1" t="e">
        <v>#N/A</v>
      </c>
      <c r="G2830" s="1" t="e">
        <v>#N/A</v>
      </c>
      <c r="H2830" t="e">
        <v>#N/A</v>
      </c>
      <c r="I2830" s="1" t="e">
        <v>#N/A</v>
      </c>
      <c r="J2830" s="1" t="e">
        <v>#N/A</v>
      </c>
      <c r="K2830" s="1" t="e">
        <v>#N/A</v>
      </c>
      <c r="L2830" s="1" t="e">
        <v>#N/A</v>
      </c>
      <c r="M2830" s="1" t="e">
        <v>#N/A</v>
      </c>
      <c r="N2830" s="1" t="e">
        <v>#N/A</v>
      </c>
      <c r="O2830" s="1" t="e">
        <v>#N/A</v>
      </c>
      <c r="P2830" s="1" t="e">
        <v>#N/A</v>
      </c>
      <c r="Q2830" s="1" t="e">
        <v>#N/A</v>
      </c>
      <c r="R2830" s="1">
        <f t="shared" si="832"/>
        <v>9</v>
      </c>
      <c r="S2830" s="1" t="str">
        <f t="shared" si="833"/>
        <v>&gt;7</v>
      </c>
      <c r="T2830" s="1" t="s">
        <v>20169</v>
      </c>
      <c r="U2830" s="1" t="s">
        <v>11</v>
      </c>
      <c r="V2830" s="1" t="s">
        <v>7473</v>
      </c>
      <c r="W2830" s="1"/>
    </row>
    <row r="2831" spans="1:23" x14ac:dyDescent="0.2">
      <c r="A2831" s="88" t="s">
        <v>17969</v>
      </c>
      <c r="B2831" s="1" t="e">
        <v>#N/A</v>
      </c>
      <c r="C2831" s="1" t="s">
        <v>14677</v>
      </c>
      <c r="D2831" s="1" t="s">
        <v>7474</v>
      </c>
      <c r="E2831" s="1" t="s">
        <v>7475</v>
      </c>
      <c r="F2831" s="1" t="s">
        <v>10873</v>
      </c>
      <c r="G2831" s="1" t="s">
        <v>8957</v>
      </c>
      <c r="H2831" t="s">
        <v>9009</v>
      </c>
      <c r="I2831" s="1" t="s">
        <v>9605</v>
      </c>
      <c r="J2831" s="1" t="s">
        <v>9121</v>
      </c>
      <c r="K2831" s="1" t="s">
        <v>10517</v>
      </c>
      <c r="L2831" s="1" t="s">
        <v>9157</v>
      </c>
      <c r="M2831" s="1">
        <v>30</v>
      </c>
      <c r="N2831" s="1" t="s">
        <v>9059</v>
      </c>
      <c r="O2831" s="1" t="s">
        <v>8989</v>
      </c>
      <c r="P2831" s="1" t="s">
        <v>8955</v>
      </c>
      <c r="Q2831" s="1" t="s">
        <v>8956</v>
      </c>
      <c r="R2831" s="1" t="s">
        <v>8957</v>
      </c>
      <c r="S2831" s="1" t="s">
        <v>8975</v>
      </c>
      <c r="T2831" s="1" t="s">
        <v>7476</v>
      </c>
      <c r="U2831" s="1" t="s">
        <v>17</v>
      </c>
      <c r="V2831" s="1" t="s">
        <v>2819</v>
      </c>
      <c r="W2831" s="1"/>
    </row>
    <row r="2832" spans="1:23" x14ac:dyDescent="0.2">
      <c r="A2832" s="88" t="s">
        <v>17970</v>
      </c>
      <c r="B2832" s="1" t="e">
        <v>#N/A</v>
      </c>
      <c r="C2832" s="1" t="e">
        <v>#N/A</v>
      </c>
      <c r="D2832" s="1" t="s">
        <v>7477</v>
      </c>
      <c r="E2832" s="1" t="s">
        <v>7478</v>
      </c>
      <c r="F2832" s="1" t="s">
        <v>9246</v>
      </c>
      <c r="G2832" s="1" t="s">
        <v>8959</v>
      </c>
      <c r="H2832" t="s">
        <v>9183</v>
      </c>
      <c r="I2832" s="1" t="s">
        <v>8948</v>
      </c>
      <c r="J2832" s="1" t="s">
        <v>8959</v>
      </c>
      <c r="K2832" s="1" t="s">
        <v>10492</v>
      </c>
      <c r="L2832" s="1" t="s">
        <v>21070</v>
      </c>
      <c r="M2832" s="1">
        <v>81</v>
      </c>
      <c r="N2832" s="1" t="s">
        <v>8953</v>
      </c>
      <c r="O2832" s="1" t="s">
        <v>8989</v>
      </c>
      <c r="P2832" s="1" t="e">
        <v>#N/A</v>
      </c>
      <c r="Q2832" s="1" t="e">
        <v>#N/A</v>
      </c>
      <c r="R2832" s="1">
        <f t="shared" ref="R2832:R2834" si="834">1+LEN(T2832)-LEN(SUBSTITUTE(T2832,",",))</f>
        <v>5</v>
      </c>
      <c r="S2832" s="1" t="str">
        <f t="shared" ref="S2832:S2834" si="835">IF(R2832&gt;4,IF(R2832&lt;8,"4-7",IF(R2832&gt;7,"&gt;7")),"&lt;4")</f>
        <v>4-7</v>
      </c>
      <c r="T2832" s="1" t="s">
        <v>20170</v>
      </c>
      <c r="U2832" s="1" t="s">
        <v>17</v>
      </c>
      <c r="V2832" s="1" t="s">
        <v>24</v>
      </c>
      <c r="W2832" s="1"/>
    </row>
    <row r="2833" spans="1:23" x14ac:dyDescent="0.2">
      <c r="A2833" s="88" t="s">
        <v>17971</v>
      </c>
      <c r="B2833" s="1" t="e">
        <v>#N/A</v>
      </c>
      <c r="C2833" s="1" t="e">
        <v>#N/A</v>
      </c>
      <c r="D2833" s="1" t="s">
        <v>7479</v>
      </c>
      <c r="E2833" s="1" t="s">
        <v>7480</v>
      </c>
      <c r="F2833" s="1" t="s">
        <v>21071</v>
      </c>
      <c r="G2833" s="1" t="s">
        <v>8974</v>
      </c>
      <c r="H2833" t="s">
        <v>9009</v>
      </c>
      <c r="I2833" s="1" t="s">
        <v>9605</v>
      </c>
      <c r="J2833" s="1" t="s">
        <v>8949</v>
      </c>
      <c r="K2833" s="1" t="s">
        <v>21063</v>
      </c>
      <c r="L2833" s="1" t="s">
        <v>9076</v>
      </c>
      <c r="M2833" s="1">
        <f>20000+40000+80000</f>
        <v>140000</v>
      </c>
      <c r="N2833" s="1" t="s">
        <v>8953</v>
      </c>
      <c r="O2833" s="1" t="s">
        <v>8954</v>
      </c>
      <c r="P2833" s="1" t="e">
        <v>#N/A</v>
      </c>
      <c r="Q2833" s="1" t="e">
        <v>#N/A</v>
      </c>
      <c r="R2833" s="1">
        <f t="shared" si="834"/>
        <v>4</v>
      </c>
      <c r="S2833" s="1" t="str">
        <f t="shared" si="835"/>
        <v>&lt;4</v>
      </c>
      <c r="T2833" s="1" t="s">
        <v>20171</v>
      </c>
      <c r="U2833" s="1" t="s">
        <v>17</v>
      </c>
      <c r="V2833" s="1" t="s">
        <v>161</v>
      </c>
      <c r="W2833" s="1"/>
    </row>
    <row r="2834" spans="1:23" x14ac:dyDescent="0.2">
      <c r="A2834" s="95" t="s">
        <v>17972</v>
      </c>
      <c r="B2834" s="1" t="e">
        <v>#N/A</v>
      </c>
      <c r="C2834" s="1" t="e">
        <v>#N/A</v>
      </c>
      <c r="D2834" s="1" t="s">
        <v>21072</v>
      </c>
      <c r="E2834" s="1" t="s">
        <v>7481</v>
      </c>
      <c r="F2834" s="1" t="s">
        <v>9815</v>
      </c>
      <c r="G2834" s="1" t="s">
        <v>8959</v>
      </c>
      <c r="H2834" t="s">
        <v>8959</v>
      </c>
      <c r="I2834" s="1" t="s">
        <v>20712</v>
      </c>
      <c r="J2834" s="1" t="s">
        <v>9155</v>
      </c>
      <c r="K2834" s="1" t="s">
        <v>21073</v>
      </c>
      <c r="L2834" s="1" t="s">
        <v>8987</v>
      </c>
      <c r="M2834" s="1">
        <f>19+115</f>
        <v>134</v>
      </c>
      <c r="N2834" s="1" t="s">
        <v>9059</v>
      </c>
      <c r="O2834" s="1" t="s">
        <v>8954</v>
      </c>
      <c r="P2834" s="1" t="e">
        <v>#N/A</v>
      </c>
      <c r="Q2834" s="1" t="e">
        <v>#N/A</v>
      </c>
      <c r="R2834" s="1">
        <f t="shared" si="834"/>
        <v>2</v>
      </c>
      <c r="S2834" s="1" t="str">
        <f t="shared" si="835"/>
        <v>&lt;4</v>
      </c>
      <c r="T2834" s="1" t="s">
        <v>20172</v>
      </c>
      <c r="U2834" s="1" t="s">
        <v>17</v>
      </c>
      <c r="V2834" s="1" t="s">
        <v>4538</v>
      </c>
      <c r="W2834" s="1"/>
    </row>
    <row r="2835" spans="1:23" x14ac:dyDescent="0.2">
      <c r="A2835" s="88" t="s">
        <v>17973</v>
      </c>
      <c r="B2835" s="1" t="e">
        <v>#N/A</v>
      </c>
      <c r="C2835" s="1" t="s">
        <v>13878</v>
      </c>
      <c r="D2835" s="1" t="s">
        <v>7482</v>
      </c>
      <c r="E2835" s="1" t="s">
        <v>7483</v>
      </c>
      <c r="F2835" s="1" t="s">
        <v>9333</v>
      </c>
      <c r="G2835" s="1" t="s">
        <v>8974</v>
      </c>
      <c r="H2835" t="s">
        <v>8959</v>
      </c>
      <c r="I2835" s="1" t="s">
        <v>9035</v>
      </c>
      <c r="J2835" s="1" t="s">
        <v>8998</v>
      </c>
      <c r="K2835" s="1" t="s">
        <v>9436</v>
      </c>
      <c r="L2835" s="1" t="s">
        <v>9464</v>
      </c>
      <c r="M2835" s="1">
        <v>32</v>
      </c>
      <c r="N2835" s="1" t="s">
        <v>11658</v>
      </c>
      <c r="O2835" s="1" t="s">
        <v>8989</v>
      </c>
      <c r="P2835" s="1" t="s">
        <v>8955</v>
      </c>
      <c r="Q2835" s="1" t="s">
        <v>8990</v>
      </c>
      <c r="R2835" s="1" t="s">
        <v>8974</v>
      </c>
      <c r="S2835" s="1" t="s">
        <v>8958</v>
      </c>
      <c r="T2835" s="1" t="s">
        <v>7484</v>
      </c>
      <c r="U2835" s="1" t="s">
        <v>4</v>
      </c>
      <c r="V2835" s="1" t="s">
        <v>64</v>
      </c>
      <c r="W2835" s="1"/>
    </row>
    <row r="2836" spans="1:23" x14ac:dyDescent="0.2">
      <c r="A2836" s="89" t="s">
        <v>7485</v>
      </c>
      <c r="B2836" s="1" t="e">
        <v>#N/A</v>
      </c>
      <c r="C2836" s="1" t="e">
        <v>#N/A</v>
      </c>
      <c r="D2836" s="1" t="s">
        <v>7486</v>
      </c>
      <c r="E2836" s="1" t="s">
        <v>7487</v>
      </c>
      <c r="F2836" s="1" t="e">
        <v>#N/A</v>
      </c>
      <c r="G2836" s="1" t="e">
        <v>#N/A</v>
      </c>
      <c r="H2836" t="e">
        <v>#N/A</v>
      </c>
      <c r="I2836" s="1" t="e">
        <v>#N/A</v>
      </c>
      <c r="J2836" s="1" t="e">
        <v>#N/A</v>
      </c>
      <c r="K2836" s="1" t="e">
        <v>#N/A</v>
      </c>
      <c r="L2836" s="1" t="e">
        <v>#N/A</v>
      </c>
      <c r="M2836" s="1" t="e">
        <v>#N/A</v>
      </c>
      <c r="N2836" s="1" t="e">
        <v>#N/A</v>
      </c>
      <c r="O2836" s="1" t="e">
        <v>#N/A</v>
      </c>
      <c r="P2836" s="1" t="e">
        <v>#N/A</v>
      </c>
      <c r="Q2836" s="1" t="e">
        <v>#N/A</v>
      </c>
      <c r="R2836" s="1">
        <f t="shared" ref="R2836:R2837" si="836">1+LEN(T2836)-LEN(SUBSTITUTE(T2836,",",))</f>
        <v>4</v>
      </c>
      <c r="S2836" s="1" t="str">
        <f t="shared" ref="S2836:S2837" si="837">IF(R2836&gt;4,IF(R2836&lt;8,"4-7",IF(R2836&gt;7,"&gt;7")),"&lt;4")</f>
        <v>&lt;4</v>
      </c>
      <c r="T2836" s="1" t="s">
        <v>20173</v>
      </c>
      <c r="U2836" s="1" t="s">
        <v>17</v>
      </c>
      <c r="V2836" s="1" t="s">
        <v>382</v>
      </c>
      <c r="W2836" s="1"/>
    </row>
    <row r="2837" spans="1:23" x14ac:dyDescent="0.2">
      <c r="A2837" s="88" t="s">
        <v>17974</v>
      </c>
      <c r="B2837" s="1" t="e">
        <v>#N/A</v>
      </c>
      <c r="C2837" s="1" t="e">
        <v>#N/A</v>
      </c>
      <c r="D2837" s="1" t="s">
        <v>7488</v>
      </c>
      <c r="E2837" s="1" t="s">
        <v>7489</v>
      </c>
      <c r="F2837" s="1" t="s">
        <v>21075</v>
      </c>
      <c r="G2837" s="1" t="s">
        <v>8974</v>
      </c>
      <c r="H2837" t="s">
        <v>8959</v>
      </c>
      <c r="I2837" s="1" t="s">
        <v>8984</v>
      </c>
      <c r="J2837" s="1" t="s">
        <v>9155</v>
      </c>
      <c r="K2837" s="1" t="s">
        <v>21393</v>
      </c>
      <c r="L2837" s="1" t="s">
        <v>9076</v>
      </c>
      <c r="M2837" s="1">
        <f>992+273+817</f>
        <v>2082</v>
      </c>
      <c r="N2837" s="1" t="s">
        <v>8953</v>
      </c>
      <c r="O2837" s="1" t="s">
        <v>8954</v>
      </c>
      <c r="P2837" s="1" t="e">
        <v>#N/A</v>
      </c>
      <c r="Q2837" s="1" t="e">
        <v>#N/A</v>
      </c>
      <c r="R2837" s="1">
        <f t="shared" si="836"/>
        <v>4</v>
      </c>
      <c r="S2837" s="1" t="str">
        <f t="shared" si="837"/>
        <v>&lt;4</v>
      </c>
      <c r="T2837" s="1" t="s">
        <v>20701</v>
      </c>
      <c r="U2837" s="1" t="s">
        <v>7</v>
      </c>
      <c r="V2837" s="1" t="s">
        <v>64</v>
      </c>
      <c r="W2837" s="1"/>
    </row>
    <row r="2838" spans="1:23" x14ac:dyDescent="0.2">
      <c r="A2838" s="88" t="s">
        <v>17975</v>
      </c>
      <c r="B2838" s="1" t="e">
        <v>#N/A</v>
      </c>
      <c r="C2838" s="1" t="s">
        <v>12810</v>
      </c>
      <c r="D2838" s="1" t="s">
        <v>7490</v>
      </c>
      <c r="E2838" s="1" t="s">
        <v>7491</v>
      </c>
      <c r="F2838" s="1" t="s">
        <v>9387</v>
      </c>
      <c r="G2838" s="1" t="s">
        <v>8957</v>
      </c>
      <c r="H2838" t="s">
        <v>8959</v>
      </c>
      <c r="I2838" s="1" t="s">
        <v>8984</v>
      </c>
      <c r="J2838" s="1" t="s">
        <v>8998</v>
      </c>
      <c r="K2838" s="1" t="s">
        <v>9036</v>
      </c>
      <c r="L2838" s="1" t="s">
        <v>9133</v>
      </c>
      <c r="M2838" s="1">
        <v>222</v>
      </c>
      <c r="N2838" s="1" t="s">
        <v>8953</v>
      </c>
      <c r="O2838" s="1" t="s">
        <v>8989</v>
      </c>
      <c r="P2838" s="1" t="s">
        <v>8955</v>
      </c>
      <c r="Q2838" s="1" t="s">
        <v>8956</v>
      </c>
      <c r="R2838" s="1" t="s">
        <v>8957</v>
      </c>
      <c r="S2838" s="1" t="s">
        <v>8958</v>
      </c>
      <c r="T2838" s="1" t="s">
        <v>7492</v>
      </c>
      <c r="U2838" s="1" t="s">
        <v>11</v>
      </c>
      <c r="V2838" s="1" t="s">
        <v>5</v>
      </c>
      <c r="W2838" s="1"/>
    </row>
    <row r="2839" spans="1:23" x14ac:dyDescent="0.2">
      <c r="A2839" s="88" t="s">
        <v>17976</v>
      </c>
      <c r="B2839" s="1" t="e">
        <v>#N/A</v>
      </c>
      <c r="C2839" s="1" t="s">
        <v>13605</v>
      </c>
      <c r="D2839" s="1" t="s">
        <v>7493</v>
      </c>
      <c r="E2839" s="1" t="s">
        <v>7494</v>
      </c>
      <c r="F2839" s="1" t="s">
        <v>9387</v>
      </c>
      <c r="G2839" s="1" t="s">
        <v>8957</v>
      </c>
      <c r="H2839" t="s">
        <v>8959</v>
      </c>
      <c r="I2839" s="1" t="s">
        <v>8984</v>
      </c>
      <c r="J2839" s="1" t="s">
        <v>8998</v>
      </c>
      <c r="K2839" s="1" t="s">
        <v>9036</v>
      </c>
      <c r="L2839" s="1" t="s">
        <v>8951</v>
      </c>
      <c r="M2839" s="1">
        <v>246</v>
      </c>
      <c r="N2839" s="1" t="s">
        <v>8953</v>
      </c>
      <c r="O2839" s="1" t="s">
        <v>8954</v>
      </c>
      <c r="P2839" s="1" t="s">
        <v>8955</v>
      </c>
      <c r="Q2839" s="1" t="s">
        <v>8956</v>
      </c>
      <c r="R2839" s="1" t="s">
        <v>8957</v>
      </c>
      <c r="S2839" s="1" t="s">
        <v>8958</v>
      </c>
      <c r="T2839" s="1" t="s">
        <v>7495</v>
      </c>
      <c r="U2839" s="1" t="s">
        <v>4</v>
      </c>
      <c r="V2839" s="1" t="s">
        <v>64</v>
      </c>
      <c r="W2839" s="1"/>
    </row>
    <row r="2840" spans="1:23" x14ac:dyDescent="0.2">
      <c r="A2840" s="88" t="s">
        <v>17977</v>
      </c>
      <c r="B2840" s="1" t="e">
        <v>#N/A</v>
      </c>
      <c r="C2840" s="1" t="e">
        <v>#N/A</v>
      </c>
      <c r="D2840" s="1" t="s">
        <v>7496</v>
      </c>
      <c r="E2840" s="1" t="s">
        <v>7497</v>
      </c>
      <c r="F2840" s="1" t="s">
        <v>21074</v>
      </c>
      <c r="G2840" s="1" t="s">
        <v>8957</v>
      </c>
      <c r="H2840" t="s">
        <v>8959</v>
      </c>
      <c r="I2840" s="1" t="s">
        <v>9154</v>
      </c>
      <c r="J2840" s="1" t="s">
        <v>9308</v>
      </c>
      <c r="K2840" s="1" t="s">
        <v>20736</v>
      </c>
      <c r="L2840" s="1" t="s">
        <v>8987</v>
      </c>
      <c r="M2840" s="1">
        <f>3378+70000</f>
        <v>73378</v>
      </c>
      <c r="N2840" s="1" t="s">
        <v>8953</v>
      </c>
      <c r="O2840" s="1" t="s">
        <v>8954</v>
      </c>
      <c r="P2840" s="1" t="e">
        <v>#N/A</v>
      </c>
      <c r="Q2840" s="1" t="e">
        <v>#N/A</v>
      </c>
      <c r="R2840" s="1">
        <f>1+LEN(T2840)-LEN(SUBSTITUTE(T2840,",",))</f>
        <v>5</v>
      </c>
      <c r="S2840" s="1" t="str">
        <f>IF(R2840&gt;4,IF(R2840&lt;8,"4-7",IF(R2840&gt;7,"&gt;7")),"&lt;4")</f>
        <v>4-7</v>
      </c>
      <c r="T2840" s="1" t="s">
        <v>20174</v>
      </c>
      <c r="U2840" s="1" t="s">
        <v>7</v>
      </c>
      <c r="V2840" s="1" t="s">
        <v>1010</v>
      </c>
      <c r="W2840" s="1"/>
    </row>
    <row r="2841" spans="1:23" x14ac:dyDescent="0.2">
      <c r="A2841" s="88" t="s">
        <v>17978</v>
      </c>
      <c r="B2841" s="1" t="e">
        <v>#N/A</v>
      </c>
      <c r="C2841" s="1" t="s">
        <v>9626</v>
      </c>
      <c r="D2841" s="1" t="s">
        <v>7498</v>
      </c>
      <c r="E2841" s="1" t="s">
        <v>7499</v>
      </c>
      <c r="F2841" s="1" t="s">
        <v>9630</v>
      </c>
      <c r="G2841" s="1" t="s">
        <v>8959</v>
      </c>
      <c r="H2841" t="s">
        <v>8959</v>
      </c>
      <c r="I2841" s="1" t="s">
        <v>9049</v>
      </c>
      <c r="J2841" s="1" t="s">
        <v>9050</v>
      </c>
      <c r="K2841" s="1" t="s">
        <v>18489</v>
      </c>
      <c r="L2841" s="1" t="s">
        <v>8951</v>
      </c>
      <c r="M2841" s="1">
        <v>128175</v>
      </c>
      <c r="N2841" s="1" t="s">
        <v>8953</v>
      </c>
      <c r="O2841" s="1" t="s">
        <v>8954</v>
      </c>
      <c r="P2841" s="1" t="s">
        <v>8955</v>
      </c>
      <c r="Q2841" s="1" t="s">
        <v>8990</v>
      </c>
      <c r="R2841" s="1" t="s">
        <v>8959</v>
      </c>
      <c r="S2841" s="1" t="s">
        <v>9103</v>
      </c>
      <c r="T2841" s="1" t="s">
        <v>7500</v>
      </c>
      <c r="U2841" s="1" t="s">
        <v>17</v>
      </c>
      <c r="V2841" s="1" t="s">
        <v>110</v>
      </c>
      <c r="W2841" s="1"/>
    </row>
    <row r="2842" spans="1:23" x14ac:dyDescent="0.2">
      <c r="A2842" s="89" t="s">
        <v>7501</v>
      </c>
      <c r="B2842" s="1" t="e">
        <v>#N/A</v>
      </c>
      <c r="C2842" s="1" t="e">
        <v>#N/A</v>
      </c>
      <c r="D2842" s="1" t="s">
        <v>7502</v>
      </c>
      <c r="E2842" s="1" t="s">
        <v>7503</v>
      </c>
      <c r="F2842" s="1" t="e">
        <v>#N/A</v>
      </c>
      <c r="G2842" s="1" t="e">
        <v>#N/A</v>
      </c>
      <c r="H2842" t="e">
        <v>#N/A</v>
      </c>
      <c r="I2842" s="1" t="e">
        <v>#N/A</v>
      </c>
      <c r="J2842" s="1" t="e">
        <v>#N/A</v>
      </c>
      <c r="K2842" s="1" t="e">
        <v>#N/A</v>
      </c>
      <c r="L2842" s="1" t="e">
        <v>#N/A</v>
      </c>
      <c r="M2842" s="1" t="e">
        <v>#N/A</v>
      </c>
      <c r="N2842" s="1" t="e">
        <v>#N/A</v>
      </c>
      <c r="O2842" s="1" t="e">
        <v>#N/A</v>
      </c>
      <c r="P2842" s="1" t="e">
        <v>#N/A</v>
      </c>
      <c r="Q2842" s="1" t="e">
        <v>#N/A</v>
      </c>
      <c r="R2842" s="1">
        <f t="shared" ref="R2842:R2845" si="838">1+LEN(T2842)-LEN(SUBSTITUTE(T2842,",",))</f>
        <v>3</v>
      </c>
      <c r="S2842" s="1" t="str">
        <f t="shared" ref="S2842:S2845" si="839">IF(R2842&gt;4,IF(R2842&lt;8,"4-7",IF(R2842&gt;7,"&gt;7")),"&lt;4")</f>
        <v>&lt;4</v>
      </c>
      <c r="T2842" s="1" t="s">
        <v>20175</v>
      </c>
      <c r="U2842" s="1" t="s">
        <v>17</v>
      </c>
      <c r="V2842" s="1" t="s">
        <v>7504</v>
      </c>
      <c r="W2842" s="1"/>
    </row>
    <row r="2843" spans="1:23" x14ac:dyDescent="0.2">
      <c r="A2843" s="88" t="s">
        <v>17979</v>
      </c>
      <c r="B2843" s="1" t="e">
        <v>#N/A</v>
      </c>
      <c r="C2843" s="1" t="e">
        <v>#N/A</v>
      </c>
      <c r="D2843" s="1" t="s">
        <v>7505</v>
      </c>
      <c r="E2843" s="1" t="s">
        <v>7506</v>
      </c>
      <c r="F2843" s="1" t="s">
        <v>18502</v>
      </c>
      <c r="G2843" s="1" t="s">
        <v>9060</v>
      </c>
      <c r="H2843" t="s">
        <v>9061</v>
      </c>
      <c r="I2843" s="1" t="s">
        <v>9092</v>
      </c>
      <c r="J2843" s="1" t="s">
        <v>8959</v>
      </c>
      <c r="K2843" s="1" t="s">
        <v>20723</v>
      </c>
      <c r="L2843" s="1" t="s">
        <v>8987</v>
      </c>
      <c r="M2843" s="1">
        <v>7738</v>
      </c>
      <c r="N2843" s="1" t="s">
        <v>8953</v>
      </c>
      <c r="O2843" s="1" t="s">
        <v>8989</v>
      </c>
      <c r="P2843" s="1" t="e">
        <v>#N/A</v>
      </c>
      <c r="Q2843" s="1" t="e">
        <v>#N/A</v>
      </c>
      <c r="R2843" s="1">
        <f t="shared" si="838"/>
        <v>11</v>
      </c>
      <c r="S2843" s="1" t="str">
        <f t="shared" si="839"/>
        <v>&gt;7</v>
      </c>
      <c r="T2843" s="1" t="s">
        <v>20176</v>
      </c>
      <c r="U2843" s="1" t="s">
        <v>7</v>
      </c>
      <c r="V2843" s="1" t="s">
        <v>180</v>
      </c>
      <c r="W2843" s="1"/>
    </row>
    <row r="2844" spans="1:23" x14ac:dyDescent="0.2">
      <c r="A2844" s="89" t="s">
        <v>7507</v>
      </c>
      <c r="B2844" s="1" t="e">
        <v>#N/A</v>
      </c>
      <c r="C2844" s="1" t="e">
        <v>#N/A</v>
      </c>
      <c r="D2844" s="1" t="s">
        <v>7508</v>
      </c>
      <c r="E2844" s="1" t="s">
        <v>7509</v>
      </c>
      <c r="F2844" s="1" t="e">
        <v>#N/A</v>
      </c>
      <c r="G2844" s="1" t="e">
        <v>#N/A</v>
      </c>
      <c r="H2844" t="e">
        <v>#N/A</v>
      </c>
      <c r="I2844" s="1" t="e">
        <v>#N/A</v>
      </c>
      <c r="J2844" s="1" t="e">
        <v>#N/A</v>
      </c>
      <c r="K2844" s="1" t="e">
        <v>#N/A</v>
      </c>
      <c r="L2844" s="1" t="e">
        <v>#N/A</v>
      </c>
      <c r="M2844" s="1" t="e">
        <v>#N/A</v>
      </c>
      <c r="N2844" s="1" t="e">
        <v>#N/A</v>
      </c>
      <c r="O2844" s="1" t="e">
        <v>#N/A</v>
      </c>
      <c r="P2844" s="1" t="e">
        <v>#N/A</v>
      </c>
      <c r="Q2844" s="1" t="e">
        <v>#N/A</v>
      </c>
      <c r="R2844" s="1">
        <f t="shared" si="838"/>
        <v>7</v>
      </c>
      <c r="S2844" s="1" t="str">
        <f t="shared" si="839"/>
        <v>4-7</v>
      </c>
      <c r="T2844" s="1" t="s">
        <v>20177</v>
      </c>
      <c r="U2844" s="1" t="s">
        <v>7</v>
      </c>
      <c r="V2844" s="1" t="s">
        <v>7510</v>
      </c>
      <c r="W2844" s="1"/>
    </row>
    <row r="2845" spans="1:23" x14ac:dyDescent="0.2">
      <c r="A2845" s="89" t="s">
        <v>7511</v>
      </c>
      <c r="B2845" s="1" t="e">
        <v>#N/A</v>
      </c>
      <c r="C2845" s="1" t="e">
        <v>#N/A</v>
      </c>
      <c r="D2845" s="1" t="s">
        <v>7512</v>
      </c>
      <c r="E2845" s="1" t="s">
        <v>7513</v>
      </c>
      <c r="F2845" s="1" t="e">
        <v>#N/A</v>
      </c>
      <c r="G2845" s="1" t="e">
        <v>#N/A</v>
      </c>
      <c r="H2845" t="e">
        <v>#N/A</v>
      </c>
      <c r="I2845" s="1" t="e">
        <v>#N/A</v>
      </c>
      <c r="J2845" s="1" t="e">
        <v>#N/A</v>
      </c>
      <c r="K2845" s="1" t="e">
        <v>#N/A</v>
      </c>
      <c r="L2845" s="1" t="e">
        <v>#N/A</v>
      </c>
      <c r="M2845" s="1" t="e">
        <v>#N/A</v>
      </c>
      <c r="N2845" s="1" t="e">
        <v>#N/A</v>
      </c>
      <c r="O2845" s="1" t="e">
        <v>#N/A</v>
      </c>
      <c r="P2845" s="1" t="e">
        <v>#N/A</v>
      </c>
      <c r="Q2845" s="1" t="e">
        <v>#N/A</v>
      </c>
      <c r="R2845" s="1">
        <f t="shared" si="838"/>
        <v>1</v>
      </c>
      <c r="S2845" s="1" t="str">
        <f t="shared" si="839"/>
        <v>&lt;4</v>
      </c>
      <c r="T2845" s="1" t="s">
        <v>7514</v>
      </c>
      <c r="U2845" s="1" t="s">
        <v>17</v>
      </c>
      <c r="V2845" s="1" t="s">
        <v>2865</v>
      </c>
      <c r="W2845" s="1"/>
    </row>
    <row r="2846" spans="1:23" x14ac:dyDescent="0.2">
      <c r="A2846" s="88" t="s">
        <v>17980</v>
      </c>
      <c r="B2846" s="1" t="e">
        <v>#N/A</v>
      </c>
      <c r="C2846" s="1" t="s">
        <v>15126</v>
      </c>
      <c r="D2846" s="1" t="s">
        <v>7515</v>
      </c>
      <c r="E2846" s="1" t="s">
        <v>7516</v>
      </c>
      <c r="F2846" s="1" t="s">
        <v>9246</v>
      </c>
      <c r="G2846" s="1" t="s">
        <v>8957</v>
      </c>
      <c r="H2846" t="s">
        <v>9061</v>
      </c>
      <c r="I2846" s="1" t="s">
        <v>9252</v>
      </c>
      <c r="J2846" s="1" t="s">
        <v>8949</v>
      </c>
      <c r="K2846" s="1" t="s">
        <v>10492</v>
      </c>
      <c r="L2846" s="1" t="s">
        <v>8973</v>
      </c>
      <c r="M2846" s="1">
        <v>1533</v>
      </c>
      <c r="N2846" s="1" t="s">
        <v>9059</v>
      </c>
      <c r="O2846" s="1" t="s">
        <v>8989</v>
      </c>
      <c r="P2846" s="1" t="s">
        <v>8955</v>
      </c>
      <c r="Q2846" s="1" t="s">
        <v>8956</v>
      </c>
      <c r="R2846" s="1" t="s">
        <v>8957</v>
      </c>
      <c r="S2846" s="1" t="s">
        <v>8958</v>
      </c>
      <c r="T2846" s="1" t="s">
        <v>7517</v>
      </c>
      <c r="U2846" s="1" t="s">
        <v>17</v>
      </c>
      <c r="V2846" s="1" t="s">
        <v>147</v>
      </c>
      <c r="W2846" s="1"/>
    </row>
    <row r="2847" spans="1:23" x14ac:dyDescent="0.2">
      <c r="A2847" s="89" t="s">
        <v>7518</v>
      </c>
      <c r="B2847" s="1" t="e">
        <v>#N/A</v>
      </c>
      <c r="C2847" s="1" t="e">
        <v>#N/A</v>
      </c>
      <c r="D2847" s="1" t="s">
        <v>7519</v>
      </c>
      <c r="E2847" s="1" t="s">
        <v>7520</v>
      </c>
      <c r="F2847" s="1" t="e">
        <v>#N/A</v>
      </c>
      <c r="G2847" s="1" t="e">
        <v>#N/A</v>
      </c>
      <c r="H2847" t="e">
        <v>#N/A</v>
      </c>
      <c r="I2847" s="1" t="e">
        <v>#N/A</v>
      </c>
      <c r="J2847" s="1" t="e">
        <v>#N/A</v>
      </c>
      <c r="K2847" s="1" t="e">
        <v>#N/A</v>
      </c>
      <c r="L2847" s="1" t="e">
        <v>#N/A</v>
      </c>
      <c r="M2847" s="1" t="e">
        <v>#N/A</v>
      </c>
      <c r="N2847" s="1" t="e">
        <v>#N/A</v>
      </c>
      <c r="O2847" s="1" t="e">
        <v>#N/A</v>
      </c>
      <c r="P2847" s="1" t="e">
        <v>#N/A</v>
      </c>
      <c r="Q2847" s="1" t="e">
        <v>#N/A</v>
      </c>
      <c r="R2847" s="1">
        <f t="shared" ref="R2847:R2850" si="840">1+LEN(T2847)-LEN(SUBSTITUTE(T2847,",",))</f>
        <v>5</v>
      </c>
      <c r="S2847" s="1" t="str">
        <f t="shared" ref="S2847:S2850" si="841">IF(R2847&gt;4,IF(R2847&lt;8,"4-7",IF(R2847&gt;7,"&gt;7")),"&lt;4")</f>
        <v>4-7</v>
      </c>
      <c r="T2847" s="1" t="s">
        <v>20178</v>
      </c>
      <c r="U2847" s="1" t="s">
        <v>7</v>
      </c>
      <c r="V2847" s="1" t="s">
        <v>93</v>
      </c>
      <c r="W2847" s="1"/>
    </row>
    <row r="2848" spans="1:23" x14ac:dyDescent="0.2">
      <c r="A2848" s="88" t="s">
        <v>21076</v>
      </c>
      <c r="B2848" s="1" t="e">
        <v>#N/A</v>
      </c>
      <c r="C2848" s="1" t="e">
        <v>#N/A</v>
      </c>
      <c r="D2848" s="1" t="s">
        <v>7521</v>
      </c>
      <c r="E2848" s="1" t="s">
        <v>7522</v>
      </c>
      <c r="F2848" s="1" t="s">
        <v>11671</v>
      </c>
      <c r="G2848" s="1" t="s">
        <v>8957</v>
      </c>
      <c r="H2848" t="s">
        <v>9061</v>
      </c>
      <c r="I2848" s="1" t="s">
        <v>20712</v>
      </c>
      <c r="J2848" s="1" t="s">
        <v>9155</v>
      </c>
      <c r="K2848" s="1" t="s">
        <v>21318</v>
      </c>
      <c r="L2848" s="1" t="s">
        <v>8973</v>
      </c>
      <c r="M2848" s="1">
        <f>1244+110+285+210+30+61+195</f>
        <v>2135</v>
      </c>
      <c r="N2848" s="1" t="s">
        <v>9059</v>
      </c>
      <c r="O2848" s="1" t="s">
        <v>8954</v>
      </c>
      <c r="P2848" s="1" t="e">
        <v>#N/A</v>
      </c>
      <c r="Q2848" s="1" t="e">
        <v>#N/A</v>
      </c>
      <c r="R2848" s="1">
        <f t="shared" si="840"/>
        <v>4</v>
      </c>
      <c r="S2848" s="1" t="str">
        <f t="shared" si="841"/>
        <v>&lt;4</v>
      </c>
      <c r="T2848" s="1" t="s">
        <v>20179</v>
      </c>
      <c r="U2848" s="1" t="s">
        <v>7</v>
      </c>
      <c r="V2848" s="1" t="s">
        <v>93</v>
      </c>
      <c r="W2848" s="1"/>
    </row>
    <row r="2849" spans="1:23" x14ac:dyDescent="0.2">
      <c r="A2849" s="88" t="s">
        <v>17981</v>
      </c>
      <c r="B2849" s="1" t="e">
        <v>#N/A</v>
      </c>
      <c r="C2849" s="1" t="e">
        <v>#N/A</v>
      </c>
      <c r="D2849" s="1" t="s">
        <v>7523</v>
      </c>
      <c r="E2849" s="1" t="s">
        <v>7524</v>
      </c>
      <c r="F2849" s="1" t="s">
        <v>11671</v>
      </c>
      <c r="G2849" s="1" t="s">
        <v>8957</v>
      </c>
      <c r="H2849" t="s">
        <v>8959</v>
      </c>
      <c r="I2849" s="1" t="s">
        <v>20712</v>
      </c>
      <c r="J2849" s="1" t="s">
        <v>9155</v>
      </c>
      <c r="K2849" s="1" t="s">
        <v>21394</v>
      </c>
      <c r="L2849" s="1" t="s">
        <v>8987</v>
      </c>
      <c r="M2849" s="1">
        <f>516+400+30+4200</f>
        <v>5146</v>
      </c>
      <c r="N2849" s="1" t="s">
        <v>8953</v>
      </c>
      <c r="O2849" s="1" t="s">
        <v>8954</v>
      </c>
      <c r="P2849" s="1" t="e">
        <v>#N/A</v>
      </c>
      <c r="Q2849" s="1" t="e">
        <v>#N/A</v>
      </c>
      <c r="R2849" s="1">
        <f t="shared" si="840"/>
        <v>4</v>
      </c>
      <c r="S2849" s="1" t="str">
        <f t="shared" si="841"/>
        <v>&lt;4</v>
      </c>
      <c r="T2849" s="1" t="s">
        <v>20180</v>
      </c>
      <c r="U2849" s="1" t="s">
        <v>7</v>
      </c>
      <c r="V2849" s="1" t="s">
        <v>61</v>
      </c>
      <c r="W2849" s="1"/>
    </row>
    <row r="2850" spans="1:23" x14ac:dyDescent="0.2">
      <c r="A2850" s="88" t="s">
        <v>17982</v>
      </c>
      <c r="B2850" s="1" t="e">
        <v>#N/A</v>
      </c>
      <c r="C2850" s="1" t="e">
        <v>#N/A</v>
      </c>
      <c r="D2850" s="1" t="s">
        <v>7525</v>
      </c>
      <c r="E2850" s="1" t="s">
        <v>7526</v>
      </c>
      <c r="F2850" s="1" t="s">
        <v>9310</v>
      </c>
      <c r="G2850" s="1" t="s">
        <v>8957</v>
      </c>
      <c r="H2850" t="s">
        <v>8959</v>
      </c>
      <c r="I2850" s="1" t="s">
        <v>8948</v>
      </c>
      <c r="J2850" s="1" t="s">
        <v>8998</v>
      </c>
      <c r="K2850" s="1" t="s">
        <v>10629</v>
      </c>
      <c r="L2850" s="1" t="s">
        <v>9076</v>
      </c>
      <c r="M2850" s="1">
        <v>9000</v>
      </c>
      <c r="N2850" s="1" t="s">
        <v>8953</v>
      </c>
      <c r="O2850" s="1" t="s">
        <v>8989</v>
      </c>
      <c r="P2850" s="1" t="e">
        <v>#N/A</v>
      </c>
      <c r="Q2850" s="1" t="e">
        <v>#N/A</v>
      </c>
      <c r="R2850" s="1">
        <f t="shared" si="840"/>
        <v>5</v>
      </c>
      <c r="S2850" s="1" t="str">
        <f t="shared" si="841"/>
        <v>4-7</v>
      </c>
      <c r="T2850" s="1" t="s">
        <v>20181</v>
      </c>
      <c r="U2850" s="1" t="s">
        <v>7</v>
      </c>
      <c r="V2850" s="1" t="s">
        <v>7527</v>
      </c>
      <c r="W2850" s="1"/>
    </row>
    <row r="2851" spans="1:23" x14ac:dyDescent="0.2">
      <c r="A2851" s="88" t="s">
        <v>17983</v>
      </c>
      <c r="B2851" s="1" t="e">
        <v>#N/A</v>
      </c>
      <c r="C2851" s="1" t="s">
        <v>14037</v>
      </c>
      <c r="D2851" s="1" t="s">
        <v>7528</v>
      </c>
      <c r="E2851" s="1" t="s">
        <v>7529</v>
      </c>
      <c r="F2851" s="1" t="s">
        <v>9317</v>
      </c>
      <c r="G2851" s="1" t="s">
        <v>8957</v>
      </c>
      <c r="H2851" t="s">
        <v>9009</v>
      </c>
      <c r="I2851" s="1" t="s">
        <v>8948</v>
      </c>
      <c r="J2851" s="1" t="s">
        <v>8949</v>
      </c>
      <c r="K2851" s="1" t="s">
        <v>21195</v>
      </c>
      <c r="L2851" s="1" t="s">
        <v>8973</v>
      </c>
      <c r="M2851" s="1">
        <v>7680</v>
      </c>
      <c r="N2851" s="1" t="s">
        <v>8953</v>
      </c>
      <c r="O2851" s="1" t="s">
        <v>8954</v>
      </c>
      <c r="P2851" s="1" t="s">
        <v>8955</v>
      </c>
      <c r="Q2851" s="1" t="s">
        <v>8956</v>
      </c>
      <c r="R2851" s="1" t="s">
        <v>8957</v>
      </c>
      <c r="S2851" s="1" t="s">
        <v>9103</v>
      </c>
      <c r="T2851" s="1" t="s">
        <v>7530</v>
      </c>
      <c r="U2851" s="1" t="s">
        <v>11</v>
      </c>
      <c r="V2851" s="1" t="s">
        <v>392</v>
      </c>
      <c r="W2851" s="1"/>
    </row>
    <row r="2852" spans="1:23" x14ac:dyDescent="0.2">
      <c r="A2852" s="88" t="s">
        <v>17984</v>
      </c>
      <c r="B2852" s="1" t="e">
        <v>#N/A</v>
      </c>
      <c r="C2852" s="1" t="e">
        <v>#N/A</v>
      </c>
      <c r="D2852" s="1" t="s">
        <v>7531</v>
      </c>
      <c r="E2852" s="1" t="s">
        <v>7532</v>
      </c>
      <c r="F2852" s="1" t="s">
        <v>18502</v>
      </c>
      <c r="G2852" s="1" t="s">
        <v>8957</v>
      </c>
      <c r="H2852" t="s">
        <v>8959</v>
      </c>
      <c r="I2852" s="1" t="s">
        <v>9173</v>
      </c>
      <c r="J2852" s="1" t="s">
        <v>8959</v>
      </c>
      <c r="K2852" s="1" t="s">
        <v>21395</v>
      </c>
      <c r="L2852" s="1" t="s">
        <v>8973</v>
      </c>
      <c r="M2852" s="1">
        <f>114+202+1442</f>
        <v>1758</v>
      </c>
      <c r="N2852" s="1" t="s">
        <v>8953</v>
      </c>
      <c r="O2852" s="1" t="s">
        <v>8954</v>
      </c>
      <c r="P2852" s="1" t="e">
        <v>#N/A</v>
      </c>
      <c r="Q2852" s="1" t="e">
        <v>#N/A</v>
      </c>
      <c r="R2852" s="1">
        <f t="shared" ref="R2852:R2855" si="842">1+LEN(T2852)-LEN(SUBSTITUTE(T2852,",",))</f>
        <v>9</v>
      </c>
      <c r="S2852" s="1" t="str">
        <f t="shared" ref="S2852:S2855" si="843">IF(R2852&gt;4,IF(R2852&lt;8,"4-7",IF(R2852&gt;7,"&gt;7")),"&lt;4")</f>
        <v>&gt;7</v>
      </c>
      <c r="T2852" s="1" t="s">
        <v>20182</v>
      </c>
      <c r="U2852" s="1" t="s">
        <v>7</v>
      </c>
      <c r="V2852" s="1" t="s">
        <v>1929</v>
      </c>
      <c r="W2852" s="1"/>
    </row>
    <row r="2853" spans="1:23" x14ac:dyDescent="0.2">
      <c r="A2853" s="89" t="s">
        <v>7533</v>
      </c>
      <c r="B2853" s="1" t="e">
        <v>#N/A</v>
      </c>
      <c r="C2853" s="1" t="e">
        <v>#N/A</v>
      </c>
      <c r="D2853" s="1" t="s">
        <v>7534</v>
      </c>
      <c r="E2853" s="1" t="s">
        <v>7535</v>
      </c>
      <c r="F2853" s="1" t="e">
        <v>#N/A</v>
      </c>
      <c r="G2853" s="1" t="e">
        <v>#N/A</v>
      </c>
      <c r="H2853" t="e">
        <v>#N/A</v>
      </c>
      <c r="I2853" s="1" t="e">
        <v>#N/A</v>
      </c>
      <c r="J2853" s="1" t="e">
        <v>#N/A</v>
      </c>
      <c r="K2853" s="1" t="e">
        <v>#N/A</v>
      </c>
      <c r="L2853" s="1" t="e">
        <v>#N/A</v>
      </c>
      <c r="M2853" s="1" t="e">
        <v>#N/A</v>
      </c>
      <c r="N2853" s="1" t="e">
        <v>#N/A</v>
      </c>
      <c r="O2853" s="1" t="e">
        <v>#N/A</v>
      </c>
      <c r="P2853" s="1" t="e">
        <v>#N/A</v>
      </c>
      <c r="Q2853" s="1" t="e">
        <v>#N/A</v>
      </c>
      <c r="R2853" s="1">
        <f t="shared" si="842"/>
        <v>5</v>
      </c>
      <c r="S2853" s="1" t="str">
        <f t="shared" si="843"/>
        <v>4-7</v>
      </c>
      <c r="T2853" s="1" t="s">
        <v>20183</v>
      </c>
      <c r="U2853" s="1" t="s">
        <v>7</v>
      </c>
      <c r="V2853" s="1" t="s">
        <v>3152</v>
      </c>
      <c r="W2853" s="1"/>
    </row>
    <row r="2854" spans="1:23" x14ac:dyDescent="0.2">
      <c r="A2854" s="88" t="s">
        <v>17985</v>
      </c>
      <c r="B2854" s="1" t="e">
        <v>#N/A</v>
      </c>
      <c r="C2854" s="1" t="e">
        <v>#N/A</v>
      </c>
      <c r="D2854" s="1" t="s">
        <v>7536</v>
      </c>
      <c r="E2854" s="1" t="s">
        <v>7537</v>
      </c>
      <c r="F2854" s="1" t="s">
        <v>9317</v>
      </c>
      <c r="G2854" s="1" t="s">
        <v>9060</v>
      </c>
      <c r="H2854" t="s">
        <v>8959</v>
      </c>
      <c r="I2854" s="1" t="s">
        <v>9605</v>
      </c>
      <c r="J2854" s="1" t="s">
        <v>9101</v>
      </c>
      <c r="K2854" s="1" t="s">
        <v>21298</v>
      </c>
      <c r="L2854" s="1" t="s">
        <v>9292</v>
      </c>
      <c r="M2854" s="1">
        <f>86+111+130+840</f>
        <v>1167</v>
      </c>
      <c r="N2854" s="1" t="s">
        <v>8953</v>
      </c>
      <c r="O2854" s="1" t="s">
        <v>8989</v>
      </c>
      <c r="P2854" s="1" t="e">
        <v>#N/A</v>
      </c>
      <c r="Q2854" s="1" t="e">
        <v>#N/A</v>
      </c>
      <c r="R2854" s="1">
        <f t="shared" si="842"/>
        <v>19</v>
      </c>
      <c r="S2854" s="1" t="str">
        <f t="shared" si="843"/>
        <v>&gt;7</v>
      </c>
      <c r="T2854" s="1" t="s">
        <v>20184</v>
      </c>
      <c r="U2854" s="1" t="s">
        <v>17</v>
      </c>
      <c r="V2854" s="1" t="s">
        <v>7440</v>
      </c>
      <c r="W2854" s="1"/>
    </row>
    <row r="2855" spans="1:23" x14ac:dyDescent="0.2">
      <c r="A2855" s="88" t="s">
        <v>17986</v>
      </c>
      <c r="B2855" s="1" t="e">
        <v>#N/A</v>
      </c>
      <c r="C2855" s="1" t="e">
        <v>#N/A</v>
      </c>
      <c r="D2855" s="1" t="s">
        <v>7538</v>
      </c>
      <c r="E2855" s="1" t="s">
        <v>7539</v>
      </c>
      <c r="F2855" s="1" t="s">
        <v>10873</v>
      </c>
      <c r="G2855" s="1" t="s">
        <v>9060</v>
      </c>
      <c r="H2855" t="s">
        <v>9061</v>
      </c>
      <c r="I2855" s="1" t="s">
        <v>9100</v>
      </c>
      <c r="J2855" s="1" t="s">
        <v>9155</v>
      </c>
      <c r="K2855" s="1" t="s">
        <v>21078</v>
      </c>
      <c r="L2855" s="1" t="s">
        <v>8951</v>
      </c>
      <c r="M2855" s="1">
        <v>34</v>
      </c>
      <c r="N2855" s="1" t="s">
        <v>9059</v>
      </c>
      <c r="O2855" s="1" t="s">
        <v>8989</v>
      </c>
      <c r="P2855" s="1" t="e">
        <v>#N/A</v>
      </c>
      <c r="Q2855" s="1" t="e">
        <v>#N/A</v>
      </c>
      <c r="R2855" s="1">
        <f t="shared" si="842"/>
        <v>9</v>
      </c>
      <c r="S2855" s="1" t="str">
        <f t="shared" si="843"/>
        <v>&gt;7</v>
      </c>
      <c r="T2855" s="1" t="s">
        <v>20185</v>
      </c>
      <c r="U2855" s="1" t="s">
        <v>7</v>
      </c>
      <c r="V2855" s="1" t="s">
        <v>122</v>
      </c>
      <c r="W2855" s="1"/>
    </row>
    <row r="2856" spans="1:23" x14ac:dyDescent="0.2">
      <c r="A2856" s="88" t="s">
        <v>17987</v>
      </c>
      <c r="B2856" s="1" t="e">
        <v>#N/A</v>
      </c>
      <c r="C2856" s="1" t="s">
        <v>13898</v>
      </c>
      <c r="D2856" s="1" t="s">
        <v>7540</v>
      </c>
      <c r="E2856" s="1" t="s">
        <v>7541</v>
      </c>
      <c r="F2856" s="1" t="s">
        <v>9852</v>
      </c>
      <c r="G2856" s="1" t="s">
        <v>8957</v>
      </c>
      <c r="H2856" t="s">
        <v>8959</v>
      </c>
      <c r="I2856" s="1" t="s">
        <v>9252</v>
      </c>
      <c r="J2856" s="1" t="s">
        <v>9422</v>
      </c>
      <c r="K2856" s="1" t="s">
        <v>9036</v>
      </c>
      <c r="L2856" s="1" t="s">
        <v>8951</v>
      </c>
      <c r="M2856" s="1">
        <v>78</v>
      </c>
      <c r="N2856" s="1" t="s">
        <v>9059</v>
      </c>
      <c r="O2856" s="1" t="s">
        <v>8954</v>
      </c>
      <c r="P2856" s="1" t="s">
        <v>8955</v>
      </c>
      <c r="Q2856" s="1" t="s">
        <v>8956</v>
      </c>
      <c r="R2856" s="1" t="s">
        <v>8957</v>
      </c>
      <c r="S2856" s="1" t="s">
        <v>9103</v>
      </c>
      <c r="T2856" s="1" t="s">
        <v>7542</v>
      </c>
      <c r="U2856" s="1" t="s">
        <v>4</v>
      </c>
      <c r="V2856" s="1" t="s">
        <v>74</v>
      </c>
      <c r="W2856" s="1"/>
    </row>
    <row r="2857" spans="1:23" x14ac:dyDescent="0.2">
      <c r="A2857" s="88" t="s">
        <v>17988</v>
      </c>
      <c r="B2857" s="1" t="e">
        <v>#N/A</v>
      </c>
      <c r="C2857" s="1" t="e">
        <v>#N/A</v>
      </c>
      <c r="D2857" s="1" t="s">
        <v>7543</v>
      </c>
      <c r="E2857" s="1" t="s">
        <v>7544</v>
      </c>
      <c r="F2857" s="1" t="s">
        <v>21077</v>
      </c>
      <c r="G2857" s="1" t="s">
        <v>8959</v>
      </c>
      <c r="H2857" t="s">
        <v>8959</v>
      </c>
      <c r="I2857" s="1" t="s">
        <v>9605</v>
      </c>
      <c r="J2857" s="1" t="s">
        <v>9101</v>
      </c>
      <c r="K2857" s="1" t="s">
        <v>21348</v>
      </c>
      <c r="L2857" s="1" t="s">
        <v>9292</v>
      </c>
      <c r="M2857" s="1">
        <v>2534</v>
      </c>
      <c r="N2857" s="1" t="s">
        <v>8953</v>
      </c>
      <c r="O2857" s="1" t="s">
        <v>8989</v>
      </c>
      <c r="P2857" s="1" t="e">
        <v>#N/A</v>
      </c>
      <c r="Q2857" s="1" t="e">
        <v>#N/A</v>
      </c>
      <c r="R2857" s="1">
        <f t="shared" ref="R2857:R2859" si="844">1+LEN(T2857)-LEN(SUBSTITUTE(T2857,",",))</f>
        <v>11</v>
      </c>
      <c r="S2857" s="1" t="str">
        <f t="shared" ref="S2857:S2859" si="845">IF(R2857&gt;4,IF(R2857&lt;8,"4-7",IF(R2857&gt;7,"&gt;7")),"&lt;4")</f>
        <v>&gt;7</v>
      </c>
      <c r="T2857" s="1" t="s">
        <v>20186</v>
      </c>
      <c r="U2857" s="1" t="s">
        <v>17</v>
      </c>
      <c r="V2857" s="1" t="s">
        <v>7545</v>
      </c>
      <c r="W2857" s="1"/>
    </row>
    <row r="2858" spans="1:23" x14ac:dyDescent="0.2">
      <c r="A2858" s="88" t="s">
        <v>17989</v>
      </c>
      <c r="B2858" s="1" t="e">
        <v>#N/A</v>
      </c>
      <c r="C2858" s="1" t="e">
        <v>#N/A</v>
      </c>
      <c r="D2858" s="1" t="s">
        <v>7546</v>
      </c>
      <c r="E2858" s="1" t="s">
        <v>7547</v>
      </c>
      <c r="F2858" s="1" t="s">
        <v>9636</v>
      </c>
      <c r="G2858" s="1" t="s">
        <v>8957</v>
      </c>
      <c r="H2858" t="s">
        <v>9061</v>
      </c>
      <c r="I2858" s="1" t="s">
        <v>20714</v>
      </c>
      <c r="J2858" s="1" t="s">
        <v>20725</v>
      </c>
      <c r="K2858" s="1" t="s">
        <v>21205</v>
      </c>
      <c r="L2858" s="1" t="s">
        <v>9292</v>
      </c>
      <c r="M2858" s="1">
        <v>54900</v>
      </c>
      <c r="N2858" s="1" t="s">
        <v>8953</v>
      </c>
      <c r="O2858" s="1" t="s">
        <v>8989</v>
      </c>
      <c r="P2858" s="1" t="e">
        <v>#N/A</v>
      </c>
      <c r="Q2858" s="1" t="e">
        <v>#N/A</v>
      </c>
      <c r="R2858" s="1">
        <f t="shared" si="844"/>
        <v>7</v>
      </c>
      <c r="S2858" s="1" t="str">
        <f t="shared" si="845"/>
        <v>4-7</v>
      </c>
      <c r="T2858" s="1" t="s">
        <v>20187</v>
      </c>
      <c r="U2858" s="1" t="s">
        <v>7</v>
      </c>
      <c r="V2858" s="1" t="s">
        <v>24</v>
      </c>
      <c r="W2858" s="1"/>
    </row>
    <row r="2859" spans="1:23" x14ac:dyDescent="0.2">
      <c r="A2859" s="89" t="s">
        <v>17990</v>
      </c>
      <c r="B2859" s="1" t="e">
        <v>#N/A</v>
      </c>
      <c r="C2859" s="1" t="e">
        <v>#N/A</v>
      </c>
      <c r="D2859" s="5" t="s">
        <v>7548</v>
      </c>
      <c r="E2859" s="1" t="s">
        <v>7549</v>
      </c>
      <c r="F2859" s="1" t="e">
        <v>#N/A</v>
      </c>
      <c r="G2859" s="1" t="e">
        <v>#N/A</v>
      </c>
      <c r="H2859" t="e">
        <v>#N/A</v>
      </c>
      <c r="I2859" s="1" t="e">
        <v>#N/A</v>
      </c>
      <c r="J2859" s="1" t="e">
        <v>#N/A</v>
      </c>
      <c r="K2859" s="1" t="e">
        <v>#N/A</v>
      </c>
      <c r="L2859" s="1" t="e">
        <v>#N/A</v>
      </c>
      <c r="M2859" s="1" t="e">
        <v>#N/A</v>
      </c>
      <c r="N2859" s="1" t="e">
        <v>#N/A</v>
      </c>
      <c r="O2859" s="1" t="e">
        <v>#N/A</v>
      </c>
      <c r="P2859" s="1" t="e">
        <v>#N/A</v>
      </c>
      <c r="Q2859" s="1" t="e">
        <v>#N/A</v>
      </c>
      <c r="R2859" s="1">
        <f t="shared" si="844"/>
        <v>3</v>
      </c>
      <c r="S2859" s="1" t="str">
        <f t="shared" si="845"/>
        <v>&lt;4</v>
      </c>
      <c r="T2859" s="1" t="s">
        <v>20188</v>
      </c>
      <c r="U2859" s="1" t="s">
        <v>7</v>
      </c>
      <c r="V2859" s="1" t="s">
        <v>7469</v>
      </c>
      <c r="W2859" s="1"/>
    </row>
    <row r="2860" spans="1:23" x14ac:dyDescent="0.2">
      <c r="A2860" s="88" t="s">
        <v>17991</v>
      </c>
      <c r="B2860" s="1" t="e">
        <v>#N/A</v>
      </c>
      <c r="C2860" s="1" t="s">
        <v>10420</v>
      </c>
      <c r="D2860" s="1" t="s">
        <v>7550</v>
      </c>
      <c r="E2860" s="1" t="s">
        <v>7551</v>
      </c>
      <c r="F2860" s="1" t="s">
        <v>9010</v>
      </c>
      <c r="G2860" s="1" t="s">
        <v>8959</v>
      </c>
      <c r="H2860" t="s">
        <v>8959</v>
      </c>
      <c r="I2860" s="1" t="s">
        <v>9173</v>
      </c>
      <c r="J2860" s="1" t="s">
        <v>9174</v>
      </c>
      <c r="K2860" s="1" t="s">
        <v>9112</v>
      </c>
      <c r="L2860" s="1" t="s">
        <v>9133</v>
      </c>
      <c r="M2860" s="1">
        <v>5161</v>
      </c>
      <c r="N2860" s="1" t="s">
        <v>8953</v>
      </c>
      <c r="O2860" s="1" t="s">
        <v>8954</v>
      </c>
      <c r="P2860" s="1" t="s">
        <v>9182</v>
      </c>
      <c r="Q2860" s="1" t="s">
        <v>8956</v>
      </c>
      <c r="R2860" s="1" t="s">
        <v>8959</v>
      </c>
      <c r="S2860" s="1" t="s">
        <v>8975</v>
      </c>
      <c r="T2860" s="1" t="s">
        <v>7552</v>
      </c>
      <c r="U2860" s="1" t="s">
        <v>17</v>
      </c>
      <c r="V2860" s="1" t="s">
        <v>1421</v>
      </c>
      <c r="W2860" s="1"/>
    </row>
    <row r="2861" spans="1:23" x14ac:dyDescent="0.2">
      <c r="A2861" s="89" t="s">
        <v>17992</v>
      </c>
      <c r="B2861" s="1" t="e">
        <v>#N/A</v>
      </c>
      <c r="C2861" s="1" t="e">
        <v>#N/A</v>
      </c>
      <c r="D2861" s="1" t="s">
        <v>7553</v>
      </c>
      <c r="E2861" s="1" t="s">
        <v>7554</v>
      </c>
      <c r="F2861" s="1" t="e">
        <v>#N/A</v>
      </c>
      <c r="G2861" s="1" t="e">
        <v>#N/A</v>
      </c>
      <c r="H2861" t="e">
        <v>#N/A</v>
      </c>
      <c r="I2861" s="1" t="e">
        <v>#N/A</v>
      </c>
      <c r="J2861" s="1" t="e">
        <v>#N/A</v>
      </c>
      <c r="K2861" s="1" t="e">
        <v>#N/A</v>
      </c>
      <c r="L2861" s="1" t="e">
        <v>#N/A</v>
      </c>
      <c r="M2861" s="1" t="e">
        <v>#N/A</v>
      </c>
      <c r="N2861" s="1" t="e">
        <v>#N/A</v>
      </c>
      <c r="O2861" s="1" t="e">
        <v>#N/A</v>
      </c>
      <c r="P2861" s="1" t="e">
        <v>#N/A</v>
      </c>
      <c r="Q2861" s="1" t="e">
        <v>#N/A</v>
      </c>
      <c r="R2861" s="1">
        <f>1+LEN(T2861)-LEN(SUBSTITUTE(T2861,",",))</f>
        <v>1</v>
      </c>
      <c r="S2861" s="1" t="str">
        <f>IF(R2861&gt;4,IF(R2861&lt;8,"4-7",IF(R2861&gt;7,"&gt;7")),"&lt;4")</f>
        <v>&lt;4</v>
      </c>
      <c r="U2861" s="1" t="s">
        <v>17</v>
      </c>
      <c r="V2861" s="1" t="s">
        <v>2782</v>
      </c>
      <c r="W2861" s="1"/>
    </row>
    <row r="2862" spans="1:23" x14ac:dyDescent="0.2">
      <c r="A2862" s="88" t="s">
        <v>17993</v>
      </c>
      <c r="B2862" s="1" t="e">
        <v>#N/A</v>
      </c>
      <c r="C2862" s="1" t="s">
        <v>11503</v>
      </c>
      <c r="D2862" s="1" t="s">
        <v>7555</v>
      </c>
      <c r="E2862" s="1" t="s">
        <v>7556</v>
      </c>
      <c r="F2862" s="1" t="s">
        <v>10049</v>
      </c>
      <c r="G2862" s="1" t="s">
        <v>8959</v>
      </c>
      <c r="H2862" t="s">
        <v>9183</v>
      </c>
      <c r="I2862" s="1" t="s">
        <v>9035</v>
      </c>
      <c r="J2862" s="1" t="s">
        <v>8998</v>
      </c>
      <c r="K2862" s="1" t="s">
        <v>10258</v>
      </c>
      <c r="L2862" s="1" t="s">
        <v>8987</v>
      </c>
      <c r="M2862" s="1">
        <v>1157</v>
      </c>
      <c r="N2862" s="1" t="s">
        <v>8953</v>
      </c>
      <c r="O2862" s="1" t="s">
        <v>8954</v>
      </c>
      <c r="P2862" s="1" t="s">
        <v>8955</v>
      </c>
      <c r="Q2862" s="1" t="s">
        <v>8956</v>
      </c>
      <c r="R2862" s="1" t="s">
        <v>8959</v>
      </c>
      <c r="S2862" s="1" t="s">
        <v>8958</v>
      </c>
      <c r="T2862" s="1" t="s">
        <v>7557</v>
      </c>
      <c r="U2862" s="1" t="s">
        <v>11</v>
      </c>
      <c r="V2862" s="1" t="s">
        <v>2196</v>
      </c>
      <c r="W2862" s="1"/>
    </row>
    <row r="2863" spans="1:23" x14ac:dyDescent="0.2">
      <c r="A2863" s="89" t="s">
        <v>7558</v>
      </c>
      <c r="B2863" s="1" t="e">
        <v>#N/A</v>
      </c>
      <c r="C2863" s="1" t="e">
        <v>#N/A</v>
      </c>
      <c r="D2863" s="1" t="s">
        <v>7559</v>
      </c>
      <c r="E2863" s="1" t="s">
        <v>7560</v>
      </c>
      <c r="F2863" s="1" t="e">
        <v>#N/A</v>
      </c>
      <c r="G2863" s="1" t="e">
        <v>#N/A</v>
      </c>
      <c r="H2863" t="e">
        <v>#N/A</v>
      </c>
      <c r="I2863" s="1" t="e">
        <v>#N/A</v>
      </c>
      <c r="J2863" s="1" t="e">
        <v>#N/A</v>
      </c>
      <c r="K2863" s="1" t="e">
        <v>#N/A</v>
      </c>
      <c r="L2863" s="1" t="e">
        <v>#N/A</v>
      </c>
      <c r="M2863" s="1" t="e">
        <v>#N/A</v>
      </c>
      <c r="N2863" s="1" t="e">
        <v>#N/A</v>
      </c>
      <c r="O2863" s="1" t="e">
        <v>#N/A</v>
      </c>
      <c r="P2863" s="1" t="e">
        <v>#N/A</v>
      </c>
      <c r="Q2863" s="1" t="e">
        <v>#N/A</v>
      </c>
      <c r="R2863" s="1">
        <f>1+LEN(T2863)-LEN(SUBSTITUTE(T2863,",",))</f>
        <v>4</v>
      </c>
      <c r="S2863" s="1" t="str">
        <f>IF(R2863&gt;4,IF(R2863&lt;8,"4-7",IF(R2863&gt;7,"&gt;7")),"&lt;4")</f>
        <v>&lt;4</v>
      </c>
      <c r="T2863" s="1" t="s">
        <v>20189</v>
      </c>
      <c r="U2863" s="1" t="s">
        <v>7</v>
      </c>
      <c r="V2863" s="1" t="s">
        <v>2196</v>
      </c>
      <c r="W2863" s="1"/>
    </row>
    <row r="2864" spans="1:23" x14ac:dyDescent="0.2">
      <c r="A2864" s="89" t="s">
        <v>7561</v>
      </c>
      <c r="B2864" s="1" t="e">
        <v>#N/A</v>
      </c>
      <c r="C2864" s="1" t="s">
        <v>11398</v>
      </c>
      <c r="D2864" s="1" t="s">
        <v>7562</v>
      </c>
      <c r="E2864" s="1" t="s">
        <v>7563</v>
      </c>
      <c r="F2864" s="1" t="s">
        <v>9317</v>
      </c>
      <c r="G2864" s="1" t="s">
        <v>8957</v>
      </c>
      <c r="H2864" t="s">
        <v>9183</v>
      </c>
      <c r="I2864" s="1" t="s">
        <v>9100</v>
      </c>
      <c r="J2864" s="1" t="s">
        <v>8949</v>
      </c>
      <c r="K2864" s="1" t="s">
        <v>9036</v>
      </c>
      <c r="L2864" s="1" t="s">
        <v>9133</v>
      </c>
      <c r="M2864" s="1">
        <v>1806</v>
      </c>
      <c r="N2864" s="1" t="s">
        <v>9059</v>
      </c>
      <c r="O2864" s="1" t="s">
        <v>8954</v>
      </c>
      <c r="P2864" s="1" t="s">
        <v>8955</v>
      </c>
      <c r="Q2864" s="1" t="s">
        <v>8956</v>
      </c>
      <c r="R2864" s="1" t="s">
        <v>8957</v>
      </c>
      <c r="S2864" s="1" t="s">
        <v>8975</v>
      </c>
      <c r="T2864" s="1" t="s">
        <v>7564</v>
      </c>
      <c r="U2864" s="1" t="s">
        <v>17</v>
      </c>
      <c r="V2864" s="1" t="s">
        <v>7565</v>
      </c>
      <c r="W2864" s="1"/>
    </row>
    <row r="2865" spans="1:23" x14ac:dyDescent="0.2">
      <c r="A2865" s="88" t="s">
        <v>17994</v>
      </c>
      <c r="B2865" s="1" t="e">
        <v>#N/A</v>
      </c>
      <c r="C2865" s="1" t="s">
        <v>12530</v>
      </c>
      <c r="D2865" s="1" t="s">
        <v>7566</v>
      </c>
      <c r="E2865" s="1" t="s">
        <v>7567</v>
      </c>
      <c r="F2865" s="1" t="s">
        <v>9246</v>
      </c>
      <c r="G2865" s="1" t="s">
        <v>9060</v>
      </c>
      <c r="H2865" t="s">
        <v>9009</v>
      </c>
      <c r="I2865" s="1" t="s">
        <v>9252</v>
      </c>
      <c r="J2865" s="1" t="s">
        <v>9253</v>
      </c>
      <c r="K2865" s="1" t="s">
        <v>9036</v>
      </c>
      <c r="L2865" s="1" t="s">
        <v>9292</v>
      </c>
      <c r="M2865" s="1">
        <v>54285</v>
      </c>
      <c r="N2865" s="1" t="s">
        <v>9059</v>
      </c>
      <c r="O2865" s="1" t="s">
        <v>8989</v>
      </c>
      <c r="P2865" s="1" t="s">
        <v>9182</v>
      </c>
      <c r="Q2865" s="1" t="s">
        <v>8956</v>
      </c>
      <c r="R2865" s="1" t="s">
        <v>9060</v>
      </c>
      <c r="S2865" s="1" t="s">
        <v>8975</v>
      </c>
      <c r="T2865" s="1" t="s">
        <v>7568</v>
      </c>
      <c r="U2865" s="1" t="s">
        <v>11</v>
      </c>
      <c r="V2865" s="1" t="s">
        <v>7569</v>
      </c>
      <c r="W2865" s="1"/>
    </row>
    <row r="2866" spans="1:23" x14ac:dyDescent="0.2">
      <c r="A2866" s="88" t="s">
        <v>17995</v>
      </c>
      <c r="B2866" s="1" t="e">
        <v>#N/A</v>
      </c>
      <c r="C2866" s="1" t="s">
        <v>9097</v>
      </c>
      <c r="D2866" s="1" t="s">
        <v>7570</v>
      </c>
      <c r="E2866" s="1" t="s">
        <v>7571</v>
      </c>
      <c r="F2866" s="1" t="s">
        <v>18499</v>
      </c>
      <c r="G2866" s="1" t="s">
        <v>8959</v>
      </c>
      <c r="H2866" t="s">
        <v>8959</v>
      </c>
      <c r="I2866" s="1" t="s">
        <v>9100</v>
      </c>
      <c r="J2866" s="1" t="s">
        <v>9101</v>
      </c>
      <c r="K2866" s="1" t="s">
        <v>9102</v>
      </c>
      <c r="L2866" s="1" t="s">
        <v>8951</v>
      </c>
      <c r="M2866" s="1">
        <v>100</v>
      </c>
      <c r="N2866" s="1" t="s">
        <v>8953</v>
      </c>
      <c r="O2866" s="1" t="s">
        <v>8989</v>
      </c>
      <c r="P2866" s="1" t="s">
        <v>8955</v>
      </c>
      <c r="Q2866" s="1" t="s">
        <v>8956</v>
      </c>
      <c r="R2866" s="1" t="s">
        <v>8959</v>
      </c>
      <c r="S2866" s="1" t="s">
        <v>9103</v>
      </c>
      <c r="T2866" s="1" t="s">
        <v>7572</v>
      </c>
      <c r="U2866" s="1" t="s">
        <v>17</v>
      </c>
      <c r="V2866" s="1" t="s">
        <v>342</v>
      </c>
      <c r="W2866" s="1"/>
    </row>
    <row r="2867" spans="1:23" x14ac:dyDescent="0.2">
      <c r="A2867" s="88" t="s">
        <v>17996</v>
      </c>
      <c r="B2867" s="1" t="e">
        <v>#N/A</v>
      </c>
      <c r="C2867" s="1" t="e">
        <v>#N/A</v>
      </c>
      <c r="D2867" s="1" t="s">
        <v>7570</v>
      </c>
      <c r="E2867" s="1" t="s">
        <v>7571</v>
      </c>
      <c r="F2867" s="1" t="s">
        <v>10032</v>
      </c>
      <c r="G2867" s="1" t="s">
        <v>8959</v>
      </c>
      <c r="H2867" t="s">
        <v>8959</v>
      </c>
      <c r="I2867" s="1" t="s">
        <v>9605</v>
      </c>
      <c r="J2867" s="1" t="s">
        <v>8949</v>
      </c>
      <c r="K2867" s="1" t="s">
        <v>21079</v>
      </c>
      <c r="L2867" s="1" t="s">
        <v>8951</v>
      </c>
      <c r="M2867" s="1">
        <v>100</v>
      </c>
      <c r="N2867" s="1" t="s">
        <v>8953</v>
      </c>
      <c r="O2867" s="1" t="s">
        <v>8989</v>
      </c>
      <c r="P2867" s="1" t="e">
        <v>#N/A</v>
      </c>
      <c r="Q2867" s="1" t="e">
        <v>#N/A</v>
      </c>
      <c r="R2867" s="1">
        <f>1+LEN(T2867)-LEN(SUBSTITUTE(T2867,",",))</f>
        <v>2</v>
      </c>
      <c r="S2867" s="1" t="str">
        <f>IF(R2867&gt;4,IF(R2867&lt;8,"4-7",IF(R2867&gt;7,"&gt;7")),"&lt;4")</f>
        <v>&lt;4</v>
      </c>
      <c r="T2867" s="1" t="s">
        <v>20702</v>
      </c>
      <c r="U2867" s="1" t="s">
        <v>17</v>
      </c>
      <c r="V2867" s="1" t="s">
        <v>342</v>
      </c>
      <c r="W2867" s="1"/>
    </row>
    <row r="2868" spans="1:23" x14ac:dyDescent="0.2">
      <c r="A2868" s="88" t="s">
        <v>17997</v>
      </c>
      <c r="B2868" s="1" t="e">
        <v>#N/A</v>
      </c>
      <c r="C2868" s="1" t="s">
        <v>10386</v>
      </c>
      <c r="D2868" s="1" t="s">
        <v>7573</v>
      </c>
      <c r="E2868" s="1" t="s">
        <v>7574</v>
      </c>
      <c r="F2868" s="1" t="s">
        <v>9010</v>
      </c>
      <c r="G2868" s="1" t="s">
        <v>9060</v>
      </c>
      <c r="H2868" t="s">
        <v>9061</v>
      </c>
      <c r="I2868" s="1" t="s">
        <v>9075</v>
      </c>
      <c r="J2868" s="1" t="s">
        <v>8949</v>
      </c>
      <c r="K2868" s="1" t="s">
        <v>9212</v>
      </c>
      <c r="L2868" s="1" t="s">
        <v>8973</v>
      </c>
      <c r="M2868" s="1">
        <v>90</v>
      </c>
      <c r="N2868" s="1" t="s">
        <v>8953</v>
      </c>
      <c r="O2868" s="1" t="s">
        <v>8954</v>
      </c>
      <c r="P2868" s="1" t="s">
        <v>8955</v>
      </c>
      <c r="Q2868" s="1" t="s">
        <v>8956</v>
      </c>
      <c r="R2868" s="1" t="s">
        <v>9060</v>
      </c>
      <c r="S2868" s="1" t="s">
        <v>8975</v>
      </c>
      <c r="T2868" s="1" t="s">
        <v>7575</v>
      </c>
      <c r="U2868" s="1" t="s">
        <v>17</v>
      </c>
      <c r="V2868" s="1" t="s">
        <v>93</v>
      </c>
      <c r="W2868" s="1"/>
    </row>
    <row r="2869" spans="1:23" x14ac:dyDescent="0.2">
      <c r="A2869" s="89" t="s">
        <v>7576</v>
      </c>
      <c r="B2869" s="1" t="e">
        <v>#N/A</v>
      </c>
      <c r="C2869" s="1" t="e">
        <v>#N/A</v>
      </c>
      <c r="D2869" s="1" t="s">
        <v>7577</v>
      </c>
      <c r="E2869" s="1" t="s">
        <v>7578</v>
      </c>
      <c r="F2869" s="1" t="e">
        <v>#N/A</v>
      </c>
      <c r="G2869" s="1" t="e">
        <v>#N/A</v>
      </c>
      <c r="H2869" t="e">
        <v>#N/A</v>
      </c>
      <c r="I2869" s="1" t="e">
        <v>#N/A</v>
      </c>
      <c r="J2869" s="1" t="e">
        <v>#N/A</v>
      </c>
      <c r="K2869" s="1" t="e">
        <v>#N/A</v>
      </c>
      <c r="L2869" s="1" t="e">
        <v>#N/A</v>
      </c>
      <c r="M2869" s="1" t="e">
        <v>#N/A</v>
      </c>
      <c r="N2869" s="1" t="e">
        <v>#N/A</v>
      </c>
      <c r="O2869" s="1" t="e">
        <v>#N/A</v>
      </c>
      <c r="P2869" s="1" t="e">
        <v>#N/A</v>
      </c>
      <c r="Q2869" s="1" t="e">
        <v>#N/A</v>
      </c>
      <c r="R2869" s="1">
        <f>1+LEN(T2869)-LEN(SUBSTITUTE(T2869,",",))</f>
        <v>2</v>
      </c>
      <c r="S2869" s="1" t="str">
        <f>IF(R2869&gt;4,IF(R2869&lt;8,"4-7",IF(R2869&gt;7,"&gt;7")),"&lt;4")</f>
        <v>&lt;4</v>
      </c>
      <c r="T2869" s="1" t="s">
        <v>20190</v>
      </c>
      <c r="U2869" s="1" t="s">
        <v>7</v>
      </c>
      <c r="V2869" s="1" t="s">
        <v>2903</v>
      </c>
      <c r="W2869" s="1"/>
    </row>
    <row r="2870" spans="1:23" x14ac:dyDescent="0.2">
      <c r="A2870" s="88" t="s">
        <v>17998</v>
      </c>
      <c r="B2870" s="1" t="e">
        <v>#N/A</v>
      </c>
      <c r="C2870" s="1" t="s">
        <v>12395</v>
      </c>
      <c r="D2870" s="1" t="s">
        <v>7579</v>
      </c>
      <c r="E2870" s="1" t="s">
        <v>7580</v>
      </c>
      <c r="F2870" s="1" t="s">
        <v>9310</v>
      </c>
      <c r="G2870" s="1" t="s">
        <v>8957</v>
      </c>
      <c r="H2870" t="s">
        <v>9183</v>
      </c>
      <c r="I2870" s="1" t="s">
        <v>9252</v>
      </c>
      <c r="J2870" s="1" t="s">
        <v>9308</v>
      </c>
      <c r="K2870" s="1" t="s">
        <v>11623</v>
      </c>
      <c r="L2870" s="1" t="s">
        <v>9133</v>
      </c>
      <c r="M2870" s="1">
        <v>2480</v>
      </c>
      <c r="N2870" s="1" t="s">
        <v>8953</v>
      </c>
      <c r="O2870" s="1" t="s">
        <v>8954</v>
      </c>
      <c r="P2870" s="1" t="s">
        <v>8955</v>
      </c>
      <c r="Q2870" s="1" t="s">
        <v>8956</v>
      </c>
      <c r="R2870" s="1" t="s">
        <v>8957</v>
      </c>
      <c r="S2870" s="1" t="s">
        <v>8958</v>
      </c>
      <c r="T2870" s="1" t="s">
        <v>7581</v>
      </c>
      <c r="U2870" s="1" t="s">
        <v>11</v>
      </c>
      <c r="V2870" s="1" t="s">
        <v>1598</v>
      </c>
      <c r="W2870" s="1"/>
    </row>
    <row r="2871" spans="1:23" x14ac:dyDescent="0.2">
      <c r="A2871" s="88" t="s">
        <v>17999</v>
      </c>
      <c r="B2871" s="1" t="e">
        <v>#N/A</v>
      </c>
      <c r="C2871" s="1" t="s">
        <v>14197</v>
      </c>
      <c r="D2871" s="1" t="s">
        <v>7582</v>
      </c>
      <c r="E2871" s="1" t="s">
        <v>7583</v>
      </c>
      <c r="F2871" s="1" t="s">
        <v>9310</v>
      </c>
      <c r="G2871" s="1" t="s">
        <v>8957</v>
      </c>
      <c r="H2871" t="s">
        <v>8959</v>
      </c>
      <c r="I2871" s="1" t="s">
        <v>9035</v>
      </c>
      <c r="J2871" s="1" t="s">
        <v>8998</v>
      </c>
      <c r="K2871" s="1" t="s">
        <v>9036</v>
      </c>
      <c r="L2871" s="1" t="s">
        <v>8951</v>
      </c>
      <c r="M2871" s="1">
        <v>8777</v>
      </c>
      <c r="N2871" s="1" t="s">
        <v>8953</v>
      </c>
      <c r="O2871" s="1" t="s">
        <v>8989</v>
      </c>
      <c r="P2871" s="1" t="s">
        <v>8955</v>
      </c>
      <c r="Q2871" s="1" t="s">
        <v>8956</v>
      </c>
      <c r="R2871" s="1" t="s">
        <v>8957</v>
      </c>
      <c r="S2871" s="1" t="s">
        <v>8958</v>
      </c>
      <c r="T2871" s="1" t="s">
        <v>7584</v>
      </c>
      <c r="U2871" s="1" t="s">
        <v>4</v>
      </c>
      <c r="V2871" s="1" t="s">
        <v>43</v>
      </c>
      <c r="W2871" s="1"/>
    </row>
    <row r="2872" spans="1:23" x14ac:dyDescent="0.2">
      <c r="A2872" s="88" t="s">
        <v>18000</v>
      </c>
      <c r="B2872" s="1" t="e">
        <v>#N/A</v>
      </c>
      <c r="C2872" s="1" t="e">
        <v>#N/A</v>
      </c>
      <c r="D2872" s="1" t="s">
        <v>7585</v>
      </c>
      <c r="E2872" s="1" t="s">
        <v>7586</v>
      </c>
      <c r="F2872" s="1" t="s">
        <v>18502</v>
      </c>
      <c r="G2872" s="1" t="s">
        <v>8974</v>
      </c>
      <c r="H2872" t="s">
        <v>8959</v>
      </c>
      <c r="I2872" s="1" t="s">
        <v>9035</v>
      </c>
      <c r="J2872" s="1" t="s">
        <v>8998</v>
      </c>
      <c r="K2872" s="1" t="s">
        <v>21080</v>
      </c>
      <c r="L2872" s="1" t="s">
        <v>9076</v>
      </c>
      <c r="M2872" s="1">
        <v>5500</v>
      </c>
      <c r="N2872" s="1" t="s">
        <v>8953</v>
      </c>
      <c r="O2872" s="1" t="s">
        <v>8989</v>
      </c>
      <c r="P2872" s="1" t="e">
        <v>#N/A</v>
      </c>
      <c r="Q2872" s="1" t="e">
        <v>#N/A</v>
      </c>
      <c r="R2872" s="1">
        <f t="shared" ref="R2872:R2874" si="846">1+LEN(T2872)-LEN(SUBSTITUTE(T2872,",",))</f>
        <v>10</v>
      </c>
      <c r="S2872" s="1" t="str">
        <f t="shared" ref="S2872:S2874" si="847">IF(R2872&gt;4,IF(R2872&lt;8,"4-7",IF(R2872&gt;7,"&gt;7")),"&lt;4")</f>
        <v>&gt;7</v>
      </c>
      <c r="T2872" s="1" t="s">
        <v>20191</v>
      </c>
      <c r="U2872" s="1" t="s">
        <v>7</v>
      </c>
      <c r="V2872" s="1" t="s">
        <v>93</v>
      </c>
      <c r="W2872" s="1"/>
    </row>
    <row r="2873" spans="1:23" x14ac:dyDescent="0.2">
      <c r="A2873" s="88" t="s">
        <v>18001</v>
      </c>
      <c r="B2873" s="1" t="e">
        <v>#N/A</v>
      </c>
      <c r="C2873" s="1" t="e">
        <v>#N/A</v>
      </c>
      <c r="D2873" s="1" t="s">
        <v>7587</v>
      </c>
      <c r="E2873" s="1" t="s">
        <v>7588</v>
      </c>
      <c r="F2873" s="1" t="s">
        <v>18502</v>
      </c>
      <c r="G2873" s="1" t="s">
        <v>8974</v>
      </c>
      <c r="H2873" t="s">
        <v>8959</v>
      </c>
      <c r="I2873" s="1" t="s">
        <v>9035</v>
      </c>
      <c r="J2873" s="1" t="s">
        <v>8949</v>
      </c>
      <c r="K2873" s="1" t="s">
        <v>21081</v>
      </c>
      <c r="L2873" s="1" t="s">
        <v>8951</v>
      </c>
      <c r="M2873" s="1">
        <v>440000</v>
      </c>
      <c r="N2873" s="1" t="s">
        <v>20915</v>
      </c>
      <c r="O2873" s="1" t="s">
        <v>8989</v>
      </c>
      <c r="P2873" s="1" t="e">
        <v>#N/A</v>
      </c>
      <c r="Q2873" s="1" t="e">
        <v>#N/A</v>
      </c>
      <c r="R2873" s="1">
        <f t="shared" si="846"/>
        <v>10</v>
      </c>
      <c r="S2873" s="1" t="str">
        <f t="shared" si="847"/>
        <v>&gt;7</v>
      </c>
      <c r="T2873" s="1" t="s">
        <v>20192</v>
      </c>
      <c r="U2873" s="1" t="s">
        <v>17</v>
      </c>
      <c r="V2873" s="1" t="s">
        <v>93</v>
      </c>
      <c r="W2873" s="1"/>
    </row>
    <row r="2874" spans="1:23" x14ac:dyDescent="0.2">
      <c r="A2874" s="88" t="s">
        <v>18002</v>
      </c>
      <c r="B2874" s="1" t="e">
        <v>#N/A</v>
      </c>
      <c r="C2874" s="1" t="e">
        <v>#N/A</v>
      </c>
      <c r="D2874" s="1" t="s">
        <v>7589</v>
      </c>
      <c r="E2874" s="1" t="s">
        <v>7590</v>
      </c>
      <c r="F2874" s="1" t="s">
        <v>9333</v>
      </c>
      <c r="G2874" s="1" t="s">
        <v>8957</v>
      </c>
      <c r="H2874" t="s">
        <v>8959</v>
      </c>
      <c r="I2874" s="1" t="s">
        <v>9075</v>
      </c>
      <c r="J2874" s="1" t="s">
        <v>8998</v>
      </c>
      <c r="K2874" s="1" t="s">
        <v>10492</v>
      </c>
      <c r="L2874" s="1" t="s">
        <v>8973</v>
      </c>
      <c r="M2874" s="1">
        <v>377</v>
      </c>
      <c r="N2874" s="1" t="s">
        <v>9059</v>
      </c>
      <c r="O2874" s="1" t="s">
        <v>8989</v>
      </c>
      <c r="P2874" s="1" t="e">
        <v>#N/A</v>
      </c>
      <c r="Q2874" s="1" t="e">
        <v>#N/A</v>
      </c>
      <c r="R2874" s="1">
        <f t="shared" si="846"/>
        <v>10</v>
      </c>
      <c r="S2874" s="1" t="str">
        <f t="shared" si="847"/>
        <v>&gt;7</v>
      </c>
      <c r="T2874" s="1" t="s">
        <v>20193</v>
      </c>
      <c r="U2874" s="1" t="s">
        <v>17</v>
      </c>
      <c r="V2874" s="1" t="s">
        <v>43</v>
      </c>
      <c r="W2874" s="1"/>
    </row>
    <row r="2875" spans="1:23" x14ac:dyDescent="0.2">
      <c r="A2875" s="88" t="s">
        <v>18003</v>
      </c>
      <c r="B2875" s="1" t="e">
        <v>#N/A</v>
      </c>
      <c r="C2875" s="1" t="s">
        <v>15137</v>
      </c>
      <c r="D2875" s="1" t="s">
        <v>7591</v>
      </c>
      <c r="E2875" s="1" t="s">
        <v>7592</v>
      </c>
      <c r="F2875" s="1" t="s">
        <v>9010</v>
      </c>
      <c r="G2875" s="1" t="s">
        <v>8957</v>
      </c>
      <c r="H2875" t="s">
        <v>9009</v>
      </c>
      <c r="I2875" s="1" t="s">
        <v>9035</v>
      </c>
      <c r="J2875" s="1" t="s">
        <v>8949</v>
      </c>
      <c r="K2875" s="1" t="s">
        <v>8972</v>
      </c>
      <c r="L2875" s="1" t="s">
        <v>8973</v>
      </c>
      <c r="M2875" s="1">
        <v>9</v>
      </c>
      <c r="N2875" s="1" t="s">
        <v>9059</v>
      </c>
      <c r="O2875" s="1" t="s">
        <v>8989</v>
      </c>
      <c r="P2875" s="1" t="s">
        <v>8955</v>
      </c>
      <c r="Q2875" s="1" t="s">
        <v>8956</v>
      </c>
      <c r="R2875" s="1" t="s">
        <v>8957</v>
      </c>
      <c r="S2875" s="1" t="s">
        <v>8975</v>
      </c>
      <c r="T2875" s="1" t="s">
        <v>7593</v>
      </c>
      <c r="U2875" s="1" t="s">
        <v>17</v>
      </c>
      <c r="V2875" s="1" t="s">
        <v>1780</v>
      </c>
      <c r="W2875" s="1"/>
    </row>
    <row r="2876" spans="1:23" x14ac:dyDescent="0.2">
      <c r="A2876" s="88" t="s">
        <v>18004</v>
      </c>
      <c r="B2876" s="1" t="e">
        <v>#N/A</v>
      </c>
      <c r="C2876" s="1" t="s">
        <v>9765</v>
      </c>
      <c r="D2876" s="1" t="s">
        <v>7594</v>
      </c>
      <c r="E2876" s="1" t="s">
        <v>7595</v>
      </c>
      <c r="F2876" s="1" t="s">
        <v>9010</v>
      </c>
      <c r="G2876" s="1" t="s">
        <v>8957</v>
      </c>
      <c r="H2876" t="s">
        <v>8959</v>
      </c>
      <c r="I2876" s="1" t="s">
        <v>8984</v>
      </c>
      <c r="J2876" s="1" t="s">
        <v>8949</v>
      </c>
      <c r="K2876" s="1" t="s">
        <v>9036</v>
      </c>
      <c r="L2876" s="1" t="s">
        <v>9133</v>
      </c>
      <c r="M2876" s="1">
        <v>494</v>
      </c>
      <c r="N2876" s="1" t="s">
        <v>8953</v>
      </c>
      <c r="O2876" s="1" t="s">
        <v>8954</v>
      </c>
      <c r="P2876" s="1" t="s">
        <v>8955</v>
      </c>
      <c r="Q2876" s="1" t="s">
        <v>8956</v>
      </c>
      <c r="R2876" s="1" t="s">
        <v>8957</v>
      </c>
      <c r="S2876" s="1" t="s">
        <v>8975</v>
      </c>
      <c r="T2876" s="1" t="s">
        <v>7596</v>
      </c>
      <c r="U2876" s="1" t="s">
        <v>17</v>
      </c>
      <c r="V2876" s="1" t="s">
        <v>147</v>
      </c>
      <c r="W2876" s="1"/>
    </row>
    <row r="2877" spans="1:23" x14ac:dyDescent="0.2">
      <c r="A2877" s="88" t="s">
        <v>18005</v>
      </c>
      <c r="B2877" s="1" t="e">
        <v>#N/A</v>
      </c>
      <c r="C2877" s="1" t="e">
        <v>#N/A</v>
      </c>
      <c r="D2877" s="1" t="s">
        <v>7597</v>
      </c>
      <c r="E2877" s="1" t="s">
        <v>7598</v>
      </c>
      <c r="F2877" s="1" t="s">
        <v>9310</v>
      </c>
      <c r="G2877" s="1" t="s">
        <v>8957</v>
      </c>
      <c r="H2877" t="s">
        <v>8959</v>
      </c>
      <c r="I2877" s="1" t="s">
        <v>9035</v>
      </c>
      <c r="J2877" s="1" t="s">
        <v>8998</v>
      </c>
      <c r="K2877" s="1" t="s">
        <v>10492</v>
      </c>
      <c r="L2877" s="1" t="s">
        <v>8973</v>
      </c>
      <c r="M2877" s="1">
        <f>146+320</f>
        <v>466</v>
      </c>
      <c r="N2877" s="1" t="s">
        <v>8953</v>
      </c>
      <c r="O2877" s="1" t="s">
        <v>8954</v>
      </c>
      <c r="P2877" s="1" t="e">
        <v>#N/A</v>
      </c>
      <c r="Q2877" s="1" t="e">
        <v>#N/A</v>
      </c>
      <c r="R2877" s="1">
        <f t="shared" ref="R2877:R2878" si="848">1+LEN(T2877)-LEN(SUBSTITUTE(T2877,",",))</f>
        <v>7</v>
      </c>
      <c r="S2877" s="1" t="str">
        <f t="shared" ref="S2877:S2878" si="849">IF(R2877&gt;4,IF(R2877&lt;8,"4-7",IF(R2877&gt;7,"&gt;7")),"&lt;4")</f>
        <v>4-7</v>
      </c>
      <c r="T2877" s="1" t="s">
        <v>20194</v>
      </c>
      <c r="U2877" s="1" t="s">
        <v>17</v>
      </c>
      <c r="V2877" s="1" t="s">
        <v>921</v>
      </c>
      <c r="W2877" s="1"/>
    </row>
    <row r="2878" spans="1:23" x14ac:dyDescent="0.2">
      <c r="A2878" s="88" t="s">
        <v>18006</v>
      </c>
      <c r="B2878" s="1" t="e">
        <v>#N/A</v>
      </c>
      <c r="C2878" s="1" t="e">
        <v>#N/A</v>
      </c>
      <c r="D2878" s="1" t="s">
        <v>7599</v>
      </c>
      <c r="E2878" s="1" t="s">
        <v>7600</v>
      </c>
      <c r="F2878" s="1" t="s">
        <v>9310</v>
      </c>
      <c r="G2878" s="1" t="s">
        <v>8957</v>
      </c>
      <c r="H2878" t="s">
        <v>8959</v>
      </c>
      <c r="I2878" s="1" t="s">
        <v>9035</v>
      </c>
      <c r="J2878" s="1" t="s">
        <v>9308</v>
      </c>
      <c r="K2878" s="77" t="s">
        <v>21299</v>
      </c>
      <c r="L2878" s="1" t="s">
        <v>9133</v>
      </c>
      <c r="M2878" s="1">
        <v>1102</v>
      </c>
      <c r="N2878" s="1" t="s">
        <v>21082</v>
      </c>
      <c r="O2878" s="1" t="s">
        <v>8954</v>
      </c>
      <c r="P2878" s="1" t="e">
        <v>#N/A</v>
      </c>
      <c r="Q2878" s="1" t="e">
        <v>#N/A</v>
      </c>
      <c r="R2878" s="1">
        <f t="shared" si="848"/>
        <v>5</v>
      </c>
      <c r="S2878" s="1" t="str">
        <f t="shared" si="849"/>
        <v>4-7</v>
      </c>
      <c r="T2878" s="1" t="s">
        <v>20195</v>
      </c>
      <c r="U2878" s="1" t="s">
        <v>7</v>
      </c>
      <c r="V2878" s="1" t="s">
        <v>110</v>
      </c>
      <c r="W2878" s="1"/>
    </row>
    <row r="2879" spans="1:23" ht="42.75" x14ac:dyDescent="0.2">
      <c r="A2879" s="88" t="s">
        <v>18007</v>
      </c>
      <c r="B2879" s="1" t="e">
        <v>#N/A</v>
      </c>
      <c r="C2879" s="1" t="s">
        <v>14945</v>
      </c>
      <c r="D2879" s="1" t="s">
        <v>7601</v>
      </c>
      <c r="E2879" s="1" t="s">
        <v>7602</v>
      </c>
      <c r="F2879" s="1" t="s">
        <v>9310</v>
      </c>
      <c r="G2879" s="1" t="s">
        <v>8957</v>
      </c>
      <c r="H2879" t="s">
        <v>8959</v>
      </c>
      <c r="I2879" s="1" t="s">
        <v>14948</v>
      </c>
      <c r="J2879" s="1" t="s">
        <v>9101</v>
      </c>
      <c r="K2879" s="83" t="s">
        <v>21396</v>
      </c>
      <c r="L2879" s="1" t="s">
        <v>8951</v>
      </c>
      <c r="M2879" s="1">
        <v>604</v>
      </c>
      <c r="N2879" s="1" t="s">
        <v>8953</v>
      </c>
      <c r="O2879" s="1" t="s">
        <v>8954</v>
      </c>
      <c r="P2879" s="1" t="s">
        <v>8955</v>
      </c>
      <c r="Q2879" s="1" t="s">
        <v>8956</v>
      </c>
      <c r="R2879" s="1" t="s">
        <v>8957</v>
      </c>
      <c r="S2879" s="1" t="s">
        <v>8958</v>
      </c>
      <c r="T2879" s="1" t="s">
        <v>7603</v>
      </c>
      <c r="U2879" s="1" t="s">
        <v>17</v>
      </c>
      <c r="V2879" s="1" t="s">
        <v>7604</v>
      </c>
      <c r="W2879" s="1"/>
    </row>
    <row r="2880" spans="1:23" x14ac:dyDescent="0.2">
      <c r="A2880" s="88" t="s">
        <v>18008</v>
      </c>
      <c r="B2880" s="1" t="e">
        <v>#N/A</v>
      </c>
      <c r="C2880" s="1" t="s">
        <v>14332</v>
      </c>
      <c r="D2880" s="1" t="s">
        <v>7605</v>
      </c>
      <c r="E2880" s="1" t="s">
        <v>7606</v>
      </c>
      <c r="F2880" s="1" t="s">
        <v>9310</v>
      </c>
      <c r="G2880" s="1" t="s">
        <v>8957</v>
      </c>
      <c r="H2880" t="s">
        <v>8959</v>
      </c>
      <c r="I2880" s="1" t="s">
        <v>9605</v>
      </c>
      <c r="J2880" s="1" t="s">
        <v>9101</v>
      </c>
      <c r="K2880" s="1" t="s">
        <v>14335</v>
      </c>
      <c r="L2880" s="1" t="s">
        <v>9292</v>
      </c>
      <c r="M2880" s="1">
        <v>1384</v>
      </c>
      <c r="N2880" s="1" t="s">
        <v>8953</v>
      </c>
      <c r="O2880" s="1" t="s">
        <v>8954</v>
      </c>
      <c r="P2880" s="1" t="s">
        <v>8955</v>
      </c>
      <c r="Q2880" s="1" t="s">
        <v>8956</v>
      </c>
      <c r="R2880" s="1" t="s">
        <v>8957</v>
      </c>
      <c r="S2880" s="1" t="s">
        <v>8975</v>
      </c>
      <c r="T2880" s="1" t="s">
        <v>7607</v>
      </c>
      <c r="U2880" s="1" t="s">
        <v>242</v>
      </c>
      <c r="V2880" s="1" t="s">
        <v>7608</v>
      </c>
      <c r="W2880" s="1"/>
    </row>
    <row r="2881" spans="1:23" x14ac:dyDescent="0.2">
      <c r="A2881" s="88" t="s">
        <v>18009</v>
      </c>
      <c r="B2881" s="1" t="e">
        <v>#N/A</v>
      </c>
      <c r="C2881" s="1" t="e">
        <v>#N/A</v>
      </c>
      <c r="D2881" s="1" t="s">
        <v>7609</v>
      </c>
      <c r="E2881" s="1" t="s">
        <v>7610</v>
      </c>
      <c r="F2881" s="1" t="s">
        <v>9310</v>
      </c>
      <c r="G2881" s="1" t="s">
        <v>8959</v>
      </c>
      <c r="H2881" t="s">
        <v>9183</v>
      </c>
      <c r="I2881" s="1" t="s">
        <v>8948</v>
      </c>
      <c r="J2881" s="1" t="s">
        <v>8949</v>
      </c>
      <c r="K2881" s="1" t="s">
        <v>21258</v>
      </c>
      <c r="L2881" s="1" t="s">
        <v>8973</v>
      </c>
      <c r="M2881" s="1">
        <v>100</v>
      </c>
      <c r="N2881" s="1" t="s">
        <v>8953</v>
      </c>
      <c r="O2881" s="1" t="s">
        <v>8989</v>
      </c>
      <c r="P2881" s="1" t="e">
        <v>#N/A</v>
      </c>
      <c r="Q2881" s="1" t="e">
        <v>#N/A</v>
      </c>
      <c r="R2881" s="1">
        <f>1+LEN(T2881)-LEN(SUBSTITUTE(T2881,",",))</f>
        <v>2</v>
      </c>
      <c r="S2881" s="1" t="str">
        <f>IF(R2881&gt;4,IF(R2881&lt;8,"4-7",IF(R2881&gt;7,"&gt;7")),"&lt;4")</f>
        <v>&lt;4</v>
      </c>
      <c r="T2881" s="1" t="s">
        <v>20196</v>
      </c>
      <c r="U2881" s="1" t="s">
        <v>7</v>
      </c>
      <c r="V2881" s="1" t="s">
        <v>184</v>
      </c>
      <c r="W2881" s="1"/>
    </row>
    <row r="2882" spans="1:23" x14ac:dyDescent="0.2">
      <c r="A2882" s="88" t="s">
        <v>18010</v>
      </c>
      <c r="B2882" s="1" t="e">
        <v>#N/A</v>
      </c>
      <c r="C2882" s="1" t="s">
        <v>9259</v>
      </c>
      <c r="D2882" s="1" t="s">
        <v>7611</v>
      </c>
      <c r="E2882" s="1" t="s">
        <v>7612</v>
      </c>
      <c r="F2882" s="1" t="s">
        <v>9310</v>
      </c>
      <c r="G2882" s="1" t="s">
        <v>9060</v>
      </c>
      <c r="H2882" t="s">
        <v>8959</v>
      </c>
      <c r="I2882" s="1" t="s">
        <v>8948</v>
      </c>
      <c r="J2882" s="1" t="s">
        <v>8949</v>
      </c>
      <c r="K2882" s="1" t="s">
        <v>9036</v>
      </c>
      <c r="L2882" s="1" t="s">
        <v>8973</v>
      </c>
      <c r="M2882" s="1">
        <v>1348</v>
      </c>
      <c r="N2882" s="1" t="s">
        <v>8953</v>
      </c>
      <c r="O2882" s="1" t="s">
        <v>8989</v>
      </c>
      <c r="P2882" s="1" t="s">
        <v>8955</v>
      </c>
      <c r="Q2882" s="1" t="s">
        <v>8956</v>
      </c>
      <c r="R2882" s="1" t="s">
        <v>9060</v>
      </c>
      <c r="S2882" s="1" t="s">
        <v>8958</v>
      </c>
      <c r="T2882" s="1" t="s">
        <v>7613</v>
      </c>
      <c r="U2882" s="1" t="s">
        <v>17</v>
      </c>
      <c r="V2882" s="1" t="s">
        <v>1966</v>
      </c>
      <c r="W2882" s="1"/>
    </row>
    <row r="2883" spans="1:23" x14ac:dyDescent="0.2">
      <c r="A2883" s="88" t="s">
        <v>18011</v>
      </c>
      <c r="B2883" s="1" t="e">
        <v>#N/A</v>
      </c>
      <c r="C2883" s="1" t="s">
        <v>12100</v>
      </c>
      <c r="D2883" s="1" t="s">
        <v>7614</v>
      </c>
      <c r="E2883" s="1" t="s">
        <v>7615</v>
      </c>
      <c r="F2883" s="1" t="s">
        <v>10873</v>
      </c>
      <c r="G2883" s="1" t="s">
        <v>9060</v>
      </c>
      <c r="H2883" t="s">
        <v>9183</v>
      </c>
      <c r="I2883" s="1" t="s">
        <v>8948</v>
      </c>
      <c r="J2883" s="1" t="s">
        <v>8949</v>
      </c>
      <c r="K2883" s="1" t="s">
        <v>21457</v>
      </c>
      <c r="L2883" s="1" t="s">
        <v>8973</v>
      </c>
      <c r="M2883" s="1">
        <v>546</v>
      </c>
      <c r="N2883" s="1" t="s">
        <v>8953</v>
      </c>
      <c r="O2883" s="1" t="s">
        <v>8989</v>
      </c>
      <c r="P2883" s="1" t="s">
        <v>8955</v>
      </c>
      <c r="Q2883" s="1" t="s">
        <v>8956</v>
      </c>
      <c r="R2883" s="1" t="s">
        <v>9060</v>
      </c>
      <c r="S2883" s="1" t="s">
        <v>8975</v>
      </c>
      <c r="T2883" s="1" t="s">
        <v>7616</v>
      </c>
      <c r="U2883" s="1" t="s">
        <v>11</v>
      </c>
      <c r="V2883" s="1" t="s">
        <v>61</v>
      </c>
      <c r="W2883" s="1"/>
    </row>
    <row r="2884" spans="1:23" x14ac:dyDescent="0.2">
      <c r="A2884" s="88" t="s">
        <v>18012</v>
      </c>
      <c r="B2884" s="1" t="e">
        <v>#N/A</v>
      </c>
      <c r="C2884" s="1" t="e">
        <v>#N/A</v>
      </c>
      <c r="D2884" s="1" t="s">
        <v>7617</v>
      </c>
      <c r="E2884" s="1" t="s">
        <v>7618</v>
      </c>
      <c r="F2884" s="1" t="s">
        <v>9310</v>
      </c>
      <c r="G2884" s="1" t="s">
        <v>8957</v>
      </c>
      <c r="H2884" t="s">
        <v>8959</v>
      </c>
      <c r="I2884" s="1" t="s">
        <v>9035</v>
      </c>
      <c r="J2884" s="1" t="s">
        <v>8998</v>
      </c>
      <c r="K2884" s="1" t="s">
        <v>10492</v>
      </c>
      <c r="L2884" s="1" t="s">
        <v>8973</v>
      </c>
      <c r="M2884" s="1">
        <f>52489+6556+17205</f>
        <v>76250</v>
      </c>
      <c r="N2884" s="1" t="s">
        <v>8953</v>
      </c>
      <c r="O2884" s="1" t="s">
        <v>8954</v>
      </c>
      <c r="P2884" s="1" t="e">
        <v>#N/A</v>
      </c>
      <c r="Q2884" s="1" t="e">
        <v>#N/A</v>
      </c>
      <c r="R2884" s="1">
        <f t="shared" ref="R2884:R2885" si="850">1+LEN(T2884)-LEN(SUBSTITUTE(T2884,",",))</f>
        <v>10</v>
      </c>
      <c r="S2884" s="1" t="str">
        <f t="shared" ref="S2884:S2885" si="851">IF(R2884&gt;4,IF(R2884&lt;8,"4-7",IF(R2884&gt;7,"&gt;7")),"&lt;4")</f>
        <v>&gt;7</v>
      </c>
      <c r="T2884" s="1" t="s">
        <v>20197</v>
      </c>
      <c r="U2884" s="1" t="s">
        <v>7</v>
      </c>
      <c r="V2884" s="1" t="s">
        <v>61</v>
      </c>
      <c r="W2884" s="1"/>
    </row>
    <row r="2885" spans="1:23" x14ac:dyDescent="0.2">
      <c r="A2885" s="89" t="s">
        <v>18013</v>
      </c>
      <c r="B2885" s="1" t="e">
        <v>#N/A</v>
      </c>
      <c r="C2885" s="1" t="e">
        <v>#N/A</v>
      </c>
      <c r="D2885" s="1" t="s">
        <v>7619</v>
      </c>
      <c r="E2885" s="1" t="s">
        <v>7620</v>
      </c>
      <c r="F2885" s="1" t="e">
        <v>#N/A</v>
      </c>
      <c r="G2885" s="1" t="e">
        <v>#N/A</v>
      </c>
      <c r="H2885" t="e">
        <v>#N/A</v>
      </c>
      <c r="I2885" s="1" t="e">
        <v>#N/A</v>
      </c>
      <c r="J2885" s="1" t="e">
        <v>#N/A</v>
      </c>
      <c r="K2885" s="1" t="e">
        <v>#N/A</v>
      </c>
      <c r="L2885" s="1" t="e">
        <v>#N/A</v>
      </c>
      <c r="M2885" s="1" t="e">
        <v>#N/A</v>
      </c>
      <c r="N2885" s="1" t="e">
        <v>#N/A</v>
      </c>
      <c r="O2885" s="1" t="e">
        <v>#N/A</v>
      </c>
      <c r="P2885" s="1" t="e">
        <v>#N/A</v>
      </c>
      <c r="Q2885" s="1" t="e">
        <v>#N/A</v>
      </c>
      <c r="R2885" s="1">
        <f t="shared" si="850"/>
        <v>4</v>
      </c>
      <c r="S2885" s="1" t="str">
        <f t="shared" si="851"/>
        <v>&lt;4</v>
      </c>
      <c r="T2885" s="1" t="s">
        <v>20198</v>
      </c>
      <c r="U2885" s="1" t="s">
        <v>11</v>
      </c>
      <c r="V2885" s="1" t="s">
        <v>61</v>
      </c>
      <c r="W2885" s="1"/>
    </row>
    <row r="2886" spans="1:23" x14ac:dyDescent="0.2">
      <c r="A2886" s="88" t="s">
        <v>18014</v>
      </c>
      <c r="B2886" s="1" t="e">
        <v>#N/A</v>
      </c>
      <c r="C2886" s="1" t="s">
        <v>12015</v>
      </c>
      <c r="D2886" s="1" t="s">
        <v>7621</v>
      </c>
      <c r="E2886" s="1" t="s">
        <v>7622</v>
      </c>
      <c r="F2886" s="1" t="s">
        <v>10873</v>
      </c>
      <c r="G2886" s="1" t="s">
        <v>9060</v>
      </c>
      <c r="H2886" t="s">
        <v>9183</v>
      </c>
      <c r="I2886" s="1" t="s">
        <v>8948</v>
      </c>
      <c r="J2886" s="1" t="s">
        <v>9155</v>
      </c>
      <c r="K2886" s="1" t="s">
        <v>9018</v>
      </c>
      <c r="L2886" s="1" t="s">
        <v>8973</v>
      </c>
      <c r="M2886" s="1">
        <v>25</v>
      </c>
      <c r="N2886" s="1" t="s">
        <v>9059</v>
      </c>
      <c r="O2886" s="1" t="s">
        <v>8954</v>
      </c>
      <c r="P2886" s="1" t="s">
        <v>8955</v>
      </c>
      <c r="Q2886" s="1" t="s">
        <v>8956</v>
      </c>
      <c r="R2886" s="1" t="s">
        <v>9060</v>
      </c>
      <c r="S2886" s="1" t="s">
        <v>8975</v>
      </c>
      <c r="T2886" s="1" t="s">
        <v>7623</v>
      </c>
      <c r="U2886" s="1" t="s">
        <v>17</v>
      </c>
      <c r="V2886" s="1" t="s">
        <v>1110</v>
      </c>
      <c r="W2886" s="1"/>
    </row>
    <row r="2887" spans="1:23" x14ac:dyDescent="0.2">
      <c r="A2887" s="88" t="s">
        <v>18015</v>
      </c>
      <c r="B2887" s="1" t="e">
        <v>#N/A</v>
      </c>
      <c r="C2887" s="1" t="e">
        <v>#N/A</v>
      </c>
      <c r="D2887" s="1" t="s">
        <v>7624</v>
      </c>
      <c r="E2887" s="1" t="s">
        <v>7625</v>
      </c>
      <c r="F2887" s="1" t="s">
        <v>9310</v>
      </c>
      <c r="G2887" s="1" t="s">
        <v>8957</v>
      </c>
      <c r="H2887" t="s">
        <v>8959</v>
      </c>
      <c r="I2887" s="1" t="s">
        <v>9035</v>
      </c>
      <c r="J2887" s="1" t="s">
        <v>9308</v>
      </c>
      <c r="K2887" s="1" t="s">
        <v>9787</v>
      </c>
      <c r="L2887" s="1" t="s">
        <v>8973</v>
      </c>
      <c r="M2887" s="1">
        <f>2079+300+1082+290</f>
        <v>3751</v>
      </c>
      <c r="N2887" s="1" t="s">
        <v>8953</v>
      </c>
      <c r="O2887" s="1" t="s">
        <v>8954</v>
      </c>
      <c r="P2887" s="1" t="e">
        <v>#N/A</v>
      </c>
      <c r="Q2887" s="1" t="e">
        <v>#N/A</v>
      </c>
      <c r="R2887" s="1">
        <f t="shared" ref="R2887:R2888" si="852">1+LEN(T2887)-LEN(SUBSTITUTE(T2887,",",))</f>
        <v>4</v>
      </c>
      <c r="S2887" s="1" t="str">
        <f t="shared" ref="S2887:S2888" si="853">IF(R2887&gt;4,IF(R2887&lt;8,"4-7",IF(R2887&gt;7,"&gt;7")),"&lt;4")</f>
        <v>&lt;4</v>
      </c>
      <c r="T2887" s="1" t="s">
        <v>20199</v>
      </c>
      <c r="U2887" s="1" t="s">
        <v>7</v>
      </c>
      <c r="V2887" s="1" t="s">
        <v>110</v>
      </c>
      <c r="W2887" s="1"/>
    </row>
    <row r="2888" spans="1:23" x14ac:dyDescent="0.2">
      <c r="A2888" s="95" t="s">
        <v>18016</v>
      </c>
      <c r="B2888" s="1" t="e">
        <v>#N/A</v>
      </c>
      <c r="C2888" s="1" t="e">
        <v>#N/A</v>
      </c>
      <c r="D2888" s="1" t="s">
        <v>7626</v>
      </c>
      <c r="E2888" s="1" t="s">
        <v>7627</v>
      </c>
      <c r="F2888" s="1" t="s">
        <v>9310</v>
      </c>
      <c r="G2888" s="1" t="s">
        <v>8957</v>
      </c>
      <c r="H2888" t="s">
        <v>8959</v>
      </c>
      <c r="I2888" s="1" t="s">
        <v>9035</v>
      </c>
      <c r="J2888" s="1" t="s">
        <v>9308</v>
      </c>
      <c r="K2888" s="1" t="s">
        <v>18497</v>
      </c>
      <c r="L2888" s="1" t="s">
        <v>8987</v>
      </c>
      <c r="M2888" s="1">
        <v>1112120</v>
      </c>
      <c r="N2888" s="1" t="s">
        <v>8953</v>
      </c>
      <c r="O2888" s="1" t="s">
        <v>8989</v>
      </c>
      <c r="P2888" s="1" t="e">
        <v>#N/A</v>
      </c>
      <c r="Q2888" s="1" t="e">
        <v>#N/A</v>
      </c>
      <c r="R2888" s="1">
        <f t="shared" si="852"/>
        <v>4</v>
      </c>
      <c r="S2888" s="1" t="str">
        <f t="shared" si="853"/>
        <v>&lt;4</v>
      </c>
      <c r="T2888" s="1" t="s">
        <v>20200</v>
      </c>
      <c r="U2888" s="1" t="s">
        <v>7</v>
      </c>
      <c r="V2888" s="1" t="s">
        <v>27</v>
      </c>
      <c r="W2888" s="1"/>
    </row>
    <row r="2889" spans="1:23" x14ac:dyDescent="0.2">
      <c r="A2889" s="88" t="s">
        <v>18017</v>
      </c>
      <c r="B2889" s="1" t="e">
        <v>#N/A</v>
      </c>
      <c r="C2889" s="1" t="s">
        <v>10583</v>
      </c>
      <c r="D2889" s="1" t="s">
        <v>7628</v>
      </c>
      <c r="E2889" s="1" t="s">
        <v>7629</v>
      </c>
      <c r="F2889" s="1" t="s">
        <v>9010</v>
      </c>
      <c r="G2889" s="1" t="s">
        <v>8957</v>
      </c>
      <c r="H2889" t="s">
        <v>8959</v>
      </c>
      <c r="I2889" s="1" t="s">
        <v>9035</v>
      </c>
      <c r="J2889" s="1" t="s">
        <v>9101</v>
      </c>
      <c r="K2889" s="1" t="s">
        <v>18491</v>
      </c>
      <c r="L2889" s="1" t="s">
        <v>9464</v>
      </c>
      <c r="M2889" s="1">
        <v>2625</v>
      </c>
      <c r="N2889" s="1" t="s">
        <v>8953</v>
      </c>
      <c r="O2889" s="1" t="s">
        <v>8954</v>
      </c>
      <c r="P2889" s="1" t="s">
        <v>8955</v>
      </c>
      <c r="Q2889" s="1" t="s">
        <v>8956</v>
      </c>
      <c r="R2889" s="1" t="s">
        <v>8957</v>
      </c>
      <c r="S2889" s="1" t="s">
        <v>8975</v>
      </c>
      <c r="T2889" s="1" t="s">
        <v>7630</v>
      </c>
      <c r="U2889" s="1" t="s">
        <v>17</v>
      </c>
      <c r="V2889" s="1" t="s">
        <v>700</v>
      </c>
      <c r="W2889" s="1"/>
    </row>
    <row r="2890" spans="1:23" x14ac:dyDescent="0.2">
      <c r="A2890" s="88" t="s">
        <v>18018</v>
      </c>
      <c r="B2890" s="1" t="e">
        <v>#N/A</v>
      </c>
      <c r="C2890" s="1" t="e">
        <v>#N/A</v>
      </c>
      <c r="D2890" s="1" t="s">
        <v>7631</v>
      </c>
      <c r="E2890" s="1" t="s">
        <v>7632</v>
      </c>
      <c r="F2890" s="1" t="s">
        <v>9310</v>
      </c>
      <c r="G2890" s="1" t="s">
        <v>8957</v>
      </c>
      <c r="H2890" t="s">
        <v>8959</v>
      </c>
      <c r="I2890" s="1" t="s">
        <v>20714</v>
      </c>
      <c r="J2890" s="1" t="s">
        <v>20725</v>
      </c>
      <c r="K2890" s="1" t="s">
        <v>21083</v>
      </c>
      <c r="L2890" s="1" t="s">
        <v>8951</v>
      </c>
      <c r="M2890" s="1">
        <f>169+82+89+99</f>
        <v>439</v>
      </c>
      <c r="N2890" s="1" t="s">
        <v>8953</v>
      </c>
      <c r="O2890" s="1" t="s">
        <v>8954</v>
      </c>
      <c r="P2890" s="1" t="e">
        <v>#N/A</v>
      </c>
      <c r="Q2890" s="1" t="e">
        <v>#N/A</v>
      </c>
      <c r="R2890" s="1">
        <f>1+LEN(T2890)-LEN(SUBSTITUTE(T2890,",",))</f>
        <v>8</v>
      </c>
      <c r="S2890" s="1" t="str">
        <f>IF(R2890&gt;4,IF(R2890&lt;8,"4-7",IF(R2890&gt;7,"&gt;7")),"&lt;4")</f>
        <v>&gt;7</v>
      </c>
      <c r="T2890" s="1" t="s">
        <v>20201</v>
      </c>
      <c r="U2890" s="1" t="s">
        <v>7</v>
      </c>
      <c r="V2890" s="1" t="s">
        <v>184</v>
      </c>
      <c r="W2890" s="1"/>
    </row>
    <row r="2891" spans="1:23" x14ac:dyDescent="0.2">
      <c r="A2891" s="88" t="s">
        <v>18019</v>
      </c>
      <c r="B2891" s="1" t="e">
        <v>#N/A</v>
      </c>
      <c r="C2891" s="1" t="s">
        <v>11117</v>
      </c>
      <c r="D2891" s="1" t="s">
        <v>7633</v>
      </c>
      <c r="E2891" s="1" t="s">
        <v>7634</v>
      </c>
      <c r="F2891" s="1" t="s">
        <v>9310</v>
      </c>
      <c r="G2891" s="1" t="s">
        <v>8957</v>
      </c>
      <c r="H2891" t="s">
        <v>9183</v>
      </c>
      <c r="I2891" s="1" t="s">
        <v>8984</v>
      </c>
      <c r="J2891" s="1" t="s">
        <v>9155</v>
      </c>
      <c r="K2891" s="1" t="s">
        <v>9036</v>
      </c>
      <c r="L2891" s="1" t="s">
        <v>8973</v>
      </c>
      <c r="M2891" s="1">
        <v>69</v>
      </c>
      <c r="N2891" s="1" t="s">
        <v>9059</v>
      </c>
      <c r="O2891" s="1" t="s">
        <v>8989</v>
      </c>
      <c r="P2891" s="1" t="s">
        <v>8955</v>
      </c>
      <c r="Q2891" s="1" t="s">
        <v>8956</v>
      </c>
      <c r="R2891" s="1" t="s">
        <v>8957</v>
      </c>
      <c r="S2891" s="1" t="s">
        <v>8958</v>
      </c>
      <c r="T2891" s="1" t="s">
        <v>7635</v>
      </c>
      <c r="U2891" s="1" t="s">
        <v>17</v>
      </c>
      <c r="V2891" s="1" t="s">
        <v>64</v>
      </c>
      <c r="W2891" s="1"/>
    </row>
    <row r="2892" spans="1:23" x14ac:dyDescent="0.2">
      <c r="A2892" s="88" t="s">
        <v>18020</v>
      </c>
      <c r="B2892" s="1" t="e">
        <v>#N/A</v>
      </c>
      <c r="C2892" s="1" t="e">
        <v>#N/A</v>
      </c>
      <c r="D2892" s="1" t="s">
        <v>7636</v>
      </c>
      <c r="E2892" s="1" t="s">
        <v>7637</v>
      </c>
      <c r="F2892" s="1" t="s">
        <v>9310</v>
      </c>
      <c r="G2892" s="1" t="s">
        <v>8957</v>
      </c>
      <c r="H2892" t="s">
        <v>8959</v>
      </c>
      <c r="I2892" s="1" t="s">
        <v>9035</v>
      </c>
      <c r="J2892" s="1" t="s">
        <v>8998</v>
      </c>
      <c r="K2892" s="1" t="s">
        <v>21397</v>
      </c>
      <c r="L2892" s="1" t="s">
        <v>8987</v>
      </c>
      <c r="M2892" s="1">
        <v>4657</v>
      </c>
      <c r="N2892" s="1" t="s">
        <v>9059</v>
      </c>
      <c r="O2892" s="1" t="s">
        <v>8954</v>
      </c>
      <c r="P2892" s="1" t="e">
        <v>#N/A</v>
      </c>
      <c r="Q2892" s="1" t="e">
        <v>#N/A</v>
      </c>
      <c r="R2892" s="1">
        <f t="shared" ref="R2892:R2893" si="854">1+LEN(T2892)-LEN(SUBSTITUTE(T2892,",",))</f>
        <v>9</v>
      </c>
      <c r="S2892" s="1" t="str">
        <f t="shared" ref="S2892:S2893" si="855">IF(R2892&gt;4,IF(R2892&lt;8,"4-7",IF(R2892&gt;7,"&gt;7")),"&lt;4")</f>
        <v>&gt;7</v>
      </c>
      <c r="T2892" s="1" t="s">
        <v>20202</v>
      </c>
      <c r="U2892" s="1" t="s">
        <v>7</v>
      </c>
      <c r="V2892" s="1" t="s">
        <v>61</v>
      </c>
      <c r="W2892" s="1"/>
    </row>
    <row r="2893" spans="1:23" x14ac:dyDescent="0.2">
      <c r="A2893" s="88" t="s">
        <v>18021</v>
      </c>
      <c r="B2893" s="1" t="e">
        <v>#N/A</v>
      </c>
      <c r="C2893" s="1" t="e">
        <v>#N/A</v>
      </c>
      <c r="D2893" s="1" t="s">
        <v>7638</v>
      </c>
      <c r="E2893" s="1" t="s">
        <v>7639</v>
      </c>
      <c r="F2893" s="1" t="s">
        <v>9310</v>
      </c>
      <c r="G2893" s="1" t="s">
        <v>8957</v>
      </c>
      <c r="H2893" t="s">
        <v>21084</v>
      </c>
      <c r="I2893" s="1" t="s">
        <v>9035</v>
      </c>
      <c r="J2893" s="1" t="s">
        <v>8998</v>
      </c>
      <c r="K2893" s="1" t="s">
        <v>21085</v>
      </c>
      <c r="L2893" s="1" t="s">
        <v>8987</v>
      </c>
      <c r="M2893" s="1">
        <v>1478</v>
      </c>
      <c r="N2893" s="1" t="s">
        <v>9059</v>
      </c>
      <c r="O2893" s="1" t="s">
        <v>8989</v>
      </c>
      <c r="P2893" s="1" t="e">
        <v>#N/A</v>
      </c>
      <c r="Q2893" s="1" t="e">
        <v>#N/A</v>
      </c>
      <c r="R2893" s="1">
        <f t="shared" si="854"/>
        <v>8</v>
      </c>
      <c r="S2893" s="1" t="str">
        <f t="shared" si="855"/>
        <v>&gt;7</v>
      </c>
      <c r="T2893" s="1" t="s">
        <v>20203</v>
      </c>
      <c r="U2893" s="1" t="s">
        <v>7</v>
      </c>
      <c r="V2893" s="1" t="s">
        <v>93</v>
      </c>
      <c r="W2893" s="1"/>
    </row>
    <row r="2894" spans="1:23" x14ac:dyDescent="0.2">
      <c r="A2894" s="88" t="s">
        <v>18022</v>
      </c>
      <c r="B2894" s="1" t="e">
        <v>#N/A</v>
      </c>
      <c r="C2894" s="1" t="s">
        <v>14149</v>
      </c>
      <c r="D2894" s="1" t="s">
        <v>7640</v>
      </c>
      <c r="E2894" s="1" t="s">
        <v>7641</v>
      </c>
      <c r="F2894" s="1" t="s">
        <v>9010</v>
      </c>
      <c r="G2894" s="1" t="s">
        <v>8957</v>
      </c>
      <c r="H2894" t="s">
        <v>8959</v>
      </c>
      <c r="I2894" s="1" t="s">
        <v>9252</v>
      </c>
      <c r="J2894" s="1" t="s">
        <v>9253</v>
      </c>
      <c r="K2894" s="1" t="s">
        <v>9036</v>
      </c>
      <c r="L2894" s="1" t="s">
        <v>8951</v>
      </c>
      <c r="M2894" s="1">
        <v>840</v>
      </c>
      <c r="N2894" s="1" t="s">
        <v>8953</v>
      </c>
      <c r="O2894" s="1" t="s">
        <v>8954</v>
      </c>
      <c r="P2894" s="1" t="s">
        <v>8955</v>
      </c>
      <c r="Q2894" s="1" t="s">
        <v>8956</v>
      </c>
      <c r="R2894" s="1" t="s">
        <v>8957</v>
      </c>
      <c r="S2894" s="1" t="s">
        <v>8958</v>
      </c>
      <c r="T2894" s="1" t="s">
        <v>7642</v>
      </c>
      <c r="U2894" s="1" t="s">
        <v>4</v>
      </c>
      <c r="V2894" s="1" t="s">
        <v>61</v>
      </c>
      <c r="W2894" s="1"/>
    </row>
    <row r="2895" spans="1:23" x14ac:dyDescent="0.2">
      <c r="A2895" s="88" t="s">
        <v>18023</v>
      </c>
      <c r="B2895" s="1" t="e">
        <v>#N/A</v>
      </c>
      <c r="C2895" s="1" t="s">
        <v>13966</v>
      </c>
      <c r="D2895" s="1" t="s">
        <v>7643</v>
      </c>
      <c r="E2895" s="1" t="s">
        <v>7644</v>
      </c>
      <c r="F2895" s="1" t="s">
        <v>9010</v>
      </c>
      <c r="G2895" s="1" t="s">
        <v>8957</v>
      </c>
      <c r="H2895" t="s">
        <v>8959</v>
      </c>
      <c r="I2895" s="1" t="s">
        <v>9092</v>
      </c>
      <c r="J2895" s="1" t="s">
        <v>8949</v>
      </c>
      <c r="K2895" s="1" t="s">
        <v>9036</v>
      </c>
      <c r="L2895" s="1" t="s">
        <v>8951</v>
      </c>
      <c r="M2895" s="1">
        <v>26</v>
      </c>
      <c r="N2895" s="1" t="s">
        <v>9059</v>
      </c>
      <c r="O2895" s="1" t="s">
        <v>8989</v>
      </c>
      <c r="P2895" s="1" t="s">
        <v>8955</v>
      </c>
      <c r="Q2895" s="1" t="s">
        <v>8956</v>
      </c>
      <c r="R2895" s="1" t="s">
        <v>8957</v>
      </c>
      <c r="S2895" s="1" t="s">
        <v>8958</v>
      </c>
      <c r="T2895" s="1" t="s">
        <v>7645</v>
      </c>
      <c r="U2895" s="1" t="s">
        <v>4</v>
      </c>
      <c r="V2895" s="1" t="s">
        <v>74</v>
      </c>
      <c r="W2895" s="1"/>
    </row>
    <row r="2896" spans="1:23" x14ac:dyDescent="0.2">
      <c r="A2896" s="88" t="s">
        <v>18024</v>
      </c>
      <c r="B2896" s="1" t="e">
        <v>#N/A</v>
      </c>
      <c r="C2896" s="1" t="e">
        <v>#N/A</v>
      </c>
      <c r="D2896" s="1" t="s">
        <v>7646</v>
      </c>
      <c r="E2896" s="1" t="s">
        <v>7647</v>
      </c>
      <c r="F2896" s="1" t="s">
        <v>9246</v>
      </c>
      <c r="G2896" s="1" t="s">
        <v>9060</v>
      </c>
      <c r="H2896" t="s">
        <v>8959</v>
      </c>
      <c r="I2896" s="1" t="s">
        <v>9100</v>
      </c>
      <c r="J2896" s="1" t="s">
        <v>8949</v>
      </c>
      <c r="K2896" s="1" t="s">
        <v>21086</v>
      </c>
      <c r="L2896" s="1" t="s">
        <v>9133</v>
      </c>
      <c r="M2896" s="1">
        <v>3688</v>
      </c>
      <c r="N2896" s="1" t="s">
        <v>9059</v>
      </c>
      <c r="O2896" s="1" t="s">
        <v>8989</v>
      </c>
      <c r="P2896" s="1" t="e">
        <v>#N/A</v>
      </c>
      <c r="Q2896" s="1" t="e">
        <v>#N/A</v>
      </c>
      <c r="R2896" s="1">
        <f t="shared" ref="R2896:R2899" si="856">1+LEN(T2896)-LEN(SUBSTITUTE(T2896,",",))</f>
        <v>10</v>
      </c>
      <c r="S2896" s="1" t="str">
        <f t="shared" ref="S2896:S2899" si="857">IF(R2896&gt;4,IF(R2896&lt;8,"4-7",IF(R2896&gt;7,"&gt;7")),"&lt;4")</f>
        <v>&gt;7</v>
      </c>
      <c r="T2896" s="1" t="s">
        <v>20204</v>
      </c>
      <c r="U2896" s="1" t="s">
        <v>17</v>
      </c>
      <c r="V2896" s="1" t="s">
        <v>2121</v>
      </c>
      <c r="W2896" s="1"/>
    </row>
    <row r="2897" spans="1:23" x14ac:dyDescent="0.2">
      <c r="A2897" s="92" t="s">
        <v>18025</v>
      </c>
      <c r="B2897" s="1" t="e">
        <v>#N/A</v>
      </c>
      <c r="C2897" s="1" t="e">
        <v>#N/A</v>
      </c>
      <c r="D2897" s="1" t="s">
        <v>7648</v>
      </c>
      <c r="E2897" s="1" t="s">
        <v>7649</v>
      </c>
      <c r="F2897" s="1" t="e">
        <v>#N/A</v>
      </c>
      <c r="G2897" s="1" t="e">
        <v>#N/A</v>
      </c>
      <c r="H2897" t="e">
        <v>#N/A</v>
      </c>
      <c r="I2897" s="1" t="e">
        <v>#N/A</v>
      </c>
      <c r="J2897" s="1" t="e">
        <v>#N/A</v>
      </c>
      <c r="K2897" s="1" t="e">
        <v>#N/A</v>
      </c>
      <c r="L2897" s="1" t="e">
        <v>#N/A</v>
      </c>
      <c r="M2897" s="1" t="e">
        <v>#N/A</v>
      </c>
      <c r="N2897" s="1" t="e">
        <v>#N/A</v>
      </c>
      <c r="O2897" s="1" t="e">
        <v>#N/A</v>
      </c>
      <c r="P2897" s="1" t="e">
        <v>#N/A</v>
      </c>
      <c r="Q2897" s="1" t="e">
        <v>#N/A</v>
      </c>
      <c r="R2897" s="1">
        <f t="shared" si="856"/>
        <v>6</v>
      </c>
      <c r="S2897" s="1" t="str">
        <f t="shared" si="857"/>
        <v>4-7</v>
      </c>
      <c r="T2897" s="1" t="s">
        <v>20205</v>
      </c>
      <c r="U2897" s="1" t="s">
        <v>7</v>
      </c>
      <c r="V2897" s="1" t="s">
        <v>1328</v>
      </c>
      <c r="W2897" s="1"/>
    </row>
    <row r="2898" spans="1:23" x14ac:dyDescent="0.2">
      <c r="A2898" s="88" t="s">
        <v>18026</v>
      </c>
      <c r="B2898" s="1" t="e">
        <v>#N/A</v>
      </c>
      <c r="C2898" s="1" t="e">
        <v>#N/A</v>
      </c>
      <c r="D2898" s="1" t="s">
        <v>7650</v>
      </c>
      <c r="E2898" s="1" t="s">
        <v>7651</v>
      </c>
      <c r="F2898" s="1" t="s">
        <v>9310</v>
      </c>
      <c r="G2898" s="1" t="s">
        <v>8957</v>
      </c>
      <c r="H2898" t="s">
        <v>8959</v>
      </c>
      <c r="I2898" s="1" t="s">
        <v>20712</v>
      </c>
      <c r="J2898" s="1" t="s">
        <v>8998</v>
      </c>
      <c r="K2898" s="1" t="s">
        <v>10492</v>
      </c>
      <c r="L2898" s="1" t="s">
        <v>9076</v>
      </c>
      <c r="M2898" s="1">
        <v>500</v>
      </c>
      <c r="N2898" s="1" t="s">
        <v>8953</v>
      </c>
      <c r="O2898" s="1" t="e">
        <v>#N/A</v>
      </c>
      <c r="P2898" s="1" t="e">
        <v>#N/A</v>
      </c>
      <c r="Q2898" s="1" t="e">
        <v>#N/A</v>
      </c>
      <c r="R2898" s="1">
        <f t="shared" si="856"/>
        <v>5</v>
      </c>
      <c r="S2898" s="1" t="str">
        <f t="shared" si="857"/>
        <v>4-7</v>
      </c>
      <c r="T2898" s="1" t="s">
        <v>20206</v>
      </c>
      <c r="U2898" s="1" t="s">
        <v>7</v>
      </c>
      <c r="V2898" s="1" t="s">
        <v>110</v>
      </c>
      <c r="W2898" s="1"/>
    </row>
    <row r="2899" spans="1:23" x14ac:dyDescent="0.2">
      <c r="A2899" s="89" t="s">
        <v>7652</v>
      </c>
      <c r="B2899" s="1" t="e">
        <v>#N/A</v>
      </c>
      <c r="C2899" s="1" t="e">
        <v>#N/A</v>
      </c>
      <c r="D2899" s="1" t="s">
        <v>7653</v>
      </c>
      <c r="E2899" s="1" t="s">
        <v>7654</v>
      </c>
      <c r="F2899" s="1" t="e">
        <v>#N/A</v>
      </c>
      <c r="G2899" s="1" t="e">
        <v>#N/A</v>
      </c>
      <c r="H2899" t="e">
        <v>#N/A</v>
      </c>
      <c r="I2899" s="1" t="e">
        <v>#N/A</v>
      </c>
      <c r="J2899" s="1" t="e">
        <v>#N/A</v>
      </c>
      <c r="K2899" s="1" t="e">
        <v>#N/A</v>
      </c>
      <c r="L2899" s="1" t="e">
        <v>#N/A</v>
      </c>
      <c r="M2899" s="1" t="e">
        <v>#N/A</v>
      </c>
      <c r="N2899" s="1" t="e">
        <v>#N/A</v>
      </c>
      <c r="O2899" s="1" t="e">
        <v>#N/A</v>
      </c>
      <c r="P2899" s="1" t="e">
        <v>#N/A</v>
      </c>
      <c r="Q2899" s="1" t="e">
        <v>#N/A</v>
      </c>
      <c r="R2899" s="1">
        <f t="shared" si="856"/>
        <v>5</v>
      </c>
      <c r="S2899" s="1" t="str">
        <f t="shared" si="857"/>
        <v>4-7</v>
      </c>
      <c r="T2899" s="1" t="s">
        <v>20207</v>
      </c>
      <c r="U2899" s="1" t="s">
        <v>17</v>
      </c>
      <c r="V2899" s="1" t="s">
        <v>1328</v>
      </c>
      <c r="W2899" s="1"/>
    </row>
    <row r="2900" spans="1:23" x14ac:dyDescent="0.2">
      <c r="A2900" s="88" t="s">
        <v>18027</v>
      </c>
      <c r="B2900" s="1" t="e">
        <v>#N/A</v>
      </c>
      <c r="C2900" s="1" t="s">
        <v>12612</v>
      </c>
      <c r="D2900" s="1" t="s">
        <v>7655</v>
      </c>
      <c r="E2900" s="1" t="s">
        <v>7656</v>
      </c>
      <c r="F2900" s="1" t="s">
        <v>9310</v>
      </c>
      <c r="G2900" s="1" t="s">
        <v>9060</v>
      </c>
      <c r="H2900" t="s">
        <v>9061</v>
      </c>
      <c r="I2900" s="1" t="s">
        <v>8984</v>
      </c>
      <c r="J2900" s="1" t="s">
        <v>8949</v>
      </c>
      <c r="K2900" s="1" t="s">
        <v>8972</v>
      </c>
      <c r="L2900" s="1" t="s">
        <v>8973</v>
      </c>
      <c r="M2900" s="1">
        <v>93</v>
      </c>
      <c r="N2900" s="1" t="s">
        <v>9059</v>
      </c>
      <c r="O2900" s="1" t="s">
        <v>8989</v>
      </c>
      <c r="P2900" s="1" t="s">
        <v>8955</v>
      </c>
      <c r="Q2900" s="1" t="s">
        <v>8990</v>
      </c>
      <c r="R2900" s="1" t="s">
        <v>9060</v>
      </c>
      <c r="S2900" s="1" t="s">
        <v>8975</v>
      </c>
      <c r="T2900" s="1" t="s">
        <v>7657</v>
      </c>
      <c r="U2900" s="1" t="s">
        <v>11</v>
      </c>
      <c r="V2900" s="1" t="s">
        <v>93</v>
      </c>
      <c r="W2900" s="1"/>
    </row>
    <row r="2901" spans="1:23" x14ac:dyDescent="0.2">
      <c r="A2901" s="88" t="s">
        <v>18028</v>
      </c>
      <c r="B2901" s="1" t="e">
        <v>#N/A</v>
      </c>
      <c r="C2901" s="1" t="e">
        <v>#N/A</v>
      </c>
      <c r="D2901" s="1" t="s">
        <v>21087</v>
      </c>
      <c r="E2901" s="1" t="s">
        <v>7658</v>
      </c>
      <c r="F2901" s="1" t="s">
        <v>9310</v>
      </c>
      <c r="G2901" s="1" t="s">
        <v>9060</v>
      </c>
      <c r="H2901" t="s">
        <v>8959</v>
      </c>
      <c r="I2901" s="1" t="s">
        <v>20714</v>
      </c>
      <c r="J2901" s="1" t="s">
        <v>9050</v>
      </c>
      <c r="K2901" s="1" t="s">
        <v>21398</v>
      </c>
      <c r="L2901" s="1" t="s">
        <v>9133</v>
      </c>
      <c r="M2901" s="1">
        <f>800+1600+650</f>
        <v>3050</v>
      </c>
      <c r="N2901" s="1" t="s">
        <v>8953</v>
      </c>
      <c r="O2901" s="1" t="s">
        <v>8954</v>
      </c>
      <c r="P2901" s="1" t="e">
        <v>#N/A</v>
      </c>
      <c r="Q2901" s="1" t="e">
        <v>#N/A</v>
      </c>
      <c r="R2901" s="1">
        <f>1+LEN(T2901)-LEN(SUBSTITUTE(T2901,",",))</f>
        <v>7</v>
      </c>
      <c r="S2901" s="1" t="str">
        <f>IF(R2901&gt;4,IF(R2901&lt;8,"4-7",IF(R2901&gt;7,"&gt;7")),"&lt;4")</f>
        <v>4-7</v>
      </c>
      <c r="T2901" s="1" t="s">
        <v>20208</v>
      </c>
      <c r="U2901" s="1" t="s">
        <v>17</v>
      </c>
      <c r="V2901" s="1" t="s">
        <v>46</v>
      </c>
      <c r="W2901" s="1"/>
    </row>
    <row r="2902" spans="1:23" x14ac:dyDescent="0.2">
      <c r="A2902" s="88" t="s">
        <v>18029</v>
      </c>
      <c r="B2902" s="1" t="e">
        <v>#N/A</v>
      </c>
      <c r="C2902" s="1" t="s">
        <v>14361</v>
      </c>
      <c r="D2902" s="1" t="s">
        <v>7659</v>
      </c>
      <c r="E2902" s="1" t="s">
        <v>7660</v>
      </c>
      <c r="F2902" s="1" t="s">
        <v>9310</v>
      </c>
      <c r="G2902" s="1" t="s">
        <v>8957</v>
      </c>
      <c r="H2902" t="s">
        <v>9061</v>
      </c>
      <c r="I2902" s="1" t="s">
        <v>9252</v>
      </c>
      <c r="J2902" s="1" t="s">
        <v>9253</v>
      </c>
      <c r="K2902" s="1" t="s">
        <v>21462</v>
      </c>
      <c r="L2902" s="1" t="s">
        <v>8973</v>
      </c>
      <c r="M2902" s="1">
        <v>1204</v>
      </c>
      <c r="N2902" s="1" t="s">
        <v>8953</v>
      </c>
      <c r="O2902" s="1" t="s">
        <v>8954</v>
      </c>
      <c r="P2902" s="1" t="s">
        <v>8955</v>
      </c>
      <c r="Q2902" s="1" t="s">
        <v>8956</v>
      </c>
      <c r="R2902" s="1" t="s">
        <v>8957</v>
      </c>
      <c r="S2902" s="1" t="s">
        <v>8958</v>
      </c>
      <c r="T2902" s="1" t="s">
        <v>7661</v>
      </c>
      <c r="U2902" s="1" t="s">
        <v>242</v>
      </c>
      <c r="V2902" s="1" t="s">
        <v>24</v>
      </c>
      <c r="W2902" s="1"/>
    </row>
    <row r="2903" spans="1:23" x14ac:dyDescent="0.2">
      <c r="A2903" s="88" t="s">
        <v>18030</v>
      </c>
      <c r="B2903" s="1" t="e">
        <v>#N/A</v>
      </c>
      <c r="C2903" s="1" t="s">
        <v>14683</v>
      </c>
      <c r="D2903" s="1" t="s">
        <v>7662</v>
      </c>
      <c r="E2903" s="1" t="s">
        <v>7663</v>
      </c>
      <c r="F2903" s="1" t="s">
        <v>9010</v>
      </c>
      <c r="G2903" s="1" t="s">
        <v>8957</v>
      </c>
      <c r="H2903" t="s">
        <v>8959</v>
      </c>
      <c r="I2903" s="1" t="s">
        <v>9049</v>
      </c>
      <c r="J2903" s="1" t="s">
        <v>9121</v>
      </c>
      <c r="K2903" s="1" t="s">
        <v>21399</v>
      </c>
      <c r="L2903" s="1" t="s">
        <v>8973</v>
      </c>
      <c r="M2903" s="1">
        <v>706</v>
      </c>
      <c r="N2903" s="1" t="s">
        <v>8953</v>
      </c>
      <c r="O2903" s="1" t="s">
        <v>8954</v>
      </c>
      <c r="P2903" s="1" t="s">
        <v>8955</v>
      </c>
      <c r="Q2903" s="1" t="s">
        <v>8956</v>
      </c>
      <c r="R2903" s="1" t="s">
        <v>8957</v>
      </c>
      <c r="S2903" s="1" t="s">
        <v>8958</v>
      </c>
      <c r="T2903" s="1" t="s">
        <v>7664</v>
      </c>
      <c r="U2903" s="1" t="s">
        <v>17</v>
      </c>
      <c r="V2903" s="1" t="s">
        <v>7384</v>
      </c>
      <c r="W2903" s="1"/>
    </row>
    <row r="2904" spans="1:23" x14ac:dyDescent="0.2">
      <c r="A2904" s="88" t="s">
        <v>18031</v>
      </c>
      <c r="B2904" s="1" t="e">
        <v>#N/A</v>
      </c>
      <c r="C2904" s="1" t="s">
        <v>12503</v>
      </c>
      <c r="D2904" s="1" t="s">
        <v>7665</v>
      </c>
      <c r="E2904" s="1" t="s">
        <v>7666</v>
      </c>
      <c r="F2904" s="1" t="s">
        <v>9310</v>
      </c>
      <c r="G2904" s="1" t="s">
        <v>9060</v>
      </c>
      <c r="H2904" t="s">
        <v>9009</v>
      </c>
      <c r="I2904" s="1" t="s">
        <v>8984</v>
      </c>
      <c r="J2904" s="1" t="s">
        <v>9155</v>
      </c>
      <c r="K2904" s="1" t="s">
        <v>9036</v>
      </c>
      <c r="L2904" s="1" t="s">
        <v>9133</v>
      </c>
      <c r="M2904" s="1">
        <v>1990</v>
      </c>
      <c r="N2904" s="1" t="s">
        <v>8953</v>
      </c>
      <c r="O2904" s="1" t="s">
        <v>8954</v>
      </c>
      <c r="P2904" s="1" t="s">
        <v>9182</v>
      </c>
      <c r="Q2904" s="1" t="s">
        <v>8956</v>
      </c>
      <c r="R2904" s="1" t="s">
        <v>9060</v>
      </c>
      <c r="S2904" s="1" t="s">
        <v>8975</v>
      </c>
      <c r="T2904" s="1" t="s">
        <v>7667</v>
      </c>
      <c r="U2904" s="1" t="s">
        <v>17</v>
      </c>
      <c r="V2904" s="1" t="s">
        <v>1001</v>
      </c>
      <c r="W2904" s="1"/>
    </row>
    <row r="2905" spans="1:23" x14ac:dyDescent="0.2">
      <c r="A2905" s="88" t="s">
        <v>18032</v>
      </c>
      <c r="B2905" s="1" t="e">
        <v>#N/A</v>
      </c>
      <c r="C2905" s="1" t="e">
        <v>#N/A</v>
      </c>
      <c r="D2905" s="1" t="s">
        <v>7668</v>
      </c>
      <c r="E2905" s="1" t="s">
        <v>7669</v>
      </c>
      <c r="F2905" s="1" t="s">
        <v>18502</v>
      </c>
      <c r="G2905" s="1" t="s">
        <v>8957</v>
      </c>
      <c r="H2905" t="s">
        <v>9061</v>
      </c>
      <c r="I2905" s="1" t="s">
        <v>21088</v>
      </c>
      <c r="J2905" s="1" t="s">
        <v>8949</v>
      </c>
      <c r="K2905" s="1" t="s">
        <v>21086</v>
      </c>
      <c r="L2905" s="1" t="s">
        <v>8951</v>
      </c>
      <c r="M2905" s="1">
        <v>137</v>
      </c>
      <c r="N2905" s="1" t="s">
        <v>9059</v>
      </c>
      <c r="O2905" s="1" t="s">
        <v>8954</v>
      </c>
      <c r="P2905" s="1" t="e">
        <v>#N/A</v>
      </c>
      <c r="Q2905" s="1" t="e">
        <v>#N/A</v>
      </c>
      <c r="R2905" s="1">
        <f t="shared" ref="R2905:R2909" si="858">1+LEN(T2905)-LEN(SUBSTITUTE(T2905,",",))</f>
        <v>13</v>
      </c>
      <c r="S2905" s="1" t="str">
        <f t="shared" ref="S2905:S2909" si="859">IF(R2905&gt;4,IF(R2905&lt;8,"4-7",IF(R2905&gt;7,"&gt;7")),"&lt;4")</f>
        <v>&gt;7</v>
      </c>
      <c r="T2905" s="1" t="s">
        <v>20209</v>
      </c>
      <c r="U2905" s="1" t="s">
        <v>7</v>
      </c>
      <c r="V2905" s="1" t="s">
        <v>544</v>
      </c>
      <c r="W2905" s="1"/>
    </row>
    <row r="2906" spans="1:23" x14ac:dyDescent="0.2">
      <c r="A2906" s="88" t="s">
        <v>18033</v>
      </c>
      <c r="B2906" s="1" t="e">
        <v>#N/A</v>
      </c>
      <c r="C2906" s="1" t="e">
        <v>#N/A</v>
      </c>
      <c r="D2906" s="1" t="s">
        <v>7670</v>
      </c>
      <c r="E2906" s="1" t="s">
        <v>7671</v>
      </c>
      <c r="F2906" s="1" t="s">
        <v>9310</v>
      </c>
      <c r="G2906" s="1" t="s">
        <v>8957</v>
      </c>
      <c r="H2906" t="s">
        <v>8959</v>
      </c>
      <c r="I2906" s="1" t="s">
        <v>9173</v>
      </c>
      <c r="J2906" s="1" t="s">
        <v>9174</v>
      </c>
      <c r="K2906" s="1" t="s">
        <v>21242</v>
      </c>
      <c r="L2906" s="1" t="s">
        <v>9133</v>
      </c>
      <c r="M2906" s="1">
        <f>327+1099</f>
        <v>1426</v>
      </c>
      <c r="N2906" s="1" t="s">
        <v>8953</v>
      </c>
      <c r="O2906" s="1" t="s">
        <v>8954</v>
      </c>
      <c r="P2906" s="1" t="e">
        <v>#N/A</v>
      </c>
      <c r="Q2906" s="1" t="e">
        <v>#N/A</v>
      </c>
      <c r="R2906" s="1">
        <f t="shared" si="858"/>
        <v>7</v>
      </c>
      <c r="S2906" s="1" t="str">
        <f t="shared" si="859"/>
        <v>4-7</v>
      </c>
      <c r="T2906" s="1" t="s">
        <v>20210</v>
      </c>
      <c r="U2906" s="1" t="s">
        <v>7</v>
      </c>
      <c r="V2906" s="1" t="s">
        <v>2024</v>
      </c>
      <c r="W2906" s="1"/>
    </row>
    <row r="2907" spans="1:23" x14ac:dyDescent="0.2">
      <c r="A2907" s="88" t="s">
        <v>18034</v>
      </c>
      <c r="B2907" s="1" t="e">
        <v>#N/A</v>
      </c>
      <c r="C2907" s="1" t="e">
        <v>#N/A</v>
      </c>
      <c r="D2907" s="1" t="s">
        <v>7672</v>
      </c>
      <c r="E2907" s="1" t="s">
        <v>7673</v>
      </c>
      <c r="F2907" s="1" t="s">
        <v>9310</v>
      </c>
      <c r="G2907" s="1" t="s">
        <v>8957</v>
      </c>
      <c r="H2907" t="s">
        <v>8959</v>
      </c>
      <c r="I2907" s="1" t="s">
        <v>20712</v>
      </c>
      <c r="J2907" s="1" t="s">
        <v>9155</v>
      </c>
      <c r="K2907" s="1" t="s">
        <v>10629</v>
      </c>
      <c r="L2907" s="1" t="s">
        <v>8973</v>
      </c>
      <c r="M2907" s="1">
        <f>110+101+999</f>
        <v>1210</v>
      </c>
      <c r="N2907" s="1" t="s">
        <v>8953</v>
      </c>
      <c r="O2907" s="1" t="s">
        <v>8954</v>
      </c>
      <c r="P2907" s="1" t="e">
        <v>#N/A</v>
      </c>
      <c r="Q2907" s="1" t="e">
        <v>#N/A</v>
      </c>
      <c r="R2907" s="1">
        <f t="shared" si="858"/>
        <v>4</v>
      </c>
      <c r="S2907" s="1" t="str">
        <f t="shared" si="859"/>
        <v>&lt;4</v>
      </c>
      <c r="T2907" s="1" t="s">
        <v>20211</v>
      </c>
      <c r="U2907" s="1" t="s">
        <v>7</v>
      </c>
      <c r="V2907" s="1" t="s">
        <v>61</v>
      </c>
      <c r="W2907" s="1"/>
    </row>
    <row r="2908" spans="1:23" x14ac:dyDescent="0.2">
      <c r="A2908" s="88" t="s">
        <v>18035</v>
      </c>
      <c r="B2908" s="1" t="e">
        <v>#N/A</v>
      </c>
      <c r="C2908" s="1" t="e">
        <v>#N/A</v>
      </c>
      <c r="D2908" s="1" t="s">
        <v>7674</v>
      </c>
      <c r="E2908" s="1" t="s">
        <v>7675</v>
      </c>
      <c r="F2908" s="1" t="s">
        <v>9380</v>
      </c>
      <c r="G2908" s="1" t="s">
        <v>8959</v>
      </c>
      <c r="H2908" t="s">
        <v>8959</v>
      </c>
      <c r="I2908" s="1" t="s">
        <v>9035</v>
      </c>
      <c r="J2908" s="1" t="s">
        <v>9308</v>
      </c>
      <c r="K2908" s="1" t="s">
        <v>21089</v>
      </c>
      <c r="L2908" s="1" t="s">
        <v>8951</v>
      </c>
      <c r="M2908" s="1">
        <v>13975</v>
      </c>
      <c r="N2908" s="1" t="s">
        <v>8953</v>
      </c>
      <c r="O2908" s="1" t="s">
        <v>8954</v>
      </c>
      <c r="P2908" s="1" t="e">
        <v>#N/A</v>
      </c>
      <c r="Q2908" s="1" t="e">
        <v>#N/A</v>
      </c>
      <c r="R2908" s="1">
        <f t="shared" si="858"/>
        <v>3</v>
      </c>
      <c r="S2908" s="1" t="str">
        <f t="shared" si="859"/>
        <v>&lt;4</v>
      </c>
      <c r="T2908" s="1" t="s">
        <v>20212</v>
      </c>
      <c r="U2908" s="1" t="s">
        <v>7</v>
      </c>
      <c r="V2908" s="1" t="s">
        <v>24</v>
      </c>
      <c r="W2908" s="1"/>
    </row>
    <row r="2909" spans="1:23" x14ac:dyDescent="0.2">
      <c r="A2909" s="88" t="s">
        <v>18036</v>
      </c>
      <c r="B2909" s="1" t="e">
        <v>#N/A</v>
      </c>
      <c r="C2909" s="1" t="e">
        <v>#N/A</v>
      </c>
      <c r="D2909" s="1" t="s">
        <v>7676</v>
      </c>
      <c r="E2909" s="1" t="s">
        <v>7677</v>
      </c>
      <c r="F2909" s="1" t="s">
        <v>9310</v>
      </c>
      <c r="G2909" s="1" t="s">
        <v>8959</v>
      </c>
      <c r="H2909" t="s">
        <v>8959</v>
      </c>
      <c r="I2909" s="1" t="s">
        <v>9092</v>
      </c>
      <c r="J2909" s="1" t="s">
        <v>9308</v>
      </c>
      <c r="K2909" s="1" t="s">
        <v>21090</v>
      </c>
      <c r="L2909" s="1" t="s">
        <v>8951</v>
      </c>
      <c r="M2909" s="1">
        <v>526</v>
      </c>
      <c r="N2909" s="1" t="s">
        <v>8953</v>
      </c>
      <c r="O2909" s="1" t="s">
        <v>8989</v>
      </c>
      <c r="P2909" s="1" t="e">
        <v>#N/A</v>
      </c>
      <c r="Q2909" s="1" t="e">
        <v>#N/A</v>
      </c>
      <c r="R2909" s="1">
        <f t="shared" si="858"/>
        <v>6</v>
      </c>
      <c r="S2909" s="1" t="str">
        <f t="shared" si="859"/>
        <v>4-7</v>
      </c>
      <c r="T2909" s="1" t="s">
        <v>20213</v>
      </c>
      <c r="U2909" s="1" t="s">
        <v>17</v>
      </c>
      <c r="V2909" s="1" t="s">
        <v>126</v>
      </c>
      <c r="W2909" s="1"/>
    </row>
    <row r="2910" spans="1:23" x14ac:dyDescent="0.2">
      <c r="A2910" s="88" t="s">
        <v>18037</v>
      </c>
      <c r="B2910" s="1" t="e">
        <v>#N/A</v>
      </c>
      <c r="C2910" s="1" t="s">
        <v>10500</v>
      </c>
      <c r="D2910" s="1" t="s">
        <v>7678</v>
      </c>
      <c r="E2910" s="1" t="s">
        <v>7679</v>
      </c>
      <c r="F2910" s="1" t="s">
        <v>9310</v>
      </c>
      <c r="G2910" s="1" t="s">
        <v>8959</v>
      </c>
      <c r="H2910" t="s">
        <v>9183</v>
      </c>
      <c r="I2910" s="1" t="s">
        <v>9943</v>
      </c>
      <c r="J2910" s="1" t="s">
        <v>8971</v>
      </c>
      <c r="K2910" s="1" t="s">
        <v>21400</v>
      </c>
      <c r="L2910" s="1" t="s">
        <v>9133</v>
      </c>
      <c r="M2910" s="1">
        <v>564</v>
      </c>
      <c r="N2910" s="1" t="s">
        <v>8953</v>
      </c>
      <c r="O2910" s="1" t="s">
        <v>8989</v>
      </c>
      <c r="P2910" s="1" t="s">
        <v>8955</v>
      </c>
      <c r="Q2910" s="1" t="s">
        <v>8990</v>
      </c>
      <c r="R2910" s="1" t="s">
        <v>8959</v>
      </c>
      <c r="S2910" s="1" t="s">
        <v>8975</v>
      </c>
      <c r="T2910" s="1" t="s">
        <v>7680</v>
      </c>
      <c r="U2910" s="1" t="s">
        <v>17</v>
      </c>
      <c r="V2910" s="1" t="s">
        <v>7681</v>
      </c>
      <c r="W2910" s="1"/>
    </row>
    <row r="2911" spans="1:23" x14ac:dyDescent="0.2">
      <c r="A2911" s="95" t="s">
        <v>18038</v>
      </c>
      <c r="B2911" s="1" t="e">
        <v>#N/A</v>
      </c>
      <c r="C2911" s="1" t="e">
        <v>#N/A</v>
      </c>
      <c r="D2911" s="1" t="s">
        <v>7682</v>
      </c>
      <c r="E2911" s="1" t="s">
        <v>7683</v>
      </c>
      <c r="F2911" s="1" t="s">
        <v>9310</v>
      </c>
      <c r="G2911" s="1" t="s">
        <v>8957</v>
      </c>
      <c r="H2911" t="s">
        <v>9061</v>
      </c>
      <c r="I2911" s="1" t="s">
        <v>9252</v>
      </c>
      <c r="J2911" s="1" t="s">
        <v>8959</v>
      </c>
      <c r="K2911" s="1" t="s">
        <v>20723</v>
      </c>
      <c r="L2911" s="1" t="s">
        <v>8987</v>
      </c>
      <c r="M2911" s="1">
        <v>441</v>
      </c>
      <c r="N2911" s="1" t="s">
        <v>9059</v>
      </c>
      <c r="O2911" s="1" t="s">
        <v>21513</v>
      </c>
      <c r="P2911" s="1" t="e">
        <v>#N/A</v>
      </c>
      <c r="Q2911" s="1" t="e">
        <v>#N/A</v>
      </c>
      <c r="R2911" s="1">
        <f t="shared" ref="R2911:R2916" si="860">1+LEN(T2911)-LEN(SUBSTITUTE(T2911,",",))</f>
        <v>13</v>
      </c>
      <c r="S2911" s="1" t="str">
        <f t="shared" ref="S2911:S2916" si="861">IF(R2911&gt;4,IF(R2911&lt;8,"4-7",IF(R2911&gt;7,"&gt;7")),"&lt;4")</f>
        <v>&gt;7</v>
      </c>
      <c r="T2911" s="1" t="s">
        <v>20214</v>
      </c>
      <c r="U2911" s="1" t="s">
        <v>7</v>
      </c>
      <c r="V2911" s="1" t="s">
        <v>378</v>
      </c>
      <c r="W2911" s="1"/>
    </row>
    <row r="2912" spans="1:23" x14ac:dyDescent="0.2">
      <c r="A2912" s="94" t="s">
        <v>18039</v>
      </c>
      <c r="B2912" s="1" t="e">
        <v>#N/A</v>
      </c>
      <c r="C2912" s="1" t="e">
        <v>#N/A</v>
      </c>
      <c r="D2912" s="1" t="s">
        <v>7684</v>
      </c>
      <c r="E2912" s="1" t="s">
        <v>7685</v>
      </c>
      <c r="F2912" s="1" t="e">
        <v>#N/A</v>
      </c>
      <c r="G2912" s="1" t="e">
        <v>#N/A</v>
      </c>
      <c r="H2912" t="e">
        <v>#N/A</v>
      </c>
      <c r="I2912" s="1" t="s">
        <v>9100</v>
      </c>
      <c r="J2912" s="1" t="s">
        <v>8949</v>
      </c>
      <c r="K2912" s="1" t="e">
        <v>#N/A</v>
      </c>
      <c r="L2912" s="1" t="s">
        <v>9292</v>
      </c>
      <c r="M2912" s="1">
        <v>558</v>
      </c>
      <c r="N2912" s="1" t="s">
        <v>9059</v>
      </c>
      <c r="O2912" s="1" t="s">
        <v>8989</v>
      </c>
      <c r="P2912" s="1" t="e">
        <v>#N/A</v>
      </c>
      <c r="Q2912" s="1" t="e">
        <v>#N/A</v>
      </c>
      <c r="R2912" s="1">
        <f t="shared" si="860"/>
        <v>8</v>
      </c>
      <c r="S2912" s="1" t="str">
        <f t="shared" si="861"/>
        <v>&gt;7</v>
      </c>
      <c r="T2912" s="1" t="s">
        <v>20215</v>
      </c>
      <c r="U2912" s="1" t="s">
        <v>7</v>
      </c>
      <c r="V2912" s="1" t="s">
        <v>467</v>
      </c>
      <c r="W2912" s="1"/>
    </row>
    <row r="2913" spans="1:23" x14ac:dyDescent="0.2">
      <c r="A2913" s="88" t="s">
        <v>18040</v>
      </c>
      <c r="B2913" s="1" t="e">
        <v>#N/A</v>
      </c>
      <c r="C2913" s="1" t="e">
        <v>#N/A</v>
      </c>
      <c r="D2913" s="1" t="s">
        <v>7686</v>
      </c>
      <c r="E2913" s="1" t="s">
        <v>7687</v>
      </c>
      <c r="F2913" s="1" t="s">
        <v>9310</v>
      </c>
      <c r="G2913" s="1" t="s">
        <v>8957</v>
      </c>
      <c r="H2913" t="s">
        <v>9009</v>
      </c>
      <c r="I2913" s="1" t="s">
        <v>9035</v>
      </c>
      <c r="J2913" s="1" t="s">
        <v>8998</v>
      </c>
      <c r="K2913" s="1" t="s">
        <v>10492</v>
      </c>
      <c r="L2913" s="1" t="s">
        <v>8987</v>
      </c>
      <c r="M2913" s="1">
        <v>2447</v>
      </c>
      <c r="N2913" s="1" t="s">
        <v>9059</v>
      </c>
      <c r="O2913" s="1" t="s">
        <v>8954</v>
      </c>
      <c r="P2913" s="1" t="e">
        <v>#N/A</v>
      </c>
      <c r="Q2913" s="1" t="e">
        <v>#N/A</v>
      </c>
      <c r="R2913" s="1">
        <f t="shared" si="860"/>
        <v>21</v>
      </c>
      <c r="S2913" s="1" t="str">
        <f t="shared" si="861"/>
        <v>&gt;7</v>
      </c>
      <c r="T2913" s="1" t="s">
        <v>20216</v>
      </c>
      <c r="U2913" s="1" t="s">
        <v>7</v>
      </c>
      <c r="V2913" s="1" t="s">
        <v>686</v>
      </c>
      <c r="W2913" s="1"/>
    </row>
    <row r="2914" spans="1:23" x14ac:dyDescent="0.2">
      <c r="A2914" s="88" t="s">
        <v>18041</v>
      </c>
      <c r="B2914" s="1" t="e">
        <v>#N/A</v>
      </c>
      <c r="C2914" s="1" t="e">
        <v>#N/A</v>
      </c>
      <c r="D2914" s="1" t="s">
        <v>7688</v>
      </c>
      <c r="E2914" s="1" t="s">
        <v>7689</v>
      </c>
      <c r="F2914" s="1" t="s">
        <v>18502</v>
      </c>
      <c r="G2914" s="1" t="s">
        <v>8957</v>
      </c>
      <c r="H2914" t="s">
        <v>8959</v>
      </c>
      <c r="I2914" s="1" t="s">
        <v>8984</v>
      </c>
      <c r="J2914" s="1" t="s">
        <v>8998</v>
      </c>
      <c r="K2914" s="1" t="s">
        <v>21090</v>
      </c>
      <c r="L2914" s="1" t="s">
        <v>9157</v>
      </c>
      <c r="M2914" s="1">
        <f>1655+5268</f>
        <v>6923</v>
      </c>
      <c r="N2914" s="1" t="s">
        <v>9059</v>
      </c>
      <c r="O2914" s="1" t="s">
        <v>8989</v>
      </c>
      <c r="P2914" s="1" t="e">
        <v>#N/A</v>
      </c>
      <c r="Q2914" s="1" t="e">
        <v>#N/A</v>
      </c>
      <c r="R2914" s="1">
        <f t="shared" si="860"/>
        <v>6</v>
      </c>
      <c r="S2914" s="1" t="str">
        <f t="shared" si="861"/>
        <v>4-7</v>
      </c>
      <c r="T2914" s="1" t="s">
        <v>20217</v>
      </c>
      <c r="U2914" s="1" t="s">
        <v>7</v>
      </c>
      <c r="V2914" s="1" t="s">
        <v>6293</v>
      </c>
      <c r="W2914" s="1"/>
    </row>
    <row r="2915" spans="1:23" x14ac:dyDescent="0.2">
      <c r="A2915" s="89" t="s">
        <v>18042</v>
      </c>
      <c r="B2915" s="1" t="e">
        <v>#N/A</v>
      </c>
      <c r="C2915" s="1" t="e">
        <v>#N/A</v>
      </c>
      <c r="D2915" s="1" t="s">
        <v>7690</v>
      </c>
      <c r="E2915" s="1" t="s">
        <v>7691</v>
      </c>
      <c r="F2915" s="1" t="e">
        <v>#N/A</v>
      </c>
      <c r="G2915" s="1" t="e">
        <v>#N/A</v>
      </c>
      <c r="H2915" t="e">
        <v>#N/A</v>
      </c>
      <c r="I2915" s="1" t="e">
        <v>#N/A</v>
      </c>
      <c r="J2915" s="1" t="e">
        <v>#N/A</v>
      </c>
      <c r="K2915" s="1" t="e">
        <v>#N/A</v>
      </c>
      <c r="L2915" s="1" t="e">
        <v>#N/A</v>
      </c>
      <c r="M2915" s="1" t="e">
        <v>#N/A</v>
      </c>
      <c r="N2915" s="1" t="e">
        <v>#N/A</v>
      </c>
      <c r="O2915" s="1" t="e">
        <v>#N/A</v>
      </c>
      <c r="P2915" s="1" t="e">
        <v>#N/A</v>
      </c>
      <c r="Q2915" s="1" t="e">
        <v>#N/A</v>
      </c>
      <c r="R2915" s="1">
        <f t="shared" si="860"/>
        <v>1</v>
      </c>
      <c r="S2915" s="1" t="str">
        <f t="shared" si="861"/>
        <v>&lt;4</v>
      </c>
      <c r="U2915" s="1" t="s">
        <v>924</v>
      </c>
      <c r="V2915" s="1" t="s">
        <v>2516</v>
      </c>
      <c r="W2915" s="1"/>
    </row>
    <row r="2916" spans="1:23" x14ac:dyDescent="0.2">
      <c r="A2916" s="88" t="s">
        <v>18043</v>
      </c>
      <c r="B2916" s="1" t="e">
        <v>#N/A</v>
      </c>
      <c r="C2916" s="1" t="e">
        <v>#N/A</v>
      </c>
      <c r="D2916" s="1" t="s">
        <v>7692</v>
      </c>
      <c r="E2916" s="1" t="s">
        <v>7693</v>
      </c>
      <c r="F2916" s="1" t="s">
        <v>18502</v>
      </c>
      <c r="G2916" s="1" t="s">
        <v>8957</v>
      </c>
      <c r="H2916" t="s">
        <v>8959</v>
      </c>
      <c r="I2916" s="1" t="s">
        <v>9092</v>
      </c>
      <c r="J2916" s="1" t="s">
        <v>21091</v>
      </c>
      <c r="K2916" s="1" t="s">
        <v>10492</v>
      </c>
      <c r="L2916" s="1" t="s">
        <v>8973</v>
      </c>
      <c r="M2916" s="1">
        <v>1227</v>
      </c>
      <c r="N2916" s="1" t="s">
        <v>8953</v>
      </c>
      <c r="O2916" s="1" t="s">
        <v>8989</v>
      </c>
      <c r="P2916" s="1" t="e">
        <v>#N/A</v>
      </c>
      <c r="Q2916" s="1" t="e">
        <v>#N/A</v>
      </c>
      <c r="R2916" s="1">
        <f t="shared" si="860"/>
        <v>4</v>
      </c>
      <c r="S2916" s="1" t="str">
        <f t="shared" si="861"/>
        <v>&lt;4</v>
      </c>
      <c r="T2916" s="1" t="s">
        <v>20218</v>
      </c>
      <c r="U2916" s="1" t="s">
        <v>7</v>
      </c>
      <c r="V2916" s="1" t="s">
        <v>64</v>
      </c>
      <c r="W2916" s="1"/>
    </row>
    <row r="2917" spans="1:23" x14ac:dyDescent="0.2">
      <c r="A2917" s="88" t="s">
        <v>18044</v>
      </c>
      <c r="B2917" s="1" t="e">
        <v>#N/A</v>
      </c>
      <c r="C2917" s="1" t="s">
        <v>9890</v>
      </c>
      <c r="D2917" s="1" t="s">
        <v>7694</v>
      </c>
      <c r="E2917" s="1" t="s">
        <v>7695</v>
      </c>
      <c r="F2917" s="1" t="s">
        <v>9310</v>
      </c>
      <c r="G2917" s="1" t="s">
        <v>8959</v>
      </c>
      <c r="H2917" t="s">
        <v>9009</v>
      </c>
      <c r="I2917" s="1" t="s">
        <v>8984</v>
      </c>
      <c r="J2917" s="1" t="s">
        <v>9131</v>
      </c>
      <c r="K2917" s="1" t="s">
        <v>21309</v>
      </c>
      <c r="L2917" s="1" t="s">
        <v>8951</v>
      </c>
      <c r="M2917" s="1">
        <v>27725</v>
      </c>
      <c r="N2917" s="1" t="s">
        <v>8953</v>
      </c>
      <c r="O2917" s="1" t="s">
        <v>8954</v>
      </c>
      <c r="P2917" s="1" t="s">
        <v>8955</v>
      </c>
      <c r="Q2917" s="1" t="s">
        <v>8956</v>
      </c>
      <c r="R2917" s="1" t="s">
        <v>8959</v>
      </c>
      <c r="S2917" s="1" t="s">
        <v>8975</v>
      </c>
      <c r="T2917" s="1" t="s">
        <v>7696</v>
      </c>
      <c r="U2917" s="1" t="s">
        <v>11</v>
      </c>
      <c r="V2917" s="1" t="s">
        <v>4369</v>
      </c>
      <c r="W2917" s="1"/>
    </row>
    <row r="2918" spans="1:23" x14ac:dyDescent="0.2">
      <c r="A2918" s="88" t="s">
        <v>18045</v>
      </c>
      <c r="B2918" s="1" t="e">
        <v>#N/A</v>
      </c>
      <c r="C2918" s="1" t="e">
        <v>#N/A</v>
      </c>
      <c r="D2918" s="1" t="s">
        <v>7697</v>
      </c>
      <c r="E2918" s="1" t="s">
        <v>7698</v>
      </c>
      <c r="F2918" s="1" t="s">
        <v>9310</v>
      </c>
      <c r="G2918" s="1" t="s">
        <v>8959</v>
      </c>
      <c r="H2918" t="s">
        <v>8959</v>
      </c>
      <c r="I2918" s="1" t="s">
        <v>9605</v>
      </c>
      <c r="J2918" s="1" t="s">
        <v>9101</v>
      </c>
      <c r="K2918" s="1" t="s">
        <v>21092</v>
      </c>
      <c r="L2918" s="1" t="s">
        <v>9292</v>
      </c>
      <c r="M2918" s="1">
        <v>14700</v>
      </c>
      <c r="N2918" s="1" t="s">
        <v>8953</v>
      </c>
      <c r="O2918" s="1" t="s">
        <v>8954</v>
      </c>
      <c r="P2918" s="1" t="e">
        <v>#N/A</v>
      </c>
      <c r="Q2918" s="1" t="e">
        <v>#N/A</v>
      </c>
      <c r="R2918" s="1">
        <f t="shared" ref="R2918:R2920" si="862">1+LEN(T2918)-LEN(SUBSTITUTE(T2918,",",))</f>
        <v>6</v>
      </c>
      <c r="S2918" s="1" t="str">
        <f t="shared" ref="S2918:S2920" si="863">IF(R2918&gt;4,IF(R2918&lt;8,"4-7",IF(R2918&gt;7,"&gt;7")),"&lt;4")</f>
        <v>4-7</v>
      </c>
      <c r="T2918" s="1" t="s">
        <v>20219</v>
      </c>
      <c r="U2918" s="1" t="s">
        <v>17</v>
      </c>
      <c r="V2918" s="1" t="s">
        <v>110</v>
      </c>
      <c r="W2918" s="1"/>
    </row>
    <row r="2919" spans="1:23" x14ac:dyDescent="0.2">
      <c r="A2919" s="88" t="s">
        <v>18046</v>
      </c>
      <c r="B2919" s="1" t="e">
        <v>#N/A</v>
      </c>
      <c r="C2919" s="1" t="e">
        <v>#N/A</v>
      </c>
      <c r="D2919" s="1" t="s">
        <v>7699</v>
      </c>
      <c r="E2919" s="1" t="s">
        <v>7700</v>
      </c>
      <c r="F2919" s="1" t="s">
        <v>9310</v>
      </c>
      <c r="G2919" s="1" t="s">
        <v>8957</v>
      </c>
      <c r="H2919" t="s">
        <v>9061</v>
      </c>
      <c r="I2919" s="1" t="s">
        <v>8948</v>
      </c>
      <c r="J2919" s="1" t="s">
        <v>8949</v>
      </c>
      <c r="K2919" s="1" t="s">
        <v>21090</v>
      </c>
      <c r="L2919" s="1" t="s">
        <v>9076</v>
      </c>
      <c r="M2919" s="1">
        <v>20</v>
      </c>
      <c r="N2919" s="1" t="s">
        <v>9059</v>
      </c>
      <c r="O2919" s="1" t="s">
        <v>8989</v>
      </c>
      <c r="P2919" s="1" t="e">
        <v>#N/A</v>
      </c>
      <c r="Q2919" s="1" t="e">
        <v>#N/A</v>
      </c>
      <c r="R2919" s="1">
        <f t="shared" si="862"/>
        <v>7</v>
      </c>
      <c r="S2919" s="1" t="str">
        <f t="shared" si="863"/>
        <v>4-7</v>
      </c>
      <c r="T2919" s="1" t="s">
        <v>20220</v>
      </c>
      <c r="U2919" s="1" t="s">
        <v>7</v>
      </c>
      <c r="V2919" s="1" t="s">
        <v>21</v>
      </c>
      <c r="W2919" s="1"/>
    </row>
    <row r="2920" spans="1:23" x14ac:dyDescent="0.2">
      <c r="A2920" s="88" t="s">
        <v>18047</v>
      </c>
      <c r="B2920" s="1" t="e">
        <v>#N/A</v>
      </c>
      <c r="C2920" s="1" t="e">
        <v>#N/A</v>
      </c>
      <c r="D2920" s="1" t="s">
        <v>7701</v>
      </c>
      <c r="E2920" s="1" t="s">
        <v>7702</v>
      </c>
      <c r="F2920" s="1" t="s">
        <v>18502</v>
      </c>
      <c r="G2920" s="1" t="s">
        <v>8957</v>
      </c>
      <c r="H2920" t="s">
        <v>9061</v>
      </c>
      <c r="I2920" s="1" t="s">
        <v>9075</v>
      </c>
      <c r="J2920" s="1" t="s">
        <v>8998</v>
      </c>
      <c r="K2920" s="1" t="s">
        <v>10492</v>
      </c>
      <c r="L2920" s="1" t="s">
        <v>8973</v>
      </c>
      <c r="M2920" s="1">
        <v>313</v>
      </c>
      <c r="N2920" s="1" t="s">
        <v>8953</v>
      </c>
      <c r="O2920" s="1" t="s">
        <v>8989</v>
      </c>
      <c r="P2920" s="1" t="e">
        <v>#N/A</v>
      </c>
      <c r="Q2920" s="1" t="e">
        <v>#N/A</v>
      </c>
      <c r="R2920" s="1">
        <f t="shared" si="862"/>
        <v>6</v>
      </c>
      <c r="S2920" s="1" t="str">
        <f t="shared" si="863"/>
        <v>4-7</v>
      </c>
      <c r="T2920" s="1" t="s">
        <v>20221</v>
      </c>
      <c r="U2920" s="1" t="s">
        <v>17</v>
      </c>
      <c r="V2920" s="1" t="s">
        <v>126</v>
      </c>
      <c r="W2920" s="1"/>
    </row>
    <row r="2921" spans="1:23" x14ac:dyDescent="0.2">
      <c r="A2921" s="88" t="s">
        <v>18048</v>
      </c>
      <c r="B2921" s="1" t="e">
        <v>#N/A</v>
      </c>
      <c r="C2921" s="1" t="s">
        <v>10858</v>
      </c>
      <c r="D2921" s="1" t="s">
        <v>7703</v>
      </c>
      <c r="E2921" s="1" t="s">
        <v>7704</v>
      </c>
      <c r="F2921" s="1" t="s">
        <v>9310</v>
      </c>
      <c r="G2921" s="1" t="s">
        <v>8957</v>
      </c>
      <c r="H2921" t="s">
        <v>8959</v>
      </c>
      <c r="I2921" s="1" t="s">
        <v>9035</v>
      </c>
      <c r="J2921" s="1" t="s">
        <v>8998</v>
      </c>
      <c r="K2921" s="1" t="s">
        <v>10861</v>
      </c>
      <c r="L2921" s="1" t="s">
        <v>9157</v>
      </c>
      <c r="M2921" s="1">
        <v>274</v>
      </c>
      <c r="N2921" s="1" t="s">
        <v>8953</v>
      </c>
      <c r="O2921" s="1" t="s">
        <v>8954</v>
      </c>
      <c r="P2921" s="1" t="s">
        <v>8955</v>
      </c>
      <c r="Q2921" s="1" t="s">
        <v>8956</v>
      </c>
      <c r="R2921" s="1" t="s">
        <v>8957</v>
      </c>
      <c r="S2921" s="1" t="s">
        <v>8975</v>
      </c>
      <c r="T2921" s="1" t="s">
        <v>7705</v>
      </c>
      <c r="U2921" s="1" t="s">
        <v>11</v>
      </c>
      <c r="V2921" s="1" t="s">
        <v>46</v>
      </c>
      <c r="W2921" s="1"/>
    </row>
    <row r="2922" spans="1:23" x14ac:dyDescent="0.2">
      <c r="A2922" s="88" t="s">
        <v>18049</v>
      </c>
      <c r="B2922" s="1" t="e">
        <v>#N/A</v>
      </c>
      <c r="C2922" s="1" t="e">
        <v>#N/A</v>
      </c>
      <c r="D2922" s="1" t="s">
        <v>7706</v>
      </c>
      <c r="E2922" s="1" t="s">
        <v>7707</v>
      </c>
      <c r="F2922" s="1" t="s">
        <v>9310</v>
      </c>
      <c r="G2922" s="1" t="s">
        <v>8957</v>
      </c>
      <c r="H2922" t="s">
        <v>9061</v>
      </c>
      <c r="I2922" s="1" t="s">
        <v>9075</v>
      </c>
      <c r="J2922" s="1" t="s">
        <v>8998</v>
      </c>
      <c r="K2922" s="1" t="s">
        <v>21093</v>
      </c>
      <c r="L2922" s="1" t="s">
        <v>9157</v>
      </c>
      <c r="M2922" s="1">
        <v>8917</v>
      </c>
      <c r="N2922" s="1" t="s">
        <v>8953</v>
      </c>
      <c r="O2922" s="1" t="s">
        <v>8954</v>
      </c>
      <c r="P2922" s="1" t="e">
        <v>#N/A</v>
      </c>
      <c r="Q2922" s="1" t="e">
        <v>#N/A</v>
      </c>
      <c r="R2922" s="1">
        <f t="shared" ref="R2922:R2926" si="864">1+LEN(T2922)-LEN(SUBSTITUTE(T2922,",",))</f>
        <v>10</v>
      </c>
      <c r="S2922" s="1" t="str">
        <f t="shared" ref="S2922:S2926" si="865">IF(R2922&gt;4,IF(R2922&lt;8,"4-7",IF(R2922&gt;7,"&gt;7")),"&lt;4")</f>
        <v>&gt;7</v>
      </c>
      <c r="T2922" s="1" t="s">
        <v>20222</v>
      </c>
      <c r="U2922" s="1" t="s">
        <v>17</v>
      </c>
      <c r="V2922" s="1" t="s">
        <v>1780</v>
      </c>
      <c r="W2922" s="1"/>
    </row>
    <row r="2923" spans="1:23" x14ac:dyDescent="0.2">
      <c r="A2923" s="88" t="s">
        <v>18050</v>
      </c>
      <c r="B2923" s="1" t="e">
        <v>#N/A</v>
      </c>
      <c r="C2923" s="1" t="e">
        <v>#N/A</v>
      </c>
      <c r="D2923" s="1" t="s">
        <v>7708</v>
      </c>
      <c r="E2923" s="1" t="s">
        <v>7709</v>
      </c>
      <c r="F2923" s="1" t="s">
        <v>9310</v>
      </c>
      <c r="G2923" s="1" t="s">
        <v>8957</v>
      </c>
      <c r="H2923" t="s">
        <v>9061</v>
      </c>
      <c r="I2923" s="1" t="s">
        <v>9035</v>
      </c>
      <c r="J2923" s="1" t="s">
        <v>8998</v>
      </c>
      <c r="K2923" s="1" t="s">
        <v>20723</v>
      </c>
      <c r="L2923" s="1" t="s">
        <v>8951</v>
      </c>
      <c r="M2923" s="1">
        <v>14926</v>
      </c>
      <c r="N2923" s="1" t="s">
        <v>8953</v>
      </c>
      <c r="O2923" s="1" t="s">
        <v>8954</v>
      </c>
      <c r="P2923" s="1" t="e">
        <v>#N/A</v>
      </c>
      <c r="Q2923" s="1" t="e">
        <v>#N/A</v>
      </c>
      <c r="R2923" s="1">
        <f t="shared" si="864"/>
        <v>13</v>
      </c>
      <c r="S2923" s="1" t="str">
        <f t="shared" si="865"/>
        <v>&gt;7</v>
      </c>
      <c r="T2923" s="1" t="s">
        <v>20223</v>
      </c>
      <c r="U2923" s="1" t="s">
        <v>17</v>
      </c>
      <c r="V2923" s="1" t="s">
        <v>7710</v>
      </c>
      <c r="W2923" s="1"/>
    </row>
    <row r="2924" spans="1:23" x14ac:dyDescent="0.2">
      <c r="A2924" s="89" t="s">
        <v>7711</v>
      </c>
      <c r="B2924" s="1" t="e">
        <v>#N/A</v>
      </c>
      <c r="C2924" s="1" t="e">
        <v>#N/A</v>
      </c>
      <c r="D2924" s="1" t="s">
        <v>7712</v>
      </c>
      <c r="E2924" s="1" t="s">
        <v>7713</v>
      </c>
      <c r="F2924" s="1" t="e">
        <v>#N/A</v>
      </c>
      <c r="G2924" s="1" t="e">
        <v>#N/A</v>
      </c>
      <c r="H2924" t="e">
        <v>#N/A</v>
      </c>
      <c r="I2924" s="1" t="e">
        <v>#N/A</v>
      </c>
      <c r="J2924" s="1" t="e">
        <v>#N/A</v>
      </c>
      <c r="K2924" s="1" t="e">
        <v>#N/A</v>
      </c>
      <c r="L2924" s="1" t="e">
        <v>#N/A</v>
      </c>
      <c r="M2924" s="1" t="e">
        <v>#N/A</v>
      </c>
      <c r="N2924" s="1" t="e">
        <v>#N/A</v>
      </c>
      <c r="O2924" s="1" t="e">
        <v>#N/A</v>
      </c>
      <c r="P2924" s="1" t="e">
        <v>#N/A</v>
      </c>
      <c r="Q2924" s="1" t="e">
        <v>#N/A</v>
      </c>
      <c r="R2924" s="1">
        <f t="shared" si="864"/>
        <v>11</v>
      </c>
      <c r="S2924" s="1" t="str">
        <f t="shared" si="865"/>
        <v>&gt;7</v>
      </c>
      <c r="T2924" s="1" t="s">
        <v>20224</v>
      </c>
      <c r="U2924" s="1" t="s">
        <v>17</v>
      </c>
      <c r="V2924" s="1" t="s">
        <v>1089</v>
      </c>
      <c r="W2924" s="1"/>
    </row>
    <row r="2925" spans="1:23" x14ac:dyDescent="0.2">
      <c r="A2925" s="89" t="s">
        <v>7714</v>
      </c>
      <c r="B2925" s="1" t="e">
        <v>#N/A</v>
      </c>
      <c r="C2925" s="1" t="e">
        <v>#N/A</v>
      </c>
      <c r="D2925" s="1" t="s">
        <v>7715</v>
      </c>
      <c r="E2925" s="1" t="s">
        <v>7716</v>
      </c>
      <c r="F2925" s="1" t="e">
        <v>#N/A</v>
      </c>
      <c r="G2925" s="1" t="e">
        <v>#N/A</v>
      </c>
      <c r="H2925" t="e">
        <v>#N/A</v>
      </c>
      <c r="I2925" s="1" t="e">
        <v>#N/A</v>
      </c>
      <c r="J2925" s="1" t="e">
        <v>#N/A</v>
      </c>
      <c r="K2925" s="1" t="e">
        <v>#N/A</v>
      </c>
      <c r="L2925" s="1" t="e">
        <v>#N/A</v>
      </c>
      <c r="M2925" s="1" t="e">
        <v>#N/A</v>
      </c>
      <c r="N2925" s="1" t="e">
        <v>#N/A</v>
      </c>
      <c r="O2925" s="1" t="e">
        <v>#N/A</v>
      </c>
      <c r="P2925" s="1" t="e">
        <v>#N/A</v>
      </c>
      <c r="Q2925" s="1" t="e">
        <v>#N/A</v>
      </c>
      <c r="R2925" s="1">
        <f t="shared" si="864"/>
        <v>5</v>
      </c>
      <c r="S2925" s="1" t="str">
        <f t="shared" si="865"/>
        <v>4-7</v>
      </c>
      <c r="T2925" s="1" t="s">
        <v>20225</v>
      </c>
      <c r="U2925" s="1" t="s">
        <v>17</v>
      </c>
      <c r="V2925" s="1" t="s">
        <v>7717</v>
      </c>
      <c r="W2925" s="1"/>
    </row>
    <row r="2926" spans="1:23" x14ac:dyDescent="0.2">
      <c r="A2926" s="88" t="s">
        <v>18051</v>
      </c>
      <c r="B2926" s="1" t="e">
        <v>#N/A</v>
      </c>
      <c r="C2926" s="1" t="e">
        <v>#N/A</v>
      </c>
      <c r="D2926" s="1" t="s">
        <v>7718</v>
      </c>
      <c r="E2926" s="1" t="s">
        <v>7719</v>
      </c>
      <c r="F2926" s="1" t="s">
        <v>9310</v>
      </c>
      <c r="G2926" s="1" t="s">
        <v>8957</v>
      </c>
      <c r="H2926" t="s">
        <v>8959</v>
      </c>
      <c r="I2926" s="1" t="s">
        <v>9035</v>
      </c>
      <c r="J2926" s="1" t="s">
        <v>8998</v>
      </c>
      <c r="K2926" s="1" t="s">
        <v>20723</v>
      </c>
      <c r="L2926" s="1" t="s">
        <v>9157</v>
      </c>
      <c r="M2926" s="1">
        <v>5372</v>
      </c>
      <c r="N2926" s="1" t="s">
        <v>9059</v>
      </c>
      <c r="O2926" s="1" t="s">
        <v>8954</v>
      </c>
      <c r="P2926" s="1" t="e">
        <v>#N/A</v>
      </c>
      <c r="Q2926" s="1" t="e">
        <v>#N/A</v>
      </c>
      <c r="R2926" s="1">
        <f t="shared" si="864"/>
        <v>16</v>
      </c>
      <c r="S2926" s="1" t="str">
        <f t="shared" si="865"/>
        <v>&gt;7</v>
      </c>
      <c r="T2926" s="1" t="s">
        <v>20226</v>
      </c>
      <c r="U2926" s="1" t="s">
        <v>7</v>
      </c>
      <c r="V2926" s="1" t="s">
        <v>7710</v>
      </c>
      <c r="W2926" s="1"/>
    </row>
    <row r="2927" spans="1:23" x14ac:dyDescent="0.2">
      <c r="A2927" s="88" t="s">
        <v>18052</v>
      </c>
      <c r="B2927" s="1" t="e">
        <v>#N/A</v>
      </c>
      <c r="C2927" s="1" t="s">
        <v>13758</v>
      </c>
      <c r="D2927" s="1" t="s">
        <v>7720</v>
      </c>
      <c r="E2927" s="1" t="s">
        <v>7721</v>
      </c>
      <c r="F2927" s="1" t="s">
        <v>9310</v>
      </c>
      <c r="G2927" s="1" t="s">
        <v>8957</v>
      </c>
      <c r="H2927" t="s">
        <v>9061</v>
      </c>
      <c r="I2927" s="1" t="s">
        <v>9035</v>
      </c>
      <c r="J2927" s="1" t="s">
        <v>8998</v>
      </c>
      <c r="K2927" s="1" t="s">
        <v>9036</v>
      </c>
      <c r="L2927" s="1" t="s">
        <v>8973</v>
      </c>
      <c r="M2927" s="1">
        <v>74</v>
      </c>
      <c r="N2927" s="1" t="s">
        <v>9059</v>
      </c>
      <c r="O2927" s="1" t="s">
        <v>8954</v>
      </c>
      <c r="P2927" s="1" t="s">
        <v>8955</v>
      </c>
      <c r="Q2927" s="1" t="s">
        <v>8956</v>
      </c>
      <c r="R2927" s="1" t="s">
        <v>8957</v>
      </c>
      <c r="S2927" s="1" t="s">
        <v>8975</v>
      </c>
      <c r="T2927" s="1" t="s">
        <v>7722</v>
      </c>
      <c r="U2927" s="1" t="s">
        <v>4</v>
      </c>
      <c r="V2927" s="1" t="s">
        <v>126</v>
      </c>
      <c r="W2927" s="1"/>
    </row>
    <row r="2928" spans="1:23" x14ac:dyDescent="0.2">
      <c r="A2928" s="89" t="s">
        <v>7723</v>
      </c>
      <c r="B2928" s="1" t="e">
        <v>#N/A</v>
      </c>
      <c r="C2928" s="1" t="e">
        <v>#N/A</v>
      </c>
      <c r="D2928" s="5" t="s">
        <v>7724</v>
      </c>
      <c r="E2928" s="1" t="s">
        <v>7725</v>
      </c>
      <c r="F2928" s="1" t="e">
        <v>#N/A</v>
      </c>
      <c r="G2928" s="1" t="e">
        <v>#N/A</v>
      </c>
      <c r="H2928" t="e">
        <v>#N/A</v>
      </c>
      <c r="I2928" s="1" t="e">
        <v>#N/A</v>
      </c>
      <c r="J2928" s="1" t="e">
        <v>#N/A</v>
      </c>
      <c r="K2928" s="1" t="e">
        <v>#N/A</v>
      </c>
      <c r="L2928" s="1" t="e">
        <v>#N/A</v>
      </c>
      <c r="M2928" s="1" t="e">
        <v>#N/A</v>
      </c>
      <c r="N2928" s="1" t="e">
        <v>#N/A</v>
      </c>
      <c r="O2928" s="1" t="e">
        <v>#N/A</v>
      </c>
      <c r="P2928" s="1" t="e">
        <v>#N/A</v>
      </c>
      <c r="Q2928" s="1" t="e">
        <v>#N/A</v>
      </c>
      <c r="R2928" s="1">
        <f>1+LEN(T2928)-LEN(SUBSTITUTE(T2928,",",))</f>
        <v>7</v>
      </c>
      <c r="S2928" s="1" t="str">
        <f>IF(R2928&gt;4,IF(R2928&lt;8,"4-7",IF(R2928&gt;7,"&gt;7")),"&lt;4")</f>
        <v>4-7</v>
      </c>
      <c r="T2928" s="1" t="s">
        <v>20227</v>
      </c>
      <c r="U2928" s="1" t="s">
        <v>7</v>
      </c>
      <c r="V2928" s="1" t="s">
        <v>4602</v>
      </c>
      <c r="W2928" s="1"/>
    </row>
    <row r="2929" spans="1:23" x14ac:dyDescent="0.2">
      <c r="A2929" s="88" t="s">
        <v>18053</v>
      </c>
      <c r="B2929" s="1" t="e">
        <v>#N/A</v>
      </c>
      <c r="C2929" s="1" t="s">
        <v>14997</v>
      </c>
      <c r="D2929" s="1" t="s">
        <v>7726</v>
      </c>
      <c r="E2929" s="1" t="s">
        <v>7727</v>
      </c>
      <c r="F2929" s="1" t="s">
        <v>9010</v>
      </c>
      <c r="G2929" s="1" t="s">
        <v>8957</v>
      </c>
      <c r="H2929" t="s">
        <v>9061</v>
      </c>
      <c r="I2929" s="1" t="s">
        <v>8948</v>
      </c>
      <c r="J2929" s="1" t="s">
        <v>8998</v>
      </c>
      <c r="K2929" s="1" t="s">
        <v>15000</v>
      </c>
      <c r="L2929" s="1" t="s">
        <v>8973</v>
      </c>
      <c r="M2929" s="1">
        <v>80</v>
      </c>
      <c r="N2929" s="1" t="s">
        <v>9059</v>
      </c>
      <c r="O2929" s="1" t="s">
        <v>8989</v>
      </c>
      <c r="P2929" s="1" t="s">
        <v>8955</v>
      </c>
      <c r="Q2929" s="1" t="s">
        <v>8956</v>
      </c>
      <c r="R2929" s="1" t="s">
        <v>8957</v>
      </c>
      <c r="S2929" s="1" t="s">
        <v>8975</v>
      </c>
      <c r="T2929" s="1" t="s">
        <v>7728</v>
      </c>
      <c r="U2929" s="1" t="s">
        <v>17</v>
      </c>
      <c r="V2929" s="1" t="s">
        <v>93</v>
      </c>
      <c r="W2929" s="1"/>
    </row>
    <row r="2930" spans="1:23" x14ac:dyDescent="0.2">
      <c r="A2930" s="89" t="s">
        <v>18054</v>
      </c>
      <c r="B2930" s="1" t="e">
        <v>#N/A</v>
      </c>
      <c r="C2930" s="1" t="e">
        <v>#N/A</v>
      </c>
      <c r="D2930" s="1" t="s">
        <v>7729</v>
      </c>
      <c r="E2930" s="1" t="s">
        <v>7730</v>
      </c>
      <c r="F2930" s="1" t="e">
        <v>#N/A</v>
      </c>
      <c r="G2930" s="1" t="e">
        <v>#N/A</v>
      </c>
      <c r="H2930" t="e">
        <v>#N/A</v>
      </c>
      <c r="I2930" s="1" t="e">
        <v>#N/A</v>
      </c>
      <c r="J2930" s="1" t="e">
        <v>#N/A</v>
      </c>
      <c r="K2930" s="1" t="e">
        <v>#N/A</v>
      </c>
      <c r="L2930" s="1" t="e">
        <v>#N/A</v>
      </c>
      <c r="M2930" s="1" t="e">
        <v>#N/A</v>
      </c>
      <c r="N2930" s="1" t="e">
        <v>#N/A</v>
      </c>
      <c r="O2930" s="1" t="e">
        <v>#N/A</v>
      </c>
      <c r="P2930" s="1" t="e">
        <v>#N/A</v>
      </c>
      <c r="Q2930" s="1" t="e">
        <v>#N/A</v>
      </c>
      <c r="R2930" s="1">
        <f t="shared" ref="R2930:R2933" si="866">1+LEN(T2930)-LEN(SUBSTITUTE(T2930,",",))</f>
        <v>1</v>
      </c>
      <c r="S2930" s="1" t="str">
        <f t="shared" ref="S2930:S2933" si="867">IF(R2930&gt;4,IF(R2930&lt;8,"4-7",IF(R2930&gt;7,"&gt;7")),"&lt;4")</f>
        <v>&lt;4</v>
      </c>
      <c r="U2930" s="1" t="s">
        <v>7</v>
      </c>
      <c r="V2930" s="1" t="s">
        <v>7731</v>
      </c>
      <c r="W2930" s="1"/>
    </row>
    <row r="2931" spans="1:23" x14ac:dyDescent="0.2">
      <c r="A2931" s="88" t="s">
        <v>18055</v>
      </c>
      <c r="B2931" s="1" t="e">
        <v>#N/A</v>
      </c>
      <c r="C2931" s="1" t="e">
        <v>#N/A</v>
      </c>
      <c r="D2931" s="1" t="s">
        <v>7732</v>
      </c>
      <c r="E2931" s="1" t="s">
        <v>7733</v>
      </c>
      <c r="F2931" s="1" t="s">
        <v>9333</v>
      </c>
      <c r="G2931" s="1" t="s">
        <v>8957</v>
      </c>
      <c r="H2931" t="s">
        <v>8959</v>
      </c>
      <c r="I2931" s="1" t="s">
        <v>8984</v>
      </c>
      <c r="J2931" s="1" t="s">
        <v>8998</v>
      </c>
      <c r="K2931" s="1" t="s">
        <v>18497</v>
      </c>
      <c r="L2931" s="1" t="s">
        <v>9157</v>
      </c>
      <c r="M2931" s="1">
        <v>167</v>
      </c>
      <c r="N2931" s="1" t="s">
        <v>9059</v>
      </c>
      <c r="O2931" s="1" t="s">
        <v>8989</v>
      </c>
      <c r="P2931" s="1" t="e">
        <v>#N/A</v>
      </c>
      <c r="Q2931" s="1" t="e">
        <v>#N/A</v>
      </c>
      <c r="R2931" s="1">
        <f t="shared" si="866"/>
        <v>8</v>
      </c>
      <c r="S2931" s="1" t="str">
        <f t="shared" si="867"/>
        <v>&gt;7</v>
      </c>
      <c r="T2931" s="1" t="s">
        <v>20228</v>
      </c>
      <c r="U2931" s="1" t="s">
        <v>17</v>
      </c>
      <c r="V2931" s="1" t="s">
        <v>46</v>
      </c>
      <c r="W2931" s="1"/>
    </row>
    <row r="2932" spans="1:23" x14ac:dyDescent="0.2">
      <c r="A2932" s="88" t="s">
        <v>18056</v>
      </c>
      <c r="B2932" s="1" t="e">
        <v>#N/A</v>
      </c>
      <c r="C2932" s="1" t="e">
        <v>#N/A</v>
      </c>
      <c r="D2932" s="1" t="s">
        <v>7734</v>
      </c>
      <c r="E2932" s="1" t="s">
        <v>7735</v>
      </c>
      <c r="F2932" s="1" t="s">
        <v>9310</v>
      </c>
      <c r="G2932" s="1" t="s">
        <v>8957</v>
      </c>
      <c r="H2932" t="s">
        <v>8959</v>
      </c>
      <c r="I2932" s="1" t="s">
        <v>9035</v>
      </c>
      <c r="J2932" s="1" t="s">
        <v>9308</v>
      </c>
      <c r="K2932" s="1" t="s">
        <v>21345</v>
      </c>
      <c r="L2932" s="1" t="s">
        <v>8973</v>
      </c>
      <c r="M2932" s="1">
        <f>560+22+10</f>
        <v>592</v>
      </c>
      <c r="N2932" s="1" t="s">
        <v>8953</v>
      </c>
      <c r="O2932" s="1" t="s">
        <v>8989</v>
      </c>
      <c r="P2932" s="1" t="e">
        <v>#N/A</v>
      </c>
      <c r="Q2932" s="1" t="e">
        <v>#N/A</v>
      </c>
      <c r="R2932" s="1">
        <f t="shared" si="866"/>
        <v>9</v>
      </c>
      <c r="S2932" s="1" t="str">
        <f t="shared" si="867"/>
        <v>&gt;7</v>
      </c>
      <c r="T2932" s="1" t="s">
        <v>20229</v>
      </c>
      <c r="U2932" s="1" t="s">
        <v>7</v>
      </c>
      <c r="V2932" s="1" t="s">
        <v>35</v>
      </c>
      <c r="W2932" s="1"/>
    </row>
    <row r="2933" spans="1:23" x14ac:dyDescent="0.2">
      <c r="A2933" s="88" t="s">
        <v>18057</v>
      </c>
      <c r="B2933" s="1" t="e">
        <v>#N/A</v>
      </c>
      <c r="C2933" s="1" t="e">
        <v>#N/A</v>
      </c>
      <c r="D2933" s="1" t="s">
        <v>7736</v>
      </c>
      <c r="E2933" s="1" t="s">
        <v>7737</v>
      </c>
      <c r="F2933" s="1" t="s">
        <v>9310</v>
      </c>
      <c r="G2933" s="1" t="s">
        <v>8957</v>
      </c>
      <c r="H2933" t="s">
        <v>9061</v>
      </c>
      <c r="I2933" s="1" t="s">
        <v>9154</v>
      </c>
      <c r="J2933" s="1" t="s">
        <v>9155</v>
      </c>
      <c r="K2933" s="1" t="s">
        <v>21095</v>
      </c>
      <c r="L2933" s="1" t="s">
        <v>8987</v>
      </c>
      <c r="M2933" s="1">
        <v>530</v>
      </c>
      <c r="N2933" s="1" t="s">
        <v>9059</v>
      </c>
      <c r="O2933" s="1" t="s">
        <v>8989</v>
      </c>
      <c r="P2933" s="1" t="e">
        <v>#N/A</v>
      </c>
      <c r="Q2933" s="1" t="e">
        <v>#N/A</v>
      </c>
      <c r="R2933" s="1">
        <f t="shared" si="866"/>
        <v>10</v>
      </c>
      <c r="S2933" s="1" t="str">
        <f t="shared" si="867"/>
        <v>&gt;7</v>
      </c>
      <c r="T2933" s="1" t="s">
        <v>20230</v>
      </c>
      <c r="U2933" s="1" t="s">
        <v>7</v>
      </c>
      <c r="V2933" s="1" t="s">
        <v>77</v>
      </c>
      <c r="W2933" s="1"/>
    </row>
    <row r="2934" spans="1:23" x14ac:dyDescent="0.2">
      <c r="A2934" s="88" t="s">
        <v>18058</v>
      </c>
      <c r="B2934" s="1" t="e">
        <v>#N/A</v>
      </c>
      <c r="C2934" s="1" t="s">
        <v>9738</v>
      </c>
      <c r="D2934" s="1" t="s">
        <v>7738</v>
      </c>
      <c r="E2934" s="1" t="s">
        <v>7739</v>
      </c>
      <c r="F2934" s="1" t="s">
        <v>9010</v>
      </c>
      <c r="G2934" s="1" t="s">
        <v>8957</v>
      </c>
      <c r="H2934" t="s">
        <v>8959</v>
      </c>
      <c r="I2934" s="1" t="s">
        <v>8948</v>
      </c>
      <c r="J2934" s="1" t="s">
        <v>8949</v>
      </c>
      <c r="K2934" s="1" t="s">
        <v>9041</v>
      </c>
      <c r="L2934" s="1" t="s">
        <v>9133</v>
      </c>
      <c r="M2934" s="1">
        <v>1635</v>
      </c>
      <c r="N2934" s="1" t="s">
        <v>8953</v>
      </c>
      <c r="O2934" s="1" t="s">
        <v>8989</v>
      </c>
      <c r="P2934" s="1" t="s">
        <v>8955</v>
      </c>
      <c r="Q2934" s="1" t="s">
        <v>8990</v>
      </c>
      <c r="R2934" s="1" t="s">
        <v>8957</v>
      </c>
      <c r="S2934" s="1" t="s">
        <v>8958</v>
      </c>
      <c r="T2934" s="1" t="s">
        <v>7740</v>
      </c>
      <c r="U2934" s="1" t="s">
        <v>11</v>
      </c>
      <c r="V2934" s="1" t="s">
        <v>921</v>
      </c>
      <c r="W2934" s="1"/>
    </row>
    <row r="2935" spans="1:23" x14ac:dyDescent="0.2">
      <c r="A2935" s="88" t="s">
        <v>18059</v>
      </c>
      <c r="B2935" s="1" t="e">
        <v>#N/A</v>
      </c>
      <c r="C2935" s="1" t="e">
        <v>#N/A</v>
      </c>
      <c r="D2935" s="1" t="s">
        <v>7741</v>
      </c>
      <c r="E2935" s="1" t="s">
        <v>7742</v>
      </c>
      <c r="F2935" s="1" t="s">
        <v>9310</v>
      </c>
      <c r="G2935" s="1" t="s">
        <v>8957</v>
      </c>
      <c r="H2935" t="s">
        <v>9061</v>
      </c>
      <c r="I2935" s="1" t="s">
        <v>9035</v>
      </c>
      <c r="J2935" s="1" t="s">
        <v>8998</v>
      </c>
      <c r="K2935" s="1" t="s">
        <v>21259</v>
      </c>
      <c r="L2935" s="1" t="s">
        <v>8987</v>
      </c>
      <c r="M2935" s="1">
        <f>499+131</f>
        <v>630</v>
      </c>
      <c r="N2935" s="1" t="s">
        <v>9059</v>
      </c>
      <c r="O2935" s="1" t="s">
        <v>8954</v>
      </c>
      <c r="P2935" s="1" t="e">
        <v>#N/A</v>
      </c>
      <c r="Q2935" s="1" t="e">
        <v>#N/A</v>
      </c>
      <c r="R2935" s="1">
        <f>1+LEN(T2935)-LEN(SUBSTITUTE(T2935,",",))</f>
        <v>8</v>
      </c>
      <c r="S2935" s="1" t="str">
        <f>IF(R2935&gt;4,IF(R2935&lt;8,"4-7",IF(R2935&gt;7,"&gt;7")),"&lt;4")</f>
        <v>&gt;7</v>
      </c>
      <c r="T2935" s="1" t="s">
        <v>20231</v>
      </c>
      <c r="U2935" s="1" t="s">
        <v>7</v>
      </c>
      <c r="V2935" s="1" t="s">
        <v>61</v>
      </c>
      <c r="W2935" s="1"/>
    </row>
    <row r="2936" spans="1:23" x14ac:dyDescent="0.2">
      <c r="A2936" s="89" t="s">
        <v>7743</v>
      </c>
      <c r="B2936" s="1" t="e">
        <v>#N/A</v>
      </c>
      <c r="C2936" s="1" t="s">
        <v>10508</v>
      </c>
      <c r="D2936" s="1" t="s">
        <v>7744</v>
      </c>
      <c r="E2936" s="1" t="s">
        <v>7745</v>
      </c>
      <c r="F2936" s="1" t="s">
        <v>9310</v>
      </c>
      <c r="G2936" s="1" t="s">
        <v>8957</v>
      </c>
      <c r="H2936" t="s">
        <v>8959</v>
      </c>
      <c r="I2936" s="1" t="s">
        <v>9035</v>
      </c>
      <c r="J2936" s="1" t="s">
        <v>8998</v>
      </c>
      <c r="K2936" s="1" t="s">
        <v>10511</v>
      </c>
      <c r="L2936" s="1" t="s">
        <v>8987</v>
      </c>
      <c r="M2936" s="1">
        <v>41613</v>
      </c>
      <c r="N2936" s="1" t="s">
        <v>8953</v>
      </c>
      <c r="O2936" s="1" t="s">
        <v>8954</v>
      </c>
      <c r="P2936" s="1" t="s">
        <v>8955</v>
      </c>
      <c r="Q2936" s="1" t="s">
        <v>8956</v>
      </c>
      <c r="R2936" s="1" t="s">
        <v>8957</v>
      </c>
      <c r="S2936" s="1" t="s">
        <v>8958</v>
      </c>
      <c r="T2936" s="1" t="s">
        <v>7746</v>
      </c>
      <c r="U2936" s="1" t="s">
        <v>17</v>
      </c>
      <c r="V2936" s="1" t="s">
        <v>210</v>
      </c>
      <c r="W2936" s="1"/>
    </row>
    <row r="2937" spans="1:23" x14ac:dyDescent="0.2">
      <c r="A2937" s="88" t="s">
        <v>18060</v>
      </c>
      <c r="B2937" s="1" t="e">
        <v>#N/A</v>
      </c>
      <c r="C2937" s="1" t="s">
        <v>13324</v>
      </c>
      <c r="D2937" s="1" t="s">
        <v>7747</v>
      </c>
      <c r="E2937" s="1" t="s">
        <v>7748</v>
      </c>
      <c r="F2937" s="1" t="s">
        <v>9310</v>
      </c>
      <c r="G2937" s="1" t="s">
        <v>8957</v>
      </c>
      <c r="H2937" t="s">
        <v>9061</v>
      </c>
      <c r="I2937" s="1" t="s">
        <v>9075</v>
      </c>
      <c r="J2937" s="1" t="s">
        <v>8949</v>
      </c>
      <c r="K2937" s="1" t="s">
        <v>9036</v>
      </c>
      <c r="L2937" s="1" t="s">
        <v>8987</v>
      </c>
      <c r="M2937" s="1">
        <v>2602</v>
      </c>
      <c r="N2937" s="1" t="s">
        <v>8953</v>
      </c>
      <c r="O2937" s="1" t="s">
        <v>8989</v>
      </c>
      <c r="P2937" s="1" t="s">
        <v>8955</v>
      </c>
      <c r="Q2937" s="1" t="s">
        <v>8956</v>
      </c>
      <c r="R2937" s="1" t="s">
        <v>8957</v>
      </c>
      <c r="S2937" s="1" t="s">
        <v>8975</v>
      </c>
      <c r="T2937" s="1" t="s">
        <v>7749</v>
      </c>
      <c r="U2937" s="1" t="s">
        <v>4</v>
      </c>
      <c r="V2937" s="1" t="s">
        <v>24</v>
      </c>
      <c r="W2937" s="1"/>
    </row>
    <row r="2938" spans="1:23" x14ac:dyDescent="0.2">
      <c r="A2938" s="88" t="s">
        <v>18061</v>
      </c>
      <c r="B2938" s="1" t="e">
        <v>#N/A</v>
      </c>
      <c r="C2938" s="1" t="e">
        <v>#N/A</v>
      </c>
      <c r="D2938" s="1" t="s">
        <v>7750</v>
      </c>
      <c r="E2938" s="1" t="s">
        <v>7751</v>
      </c>
      <c r="F2938" s="1" t="s">
        <v>9310</v>
      </c>
      <c r="G2938" s="1" t="s">
        <v>8959</v>
      </c>
      <c r="H2938" t="s">
        <v>9061</v>
      </c>
      <c r="I2938" s="1" t="s">
        <v>9035</v>
      </c>
      <c r="J2938" s="1" t="s">
        <v>9308</v>
      </c>
      <c r="K2938" s="1" t="s">
        <v>18489</v>
      </c>
      <c r="L2938" s="1" t="s">
        <v>21096</v>
      </c>
      <c r="M2938" s="1">
        <v>1881</v>
      </c>
      <c r="N2938" s="1" t="s">
        <v>8953</v>
      </c>
      <c r="O2938" s="1" t="s">
        <v>8989</v>
      </c>
      <c r="P2938" s="1" t="e">
        <v>#N/A</v>
      </c>
      <c r="Q2938" s="1" t="e">
        <v>#N/A</v>
      </c>
      <c r="R2938" s="1">
        <f t="shared" ref="R2938:R2939" si="868">1+LEN(T2938)-LEN(SUBSTITUTE(T2938,",",))</f>
        <v>7</v>
      </c>
      <c r="S2938" s="1" t="str">
        <f t="shared" ref="S2938:S2939" si="869">IF(R2938&gt;4,IF(R2938&lt;8,"4-7",IF(R2938&gt;7,"&gt;7")),"&lt;4")</f>
        <v>4-7</v>
      </c>
      <c r="T2938" s="1" t="s">
        <v>20232</v>
      </c>
      <c r="U2938" s="1" t="s">
        <v>7</v>
      </c>
      <c r="V2938" s="1" t="s">
        <v>7752</v>
      </c>
      <c r="W2938" s="1"/>
    </row>
    <row r="2939" spans="1:23" x14ac:dyDescent="0.2">
      <c r="A2939" s="88" t="s">
        <v>18062</v>
      </c>
      <c r="B2939" s="1" t="e">
        <v>#N/A</v>
      </c>
      <c r="C2939" s="1" t="e">
        <v>#N/A</v>
      </c>
      <c r="D2939" s="1" t="s">
        <v>7753</v>
      </c>
      <c r="E2939" s="1" t="s">
        <v>7754</v>
      </c>
      <c r="F2939" s="1" t="s">
        <v>9310</v>
      </c>
      <c r="G2939" s="1" t="s">
        <v>8957</v>
      </c>
      <c r="H2939" t="s">
        <v>8959</v>
      </c>
      <c r="I2939" s="1" t="s">
        <v>9035</v>
      </c>
      <c r="J2939" s="1" t="s">
        <v>8998</v>
      </c>
      <c r="K2939" s="1" t="s">
        <v>21090</v>
      </c>
      <c r="L2939" s="1" t="s">
        <v>8987</v>
      </c>
      <c r="M2939" s="1">
        <v>111</v>
      </c>
      <c r="N2939" s="1" t="s">
        <v>9059</v>
      </c>
      <c r="O2939" s="1" t="s">
        <v>8989</v>
      </c>
      <c r="P2939" s="1" t="e">
        <v>#N/A</v>
      </c>
      <c r="Q2939" s="1" t="e">
        <v>#N/A</v>
      </c>
      <c r="R2939" s="1">
        <f t="shared" si="868"/>
        <v>13</v>
      </c>
      <c r="S2939" s="1" t="str">
        <f t="shared" si="869"/>
        <v>&gt;7</v>
      </c>
      <c r="T2939" s="1" t="s">
        <v>20233</v>
      </c>
      <c r="U2939" s="1" t="s">
        <v>7</v>
      </c>
      <c r="V2939" s="1" t="s">
        <v>831</v>
      </c>
      <c r="W2939" s="1"/>
    </row>
    <row r="2940" spans="1:23" x14ac:dyDescent="0.2">
      <c r="A2940" s="88" t="s">
        <v>18063</v>
      </c>
      <c r="B2940" s="1" t="e">
        <v>#N/A</v>
      </c>
      <c r="C2940" s="1" t="s">
        <v>14929</v>
      </c>
      <c r="D2940" s="1" t="s">
        <v>7755</v>
      </c>
      <c r="E2940" s="1" t="s">
        <v>7756</v>
      </c>
      <c r="F2940" s="1" t="s">
        <v>9310</v>
      </c>
      <c r="G2940" s="1" t="s">
        <v>8957</v>
      </c>
      <c r="H2940" t="s">
        <v>9009</v>
      </c>
      <c r="I2940" s="1" t="s">
        <v>9605</v>
      </c>
      <c r="J2940" s="1" t="s">
        <v>9155</v>
      </c>
      <c r="K2940" s="1" t="s">
        <v>9036</v>
      </c>
      <c r="L2940" s="1" t="s">
        <v>9292</v>
      </c>
      <c r="M2940" s="1">
        <v>232252</v>
      </c>
      <c r="N2940" s="1" t="s">
        <v>8953</v>
      </c>
      <c r="O2940" s="1" t="s">
        <v>8954</v>
      </c>
      <c r="P2940" s="1" t="s">
        <v>8955</v>
      </c>
      <c r="Q2940" s="1" t="s">
        <v>8956</v>
      </c>
      <c r="R2940" s="1" t="s">
        <v>8957</v>
      </c>
      <c r="S2940" s="1" t="s">
        <v>8958</v>
      </c>
      <c r="T2940" s="1" t="s">
        <v>7757</v>
      </c>
      <c r="U2940" s="1" t="s">
        <v>17</v>
      </c>
      <c r="V2940" s="1" t="s">
        <v>2248</v>
      </c>
      <c r="W2940" s="1"/>
    </row>
    <row r="2941" spans="1:23" x14ac:dyDescent="0.2">
      <c r="A2941" s="88" t="s">
        <v>18064</v>
      </c>
      <c r="B2941" s="1" t="e">
        <v>#N/A</v>
      </c>
      <c r="C2941" s="1" t="e">
        <v>#N/A</v>
      </c>
      <c r="D2941" s="1" t="s">
        <v>7758</v>
      </c>
      <c r="E2941" s="1" t="s">
        <v>7759</v>
      </c>
      <c r="F2941" s="1" t="s">
        <v>9310</v>
      </c>
      <c r="G2941" s="1" t="s">
        <v>8957</v>
      </c>
      <c r="H2941" t="s">
        <v>9061</v>
      </c>
      <c r="I2941" s="1" t="s">
        <v>9075</v>
      </c>
      <c r="J2941" s="1" t="s">
        <v>8971</v>
      </c>
      <c r="K2941" s="1" t="s">
        <v>21401</v>
      </c>
      <c r="L2941" s="1" t="s">
        <v>8973</v>
      </c>
      <c r="M2941" s="1">
        <v>40</v>
      </c>
      <c r="N2941" s="1" t="s">
        <v>9059</v>
      </c>
      <c r="O2941" s="1" t="s">
        <v>8989</v>
      </c>
      <c r="P2941" s="1" t="e">
        <v>#N/A</v>
      </c>
      <c r="Q2941" s="1" t="e">
        <v>#N/A</v>
      </c>
      <c r="R2941" s="1">
        <f>1+LEN(T2941)-LEN(SUBSTITUTE(T2941,",",))</f>
        <v>10</v>
      </c>
      <c r="S2941" s="1" t="str">
        <f>IF(R2941&gt;4,IF(R2941&lt;8,"4-7",IF(R2941&gt;7,"&gt;7")),"&lt;4")</f>
        <v>&gt;7</v>
      </c>
      <c r="T2941" s="1" t="s">
        <v>20234</v>
      </c>
      <c r="U2941" s="1" t="s">
        <v>17</v>
      </c>
      <c r="V2941" s="1" t="s">
        <v>61</v>
      </c>
      <c r="W2941" s="1"/>
    </row>
    <row r="2942" spans="1:23" x14ac:dyDescent="0.2">
      <c r="A2942" s="88" t="s">
        <v>18065</v>
      </c>
      <c r="B2942" s="1" t="e">
        <v>#N/A</v>
      </c>
      <c r="C2942" s="1" t="s">
        <v>10331</v>
      </c>
      <c r="D2942" s="1" t="s">
        <v>7760</v>
      </c>
      <c r="E2942" s="1" t="s">
        <v>7761</v>
      </c>
      <c r="F2942" s="1" t="s">
        <v>9310</v>
      </c>
      <c r="G2942" s="1" t="s">
        <v>8957</v>
      </c>
      <c r="H2942" t="s">
        <v>8959</v>
      </c>
      <c r="I2942" s="1" t="s">
        <v>9075</v>
      </c>
      <c r="J2942" s="1" t="s">
        <v>9101</v>
      </c>
      <c r="K2942" s="1" t="s">
        <v>8972</v>
      </c>
      <c r="L2942" s="1" t="s">
        <v>8951</v>
      </c>
      <c r="M2942" s="1">
        <v>3500</v>
      </c>
      <c r="N2942" s="1" t="s">
        <v>8953</v>
      </c>
      <c r="O2942" s="1" t="s">
        <v>8954</v>
      </c>
      <c r="P2942" s="1" t="s">
        <v>8955</v>
      </c>
      <c r="Q2942" s="1" t="s">
        <v>8956</v>
      </c>
      <c r="R2942" s="1" t="s">
        <v>8957</v>
      </c>
      <c r="S2942" s="1" t="s">
        <v>8958</v>
      </c>
      <c r="T2942" s="1" t="s">
        <v>7762</v>
      </c>
      <c r="U2942" s="1" t="s">
        <v>17</v>
      </c>
      <c r="V2942" s="1" t="s">
        <v>7763</v>
      </c>
      <c r="W2942" s="1"/>
    </row>
    <row r="2943" spans="1:23" x14ac:dyDescent="0.2">
      <c r="A2943" s="88" t="s">
        <v>18066</v>
      </c>
      <c r="B2943" s="1" t="e">
        <v>#N/A</v>
      </c>
      <c r="C2943" s="1" t="s">
        <v>13888</v>
      </c>
      <c r="D2943" s="1" t="s">
        <v>7764</v>
      </c>
      <c r="E2943" s="1" t="s">
        <v>7765</v>
      </c>
      <c r="F2943" s="1" t="s">
        <v>9010</v>
      </c>
      <c r="G2943" s="1" t="s">
        <v>8957</v>
      </c>
      <c r="H2943" t="s">
        <v>8959</v>
      </c>
      <c r="I2943" s="1" t="s">
        <v>9075</v>
      </c>
      <c r="J2943" s="1" t="s">
        <v>8998</v>
      </c>
      <c r="K2943" s="1" t="s">
        <v>9036</v>
      </c>
      <c r="L2943" s="1" t="s">
        <v>8973</v>
      </c>
      <c r="M2943" s="1">
        <v>2997</v>
      </c>
      <c r="N2943" s="1" t="s">
        <v>8953</v>
      </c>
      <c r="O2943" s="1" t="s">
        <v>8989</v>
      </c>
      <c r="P2943" s="1" t="s">
        <v>8955</v>
      </c>
      <c r="Q2943" s="1" t="s">
        <v>8956</v>
      </c>
      <c r="R2943" s="1" t="s">
        <v>8957</v>
      </c>
      <c r="S2943" s="1" t="s">
        <v>8958</v>
      </c>
      <c r="T2943" s="1" t="s">
        <v>7766</v>
      </c>
      <c r="U2943" s="1" t="s">
        <v>4</v>
      </c>
      <c r="V2943" s="1" t="s">
        <v>184</v>
      </c>
      <c r="W2943" s="1"/>
    </row>
    <row r="2944" spans="1:23" x14ac:dyDescent="0.2">
      <c r="A2944" s="89" t="s">
        <v>18067</v>
      </c>
      <c r="B2944" s="1" t="e">
        <v>#N/A</v>
      </c>
      <c r="C2944" s="1" t="e">
        <v>#N/A</v>
      </c>
      <c r="D2944" s="1" t="s">
        <v>7767</v>
      </c>
      <c r="E2944" s="1" t="s">
        <v>7768</v>
      </c>
      <c r="F2944" s="1" t="e">
        <v>#N/A</v>
      </c>
      <c r="G2944" s="1" t="e">
        <v>#N/A</v>
      </c>
      <c r="H2944" t="e">
        <v>#N/A</v>
      </c>
      <c r="I2944" s="1" t="e">
        <v>#N/A</v>
      </c>
      <c r="J2944" s="1" t="e">
        <v>#N/A</v>
      </c>
      <c r="K2944" s="1" t="e">
        <v>#N/A</v>
      </c>
      <c r="L2944" s="1" t="e">
        <v>#N/A</v>
      </c>
      <c r="M2944" s="1" t="e">
        <v>#N/A</v>
      </c>
      <c r="N2944" s="1" t="e">
        <v>#N/A</v>
      </c>
      <c r="O2944" s="1" t="e">
        <v>#N/A</v>
      </c>
      <c r="P2944" s="1" t="e">
        <v>#N/A</v>
      </c>
      <c r="Q2944" s="1" t="e">
        <v>#N/A</v>
      </c>
      <c r="R2944" s="1">
        <f>1+LEN(T2944)-LEN(SUBSTITUTE(T2944,",",))</f>
        <v>8</v>
      </c>
      <c r="S2944" s="1" t="str">
        <f>IF(R2944&gt;4,IF(R2944&lt;8,"4-7",IF(R2944&gt;7,"&gt;7")),"&lt;4")</f>
        <v>&gt;7</v>
      </c>
      <c r="T2944" s="1" t="s">
        <v>20235</v>
      </c>
      <c r="U2944" s="1" t="s">
        <v>7</v>
      </c>
      <c r="V2944" s="1" t="s">
        <v>7769</v>
      </c>
      <c r="W2944" s="1"/>
    </row>
    <row r="2945" spans="1:23" x14ac:dyDescent="0.2">
      <c r="A2945" s="88" t="s">
        <v>18068</v>
      </c>
      <c r="B2945" s="1" t="e">
        <v>#N/A</v>
      </c>
      <c r="C2945" s="1" t="s">
        <v>10950</v>
      </c>
      <c r="D2945" s="1" t="s">
        <v>7770</v>
      </c>
      <c r="E2945" s="1" t="s">
        <v>7771</v>
      </c>
      <c r="F2945" s="1" t="s">
        <v>9010</v>
      </c>
      <c r="G2945" s="1" t="s">
        <v>8957</v>
      </c>
      <c r="H2945" t="s">
        <v>9061</v>
      </c>
      <c r="I2945" s="1" t="s">
        <v>9100</v>
      </c>
      <c r="J2945" s="1" t="s">
        <v>8949</v>
      </c>
      <c r="K2945" s="1" t="s">
        <v>10953</v>
      </c>
      <c r="L2945" s="1" t="s">
        <v>9157</v>
      </c>
      <c r="M2945" s="1" t="s">
        <v>9479</v>
      </c>
      <c r="N2945" s="1" t="s">
        <v>8953</v>
      </c>
      <c r="O2945" s="1" t="s">
        <v>8989</v>
      </c>
      <c r="P2945" s="1" t="s">
        <v>8955</v>
      </c>
      <c r="Q2945" s="1" t="s">
        <v>8956</v>
      </c>
      <c r="R2945" s="1" t="s">
        <v>8957</v>
      </c>
      <c r="S2945" s="1" t="s">
        <v>9103</v>
      </c>
      <c r="T2945" s="1" t="s">
        <v>7772</v>
      </c>
      <c r="U2945" s="1" t="s">
        <v>11</v>
      </c>
      <c r="V2945" s="1" t="s">
        <v>46</v>
      </c>
      <c r="W2945" s="1"/>
    </row>
    <row r="2946" spans="1:23" x14ac:dyDescent="0.2">
      <c r="A2946" s="88" t="s">
        <v>18069</v>
      </c>
      <c r="B2946" s="1" t="e">
        <v>#N/A</v>
      </c>
      <c r="C2946" s="1" t="s">
        <v>12405</v>
      </c>
      <c r="D2946" s="1" t="s">
        <v>7773</v>
      </c>
      <c r="E2946" s="1" t="s">
        <v>7774</v>
      </c>
      <c r="F2946" s="1" t="s">
        <v>9010</v>
      </c>
      <c r="G2946" s="1" t="s">
        <v>8957</v>
      </c>
      <c r="H2946" t="s">
        <v>9061</v>
      </c>
      <c r="I2946" s="1" t="s">
        <v>9100</v>
      </c>
      <c r="J2946" s="1" t="s">
        <v>8949</v>
      </c>
      <c r="K2946" s="1" t="s">
        <v>12408</v>
      </c>
      <c r="L2946" s="1" t="s">
        <v>9133</v>
      </c>
      <c r="M2946" s="1" t="s">
        <v>9479</v>
      </c>
      <c r="N2946" s="1" t="s">
        <v>8953</v>
      </c>
      <c r="O2946" s="1" t="s">
        <v>8989</v>
      </c>
      <c r="P2946" s="1" t="s">
        <v>8955</v>
      </c>
      <c r="Q2946" s="1" t="s">
        <v>8956</v>
      </c>
      <c r="R2946" s="1" t="s">
        <v>8957</v>
      </c>
      <c r="S2946" s="1" t="s">
        <v>9103</v>
      </c>
      <c r="T2946" s="1" t="s">
        <v>7772</v>
      </c>
      <c r="U2946" s="1" t="s">
        <v>11</v>
      </c>
      <c r="V2946" s="1" t="s">
        <v>392</v>
      </c>
      <c r="W2946" s="1"/>
    </row>
    <row r="2947" spans="1:23" x14ac:dyDescent="0.2">
      <c r="A2947" s="88" t="s">
        <v>18070</v>
      </c>
      <c r="B2947" s="1" t="e">
        <v>#N/A</v>
      </c>
      <c r="C2947" s="1" t="s">
        <v>9701</v>
      </c>
      <c r="D2947" s="1" t="s">
        <v>7775</v>
      </c>
      <c r="E2947" s="1" t="s">
        <v>7776</v>
      </c>
      <c r="F2947" s="1" t="s">
        <v>9310</v>
      </c>
      <c r="G2947" s="1" t="s">
        <v>8957</v>
      </c>
      <c r="H2947" t="s">
        <v>9061</v>
      </c>
      <c r="I2947" s="1" t="s">
        <v>9035</v>
      </c>
      <c r="J2947" s="1" t="s">
        <v>8998</v>
      </c>
      <c r="K2947" s="1" t="s">
        <v>21261</v>
      </c>
      <c r="L2947" s="1" t="s">
        <v>9133</v>
      </c>
      <c r="M2947" s="1">
        <v>11205</v>
      </c>
      <c r="N2947" s="1" t="s">
        <v>8953</v>
      </c>
      <c r="O2947" s="1" t="s">
        <v>8989</v>
      </c>
      <c r="P2947" s="1" t="s">
        <v>8955</v>
      </c>
      <c r="Q2947" s="1" t="s">
        <v>8956</v>
      </c>
      <c r="R2947" s="1" t="s">
        <v>8957</v>
      </c>
      <c r="S2947" s="1" t="s">
        <v>8975</v>
      </c>
      <c r="T2947" s="1" t="s">
        <v>7777</v>
      </c>
      <c r="U2947" s="1" t="s">
        <v>17</v>
      </c>
      <c r="V2947" s="1" t="s">
        <v>1421</v>
      </c>
      <c r="W2947" s="1"/>
    </row>
    <row r="2948" spans="1:23" x14ac:dyDescent="0.2">
      <c r="A2948" s="88" t="s">
        <v>18071</v>
      </c>
      <c r="B2948" s="1" t="e">
        <v>#N/A</v>
      </c>
      <c r="C2948" s="1" t="s">
        <v>10882</v>
      </c>
      <c r="D2948" s="1" t="s">
        <v>7778</v>
      </c>
      <c r="E2948" s="1" t="s">
        <v>7779</v>
      </c>
      <c r="F2948" s="1" t="s">
        <v>9310</v>
      </c>
      <c r="G2948" s="1" t="s">
        <v>8957</v>
      </c>
      <c r="H2948" t="s">
        <v>8959</v>
      </c>
      <c r="I2948" s="1" t="s">
        <v>9100</v>
      </c>
      <c r="J2948" s="1" t="s">
        <v>8949</v>
      </c>
      <c r="K2948" s="1" t="s">
        <v>9036</v>
      </c>
      <c r="L2948" s="1" t="s">
        <v>8987</v>
      </c>
      <c r="M2948" s="1">
        <v>210</v>
      </c>
      <c r="N2948" s="1" t="s">
        <v>8953</v>
      </c>
      <c r="O2948" s="1" t="s">
        <v>8989</v>
      </c>
      <c r="P2948" s="1" t="s">
        <v>8955</v>
      </c>
      <c r="Q2948" s="1" t="s">
        <v>8990</v>
      </c>
      <c r="R2948" s="1" t="s">
        <v>8957</v>
      </c>
      <c r="S2948" s="1" t="s">
        <v>8958</v>
      </c>
      <c r="T2948" s="1" t="s">
        <v>7780</v>
      </c>
      <c r="U2948" s="1" t="s">
        <v>11</v>
      </c>
      <c r="V2948" s="1" t="s">
        <v>46</v>
      </c>
      <c r="W2948" s="1"/>
    </row>
    <row r="2949" spans="1:23" x14ac:dyDescent="0.2">
      <c r="A2949" s="88" t="s">
        <v>18072</v>
      </c>
      <c r="B2949" s="1" t="e">
        <v>#N/A</v>
      </c>
      <c r="C2949" s="1" t="s">
        <v>12751</v>
      </c>
      <c r="D2949" s="1" t="s">
        <v>7781</v>
      </c>
      <c r="E2949" s="1" t="s">
        <v>7782</v>
      </c>
      <c r="F2949" s="1" t="s">
        <v>9310</v>
      </c>
      <c r="G2949" s="1" t="s">
        <v>8957</v>
      </c>
      <c r="H2949" t="s">
        <v>8959</v>
      </c>
      <c r="I2949" s="1" t="s">
        <v>8948</v>
      </c>
      <c r="J2949" s="1" t="s">
        <v>9725</v>
      </c>
      <c r="K2949" s="1" t="s">
        <v>9051</v>
      </c>
      <c r="L2949" s="1" t="s">
        <v>9076</v>
      </c>
      <c r="M2949" s="1">
        <v>1875</v>
      </c>
      <c r="N2949" s="1" t="s">
        <v>8953</v>
      </c>
      <c r="O2949" s="1" t="s">
        <v>8989</v>
      </c>
      <c r="P2949" s="1" t="s">
        <v>8955</v>
      </c>
      <c r="Q2949" s="1" t="s">
        <v>8956</v>
      </c>
      <c r="R2949" s="1" t="s">
        <v>8957</v>
      </c>
      <c r="S2949" s="1" t="s">
        <v>8975</v>
      </c>
      <c r="T2949" s="1" t="s">
        <v>7783</v>
      </c>
      <c r="U2949" s="1" t="s">
        <v>11</v>
      </c>
      <c r="V2949" s="1" t="s">
        <v>392</v>
      </c>
      <c r="W2949" s="1"/>
    </row>
    <row r="2950" spans="1:23" x14ac:dyDescent="0.2">
      <c r="A2950" s="92" t="s">
        <v>18073</v>
      </c>
      <c r="B2950" s="1" t="e">
        <v>#N/A</v>
      </c>
      <c r="C2950" s="1" t="e">
        <v>#N/A</v>
      </c>
      <c r="D2950" s="1" t="s">
        <v>7784</v>
      </c>
      <c r="E2950" s="1" t="s">
        <v>7785</v>
      </c>
      <c r="F2950" s="1" t="e">
        <v>#N/A</v>
      </c>
      <c r="G2950" s="1" t="e">
        <v>#N/A</v>
      </c>
      <c r="H2950" t="e">
        <v>#N/A</v>
      </c>
      <c r="I2950" s="1" t="e">
        <v>#N/A</v>
      </c>
      <c r="J2950" s="1" t="e">
        <v>#N/A</v>
      </c>
      <c r="K2950" s="1" t="e">
        <v>#N/A</v>
      </c>
      <c r="L2950" s="1" t="e">
        <v>#N/A</v>
      </c>
      <c r="M2950" s="1" t="e">
        <v>#N/A</v>
      </c>
      <c r="N2950" s="1" t="e">
        <v>#N/A</v>
      </c>
      <c r="O2950" s="1" t="e">
        <v>#N/A</v>
      </c>
      <c r="P2950" s="1" t="e">
        <v>#N/A</v>
      </c>
      <c r="Q2950" s="1" t="e">
        <v>#N/A</v>
      </c>
      <c r="R2950" s="1">
        <f>1+LEN(T2950)-LEN(SUBSTITUTE(T2950,",",))</f>
        <v>2</v>
      </c>
      <c r="S2950" s="1" t="str">
        <f>IF(R2950&gt;4,IF(R2950&lt;8,"4-7",IF(R2950&gt;7,"&gt;7")),"&lt;4")</f>
        <v>&lt;4</v>
      </c>
      <c r="T2950" s="1" t="s">
        <v>20236</v>
      </c>
      <c r="U2950" s="1" t="s">
        <v>7</v>
      </c>
      <c r="V2950" s="1" t="s">
        <v>1328</v>
      </c>
      <c r="W2950" s="1"/>
    </row>
    <row r="2951" spans="1:23" x14ac:dyDescent="0.2">
      <c r="A2951" s="88" t="s">
        <v>18074</v>
      </c>
      <c r="B2951" s="1" t="e">
        <v>#N/A</v>
      </c>
      <c r="C2951" s="1" t="s">
        <v>9297</v>
      </c>
      <c r="D2951" s="1" t="s">
        <v>7786</v>
      </c>
      <c r="E2951" s="1" t="s">
        <v>7787</v>
      </c>
      <c r="F2951" s="1" t="s">
        <v>9010</v>
      </c>
      <c r="G2951" s="1" t="s">
        <v>8957</v>
      </c>
      <c r="H2951" t="s">
        <v>8959</v>
      </c>
      <c r="I2951" s="1" t="s">
        <v>9035</v>
      </c>
      <c r="J2951" s="1" t="s">
        <v>8998</v>
      </c>
      <c r="K2951" s="1" t="s">
        <v>9300</v>
      </c>
      <c r="L2951" s="1" t="s">
        <v>9076</v>
      </c>
      <c r="M2951" s="1">
        <v>542</v>
      </c>
      <c r="N2951" s="1" t="s">
        <v>9059</v>
      </c>
      <c r="O2951" s="1" t="s">
        <v>8954</v>
      </c>
      <c r="P2951" s="1" t="s">
        <v>8955</v>
      </c>
      <c r="Q2951" s="1" t="s">
        <v>8956</v>
      </c>
      <c r="R2951" s="1" t="s">
        <v>8957</v>
      </c>
      <c r="S2951" s="1" t="s">
        <v>9103</v>
      </c>
      <c r="T2951" s="1" t="s">
        <v>7788</v>
      </c>
      <c r="U2951" s="1" t="s">
        <v>7</v>
      </c>
      <c r="V2951" s="1" t="s">
        <v>7789</v>
      </c>
      <c r="W2951" s="1"/>
    </row>
    <row r="2952" spans="1:23" x14ac:dyDescent="0.2">
      <c r="A2952" s="88" t="s">
        <v>18075</v>
      </c>
      <c r="B2952" s="1" t="e">
        <v>#N/A</v>
      </c>
      <c r="C2952" s="1" t="e">
        <v>#N/A</v>
      </c>
      <c r="D2952" s="1" t="s">
        <v>7790</v>
      </c>
      <c r="E2952" s="1" t="s">
        <v>7791</v>
      </c>
      <c r="F2952" s="1" t="s">
        <v>9310</v>
      </c>
      <c r="G2952" s="1" t="s">
        <v>8957</v>
      </c>
      <c r="H2952" t="s">
        <v>8959</v>
      </c>
      <c r="I2952" s="1" t="s">
        <v>9035</v>
      </c>
      <c r="J2952" s="1" t="s">
        <v>8998</v>
      </c>
      <c r="K2952" s="1" t="s">
        <v>21402</v>
      </c>
      <c r="L2952" s="1" t="s">
        <v>21097</v>
      </c>
      <c r="M2952" s="1">
        <v>48900</v>
      </c>
      <c r="N2952" s="1" t="s">
        <v>8953</v>
      </c>
      <c r="O2952" s="1" t="s">
        <v>8954</v>
      </c>
      <c r="P2952" s="1" t="e">
        <v>#N/A</v>
      </c>
      <c r="Q2952" s="1" t="e">
        <v>#N/A</v>
      </c>
      <c r="R2952" s="1">
        <f t="shared" ref="R2952:R2955" si="870">1+LEN(T2952)-LEN(SUBSTITUTE(T2952,",",))</f>
        <v>10</v>
      </c>
      <c r="S2952" s="1" t="str">
        <f t="shared" ref="S2952:S2955" si="871">IF(R2952&gt;4,IF(R2952&lt;8,"4-7",IF(R2952&gt;7,"&gt;7")),"&lt;4")</f>
        <v>&gt;7</v>
      </c>
      <c r="T2952" s="1" t="s">
        <v>20237</v>
      </c>
      <c r="U2952" s="1" t="s">
        <v>7</v>
      </c>
      <c r="V2952" s="1" t="s">
        <v>4363</v>
      </c>
      <c r="W2952" s="1"/>
    </row>
    <row r="2953" spans="1:23" x14ac:dyDescent="0.2">
      <c r="A2953" s="88" t="s">
        <v>18076</v>
      </c>
      <c r="B2953" s="1" t="e">
        <v>#N/A</v>
      </c>
      <c r="C2953" s="1" t="e">
        <v>#N/A</v>
      </c>
      <c r="D2953" s="1" t="s">
        <v>7792</v>
      </c>
      <c r="E2953" s="1" t="s">
        <v>7793</v>
      </c>
      <c r="F2953" s="1" t="s">
        <v>9310</v>
      </c>
      <c r="G2953" s="1" t="s">
        <v>8957</v>
      </c>
      <c r="H2953" t="s">
        <v>8959</v>
      </c>
      <c r="I2953" s="1" t="s">
        <v>9100</v>
      </c>
      <c r="J2953" s="1" t="s">
        <v>9155</v>
      </c>
      <c r="K2953" s="1" t="s">
        <v>21449</v>
      </c>
      <c r="L2953" s="1" t="s">
        <v>9076</v>
      </c>
      <c r="M2953" s="1">
        <v>36</v>
      </c>
      <c r="N2953" s="1" t="s">
        <v>9059</v>
      </c>
      <c r="O2953" s="1" t="s">
        <v>8954</v>
      </c>
      <c r="P2953" s="1" t="e">
        <v>#N/A</v>
      </c>
      <c r="Q2953" s="1" t="e">
        <v>#N/A</v>
      </c>
      <c r="R2953" s="1">
        <f t="shared" si="870"/>
        <v>10</v>
      </c>
      <c r="S2953" s="1" t="str">
        <f t="shared" si="871"/>
        <v>&gt;7</v>
      </c>
      <c r="T2953" s="1" t="s">
        <v>20238</v>
      </c>
      <c r="U2953" s="1" t="s">
        <v>17</v>
      </c>
      <c r="V2953" s="1" t="s">
        <v>61</v>
      </c>
      <c r="W2953" s="1"/>
    </row>
    <row r="2954" spans="1:23" x14ac:dyDescent="0.2">
      <c r="A2954" s="88" t="s">
        <v>18077</v>
      </c>
      <c r="B2954" s="1" t="e">
        <v>#N/A</v>
      </c>
      <c r="C2954" s="1" t="e">
        <v>#N/A</v>
      </c>
      <c r="D2954" s="1" t="s">
        <v>7794</v>
      </c>
      <c r="E2954" s="1" t="s">
        <v>7795</v>
      </c>
      <c r="F2954" s="1" t="s">
        <v>9310</v>
      </c>
      <c r="G2954" s="1" t="s">
        <v>8957</v>
      </c>
      <c r="H2954" t="s">
        <v>9061</v>
      </c>
      <c r="I2954" s="1" t="s">
        <v>9035</v>
      </c>
      <c r="J2954" s="1" t="s">
        <v>8998</v>
      </c>
      <c r="K2954" s="1" t="s">
        <v>21095</v>
      </c>
      <c r="L2954" s="1" t="s">
        <v>8987</v>
      </c>
      <c r="M2954" s="1">
        <v>484</v>
      </c>
      <c r="N2954" s="1" t="s">
        <v>9059</v>
      </c>
      <c r="O2954" s="1" t="s">
        <v>8954</v>
      </c>
      <c r="P2954" s="1" t="e">
        <v>#N/A</v>
      </c>
      <c r="Q2954" s="1" t="e">
        <v>#N/A</v>
      </c>
      <c r="R2954" s="1">
        <f t="shared" si="870"/>
        <v>12</v>
      </c>
      <c r="S2954" s="1" t="str">
        <f t="shared" si="871"/>
        <v>&gt;7</v>
      </c>
      <c r="T2954" s="1" t="s">
        <v>20239</v>
      </c>
      <c r="U2954" s="1" t="s">
        <v>7</v>
      </c>
      <c r="V2954" s="1" t="s">
        <v>147</v>
      </c>
      <c r="W2954" s="1"/>
    </row>
    <row r="2955" spans="1:23" x14ac:dyDescent="0.2">
      <c r="A2955" s="88" t="s">
        <v>18078</v>
      </c>
      <c r="B2955" s="1" t="e">
        <v>#N/A</v>
      </c>
      <c r="C2955" s="1" t="e">
        <v>#N/A</v>
      </c>
      <c r="D2955" s="1" t="s">
        <v>7796</v>
      </c>
      <c r="E2955" s="1" t="s">
        <v>7797</v>
      </c>
      <c r="F2955" s="1" t="s">
        <v>9310</v>
      </c>
      <c r="G2955" s="1" t="s">
        <v>8957</v>
      </c>
      <c r="H2955" t="s">
        <v>8959</v>
      </c>
      <c r="I2955" s="1" t="s">
        <v>9100</v>
      </c>
      <c r="J2955" s="1" t="s">
        <v>8949</v>
      </c>
      <c r="K2955" s="1" t="s">
        <v>21098</v>
      </c>
      <c r="L2955" s="1" t="s">
        <v>9076</v>
      </c>
      <c r="M2955" s="1">
        <v>25824</v>
      </c>
      <c r="N2955" s="1" t="s">
        <v>8953</v>
      </c>
      <c r="O2955" s="1" t="s">
        <v>8989</v>
      </c>
      <c r="P2955" s="1" t="e">
        <v>#N/A</v>
      </c>
      <c r="Q2955" s="1" t="e">
        <v>#N/A</v>
      </c>
      <c r="R2955" s="1">
        <f t="shared" si="870"/>
        <v>5</v>
      </c>
      <c r="S2955" s="1" t="str">
        <f t="shared" si="871"/>
        <v>4-7</v>
      </c>
      <c r="T2955" s="1" t="s">
        <v>20240</v>
      </c>
      <c r="U2955" s="1" t="s">
        <v>7</v>
      </c>
      <c r="V2955" s="1" t="s">
        <v>21</v>
      </c>
      <c r="W2955" s="1"/>
    </row>
    <row r="2956" spans="1:23" x14ac:dyDescent="0.2">
      <c r="A2956" s="88" t="s">
        <v>18079</v>
      </c>
      <c r="B2956" s="1" t="e">
        <v>#N/A</v>
      </c>
      <c r="C2956" s="1" t="s">
        <v>9072</v>
      </c>
      <c r="D2956" s="1" t="s">
        <v>7798</v>
      </c>
      <c r="E2956" s="1" t="s">
        <v>7799</v>
      </c>
      <c r="F2956" s="1" t="s">
        <v>9310</v>
      </c>
      <c r="G2956" s="1" t="s">
        <v>8957</v>
      </c>
      <c r="H2956" t="s">
        <v>8959</v>
      </c>
      <c r="I2956" s="1" t="s">
        <v>9075</v>
      </c>
      <c r="J2956" s="1" t="s">
        <v>8949</v>
      </c>
      <c r="K2956" s="1" t="s">
        <v>8972</v>
      </c>
      <c r="L2956" s="1" t="s">
        <v>9076</v>
      </c>
      <c r="M2956" s="1">
        <v>893</v>
      </c>
      <c r="N2956" s="1" t="s">
        <v>8953</v>
      </c>
      <c r="O2956" s="1" t="s">
        <v>8954</v>
      </c>
      <c r="P2956" s="1" t="s">
        <v>8955</v>
      </c>
      <c r="Q2956" s="1" t="s">
        <v>8956</v>
      </c>
      <c r="R2956" s="1" t="s">
        <v>8957</v>
      </c>
      <c r="S2956" s="1" t="s">
        <v>8958</v>
      </c>
      <c r="T2956" s="1" t="s">
        <v>7800</v>
      </c>
      <c r="U2956" s="1" t="s">
        <v>7</v>
      </c>
      <c r="V2956" s="1" t="s">
        <v>126</v>
      </c>
      <c r="W2956" s="1"/>
    </row>
    <row r="2957" spans="1:23" x14ac:dyDescent="0.2">
      <c r="A2957" s="88" t="s">
        <v>18080</v>
      </c>
      <c r="B2957" s="1" t="e">
        <v>#N/A</v>
      </c>
      <c r="C2957" s="1" t="e">
        <v>#N/A</v>
      </c>
      <c r="D2957" s="1" t="s">
        <v>7801</v>
      </c>
      <c r="E2957" s="1" t="s">
        <v>7802</v>
      </c>
      <c r="F2957" s="1" t="s">
        <v>9310</v>
      </c>
      <c r="G2957" s="1" t="s">
        <v>8957</v>
      </c>
      <c r="H2957" t="s">
        <v>8959</v>
      </c>
      <c r="I2957" s="1" t="s">
        <v>9035</v>
      </c>
      <c r="J2957" s="1" t="s">
        <v>8998</v>
      </c>
      <c r="K2957" s="1" t="s">
        <v>21090</v>
      </c>
      <c r="L2957" s="1" t="s">
        <v>9292</v>
      </c>
      <c r="M2957" s="1">
        <f>2482+349</f>
        <v>2831</v>
      </c>
      <c r="N2957" s="1" t="s">
        <v>8953</v>
      </c>
      <c r="O2957" s="1" t="s">
        <v>8954</v>
      </c>
      <c r="P2957" s="1" t="e">
        <v>#N/A</v>
      </c>
      <c r="Q2957" s="1" t="e">
        <v>#N/A</v>
      </c>
      <c r="R2957" s="1">
        <f t="shared" ref="R2957:R2960" si="872">1+LEN(T2957)-LEN(SUBSTITUTE(T2957,",",))</f>
        <v>3</v>
      </c>
      <c r="S2957" s="1" t="str">
        <f t="shared" ref="S2957:S2960" si="873">IF(R2957&gt;4,IF(R2957&lt;8,"4-7",IF(R2957&gt;7,"&gt;7")),"&lt;4")</f>
        <v>&lt;4</v>
      </c>
      <c r="T2957" s="1" t="s">
        <v>20241</v>
      </c>
      <c r="U2957" s="1" t="s">
        <v>7</v>
      </c>
      <c r="V2957" s="1" t="s">
        <v>27</v>
      </c>
      <c r="W2957" s="1"/>
    </row>
    <row r="2958" spans="1:23" x14ac:dyDescent="0.2">
      <c r="A2958" s="94" t="s">
        <v>18081</v>
      </c>
      <c r="B2958" s="1" t="e">
        <v>#N/A</v>
      </c>
      <c r="C2958" s="1" t="e">
        <v>#N/A</v>
      </c>
      <c r="D2958" s="1" t="s">
        <v>7803</v>
      </c>
      <c r="E2958" s="1" t="s">
        <v>7804</v>
      </c>
      <c r="F2958" s="1" t="s">
        <v>9310</v>
      </c>
      <c r="G2958" s="1" t="s">
        <v>8957</v>
      </c>
      <c r="H2958" t="s">
        <v>8959</v>
      </c>
      <c r="I2958" s="1" t="s">
        <v>9605</v>
      </c>
      <c r="J2958" s="1" t="s">
        <v>8959</v>
      </c>
      <c r="K2958" s="1" t="s">
        <v>21403</v>
      </c>
      <c r="L2958" s="1" t="s">
        <v>8973</v>
      </c>
      <c r="M2958" s="1">
        <f>2688+10582</f>
        <v>13270</v>
      </c>
      <c r="N2958" s="1" t="s">
        <v>8953</v>
      </c>
      <c r="O2958" s="1" t="s">
        <v>8954</v>
      </c>
      <c r="P2958" s="1" t="e">
        <v>#N/A</v>
      </c>
      <c r="Q2958" s="1" t="e">
        <v>#N/A</v>
      </c>
      <c r="R2958" s="1">
        <f t="shared" si="872"/>
        <v>5</v>
      </c>
      <c r="S2958" s="1" t="str">
        <f t="shared" si="873"/>
        <v>4-7</v>
      </c>
      <c r="T2958" s="1" t="s">
        <v>20242</v>
      </c>
      <c r="U2958" s="1" t="s">
        <v>11</v>
      </c>
      <c r="V2958" s="1" t="s">
        <v>110</v>
      </c>
      <c r="W2958" s="1"/>
    </row>
    <row r="2959" spans="1:23" x14ac:dyDescent="0.2">
      <c r="A2959" s="88" t="s">
        <v>18082</v>
      </c>
      <c r="B2959" s="1" t="e">
        <v>#N/A</v>
      </c>
      <c r="C2959" s="1" t="e">
        <v>#N/A</v>
      </c>
      <c r="D2959" s="1" t="s">
        <v>7805</v>
      </c>
      <c r="E2959" s="1" t="s">
        <v>7806</v>
      </c>
      <c r="F2959" s="1" t="s">
        <v>9310</v>
      </c>
      <c r="G2959" s="1" t="s">
        <v>8957</v>
      </c>
      <c r="H2959" t="s">
        <v>8959</v>
      </c>
      <c r="I2959" s="1" t="s">
        <v>9154</v>
      </c>
      <c r="J2959" s="1" t="s">
        <v>8949</v>
      </c>
      <c r="K2959" s="1" t="s">
        <v>21432</v>
      </c>
      <c r="L2959" s="1" t="s">
        <v>8973</v>
      </c>
      <c r="M2959" s="1">
        <v>5859</v>
      </c>
      <c r="N2959" s="1" t="s">
        <v>8953</v>
      </c>
      <c r="O2959" s="1" t="s">
        <v>8989</v>
      </c>
      <c r="P2959" s="1" t="e">
        <v>#N/A</v>
      </c>
      <c r="Q2959" s="1" t="e">
        <v>#N/A</v>
      </c>
      <c r="R2959" s="1">
        <f t="shared" si="872"/>
        <v>3</v>
      </c>
      <c r="S2959" s="1" t="str">
        <f t="shared" si="873"/>
        <v>&lt;4</v>
      </c>
      <c r="T2959" s="1" t="s">
        <v>20243</v>
      </c>
      <c r="U2959" s="1" t="s">
        <v>7</v>
      </c>
      <c r="V2959" s="1" t="s">
        <v>21</v>
      </c>
      <c r="W2959" s="1"/>
    </row>
    <row r="2960" spans="1:23" x14ac:dyDescent="0.2">
      <c r="A2960" s="88" t="s">
        <v>18083</v>
      </c>
      <c r="B2960" s="1" t="e">
        <v>#N/A</v>
      </c>
      <c r="C2960" s="1" t="e">
        <v>#N/A</v>
      </c>
      <c r="D2960" s="1" t="s">
        <v>7807</v>
      </c>
      <c r="E2960" s="1" t="s">
        <v>7808</v>
      </c>
      <c r="F2960" s="1" t="s">
        <v>9310</v>
      </c>
      <c r="G2960" s="1" t="s">
        <v>8957</v>
      </c>
      <c r="H2960" t="s">
        <v>8959</v>
      </c>
      <c r="I2960" s="1" t="s">
        <v>9100</v>
      </c>
      <c r="J2960" s="1" t="s">
        <v>8949</v>
      </c>
      <c r="K2960" s="1" t="s">
        <v>18497</v>
      </c>
      <c r="L2960" s="1" t="s">
        <v>21099</v>
      </c>
      <c r="M2960" s="1">
        <v>88</v>
      </c>
      <c r="N2960" s="1" t="s">
        <v>9059</v>
      </c>
      <c r="O2960" s="1" t="s">
        <v>8989</v>
      </c>
      <c r="P2960" s="1" t="e">
        <v>#N/A</v>
      </c>
      <c r="Q2960" s="1" t="e">
        <v>#N/A</v>
      </c>
      <c r="R2960" s="1">
        <f t="shared" si="872"/>
        <v>8</v>
      </c>
      <c r="S2960" s="1" t="str">
        <f t="shared" si="873"/>
        <v>&gt;7</v>
      </c>
      <c r="T2960" s="1" t="s">
        <v>20244</v>
      </c>
      <c r="U2960" s="1" t="s">
        <v>7</v>
      </c>
      <c r="V2960" s="1" t="s">
        <v>7809</v>
      </c>
      <c r="W2960" s="1"/>
    </row>
    <row r="2961" spans="1:23" x14ac:dyDescent="0.2">
      <c r="A2961" s="88" t="s">
        <v>18084</v>
      </c>
      <c r="B2961" s="1" t="e">
        <v>#N/A</v>
      </c>
      <c r="C2961" s="1" t="s">
        <v>14492</v>
      </c>
      <c r="D2961" s="1" t="s">
        <v>7810</v>
      </c>
      <c r="E2961" s="1" t="s">
        <v>7811</v>
      </c>
      <c r="F2961" s="1" t="s">
        <v>9310</v>
      </c>
      <c r="G2961" s="1" t="s">
        <v>8957</v>
      </c>
      <c r="H2961" t="s">
        <v>8959</v>
      </c>
      <c r="I2961" s="1" t="s">
        <v>9605</v>
      </c>
      <c r="J2961" s="1" t="s">
        <v>8971</v>
      </c>
      <c r="K2961" s="1" t="s">
        <v>9102</v>
      </c>
      <c r="L2961" s="1" t="s">
        <v>9292</v>
      </c>
      <c r="M2961" s="1">
        <v>373</v>
      </c>
      <c r="N2961" s="1" t="s">
        <v>8953</v>
      </c>
      <c r="O2961" s="1" t="s">
        <v>8989</v>
      </c>
      <c r="P2961" s="1" t="s">
        <v>8955</v>
      </c>
      <c r="Q2961" s="1" t="s">
        <v>8956</v>
      </c>
      <c r="R2961" s="1" t="s">
        <v>8957</v>
      </c>
      <c r="S2961" s="1" t="s">
        <v>8958</v>
      </c>
      <c r="T2961" s="1" t="s">
        <v>7812</v>
      </c>
      <c r="U2961" s="1" t="s">
        <v>924</v>
      </c>
      <c r="V2961" s="1" t="s">
        <v>1017</v>
      </c>
      <c r="W2961" s="1"/>
    </row>
    <row r="2962" spans="1:23" x14ac:dyDescent="0.2">
      <c r="A2962" s="88" t="s">
        <v>18085</v>
      </c>
      <c r="B2962" s="1" t="e">
        <v>#N/A</v>
      </c>
      <c r="C2962" s="1" t="e">
        <v>#N/A</v>
      </c>
      <c r="D2962" s="1" t="s">
        <v>7813</v>
      </c>
      <c r="E2962" s="1" t="s">
        <v>7814</v>
      </c>
      <c r="F2962" s="1" t="s">
        <v>18502</v>
      </c>
      <c r="G2962" s="1" t="s">
        <v>8957</v>
      </c>
      <c r="H2962" t="s">
        <v>8959</v>
      </c>
      <c r="I2962" s="1" t="s">
        <v>9035</v>
      </c>
      <c r="J2962" s="1" t="s">
        <v>8998</v>
      </c>
      <c r="K2962" s="1" t="s">
        <v>10492</v>
      </c>
      <c r="L2962" s="1" t="s">
        <v>21100</v>
      </c>
      <c r="M2962" s="1">
        <f>298+1010+3642</f>
        <v>4950</v>
      </c>
      <c r="N2962" s="1" t="s">
        <v>9059</v>
      </c>
      <c r="O2962" s="1" t="s">
        <v>8954</v>
      </c>
      <c r="P2962" s="1" t="e">
        <v>#N/A</v>
      </c>
      <c r="Q2962" s="1" t="e">
        <v>#N/A</v>
      </c>
      <c r="R2962" s="1">
        <f>1+LEN(T2962)-LEN(SUBSTITUTE(T2962,",",))</f>
        <v>11</v>
      </c>
      <c r="S2962" s="1" t="str">
        <f>IF(R2962&gt;4,IF(R2962&lt;8,"4-7",IF(R2962&gt;7,"&gt;7")),"&lt;4")</f>
        <v>&gt;7</v>
      </c>
      <c r="T2962" s="1" t="s">
        <v>20245</v>
      </c>
      <c r="U2962" s="1" t="s">
        <v>7</v>
      </c>
      <c r="V2962" s="1" t="s">
        <v>110</v>
      </c>
      <c r="W2962" s="1"/>
    </row>
    <row r="2963" spans="1:23" x14ac:dyDescent="0.2">
      <c r="A2963" s="88" t="s">
        <v>18086</v>
      </c>
      <c r="B2963" s="1" t="e">
        <v>#N/A</v>
      </c>
      <c r="C2963" s="1" t="s">
        <v>11755</v>
      </c>
      <c r="D2963" s="1" t="s">
        <v>7815</v>
      </c>
      <c r="E2963" s="1" t="s">
        <v>7816</v>
      </c>
      <c r="F2963" s="1" t="s">
        <v>9317</v>
      </c>
      <c r="G2963" s="1" t="s">
        <v>8957</v>
      </c>
      <c r="H2963" t="s">
        <v>9183</v>
      </c>
      <c r="I2963" s="1" t="s">
        <v>8948</v>
      </c>
      <c r="J2963" s="1" t="s">
        <v>8949</v>
      </c>
      <c r="K2963" s="1" t="s">
        <v>8972</v>
      </c>
      <c r="L2963" s="1" t="s">
        <v>8973</v>
      </c>
      <c r="M2963" s="1">
        <v>105</v>
      </c>
      <c r="N2963" s="1" t="s">
        <v>9059</v>
      </c>
      <c r="O2963" s="1" t="s">
        <v>8989</v>
      </c>
      <c r="P2963" s="1" t="s">
        <v>8955</v>
      </c>
      <c r="Q2963" s="1" t="s">
        <v>8956</v>
      </c>
      <c r="R2963" s="1" t="s">
        <v>8957</v>
      </c>
      <c r="S2963" s="1" t="s">
        <v>9103</v>
      </c>
      <c r="T2963" s="1" t="s">
        <v>7817</v>
      </c>
      <c r="U2963" s="1" t="s">
        <v>11</v>
      </c>
      <c r="V2963" s="1" t="s">
        <v>392</v>
      </c>
      <c r="W2963" s="1"/>
    </row>
    <row r="2964" spans="1:23" x14ac:dyDescent="0.2">
      <c r="A2964" s="88" t="s">
        <v>18087</v>
      </c>
      <c r="B2964" s="1" t="e">
        <v>#N/A</v>
      </c>
      <c r="C2964" s="1" t="e">
        <v>#N/A</v>
      </c>
      <c r="D2964" s="1" t="s">
        <v>7818</v>
      </c>
      <c r="E2964" s="1" t="s">
        <v>7819</v>
      </c>
      <c r="F2964" s="1" t="s">
        <v>9317</v>
      </c>
      <c r="G2964" s="1" t="s">
        <v>21094</v>
      </c>
      <c r="H2964" t="s">
        <v>9061</v>
      </c>
      <c r="I2964" s="1" t="s">
        <v>9605</v>
      </c>
      <c r="J2964" s="1" t="s">
        <v>8949</v>
      </c>
      <c r="K2964" s="1" t="s">
        <v>10492</v>
      </c>
      <c r="L2964" s="1" t="s">
        <v>8973</v>
      </c>
      <c r="M2964" s="1">
        <v>2267750</v>
      </c>
      <c r="N2964" s="1" t="s">
        <v>8953</v>
      </c>
      <c r="O2964" s="1" t="s">
        <v>8989</v>
      </c>
      <c r="P2964" s="1" t="e">
        <v>#N/A</v>
      </c>
      <c r="Q2964" s="1" t="e">
        <v>#N/A</v>
      </c>
      <c r="R2964" s="1">
        <f t="shared" ref="R2964:R2977" si="874">1+LEN(T2964)-LEN(SUBSTITUTE(T2964,",",))</f>
        <v>4</v>
      </c>
      <c r="S2964" s="1" t="str">
        <f t="shared" ref="S2964:S2977" si="875">IF(R2964&gt;4,IF(R2964&lt;8,"4-7",IF(R2964&gt;7,"&gt;7")),"&lt;4")</f>
        <v>&lt;4</v>
      </c>
      <c r="T2964" s="1" t="s">
        <v>20246</v>
      </c>
      <c r="U2964" s="1" t="s">
        <v>17</v>
      </c>
      <c r="V2964" s="1" t="s">
        <v>126</v>
      </c>
      <c r="W2964" s="1"/>
    </row>
    <row r="2965" spans="1:23" x14ac:dyDescent="0.2">
      <c r="A2965" s="88" t="s">
        <v>18088</v>
      </c>
      <c r="B2965" s="1" t="e">
        <v>#N/A</v>
      </c>
      <c r="C2965" s="1" t="e">
        <v>#N/A</v>
      </c>
      <c r="D2965" s="1" t="s">
        <v>7820</v>
      </c>
      <c r="E2965" s="1" t="s">
        <v>7821</v>
      </c>
      <c r="F2965" s="1" t="s">
        <v>18502</v>
      </c>
      <c r="G2965" s="1" t="s">
        <v>8974</v>
      </c>
      <c r="H2965" t="s">
        <v>8959</v>
      </c>
      <c r="I2965" s="1" t="s">
        <v>9252</v>
      </c>
      <c r="J2965" s="1" t="s">
        <v>18504</v>
      </c>
      <c r="K2965" s="1" t="s">
        <v>21095</v>
      </c>
      <c r="L2965" s="1" t="s">
        <v>8951</v>
      </c>
      <c r="M2965" s="1">
        <v>499</v>
      </c>
      <c r="N2965" s="1" t="s">
        <v>9059</v>
      </c>
      <c r="O2965" s="1" t="s">
        <v>8989</v>
      </c>
      <c r="P2965" s="1" t="e">
        <v>#N/A</v>
      </c>
      <c r="Q2965" s="1" t="e">
        <v>#N/A</v>
      </c>
      <c r="R2965" s="1">
        <f t="shared" si="874"/>
        <v>8</v>
      </c>
      <c r="S2965" s="1" t="str">
        <f t="shared" si="875"/>
        <v>&gt;7</v>
      </c>
      <c r="T2965" s="1" t="s">
        <v>20247</v>
      </c>
      <c r="U2965" s="1" t="s">
        <v>17</v>
      </c>
      <c r="V2965" s="1" t="s">
        <v>87</v>
      </c>
      <c r="W2965" s="1"/>
    </row>
    <row r="2966" spans="1:23" x14ac:dyDescent="0.2">
      <c r="A2966" s="89" t="s">
        <v>18089</v>
      </c>
      <c r="B2966" s="1" t="e">
        <v>#N/A</v>
      </c>
      <c r="C2966" s="1" t="e">
        <v>#N/A</v>
      </c>
      <c r="D2966" s="1" t="s">
        <v>7822</v>
      </c>
      <c r="E2966" s="1" t="s">
        <v>7823</v>
      </c>
      <c r="F2966" s="1" t="e">
        <v>#N/A</v>
      </c>
      <c r="G2966" s="1" t="e">
        <v>#N/A</v>
      </c>
      <c r="H2966" t="e">
        <v>#N/A</v>
      </c>
      <c r="I2966" s="1" t="e">
        <v>#N/A</v>
      </c>
      <c r="J2966" s="1" t="e">
        <v>#N/A</v>
      </c>
      <c r="K2966" s="1" t="e">
        <v>#N/A</v>
      </c>
      <c r="L2966" s="1" t="e">
        <v>#N/A</v>
      </c>
      <c r="M2966" s="1" t="e">
        <v>#N/A</v>
      </c>
      <c r="N2966" s="1" t="e">
        <v>#N/A</v>
      </c>
      <c r="O2966" s="1" t="e">
        <v>#N/A</v>
      </c>
      <c r="P2966" s="1" t="e">
        <v>#N/A</v>
      </c>
      <c r="Q2966" s="1" t="e">
        <v>#N/A</v>
      </c>
      <c r="R2966" s="1">
        <f t="shared" si="874"/>
        <v>1</v>
      </c>
      <c r="S2966" s="1" t="str">
        <f t="shared" si="875"/>
        <v>&lt;4</v>
      </c>
      <c r="U2966" s="1" t="s">
        <v>11</v>
      </c>
      <c r="V2966" s="1" t="s">
        <v>2782</v>
      </c>
      <c r="W2966" s="1"/>
    </row>
    <row r="2967" spans="1:23" x14ac:dyDescent="0.2">
      <c r="A2967" s="88" t="s">
        <v>18090</v>
      </c>
      <c r="B2967" s="1" t="e">
        <v>#N/A</v>
      </c>
      <c r="C2967" s="1" t="e">
        <v>#N/A</v>
      </c>
      <c r="D2967" s="1" t="s">
        <v>7824</v>
      </c>
      <c r="E2967" s="1" t="s">
        <v>7825</v>
      </c>
      <c r="F2967" s="1" t="s">
        <v>18502</v>
      </c>
      <c r="G2967" s="1" t="s">
        <v>8957</v>
      </c>
      <c r="H2967" t="s">
        <v>9009</v>
      </c>
      <c r="I2967" s="1" t="s">
        <v>8948</v>
      </c>
      <c r="J2967" s="1" t="s">
        <v>8949</v>
      </c>
      <c r="K2967" s="1" t="s">
        <v>21101</v>
      </c>
      <c r="L2967" s="1" t="s">
        <v>8973</v>
      </c>
      <c r="M2967" s="1">
        <v>5100</v>
      </c>
      <c r="N2967" s="1" t="s">
        <v>8953</v>
      </c>
      <c r="O2967" s="1" t="s">
        <v>8989</v>
      </c>
      <c r="P2967" s="1" t="e">
        <v>#N/A</v>
      </c>
      <c r="Q2967" s="1" t="e">
        <v>#N/A</v>
      </c>
      <c r="R2967" s="1">
        <f t="shared" si="874"/>
        <v>10</v>
      </c>
      <c r="S2967" s="1" t="str">
        <f t="shared" si="875"/>
        <v>&gt;7</v>
      </c>
      <c r="T2967" s="1" t="s">
        <v>20248</v>
      </c>
      <c r="U2967" s="1" t="s">
        <v>17</v>
      </c>
      <c r="V2967" s="1" t="s">
        <v>24</v>
      </c>
      <c r="W2967" s="1"/>
    </row>
    <row r="2968" spans="1:23" x14ac:dyDescent="0.2">
      <c r="A2968" s="88" t="s">
        <v>18091</v>
      </c>
      <c r="B2968" s="1" t="e">
        <v>#N/A</v>
      </c>
      <c r="C2968" s="1" t="e">
        <v>#N/A</v>
      </c>
      <c r="D2968" s="1" t="s">
        <v>7826</v>
      </c>
      <c r="E2968" s="1" t="s">
        <v>7827</v>
      </c>
      <c r="F2968" s="1" t="s">
        <v>10850</v>
      </c>
      <c r="G2968" s="1" t="s">
        <v>8957</v>
      </c>
      <c r="H2968" t="s">
        <v>8959</v>
      </c>
      <c r="I2968" s="1" t="s">
        <v>9100</v>
      </c>
      <c r="J2968" s="1" t="s">
        <v>8949</v>
      </c>
      <c r="K2968" s="1" t="s">
        <v>21090</v>
      </c>
      <c r="L2968" s="1" t="s">
        <v>9133</v>
      </c>
      <c r="M2968" s="1">
        <v>3089</v>
      </c>
      <c r="N2968" s="1" t="s">
        <v>9059</v>
      </c>
      <c r="O2968" s="1" t="s">
        <v>8954</v>
      </c>
      <c r="P2968" s="1" t="e">
        <v>#N/A</v>
      </c>
      <c r="Q2968" s="1" t="e">
        <v>#N/A</v>
      </c>
      <c r="R2968" s="1">
        <f t="shared" si="874"/>
        <v>6</v>
      </c>
      <c r="S2968" s="1" t="str">
        <f t="shared" si="875"/>
        <v>4-7</v>
      </c>
      <c r="T2968" s="1" t="s">
        <v>20249</v>
      </c>
      <c r="U2968" s="1" t="s">
        <v>17</v>
      </c>
      <c r="V2968" s="1" t="s">
        <v>57</v>
      </c>
      <c r="W2968" s="1"/>
    </row>
    <row r="2969" spans="1:23" x14ac:dyDescent="0.2">
      <c r="A2969" s="88" t="s">
        <v>18092</v>
      </c>
      <c r="B2969" s="1" t="e">
        <v>#N/A</v>
      </c>
      <c r="C2969" s="1" t="e">
        <v>#N/A</v>
      </c>
      <c r="D2969" s="1" t="s">
        <v>7828</v>
      </c>
      <c r="E2969" s="1" t="s">
        <v>7829</v>
      </c>
      <c r="F2969" s="1" t="s">
        <v>9246</v>
      </c>
      <c r="G2969" s="1" t="s">
        <v>8957</v>
      </c>
      <c r="H2969" t="s">
        <v>9061</v>
      </c>
      <c r="I2969" s="1" t="s">
        <v>9100</v>
      </c>
      <c r="J2969" s="1" t="s">
        <v>8949</v>
      </c>
      <c r="K2969" s="1" t="s">
        <v>21090</v>
      </c>
      <c r="L2969" s="1" t="s">
        <v>8973</v>
      </c>
      <c r="M2969" s="1">
        <v>19</v>
      </c>
      <c r="N2969" s="1" t="s">
        <v>9059</v>
      </c>
      <c r="O2969" s="1" t="s">
        <v>8989</v>
      </c>
      <c r="P2969" s="1" t="e">
        <v>#N/A</v>
      </c>
      <c r="Q2969" s="1" t="e">
        <v>#N/A</v>
      </c>
      <c r="R2969" s="1">
        <f t="shared" si="874"/>
        <v>7</v>
      </c>
      <c r="S2969" s="1" t="str">
        <f t="shared" si="875"/>
        <v>4-7</v>
      </c>
      <c r="T2969" s="1" t="s">
        <v>20250</v>
      </c>
      <c r="U2969" s="1" t="s">
        <v>17</v>
      </c>
      <c r="V2969" s="1" t="s">
        <v>57</v>
      </c>
      <c r="W2969" s="1"/>
    </row>
    <row r="2970" spans="1:23" x14ac:dyDescent="0.2">
      <c r="A2970" s="88" t="s">
        <v>18093</v>
      </c>
      <c r="B2970" s="1" t="e">
        <v>#N/A</v>
      </c>
      <c r="C2970" s="1" t="e">
        <v>#N/A</v>
      </c>
      <c r="D2970" s="1" t="s">
        <v>7830</v>
      </c>
      <c r="E2970" s="1" t="s">
        <v>7831</v>
      </c>
      <c r="F2970" s="1" t="s">
        <v>9310</v>
      </c>
      <c r="G2970" s="1" t="s">
        <v>8957</v>
      </c>
      <c r="H2970" t="s">
        <v>9061</v>
      </c>
      <c r="I2970" s="1" t="s">
        <v>9100</v>
      </c>
      <c r="J2970" s="1" t="s">
        <v>8949</v>
      </c>
      <c r="K2970" s="1" t="s">
        <v>10492</v>
      </c>
      <c r="L2970" s="1" t="s">
        <v>21102</v>
      </c>
      <c r="M2970" s="1">
        <v>209</v>
      </c>
      <c r="N2970" s="1" t="s">
        <v>9059</v>
      </c>
      <c r="O2970" s="1" t="s">
        <v>8954</v>
      </c>
      <c r="P2970" s="1" t="e">
        <v>#N/A</v>
      </c>
      <c r="Q2970" s="1" t="e">
        <v>#N/A</v>
      </c>
      <c r="R2970" s="1">
        <f t="shared" si="874"/>
        <v>7</v>
      </c>
      <c r="S2970" s="1" t="str">
        <f t="shared" si="875"/>
        <v>4-7</v>
      </c>
      <c r="T2970" s="1" t="s">
        <v>20251</v>
      </c>
      <c r="U2970" s="1" t="s">
        <v>17</v>
      </c>
      <c r="V2970" s="1" t="s">
        <v>392</v>
      </c>
      <c r="W2970" s="1"/>
    </row>
    <row r="2971" spans="1:23" x14ac:dyDescent="0.2">
      <c r="A2971" s="88" t="s">
        <v>18094</v>
      </c>
      <c r="B2971" s="1" t="e">
        <v>#N/A</v>
      </c>
      <c r="C2971" s="1" t="e">
        <v>#N/A</v>
      </c>
      <c r="D2971" s="1" t="s">
        <v>7832</v>
      </c>
      <c r="E2971" s="1" t="s">
        <v>7833</v>
      </c>
      <c r="F2971" s="1" t="s">
        <v>18502</v>
      </c>
      <c r="G2971" s="1" t="s">
        <v>9060</v>
      </c>
      <c r="H2971" t="s">
        <v>8959</v>
      </c>
      <c r="I2971" s="1" t="s">
        <v>8984</v>
      </c>
      <c r="J2971" s="1" t="s">
        <v>9422</v>
      </c>
      <c r="K2971" s="1" t="s">
        <v>18497</v>
      </c>
      <c r="L2971" s="1" t="s">
        <v>8987</v>
      </c>
      <c r="M2971" s="1">
        <f>326+157+25+238</f>
        <v>746</v>
      </c>
      <c r="N2971" s="1" t="s">
        <v>8953</v>
      </c>
      <c r="O2971" s="1" t="s">
        <v>8954</v>
      </c>
      <c r="P2971" s="1" t="e">
        <v>#N/A</v>
      </c>
      <c r="Q2971" s="1" t="e">
        <v>#N/A</v>
      </c>
      <c r="R2971" s="1">
        <f t="shared" si="874"/>
        <v>13</v>
      </c>
      <c r="S2971" s="1" t="str">
        <f t="shared" si="875"/>
        <v>&gt;7</v>
      </c>
      <c r="T2971" s="1" t="s">
        <v>20252</v>
      </c>
      <c r="U2971" s="1" t="s">
        <v>7</v>
      </c>
      <c r="V2971" s="1" t="s">
        <v>1918</v>
      </c>
      <c r="W2971" s="1"/>
    </row>
    <row r="2972" spans="1:23" x14ac:dyDescent="0.2">
      <c r="A2972" s="89" t="s">
        <v>7834</v>
      </c>
      <c r="B2972" s="1" t="e">
        <v>#N/A</v>
      </c>
      <c r="C2972" s="1" t="e">
        <v>#N/A</v>
      </c>
      <c r="D2972" s="1" t="s">
        <v>7835</v>
      </c>
      <c r="E2972" s="1" t="s">
        <v>7836</v>
      </c>
      <c r="F2972" s="1" t="e">
        <v>#N/A</v>
      </c>
      <c r="G2972" s="1" t="e">
        <v>#N/A</v>
      </c>
      <c r="H2972" t="e">
        <v>#N/A</v>
      </c>
      <c r="I2972" s="1" t="e">
        <v>#N/A</v>
      </c>
      <c r="J2972" s="1" t="e">
        <v>#N/A</v>
      </c>
      <c r="K2972" s="1" t="e">
        <v>#N/A</v>
      </c>
      <c r="L2972" s="1" t="e">
        <v>#N/A</v>
      </c>
      <c r="M2972" s="1" t="e">
        <v>#N/A</v>
      </c>
      <c r="N2972" s="1" t="e">
        <v>#N/A</v>
      </c>
      <c r="O2972" s="1" t="e">
        <v>#N/A</v>
      </c>
      <c r="P2972" s="1" t="e">
        <v>#N/A</v>
      </c>
      <c r="Q2972" s="1" t="e">
        <v>#N/A</v>
      </c>
      <c r="R2972" s="1">
        <f t="shared" si="874"/>
        <v>2</v>
      </c>
      <c r="S2972" s="1" t="str">
        <f t="shared" si="875"/>
        <v>&lt;4</v>
      </c>
      <c r="T2972" s="1" t="s">
        <v>20253</v>
      </c>
      <c r="U2972" s="1" t="s">
        <v>252</v>
      </c>
      <c r="V2972" s="1" t="s">
        <v>1519</v>
      </c>
      <c r="W2972" s="1"/>
    </row>
    <row r="2973" spans="1:23" x14ac:dyDescent="0.2">
      <c r="A2973" s="89" t="s">
        <v>7837</v>
      </c>
      <c r="B2973" s="1" t="e">
        <v>#N/A</v>
      </c>
      <c r="C2973" s="1" t="e">
        <v>#N/A</v>
      </c>
      <c r="D2973" s="1" t="s">
        <v>7838</v>
      </c>
      <c r="E2973" s="1" t="s">
        <v>7839</v>
      </c>
      <c r="F2973" s="1" t="e">
        <v>#N/A</v>
      </c>
      <c r="G2973" s="1" t="e">
        <v>#N/A</v>
      </c>
      <c r="H2973" t="e">
        <v>#N/A</v>
      </c>
      <c r="I2973" s="1" t="e">
        <v>#N/A</v>
      </c>
      <c r="J2973" s="1" t="e">
        <v>#N/A</v>
      </c>
      <c r="K2973" s="1" t="e">
        <v>#N/A</v>
      </c>
      <c r="L2973" s="1" t="e">
        <v>#N/A</v>
      </c>
      <c r="M2973" s="1" t="e">
        <v>#N/A</v>
      </c>
      <c r="N2973" s="1" t="e">
        <v>#N/A</v>
      </c>
      <c r="O2973" s="1" t="e">
        <v>#N/A</v>
      </c>
      <c r="P2973" s="1" t="e">
        <v>#N/A</v>
      </c>
      <c r="Q2973" s="1" t="e">
        <v>#N/A</v>
      </c>
      <c r="R2973" s="1">
        <f t="shared" si="874"/>
        <v>4</v>
      </c>
      <c r="S2973" s="1" t="str">
        <f t="shared" si="875"/>
        <v>&lt;4</v>
      </c>
      <c r="T2973" s="1" t="s">
        <v>20254</v>
      </c>
      <c r="U2973" s="1" t="s">
        <v>17</v>
      </c>
      <c r="V2973" s="1" t="s">
        <v>5554</v>
      </c>
      <c r="W2973" s="1"/>
    </row>
    <row r="2974" spans="1:23" x14ac:dyDescent="0.2">
      <c r="A2974" s="88" t="s">
        <v>18095</v>
      </c>
      <c r="B2974" s="1" t="e">
        <v>#N/A</v>
      </c>
      <c r="C2974" s="1" t="e">
        <v>#N/A</v>
      </c>
      <c r="D2974" s="1" t="s">
        <v>7840</v>
      </c>
      <c r="E2974" s="1" t="s">
        <v>7841</v>
      </c>
      <c r="F2974" s="1" t="s">
        <v>9310</v>
      </c>
      <c r="G2974" s="1" t="s">
        <v>8959</v>
      </c>
      <c r="H2974" t="s">
        <v>9061</v>
      </c>
      <c r="I2974" s="1" t="s">
        <v>9075</v>
      </c>
      <c r="J2974" s="1" t="s">
        <v>8971</v>
      </c>
      <c r="K2974" s="1" t="s">
        <v>10525</v>
      </c>
      <c r="L2974" s="1" t="s">
        <v>21105</v>
      </c>
      <c r="M2974" s="1">
        <v>5244</v>
      </c>
      <c r="N2974" s="1" t="s">
        <v>8953</v>
      </c>
      <c r="O2974" s="1" t="s">
        <v>8989</v>
      </c>
      <c r="P2974" s="1" t="e">
        <v>#N/A</v>
      </c>
      <c r="Q2974" s="1" t="e">
        <v>#N/A</v>
      </c>
      <c r="R2974" s="1">
        <f t="shared" si="874"/>
        <v>3</v>
      </c>
      <c r="S2974" s="1" t="str">
        <f t="shared" si="875"/>
        <v>&lt;4</v>
      </c>
      <c r="T2974" s="1" t="s">
        <v>20255</v>
      </c>
      <c r="U2974" s="1" t="s">
        <v>17</v>
      </c>
      <c r="V2974" s="1" t="s">
        <v>97</v>
      </c>
      <c r="W2974" s="1"/>
    </row>
    <row r="2975" spans="1:23" x14ac:dyDescent="0.2">
      <c r="A2975" s="88" t="s">
        <v>18096</v>
      </c>
      <c r="B2975" s="1" t="e">
        <v>#N/A</v>
      </c>
      <c r="C2975" s="1" t="e">
        <v>#N/A</v>
      </c>
      <c r="D2975" s="1" t="s">
        <v>7842</v>
      </c>
      <c r="E2975" s="1" t="s">
        <v>7843</v>
      </c>
      <c r="F2975" s="1" t="s">
        <v>10032</v>
      </c>
      <c r="G2975" s="1" t="s">
        <v>8957</v>
      </c>
      <c r="H2975" t="s">
        <v>8959</v>
      </c>
      <c r="I2975" s="1" t="s">
        <v>9100</v>
      </c>
      <c r="J2975" s="1" t="s">
        <v>9155</v>
      </c>
      <c r="K2975" s="1" t="s">
        <v>21449</v>
      </c>
      <c r="L2975" s="1" t="s">
        <v>9076</v>
      </c>
      <c r="M2975" s="1">
        <v>18</v>
      </c>
      <c r="N2975" s="1" t="s">
        <v>9059</v>
      </c>
      <c r="O2975" s="1" t="s">
        <v>8989</v>
      </c>
      <c r="P2975" s="1" t="e">
        <v>#N/A</v>
      </c>
      <c r="Q2975" s="1" t="e">
        <v>#N/A</v>
      </c>
      <c r="R2975" s="1">
        <f t="shared" si="874"/>
        <v>8</v>
      </c>
      <c r="S2975" s="1" t="str">
        <f t="shared" si="875"/>
        <v>&gt;7</v>
      </c>
      <c r="T2975" s="1" t="s">
        <v>20256</v>
      </c>
      <c r="U2975" s="1" t="s">
        <v>7</v>
      </c>
      <c r="V2975" s="1" t="s">
        <v>392</v>
      </c>
      <c r="W2975" s="1"/>
    </row>
    <row r="2976" spans="1:23" x14ac:dyDescent="0.2">
      <c r="A2976" s="88" t="s">
        <v>18097</v>
      </c>
      <c r="B2976" s="1" t="e">
        <v>#N/A</v>
      </c>
      <c r="C2976" s="1" t="e">
        <v>#N/A</v>
      </c>
      <c r="D2976" s="1" t="s">
        <v>7844</v>
      </c>
      <c r="E2976" s="1" t="s">
        <v>7845</v>
      </c>
      <c r="F2976" s="1" t="s">
        <v>9310</v>
      </c>
      <c r="G2976" s="1" t="s">
        <v>8957</v>
      </c>
      <c r="H2976" t="s">
        <v>9061</v>
      </c>
      <c r="I2976" s="1" t="s">
        <v>9943</v>
      </c>
      <c r="J2976" s="1" t="s">
        <v>8971</v>
      </c>
      <c r="K2976" s="1" t="s">
        <v>21300</v>
      </c>
      <c r="L2976" s="1" t="s">
        <v>8987</v>
      </c>
      <c r="M2976" s="1">
        <v>26541</v>
      </c>
      <c r="N2976" s="1" t="s">
        <v>8953</v>
      </c>
      <c r="O2976" s="1" t="s">
        <v>8954</v>
      </c>
      <c r="P2976" s="1" t="e">
        <v>#N/A</v>
      </c>
      <c r="Q2976" s="1" t="e">
        <v>#N/A</v>
      </c>
      <c r="R2976" s="1">
        <f t="shared" si="874"/>
        <v>10</v>
      </c>
      <c r="S2976" s="1" t="str">
        <f t="shared" si="875"/>
        <v>&gt;7</v>
      </c>
      <c r="T2976" s="1" t="s">
        <v>20257</v>
      </c>
      <c r="U2976" s="1" t="s">
        <v>7</v>
      </c>
      <c r="V2976" s="1" t="s">
        <v>7846</v>
      </c>
      <c r="W2976" s="1"/>
    </row>
    <row r="2977" spans="1:23" x14ac:dyDescent="0.2">
      <c r="A2977" s="88" t="s">
        <v>18098</v>
      </c>
      <c r="B2977" s="1" t="e">
        <v>#N/A</v>
      </c>
      <c r="C2977" s="1" t="e">
        <v>#N/A</v>
      </c>
      <c r="D2977" s="1" t="s">
        <v>7847</v>
      </c>
      <c r="E2977" s="1" t="s">
        <v>7848</v>
      </c>
      <c r="F2977" s="1" t="s">
        <v>10850</v>
      </c>
      <c r="G2977" s="1" t="s">
        <v>8957</v>
      </c>
      <c r="H2977" t="s">
        <v>8959</v>
      </c>
      <c r="I2977" s="1" t="s">
        <v>9035</v>
      </c>
      <c r="J2977" s="1" t="s">
        <v>8959</v>
      </c>
      <c r="K2977" s="1" t="s">
        <v>10492</v>
      </c>
      <c r="L2977" s="1" t="s">
        <v>9076</v>
      </c>
      <c r="M2977" s="1">
        <v>800</v>
      </c>
      <c r="N2977" s="1" t="s">
        <v>8953</v>
      </c>
      <c r="O2977" s="1" t="s">
        <v>8989</v>
      </c>
      <c r="P2977" s="1" t="e">
        <v>#N/A</v>
      </c>
      <c r="Q2977" s="1" t="e">
        <v>#N/A</v>
      </c>
      <c r="R2977" s="1">
        <f t="shared" si="874"/>
        <v>3</v>
      </c>
      <c r="S2977" s="1" t="str">
        <f t="shared" si="875"/>
        <v>&lt;4</v>
      </c>
      <c r="T2977" s="1" t="s">
        <v>20258</v>
      </c>
      <c r="U2977" s="1" t="s">
        <v>17</v>
      </c>
      <c r="V2977" s="1" t="s">
        <v>1076</v>
      </c>
      <c r="W2977" s="1"/>
    </row>
    <row r="2978" spans="1:23" x14ac:dyDescent="0.2">
      <c r="A2978" s="88" t="s">
        <v>18099</v>
      </c>
      <c r="B2978" s="1" t="e">
        <v>#N/A</v>
      </c>
      <c r="C2978" s="1" t="s">
        <v>14712</v>
      </c>
      <c r="D2978" s="1" t="s">
        <v>7849</v>
      </c>
      <c r="E2978" s="1" t="s">
        <v>7850</v>
      </c>
      <c r="F2978" s="1" t="s">
        <v>9310</v>
      </c>
      <c r="G2978" s="1" t="s">
        <v>8957</v>
      </c>
      <c r="H2978" t="s">
        <v>9009</v>
      </c>
      <c r="I2978" s="1" t="s">
        <v>9075</v>
      </c>
      <c r="J2978" s="1" t="s">
        <v>8998</v>
      </c>
      <c r="K2978" s="1" t="s">
        <v>21404</v>
      </c>
      <c r="L2978" s="1" t="s">
        <v>9076</v>
      </c>
      <c r="M2978" s="1">
        <v>10</v>
      </c>
      <c r="N2978" s="1" t="s">
        <v>9059</v>
      </c>
      <c r="O2978" s="1" t="s">
        <v>8989</v>
      </c>
      <c r="P2978" s="1" t="s">
        <v>8955</v>
      </c>
      <c r="Q2978" s="1" t="s">
        <v>8990</v>
      </c>
      <c r="R2978" s="1" t="s">
        <v>8957</v>
      </c>
      <c r="S2978" s="1" t="s">
        <v>8975</v>
      </c>
      <c r="T2978" s="1"/>
      <c r="U2978" s="1"/>
      <c r="V2978" s="1"/>
      <c r="W2978" s="1"/>
    </row>
    <row r="2979" spans="1:23" x14ac:dyDescent="0.2">
      <c r="A2979" s="88" t="s">
        <v>18100</v>
      </c>
      <c r="B2979" s="1" t="e">
        <v>#N/A</v>
      </c>
      <c r="C2979" s="1" t="s">
        <v>10765</v>
      </c>
      <c r="D2979" s="1" t="s">
        <v>7851</v>
      </c>
      <c r="E2979" s="1" t="s">
        <v>7852</v>
      </c>
      <c r="F2979" s="1" t="s">
        <v>9317</v>
      </c>
      <c r="G2979" s="1" t="s">
        <v>9060</v>
      </c>
      <c r="H2979" t="s">
        <v>8959</v>
      </c>
      <c r="I2979" s="1" t="s">
        <v>9605</v>
      </c>
      <c r="J2979" s="1" t="s">
        <v>9101</v>
      </c>
      <c r="K2979" s="1" t="s">
        <v>8972</v>
      </c>
      <c r="L2979" s="1" t="s">
        <v>9464</v>
      </c>
      <c r="M2979" s="1">
        <v>1700</v>
      </c>
      <c r="N2979" s="1" t="s">
        <v>8953</v>
      </c>
      <c r="O2979" s="1" t="s">
        <v>8954</v>
      </c>
      <c r="P2979" s="1" t="s">
        <v>8955</v>
      </c>
      <c r="Q2979" s="1" t="s">
        <v>8956</v>
      </c>
      <c r="R2979" s="1" t="s">
        <v>9060</v>
      </c>
      <c r="S2979" s="1" t="s">
        <v>8975</v>
      </c>
      <c r="T2979" s="1" t="s">
        <v>7853</v>
      </c>
      <c r="U2979" s="1" t="s">
        <v>11</v>
      </c>
      <c r="V2979" s="1" t="s">
        <v>700</v>
      </c>
      <c r="W2979" s="1"/>
    </row>
    <row r="2980" spans="1:23" x14ac:dyDescent="0.2">
      <c r="A2980" s="88" t="s">
        <v>18101</v>
      </c>
      <c r="B2980" s="1" t="e">
        <v>#N/A</v>
      </c>
      <c r="C2980" s="1" t="e">
        <v>#N/A</v>
      </c>
      <c r="D2980" s="1" t="s">
        <v>7854</v>
      </c>
      <c r="E2980" s="1" t="s">
        <v>7855</v>
      </c>
      <c r="F2980" s="1" t="s">
        <v>9465</v>
      </c>
      <c r="G2980" s="1" t="s">
        <v>8959</v>
      </c>
      <c r="H2980" t="s">
        <v>9061</v>
      </c>
      <c r="I2980" s="1" t="s">
        <v>9035</v>
      </c>
      <c r="J2980" s="1" t="s">
        <v>8998</v>
      </c>
      <c r="K2980" s="1" t="s">
        <v>18497</v>
      </c>
      <c r="L2980" s="1" t="s">
        <v>8951</v>
      </c>
      <c r="M2980" s="1">
        <f>11455+511</f>
        <v>11966</v>
      </c>
      <c r="N2980" s="1" t="s">
        <v>9059</v>
      </c>
      <c r="O2980" s="1" t="s">
        <v>8954</v>
      </c>
      <c r="P2980" s="1" t="e">
        <v>#N/A</v>
      </c>
      <c r="Q2980" s="1" t="e">
        <v>#N/A</v>
      </c>
      <c r="R2980" s="1">
        <f t="shared" ref="R2980:R2981" si="876">1+LEN(T2980)-LEN(SUBSTITUTE(T2980,",",))</f>
        <v>8</v>
      </c>
      <c r="S2980" s="1" t="str">
        <f t="shared" ref="S2980:S2981" si="877">IF(R2980&gt;4,IF(R2980&lt;8,"4-7",IF(R2980&gt;7,"&gt;7")),"&lt;4")</f>
        <v>&gt;7</v>
      </c>
      <c r="T2980" s="1" t="s">
        <v>20259</v>
      </c>
      <c r="U2980" s="1" t="s">
        <v>7</v>
      </c>
      <c r="V2980" s="1" t="s">
        <v>138</v>
      </c>
      <c r="W2980" s="1"/>
    </row>
    <row r="2981" spans="1:23" x14ac:dyDescent="0.2">
      <c r="A2981" s="88" t="s">
        <v>18102</v>
      </c>
      <c r="B2981" s="1" t="e">
        <v>#N/A</v>
      </c>
      <c r="C2981" s="1" t="e">
        <v>#N/A</v>
      </c>
      <c r="D2981" s="1" t="s">
        <v>7856</v>
      </c>
      <c r="E2981" s="1" t="s">
        <v>7857</v>
      </c>
      <c r="F2981" s="1" t="s">
        <v>9380</v>
      </c>
      <c r="G2981" s="1" t="s">
        <v>8957</v>
      </c>
      <c r="H2981" t="s">
        <v>8959</v>
      </c>
      <c r="I2981" s="1" t="s">
        <v>8948</v>
      </c>
      <c r="J2981" s="1" t="s">
        <v>8998</v>
      </c>
      <c r="K2981" s="1" t="s">
        <v>21104</v>
      </c>
      <c r="L2981" s="1" t="s">
        <v>8951</v>
      </c>
      <c r="M2981" s="1">
        <v>190</v>
      </c>
      <c r="N2981" s="1" t="s">
        <v>9059</v>
      </c>
      <c r="O2981" s="1" t="s">
        <v>8989</v>
      </c>
      <c r="P2981" s="1" t="e">
        <v>#N/A</v>
      </c>
      <c r="Q2981" s="1" t="e">
        <v>#N/A</v>
      </c>
      <c r="R2981" s="1">
        <f t="shared" si="876"/>
        <v>11</v>
      </c>
      <c r="S2981" s="1" t="str">
        <f t="shared" si="877"/>
        <v>&gt;7</v>
      </c>
      <c r="T2981" s="1" t="s">
        <v>20260</v>
      </c>
      <c r="U2981" s="1" t="s">
        <v>7</v>
      </c>
      <c r="V2981" s="1" t="s">
        <v>2434</v>
      </c>
      <c r="W2981" s="1"/>
    </row>
    <row r="2982" spans="1:23" x14ac:dyDescent="0.2">
      <c r="A2982" s="88" t="s">
        <v>18103</v>
      </c>
      <c r="B2982" s="1" t="e">
        <v>#N/A</v>
      </c>
      <c r="C2982" s="1" t="s">
        <v>11654</v>
      </c>
      <c r="D2982" s="1" t="s">
        <v>7858</v>
      </c>
      <c r="E2982" s="1" t="s">
        <v>7859</v>
      </c>
      <c r="F2982" s="1" t="s">
        <v>9010</v>
      </c>
      <c r="G2982" s="1" t="s">
        <v>8957</v>
      </c>
      <c r="H2982" t="s">
        <v>8959</v>
      </c>
      <c r="I2982" s="1" t="s">
        <v>9605</v>
      </c>
      <c r="J2982" s="1" t="s">
        <v>9121</v>
      </c>
      <c r="K2982" s="1" t="s">
        <v>10178</v>
      </c>
      <c r="L2982" s="1" t="s">
        <v>9464</v>
      </c>
      <c r="M2982" s="1">
        <v>34</v>
      </c>
      <c r="N2982" s="1" t="s">
        <v>11658</v>
      </c>
      <c r="O2982" s="1" t="s">
        <v>8954</v>
      </c>
      <c r="P2982" s="1" t="s">
        <v>8955</v>
      </c>
      <c r="Q2982" s="1" t="s">
        <v>8956</v>
      </c>
      <c r="R2982" s="1" t="s">
        <v>8957</v>
      </c>
      <c r="S2982" s="1" t="s">
        <v>9103</v>
      </c>
      <c r="T2982" s="1" t="s">
        <v>7860</v>
      </c>
      <c r="U2982" s="1" t="s">
        <v>17</v>
      </c>
      <c r="V2982" s="1" t="s">
        <v>625</v>
      </c>
      <c r="W2982" s="1"/>
    </row>
    <row r="2983" spans="1:23" x14ac:dyDescent="0.2">
      <c r="A2983" s="88" t="s">
        <v>18104</v>
      </c>
      <c r="B2983" s="1" t="e">
        <v>#N/A</v>
      </c>
      <c r="C2983" s="1" t="s">
        <v>12550</v>
      </c>
      <c r="D2983" s="1" t="s">
        <v>7861</v>
      </c>
      <c r="E2983" s="1" t="s">
        <v>7862</v>
      </c>
      <c r="F2983" s="1" t="s">
        <v>9010</v>
      </c>
      <c r="G2983" s="1" t="s">
        <v>8957</v>
      </c>
      <c r="H2983" t="s">
        <v>8959</v>
      </c>
      <c r="I2983" s="1" t="s">
        <v>8948</v>
      </c>
      <c r="J2983" s="1" t="s">
        <v>8949</v>
      </c>
      <c r="K2983" s="1" t="s">
        <v>9937</v>
      </c>
      <c r="L2983" s="1" t="s">
        <v>8951</v>
      </c>
      <c r="M2983" s="1" t="s">
        <v>12553</v>
      </c>
      <c r="N2983" s="1" t="s">
        <v>8953</v>
      </c>
      <c r="O2983" s="1" t="s">
        <v>8989</v>
      </c>
      <c r="P2983" s="1" t="s">
        <v>8955</v>
      </c>
      <c r="Q2983" s="1" t="s">
        <v>8956</v>
      </c>
      <c r="R2983" s="1" t="s">
        <v>8957</v>
      </c>
      <c r="S2983" s="1" t="s">
        <v>8958</v>
      </c>
      <c r="T2983" s="1" t="s">
        <v>7863</v>
      </c>
      <c r="U2983" s="1" t="s">
        <v>11</v>
      </c>
      <c r="V2983" s="1" t="s">
        <v>392</v>
      </c>
      <c r="W2983" s="1"/>
    </row>
    <row r="2984" spans="1:23" x14ac:dyDescent="0.2">
      <c r="A2984" s="88" t="s">
        <v>7864</v>
      </c>
      <c r="B2984" s="1" t="e">
        <v>#N/A</v>
      </c>
      <c r="C2984" s="1" t="e">
        <v>#N/A</v>
      </c>
      <c r="D2984" s="1" t="s">
        <v>7865</v>
      </c>
      <c r="E2984" s="1" t="s">
        <v>7866</v>
      </c>
      <c r="F2984" s="1" t="s">
        <v>18502</v>
      </c>
      <c r="G2984" s="1" t="s">
        <v>8957</v>
      </c>
      <c r="H2984" t="s">
        <v>8959</v>
      </c>
      <c r="I2984" s="1" t="s">
        <v>9100</v>
      </c>
      <c r="J2984" s="1" t="s">
        <v>8949</v>
      </c>
      <c r="K2984" s="1" t="s">
        <v>20736</v>
      </c>
      <c r="L2984" s="1" t="s">
        <v>9292</v>
      </c>
      <c r="M2984" s="1">
        <f>374+598</f>
        <v>972</v>
      </c>
      <c r="N2984" s="1" t="s">
        <v>11658</v>
      </c>
      <c r="O2984" s="1" t="s">
        <v>8989</v>
      </c>
      <c r="P2984" s="1" t="e">
        <v>#N/A</v>
      </c>
      <c r="Q2984" s="1" t="e">
        <v>#N/A</v>
      </c>
      <c r="R2984" s="1">
        <f t="shared" ref="R2984:R2985" si="878">1+LEN(T2984)-LEN(SUBSTITUTE(T2984,",",))</f>
        <v>6</v>
      </c>
      <c r="S2984" s="1" t="str">
        <f t="shared" ref="S2984:S2985" si="879">IF(R2984&gt;4,IF(R2984&lt;8,"4-7",IF(R2984&gt;7,"&gt;7")),"&lt;4")</f>
        <v>4-7</v>
      </c>
      <c r="T2984" s="1" t="s">
        <v>20261</v>
      </c>
      <c r="U2984" s="1" t="s">
        <v>11</v>
      </c>
      <c r="V2984" s="1" t="s">
        <v>7867</v>
      </c>
      <c r="W2984" s="1"/>
    </row>
    <row r="2985" spans="1:23" x14ac:dyDescent="0.2">
      <c r="A2985" s="94" t="s">
        <v>18105</v>
      </c>
      <c r="B2985" s="1" t="e">
        <v>#N/A</v>
      </c>
      <c r="C2985" s="1" t="e">
        <v>#N/A</v>
      </c>
      <c r="D2985" s="78" t="s">
        <v>7868</v>
      </c>
      <c r="E2985" s="1" t="s">
        <v>7869</v>
      </c>
      <c r="F2985" s="1" t="e">
        <v>#N/A</v>
      </c>
      <c r="G2985" s="1" t="e">
        <v>#N/A</v>
      </c>
      <c r="H2985" t="e">
        <v>#N/A</v>
      </c>
      <c r="I2985" s="1" t="e">
        <v>#N/A</v>
      </c>
      <c r="J2985" s="1" t="e">
        <v>#N/A</v>
      </c>
      <c r="K2985" s="1" t="e">
        <v>#N/A</v>
      </c>
      <c r="L2985" s="1" t="e">
        <v>#N/A</v>
      </c>
      <c r="M2985" s="1" t="e">
        <v>#N/A</v>
      </c>
      <c r="N2985" s="1" t="e">
        <v>#N/A</v>
      </c>
      <c r="O2985" s="1" t="e">
        <v>#N/A</v>
      </c>
      <c r="P2985" s="1" t="e">
        <v>#N/A</v>
      </c>
      <c r="Q2985" s="1" t="e">
        <v>#N/A</v>
      </c>
      <c r="R2985" s="1">
        <f t="shared" si="878"/>
        <v>7</v>
      </c>
      <c r="S2985" s="1" t="str">
        <f t="shared" si="879"/>
        <v>4-7</v>
      </c>
      <c r="T2985" s="1" t="s">
        <v>20262</v>
      </c>
      <c r="U2985" s="1" t="s">
        <v>7</v>
      </c>
      <c r="V2985" s="1" t="s">
        <v>3509</v>
      </c>
      <c r="W2985" s="1"/>
    </row>
    <row r="2986" spans="1:23" x14ac:dyDescent="0.2">
      <c r="A2986" s="88" t="s">
        <v>18106</v>
      </c>
      <c r="B2986" s="1" t="e">
        <v>#N/A</v>
      </c>
      <c r="C2986" s="1" t="s">
        <v>13364</v>
      </c>
      <c r="D2986" s="1" t="s">
        <v>7870</v>
      </c>
      <c r="E2986" s="1" t="s">
        <v>7871</v>
      </c>
      <c r="F2986" s="1" t="s">
        <v>9010</v>
      </c>
      <c r="G2986" s="1" t="s">
        <v>9060</v>
      </c>
      <c r="H2986" t="s">
        <v>9009</v>
      </c>
      <c r="I2986" s="1" t="s">
        <v>9035</v>
      </c>
      <c r="J2986" s="1" t="s">
        <v>8998</v>
      </c>
      <c r="K2986" s="1" t="s">
        <v>10135</v>
      </c>
      <c r="L2986" s="1" t="s">
        <v>9133</v>
      </c>
      <c r="M2986" s="1">
        <v>7926</v>
      </c>
      <c r="N2986" s="1" t="s">
        <v>8953</v>
      </c>
      <c r="O2986" s="1" t="s">
        <v>8954</v>
      </c>
      <c r="P2986" s="1" t="s">
        <v>8955</v>
      </c>
      <c r="Q2986" s="1" t="s">
        <v>8956</v>
      </c>
      <c r="R2986" s="1" t="s">
        <v>9060</v>
      </c>
      <c r="S2986" s="1" t="s">
        <v>8958</v>
      </c>
      <c r="T2986" s="1" t="s">
        <v>7872</v>
      </c>
      <c r="U2986" s="1" t="s">
        <v>4</v>
      </c>
      <c r="V2986" s="1" t="s">
        <v>2287</v>
      </c>
      <c r="W2986" s="1"/>
    </row>
    <row r="2987" spans="1:23" x14ac:dyDescent="0.2">
      <c r="A2987" s="88" t="s">
        <v>18107</v>
      </c>
      <c r="B2987" s="1" t="e">
        <v>#N/A</v>
      </c>
      <c r="C2987" s="1" t="e">
        <v>#N/A</v>
      </c>
      <c r="D2987" s="1" t="s">
        <v>7873</v>
      </c>
      <c r="E2987" s="1" t="s">
        <v>7874</v>
      </c>
      <c r="F2987" s="1" t="s">
        <v>9317</v>
      </c>
      <c r="G2987" s="1" t="s">
        <v>8957</v>
      </c>
      <c r="H2987" t="s">
        <v>9061</v>
      </c>
      <c r="I2987" s="1" t="s">
        <v>9100</v>
      </c>
      <c r="J2987" s="1" t="s">
        <v>8949</v>
      </c>
      <c r="K2987" s="1" t="s">
        <v>21106</v>
      </c>
      <c r="L2987" s="1" t="s">
        <v>8951</v>
      </c>
      <c r="M2987" s="1">
        <v>63</v>
      </c>
      <c r="N2987" s="1" t="s">
        <v>9059</v>
      </c>
      <c r="O2987" s="1" t="s">
        <v>8989</v>
      </c>
      <c r="P2987" s="1" t="e">
        <v>#N/A</v>
      </c>
      <c r="Q2987" s="1" t="e">
        <v>#N/A</v>
      </c>
      <c r="R2987" s="1">
        <f t="shared" ref="R2987:R2988" si="880">1+LEN(T2987)-LEN(SUBSTITUTE(T2987,",",))</f>
        <v>4</v>
      </c>
      <c r="S2987" s="1" t="str">
        <f t="shared" ref="S2987:S2988" si="881">IF(R2987&gt;4,IF(R2987&lt;8,"4-7",IF(R2987&gt;7,"&gt;7")),"&lt;4")</f>
        <v>&lt;4</v>
      </c>
      <c r="T2987" s="1" t="s">
        <v>20263</v>
      </c>
      <c r="U2987" s="1" t="s">
        <v>7</v>
      </c>
      <c r="V2987" s="1" t="s">
        <v>110</v>
      </c>
      <c r="W2987" s="1"/>
    </row>
    <row r="2988" spans="1:23" x14ac:dyDescent="0.2">
      <c r="A2988" s="88" t="s">
        <v>18108</v>
      </c>
      <c r="B2988" s="1" t="e">
        <v>#N/A</v>
      </c>
      <c r="C2988" s="1" t="e">
        <v>#N/A</v>
      </c>
      <c r="D2988" s="1" t="s">
        <v>7875</v>
      </c>
      <c r="E2988" s="1" t="s">
        <v>7876</v>
      </c>
      <c r="F2988" s="1" t="s">
        <v>9317</v>
      </c>
      <c r="G2988" s="1" t="s">
        <v>8974</v>
      </c>
      <c r="H2988" t="s">
        <v>9061</v>
      </c>
      <c r="I2988" s="1" t="s">
        <v>9100</v>
      </c>
      <c r="J2988" s="1" t="s">
        <v>20930</v>
      </c>
      <c r="K2988" s="1" t="s">
        <v>21107</v>
      </c>
      <c r="L2988" s="1" t="s">
        <v>8987</v>
      </c>
      <c r="M2988" s="1">
        <f>645+207+438+149+149</f>
        <v>1588</v>
      </c>
      <c r="N2988" s="1" t="s">
        <v>9059</v>
      </c>
      <c r="O2988" s="1" t="s">
        <v>8954</v>
      </c>
      <c r="P2988" s="1" t="e">
        <v>#N/A</v>
      </c>
      <c r="Q2988" s="1" t="e">
        <v>#N/A</v>
      </c>
      <c r="R2988" s="1">
        <f t="shared" si="880"/>
        <v>9</v>
      </c>
      <c r="S2988" s="1" t="str">
        <f t="shared" si="881"/>
        <v>&gt;7</v>
      </c>
      <c r="T2988" s="1" t="s">
        <v>20264</v>
      </c>
      <c r="U2988" s="1" t="s">
        <v>17</v>
      </c>
      <c r="V2988" s="1" t="s">
        <v>382</v>
      </c>
      <c r="W2988" s="1"/>
    </row>
    <row r="2989" spans="1:23" x14ac:dyDescent="0.2">
      <c r="A2989" s="88" t="s">
        <v>18109</v>
      </c>
      <c r="B2989" s="1" t="e">
        <v>#N/A</v>
      </c>
      <c r="C2989" s="1" t="s">
        <v>15252</v>
      </c>
      <c r="D2989" s="1" t="s">
        <v>7877</v>
      </c>
      <c r="E2989" s="1" t="s">
        <v>7878</v>
      </c>
      <c r="F2989" s="1" t="s">
        <v>9010</v>
      </c>
      <c r="G2989" s="1" t="s">
        <v>8959</v>
      </c>
      <c r="H2989" t="s">
        <v>9009</v>
      </c>
      <c r="I2989" s="1" t="s">
        <v>8984</v>
      </c>
      <c r="J2989" s="1" t="s">
        <v>8998</v>
      </c>
      <c r="K2989" s="1" t="s">
        <v>8972</v>
      </c>
      <c r="L2989" s="1" t="s">
        <v>8973</v>
      </c>
      <c r="M2989" s="1">
        <v>2700</v>
      </c>
      <c r="N2989" s="1" t="s">
        <v>8953</v>
      </c>
      <c r="O2989" s="1" t="s">
        <v>8989</v>
      </c>
      <c r="P2989" s="1" t="s">
        <v>8955</v>
      </c>
      <c r="Q2989" s="1" t="s">
        <v>8956</v>
      </c>
      <c r="R2989" s="1" t="s">
        <v>8959</v>
      </c>
      <c r="S2989" s="1" t="s">
        <v>8975</v>
      </c>
      <c r="T2989" s="1" t="s">
        <v>7879</v>
      </c>
      <c r="U2989" s="1" t="s">
        <v>17</v>
      </c>
      <c r="V2989" s="1" t="s">
        <v>180</v>
      </c>
      <c r="W2989" s="1"/>
    </row>
    <row r="2990" spans="1:23" x14ac:dyDescent="0.2">
      <c r="A2990" s="89" t="s">
        <v>18110</v>
      </c>
      <c r="B2990" s="1" t="e">
        <v>#N/A</v>
      </c>
      <c r="C2990" s="1" t="e">
        <v>#N/A</v>
      </c>
      <c r="D2990" s="1" t="s">
        <v>7880</v>
      </c>
      <c r="E2990" s="1" t="s">
        <v>7881</v>
      </c>
      <c r="F2990" s="1" t="e">
        <v>#N/A</v>
      </c>
      <c r="G2990" s="1" t="e">
        <v>#N/A</v>
      </c>
      <c r="H2990" t="e">
        <v>#N/A</v>
      </c>
      <c r="I2990" s="1" t="e">
        <v>#N/A</v>
      </c>
      <c r="J2990" s="1" t="e">
        <v>#N/A</v>
      </c>
      <c r="K2990" s="1" t="e">
        <v>#N/A</v>
      </c>
      <c r="L2990" s="1" t="e">
        <v>#N/A</v>
      </c>
      <c r="M2990" s="1" t="e">
        <v>#N/A</v>
      </c>
      <c r="N2990" s="1" t="e">
        <v>#N/A</v>
      </c>
      <c r="O2990" s="1" t="e">
        <v>#N/A</v>
      </c>
      <c r="P2990" s="1" t="e">
        <v>#N/A</v>
      </c>
      <c r="Q2990" s="1" t="e">
        <v>#N/A</v>
      </c>
      <c r="R2990" s="1">
        <f t="shared" ref="R2990:R2991" si="882">1+LEN(T2990)-LEN(SUBSTITUTE(T2990,",",))</f>
        <v>1</v>
      </c>
      <c r="S2990" s="1" t="str">
        <f t="shared" ref="S2990:S2991" si="883">IF(R2990&gt;4,IF(R2990&lt;8,"4-7",IF(R2990&gt;7,"&gt;7")),"&lt;4")</f>
        <v>&lt;4</v>
      </c>
      <c r="U2990" s="1" t="s">
        <v>7</v>
      </c>
      <c r="V2990" s="1" t="s">
        <v>2121</v>
      </c>
      <c r="W2990" s="1"/>
    </row>
    <row r="2991" spans="1:23" x14ac:dyDescent="0.2">
      <c r="A2991" s="88" t="s">
        <v>18111</v>
      </c>
      <c r="B2991" s="1" t="e">
        <v>#N/A</v>
      </c>
      <c r="C2991" s="1" t="e">
        <v>#N/A</v>
      </c>
      <c r="D2991" s="1" t="s">
        <v>7882</v>
      </c>
      <c r="E2991" s="1" t="s">
        <v>7883</v>
      </c>
      <c r="F2991" s="1" t="s">
        <v>18502</v>
      </c>
      <c r="G2991" s="1" t="s">
        <v>8959</v>
      </c>
      <c r="H2991" t="s">
        <v>8959</v>
      </c>
      <c r="I2991" s="1" t="s">
        <v>9605</v>
      </c>
      <c r="J2991" s="1" t="s">
        <v>20930</v>
      </c>
      <c r="K2991" s="1" t="s">
        <v>21388</v>
      </c>
      <c r="L2991" s="1" t="s">
        <v>9076</v>
      </c>
      <c r="M2991" s="1">
        <v>35316</v>
      </c>
      <c r="N2991" s="1" t="s">
        <v>8953</v>
      </c>
      <c r="O2991" s="1" t="s">
        <v>8989</v>
      </c>
      <c r="P2991" s="1" t="e">
        <v>#N/A</v>
      </c>
      <c r="Q2991" s="1" t="e">
        <v>#N/A</v>
      </c>
      <c r="R2991" s="1">
        <f t="shared" si="882"/>
        <v>3</v>
      </c>
      <c r="S2991" s="1" t="str">
        <f t="shared" si="883"/>
        <v>&lt;4</v>
      </c>
      <c r="T2991" s="1" t="s">
        <v>20265</v>
      </c>
      <c r="U2991" s="1" t="s">
        <v>7</v>
      </c>
      <c r="V2991" s="1" t="s">
        <v>286</v>
      </c>
      <c r="W2991" s="1"/>
    </row>
    <row r="2992" spans="1:23" x14ac:dyDescent="0.2">
      <c r="A2992" s="88" t="s">
        <v>18112</v>
      </c>
      <c r="B2992" s="1" t="e">
        <v>#N/A</v>
      </c>
      <c r="C2992" s="1" t="s">
        <v>11563</v>
      </c>
      <c r="D2992" s="1" t="s">
        <v>7884</v>
      </c>
      <c r="E2992" s="1" t="s">
        <v>7885</v>
      </c>
      <c r="F2992" s="1" t="s">
        <v>9465</v>
      </c>
      <c r="G2992" s="1" t="s">
        <v>8957</v>
      </c>
      <c r="H2992" t="s">
        <v>9183</v>
      </c>
      <c r="I2992" s="1" t="s">
        <v>9075</v>
      </c>
      <c r="J2992" s="1" t="s">
        <v>8998</v>
      </c>
      <c r="K2992" s="1" t="s">
        <v>9036</v>
      </c>
      <c r="L2992" s="1" t="s">
        <v>9133</v>
      </c>
      <c r="M2992" s="1">
        <v>100</v>
      </c>
      <c r="N2992" s="1" t="s">
        <v>9059</v>
      </c>
      <c r="O2992" s="1" t="s">
        <v>8989</v>
      </c>
      <c r="P2992" s="1" t="s">
        <v>8955</v>
      </c>
      <c r="Q2992" s="1" t="s">
        <v>8956</v>
      </c>
      <c r="R2992" s="1" t="s">
        <v>8957</v>
      </c>
      <c r="S2992" s="1" t="s">
        <v>8958</v>
      </c>
      <c r="T2992" s="1" t="s">
        <v>7886</v>
      </c>
      <c r="U2992" s="1" t="s">
        <v>17</v>
      </c>
      <c r="V2992" s="1" t="s">
        <v>666</v>
      </c>
      <c r="W2992" s="1"/>
    </row>
    <row r="2993" spans="1:23" x14ac:dyDescent="0.2">
      <c r="A2993" s="88" t="s">
        <v>18113</v>
      </c>
      <c r="B2993" s="1" t="e">
        <v>#N/A</v>
      </c>
      <c r="C2993" s="1" t="e">
        <v>#N/A</v>
      </c>
      <c r="D2993" s="1" t="s">
        <v>7887</v>
      </c>
      <c r="E2993" s="1" t="s">
        <v>7888</v>
      </c>
      <c r="F2993" s="1" t="s">
        <v>9465</v>
      </c>
      <c r="G2993" s="1" t="s">
        <v>9060</v>
      </c>
      <c r="H2993" t="s">
        <v>9061</v>
      </c>
      <c r="I2993" s="1" t="s">
        <v>8984</v>
      </c>
      <c r="J2993" s="1" t="s">
        <v>8998</v>
      </c>
      <c r="K2993" s="1" t="s">
        <v>21108</v>
      </c>
      <c r="L2993" s="1" t="s">
        <v>8973</v>
      </c>
      <c r="M2993" s="1">
        <f>5000+2772</f>
        <v>7772</v>
      </c>
      <c r="N2993" s="1" t="s">
        <v>8953</v>
      </c>
      <c r="O2993" s="1" t="s">
        <v>8989</v>
      </c>
      <c r="P2993" s="1" t="e">
        <v>#N/A</v>
      </c>
      <c r="Q2993" s="1" t="e">
        <v>#N/A</v>
      </c>
      <c r="R2993" s="1">
        <f>1+LEN(T2993)-LEN(SUBSTITUTE(T2993,",",))</f>
        <v>8</v>
      </c>
      <c r="S2993" s="1" t="str">
        <f>IF(R2993&gt;4,IF(R2993&lt;8,"4-7",IF(R2993&gt;7,"&gt;7")),"&lt;4")</f>
        <v>&gt;7</v>
      </c>
      <c r="T2993" s="1" t="s">
        <v>20266</v>
      </c>
      <c r="U2993" s="1" t="s">
        <v>7</v>
      </c>
      <c r="V2993" s="1" t="s">
        <v>831</v>
      </c>
      <c r="W2993" s="1"/>
    </row>
    <row r="2994" spans="1:23" x14ac:dyDescent="0.2">
      <c r="A2994" s="88" t="s">
        <v>18114</v>
      </c>
      <c r="B2994" s="1" t="e">
        <v>#N/A</v>
      </c>
      <c r="C2994" s="1" t="s">
        <v>9921</v>
      </c>
      <c r="D2994" s="1" t="s">
        <v>7889</v>
      </c>
      <c r="E2994" s="1" t="s">
        <v>7890</v>
      </c>
      <c r="F2994" s="1" t="s">
        <v>9246</v>
      </c>
      <c r="G2994" s="1" t="s">
        <v>8959</v>
      </c>
      <c r="H2994" t="s">
        <v>8959</v>
      </c>
      <c r="I2994" s="1" t="s">
        <v>9035</v>
      </c>
      <c r="J2994" s="1" t="s">
        <v>8998</v>
      </c>
      <c r="K2994" s="1" t="s">
        <v>9036</v>
      </c>
      <c r="L2994" s="1" t="s">
        <v>8951</v>
      </c>
      <c r="M2994" s="1">
        <v>30000</v>
      </c>
      <c r="N2994" s="1" t="s">
        <v>8953</v>
      </c>
      <c r="O2994" s="1" t="s">
        <v>8954</v>
      </c>
      <c r="P2994" s="1" t="s">
        <v>8955</v>
      </c>
      <c r="Q2994" s="1" t="s">
        <v>8956</v>
      </c>
      <c r="R2994" s="1" t="s">
        <v>8959</v>
      </c>
      <c r="S2994" s="1" t="s">
        <v>9103</v>
      </c>
      <c r="T2994" s="1" t="s">
        <v>7891</v>
      </c>
      <c r="U2994" s="1" t="s">
        <v>17</v>
      </c>
      <c r="V2994" s="1" t="s">
        <v>126</v>
      </c>
      <c r="W2994" s="1"/>
    </row>
    <row r="2995" spans="1:23" x14ac:dyDescent="0.2">
      <c r="A2995" s="88" t="s">
        <v>18115</v>
      </c>
      <c r="B2995" s="1" t="e">
        <v>#N/A</v>
      </c>
      <c r="C2995" s="1" t="s">
        <v>14812</v>
      </c>
      <c r="D2995" s="1" t="s">
        <v>7892</v>
      </c>
      <c r="E2995" s="1" t="s">
        <v>7893</v>
      </c>
      <c r="F2995" s="1" t="s">
        <v>9246</v>
      </c>
      <c r="G2995" s="1" t="s">
        <v>8959</v>
      </c>
      <c r="H2995" t="s">
        <v>9009</v>
      </c>
      <c r="I2995" s="1" t="s">
        <v>9035</v>
      </c>
      <c r="J2995" s="1" t="s">
        <v>8998</v>
      </c>
      <c r="K2995" s="1" t="s">
        <v>9102</v>
      </c>
      <c r="L2995" s="1" t="s">
        <v>9076</v>
      </c>
      <c r="M2995" s="1">
        <v>384</v>
      </c>
      <c r="N2995" s="1" t="s">
        <v>8953</v>
      </c>
      <c r="O2995" s="1" t="s">
        <v>8989</v>
      </c>
      <c r="P2995" s="1" t="s">
        <v>8955</v>
      </c>
      <c r="Q2995" s="1" t="s">
        <v>8956</v>
      </c>
      <c r="R2995" s="1" t="s">
        <v>8959</v>
      </c>
      <c r="S2995" s="1" t="s">
        <v>8975</v>
      </c>
      <c r="T2995" s="1" t="s">
        <v>7894</v>
      </c>
      <c r="U2995" s="1" t="s">
        <v>7</v>
      </c>
      <c r="V2995" s="1" t="s">
        <v>670</v>
      </c>
      <c r="W2995" s="1"/>
    </row>
    <row r="2996" spans="1:23" x14ac:dyDescent="0.2">
      <c r="A2996" s="88" t="s">
        <v>18116</v>
      </c>
      <c r="B2996" s="1" t="e">
        <v>#N/A</v>
      </c>
      <c r="C2996" s="1" t="e">
        <v>#N/A</v>
      </c>
      <c r="D2996" s="1" t="s">
        <v>7895</v>
      </c>
      <c r="E2996" s="1" t="s">
        <v>7896</v>
      </c>
      <c r="F2996" s="1" t="s">
        <v>10687</v>
      </c>
      <c r="G2996" s="1" t="s">
        <v>8957</v>
      </c>
      <c r="H2996" t="s">
        <v>8959</v>
      </c>
      <c r="I2996" s="1" t="s">
        <v>9173</v>
      </c>
      <c r="J2996" s="1" t="s">
        <v>9101</v>
      </c>
      <c r="K2996" s="1" t="s">
        <v>18497</v>
      </c>
      <c r="L2996" s="1" t="s">
        <v>8987</v>
      </c>
      <c r="M2996" s="1">
        <v>1210</v>
      </c>
      <c r="N2996" s="1" t="s">
        <v>9059</v>
      </c>
      <c r="O2996" s="1" t="s">
        <v>8954</v>
      </c>
      <c r="P2996" s="1" t="e">
        <v>#N/A</v>
      </c>
      <c r="Q2996" s="1" t="e">
        <v>#N/A</v>
      </c>
      <c r="R2996" s="1">
        <f t="shared" ref="R2996:R2997" si="884">1+LEN(T2996)-LEN(SUBSTITUTE(T2996,",",))</f>
        <v>6</v>
      </c>
      <c r="S2996" s="1" t="str">
        <f t="shared" ref="S2996:S2997" si="885">IF(R2996&gt;4,IF(R2996&lt;8,"4-7",IF(R2996&gt;7,"&gt;7")),"&lt;4")</f>
        <v>4-7</v>
      </c>
      <c r="T2996" s="1" t="s">
        <v>20267</v>
      </c>
      <c r="U2996" s="1" t="s">
        <v>7</v>
      </c>
      <c r="V2996" s="1" t="s">
        <v>46</v>
      </c>
      <c r="W2996" s="1"/>
    </row>
    <row r="2997" spans="1:23" x14ac:dyDescent="0.2">
      <c r="A2997" s="88" t="s">
        <v>18117</v>
      </c>
      <c r="B2997" s="1" t="e">
        <v>#N/A</v>
      </c>
      <c r="C2997" s="1" t="e">
        <v>#N/A</v>
      </c>
      <c r="D2997" s="1" t="s">
        <v>7897</v>
      </c>
      <c r="E2997" s="1" t="s">
        <v>7898</v>
      </c>
      <c r="F2997" s="1" t="s">
        <v>9317</v>
      </c>
      <c r="G2997" s="1" t="s">
        <v>8957</v>
      </c>
      <c r="H2997" t="s">
        <v>8959</v>
      </c>
      <c r="I2997" s="1" t="s">
        <v>9100</v>
      </c>
      <c r="J2997" s="1" t="s">
        <v>9101</v>
      </c>
      <c r="K2997" s="1" t="s">
        <v>21442</v>
      </c>
      <c r="L2997" s="1" t="s">
        <v>8973</v>
      </c>
      <c r="M2997" s="1">
        <v>50</v>
      </c>
      <c r="N2997" s="1" t="s">
        <v>8953</v>
      </c>
      <c r="O2997" s="1" t="s">
        <v>8989</v>
      </c>
      <c r="P2997" s="1" t="e">
        <v>#N/A</v>
      </c>
      <c r="Q2997" s="1" t="e">
        <v>#N/A</v>
      </c>
      <c r="R2997" s="1">
        <f t="shared" si="884"/>
        <v>6</v>
      </c>
      <c r="S2997" s="1" t="str">
        <f t="shared" si="885"/>
        <v>4-7</v>
      </c>
      <c r="T2997" s="1" t="s">
        <v>20268</v>
      </c>
      <c r="U2997" s="1" t="s">
        <v>17</v>
      </c>
      <c r="V2997" s="1" t="s">
        <v>126</v>
      </c>
      <c r="W2997" s="1"/>
    </row>
    <row r="2998" spans="1:23" x14ac:dyDescent="0.2">
      <c r="A2998" s="88" t="s">
        <v>18118</v>
      </c>
      <c r="B2998" s="1" t="e">
        <v>#N/A</v>
      </c>
      <c r="C2998" s="1" t="s">
        <v>15302</v>
      </c>
      <c r="D2998" s="1" t="s">
        <v>7899</v>
      </c>
      <c r="E2998" s="1" t="s">
        <v>7900</v>
      </c>
      <c r="F2998" s="1" t="s">
        <v>9246</v>
      </c>
      <c r="G2998" s="1" t="s">
        <v>8957</v>
      </c>
      <c r="H2998" t="s">
        <v>9061</v>
      </c>
      <c r="I2998" s="1" t="s">
        <v>9154</v>
      </c>
      <c r="J2998" s="1" t="s">
        <v>8998</v>
      </c>
      <c r="K2998" s="1" t="s">
        <v>9036</v>
      </c>
      <c r="L2998" s="1" t="s">
        <v>8987</v>
      </c>
      <c r="M2998" s="1">
        <v>118</v>
      </c>
      <c r="N2998" s="1" t="s">
        <v>8953</v>
      </c>
      <c r="O2998" s="1" t="s">
        <v>8954</v>
      </c>
      <c r="P2998" s="1" t="s">
        <v>8955</v>
      </c>
      <c r="Q2998" s="1" t="s">
        <v>8956</v>
      </c>
      <c r="R2998" s="1" t="s">
        <v>8957</v>
      </c>
      <c r="S2998" s="1" t="s">
        <v>8958</v>
      </c>
      <c r="T2998" s="1" t="s">
        <v>7901</v>
      </c>
      <c r="U2998" s="1" t="s">
        <v>17</v>
      </c>
      <c r="V2998" s="1" t="s">
        <v>126</v>
      </c>
      <c r="W2998" s="1"/>
    </row>
    <row r="2999" spans="1:23" x14ac:dyDescent="0.2">
      <c r="A2999" s="88" t="s">
        <v>18119</v>
      </c>
      <c r="B2999" s="1" t="e">
        <v>#N/A</v>
      </c>
      <c r="C2999" s="1" t="e">
        <v>#N/A</v>
      </c>
      <c r="D2999" s="1" t="s">
        <v>7902</v>
      </c>
      <c r="E2999" s="1" t="s">
        <v>7903</v>
      </c>
      <c r="F2999" s="1" t="s">
        <v>9213</v>
      </c>
      <c r="G2999" s="1" t="s">
        <v>8957</v>
      </c>
      <c r="H2999" t="s">
        <v>8959</v>
      </c>
      <c r="I2999" s="1" t="s">
        <v>9092</v>
      </c>
      <c r="J2999" s="1" t="s">
        <v>8949</v>
      </c>
      <c r="K2999" s="1" t="s">
        <v>21433</v>
      </c>
      <c r="L2999" s="1" t="s">
        <v>21109</v>
      </c>
      <c r="M2999" s="1">
        <v>542</v>
      </c>
      <c r="N2999" s="1" t="s">
        <v>8953</v>
      </c>
      <c r="O2999" s="1" t="s">
        <v>8989</v>
      </c>
      <c r="P2999" s="1" t="e">
        <v>#N/A</v>
      </c>
      <c r="Q2999" s="1" t="e">
        <v>#N/A</v>
      </c>
      <c r="R2999" s="1">
        <f>1+LEN(T2999)-LEN(SUBSTITUTE(T2999,",",))</f>
        <v>4</v>
      </c>
      <c r="S2999" s="1" t="str">
        <f>IF(R2999&gt;4,IF(R2999&lt;8,"4-7",IF(R2999&gt;7,"&gt;7")),"&lt;4")</f>
        <v>&lt;4</v>
      </c>
      <c r="T2999" s="1" t="s">
        <v>20269</v>
      </c>
      <c r="U2999" s="1" t="s">
        <v>7</v>
      </c>
      <c r="V2999" s="1" t="s">
        <v>4953</v>
      </c>
      <c r="W2999" s="1"/>
    </row>
    <row r="3000" spans="1:23" x14ac:dyDescent="0.2">
      <c r="A3000" s="88" t="s">
        <v>18120</v>
      </c>
      <c r="B3000" s="1" t="e">
        <v>#N/A</v>
      </c>
      <c r="C3000" s="1" t="s">
        <v>11687</v>
      </c>
      <c r="D3000" s="1" t="s">
        <v>7904</v>
      </c>
      <c r="E3000" s="1" t="s">
        <v>7905</v>
      </c>
      <c r="F3000" s="1" t="s">
        <v>9010</v>
      </c>
      <c r="G3000" s="1" t="s">
        <v>8959</v>
      </c>
      <c r="H3000" t="s">
        <v>9183</v>
      </c>
      <c r="I3000" s="1" t="s">
        <v>8948</v>
      </c>
      <c r="J3000" s="1" t="s">
        <v>8998</v>
      </c>
      <c r="K3000" s="1" t="s">
        <v>11690</v>
      </c>
      <c r="L3000" s="1" t="s">
        <v>8987</v>
      </c>
      <c r="M3000" s="1">
        <v>108</v>
      </c>
      <c r="N3000" s="1" t="s">
        <v>8953</v>
      </c>
      <c r="O3000" s="1" t="s">
        <v>8954</v>
      </c>
      <c r="P3000" s="1" t="s">
        <v>8955</v>
      </c>
      <c r="Q3000" s="1" t="s">
        <v>8956</v>
      </c>
      <c r="R3000" s="1" t="s">
        <v>8959</v>
      </c>
      <c r="S3000" s="1" t="s">
        <v>9103</v>
      </c>
      <c r="T3000" s="1" t="s">
        <v>7906</v>
      </c>
      <c r="U3000" s="1" t="s">
        <v>11</v>
      </c>
      <c r="V3000" s="1" t="s">
        <v>126</v>
      </c>
      <c r="W3000" s="1"/>
    </row>
    <row r="3001" spans="1:23" x14ac:dyDescent="0.2">
      <c r="A3001" s="88" t="s">
        <v>18121</v>
      </c>
      <c r="B3001" s="1" t="e">
        <v>#N/A</v>
      </c>
      <c r="C3001" s="1" t="e">
        <v>#N/A</v>
      </c>
      <c r="D3001" s="1" t="s">
        <v>21103</v>
      </c>
      <c r="E3001" s="1" t="s">
        <v>7907</v>
      </c>
      <c r="F3001" s="1" t="s">
        <v>18502</v>
      </c>
      <c r="G3001" s="1" t="s">
        <v>8957</v>
      </c>
      <c r="H3001" t="s">
        <v>9061</v>
      </c>
      <c r="I3001" s="1" t="s">
        <v>8948</v>
      </c>
      <c r="J3001" s="1" t="s">
        <v>8949</v>
      </c>
      <c r="K3001" s="1" t="s">
        <v>21104</v>
      </c>
      <c r="L3001" s="1" t="s">
        <v>8987</v>
      </c>
      <c r="M3001" s="1">
        <v>26</v>
      </c>
      <c r="N3001" s="1" t="s">
        <v>9059</v>
      </c>
      <c r="O3001" s="1" t="s">
        <v>8989</v>
      </c>
      <c r="P3001" s="1" t="e">
        <v>#N/A</v>
      </c>
      <c r="Q3001" s="1" t="e">
        <v>#N/A</v>
      </c>
      <c r="R3001" s="1">
        <f t="shared" ref="R3001:R3003" si="886">1+LEN(T3001)-LEN(SUBSTITUTE(T3001,",",))</f>
        <v>9</v>
      </c>
      <c r="S3001" s="1" t="str">
        <f t="shared" ref="S3001:S3003" si="887">IF(R3001&gt;4,IF(R3001&lt;8,"4-7",IF(R3001&gt;7,"&gt;7")),"&lt;4")</f>
        <v>&gt;7</v>
      </c>
      <c r="T3001" s="1" t="s">
        <v>20270</v>
      </c>
      <c r="U3001" s="1" t="s">
        <v>17</v>
      </c>
      <c r="V3001" s="1" t="s">
        <v>2627</v>
      </c>
      <c r="W3001" s="1"/>
    </row>
    <row r="3002" spans="1:23" x14ac:dyDescent="0.2">
      <c r="A3002" s="88" t="s">
        <v>18122</v>
      </c>
      <c r="B3002" s="1" t="e">
        <v>#N/A</v>
      </c>
      <c r="C3002" s="1" t="e">
        <v>#N/A</v>
      </c>
      <c r="D3002" s="1" t="s">
        <v>7908</v>
      </c>
      <c r="E3002" s="1" t="s">
        <v>7909</v>
      </c>
      <c r="F3002" s="1" t="s">
        <v>18502</v>
      </c>
      <c r="G3002" s="1" t="s">
        <v>8957</v>
      </c>
      <c r="H3002" t="s">
        <v>9061</v>
      </c>
      <c r="I3002" s="1" t="s">
        <v>9035</v>
      </c>
      <c r="J3002" s="1" t="s">
        <v>8998</v>
      </c>
      <c r="K3002" s="1" t="s">
        <v>10492</v>
      </c>
      <c r="L3002" s="1" t="s">
        <v>21110</v>
      </c>
      <c r="M3002" s="1">
        <v>7000</v>
      </c>
      <c r="N3002" s="1" t="s">
        <v>8953</v>
      </c>
      <c r="O3002" s="1" t="s">
        <v>8954</v>
      </c>
      <c r="P3002" s="1" t="e">
        <v>#N/A</v>
      </c>
      <c r="Q3002" s="1" t="e">
        <v>#N/A</v>
      </c>
      <c r="R3002" s="1">
        <f t="shared" si="886"/>
        <v>28</v>
      </c>
      <c r="S3002" s="1" t="str">
        <f t="shared" si="887"/>
        <v>&gt;7</v>
      </c>
      <c r="T3002" s="1" t="s">
        <v>20271</v>
      </c>
      <c r="U3002" s="1" t="s">
        <v>7</v>
      </c>
      <c r="V3002" s="1" t="s">
        <v>27</v>
      </c>
      <c r="W3002" s="1"/>
    </row>
    <row r="3003" spans="1:23" x14ac:dyDescent="0.2">
      <c r="A3003" s="88" t="s">
        <v>18123</v>
      </c>
      <c r="B3003" s="1" t="e">
        <v>#N/A</v>
      </c>
      <c r="C3003" s="1" t="e">
        <v>#N/A</v>
      </c>
      <c r="D3003" s="1" t="s">
        <v>7910</v>
      </c>
      <c r="E3003" s="1" t="s">
        <v>7911</v>
      </c>
      <c r="F3003" s="1" t="s">
        <v>18502</v>
      </c>
      <c r="G3003" s="1" t="s">
        <v>8959</v>
      </c>
      <c r="H3003" t="s">
        <v>8959</v>
      </c>
      <c r="I3003" s="1" t="s">
        <v>8984</v>
      </c>
      <c r="J3003" s="1" t="s">
        <v>8998</v>
      </c>
      <c r="K3003" s="1" t="s">
        <v>10492</v>
      </c>
      <c r="L3003" s="1" t="s">
        <v>9076</v>
      </c>
      <c r="M3003" s="1">
        <v>10</v>
      </c>
      <c r="N3003" s="1" t="s">
        <v>9059</v>
      </c>
      <c r="O3003" s="1" t="s">
        <v>8989</v>
      </c>
      <c r="P3003" s="1" t="e">
        <v>#N/A</v>
      </c>
      <c r="Q3003" s="1" t="e">
        <v>#N/A</v>
      </c>
      <c r="R3003" s="1">
        <f t="shared" si="886"/>
        <v>3</v>
      </c>
      <c r="S3003" s="1" t="str">
        <f t="shared" si="887"/>
        <v>&lt;4</v>
      </c>
      <c r="T3003" s="1" t="s">
        <v>20272</v>
      </c>
      <c r="U3003" s="1" t="s">
        <v>17</v>
      </c>
      <c r="V3003" s="1" t="s">
        <v>93</v>
      </c>
      <c r="W3003" s="1"/>
    </row>
    <row r="3004" spans="1:23" x14ac:dyDescent="0.2">
      <c r="A3004" s="88" t="s">
        <v>18124</v>
      </c>
      <c r="B3004" s="1" t="e">
        <v>#N/A</v>
      </c>
      <c r="C3004" s="1" t="s">
        <v>10739</v>
      </c>
      <c r="D3004" s="1" t="s">
        <v>7912</v>
      </c>
      <c r="E3004" s="1" t="s">
        <v>7913</v>
      </c>
      <c r="F3004" s="1" t="s">
        <v>9010</v>
      </c>
      <c r="G3004" s="1" t="s">
        <v>8957</v>
      </c>
      <c r="H3004" t="s">
        <v>8959</v>
      </c>
      <c r="I3004" s="1" t="s">
        <v>9154</v>
      </c>
      <c r="J3004" s="1" t="s">
        <v>8998</v>
      </c>
      <c r="K3004" s="1" t="s">
        <v>10742</v>
      </c>
      <c r="L3004" s="1" t="s">
        <v>8987</v>
      </c>
      <c r="M3004" s="1">
        <v>436</v>
      </c>
      <c r="N3004" s="1" t="s">
        <v>8953</v>
      </c>
      <c r="O3004" s="1" t="s">
        <v>8989</v>
      </c>
      <c r="P3004" s="1" t="s">
        <v>8955</v>
      </c>
      <c r="Q3004" s="1" t="s">
        <v>8956</v>
      </c>
      <c r="R3004" s="1" t="s">
        <v>8957</v>
      </c>
      <c r="S3004" s="1" t="s">
        <v>8975</v>
      </c>
      <c r="T3004" s="1" t="s">
        <v>7914</v>
      </c>
      <c r="U3004" s="1" t="s">
        <v>17</v>
      </c>
      <c r="V3004" s="1" t="s">
        <v>64</v>
      </c>
      <c r="W3004" s="1"/>
    </row>
    <row r="3005" spans="1:23" x14ac:dyDescent="0.2">
      <c r="A3005" s="88" t="s">
        <v>18125</v>
      </c>
      <c r="B3005" s="1" t="e">
        <v>#N/A</v>
      </c>
      <c r="C3005" s="1" t="e">
        <v>#N/A</v>
      </c>
      <c r="D3005" s="1" t="s">
        <v>7915</v>
      </c>
      <c r="E3005" s="1" t="s">
        <v>7916</v>
      </c>
      <c r="F3005" s="1" t="s">
        <v>18502</v>
      </c>
      <c r="G3005" s="1" t="s">
        <v>8957</v>
      </c>
      <c r="H3005" t="s">
        <v>9061</v>
      </c>
      <c r="I3005" s="1" t="s">
        <v>9075</v>
      </c>
      <c r="J3005" s="1" t="s">
        <v>8998</v>
      </c>
      <c r="K3005" s="1" t="s">
        <v>20736</v>
      </c>
      <c r="L3005" s="1" t="s">
        <v>9157</v>
      </c>
      <c r="M3005" s="1">
        <v>123</v>
      </c>
      <c r="N3005" s="1" t="s">
        <v>9059</v>
      </c>
      <c r="O3005" s="1" t="s">
        <v>8989</v>
      </c>
      <c r="P3005" s="1" t="e">
        <v>#N/A</v>
      </c>
      <c r="Q3005" s="1" t="e">
        <v>#N/A</v>
      </c>
      <c r="R3005" s="1">
        <f>1+LEN(T3005)-LEN(SUBSTITUTE(T3005,",",))</f>
        <v>11</v>
      </c>
      <c r="S3005" s="1" t="str">
        <f>IF(R3005&gt;4,IF(R3005&lt;8,"4-7",IF(R3005&gt;7,"&gt;7")),"&lt;4")</f>
        <v>&gt;7</v>
      </c>
      <c r="T3005" s="1" t="s">
        <v>20273</v>
      </c>
      <c r="U3005" s="1" t="s">
        <v>17</v>
      </c>
      <c r="V3005" s="1" t="s">
        <v>5806</v>
      </c>
      <c r="W3005" s="1"/>
    </row>
    <row r="3006" spans="1:23" x14ac:dyDescent="0.2">
      <c r="A3006" s="88" t="s">
        <v>18126</v>
      </c>
      <c r="B3006" s="1" t="e">
        <v>#N/A</v>
      </c>
      <c r="C3006" s="1" t="s">
        <v>14592</v>
      </c>
      <c r="D3006" s="1" t="s">
        <v>7917</v>
      </c>
      <c r="E3006" s="1" t="s">
        <v>7918</v>
      </c>
      <c r="F3006" s="1" t="s">
        <v>9010</v>
      </c>
      <c r="G3006" s="1" t="s">
        <v>8957</v>
      </c>
      <c r="H3006" t="s">
        <v>9061</v>
      </c>
      <c r="I3006" s="1" t="s">
        <v>8948</v>
      </c>
      <c r="J3006" s="1" t="s">
        <v>8949</v>
      </c>
      <c r="K3006" s="1" t="s">
        <v>9036</v>
      </c>
      <c r="L3006" s="1" t="s">
        <v>8951</v>
      </c>
      <c r="M3006" s="1">
        <v>163</v>
      </c>
      <c r="N3006" s="1" t="s">
        <v>8953</v>
      </c>
      <c r="O3006" s="1" t="s">
        <v>8989</v>
      </c>
      <c r="P3006" s="1" t="s">
        <v>8955</v>
      </c>
      <c r="Q3006" s="1" t="s">
        <v>8956</v>
      </c>
      <c r="R3006" s="1" t="s">
        <v>8957</v>
      </c>
      <c r="S3006" s="1" t="s">
        <v>8958</v>
      </c>
      <c r="T3006" s="1" t="s">
        <v>7919</v>
      </c>
      <c r="U3006" s="1" t="s">
        <v>920</v>
      </c>
      <c r="V3006" s="1" t="s">
        <v>921</v>
      </c>
      <c r="W3006" s="1"/>
    </row>
    <row r="3007" spans="1:23" x14ac:dyDescent="0.2">
      <c r="A3007" s="88" t="s">
        <v>18127</v>
      </c>
      <c r="B3007" s="1" t="e">
        <v>#N/A</v>
      </c>
      <c r="C3007" s="1" t="s">
        <v>14487</v>
      </c>
      <c r="D3007" s="1" t="s">
        <v>7920</v>
      </c>
      <c r="E3007" s="1" t="s">
        <v>7921</v>
      </c>
      <c r="F3007" s="1" t="s">
        <v>9010</v>
      </c>
      <c r="G3007" s="1" t="s">
        <v>8957</v>
      </c>
      <c r="H3007" t="s">
        <v>9061</v>
      </c>
      <c r="I3007" s="1" t="s">
        <v>8948</v>
      </c>
      <c r="J3007" s="1" t="s">
        <v>8949</v>
      </c>
      <c r="K3007" s="1" t="s">
        <v>21462</v>
      </c>
      <c r="L3007" s="1" t="s">
        <v>9292</v>
      </c>
      <c r="M3007" s="1">
        <v>104</v>
      </c>
      <c r="N3007" s="1" t="s">
        <v>8953</v>
      </c>
      <c r="O3007" s="1" t="s">
        <v>8989</v>
      </c>
      <c r="P3007" s="1" t="s">
        <v>8955</v>
      </c>
      <c r="Q3007" s="1" t="s">
        <v>8956</v>
      </c>
      <c r="R3007" s="1" t="s">
        <v>8957</v>
      </c>
      <c r="S3007" s="1" t="s">
        <v>8958</v>
      </c>
      <c r="T3007" s="1" t="s">
        <v>7922</v>
      </c>
      <c r="U3007" s="1" t="s">
        <v>242</v>
      </c>
      <c r="V3007" s="1" t="s">
        <v>1076</v>
      </c>
      <c r="W3007" s="1"/>
    </row>
    <row r="3008" spans="1:23" x14ac:dyDescent="0.2">
      <c r="A3008" s="88" t="s">
        <v>18128</v>
      </c>
      <c r="B3008" s="1" t="e">
        <v>#N/A</v>
      </c>
      <c r="C3008" s="1" t="e">
        <v>#N/A</v>
      </c>
      <c r="D3008" s="1" t="s">
        <v>7923</v>
      </c>
      <c r="E3008" s="1" t="s">
        <v>7924</v>
      </c>
      <c r="F3008" s="1" t="s">
        <v>9310</v>
      </c>
      <c r="G3008" s="1" t="s">
        <v>8959</v>
      </c>
      <c r="H3008" t="s">
        <v>8959</v>
      </c>
      <c r="I3008" s="1" t="s">
        <v>8948</v>
      </c>
      <c r="J3008" s="1" t="s">
        <v>8949</v>
      </c>
      <c r="K3008" s="1" t="s">
        <v>10492</v>
      </c>
      <c r="L3008" s="1" t="s">
        <v>8973</v>
      </c>
      <c r="M3008" s="1">
        <f>6525+1578+12390</f>
        <v>20493</v>
      </c>
      <c r="N3008" s="1" t="s">
        <v>8953</v>
      </c>
      <c r="O3008" s="1" t="s">
        <v>8954</v>
      </c>
      <c r="P3008" s="1" t="e">
        <v>#N/A</v>
      </c>
      <c r="Q3008" s="1" t="e">
        <v>#N/A</v>
      </c>
      <c r="R3008" s="1">
        <f t="shared" ref="R3008:R3022" si="888">1+LEN(T3008)-LEN(SUBSTITUTE(T3008,",",))</f>
        <v>7</v>
      </c>
      <c r="S3008" s="1" t="str">
        <f t="shared" ref="S3008:S3022" si="889">IF(R3008&gt;4,IF(R3008&lt;8,"4-7",IF(R3008&gt;7,"&gt;7")),"&lt;4")</f>
        <v>4-7</v>
      </c>
      <c r="T3008" s="1" t="s">
        <v>20274</v>
      </c>
      <c r="U3008" s="1" t="s">
        <v>17</v>
      </c>
      <c r="V3008" s="1" t="s">
        <v>93</v>
      </c>
      <c r="W3008" s="1"/>
    </row>
    <row r="3009" spans="1:23" x14ac:dyDescent="0.2">
      <c r="A3009" s="88" t="s">
        <v>18129</v>
      </c>
      <c r="B3009" s="1" t="e">
        <v>#N/A</v>
      </c>
      <c r="C3009" s="1" t="e">
        <v>#N/A</v>
      </c>
      <c r="D3009" s="1" t="s">
        <v>7925</v>
      </c>
      <c r="E3009" s="1" t="s">
        <v>7926</v>
      </c>
      <c r="F3009" s="1" t="s">
        <v>18502</v>
      </c>
      <c r="G3009" s="1" t="s">
        <v>8959</v>
      </c>
      <c r="H3009" t="s">
        <v>8959</v>
      </c>
      <c r="I3009" s="1" t="s">
        <v>9035</v>
      </c>
      <c r="J3009" s="1" t="s">
        <v>9308</v>
      </c>
      <c r="K3009" s="1" t="s">
        <v>21392</v>
      </c>
      <c r="L3009" s="1" t="s">
        <v>9133</v>
      </c>
      <c r="M3009" s="1">
        <f>353818</f>
        <v>353818</v>
      </c>
      <c r="N3009" s="1" t="s">
        <v>8953</v>
      </c>
      <c r="O3009" s="1" t="s">
        <v>8954</v>
      </c>
      <c r="P3009" s="1" t="e">
        <v>#N/A</v>
      </c>
      <c r="Q3009" s="1" t="e">
        <v>#N/A</v>
      </c>
      <c r="R3009" s="1">
        <f t="shared" si="888"/>
        <v>17</v>
      </c>
      <c r="S3009" s="1" t="str">
        <f t="shared" si="889"/>
        <v>&gt;7</v>
      </c>
      <c r="T3009" s="1" t="s">
        <v>20275</v>
      </c>
      <c r="U3009" s="1" t="s">
        <v>7</v>
      </c>
      <c r="V3009" s="1" t="s">
        <v>1918</v>
      </c>
      <c r="W3009" s="1"/>
    </row>
    <row r="3010" spans="1:23" x14ac:dyDescent="0.2">
      <c r="A3010" s="88" t="s">
        <v>18130</v>
      </c>
      <c r="B3010" s="1" t="e">
        <v>#N/A</v>
      </c>
      <c r="C3010" s="1" t="e">
        <v>#N/A</v>
      </c>
      <c r="D3010" s="1" t="s">
        <v>7927</v>
      </c>
      <c r="E3010" s="1" t="s">
        <v>7928</v>
      </c>
      <c r="F3010" s="1" t="s">
        <v>10873</v>
      </c>
      <c r="G3010" s="1" t="s">
        <v>8957</v>
      </c>
      <c r="H3010" t="s">
        <v>9061</v>
      </c>
      <c r="I3010" s="1" t="s">
        <v>9100</v>
      </c>
      <c r="J3010" s="1" t="s">
        <v>8949</v>
      </c>
      <c r="K3010" s="1" t="s">
        <v>21111</v>
      </c>
      <c r="L3010" s="1" t="s">
        <v>8973</v>
      </c>
      <c r="M3010" s="1">
        <v>2770</v>
      </c>
      <c r="N3010" s="1" t="s">
        <v>9059</v>
      </c>
      <c r="O3010" s="1" t="s">
        <v>8954</v>
      </c>
      <c r="P3010" s="1" t="e">
        <v>#N/A</v>
      </c>
      <c r="Q3010" s="1" t="e">
        <v>#N/A</v>
      </c>
      <c r="R3010" s="1">
        <f t="shared" si="888"/>
        <v>42</v>
      </c>
      <c r="S3010" s="1" t="str">
        <f t="shared" si="889"/>
        <v>&gt;7</v>
      </c>
      <c r="T3010" s="1" t="s">
        <v>20703</v>
      </c>
      <c r="U3010" s="1" t="s">
        <v>17</v>
      </c>
      <c r="V3010" s="1" t="s">
        <v>544</v>
      </c>
      <c r="W3010" s="1"/>
    </row>
    <row r="3011" spans="1:23" x14ac:dyDescent="0.2">
      <c r="A3011" s="88" t="s">
        <v>18131</v>
      </c>
      <c r="B3011" s="1" t="e">
        <v>#N/A</v>
      </c>
      <c r="C3011" s="1" t="e">
        <v>#N/A</v>
      </c>
      <c r="D3011" s="1" t="s">
        <v>7929</v>
      </c>
      <c r="E3011" s="1" t="s">
        <v>7930</v>
      </c>
      <c r="F3011" s="1" t="s">
        <v>9310</v>
      </c>
      <c r="G3011" s="1" t="s">
        <v>8957</v>
      </c>
      <c r="H3011" t="s">
        <v>8959</v>
      </c>
      <c r="I3011" s="1" t="s">
        <v>9075</v>
      </c>
      <c r="J3011" s="1" t="s">
        <v>8949</v>
      </c>
      <c r="K3011" s="1" t="s">
        <v>18497</v>
      </c>
      <c r="L3011" s="1" t="s">
        <v>9292</v>
      </c>
      <c r="M3011" s="1">
        <v>894</v>
      </c>
      <c r="N3011" s="1" t="s">
        <v>9059</v>
      </c>
      <c r="O3011" s="1" t="s">
        <v>8954</v>
      </c>
      <c r="P3011" s="1" t="e">
        <v>#N/A</v>
      </c>
      <c r="Q3011" s="1" t="e">
        <v>#N/A</v>
      </c>
      <c r="R3011" s="1">
        <f t="shared" si="888"/>
        <v>13</v>
      </c>
      <c r="S3011" s="1" t="str">
        <f t="shared" si="889"/>
        <v>&gt;7</v>
      </c>
      <c r="T3011" s="1" t="s">
        <v>20276</v>
      </c>
      <c r="U3011" s="1" t="s">
        <v>7</v>
      </c>
      <c r="V3011" s="1" t="s">
        <v>1918</v>
      </c>
      <c r="W3011" s="1"/>
    </row>
    <row r="3012" spans="1:23" x14ac:dyDescent="0.2">
      <c r="A3012" s="92" t="s">
        <v>18132</v>
      </c>
      <c r="B3012" s="1" t="e">
        <v>#N/A</v>
      </c>
      <c r="C3012" s="1" t="e">
        <v>#N/A</v>
      </c>
      <c r="D3012" s="1" t="s">
        <v>7931</v>
      </c>
      <c r="E3012" s="1" t="s">
        <v>7932</v>
      </c>
      <c r="F3012" s="1" t="e">
        <v>#N/A</v>
      </c>
      <c r="G3012" s="1" t="e">
        <v>#N/A</v>
      </c>
      <c r="H3012" t="e">
        <v>#N/A</v>
      </c>
      <c r="I3012" s="1" t="e">
        <v>#N/A</v>
      </c>
      <c r="J3012" s="1" t="e">
        <v>#N/A</v>
      </c>
      <c r="K3012" s="1" t="e">
        <v>#N/A</v>
      </c>
      <c r="L3012" s="1" t="e">
        <v>#N/A</v>
      </c>
      <c r="M3012" s="1" t="e">
        <v>#N/A</v>
      </c>
      <c r="N3012" s="1" t="e">
        <v>#N/A</v>
      </c>
      <c r="O3012" s="1" t="e">
        <v>#N/A</v>
      </c>
      <c r="P3012" s="1" t="e">
        <v>#N/A</v>
      </c>
      <c r="Q3012" s="1" t="e">
        <v>#N/A</v>
      </c>
      <c r="R3012" s="1">
        <f t="shared" si="888"/>
        <v>9</v>
      </c>
      <c r="S3012" s="1" t="str">
        <f t="shared" si="889"/>
        <v>&gt;7</v>
      </c>
      <c r="T3012" s="1" t="s">
        <v>20277</v>
      </c>
      <c r="U3012" s="1" t="s">
        <v>7</v>
      </c>
      <c r="V3012" s="1" t="s">
        <v>1328</v>
      </c>
      <c r="W3012" s="1"/>
    </row>
    <row r="3013" spans="1:23" x14ac:dyDescent="0.2">
      <c r="A3013" s="88" t="s">
        <v>18133</v>
      </c>
      <c r="B3013" s="1" t="e">
        <v>#N/A</v>
      </c>
      <c r="C3013" s="1" t="e">
        <v>#N/A</v>
      </c>
      <c r="D3013" s="1" t="s">
        <v>7933</v>
      </c>
      <c r="E3013" s="1" t="s">
        <v>7934</v>
      </c>
      <c r="F3013" s="1" t="s">
        <v>10850</v>
      </c>
      <c r="G3013" s="1" t="s">
        <v>8959</v>
      </c>
      <c r="H3013" t="s">
        <v>8959</v>
      </c>
      <c r="I3013" s="1" t="s">
        <v>9100</v>
      </c>
      <c r="J3013" s="1" t="s">
        <v>8949</v>
      </c>
      <c r="K3013" s="1" t="s">
        <v>21449</v>
      </c>
      <c r="L3013" s="1" t="s">
        <v>8973</v>
      </c>
      <c r="M3013" s="1">
        <v>45171</v>
      </c>
      <c r="N3013" s="1" t="s">
        <v>8953</v>
      </c>
      <c r="O3013" s="1" t="s">
        <v>8989</v>
      </c>
      <c r="P3013" s="1" t="e">
        <v>#N/A</v>
      </c>
      <c r="Q3013" s="1" t="e">
        <v>#N/A</v>
      </c>
      <c r="R3013" s="1">
        <f t="shared" si="888"/>
        <v>4</v>
      </c>
      <c r="S3013" s="1" t="str">
        <f t="shared" si="889"/>
        <v>&lt;4</v>
      </c>
      <c r="T3013" s="1" t="s">
        <v>20278</v>
      </c>
      <c r="U3013" s="1" t="s">
        <v>7</v>
      </c>
      <c r="V3013" s="1" t="s">
        <v>46</v>
      </c>
      <c r="W3013" s="1"/>
    </row>
    <row r="3014" spans="1:23" x14ac:dyDescent="0.2">
      <c r="A3014" s="88" t="s">
        <v>18134</v>
      </c>
      <c r="B3014" s="1" t="e">
        <v>#N/A</v>
      </c>
      <c r="C3014" s="1" t="e">
        <v>#N/A</v>
      </c>
      <c r="D3014" s="1" t="s">
        <v>7935</v>
      </c>
      <c r="E3014" s="1" t="s">
        <v>7936</v>
      </c>
      <c r="F3014" s="1" t="s">
        <v>9310</v>
      </c>
      <c r="G3014" s="1" t="s">
        <v>8957</v>
      </c>
      <c r="H3014" t="s">
        <v>8959</v>
      </c>
      <c r="I3014" s="1" t="s">
        <v>9035</v>
      </c>
      <c r="J3014" s="1" t="s">
        <v>8998</v>
      </c>
      <c r="K3014" s="1" t="s">
        <v>20723</v>
      </c>
      <c r="L3014" s="1" t="s">
        <v>8987</v>
      </c>
      <c r="M3014" s="1">
        <v>1000</v>
      </c>
      <c r="N3014" s="1" t="s">
        <v>8953</v>
      </c>
      <c r="O3014" s="1" t="s">
        <v>8989</v>
      </c>
      <c r="P3014" s="1" t="e">
        <v>#N/A</v>
      </c>
      <c r="Q3014" s="1" t="e">
        <v>#N/A</v>
      </c>
      <c r="R3014" s="1">
        <f t="shared" si="888"/>
        <v>12</v>
      </c>
      <c r="S3014" s="1" t="str">
        <f t="shared" si="889"/>
        <v>&gt;7</v>
      </c>
      <c r="T3014" s="1" t="s">
        <v>20279</v>
      </c>
      <c r="U3014" s="1" t="s">
        <v>17</v>
      </c>
      <c r="V3014" s="1" t="s">
        <v>234</v>
      </c>
      <c r="W3014" s="1"/>
    </row>
    <row r="3015" spans="1:23" x14ac:dyDescent="0.2">
      <c r="A3015" s="88" t="s">
        <v>18135</v>
      </c>
      <c r="B3015" s="1" t="e">
        <v>#N/A</v>
      </c>
      <c r="C3015" s="1" t="e">
        <v>#N/A</v>
      </c>
      <c r="D3015" s="1" t="s">
        <v>7937</v>
      </c>
      <c r="E3015" s="1" t="s">
        <v>7938</v>
      </c>
      <c r="F3015" s="1" t="s">
        <v>9310</v>
      </c>
      <c r="G3015" s="1" t="s">
        <v>8957</v>
      </c>
      <c r="H3015" t="s">
        <v>8959</v>
      </c>
      <c r="I3015" s="1" t="s">
        <v>9035</v>
      </c>
      <c r="J3015" s="1" t="s">
        <v>8998</v>
      </c>
      <c r="K3015" s="1" t="s">
        <v>18497</v>
      </c>
      <c r="L3015" s="1" t="s">
        <v>9292</v>
      </c>
      <c r="M3015" s="1">
        <v>495</v>
      </c>
      <c r="N3015" s="1" t="s">
        <v>9059</v>
      </c>
      <c r="O3015" s="1" t="s">
        <v>8954</v>
      </c>
      <c r="P3015" s="1" t="e">
        <v>#N/A</v>
      </c>
      <c r="Q3015" s="1" t="e">
        <v>#N/A</v>
      </c>
      <c r="R3015" s="1">
        <f t="shared" si="888"/>
        <v>11</v>
      </c>
      <c r="S3015" s="1" t="str">
        <f t="shared" si="889"/>
        <v>&gt;7</v>
      </c>
      <c r="T3015" s="1" t="s">
        <v>20280</v>
      </c>
      <c r="U3015" s="1" t="s">
        <v>7</v>
      </c>
      <c r="V3015" s="1" t="s">
        <v>831</v>
      </c>
      <c r="W3015" s="1"/>
    </row>
    <row r="3016" spans="1:23" x14ac:dyDescent="0.2">
      <c r="A3016" s="88" t="s">
        <v>18136</v>
      </c>
      <c r="B3016" s="1" t="e">
        <v>#N/A</v>
      </c>
      <c r="C3016" s="1" t="e">
        <v>#N/A</v>
      </c>
      <c r="D3016" s="1" t="s">
        <v>7939</v>
      </c>
      <c r="E3016" s="1" t="s">
        <v>7940</v>
      </c>
      <c r="F3016" s="1" t="s">
        <v>9310</v>
      </c>
      <c r="G3016" s="1" t="s">
        <v>8957</v>
      </c>
      <c r="H3016" t="s">
        <v>8959</v>
      </c>
      <c r="I3016" s="1" t="s">
        <v>8984</v>
      </c>
      <c r="J3016" s="1" t="s">
        <v>8998</v>
      </c>
      <c r="K3016" s="1" t="s">
        <v>20723</v>
      </c>
      <c r="L3016" s="1" t="s">
        <v>8951</v>
      </c>
      <c r="M3016" s="1">
        <f>119+279</f>
        <v>398</v>
      </c>
      <c r="N3016" s="1" t="s">
        <v>9059</v>
      </c>
      <c r="O3016" s="1" t="s">
        <v>8989</v>
      </c>
      <c r="P3016" s="1" t="e">
        <v>#N/A</v>
      </c>
      <c r="Q3016" s="1" t="e">
        <v>#N/A</v>
      </c>
      <c r="R3016" s="1">
        <f t="shared" si="888"/>
        <v>15</v>
      </c>
      <c r="S3016" s="1" t="str">
        <f t="shared" si="889"/>
        <v>&gt;7</v>
      </c>
      <c r="T3016" s="1" t="s">
        <v>20281</v>
      </c>
      <c r="U3016" s="1" t="s">
        <v>7</v>
      </c>
      <c r="V3016" s="1" t="s">
        <v>562</v>
      </c>
      <c r="W3016" s="1"/>
    </row>
    <row r="3017" spans="1:23" x14ac:dyDescent="0.2">
      <c r="A3017" s="88" t="s">
        <v>18137</v>
      </c>
      <c r="B3017" s="1" t="e">
        <v>#N/A</v>
      </c>
      <c r="C3017" s="1" t="e">
        <v>#N/A</v>
      </c>
      <c r="D3017" s="1" t="s">
        <v>7941</v>
      </c>
      <c r="E3017" s="1" t="s">
        <v>7942</v>
      </c>
      <c r="F3017" s="1" t="s">
        <v>18502</v>
      </c>
      <c r="G3017" s="1" t="s">
        <v>8957</v>
      </c>
      <c r="H3017" t="s">
        <v>8959</v>
      </c>
      <c r="I3017" s="1" t="s">
        <v>9035</v>
      </c>
      <c r="J3017" s="1" t="s">
        <v>8998</v>
      </c>
      <c r="K3017" s="1" t="s">
        <v>21113</v>
      </c>
      <c r="L3017" s="1" t="s">
        <v>8973</v>
      </c>
      <c r="M3017" s="1">
        <v>38</v>
      </c>
      <c r="N3017" s="1" t="s">
        <v>9059</v>
      </c>
      <c r="O3017" s="1" t="s">
        <v>8989</v>
      </c>
      <c r="P3017" s="1" t="e">
        <v>#N/A</v>
      </c>
      <c r="Q3017" s="1" t="e">
        <v>#N/A</v>
      </c>
      <c r="R3017" s="1">
        <f t="shared" si="888"/>
        <v>4</v>
      </c>
      <c r="S3017" s="1" t="str">
        <f t="shared" si="889"/>
        <v>&lt;4</v>
      </c>
      <c r="T3017" s="1" t="s">
        <v>20282</v>
      </c>
      <c r="U3017" s="1" t="s">
        <v>11</v>
      </c>
      <c r="V3017" s="1" t="s">
        <v>1050</v>
      </c>
      <c r="W3017" s="1"/>
    </row>
    <row r="3018" spans="1:23" x14ac:dyDescent="0.2">
      <c r="A3018" s="88" t="s">
        <v>18138</v>
      </c>
      <c r="B3018" s="1" t="e">
        <v>#N/A</v>
      </c>
      <c r="C3018" s="1" t="e">
        <v>#N/A</v>
      </c>
      <c r="D3018" s="1" t="s">
        <v>7943</v>
      </c>
      <c r="E3018" s="1" t="s">
        <v>7944</v>
      </c>
      <c r="F3018" s="1" t="s">
        <v>18502</v>
      </c>
      <c r="G3018" s="1" t="s">
        <v>9060</v>
      </c>
      <c r="H3018" t="s">
        <v>9061</v>
      </c>
      <c r="I3018" s="1" t="s">
        <v>9092</v>
      </c>
      <c r="J3018" s="1" t="s">
        <v>8949</v>
      </c>
      <c r="K3018" s="1" t="s">
        <v>21111</v>
      </c>
      <c r="L3018" s="1" t="s">
        <v>9076</v>
      </c>
      <c r="M3018" s="1">
        <f>360*32</f>
        <v>11520</v>
      </c>
      <c r="N3018" s="1" t="s">
        <v>8953</v>
      </c>
      <c r="O3018" s="1" t="s">
        <v>8989</v>
      </c>
      <c r="P3018" s="1" t="e">
        <v>#N/A</v>
      </c>
      <c r="Q3018" s="1" t="e">
        <v>#N/A</v>
      </c>
      <c r="R3018" s="1">
        <f t="shared" si="888"/>
        <v>7</v>
      </c>
      <c r="S3018" s="1" t="str">
        <f t="shared" si="889"/>
        <v>4-7</v>
      </c>
      <c r="T3018" s="1" t="s">
        <v>20283</v>
      </c>
      <c r="U3018" s="1" t="s">
        <v>7</v>
      </c>
      <c r="V3018" s="1" t="s">
        <v>21</v>
      </c>
      <c r="W3018" s="1"/>
    </row>
    <row r="3019" spans="1:23" x14ac:dyDescent="0.2">
      <c r="A3019" s="88" t="s">
        <v>18139</v>
      </c>
      <c r="B3019" s="1" t="e">
        <v>#N/A</v>
      </c>
      <c r="C3019" s="1" t="e">
        <v>#N/A</v>
      </c>
      <c r="D3019" s="1" t="s">
        <v>7945</v>
      </c>
      <c r="E3019" s="1" t="s">
        <v>7946</v>
      </c>
      <c r="F3019" s="1" t="s">
        <v>18502</v>
      </c>
      <c r="G3019" s="1" t="s">
        <v>8957</v>
      </c>
      <c r="H3019" t="s">
        <v>9061</v>
      </c>
      <c r="I3019" s="1" t="s">
        <v>9092</v>
      </c>
      <c r="J3019" s="1" t="s">
        <v>8949</v>
      </c>
      <c r="K3019" s="1" t="s">
        <v>21458</v>
      </c>
      <c r="L3019" s="1" t="s">
        <v>9076</v>
      </c>
      <c r="M3019" s="1">
        <f>1224+288</f>
        <v>1512</v>
      </c>
      <c r="N3019" s="1" t="s">
        <v>8953</v>
      </c>
      <c r="O3019" s="1" t="s">
        <v>8989</v>
      </c>
      <c r="P3019" s="1" t="e">
        <v>#N/A</v>
      </c>
      <c r="Q3019" s="1" t="e">
        <v>#N/A</v>
      </c>
      <c r="R3019" s="1">
        <f t="shared" si="888"/>
        <v>4</v>
      </c>
      <c r="S3019" s="1" t="str">
        <f t="shared" si="889"/>
        <v>&lt;4</v>
      </c>
      <c r="T3019" s="1" t="s">
        <v>20284</v>
      </c>
      <c r="U3019" s="1" t="s">
        <v>7</v>
      </c>
      <c r="V3019" s="1" t="s">
        <v>21</v>
      </c>
      <c r="W3019" s="1"/>
    </row>
    <row r="3020" spans="1:23" x14ac:dyDescent="0.2">
      <c r="A3020" s="88" t="s">
        <v>18140</v>
      </c>
      <c r="B3020" s="1" t="e">
        <v>#N/A</v>
      </c>
      <c r="C3020" s="1" t="e">
        <v>#N/A</v>
      </c>
      <c r="D3020" s="1" t="s">
        <v>7947</v>
      </c>
      <c r="E3020" s="1" t="s">
        <v>7948</v>
      </c>
      <c r="F3020" s="1" t="s">
        <v>18502</v>
      </c>
      <c r="G3020" s="1" t="s">
        <v>8957</v>
      </c>
      <c r="H3020" t="s">
        <v>8959</v>
      </c>
      <c r="I3020" s="1" t="s">
        <v>9605</v>
      </c>
      <c r="J3020" s="1" t="s">
        <v>9101</v>
      </c>
      <c r="K3020" s="1" t="s">
        <v>21449</v>
      </c>
      <c r="L3020" s="1" t="s">
        <v>9076</v>
      </c>
      <c r="M3020" s="84">
        <v>100000</v>
      </c>
      <c r="N3020" s="1" t="s">
        <v>8953</v>
      </c>
      <c r="O3020" s="84" t="s">
        <v>8989</v>
      </c>
      <c r="P3020" s="1" t="e">
        <v>#N/A</v>
      </c>
      <c r="Q3020" s="1" t="e">
        <v>#N/A</v>
      </c>
      <c r="R3020" s="1">
        <f t="shared" si="888"/>
        <v>8</v>
      </c>
      <c r="S3020" s="1" t="str">
        <f t="shared" si="889"/>
        <v>&gt;7</v>
      </c>
      <c r="T3020" s="1" t="s">
        <v>20285</v>
      </c>
      <c r="U3020" s="1" t="s">
        <v>17</v>
      </c>
      <c r="V3020" s="1" t="s">
        <v>700</v>
      </c>
      <c r="W3020" s="1"/>
    </row>
    <row r="3021" spans="1:23" x14ac:dyDescent="0.2">
      <c r="A3021" s="94" t="s">
        <v>18141</v>
      </c>
      <c r="B3021" s="1" t="e">
        <v>#N/A</v>
      </c>
      <c r="C3021" s="1" t="e">
        <v>#N/A</v>
      </c>
      <c r="D3021" s="1" t="s">
        <v>7949</v>
      </c>
      <c r="E3021" s="1" t="s">
        <v>7950</v>
      </c>
      <c r="F3021" s="1" t="e">
        <v>#N/A</v>
      </c>
      <c r="G3021" s="1" t="e">
        <v>#N/A</v>
      </c>
      <c r="H3021" t="e">
        <v>#N/A</v>
      </c>
      <c r="I3021" s="1" t="e">
        <v>#N/A</v>
      </c>
      <c r="J3021" s="1" t="e">
        <v>#N/A</v>
      </c>
      <c r="K3021" s="1" t="e">
        <v>#N/A</v>
      </c>
      <c r="L3021" s="1" t="e">
        <v>#N/A</v>
      </c>
      <c r="M3021" s="1" t="e">
        <v>#N/A</v>
      </c>
      <c r="N3021" s="1" t="e">
        <v>#N/A</v>
      </c>
      <c r="O3021" s="1" t="e">
        <v>#N/A</v>
      </c>
      <c r="P3021" s="1" t="e">
        <v>#N/A</v>
      </c>
      <c r="Q3021" s="1" t="e">
        <v>#N/A</v>
      </c>
      <c r="R3021" s="1">
        <f t="shared" si="888"/>
        <v>12</v>
      </c>
      <c r="S3021" s="1" t="str">
        <f t="shared" si="889"/>
        <v>&gt;7</v>
      </c>
      <c r="T3021" s="1" t="s">
        <v>20286</v>
      </c>
      <c r="U3021" s="1" t="s">
        <v>7</v>
      </c>
      <c r="V3021" s="1" t="s">
        <v>4874</v>
      </c>
      <c r="W3021" s="1"/>
    </row>
    <row r="3022" spans="1:23" x14ac:dyDescent="0.2">
      <c r="A3022" s="88" t="s">
        <v>18142</v>
      </c>
      <c r="B3022" s="1" t="e">
        <v>#N/A</v>
      </c>
      <c r="C3022" s="1" t="e">
        <v>#N/A</v>
      </c>
      <c r="D3022" s="1" t="s">
        <v>7951</v>
      </c>
      <c r="E3022" s="1" t="s">
        <v>7952</v>
      </c>
      <c r="F3022" s="1" t="s">
        <v>9310</v>
      </c>
      <c r="G3022" s="1" t="s">
        <v>8957</v>
      </c>
      <c r="H3022" t="s">
        <v>9009</v>
      </c>
      <c r="I3022" s="1" t="s">
        <v>9092</v>
      </c>
      <c r="J3022" s="1" t="s">
        <v>9101</v>
      </c>
      <c r="K3022" s="1" t="s">
        <v>21114</v>
      </c>
      <c r="L3022" s="1" t="s">
        <v>21115</v>
      </c>
      <c r="M3022" s="1">
        <v>291</v>
      </c>
      <c r="N3022" s="1" t="s">
        <v>8953</v>
      </c>
      <c r="O3022" s="1" t="s">
        <v>8989</v>
      </c>
      <c r="P3022" s="1" t="e">
        <v>#N/A</v>
      </c>
      <c r="Q3022" s="1" t="e">
        <v>#N/A</v>
      </c>
      <c r="R3022" s="1">
        <f t="shared" si="888"/>
        <v>11</v>
      </c>
      <c r="S3022" s="1" t="str">
        <f t="shared" si="889"/>
        <v>&gt;7</v>
      </c>
      <c r="T3022" s="1" t="s">
        <v>20287</v>
      </c>
      <c r="U3022" s="1" t="s">
        <v>7</v>
      </c>
      <c r="V3022" s="1" t="s">
        <v>1614</v>
      </c>
      <c r="W3022" s="1"/>
    </row>
    <row r="3023" spans="1:23" x14ac:dyDescent="0.2">
      <c r="A3023" s="88" t="s">
        <v>18143</v>
      </c>
      <c r="B3023" s="1" t="e">
        <v>#N/A</v>
      </c>
      <c r="C3023" s="1" t="s">
        <v>12267</v>
      </c>
      <c r="D3023" s="1" t="s">
        <v>7953</v>
      </c>
      <c r="E3023" s="1" t="s">
        <v>7954</v>
      </c>
      <c r="F3023" s="1" t="s">
        <v>9010</v>
      </c>
      <c r="G3023" s="1" t="s">
        <v>8959</v>
      </c>
      <c r="H3023" t="s">
        <v>8959</v>
      </c>
      <c r="I3023" s="1" t="s">
        <v>8984</v>
      </c>
      <c r="J3023" s="1" t="s">
        <v>8998</v>
      </c>
      <c r="K3023" s="1" t="s">
        <v>9036</v>
      </c>
      <c r="L3023" s="1" t="s">
        <v>9076</v>
      </c>
      <c r="M3023" s="1">
        <v>360</v>
      </c>
      <c r="N3023" s="1" t="s">
        <v>8953</v>
      </c>
      <c r="O3023" s="1" t="s">
        <v>8989</v>
      </c>
      <c r="P3023" s="1" t="s">
        <v>8955</v>
      </c>
      <c r="Q3023" s="1" t="s">
        <v>8956</v>
      </c>
      <c r="R3023" s="1" t="s">
        <v>8959</v>
      </c>
      <c r="S3023" s="1" t="s">
        <v>8958</v>
      </c>
      <c r="T3023" s="1" t="s">
        <v>7955</v>
      </c>
      <c r="U3023" s="1" t="s">
        <v>11</v>
      </c>
      <c r="V3023" s="1" t="s">
        <v>61</v>
      </c>
      <c r="W3023" s="1"/>
    </row>
    <row r="3024" spans="1:23" x14ac:dyDescent="0.2">
      <c r="A3024" s="88" t="s">
        <v>18144</v>
      </c>
      <c r="B3024" s="1" t="e">
        <v>#N/A</v>
      </c>
      <c r="C3024" s="1" t="e">
        <v>#N/A</v>
      </c>
      <c r="D3024" s="1" t="s">
        <v>7956</v>
      </c>
      <c r="E3024" s="1" t="s">
        <v>7957</v>
      </c>
      <c r="F3024" s="1" t="s">
        <v>9310</v>
      </c>
      <c r="G3024" s="1" t="s">
        <v>9060</v>
      </c>
      <c r="H3024" t="s">
        <v>8959</v>
      </c>
      <c r="I3024" s="1" t="s">
        <v>9075</v>
      </c>
      <c r="J3024" s="1" t="s">
        <v>8949</v>
      </c>
      <c r="K3024" s="1" t="s">
        <v>18497</v>
      </c>
      <c r="L3024" s="1" t="s">
        <v>8987</v>
      </c>
      <c r="M3024" s="1">
        <v>4080000</v>
      </c>
      <c r="N3024" s="1" t="s">
        <v>8953</v>
      </c>
      <c r="O3024" s="1" t="s">
        <v>8954</v>
      </c>
      <c r="P3024" s="1" t="e">
        <v>#N/A</v>
      </c>
      <c r="Q3024" s="1" t="e">
        <v>#N/A</v>
      </c>
      <c r="R3024" s="1">
        <f t="shared" ref="R3024:R3025" si="890">1+LEN(T3024)-LEN(SUBSTITUTE(T3024,",",))</f>
        <v>18</v>
      </c>
      <c r="S3024" s="1" t="str">
        <f t="shared" ref="S3024:S3025" si="891">IF(R3024&gt;4,IF(R3024&lt;8,"4-7",IF(R3024&gt;7,"&gt;7")),"&lt;4")</f>
        <v>&gt;7</v>
      </c>
      <c r="T3024" s="1" t="s">
        <v>20288</v>
      </c>
      <c r="U3024" s="1" t="s">
        <v>7</v>
      </c>
      <c r="V3024" s="1" t="s">
        <v>39</v>
      </c>
      <c r="W3024" s="1"/>
    </row>
    <row r="3025" spans="1:23" x14ac:dyDescent="0.2">
      <c r="A3025" s="88" t="s">
        <v>18145</v>
      </c>
      <c r="B3025" s="1" t="e">
        <v>#N/A</v>
      </c>
      <c r="C3025" s="1" t="e">
        <v>#N/A</v>
      </c>
      <c r="D3025" s="1" t="s">
        <v>7958</v>
      </c>
      <c r="E3025" s="1" t="s">
        <v>7959</v>
      </c>
      <c r="F3025" s="1" t="s">
        <v>9310</v>
      </c>
      <c r="G3025" s="1" t="s">
        <v>8957</v>
      </c>
      <c r="H3025" t="s">
        <v>8959</v>
      </c>
      <c r="I3025" s="1" t="s">
        <v>20714</v>
      </c>
      <c r="J3025" s="1" t="s">
        <v>20725</v>
      </c>
      <c r="K3025" s="1" t="s">
        <v>10492</v>
      </c>
      <c r="L3025" s="1" t="s">
        <v>8987</v>
      </c>
      <c r="M3025" s="1">
        <f>67*128</f>
        <v>8576</v>
      </c>
      <c r="N3025" s="1" t="s">
        <v>8953</v>
      </c>
      <c r="O3025" s="1" t="s">
        <v>8989</v>
      </c>
      <c r="P3025" s="1" t="e">
        <v>#N/A</v>
      </c>
      <c r="Q3025" s="1" t="e">
        <v>#N/A</v>
      </c>
      <c r="R3025" s="1">
        <f t="shared" si="890"/>
        <v>6</v>
      </c>
      <c r="S3025" s="1" t="str">
        <f t="shared" si="891"/>
        <v>4-7</v>
      </c>
      <c r="T3025" s="1" t="s">
        <v>20289</v>
      </c>
      <c r="U3025" s="1" t="s">
        <v>7</v>
      </c>
      <c r="V3025" s="1" t="s">
        <v>1797</v>
      </c>
      <c r="W3025" s="1"/>
    </row>
    <row r="3026" spans="1:23" x14ac:dyDescent="0.2">
      <c r="A3026" s="88" t="s">
        <v>18146</v>
      </c>
      <c r="B3026" s="1" t="e">
        <v>#N/A</v>
      </c>
      <c r="C3026" s="1" t="s">
        <v>10812</v>
      </c>
      <c r="D3026" s="1" t="s">
        <v>7960</v>
      </c>
      <c r="E3026" s="1" t="s">
        <v>7961</v>
      </c>
      <c r="F3026" s="1" t="s">
        <v>9310</v>
      </c>
      <c r="G3026" s="1" t="s">
        <v>8957</v>
      </c>
      <c r="H3026" t="s">
        <v>8959</v>
      </c>
      <c r="I3026" s="1" t="s">
        <v>8984</v>
      </c>
      <c r="J3026" s="1" t="s">
        <v>8998</v>
      </c>
      <c r="K3026" s="1" t="s">
        <v>10258</v>
      </c>
      <c r="L3026" s="1" t="s">
        <v>8973</v>
      </c>
      <c r="M3026" s="1">
        <v>15500</v>
      </c>
      <c r="N3026" s="1" t="s">
        <v>8953</v>
      </c>
      <c r="O3026" s="1" t="s">
        <v>8954</v>
      </c>
      <c r="P3026" s="1" t="s">
        <v>8955</v>
      </c>
      <c r="Q3026" s="1" t="s">
        <v>8990</v>
      </c>
      <c r="R3026" s="1" t="s">
        <v>8957</v>
      </c>
      <c r="S3026" s="1" t="s">
        <v>9103</v>
      </c>
      <c r="T3026" s="1" t="s">
        <v>7962</v>
      </c>
      <c r="U3026" s="1" t="s">
        <v>11</v>
      </c>
      <c r="V3026" s="1" t="s">
        <v>97</v>
      </c>
      <c r="W3026" s="1"/>
    </row>
    <row r="3027" spans="1:23" x14ac:dyDescent="0.2">
      <c r="A3027" s="88" t="s">
        <v>18147</v>
      </c>
      <c r="B3027" s="1" t="e">
        <v>#N/A</v>
      </c>
      <c r="C3027" s="1" t="s">
        <v>10933</v>
      </c>
      <c r="D3027" s="1" t="s">
        <v>7963</v>
      </c>
      <c r="E3027" s="1" t="s">
        <v>7964</v>
      </c>
      <c r="F3027" s="1" t="s">
        <v>9176</v>
      </c>
      <c r="G3027" s="1" t="s">
        <v>8974</v>
      </c>
      <c r="H3027" t="s">
        <v>9009</v>
      </c>
      <c r="I3027" s="1" t="s">
        <v>9605</v>
      </c>
      <c r="J3027" s="1" t="s">
        <v>8985</v>
      </c>
      <c r="K3027" s="1" t="s">
        <v>10936</v>
      </c>
      <c r="L3027" s="1" t="s">
        <v>8987</v>
      </c>
      <c r="M3027" s="1">
        <v>126</v>
      </c>
      <c r="N3027" s="1" t="s">
        <v>8953</v>
      </c>
      <c r="O3027" s="1" t="s">
        <v>8954</v>
      </c>
      <c r="P3027" s="1" t="s">
        <v>8955</v>
      </c>
      <c r="Q3027" s="1" t="s">
        <v>8956</v>
      </c>
      <c r="R3027" s="1" t="s">
        <v>8974</v>
      </c>
      <c r="S3027" s="1" t="s">
        <v>8958</v>
      </c>
      <c r="T3027" s="1" t="s">
        <v>7965</v>
      </c>
      <c r="U3027" s="1" t="s">
        <v>11</v>
      </c>
      <c r="V3027" s="1" t="s">
        <v>46</v>
      </c>
      <c r="W3027" s="1"/>
    </row>
    <row r="3028" spans="1:23" x14ac:dyDescent="0.2">
      <c r="A3028" s="94" t="s">
        <v>18148</v>
      </c>
      <c r="B3028" s="1" t="e">
        <v>#N/A</v>
      </c>
      <c r="C3028" s="1" t="e">
        <v>#N/A</v>
      </c>
      <c r="D3028" s="1" t="s">
        <v>7966</v>
      </c>
      <c r="E3028" s="1" t="s">
        <v>7967</v>
      </c>
      <c r="F3028" s="1" t="e">
        <v>#N/A</v>
      </c>
      <c r="G3028" s="1" t="e">
        <v>#N/A</v>
      </c>
      <c r="H3028" t="e">
        <v>#N/A</v>
      </c>
      <c r="I3028" s="1" t="e">
        <v>#N/A</v>
      </c>
      <c r="J3028" s="1" t="e">
        <v>#N/A</v>
      </c>
      <c r="K3028" s="1" t="e">
        <v>#N/A</v>
      </c>
      <c r="L3028" s="1" t="e">
        <v>#N/A</v>
      </c>
      <c r="M3028" s="1" t="e">
        <v>#N/A</v>
      </c>
      <c r="N3028" s="1" t="e">
        <v>#N/A</v>
      </c>
      <c r="O3028" s="1" t="e">
        <v>#N/A</v>
      </c>
      <c r="P3028" s="1" t="e">
        <v>#N/A</v>
      </c>
      <c r="Q3028" s="1" t="e">
        <v>#N/A</v>
      </c>
      <c r="R3028" s="1">
        <f t="shared" ref="R3028:R3030" si="892">1+LEN(T3028)-LEN(SUBSTITUTE(T3028,",",))</f>
        <v>28</v>
      </c>
      <c r="S3028" s="1" t="str">
        <f t="shared" ref="S3028:S3030" si="893">IF(R3028&gt;4,IF(R3028&lt;8,"4-7",IF(R3028&gt;7,"&gt;7")),"&lt;4")</f>
        <v>&gt;7</v>
      </c>
      <c r="T3028" s="1" t="s">
        <v>20290</v>
      </c>
      <c r="U3028" s="1" t="s">
        <v>7</v>
      </c>
      <c r="V3028" s="1" t="s">
        <v>7968</v>
      </c>
      <c r="W3028" s="1"/>
    </row>
    <row r="3029" spans="1:23" x14ac:dyDescent="0.2">
      <c r="A3029" s="88" t="s">
        <v>18149</v>
      </c>
      <c r="B3029" s="1" t="e">
        <v>#N/A</v>
      </c>
      <c r="C3029" s="1" t="e">
        <v>#N/A</v>
      </c>
      <c r="D3029" s="1" t="s">
        <v>7969</v>
      </c>
      <c r="E3029" s="1" t="s">
        <v>7970</v>
      </c>
      <c r="F3029" s="1" t="s">
        <v>9310</v>
      </c>
      <c r="G3029" s="1" t="s">
        <v>8957</v>
      </c>
      <c r="H3029" t="s">
        <v>9061</v>
      </c>
      <c r="I3029" s="1" t="s">
        <v>9035</v>
      </c>
      <c r="J3029" s="1" t="s">
        <v>8998</v>
      </c>
      <c r="K3029" s="1" t="s">
        <v>10492</v>
      </c>
      <c r="L3029" s="1" t="s">
        <v>8987</v>
      </c>
      <c r="M3029" s="1">
        <v>373</v>
      </c>
      <c r="N3029" s="1" t="s">
        <v>9059</v>
      </c>
      <c r="O3029" s="1" t="s">
        <v>8954</v>
      </c>
      <c r="P3029" s="1" t="e">
        <v>#N/A</v>
      </c>
      <c r="Q3029" s="1" t="e">
        <v>#N/A</v>
      </c>
      <c r="R3029" s="1">
        <f t="shared" si="892"/>
        <v>7</v>
      </c>
      <c r="S3029" s="1" t="str">
        <f t="shared" si="893"/>
        <v>4-7</v>
      </c>
      <c r="T3029" s="1" t="s">
        <v>20291</v>
      </c>
      <c r="U3029" s="1" t="s">
        <v>7</v>
      </c>
      <c r="V3029" s="1" t="s">
        <v>2377</v>
      </c>
      <c r="W3029" s="1"/>
    </row>
    <row r="3030" spans="1:23" x14ac:dyDescent="0.2">
      <c r="A3030" s="88" t="s">
        <v>18150</v>
      </c>
      <c r="B3030" s="1" t="e">
        <v>#N/A</v>
      </c>
      <c r="C3030" s="1" t="e">
        <v>#N/A</v>
      </c>
      <c r="D3030" s="1" t="s">
        <v>7971</v>
      </c>
      <c r="E3030" s="1" t="s">
        <v>7972</v>
      </c>
      <c r="F3030" s="1" t="s">
        <v>18502</v>
      </c>
      <c r="G3030" s="1" t="s">
        <v>8959</v>
      </c>
      <c r="H3030" t="s">
        <v>8959</v>
      </c>
      <c r="I3030" s="1" t="s">
        <v>20712</v>
      </c>
      <c r="J3030" s="1" t="s">
        <v>8998</v>
      </c>
      <c r="K3030" s="1" t="s">
        <v>21405</v>
      </c>
      <c r="L3030" s="1" t="s">
        <v>8973</v>
      </c>
      <c r="M3030" s="1">
        <f>281+90</f>
        <v>371</v>
      </c>
      <c r="N3030" s="1" t="s">
        <v>9059</v>
      </c>
      <c r="O3030" s="1" t="s">
        <v>8954</v>
      </c>
      <c r="P3030" s="1" t="e">
        <v>#N/A</v>
      </c>
      <c r="Q3030" s="1" t="e">
        <v>#N/A</v>
      </c>
      <c r="R3030" s="1">
        <f t="shared" si="892"/>
        <v>10</v>
      </c>
      <c r="S3030" s="1" t="str">
        <f t="shared" si="893"/>
        <v>&gt;7</v>
      </c>
      <c r="T3030" s="1" t="s">
        <v>20292</v>
      </c>
      <c r="U3030" s="1" t="s">
        <v>7</v>
      </c>
      <c r="V3030" s="1" t="s">
        <v>126</v>
      </c>
      <c r="W3030" s="1"/>
    </row>
    <row r="3031" spans="1:23" x14ac:dyDescent="0.2">
      <c r="A3031" s="88" t="s">
        <v>18151</v>
      </c>
      <c r="B3031" s="1" t="e">
        <v>#N/A</v>
      </c>
      <c r="C3031" s="1" t="s">
        <v>10084</v>
      </c>
      <c r="D3031" s="1" t="s">
        <v>7973</v>
      </c>
      <c r="E3031" s="1" t="s">
        <v>7974</v>
      </c>
      <c r="F3031" s="1" t="s">
        <v>9310</v>
      </c>
      <c r="G3031" s="1" t="s">
        <v>8959</v>
      </c>
      <c r="H3031" t="s">
        <v>8959</v>
      </c>
      <c r="I3031" s="1" t="s">
        <v>8948</v>
      </c>
      <c r="J3031" s="1" t="s">
        <v>8949</v>
      </c>
      <c r="K3031" s="1" t="s">
        <v>10087</v>
      </c>
      <c r="L3031" s="1" t="s">
        <v>9076</v>
      </c>
      <c r="M3031" s="1">
        <v>1000</v>
      </c>
      <c r="N3031" s="1" t="s">
        <v>8953</v>
      </c>
      <c r="O3031" s="1" t="s">
        <v>8989</v>
      </c>
      <c r="P3031" s="1" t="s">
        <v>8955</v>
      </c>
      <c r="Q3031" s="1" t="s">
        <v>8990</v>
      </c>
      <c r="R3031" s="1" t="s">
        <v>8959</v>
      </c>
      <c r="S3031" s="1" t="s">
        <v>8958</v>
      </c>
      <c r="T3031" s="1" t="s">
        <v>7975</v>
      </c>
      <c r="U3031" s="1" t="s">
        <v>11</v>
      </c>
      <c r="V3031" s="1" t="s">
        <v>921</v>
      </c>
      <c r="W3031" s="1"/>
    </row>
    <row r="3032" spans="1:23" x14ac:dyDescent="0.2">
      <c r="A3032" s="88" t="s">
        <v>18152</v>
      </c>
      <c r="B3032" s="1" t="e">
        <v>#N/A</v>
      </c>
      <c r="C3032" s="1" t="e">
        <v>#N/A</v>
      </c>
      <c r="D3032" s="1" t="s">
        <v>7976</v>
      </c>
      <c r="E3032" s="1" t="s">
        <v>7977</v>
      </c>
      <c r="F3032" s="1" t="s">
        <v>9310</v>
      </c>
      <c r="G3032" s="1" t="s">
        <v>8957</v>
      </c>
      <c r="H3032" t="s">
        <v>8959</v>
      </c>
      <c r="I3032" s="1" t="s">
        <v>9605</v>
      </c>
      <c r="J3032" s="1" t="s">
        <v>9101</v>
      </c>
      <c r="K3032" s="1" t="s">
        <v>21301</v>
      </c>
      <c r="L3032" s="1" t="s">
        <v>21116</v>
      </c>
      <c r="M3032" s="1">
        <v>50864</v>
      </c>
      <c r="N3032" s="1" t="s">
        <v>8953</v>
      </c>
      <c r="O3032" s="1" t="s">
        <v>8989</v>
      </c>
      <c r="P3032" s="1" t="e">
        <v>#N/A</v>
      </c>
      <c r="Q3032" s="1" t="e">
        <v>#N/A</v>
      </c>
      <c r="R3032" s="1">
        <f>1+LEN(T3032)-LEN(SUBSTITUTE(T3032,",",))</f>
        <v>7</v>
      </c>
      <c r="S3032" s="1" t="str">
        <f>IF(R3032&gt;4,IF(R3032&lt;8,"4-7",IF(R3032&gt;7,"&gt;7")),"&lt;4")</f>
        <v>4-7</v>
      </c>
      <c r="T3032" s="1" t="s">
        <v>20293</v>
      </c>
      <c r="U3032" s="1" t="s">
        <v>17</v>
      </c>
      <c r="V3032" s="1" t="s">
        <v>184</v>
      </c>
      <c r="W3032" s="1"/>
    </row>
    <row r="3033" spans="1:23" x14ac:dyDescent="0.2">
      <c r="A3033" s="88" t="s">
        <v>18153</v>
      </c>
      <c r="B3033" s="1" t="e">
        <v>#N/A</v>
      </c>
      <c r="C3033" s="1" t="s">
        <v>11882</v>
      </c>
      <c r="D3033" s="1" t="s">
        <v>7978</v>
      </c>
      <c r="E3033" s="1" t="s">
        <v>7979</v>
      </c>
      <c r="F3033" s="1" t="s">
        <v>9310</v>
      </c>
      <c r="G3033" s="1" t="s">
        <v>8957</v>
      </c>
      <c r="H3033" t="s">
        <v>9183</v>
      </c>
      <c r="I3033" s="1" t="s">
        <v>9100</v>
      </c>
      <c r="J3033" s="1" t="s">
        <v>9101</v>
      </c>
      <c r="K3033" s="1" t="s">
        <v>9436</v>
      </c>
      <c r="L3033" s="1" t="s">
        <v>9076</v>
      </c>
      <c r="M3033" s="1">
        <v>1664</v>
      </c>
      <c r="N3033" s="1" t="s">
        <v>8953</v>
      </c>
      <c r="O3033" s="1" t="s">
        <v>8954</v>
      </c>
      <c r="P3033" s="1" t="s">
        <v>8955</v>
      </c>
      <c r="Q3033" s="1" t="s">
        <v>8956</v>
      </c>
      <c r="R3033" s="1" t="s">
        <v>8957</v>
      </c>
      <c r="S3033" s="1" t="s">
        <v>8975</v>
      </c>
      <c r="T3033" s="1" t="s">
        <v>7980</v>
      </c>
      <c r="U3033" s="1" t="s">
        <v>11</v>
      </c>
      <c r="V3033" s="1" t="s">
        <v>15</v>
      </c>
      <c r="W3033" s="1"/>
    </row>
    <row r="3034" spans="1:23" x14ac:dyDescent="0.2">
      <c r="A3034" s="88" t="s">
        <v>18154</v>
      </c>
      <c r="B3034" s="1" t="e">
        <v>#N/A</v>
      </c>
      <c r="C3034" s="1" t="s">
        <v>10514</v>
      </c>
      <c r="D3034" s="1" t="s">
        <v>7981</v>
      </c>
      <c r="E3034" s="1" t="s">
        <v>7982</v>
      </c>
      <c r="F3034" s="1" t="s">
        <v>9010</v>
      </c>
      <c r="G3034" s="1" t="s">
        <v>8957</v>
      </c>
      <c r="H3034" t="s">
        <v>8959</v>
      </c>
      <c r="I3034" s="1" t="s">
        <v>9605</v>
      </c>
      <c r="J3034" s="1" t="s">
        <v>9101</v>
      </c>
      <c r="K3034" s="1" t="s">
        <v>10517</v>
      </c>
      <c r="L3034" s="1" t="s">
        <v>8987</v>
      </c>
      <c r="M3034" s="1">
        <v>90000</v>
      </c>
      <c r="N3034" s="1" t="s">
        <v>8953</v>
      </c>
      <c r="O3034" s="1" t="s">
        <v>8989</v>
      </c>
      <c r="P3034" s="1" t="s">
        <v>8955</v>
      </c>
      <c r="Q3034" s="1" t="s">
        <v>8956</v>
      </c>
      <c r="R3034" s="1" t="s">
        <v>8957</v>
      </c>
      <c r="S3034" s="1" t="s">
        <v>9103</v>
      </c>
      <c r="T3034" s="1" t="s">
        <v>7983</v>
      </c>
      <c r="U3034" s="1" t="s">
        <v>17</v>
      </c>
      <c r="V3034" s="1" t="s">
        <v>7984</v>
      </c>
      <c r="W3034" s="1"/>
    </row>
    <row r="3035" spans="1:23" x14ac:dyDescent="0.2">
      <c r="A3035" s="88" t="s">
        <v>18155</v>
      </c>
      <c r="B3035" s="1" t="e">
        <v>#N/A</v>
      </c>
      <c r="C3035" s="1" t="e">
        <v>#N/A</v>
      </c>
      <c r="D3035" s="1" t="s">
        <v>7985</v>
      </c>
      <c r="E3035" s="1" t="s">
        <v>7986</v>
      </c>
      <c r="F3035" s="1" t="s">
        <v>18502</v>
      </c>
      <c r="G3035" s="1" t="s">
        <v>8959</v>
      </c>
      <c r="H3035" t="s">
        <v>8959</v>
      </c>
      <c r="I3035" s="1" t="s">
        <v>9092</v>
      </c>
      <c r="J3035" s="1" t="s">
        <v>9308</v>
      </c>
      <c r="K3035" s="1" t="s">
        <v>21111</v>
      </c>
      <c r="L3035" s="1" t="s">
        <v>8987</v>
      </c>
      <c r="M3035" s="1">
        <v>1249</v>
      </c>
      <c r="N3035" s="1" t="s">
        <v>8953</v>
      </c>
      <c r="O3035" s="1" t="s">
        <v>8989</v>
      </c>
      <c r="P3035" s="1" t="e">
        <v>#N/A</v>
      </c>
      <c r="Q3035" s="1" t="e">
        <v>#N/A</v>
      </c>
      <c r="R3035" s="1">
        <f>1+LEN(T3035)-LEN(SUBSTITUTE(T3035,",",))</f>
        <v>6</v>
      </c>
      <c r="S3035" s="1" t="str">
        <f>IF(R3035&gt;4,IF(R3035&lt;8,"4-7",IF(R3035&gt;7,"&gt;7")),"&lt;4")</f>
        <v>4-7</v>
      </c>
      <c r="T3035" s="1" t="s">
        <v>20294</v>
      </c>
      <c r="U3035" s="1" t="s">
        <v>7</v>
      </c>
      <c r="V3035" s="1" t="s">
        <v>7987</v>
      </c>
      <c r="W3035" s="1"/>
    </row>
    <row r="3036" spans="1:23" x14ac:dyDescent="0.2">
      <c r="A3036" s="88" t="s">
        <v>18156</v>
      </c>
      <c r="B3036" s="1" t="e">
        <v>#N/A</v>
      </c>
      <c r="C3036" s="1" t="s">
        <v>13176</v>
      </c>
      <c r="D3036" s="1" t="s">
        <v>7988</v>
      </c>
      <c r="E3036" s="1" t="s">
        <v>7989</v>
      </c>
      <c r="F3036" s="1" t="s">
        <v>9010</v>
      </c>
      <c r="G3036" s="1" t="s">
        <v>8957</v>
      </c>
      <c r="H3036" t="s">
        <v>9009</v>
      </c>
      <c r="I3036" s="1" t="s">
        <v>9049</v>
      </c>
      <c r="J3036" s="1" t="s">
        <v>9050</v>
      </c>
      <c r="K3036" s="1" t="s">
        <v>8972</v>
      </c>
      <c r="L3036" s="1" t="s">
        <v>8973</v>
      </c>
      <c r="M3036" s="1">
        <v>428</v>
      </c>
      <c r="N3036" s="1" t="s">
        <v>8953</v>
      </c>
      <c r="O3036" s="1" t="s">
        <v>8954</v>
      </c>
      <c r="P3036" s="1" t="s">
        <v>9182</v>
      </c>
      <c r="Q3036" s="1" t="s">
        <v>8956</v>
      </c>
      <c r="R3036" s="1" t="s">
        <v>8957</v>
      </c>
      <c r="S3036" s="1" t="s">
        <v>8975</v>
      </c>
      <c r="T3036" s="1" t="s">
        <v>7990</v>
      </c>
      <c r="U3036" s="1" t="s">
        <v>4</v>
      </c>
      <c r="V3036" s="1" t="s">
        <v>4756</v>
      </c>
      <c r="W3036" s="1"/>
    </row>
    <row r="3037" spans="1:23" x14ac:dyDescent="0.2">
      <c r="A3037" s="88" t="s">
        <v>18157</v>
      </c>
      <c r="B3037" s="1" t="e">
        <v>#N/A</v>
      </c>
      <c r="C3037" s="1" t="s">
        <v>11649</v>
      </c>
      <c r="D3037" s="1" t="s">
        <v>7991</v>
      </c>
      <c r="E3037" s="1" t="s">
        <v>7992</v>
      </c>
      <c r="F3037" s="1" t="s">
        <v>9010</v>
      </c>
      <c r="G3037" s="1" t="s">
        <v>8957</v>
      </c>
      <c r="H3037" t="s">
        <v>9183</v>
      </c>
      <c r="I3037" s="1" t="s">
        <v>8948</v>
      </c>
      <c r="J3037" s="1" t="s">
        <v>9101</v>
      </c>
      <c r="K3037" s="1" t="s">
        <v>9436</v>
      </c>
      <c r="L3037" s="1" t="s">
        <v>8951</v>
      </c>
      <c r="M3037" s="1">
        <v>962</v>
      </c>
      <c r="N3037" s="1" t="s">
        <v>9059</v>
      </c>
      <c r="O3037" s="1" t="s">
        <v>8989</v>
      </c>
      <c r="P3037" s="1" t="s">
        <v>8955</v>
      </c>
      <c r="Q3037" s="1" t="s">
        <v>8956</v>
      </c>
      <c r="R3037" s="1" t="s">
        <v>8957</v>
      </c>
      <c r="S3037" s="1" t="s">
        <v>8958</v>
      </c>
      <c r="T3037" s="1" t="s">
        <v>7993</v>
      </c>
      <c r="U3037" s="1" t="s">
        <v>11</v>
      </c>
      <c r="V3037" s="1" t="s">
        <v>322</v>
      </c>
      <c r="W3037" s="1"/>
    </row>
    <row r="3038" spans="1:23" x14ac:dyDescent="0.2">
      <c r="A3038" s="88" t="s">
        <v>18158</v>
      </c>
      <c r="B3038" s="1" t="e">
        <v>#N/A</v>
      </c>
      <c r="C3038" s="1" t="e">
        <v>#N/A</v>
      </c>
      <c r="D3038" s="1" t="s">
        <v>7994</v>
      </c>
      <c r="E3038" s="1" t="s">
        <v>7995</v>
      </c>
      <c r="F3038" s="1" t="s">
        <v>9010</v>
      </c>
      <c r="G3038" s="1" t="s">
        <v>8957</v>
      </c>
      <c r="H3038" t="s">
        <v>9183</v>
      </c>
      <c r="I3038" s="1" t="s">
        <v>9100</v>
      </c>
      <c r="J3038" s="1" t="s">
        <v>8949</v>
      </c>
      <c r="K3038" s="1" t="s">
        <v>10492</v>
      </c>
      <c r="L3038" s="1" t="s">
        <v>9464</v>
      </c>
      <c r="M3038" s="1">
        <v>280</v>
      </c>
      <c r="N3038" s="1" t="s">
        <v>9059</v>
      </c>
      <c r="O3038" s="1" t="s">
        <v>8989</v>
      </c>
      <c r="P3038" s="1" t="e">
        <v>#N/A</v>
      </c>
      <c r="Q3038" s="1" t="e">
        <v>#N/A</v>
      </c>
      <c r="R3038" s="1">
        <f t="shared" ref="R3038:R3041" si="894">1+LEN(T3038)-LEN(SUBSTITUTE(T3038,",",))</f>
        <v>8</v>
      </c>
      <c r="S3038" s="1" t="str">
        <f t="shared" ref="S3038:S3041" si="895">IF(R3038&gt;4,IF(R3038&lt;8,"4-7",IF(R3038&gt;7,"&gt;7")),"&lt;4")</f>
        <v>&gt;7</v>
      </c>
      <c r="T3038" s="1" t="s">
        <v>20295</v>
      </c>
      <c r="U3038" s="1" t="s">
        <v>7</v>
      </c>
      <c r="V3038" s="1" t="s">
        <v>21</v>
      </c>
      <c r="W3038" s="1"/>
    </row>
    <row r="3039" spans="1:23" x14ac:dyDescent="0.2">
      <c r="A3039" s="89" t="s">
        <v>7996</v>
      </c>
      <c r="B3039" s="1" t="e">
        <v>#N/A</v>
      </c>
      <c r="C3039" s="1" t="e">
        <v>#N/A</v>
      </c>
      <c r="D3039" s="1" t="s">
        <v>7997</v>
      </c>
      <c r="E3039" s="1" t="s">
        <v>7998</v>
      </c>
      <c r="F3039" s="1" t="e">
        <v>#N/A</v>
      </c>
      <c r="G3039" s="1" t="e">
        <v>#N/A</v>
      </c>
      <c r="H3039" t="e">
        <v>#N/A</v>
      </c>
      <c r="I3039" s="1" t="e">
        <v>#N/A</v>
      </c>
      <c r="J3039" s="1" t="e">
        <v>#N/A</v>
      </c>
      <c r="K3039" s="1" t="e">
        <v>#N/A</v>
      </c>
      <c r="L3039" s="1" t="e">
        <v>#N/A</v>
      </c>
      <c r="M3039" s="1" t="e">
        <v>#N/A</v>
      </c>
      <c r="N3039" s="1" t="e">
        <v>#N/A</v>
      </c>
      <c r="O3039" s="1" t="e">
        <v>#N/A</v>
      </c>
      <c r="P3039" s="1" t="e">
        <v>#N/A</v>
      </c>
      <c r="Q3039" s="1" t="e">
        <v>#N/A</v>
      </c>
      <c r="R3039" s="1">
        <f t="shared" si="894"/>
        <v>6</v>
      </c>
      <c r="S3039" s="1" t="str">
        <f t="shared" si="895"/>
        <v>4-7</v>
      </c>
      <c r="T3039" s="1" t="s">
        <v>20704</v>
      </c>
      <c r="U3039" s="1" t="s">
        <v>17</v>
      </c>
      <c r="V3039" s="1" t="s">
        <v>7999</v>
      </c>
      <c r="W3039" s="1"/>
    </row>
    <row r="3040" spans="1:23" x14ac:dyDescent="0.2">
      <c r="A3040" s="88" t="s">
        <v>18159</v>
      </c>
      <c r="B3040" s="1" t="e">
        <v>#N/A</v>
      </c>
      <c r="C3040" s="1" t="e">
        <v>#N/A</v>
      </c>
      <c r="D3040" s="1" t="s">
        <v>8000</v>
      </c>
      <c r="E3040" s="1" t="s">
        <v>8001</v>
      </c>
      <c r="F3040" s="1" t="s">
        <v>10850</v>
      </c>
      <c r="G3040" s="1" t="s">
        <v>8957</v>
      </c>
      <c r="H3040" t="s">
        <v>8959</v>
      </c>
      <c r="I3040" s="1" t="s">
        <v>20714</v>
      </c>
      <c r="J3040" s="1" t="s">
        <v>9050</v>
      </c>
      <c r="K3040" s="1" t="s">
        <v>21349</v>
      </c>
      <c r="L3040" s="1" t="s">
        <v>8987</v>
      </c>
      <c r="M3040" s="1">
        <v>76370</v>
      </c>
      <c r="N3040" s="1" t="s">
        <v>8953</v>
      </c>
      <c r="O3040" s="1" t="s">
        <v>8989</v>
      </c>
      <c r="P3040" s="1" t="e">
        <v>#N/A</v>
      </c>
      <c r="Q3040" s="1" t="e">
        <v>#N/A</v>
      </c>
      <c r="R3040" s="1">
        <f t="shared" si="894"/>
        <v>17</v>
      </c>
      <c r="S3040" s="1" t="str">
        <f t="shared" si="895"/>
        <v>&gt;7</v>
      </c>
      <c r="T3040" s="1" t="s">
        <v>20296</v>
      </c>
      <c r="U3040" s="1" t="s">
        <v>7</v>
      </c>
      <c r="V3040" s="1" t="s">
        <v>686</v>
      </c>
      <c r="W3040" s="1"/>
    </row>
    <row r="3041" spans="1:23" x14ac:dyDescent="0.2">
      <c r="A3041" s="88" t="s">
        <v>18160</v>
      </c>
      <c r="B3041" s="1" t="e">
        <v>#N/A</v>
      </c>
      <c r="C3041" s="1" t="e">
        <v>#N/A</v>
      </c>
      <c r="D3041" s="1" t="s">
        <v>8002</v>
      </c>
      <c r="E3041" s="1" t="s">
        <v>8003</v>
      </c>
      <c r="F3041" s="1" t="s">
        <v>9310</v>
      </c>
      <c r="G3041" s="1" t="s">
        <v>8957</v>
      </c>
      <c r="H3041" t="s">
        <v>8959</v>
      </c>
      <c r="I3041" s="1" t="s">
        <v>9035</v>
      </c>
      <c r="J3041" s="1" t="s">
        <v>8998</v>
      </c>
      <c r="K3041" s="1" t="s">
        <v>21397</v>
      </c>
      <c r="L3041" s="1" t="s">
        <v>8987</v>
      </c>
      <c r="M3041" s="1">
        <v>1018</v>
      </c>
      <c r="N3041" s="1" t="s">
        <v>9059</v>
      </c>
      <c r="O3041" s="1" t="s">
        <v>8954</v>
      </c>
      <c r="P3041" s="1" t="e">
        <v>#N/A</v>
      </c>
      <c r="Q3041" s="1" t="e">
        <v>#N/A</v>
      </c>
      <c r="R3041" s="1">
        <f t="shared" si="894"/>
        <v>7</v>
      </c>
      <c r="S3041" s="1" t="str">
        <f t="shared" si="895"/>
        <v>4-7</v>
      </c>
      <c r="T3041" s="1" t="s">
        <v>20297</v>
      </c>
      <c r="U3041" s="1" t="s">
        <v>17</v>
      </c>
      <c r="V3041" s="1" t="s">
        <v>61</v>
      </c>
      <c r="W3041" s="1"/>
    </row>
    <row r="3042" spans="1:23" x14ac:dyDescent="0.2">
      <c r="A3042" s="88" t="s">
        <v>18161</v>
      </c>
      <c r="B3042" s="1" t="e">
        <v>#N/A</v>
      </c>
      <c r="C3042" s="1" t="s">
        <v>9361</v>
      </c>
      <c r="D3042" s="1" t="s">
        <v>8004</v>
      </c>
      <c r="E3042" s="1" t="s">
        <v>8005</v>
      </c>
      <c r="F3042" s="1" t="s">
        <v>9310</v>
      </c>
      <c r="G3042" s="1" t="s">
        <v>8957</v>
      </c>
      <c r="H3042" t="s">
        <v>8959</v>
      </c>
      <c r="I3042" s="1" t="s">
        <v>9035</v>
      </c>
      <c r="J3042" s="1" t="s">
        <v>8998</v>
      </c>
      <c r="K3042" s="1" t="s">
        <v>9036</v>
      </c>
      <c r="L3042" s="1" t="s">
        <v>8987</v>
      </c>
      <c r="M3042" s="1">
        <v>1018</v>
      </c>
      <c r="N3042" s="1" t="s">
        <v>8953</v>
      </c>
      <c r="O3042" s="1" t="s">
        <v>8954</v>
      </c>
      <c r="P3042" s="1" t="s">
        <v>8955</v>
      </c>
      <c r="Q3042" s="1" t="s">
        <v>8956</v>
      </c>
      <c r="R3042" s="1" t="s">
        <v>8957</v>
      </c>
      <c r="S3042" s="1" t="s">
        <v>9103</v>
      </c>
      <c r="T3042" s="1" t="s">
        <v>8006</v>
      </c>
      <c r="U3042" s="1" t="s">
        <v>17</v>
      </c>
      <c r="V3042" s="1" t="s">
        <v>126</v>
      </c>
      <c r="W3042" s="1"/>
    </row>
    <row r="3043" spans="1:23" x14ac:dyDescent="0.2">
      <c r="A3043" s="88" t="s">
        <v>18162</v>
      </c>
      <c r="B3043" s="1" t="e">
        <v>#N/A</v>
      </c>
      <c r="C3043" s="1" t="e">
        <v>#N/A</v>
      </c>
      <c r="D3043" s="1" t="s">
        <v>8007</v>
      </c>
      <c r="E3043" s="1" t="s">
        <v>8008</v>
      </c>
      <c r="F3043" s="1" t="s">
        <v>9310</v>
      </c>
      <c r="G3043" s="1" t="s">
        <v>8957</v>
      </c>
      <c r="H3043" t="s">
        <v>8959</v>
      </c>
      <c r="I3043" s="1" t="s">
        <v>20714</v>
      </c>
      <c r="J3043" s="1" t="s">
        <v>21117</v>
      </c>
      <c r="K3043" s="1" t="s">
        <v>21265</v>
      </c>
      <c r="L3043" s="1" t="s">
        <v>8987</v>
      </c>
      <c r="M3043" s="1">
        <v>6465</v>
      </c>
      <c r="N3043" s="1" t="s">
        <v>8953</v>
      </c>
      <c r="O3043" s="1" t="s">
        <v>8989</v>
      </c>
      <c r="P3043" s="1" t="e">
        <v>#N/A</v>
      </c>
      <c r="Q3043" s="1" t="e">
        <v>#N/A</v>
      </c>
      <c r="R3043" s="1">
        <f t="shared" ref="R3043:R3046" si="896">1+LEN(T3043)-LEN(SUBSTITUTE(T3043,",",))</f>
        <v>13</v>
      </c>
      <c r="S3043" s="1" t="str">
        <f t="shared" ref="S3043:S3046" si="897">IF(R3043&gt;4,IF(R3043&lt;8,"4-7",IF(R3043&gt;7,"&gt;7")),"&lt;4")</f>
        <v>&gt;7</v>
      </c>
      <c r="T3043" s="1" t="s">
        <v>20298</v>
      </c>
      <c r="U3043" s="1" t="s">
        <v>7</v>
      </c>
      <c r="V3043" s="1" t="s">
        <v>933</v>
      </c>
      <c r="W3043" s="1"/>
    </row>
    <row r="3044" spans="1:23" x14ac:dyDescent="0.2">
      <c r="A3044" s="89" t="s">
        <v>8009</v>
      </c>
      <c r="B3044" s="1" t="e">
        <v>#N/A</v>
      </c>
      <c r="C3044" s="1" t="e">
        <v>#N/A</v>
      </c>
      <c r="D3044" s="5" t="s">
        <v>8010</v>
      </c>
      <c r="E3044" s="1" t="s">
        <v>8011</v>
      </c>
      <c r="F3044" s="1" t="e">
        <v>#N/A</v>
      </c>
      <c r="G3044" s="1" t="e">
        <v>#N/A</v>
      </c>
      <c r="H3044" t="e">
        <v>#N/A</v>
      </c>
      <c r="I3044" s="1" t="e">
        <v>#N/A</v>
      </c>
      <c r="J3044" s="1" t="e">
        <v>#N/A</v>
      </c>
      <c r="K3044" s="1" t="e">
        <v>#N/A</v>
      </c>
      <c r="L3044" s="1" t="e">
        <v>#N/A</v>
      </c>
      <c r="M3044" s="1" t="e">
        <v>#N/A</v>
      </c>
      <c r="N3044" s="1" t="e">
        <v>#N/A</v>
      </c>
      <c r="O3044" s="1" t="e">
        <v>#N/A</v>
      </c>
      <c r="P3044" s="1" t="e">
        <v>#N/A</v>
      </c>
      <c r="Q3044" s="1" t="e">
        <v>#N/A</v>
      </c>
      <c r="R3044" s="1">
        <f t="shared" si="896"/>
        <v>5</v>
      </c>
      <c r="S3044" s="1" t="str">
        <f t="shared" si="897"/>
        <v>4-7</v>
      </c>
      <c r="T3044" s="1" t="s">
        <v>20299</v>
      </c>
      <c r="U3044" s="1" t="s">
        <v>7</v>
      </c>
      <c r="V3044" s="1" t="s">
        <v>8012</v>
      </c>
      <c r="W3044" s="1"/>
    </row>
    <row r="3045" spans="1:23" x14ac:dyDescent="0.2">
      <c r="A3045" s="88" t="s">
        <v>18163</v>
      </c>
      <c r="B3045" s="1" t="e">
        <v>#N/A</v>
      </c>
      <c r="C3045" s="1" t="e">
        <v>#N/A</v>
      </c>
      <c r="D3045" s="1" t="s">
        <v>8013</v>
      </c>
      <c r="E3045" s="1" t="s">
        <v>8014</v>
      </c>
      <c r="F3045" s="1" t="s">
        <v>18502</v>
      </c>
      <c r="G3045" s="1" t="s">
        <v>8957</v>
      </c>
      <c r="H3045" t="s">
        <v>8959</v>
      </c>
      <c r="I3045" s="1" t="s">
        <v>20714</v>
      </c>
      <c r="J3045" s="1" t="s">
        <v>20725</v>
      </c>
      <c r="K3045" s="1" t="s">
        <v>18497</v>
      </c>
      <c r="L3045" s="1" t="s">
        <v>8951</v>
      </c>
      <c r="M3045" s="1">
        <v>4036</v>
      </c>
      <c r="N3045" s="1" t="s">
        <v>8953</v>
      </c>
      <c r="O3045" s="1" t="s">
        <v>8989</v>
      </c>
      <c r="P3045" s="1" t="e">
        <v>#N/A</v>
      </c>
      <c r="Q3045" s="1" t="e">
        <v>#N/A</v>
      </c>
      <c r="R3045" s="1">
        <f t="shared" si="896"/>
        <v>6</v>
      </c>
      <c r="S3045" s="1" t="str">
        <f t="shared" si="897"/>
        <v>4-7</v>
      </c>
      <c r="T3045" s="1" t="s">
        <v>20300</v>
      </c>
      <c r="U3045" s="1" t="s">
        <v>17</v>
      </c>
      <c r="V3045" s="1" t="s">
        <v>443</v>
      </c>
      <c r="W3045" s="1"/>
    </row>
    <row r="3046" spans="1:23" x14ac:dyDescent="0.2">
      <c r="A3046" s="88" t="s">
        <v>18164</v>
      </c>
      <c r="B3046" s="1" t="e">
        <v>#N/A</v>
      </c>
      <c r="C3046" s="1" t="e">
        <v>#N/A</v>
      </c>
      <c r="D3046" s="1" t="s">
        <v>8015</v>
      </c>
      <c r="E3046" s="1" t="s">
        <v>8016</v>
      </c>
      <c r="F3046" s="1" t="s">
        <v>9310</v>
      </c>
      <c r="G3046" s="1" t="s">
        <v>8957</v>
      </c>
      <c r="H3046" t="s">
        <v>8959</v>
      </c>
      <c r="I3046" s="1" t="s">
        <v>9035</v>
      </c>
      <c r="J3046" s="1" t="s">
        <v>8998</v>
      </c>
      <c r="K3046" s="1" t="s">
        <v>20736</v>
      </c>
      <c r="L3046" s="1" t="s">
        <v>21118</v>
      </c>
      <c r="M3046" s="1">
        <v>280</v>
      </c>
      <c r="N3046" s="1" t="s">
        <v>9059</v>
      </c>
      <c r="O3046" s="1" t="s">
        <v>8989</v>
      </c>
      <c r="P3046" s="1" t="e">
        <v>#N/A</v>
      </c>
      <c r="Q3046" s="1" t="e">
        <v>#N/A</v>
      </c>
      <c r="R3046" s="1">
        <f t="shared" si="896"/>
        <v>7</v>
      </c>
      <c r="S3046" s="1" t="str">
        <f t="shared" si="897"/>
        <v>4-7</v>
      </c>
      <c r="T3046" s="1" t="s">
        <v>20301</v>
      </c>
      <c r="U3046" s="1" t="s">
        <v>7</v>
      </c>
      <c r="V3046" s="1" t="s">
        <v>378</v>
      </c>
      <c r="W3046" s="1"/>
    </row>
    <row r="3047" spans="1:23" x14ac:dyDescent="0.2">
      <c r="A3047" s="88" t="s">
        <v>18165</v>
      </c>
      <c r="B3047" s="1" t="e">
        <v>#N/A</v>
      </c>
      <c r="C3047" s="1" t="s">
        <v>11515</v>
      </c>
      <c r="D3047" s="1" t="s">
        <v>8017</v>
      </c>
      <c r="E3047" s="1" t="s">
        <v>8018</v>
      </c>
      <c r="F3047" s="1" t="s">
        <v>9310</v>
      </c>
      <c r="G3047" s="1" t="s">
        <v>8957</v>
      </c>
      <c r="H3047" t="s">
        <v>9183</v>
      </c>
      <c r="I3047" s="1" t="s">
        <v>9154</v>
      </c>
      <c r="J3047" s="1" t="s">
        <v>8949</v>
      </c>
      <c r="K3047" s="1" t="s">
        <v>11518</v>
      </c>
      <c r="L3047" s="1" t="s">
        <v>9133</v>
      </c>
      <c r="M3047" s="1">
        <v>165</v>
      </c>
      <c r="N3047" s="1" t="s">
        <v>8953</v>
      </c>
      <c r="O3047" s="1" t="s">
        <v>8989</v>
      </c>
      <c r="P3047" s="1" t="s">
        <v>8955</v>
      </c>
      <c r="Q3047" s="1" t="s">
        <v>8956</v>
      </c>
      <c r="R3047" s="1" t="s">
        <v>8957</v>
      </c>
      <c r="S3047" s="1" t="s">
        <v>8975</v>
      </c>
      <c r="T3047" s="1" t="s">
        <v>8019</v>
      </c>
      <c r="U3047" s="1" t="s">
        <v>11</v>
      </c>
      <c r="V3047" s="1" t="s">
        <v>126</v>
      </c>
      <c r="W3047" s="1"/>
    </row>
    <row r="3048" spans="1:23" x14ac:dyDescent="0.2">
      <c r="A3048" s="88" t="s">
        <v>18166</v>
      </c>
      <c r="B3048" s="1" t="e">
        <v>#N/A</v>
      </c>
      <c r="C3048" s="1" t="e">
        <v>#N/A</v>
      </c>
      <c r="D3048" s="1" t="s">
        <v>21119</v>
      </c>
      <c r="E3048" s="1" t="s">
        <v>8020</v>
      </c>
      <c r="F3048" s="1" t="s">
        <v>9380</v>
      </c>
      <c r="G3048" s="1" t="s">
        <v>8974</v>
      </c>
      <c r="H3048" t="s">
        <v>8959</v>
      </c>
      <c r="I3048" s="1" t="s">
        <v>9075</v>
      </c>
      <c r="J3048" s="1" t="s">
        <v>8949</v>
      </c>
      <c r="K3048" s="1" t="s">
        <v>18497</v>
      </c>
      <c r="L3048" s="1" t="s">
        <v>21120</v>
      </c>
      <c r="M3048" s="1">
        <f>65000+28000</f>
        <v>93000</v>
      </c>
      <c r="N3048" s="1" t="s">
        <v>20915</v>
      </c>
      <c r="O3048" s="1" t="s">
        <v>8989</v>
      </c>
      <c r="P3048" s="1" t="e">
        <v>#N/A</v>
      </c>
      <c r="Q3048" s="1" t="e">
        <v>#N/A</v>
      </c>
      <c r="R3048" s="1">
        <f t="shared" ref="R3048:R3051" si="898">1+LEN(T3048)-LEN(SUBSTITUTE(T3048,",",))</f>
        <v>4</v>
      </c>
      <c r="S3048" s="1" t="str">
        <f t="shared" ref="S3048:S3051" si="899">IF(R3048&gt;4,IF(R3048&lt;8,"4-7",IF(R3048&gt;7,"&gt;7")),"&lt;4")</f>
        <v>&lt;4</v>
      </c>
      <c r="T3048" s="1" t="s">
        <v>20302</v>
      </c>
      <c r="U3048" s="1" t="s">
        <v>17</v>
      </c>
      <c r="V3048" s="1" t="s">
        <v>64</v>
      </c>
      <c r="W3048" s="1"/>
    </row>
    <row r="3049" spans="1:23" x14ac:dyDescent="0.2">
      <c r="A3049" s="89" t="s">
        <v>8021</v>
      </c>
      <c r="B3049" s="1" t="e">
        <v>#N/A</v>
      </c>
      <c r="C3049" s="1" t="e">
        <v>#N/A</v>
      </c>
      <c r="D3049" s="5" t="s">
        <v>8022</v>
      </c>
      <c r="E3049" s="1" t="s">
        <v>8023</v>
      </c>
      <c r="F3049" s="1" t="e">
        <v>#N/A</v>
      </c>
      <c r="G3049" s="1" t="e">
        <v>#N/A</v>
      </c>
      <c r="H3049" t="e">
        <v>#N/A</v>
      </c>
      <c r="I3049" s="1" t="e">
        <v>#N/A</v>
      </c>
      <c r="J3049" s="1" t="e">
        <v>#N/A</v>
      </c>
      <c r="K3049" s="1" t="e">
        <v>#N/A</v>
      </c>
      <c r="L3049" s="1" t="e">
        <v>#N/A</v>
      </c>
      <c r="M3049" s="1" t="e">
        <v>#N/A</v>
      </c>
      <c r="N3049" s="1" t="e">
        <v>#N/A</v>
      </c>
      <c r="O3049" s="1" t="e">
        <v>#N/A</v>
      </c>
      <c r="P3049" s="1" t="e">
        <v>#N/A</v>
      </c>
      <c r="Q3049" s="1" t="e">
        <v>#N/A</v>
      </c>
      <c r="R3049" s="1">
        <f t="shared" si="898"/>
        <v>5</v>
      </c>
      <c r="S3049" s="1" t="str">
        <f t="shared" si="899"/>
        <v>4-7</v>
      </c>
      <c r="T3049" s="1" t="s">
        <v>20303</v>
      </c>
      <c r="U3049" s="1" t="s">
        <v>17</v>
      </c>
      <c r="V3049" s="1" t="s">
        <v>4511</v>
      </c>
      <c r="W3049" s="1"/>
    </row>
    <row r="3050" spans="1:23" x14ac:dyDescent="0.2">
      <c r="A3050" s="88" t="s">
        <v>18167</v>
      </c>
      <c r="B3050" s="1" t="e">
        <v>#N/A</v>
      </c>
      <c r="C3050" s="1" t="e">
        <v>#N/A</v>
      </c>
      <c r="D3050" s="1" t="s">
        <v>21121</v>
      </c>
      <c r="E3050" s="1" t="s">
        <v>8024</v>
      </c>
      <c r="F3050" s="1" t="s">
        <v>9310</v>
      </c>
      <c r="G3050" s="1" t="s">
        <v>8959</v>
      </c>
      <c r="H3050" t="s">
        <v>8959</v>
      </c>
      <c r="I3050" s="1" t="s">
        <v>21123</v>
      </c>
      <c r="J3050" s="1" t="s">
        <v>20930</v>
      </c>
      <c r="K3050" s="1" t="s">
        <v>21122</v>
      </c>
      <c r="L3050" s="1" t="s">
        <v>9076</v>
      </c>
      <c r="M3050" s="1">
        <v>8586</v>
      </c>
      <c r="N3050" s="1" t="s">
        <v>8953</v>
      </c>
      <c r="O3050" s="1" t="s">
        <v>8989</v>
      </c>
      <c r="P3050" s="1" t="e">
        <v>#N/A</v>
      </c>
      <c r="Q3050" s="1" t="e">
        <v>#N/A</v>
      </c>
      <c r="R3050" s="1">
        <f t="shared" si="898"/>
        <v>2</v>
      </c>
      <c r="S3050" s="1" t="str">
        <f t="shared" si="899"/>
        <v>&lt;4</v>
      </c>
      <c r="T3050" s="1" t="s">
        <v>20304</v>
      </c>
      <c r="U3050" s="1" t="s">
        <v>17</v>
      </c>
      <c r="V3050" s="1" t="s">
        <v>378</v>
      </c>
      <c r="W3050" s="1"/>
    </row>
    <row r="3051" spans="1:23" x14ac:dyDescent="0.2">
      <c r="A3051" s="92" t="s">
        <v>18168</v>
      </c>
      <c r="B3051" s="1" t="e">
        <v>#N/A</v>
      </c>
      <c r="C3051" s="1" t="e">
        <v>#N/A</v>
      </c>
      <c r="D3051" s="1" t="s">
        <v>8025</v>
      </c>
      <c r="E3051" s="1" t="s">
        <v>8026</v>
      </c>
      <c r="F3051" s="1" t="e">
        <v>#N/A</v>
      </c>
      <c r="G3051" s="1" t="e">
        <v>#N/A</v>
      </c>
      <c r="H3051" t="e">
        <v>#N/A</v>
      </c>
      <c r="I3051" s="1" t="e">
        <v>#N/A</v>
      </c>
      <c r="J3051" s="1" t="e">
        <v>#N/A</v>
      </c>
      <c r="K3051" s="1" t="e">
        <v>#N/A</v>
      </c>
      <c r="L3051" s="1" t="e">
        <v>#N/A</v>
      </c>
      <c r="M3051" s="1" t="e">
        <v>#N/A</v>
      </c>
      <c r="N3051" s="1" t="e">
        <v>#N/A</v>
      </c>
      <c r="O3051" s="1" t="e">
        <v>#N/A</v>
      </c>
      <c r="P3051" s="1" t="e">
        <v>#N/A</v>
      </c>
      <c r="Q3051" s="1" t="e">
        <v>#N/A</v>
      </c>
      <c r="R3051" s="1">
        <f t="shared" si="898"/>
        <v>11</v>
      </c>
      <c r="S3051" s="1" t="str">
        <f t="shared" si="899"/>
        <v>&gt;7</v>
      </c>
      <c r="T3051" s="1" t="s">
        <v>20305</v>
      </c>
      <c r="U3051" s="1" t="s">
        <v>7</v>
      </c>
      <c r="V3051" s="1" t="s">
        <v>4304</v>
      </c>
      <c r="W3051" s="1"/>
    </row>
    <row r="3052" spans="1:23" x14ac:dyDescent="0.2">
      <c r="A3052" s="88" t="s">
        <v>18169</v>
      </c>
      <c r="B3052" s="1" t="e">
        <v>#N/A</v>
      </c>
      <c r="C3052" s="1" t="s">
        <v>13822</v>
      </c>
      <c r="D3052" s="1" t="s">
        <v>8027</v>
      </c>
      <c r="E3052" s="1" t="s">
        <v>8028</v>
      </c>
      <c r="F3052" s="1" t="s">
        <v>10032</v>
      </c>
      <c r="G3052" s="1" t="s">
        <v>8957</v>
      </c>
      <c r="H3052" t="s">
        <v>8959</v>
      </c>
      <c r="I3052" s="1" t="s">
        <v>9092</v>
      </c>
      <c r="J3052" s="1" t="s">
        <v>8998</v>
      </c>
      <c r="K3052" s="1" t="s">
        <v>9036</v>
      </c>
      <c r="L3052" s="1" t="s">
        <v>8987</v>
      </c>
      <c r="M3052" s="1">
        <v>4532</v>
      </c>
      <c r="N3052" s="1" t="s">
        <v>8953</v>
      </c>
      <c r="O3052" s="1" t="s">
        <v>8989</v>
      </c>
      <c r="P3052" s="1" t="s">
        <v>8955</v>
      </c>
      <c r="Q3052" s="1" t="s">
        <v>8956</v>
      </c>
      <c r="R3052" s="1" t="s">
        <v>8957</v>
      </c>
      <c r="S3052" s="1" t="s">
        <v>8958</v>
      </c>
      <c r="T3052" s="1" t="s">
        <v>8029</v>
      </c>
      <c r="U3052" s="1" t="s">
        <v>4</v>
      </c>
      <c r="V3052" s="1" t="s">
        <v>2627</v>
      </c>
      <c r="W3052" s="1"/>
    </row>
    <row r="3053" spans="1:23" x14ac:dyDescent="0.2">
      <c r="A3053" s="88" t="s">
        <v>18170</v>
      </c>
      <c r="B3053" s="1" t="e">
        <v>#N/A</v>
      </c>
      <c r="C3053" s="1" t="e">
        <v>#N/A</v>
      </c>
      <c r="D3053" s="1" t="s">
        <v>8030</v>
      </c>
      <c r="E3053" s="1" t="s">
        <v>8031</v>
      </c>
      <c r="F3053" s="1" t="s">
        <v>9333</v>
      </c>
      <c r="G3053" s="1" t="s">
        <v>8957</v>
      </c>
      <c r="H3053" t="s">
        <v>8959</v>
      </c>
      <c r="I3053" s="1" t="s">
        <v>20714</v>
      </c>
      <c r="J3053" s="1" t="s">
        <v>20725</v>
      </c>
      <c r="K3053" s="1" t="s">
        <v>10525</v>
      </c>
      <c r="L3053" s="1" t="s">
        <v>8951</v>
      </c>
      <c r="M3053" s="1">
        <f>304+43</f>
        <v>347</v>
      </c>
      <c r="N3053" s="1" t="s">
        <v>9059</v>
      </c>
      <c r="O3053" s="1" t="s">
        <v>8954</v>
      </c>
      <c r="P3053" s="1" t="e">
        <v>#N/A</v>
      </c>
      <c r="Q3053" s="1" t="e">
        <v>#N/A</v>
      </c>
      <c r="R3053" s="1">
        <f>1+LEN(T3053)-LEN(SUBSTITUTE(T3053,",",))</f>
        <v>16</v>
      </c>
      <c r="S3053" s="1" t="str">
        <f>IF(R3053&gt;4,IF(R3053&lt;8,"4-7",IF(R3053&gt;7,"&gt;7")),"&lt;4")</f>
        <v>&gt;7</v>
      </c>
      <c r="T3053" s="1" t="s">
        <v>20306</v>
      </c>
      <c r="U3053" s="1" t="s">
        <v>7</v>
      </c>
      <c r="V3053" s="1" t="s">
        <v>443</v>
      </c>
      <c r="W3053" s="1"/>
    </row>
    <row r="3054" spans="1:23" x14ac:dyDescent="0.2">
      <c r="A3054" s="88" t="s">
        <v>18171</v>
      </c>
      <c r="B3054" s="1" t="e">
        <v>#N/A</v>
      </c>
      <c r="C3054" s="1" t="s">
        <v>12804</v>
      </c>
      <c r="D3054" s="1" t="s">
        <v>8032</v>
      </c>
      <c r="E3054" s="1" t="s">
        <v>8033</v>
      </c>
      <c r="F3054" s="1" t="s">
        <v>9317</v>
      </c>
      <c r="G3054" s="1" t="s">
        <v>9060</v>
      </c>
      <c r="H3054" t="s">
        <v>8959</v>
      </c>
      <c r="I3054" s="1" t="s">
        <v>9092</v>
      </c>
      <c r="J3054" s="1" t="s">
        <v>9155</v>
      </c>
      <c r="K3054" s="1" t="s">
        <v>12807</v>
      </c>
      <c r="L3054" s="1" t="s">
        <v>9133</v>
      </c>
      <c r="M3054" s="1">
        <v>2000</v>
      </c>
      <c r="N3054" s="1" t="s">
        <v>8953</v>
      </c>
      <c r="O3054" s="1" t="s">
        <v>8989</v>
      </c>
      <c r="P3054" s="1" t="s">
        <v>8955</v>
      </c>
      <c r="Q3054" s="1" t="s">
        <v>8956</v>
      </c>
      <c r="R3054" s="1" t="s">
        <v>9060</v>
      </c>
      <c r="S3054" s="1" t="s">
        <v>8975</v>
      </c>
      <c r="T3054" s="1" t="s">
        <v>8034</v>
      </c>
      <c r="U3054" s="1" t="s">
        <v>11</v>
      </c>
      <c r="V3054" s="1" t="s">
        <v>1848</v>
      </c>
      <c r="W3054" s="1"/>
    </row>
    <row r="3055" spans="1:23" x14ac:dyDescent="0.2">
      <c r="A3055" s="88" t="s">
        <v>18172</v>
      </c>
      <c r="B3055" s="1" t="e">
        <v>#N/A</v>
      </c>
      <c r="C3055" s="1" t="e">
        <v>#N/A</v>
      </c>
      <c r="D3055" s="1" t="s">
        <v>8035</v>
      </c>
      <c r="E3055" s="1" t="s">
        <v>8036</v>
      </c>
      <c r="F3055" s="1" t="s">
        <v>9380</v>
      </c>
      <c r="G3055" s="1" t="s">
        <v>8957</v>
      </c>
      <c r="H3055" t="s">
        <v>8959</v>
      </c>
      <c r="I3055" s="1" t="s">
        <v>8984</v>
      </c>
      <c r="J3055" s="1" t="s">
        <v>8985</v>
      </c>
      <c r="K3055" s="1" t="s">
        <v>18489</v>
      </c>
      <c r="L3055" s="1" t="s">
        <v>8951</v>
      </c>
      <c r="M3055" s="1">
        <v>322</v>
      </c>
      <c r="N3055" s="1" t="s">
        <v>8953</v>
      </c>
      <c r="O3055" s="1" t="s">
        <v>8989</v>
      </c>
      <c r="P3055" s="1" t="e">
        <v>#N/A</v>
      </c>
      <c r="Q3055" s="1" t="e">
        <v>#N/A</v>
      </c>
      <c r="R3055" s="1">
        <f t="shared" ref="R3055:R3056" si="900">1+LEN(T3055)-LEN(SUBSTITUTE(T3055,",",))</f>
        <v>7</v>
      </c>
      <c r="S3055" s="1" t="str">
        <f t="shared" ref="S3055:S3056" si="901">IF(R3055&gt;4,IF(R3055&lt;8,"4-7",IF(R3055&gt;7,"&gt;7")),"&lt;4")</f>
        <v>4-7</v>
      </c>
      <c r="T3055" s="1" t="s">
        <v>20307</v>
      </c>
      <c r="U3055" s="1" t="s">
        <v>7</v>
      </c>
      <c r="V3055" s="1" t="s">
        <v>8037</v>
      </c>
      <c r="W3055" s="1"/>
    </row>
    <row r="3056" spans="1:23" x14ac:dyDescent="0.2">
      <c r="A3056" s="88" t="s">
        <v>18173</v>
      </c>
      <c r="B3056" s="1" t="e">
        <v>#N/A</v>
      </c>
      <c r="C3056" s="1" t="e">
        <v>#N/A</v>
      </c>
      <c r="D3056" s="1" t="s">
        <v>8038</v>
      </c>
      <c r="E3056" s="1" t="s">
        <v>8039</v>
      </c>
      <c r="F3056" s="1" t="s">
        <v>9310</v>
      </c>
      <c r="G3056" s="1" t="s">
        <v>8957</v>
      </c>
      <c r="H3056" t="s">
        <v>9061</v>
      </c>
      <c r="I3056" s="1" t="s">
        <v>9100</v>
      </c>
      <c r="J3056" s="1" t="s">
        <v>9155</v>
      </c>
      <c r="K3056" s="1" t="s">
        <v>21112</v>
      </c>
      <c r="L3056" s="1" t="s">
        <v>9076</v>
      </c>
      <c r="M3056" s="1">
        <v>3360</v>
      </c>
      <c r="N3056" s="1" t="s">
        <v>8953</v>
      </c>
      <c r="O3056" s="1" t="s">
        <v>8989</v>
      </c>
      <c r="P3056" s="1" t="e">
        <v>#N/A</v>
      </c>
      <c r="Q3056" s="1" t="e">
        <v>#N/A</v>
      </c>
      <c r="R3056" s="1">
        <f t="shared" si="900"/>
        <v>6</v>
      </c>
      <c r="S3056" s="1" t="str">
        <f t="shared" si="901"/>
        <v>4-7</v>
      </c>
      <c r="T3056" s="1" t="s">
        <v>20308</v>
      </c>
      <c r="U3056" s="1" t="s">
        <v>7</v>
      </c>
      <c r="V3056" s="1" t="s">
        <v>342</v>
      </c>
      <c r="W3056" s="1"/>
    </row>
    <row r="3057" spans="1:23" x14ac:dyDescent="0.2">
      <c r="A3057" s="88" t="s">
        <v>18174</v>
      </c>
      <c r="B3057" s="1" t="e">
        <v>#N/A</v>
      </c>
      <c r="C3057" s="1" t="s">
        <v>13595</v>
      </c>
      <c r="D3057" s="1" t="s">
        <v>8040</v>
      </c>
      <c r="E3057" s="1" t="s">
        <v>8041</v>
      </c>
      <c r="F3057" s="1" t="s">
        <v>9010</v>
      </c>
      <c r="G3057" s="1" t="s">
        <v>9060</v>
      </c>
      <c r="H3057" t="s">
        <v>9009</v>
      </c>
      <c r="I3057" s="1" t="s">
        <v>9100</v>
      </c>
      <c r="J3057" s="1" t="s">
        <v>8998</v>
      </c>
      <c r="K3057" s="1" t="s">
        <v>9018</v>
      </c>
      <c r="L3057" s="1" t="s">
        <v>8987</v>
      </c>
      <c r="M3057" s="1">
        <v>1000</v>
      </c>
      <c r="N3057" s="1" t="s">
        <v>8953</v>
      </c>
      <c r="O3057" s="1" t="s">
        <v>8989</v>
      </c>
      <c r="P3057" s="1" t="s">
        <v>8955</v>
      </c>
      <c r="Q3057" s="1" t="s">
        <v>8956</v>
      </c>
      <c r="R3057" s="1" t="s">
        <v>9060</v>
      </c>
      <c r="S3057" s="1" t="s">
        <v>8958</v>
      </c>
      <c r="T3057" s="1" t="s">
        <v>8042</v>
      </c>
      <c r="U3057" s="1" t="s">
        <v>4</v>
      </c>
      <c r="V3057" s="1" t="s">
        <v>493</v>
      </c>
      <c r="W3057" s="1"/>
    </row>
    <row r="3058" spans="1:23" x14ac:dyDescent="0.2">
      <c r="A3058" s="88" t="s">
        <v>18175</v>
      </c>
      <c r="B3058" s="1" t="e">
        <v>#N/A</v>
      </c>
      <c r="C3058" s="1" t="e">
        <v>#N/A</v>
      </c>
      <c r="D3058" s="1" t="s">
        <v>8043</v>
      </c>
      <c r="E3058" s="1" t="s">
        <v>8044</v>
      </c>
      <c r="F3058" s="1" t="s">
        <v>9310</v>
      </c>
      <c r="G3058" s="1" t="s">
        <v>8957</v>
      </c>
      <c r="H3058" t="s">
        <v>8959</v>
      </c>
      <c r="I3058" s="1" t="s">
        <v>20714</v>
      </c>
      <c r="J3058" s="1" t="s">
        <v>20725</v>
      </c>
      <c r="K3058" s="1" t="s">
        <v>21260</v>
      </c>
      <c r="L3058" s="1" t="s">
        <v>8973</v>
      </c>
      <c r="M3058" s="1">
        <v>111</v>
      </c>
      <c r="N3058" s="1" t="s">
        <v>9059</v>
      </c>
      <c r="O3058" s="1" t="s">
        <v>8954</v>
      </c>
      <c r="P3058" s="1" t="e">
        <v>#N/A</v>
      </c>
      <c r="Q3058" s="1" t="e">
        <v>#N/A</v>
      </c>
      <c r="R3058" s="1">
        <f t="shared" ref="R3058:R3060" si="902">1+LEN(T3058)-LEN(SUBSTITUTE(T3058,",",))</f>
        <v>6</v>
      </c>
      <c r="S3058" s="1" t="str">
        <f t="shared" ref="S3058:S3060" si="903">IF(R3058&gt;4,IF(R3058&lt;8,"4-7",IF(R3058&gt;7,"&gt;7")),"&lt;4")</f>
        <v>4-7</v>
      </c>
      <c r="T3058" s="1" t="s">
        <v>20309</v>
      </c>
      <c r="U3058" s="1" t="s">
        <v>17</v>
      </c>
      <c r="V3058" s="1" t="s">
        <v>74</v>
      </c>
      <c r="W3058" s="1"/>
    </row>
    <row r="3059" spans="1:23" x14ac:dyDescent="0.2">
      <c r="A3059" s="94" t="s">
        <v>18176</v>
      </c>
      <c r="B3059" s="1" t="e">
        <v>#N/A</v>
      </c>
      <c r="C3059" s="1" t="e">
        <v>#N/A</v>
      </c>
      <c r="D3059" s="1" t="s">
        <v>8045</v>
      </c>
      <c r="E3059" s="1" t="s">
        <v>8046</v>
      </c>
      <c r="F3059" s="1" t="e">
        <v>#N/A</v>
      </c>
      <c r="G3059" s="1" t="e">
        <v>#N/A</v>
      </c>
      <c r="H3059" t="e">
        <v>#N/A</v>
      </c>
      <c r="I3059" s="1" t="e">
        <v>#N/A</v>
      </c>
      <c r="J3059" s="1" t="e">
        <v>#N/A</v>
      </c>
      <c r="K3059" s="1" t="e">
        <v>#N/A</v>
      </c>
      <c r="L3059" s="1" t="e">
        <v>#N/A</v>
      </c>
      <c r="M3059" s="1" t="e">
        <v>#N/A</v>
      </c>
      <c r="N3059" s="1" t="e">
        <v>#N/A</v>
      </c>
      <c r="O3059" s="1" t="e">
        <v>#N/A</v>
      </c>
      <c r="P3059" s="1" t="e">
        <v>#N/A</v>
      </c>
      <c r="Q3059" s="1" t="e">
        <v>#N/A</v>
      </c>
      <c r="R3059" s="1">
        <f t="shared" si="902"/>
        <v>7</v>
      </c>
      <c r="S3059" s="1" t="str">
        <f t="shared" si="903"/>
        <v>4-7</v>
      </c>
      <c r="T3059" s="1" t="s">
        <v>20310</v>
      </c>
      <c r="U3059" s="1" t="s">
        <v>17</v>
      </c>
      <c r="V3059" s="1" t="s">
        <v>7789</v>
      </c>
      <c r="W3059" s="1"/>
    </row>
    <row r="3060" spans="1:23" x14ac:dyDescent="0.2">
      <c r="A3060" s="88" t="s">
        <v>18177</v>
      </c>
      <c r="B3060" s="1" t="e">
        <v>#N/A</v>
      </c>
      <c r="C3060" s="1" t="e">
        <v>#N/A</v>
      </c>
      <c r="D3060" s="1" t="s">
        <v>8047</v>
      </c>
      <c r="E3060" s="1" t="s">
        <v>8048</v>
      </c>
      <c r="F3060" s="1" t="s">
        <v>9310</v>
      </c>
      <c r="G3060" s="1" t="s">
        <v>8957</v>
      </c>
      <c r="H3060" t="s">
        <v>8959</v>
      </c>
      <c r="I3060" s="1" t="s">
        <v>20714</v>
      </c>
      <c r="J3060" s="1" t="s">
        <v>9050</v>
      </c>
      <c r="K3060" s="1" t="s">
        <v>20736</v>
      </c>
      <c r="L3060" s="1" t="s">
        <v>8987</v>
      </c>
      <c r="M3060" s="1">
        <v>8030</v>
      </c>
      <c r="N3060" s="1" t="s">
        <v>8953</v>
      </c>
      <c r="O3060" s="1" t="s">
        <v>8989</v>
      </c>
      <c r="P3060" s="1" t="e">
        <v>#N/A</v>
      </c>
      <c r="Q3060" s="1" t="e">
        <v>#N/A</v>
      </c>
      <c r="R3060" s="1">
        <f t="shared" si="902"/>
        <v>5</v>
      </c>
      <c r="S3060" s="1" t="str">
        <f t="shared" si="903"/>
        <v>4-7</v>
      </c>
      <c r="T3060" s="1" t="s">
        <v>20311</v>
      </c>
      <c r="U3060" s="1" t="s">
        <v>7</v>
      </c>
      <c r="V3060" s="1" t="s">
        <v>27</v>
      </c>
      <c r="W3060" s="1"/>
    </row>
    <row r="3061" spans="1:23" x14ac:dyDescent="0.2">
      <c r="A3061" s="88" t="s">
        <v>18178</v>
      </c>
      <c r="B3061" s="1" t="e">
        <v>#N/A</v>
      </c>
      <c r="C3061" s="1" t="s">
        <v>12766</v>
      </c>
      <c r="D3061" s="1" t="s">
        <v>8049</v>
      </c>
      <c r="E3061" s="1" t="s">
        <v>8050</v>
      </c>
      <c r="F3061" s="1" t="s">
        <v>9310</v>
      </c>
      <c r="G3061" s="1" t="s">
        <v>8957</v>
      </c>
      <c r="H3061" t="s">
        <v>8959</v>
      </c>
      <c r="I3061" s="1" t="s">
        <v>9075</v>
      </c>
      <c r="J3061" s="1" t="s">
        <v>8998</v>
      </c>
      <c r="K3061" s="1" t="s">
        <v>12769</v>
      </c>
      <c r="L3061" s="1" t="s">
        <v>8973</v>
      </c>
      <c r="M3061" s="1">
        <v>124</v>
      </c>
      <c r="N3061" s="1" t="s">
        <v>8953</v>
      </c>
      <c r="O3061" s="1" t="s">
        <v>8989</v>
      </c>
      <c r="P3061" s="1" t="s">
        <v>8955</v>
      </c>
      <c r="Q3061" s="1" t="s">
        <v>8956</v>
      </c>
      <c r="R3061" s="1" t="s">
        <v>8957</v>
      </c>
      <c r="S3061" s="1" t="s">
        <v>9103</v>
      </c>
      <c r="T3061" s="1" t="s">
        <v>8051</v>
      </c>
      <c r="U3061" s="1" t="s">
        <v>11</v>
      </c>
      <c r="V3061" s="1" t="s">
        <v>64</v>
      </c>
      <c r="W3061" s="1"/>
    </row>
    <row r="3062" spans="1:23" x14ac:dyDescent="0.2">
      <c r="A3062" s="88" t="s">
        <v>18179</v>
      </c>
      <c r="B3062" s="1" t="e">
        <v>#N/A</v>
      </c>
      <c r="C3062" s="1" t="e">
        <v>#N/A</v>
      </c>
      <c r="D3062" s="1" t="s">
        <v>8052</v>
      </c>
      <c r="E3062" s="1" t="s">
        <v>8053</v>
      </c>
      <c r="F3062" s="1" t="s">
        <v>18502</v>
      </c>
      <c r="G3062" s="1" t="s">
        <v>8957</v>
      </c>
      <c r="H3062" t="s">
        <v>8959</v>
      </c>
      <c r="I3062" s="1" t="s">
        <v>9100</v>
      </c>
      <c r="J3062" s="1" t="s">
        <v>8949</v>
      </c>
      <c r="K3062" s="1" t="s">
        <v>10492</v>
      </c>
      <c r="L3062" s="1" t="s">
        <v>8973</v>
      </c>
      <c r="M3062" s="1">
        <v>285</v>
      </c>
      <c r="N3062" s="1" t="s">
        <v>9059</v>
      </c>
      <c r="O3062" s="1" t="s">
        <v>8989</v>
      </c>
      <c r="P3062" s="1" t="e">
        <v>#N/A</v>
      </c>
      <c r="Q3062" s="1" t="e">
        <v>#N/A</v>
      </c>
      <c r="R3062" s="1">
        <f>1+LEN(T3062)-LEN(SUBSTITUTE(T3062,",",))</f>
        <v>5</v>
      </c>
      <c r="S3062" s="1" t="str">
        <f>IF(R3062&gt;4,IF(R3062&lt;8,"4-7",IF(R3062&gt;7,"&gt;7")),"&lt;4")</f>
        <v>4-7</v>
      </c>
      <c r="T3062" s="1" t="s">
        <v>20312</v>
      </c>
      <c r="U3062" s="1" t="s">
        <v>7</v>
      </c>
      <c r="V3062" s="1" t="s">
        <v>938</v>
      </c>
      <c r="W3062" s="1"/>
    </row>
    <row r="3063" spans="1:23" x14ac:dyDescent="0.2">
      <c r="A3063" s="88" t="s">
        <v>18180</v>
      </c>
      <c r="B3063" s="1" t="e">
        <v>#N/A</v>
      </c>
      <c r="C3063" s="1" t="s">
        <v>9902</v>
      </c>
      <c r="D3063" s="1" t="s">
        <v>8054</v>
      </c>
      <c r="E3063" s="1" t="s">
        <v>8055</v>
      </c>
      <c r="F3063" s="1" t="s">
        <v>9010</v>
      </c>
      <c r="G3063" s="1" t="s">
        <v>8957</v>
      </c>
      <c r="H3063" t="s">
        <v>9061</v>
      </c>
      <c r="I3063" s="1" t="s">
        <v>9035</v>
      </c>
      <c r="J3063" s="1" t="s">
        <v>8998</v>
      </c>
      <c r="K3063" s="1" t="s">
        <v>9679</v>
      </c>
      <c r="L3063" s="1" t="s">
        <v>9157</v>
      </c>
      <c r="M3063" s="1">
        <v>759</v>
      </c>
      <c r="N3063" s="1" t="s">
        <v>8953</v>
      </c>
      <c r="O3063" s="1" t="s">
        <v>8954</v>
      </c>
      <c r="P3063" s="1" t="s">
        <v>8955</v>
      </c>
      <c r="Q3063" s="1" t="s">
        <v>8956</v>
      </c>
      <c r="R3063" s="1" t="s">
        <v>8957</v>
      </c>
      <c r="S3063" s="1" t="s">
        <v>8975</v>
      </c>
      <c r="T3063" s="1" t="s">
        <v>8056</v>
      </c>
      <c r="U3063" s="1" t="s">
        <v>17</v>
      </c>
      <c r="V3063" s="1" t="s">
        <v>39</v>
      </c>
      <c r="W3063" s="1"/>
    </row>
    <row r="3064" spans="1:23" x14ac:dyDescent="0.2">
      <c r="A3064" s="88" t="s">
        <v>18181</v>
      </c>
      <c r="B3064" s="1" t="e">
        <v>#N/A</v>
      </c>
      <c r="C3064" s="1" t="e">
        <v>#N/A</v>
      </c>
      <c r="D3064" s="1" t="s">
        <v>8057</v>
      </c>
      <c r="E3064" s="1" t="s">
        <v>8058</v>
      </c>
      <c r="F3064" s="1" t="s">
        <v>18502</v>
      </c>
      <c r="G3064" s="1" t="s">
        <v>8957</v>
      </c>
      <c r="H3064" t="s">
        <v>21117</v>
      </c>
      <c r="I3064" s="1" t="s">
        <v>9075</v>
      </c>
      <c r="J3064" s="1" t="s">
        <v>9101</v>
      </c>
      <c r="K3064" s="1" t="s">
        <v>10492</v>
      </c>
      <c r="L3064" s="1" t="s">
        <v>8951</v>
      </c>
      <c r="M3064" s="1">
        <v>141</v>
      </c>
      <c r="N3064" s="1" t="s">
        <v>8953</v>
      </c>
      <c r="O3064" s="1" t="s">
        <v>8954</v>
      </c>
      <c r="P3064" s="1" t="e">
        <v>#N/A</v>
      </c>
      <c r="Q3064" s="1" t="e">
        <v>#N/A</v>
      </c>
      <c r="R3064" s="1">
        <f>1+LEN(T3064)-LEN(SUBSTITUTE(T3064,",",))</f>
        <v>5</v>
      </c>
      <c r="S3064" s="1" t="str">
        <f>IF(R3064&gt;4,IF(R3064&lt;8,"4-7",IF(R3064&gt;7,"&gt;7")),"&lt;4")</f>
        <v>4-7</v>
      </c>
      <c r="T3064" s="1" t="s">
        <v>20313</v>
      </c>
      <c r="U3064" s="1" t="s">
        <v>7</v>
      </c>
      <c r="V3064" s="1" t="s">
        <v>24</v>
      </c>
      <c r="W3064" s="1"/>
    </row>
    <row r="3065" spans="1:23" x14ac:dyDescent="0.2">
      <c r="A3065" s="88" t="s">
        <v>18182</v>
      </c>
      <c r="B3065" s="1" t="e">
        <v>#N/A</v>
      </c>
      <c r="C3065" s="1" t="s">
        <v>12761</v>
      </c>
      <c r="D3065" s="1" t="s">
        <v>8059</v>
      </c>
      <c r="E3065" s="1" t="s">
        <v>8060</v>
      </c>
      <c r="F3065" s="1" t="s">
        <v>9310</v>
      </c>
      <c r="G3065" s="1" t="s">
        <v>8957</v>
      </c>
      <c r="H3065" t="s">
        <v>8959</v>
      </c>
      <c r="I3065" s="1" t="s">
        <v>9605</v>
      </c>
      <c r="J3065" s="1" t="s">
        <v>8998</v>
      </c>
      <c r="K3065" s="1" t="s">
        <v>9041</v>
      </c>
      <c r="L3065" s="1" t="s">
        <v>9464</v>
      </c>
      <c r="M3065" s="1">
        <v>405</v>
      </c>
      <c r="N3065" s="1" t="s">
        <v>8953</v>
      </c>
      <c r="O3065" s="1" t="s">
        <v>8989</v>
      </c>
      <c r="P3065" s="1" t="s">
        <v>8955</v>
      </c>
      <c r="Q3065" s="1" t="s">
        <v>8956</v>
      </c>
      <c r="R3065" s="1" t="s">
        <v>8957</v>
      </c>
      <c r="S3065" s="1" t="s">
        <v>8958</v>
      </c>
      <c r="T3065" s="1" t="s">
        <v>8061</v>
      </c>
      <c r="U3065" s="1" t="s">
        <v>11</v>
      </c>
      <c r="V3065" s="1" t="s">
        <v>234</v>
      </c>
      <c r="W3065" s="1"/>
    </row>
    <row r="3066" spans="1:23" x14ac:dyDescent="0.2">
      <c r="A3066" s="88" t="s">
        <v>18183</v>
      </c>
      <c r="B3066" s="1" t="e">
        <v>#N/A</v>
      </c>
      <c r="C3066" s="1" t="s">
        <v>11451</v>
      </c>
      <c r="D3066" s="1" t="s">
        <v>8062</v>
      </c>
      <c r="E3066" s="1" t="s">
        <v>8063</v>
      </c>
      <c r="F3066" s="1" t="s">
        <v>9310</v>
      </c>
      <c r="G3066" s="1" t="s">
        <v>8957</v>
      </c>
      <c r="H3066" t="s">
        <v>9061</v>
      </c>
      <c r="I3066" s="1" t="s">
        <v>9605</v>
      </c>
      <c r="J3066" s="1" t="s">
        <v>8998</v>
      </c>
      <c r="K3066" s="1" t="s">
        <v>9436</v>
      </c>
      <c r="L3066" s="1" t="s">
        <v>8987</v>
      </c>
      <c r="M3066" s="1">
        <v>5987</v>
      </c>
      <c r="N3066" s="1" t="s">
        <v>8953</v>
      </c>
      <c r="O3066" s="1" t="s">
        <v>8989</v>
      </c>
      <c r="P3066" s="1" t="s">
        <v>8955</v>
      </c>
      <c r="Q3066" s="1" t="s">
        <v>8956</v>
      </c>
      <c r="R3066" s="1" t="s">
        <v>8957</v>
      </c>
      <c r="S3066" s="1" t="s">
        <v>8958</v>
      </c>
      <c r="T3066" s="1" t="s">
        <v>8064</v>
      </c>
      <c r="U3066" s="1" t="s">
        <v>11</v>
      </c>
      <c r="V3066" s="1" t="s">
        <v>1010</v>
      </c>
      <c r="W3066" s="1"/>
    </row>
    <row r="3067" spans="1:23" x14ac:dyDescent="0.2">
      <c r="A3067" s="88" t="s">
        <v>18184</v>
      </c>
      <c r="B3067" s="1" t="e">
        <v>#N/A</v>
      </c>
      <c r="C3067" s="1" t="e">
        <v>#N/A</v>
      </c>
      <c r="D3067" s="1" t="s">
        <v>8065</v>
      </c>
      <c r="E3067" s="1" t="s">
        <v>8066</v>
      </c>
      <c r="F3067" s="1" t="s">
        <v>9310</v>
      </c>
      <c r="G3067" s="1" t="s">
        <v>8957</v>
      </c>
      <c r="H3067" t="s">
        <v>9061</v>
      </c>
      <c r="I3067" s="1" t="s">
        <v>8984</v>
      </c>
      <c r="J3067" s="1" t="s">
        <v>8971</v>
      </c>
      <c r="K3067" s="1" t="s">
        <v>18489</v>
      </c>
      <c r="L3067" s="1" t="s">
        <v>8987</v>
      </c>
      <c r="M3067" s="1">
        <v>466</v>
      </c>
      <c r="N3067" s="1" t="s">
        <v>9059</v>
      </c>
      <c r="O3067" s="1" t="s">
        <v>8989</v>
      </c>
      <c r="P3067" s="1" t="e">
        <v>#N/A</v>
      </c>
      <c r="Q3067" s="1" t="e">
        <v>#N/A</v>
      </c>
      <c r="R3067" s="1">
        <f t="shared" ref="R3067:R3070" si="904">1+LEN(T3067)-LEN(SUBSTITUTE(T3067,",",))</f>
        <v>9</v>
      </c>
      <c r="S3067" s="1" t="str">
        <f t="shared" ref="S3067:S3070" si="905">IF(R3067&gt;4,IF(R3067&lt;8,"4-7",IF(R3067&gt;7,"&gt;7")),"&lt;4")</f>
        <v>&gt;7</v>
      </c>
      <c r="T3067" s="1" t="s">
        <v>20314</v>
      </c>
      <c r="U3067" s="1" t="s">
        <v>7</v>
      </c>
      <c r="V3067" s="1" t="s">
        <v>147</v>
      </c>
      <c r="W3067" s="1"/>
    </row>
    <row r="3068" spans="1:23" x14ac:dyDescent="0.2">
      <c r="A3068" s="88" t="s">
        <v>18185</v>
      </c>
      <c r="B3068" s="1" t="e">
        <v>#N/A</v>
      </c>
      <c r="C3068" s="1" t="e">
        <v>#N/A</v>
      </c>
      <c r="D3068" s="1" t="s">
        <v>8067</v>
      </c>
      <c r="E3068" s="1" t="s">
        <v>8068</v>
      </c>
      <c r="F3068" s="1" t="s">
        <v>9310</v>
      </c>
      <c r="G3068" s="1" t="s">
        <v>8957</v>
      </c>
      <c r="H3068" t="s">
        <v>8959</v>
      </c>
      <c r="I3068" s="1" t="s">
        <v>9100</v>
      </c>
      <c r="J3068" s="1" t="s">
        <v>8949</v>
      </c>
      <c r="K3068" s="1" t="s">
        <v>21124</v>
      </c>
      <c r="L3068" s="1" t="s">
        <v>9464</v>
      </c>
      <c r="M3068" s="1">
        <v>631</v>
      </c>
      <c r="N3068" s="1" t="s">
        <v>8953</v>
      </c>
      <c r="O3068" s="1" t="s">
        <v>8954</v>
      </c>
      <c r="P3068" s="1" t="e">
        <v>#N/A</v>
      </c>
      <c r="Q3068" s="1" t="e">
        <v>#N/A</v>
      </c>
      <c r="R3068" s="1">
        <f t="shared" si="904"/>
        <v>6</v>
      </c>
      <c r="S3068" s="1" t="str">
        <f t="shared" si="905"/>
        <v>4-7</v>
      </c>
      <c r="T3068" s="1" t="s">
        <v>20315</v>
      </c>
      <c r="U3068" s="1" t="s">
        <v>7</v>
      </c>
      <c r="V3068" s="1" t="s">
        <v>27</v>
      </c>
      <c r="W3068" s="1"/>
    </row>
    <row r="3069" spans="1:23" x14ac:dyDescent="0.2">
      <c r="A3069" s="89" t="s">
        <v>8069</v>
      </c>
      <c r="B3069" s="1" t="e">
        <v>#N/A</v>
      </c>
      <c r="C3069" s="1" t="e">
        <v>#N/A</v>
      </c>
      <c r="D3069" s="1" t="s">
        <v>8070</v>
      </c>
      <c r="E3069" s="1" t="s">
        <v>8071</v>
      </c>
      <c r="F3069" s="1" t="e">
        <v>#N/A</v>
      </c>
      <c r="G3069" s="1" t="e">
        <v>#N/A</v>
      </c>
      <c r="H3069" t="e">
        <v>#N/A</v>
      </c>
      <c r="I3069" s="1" t="e">
        <v>#N/A</v>
      </c>
      <c r="J3069" s="1" t="e">
        <v>#N/A</v>
      </c>
      <c r="K3069" s="1" t="e">
        <v>#N/A</v>
      </c>
      <c r="L3069" s="1" t="e">
        <v>#N/A</v>
      </c>
      <c r="M3069" s="1" t="e">
        <v>#N/A</v>
      </c>
      <c r="N3069" s="1" t="e">
        <v>#N/A</v>
      </c>
      <c r="O3069" s="1" t="e">
        <v>#N/A</v>
      </c>
      <c r="P3069" s="1" t="e">
        <v>#N/A</v>
      </c>
      <c r="Q3069" s="1" t="e">
        <v>#N/A</v>
      </c>
      <c r="R3069" s="1">
        <f t="shared" si="904"/>
        <v>6</v>
      </c>
      <c r="S3069" s="1" t="str">
        <f t="shared" si="905"/>
        <v>4-7</v>
      </c>
      <c r="T3069" s="1" t="s">
        <v>20316</v>
      </c>
      <c r="U3069" s="1" t="s">
        <v>4</v>
      </c>
      <c r="V3069" s="1" t="s">
        <v>1848</v>
      </c>
      <c r="W3069" s="1"/>
    </row>
    <row r="3070" spans="1:23" x14ac:dyDescent="0.2">
      <c r="A3070" s="88" t="s">
        <v>18186</v>
      </c>
      <c r="B3070" s="1" t="e">
        <v>#N/A</v>
      </c>
      <c r="C3070" s="1" t="e">
        <v>#N/A</v>
      </c>
      <c r="D3070" s="1" t="s">
        <v>15489</v>
      </c>
      <c r="E3070" s="1" t="s">
        <v>8072</v>
      </c>
      <c r="F3070" s="1" t="s">
        <v>18502</v>
      </c>
      <c r="G3070" s="1" t="s">
        <v>8959</v>
      </c>
      <c r="H3070" t="s">
        <v>8959</v>
      </c>
      <c r="I3070" s="1" t="s">
        <v>9100</v>
      </c>
      <c r="J3070" s="1" t="s">
        <v>8949</v>
      </c>
      <c r="K3070" s="1" t="s">
        <v>10492</v>
      </c>
      <c r="L3070" s="1" t="s">
        <v>8973</v>
      </c>
      <c r="M3070" s="1">
        <v>99</v>
      </c>
      <c r="N3070" s="1" t="s">
        <v>8953</v>
      </c>
      <c r="O3070" s="1" t="s">
        <v>8954</v>
      </c>
      <c r="P3070" s="1" t="e">
        <v>#N/A</v>
      </c>
      <c r="Q3070" s="1" t="e">
        <v>#N/A</v>
      </c>
      <c r="R3070" s="1">
        <f t="shared" si="904"/>
        <v>7</v>
      </c>
      <c r="S3070" s="1" t="str">
        <f t="shared" si="905"/>
        <v>4-7</v>
      </c>
      <c r="T3070" s="1" t="s">
        <v>20317</v>
      </c>
      <c r="U3070" s="1" t="s">
        <v>7</v>
      </c>
      <c r="V3070" s="1" t="s">
        <v>57</v>
      </c>
      <c r="W3070" s="1"/>
    </row>
    <row r="3071" spans="1:23" x14ac:dyDescent="0.2">
      <c r="A3071" s="88" t="s">
        <v>18187</v>
      </c>
      <c r="B3071" s="1" t="e">
        <v>#N/A</v>
      </c>
      <c r="C3071" s="1" t="s">
        <v>13844</v>
      </c>
      <c r="D3071" s="1" t="s">
        <v>8073</v>
      </c>
      <c r="E3071" s="1" t="s">
        <v>8074</v>
      </c>
      <c r="F3071" s="1" t="s">
        <v>9310</v>
      </c>
      <c r="G3071" s="1" t="s">
        <v>8974</v>
      </c>
      <c r="H3071" t="s">
        <v>9061</v>
      </c>
      <c r="I3071" s="1" t="s">
        <v>9092</v>
      </c>
      <c r="J3071" s="1" t="s">
        <v>9308</v>
      </c>
      <c r="K3071" s="1" t="s">
        <v>9036</v>
      </c>
      <c r="L3071" s="1" t="s">
        <v>9133</v>
      </c>
      <c r="M3071" s="1">
        <v>420</v>
      </c>
      <c r="N3071" s="1" t="s">
        <v>8953</v>
      </c>
      <c r="O3071" s="1" t="s">
        <v>8989</v>
      </c>
      <c r="P3071" s="1" t="s">
        <v>8955</v>
      </c>
      <c r="Q3071" s="1" t="s">
        <v>8956</v>
      </c>
      <c r="R3071" s="1" t="s">
        <v>8974</v>
      </c>
      <c r="S3071" s="1" t="s">
        <v>8958</v>
      </c>
      <c r="T3071" s="1" t="s">
        <v>8075</v>
      </c>
      <c r="U3071" s="1" t="s">
        <v>4</v>
      </c>
      <c r="V3071" s="1" t="s">
        <v>110</v>
      </c>
      <c r="W3071" s="1"/>
    </row>
    <row r="3072" spans="1:23" x14ac:dyDescent="0.2">
      <c r="A3072" s="88" t="s">
        <v>18188</v>
      </c>
      <c r="B3072" s="1" t="e">
        <v>#N/A</v>
      </c>
      <c r="C3072" s="1" t="s">
        <v>10841</v>
      </c>
      <c r="D3072" s="1" t="s">
        <v>8076</v>
      </c>
      <c r="E3072" s="1" t="s">
        <v>8077</v>
      </c>
      <c r="F3072" s="1" t="s">
        <v>9010</v>
      </c>
      <c r="G3072" s="1" t="s">
        <v>8957</v>
      </c>
      <c r="H3072" t="s">
        <v>9009</v>
      </c>
      <c r="I3072" s="1" t="s">
        <v>9035</v>
      </c>
      <c r="J3072" s="1" t="s">
        <v>9308</v>
      </c>
      <c r="K3072" s="1" t="s">
        <v>10844</v>
      </c>
      <c r="L3072" s="1" t="s">
        <v>8973</v>
      </c>
      <c r="M3072" s="1">
        <v>247</v>
      </c>
      <c r="N3072" s="1" t="s">
        <v>8953</v>
      </c>
      <c r="O3072" s="1" t="s">
        <v>8989</v>
      </c>
      <c r="P3072" s="1" t="s">
        <v>8955</v>
      </c>
      <c r="Q3072" s="1" t="s">
        <v>8956</v>
      </c>
      <c r="R3072" s="1" t="s">
        <v>8957</v>
      </c>
      <c r="S3072" s="1" t="s">
        <v>8958</v>
      </c>
      <c r="T3072" s="1" t="s">
        <v>8078</v>
      </c>
      <c r="U3072" s="1" t="s">
        <v>11</v>
      </c>
      <c r="V3072" s="1" t="s">
        <v>46</v>
      </c>
      <c r="W3072" s="1"/>
    </row>
    <row r="3073" spans="1:23" x14ac:dyDescent="0.2">
      <c r="A3073" s="88" t="s">
        <v>18189</v>
      </c>
      <c r="B3073" s="1" t="e">
        <v>#N/A</v>
      </c>
      <c r="C3073" s="1" t="e">
        <v>#N/A</v>
      </c>
      <c r="D3073" s="1" t="s">
        <v>8079</v>
      </c>
      <c r="E3073" s="1" t="s">
        <v>8080</v>
      </c>
      <c r="F3073" s="1" t="s">
        <v>18502</v>
      </c>
      <c r="G3073" s="1" t="s">
        <v>8959</v>
      </c>
      <c r="H3073" t="s">
        <v>21125</v>
      </c>
      <c r="I3073" s="1" t="s">
        <v>9252</v>
      </c>
      <c r="J3073" s="1" t="s">
        <v>18504</v>
      </c>
      <c r="K3073" s="1" t="s">
        <v>18497</v>
      </c>
      <c r="L3073" s="1" t="s">
        <v>8987</v>
      </c>
      <c r="M3073" s="1">
        <v>88994</v>
      </c>
      <c r="N3073" s="1" t="s">
        <v>8953</v>
      </c>
      <c r="O3073" s="1" t="s">
        <v>8989</v>
      </c>
      <c r="P3073" s="1" t="e">
        <v>#N/A</v>
      </c>
      <c r="Q3073" s="1" t="e">
        <v>#N/A</v>
      </c>
      <c r="R3073" s="1">
        <f t="shared" ref="R3073:R3076" si="906">1+LEN(T3073)-LEN(SUBSTITUTE(T3073,",",))</f>
        <v>5</v>
      </c>
      <c r="S3073" s="1" t="str">
        <f t="shared" ref="S3073:S3076" si="907">IF(R3073&gt;4,IF(R3073&lt;8,"4-7",IF(R3073&gt;7,"&gt;7")),"&lt;4")</f>
        <v>4-7</v>
      </c>
      <c r="T3073" s="1" t="s">
        <v>20318</v>
      </c>
      <c r="U3073" s="1" t="s">
        <v>17</v>
      </c>
      <c r="V3073" s="1" t="s">
        <v>180</v>
      </c>
      <c r="W3073" s="1"/>
    </row>
    <row r="3074" spans="1:23" x14ac:dyDescent="0.2">
      <c r="A3074" s="88" t="s">
        <v>18190</v>
      </c>
      <c r="B3074" s="1" t="e">
        <v>#N/A</v>
      </c>
      <c r="C3074" s="1" t="e">
        <v>#N/A</v>
      </c>
      <c r="D3074" s="1" t="s">
        <v>8081</v>
      </c>
      <c r="E3074" s="1" t="s">
        <v>8082</v>
      </c>
      <c r="F3074" s="1" t="s">
        <v>18502</v>
      </c>
      <c r="G3074" s="1" t="s">
        <v>8974</v>
      </c>
      <c r="H3074" t="s">
        <v>21125</v>
      </c>
      <c r="I3074" s="1" t="s">
        <v>9252</v>
      </c>
      <c r="J3074" s="1" t="s">
        <v>18504</v>
      </c>
      <c r="K3074" s="1" t="s">
        <v>18497</v>
      </c>
      <c r="L3074" s="1" t="s">
        <v>8987</v>
      </c>
      <c r="M3074" s="1">
        <v>223109</v>
      </c>
      <c r="N3074" s="1" t="s">
        <v>8953</v>
      </c>
      <c r="O3074" s="1" t="s">
        <v>8989</v>
      </c>
      <c r="P3074" s="1" t="e">
        <v>#N/A</v>
      </c>
      <c r="Q3074" s="1" t="e">
        <v>#N/A</v>
      </c>
      <c r="R3074" s="1">
        <f t="shared" si="906"/>
        <v>5</v>
      </c>
      <c r="S3074" s="1" t="str">
        <f t="shared" si="907"/>
        <v>4-7</v>
      </c>
      <c r="T3074" s="1" t="s">
        <v>20319</v>
      </c>
      <c r="U3074" s="1" t="s">
        <v>17</v>
      </c>
      <c r="V3074" s="1" t="s">
        <v>180</v>
      </c>
      <c r="W3074" s="1"/>
    </row>
    <row r="3075" spans="1:23" x14ac:dyDescent="0.2">
      <c r="A3075" s="88" t="s">
        <v>18191</v>
      </c>
      <c r="B3075" s="1" t="e">
        <v>#N/A</v>
      </c>
      <c r="C3075" s="1" t="e">
        <v>#N/A</v>
      </c>
      <c r="D3075" s="1" t="s">
        <v>8083</v>
      </c>
      <c r="E3075" s="1" t="s">
        <v>8084</v>
      </c>
      <c r="F3075" s="1" t="s">
        <v>9333</v>
      </c>
      <c r="G3075" s="1" t="s">
        <v>8957</v>
      </c>
      <c r="H3075" t="s">
        <v>9183</v>
      </c>
      <c r="I3075" s="1" t="s">
        <v>9092</v>
      </c>
      <c r="J3075" s="1" t="s">
        <v>8959</v>
      </c>
      <c r="K3075" s="1" t="s">
        <v>20762</v>
      </c>
      <c r="L3075" s="1" t="s">
        <v>8987</v>
      </c>
      <c r="M3075" s="1">
        <f>1703+1220</f>
        <v>2923</v>
      </c>
      <c r="N3075" s="1" t="s">
        <v>8953</v>
      </c>
      <c r="O3075" s="1" t="s">
        <v>8954</v>
      </c>
      <c r="P3075" s="1" t="e">
        <v>#N/A</v>
      </c>
      <c r="Q3075" s="1" t="e">
        <v>#N/A</v>
      </c>
      <c r="R3075" s="1">
        <f t="shared" si="906"/>
        <v>18</v>
      </c>
      <c r="S3075" s="1" t="str">
        <f t="shared" si="907"/>
        <v>&gt;7</v>
      </c>
      <c r="T3075" s="1" t="s">
        <v>20320</v>
      </c>
      <c r="U3075" s="1" t="s">
        <v>7</v>
      </c>
      <c r="V3075" s="1" t="s">
        <v>1472</v>
      </c>
      <c r="W3075" s="1"/>
    </row>
    <row r="3076" spans="1:23" x14ac:dyDescent="0.2">
      <c r="A3076" s="88" t="s">
        <v>18192</v>
      </c>
      <c r="B3076" s="1" t="e">
        <v>#N/A</v>
      </c>
      <c r="C3076" s="1" t="e">
        <v>#N/A</v>
      </c>
      <c r="D3076" s="1" t="s">
        <v>8085</v>
      </c>
      <c r="E3076" s="1" t="s">
        <v>8086</v>
      </c>
      <c r="F3076" s="1" t="s">
        <v>9333</v>
      </c>
      <c r="G3076" s="1" t="s">
        <v>8957</v>
      </c>
      <c r="H3076" t="s">
        <v>9009</v>
      </c>
      <c r="I3076" s="1" t="s">
        <v>9252</v>
      </c>
      <c r="J3076" s="1" t="s">
        <v>18504</v>
      </c>
      <c r="K3076" s="1" t="s">
        <v>21124</v>
      </c>
      <c r="L3076" s="1" t="s">
        <v>8987</v>
      </c>
      <c r="M3076" s="1">
        <v>15000</v>
      </c>
      <c r="N3076" s="1" t="s">
        <v>8953</v>
      </c>
      <c r="O3076" s="1" t="s">
        <v>8954</v>
      </c>
      <c r="P3076" s="1" t="e">
        <v>#N/A</v>
      </c>
      <c r="Q3076" s="1" t="e">
        <v>#N/A</v>
      </c>
      <c r="R3076" s="1">
        <f t="shared" si="906"/>
        <v>6</v>
      </c>
      <c r="S3076" s="1" t="str">
        <f t="shared" si="907"/>
        <v>4-7</v>
      </c>
      <c r="T3076" s="1" t="s">
        <v>20321</v>
      </c>
      <c r="U3076" s="1" t="s">
        <v>7</v>
      </c>
      <c r="V3076" s="1" t="s">
        <v>267</v>
      </c>
      <c r="W3076" s="1"/>
    </row>
    <row r="3077" spans="1:23" x14ac:dyDescent="0.2">
      <c r="A3077" s="88" t="s">
        <v>18193</v>
      </c>
      <c r="B3077" s="1" t="e">
        <v>#N/A</v>
      </c>
      <c r="C3077" s="1" t="s">
        <v>14706</v>
      </c>
      <c r="D3077" s="1" t="s">
        <v>8087</v>
      </c>
      <c r="E3077" s="1" t="s">
        <v>8088</v>
      </c>
      <c r="F3077" s="1" t="s">
        <v>9333</v>
      </c>
      <c r="G3077" s="1" t="s">
        <v>8957</v>
      </c>
      <c r="H3077" t="s">
        <v>9183</v>
      </c>
      <c r="I3077" s="1" t="s">
        <v>9075</v>
      </c>
      <c r="J3077" s="1" t="s">
        <v>9422</v>
      </c>
      <c r="K3077" s="1" t="s">
        <v>21216</v>
      </c>
      <c r="L3077" s="1" t="s">
        <v>9157</v>
      </c>
      <c r="M3077" s="1">
        <v>15464</v>
      </c>
      <c r="N3077" s="1" t="s">
        <v>8953</v>
      </c>
      <c r="O3077" s="1" t="s">
        <v>8954</v>
      </c>
      <c r="P3077" s="1" t="s">
        <v>8955</v>
      </c>
      <c r="Q3077" s="1" t="s">
        <v>8956</v>
      </c>
      <c r="R3077" s="1" t="s">
        <v>8957</v>
      </c>
      <c r="S3077" s="1" t="s">
        <v>8975</v>
      </c>
      <c r="T3077" s="1" t="s">
        <v>8089</v>
      </c>
      <c r="U3077" s="1" t="s">
        <v>17</v>
      </c>
      <c r="V3077" s="1" t="s">
        <v>580</v>
      </c>
      <c r="W3077" s="1"/>
    </row>
    <row r="3078" spans="1:23" x14ac:dyDescent="0.2">
      <c r="A3078" s="88" t="s">
        <v>18194</v>
      </c>
      <c r="B3078" s="1" t="e">
        <v>#N/A</v>
      </c>
      <c r="C3078" s="1" t="e">
        <v>#N/A</v>
      </c>
      <c r="D3078" s="1" t="s">
        <v>8090</v>
      </c>
      <c r="E3078" s="1" t="s">
        <v>8091</v>
      </c>
      <c r="F3078" s="1" t="s">
        <v>18502</v>
      </c>
      <c r="G3078" s="1" t="s">
        <v>8957</v>
      </c>
      <c r="H3078" t="s">
        <v>9061</v>
      </c>
      <c r="I3078" s="1" t="s">
        <v>8984</v>
      </c>
      <c r="J3078" s="1" t="s">
        <v>9155</v>
      </c>
      <c r="K3078" s="1" t="s">
        <v>10525</v>
      </c>
      <c r="L3078" s="1" t="s">
        <v>8987</v>
      </c>
      <c r="M3078" s="1">
        <v>314</v>
      </c>
      <c r="N3078" s="1" t="s">
        <v>8953</v>
      </c>
      <c r="O3078" s="1" t="s">
        <v>8954</v>
      </c>
      <c r="P3078" s="1" t="e">
        <v>#N/A</v>
      </c>
      <c r="Q3078" s="1" t="e">
        <v>#N/A</v>
      </c>
      <c r="R3078" s="1">
        <f t="shared" ref="R3078:R3081" si="908">1+LEN(T3078)-LEN(SUBSTITUTE(T3078,",",))</f>
        <v>8</v>
      </c>
      <c r="S3078" s="1" t="str">
        <f t="shared" ref="S3078:S3081" si="909">IF(R3078&gt;4,IF(R3078&lt;8,"4-7",IF(R3078&gt;7,"&gt;7")),"&lt;4")</f>
        <v>&gt;7</v>
      </c>
      <c r="T3078" s="1" t="s">
        <v>20322</v>
      </c>
      <c r="U3078" s="1" t="s">
        <v>7</v>
      </c>
      <c r="V3078" s="1" t="s">
        <v>891</v>
      </c>
      <c r="W3078" s="1"/>
    </row>
    <row r="3079" spans="1:23" x14ac:dyDescent="0.2">
      <c r="A3079" s="89" t="s">
        <v>8092</v>
      </c>
      <c r="B3079" s="1" t="e">
        <v>#N/A</v>
      </c>
      <c r="C3079" s="1" t="e">
        <v>#N/A</v>
      </c>
      <c r="D3079" s="1" t="s">
        <v>8093</v>
      </c>
      <c r="E3079" s="1" t="s">
        <v>8094</v>
      </c>
      <c r="F3079" s="1" t="e">
        <v>#N/A</v>
      </c>
      <c r="G3079" s="1" t="e">
        <v>#N/A</v>
      </c>
      <c r="H3079" t="e">
        <v>#N/A</v>
      </c>
      <c r="I3079" s="1" t="e">
        <v>#N/A</v>
      </c>
      <c r="J3079" s="1" t="e">
        <v>#N/A</v>
      </c>
      <c r="K3079" s="1" t="e">
        <v>#N/A</v>
      </c>
      <c r="L3079" s="1" t="e">
        <v>#N/A</v>
      </c>
      <c r="M3079" s="1" t="e">
        <v>#N/A</v>
      </c>
      <c r="N3079" s="1" t="e">
        <v>#N/A</v>
      </c>
      <c r="O3079" s="1" t="e">
        <v>#N/A</v>
      </c>
      <c r="P3079" s="1" t="e">
        <v>#N/A</v>
      </c>
      <c r="Q3079" s="1" t="e">
        <v>#N/A</v>
      </c>
      <c r="R3079" s="1">
        <f t="shared" si="908"/>
        <v>4</v>
      </c>
      <c r="S3079" s="1" t="str">
        <f t="shared" si="909"/>
        <v>&lt;4</v>
      </c>
      <c r="T3079" s="1" t="s">
        <v>20323</v>
      </c>
      <c r="U3079" s="1" t="s">
        <v>11</v>
      </c>
      <c r="V3079" s="1" t="s">
        <v>835</v>
      </c>
      <c r="W3079" s="1"/>
    </row>
    <row r="3080" spans="1:23" x14ac:dyDescent="0.2">
      <c r="A3080" s="88" t="s">
        <v>18195</v>
      </c>
      <c r="B3080" s="1" t="e">
        <v>#N/A</v>
      </c>
      <c r="C3080" s="1" t="e">
        <v>#N/A</v>
      </c>
      <c r="D3080" s="1" t="s">
        <v>8095</v>
      </c>
      <c r="E3080" s="1" t="s">
        <v>8096</v>
      </c>
      <c r="F3080" s="1" t="s">
        <v>9310</v>
      </c>
      <c r="G3080" s="1" t="s">
        <v>8957</v>
      </c>
      <c r="H3080" t="s">
        <v>8959</v>
      </c>
      <c r="I3080" s="1" t="s">
        <v>20712</v>
      </c>
      <c r="J3080" s="1" t="s">
        <v>8949</v>
      </c>
      <c r="K3080" s="1" t="s">
        <v>21124</v>
      </c>
      <c r="L3080" s="1" t="s">
        <v>9076</v>
      </c>
      <c r="M3080" s="1">
        <f>2829+1457+2400</f>
        <v>6686</v>
      </c>
      <c r="N3080" s="1" t="s">
        <v>8953</v>
      </c>
      <c r="O3080" s="1" t="s">
        <v>8954</v>
      </c>
      <c r="P3080" s="1" t="e">
        <v>#N/A</v>
      </c>
      <c r="Q3080" s="1" t="e">
        <v>#N/A</v>
      </c>
      <c r="R3080" s="1">
        <f t="shared" si="908"/>
        <v>4</v>
      </c>
      <c r="S3080" s="1" t="str">
        <f t="shared" si="909"/>
        <v>&lt;4</v>
      </c>
      <c r="T3080" s="1" t="s">
        <v>20324</v>
      </c>
      <c r="U3080" s="1" t="s">
        <v>7</v>
      </c>
      <c r="V3080" s="1" t="s">
        <v>43</v>
      </c>
      <c r="W3080" s="1"/>
    </row>
    <row r="3081" spans="1:23" x14ac:dyDescent="0.2">
      <c r="A3081" s="88" t="s">
        <v>18196</v>
      </c>
      <c r="B3081" s="1" t="e">
        <v>#N/A</v>
      </c>
      <c r="C3081" s="1" t="e">
        <v>#N/A</v>
      </c>
      <c r="D3081" s="1" t="s">
        <v>8097</v>
      </c>
      <c r="E3081" s="1" t="s">
        <v>8098</v>
      </c>
      <c r="F3081" s="1" t="s">
        <v>18502</v>
      </c>
      <c r="G3081" s="1" t="s">
        <v>8959</v>
      </c>
      <c r="H3081" t="s">
        <v>8959</v>
      </c>
      <c r="I3081" s="1" t="s">
        <v>20712</v>
      </c>
      <c r="J3081" s="1" t="s">
        <v>8998</v>
      </c>
      <c r="K3081" s="1" t="s">
        <v>20723</v>
      </c>
      <c r="L3081" s="1" t="s">
        <v>8951</v>
      </c>
      <c r="M3081" s="1">
        <f>1000+4427+888+201+90+86</f>
        <v>6692</v>
      </c>
      <c r="N3081" s="1" t="s">
        <v>9059</v>
      </c>
      <c r="O3081" s="1" t="s">
        <v>8954</v>
      </c>
      <c r="P3081" s="1" t="e">
        <v>#N/A</v>
      </c>
      <c r="Q3081" s="1" t="e">
        <v>#N/A</v>
      </c>
      <c r="R3081" s="1">
        <f t="shared" si="908"/>
        <v>10</v>
      </c>
      <c r="S3081" s="1" t="str">
        <f t="shared" si="909"/>
        <v>&gt;7</v>
      </c>
      <c r="T3081" s="1" t="s">
        <v>20325</v>
      </c>
      <c r="U3081" s="1" t="s">
        <v>7</v>
      </c>
      <c r="V3081" s="1" t="s">
        <v>61</v>
      </c>
      <c r="W3081" s="1"/>
    </row>
    <row r="3082" spans="1:23" x14ac:dyDescent="0.2">
      <c r="A3082" s="88" t="s">
        <v>18197</v>
      </c>
      <c r="B3082" s="1" t="e">
        <v>#N/A</v>
      </c>
      <c r="C3082" s="1" t="s">
        <v>10366</v>
      </c>
      <c r="D3082" s="1" t="s">
        <v>8099</v>
      </c>
      <c r="E3082" s="1" t="s">
        <v>8100</v>
      </c>
      <c r="F3082" s="1" t="s">
        <v>9176</v>
      </c>
      <c r="G3082" s="1" t="s">
        <v>8959</v>
      </c>
      <c r="H3082" t="s">
        <v>8959</v>
      </c>
      <c r="I3082" s="1" t="s">
        <v>9075</v>
      </c>
      <c r="J3082" s="1" t="s">
        <v>8949</v>
      </c>
      <c r="K3082" s="1" t="s">
        <v>10369</v>
      </c>
      <c r="L3082" s="1" t="s">
        <v>8973</v>
      </c>
      <c r="M3082" s="1">
        <v>50</v>
      </c>
      <c r="N3082" s="1" t="s">
        <v>9479</v>
      </c>
      <c r="O3082" s="1" t="s">
        <v>8989</v>
      </c>
      <c r="P3082" s="1" t="s">
        <v>8955</v>
      </c>
      <c r="Q3082" s="1" t="s">
        <v>8956</v>
      </c>
      <c r="R3082" s="1" t="s">
        <v>8959</v>
      </c>
      <c r="S3082" s="1" t="s">
        <v>8958</v>
      </c>
      <c r="T3082" s="1" t="s">
        <v>8101</v>
      </c>
      <c r="U3082" s="1" t="s">
        <v>17</v>
      </c>
      <c r="V3082" s="1" t="s">
        <v>184</v>
      </c>
      <c r="W3082" s="1"/>
    </row>
    <row r="3083" spans="1:23" x14ac:dyDescent="0.2">
      <c r="A3083" s="88" t="s">
        <v>18198</v>
      </c>
      <c r="B3083" s="1" t="e">
        <v>#N/A</v>
      </c>
      <c r="C3083" s="1" t="s">
        <v>11847</v>
      </c>
      <c r="D3083" s="1" t="s">
        <v>8102</v>
      </c>
      <c r="E3083" s="1" t="s">
        <v>8103</v>
      </c>
      <c r="F3083" s="1" t="s">
        <v>9010</v>
      </c>
      <c r="G3083" s="1" t="s">
        <v>8959</v>
      </c>
      <c r="H3083" t="s">
        <v>9061</v>
      </c>
      <c r="I3083" s="1" t="s">
        <v>11850</v>
      </c>
      <c r="J3083" s="1" t="s">
        <v>8998</v>
      </c>
      <c r="K3083" s="1" t="s">
        <v>9036</v>
      </c>
      <c r="L3083" s="1" t="s">
        <v>8951</v>
      </c>
      <c r="M3083" s="1">
        <v>32120</v>
      </c>
      <c r="N3083" s="1" t="s">
        <v>8953</v>
      </c>
      <c r="O3083" s="1" t="s">
        <v>8989</v>
      </c>
      <c r="P3083" s="1" t="s">
        <v>8955</v>
      </c>
      <c r="Q3083" s="1" t="s">
        <v>8956</v>
      </c>
      <c r="R3083" s="1" t="s">
        <v>8959</v>
      </c>
      <c r="S3083" s="1" t="s">
        <v>8958</v>
      </c>
      <c r="T3083" s="1" t="s">
        <v>8104</v>
      </c>
      <c r="U3083" s="1" t="s">
        <v>11</v>
      </c>
      <c r="V3083" s="1" t="s">
        <v>286</v>
      </c>
      <c r="W3083" s="1"/>
    </row>
    <row r="3084" spans="1:23" x14ac:dyDescent="0.2">
      <c r="A3084" s="88" t="s">
        <v>18199</v>
      </c>
      <c r="B3084" s="1" t="e">
        <v>#N/A</v>
      </c>
      <c r="C3084" s="1" t="e">
        <v>#N/A</v>
      </c>
      <c r="D3084" s="1" t="s">
        <v>8105</v>
      </c>
      <c r="E3084" s="1" t="s">
        <v>8106</v>
      </c>
      <c r="F3084" s="1" t="s">
        <v>9310</v>
      </c>
      <c r="G3084" s="1" t="s">
        <v>8957</v>
      </c>
      <c r="H3084" t="s">
        <v>9183</v>
      </c>
      <c r="I3084" s="1" t="s">
        <v>9100</v>
      </c>
      <c r="J3084" s="1" t="s">
        <v>8998</v>
      </c>
      <c r="K3084" s="1" t="s">
        <v>21406</v>
      </c>
      <c r="L3084" s="1" t="s">
        <v>9076</v>
      </c>
      <c r="M3084" s="1">
        <v>40000</v>
      </c>
      <c r="N3084" s="1" t="s">
        <v>8953</v>
      </c>
      <c r="O3084" s="1" t="s">
        <v>8989</v>
      </c>
      <c r="P3084" s="1" t="e">
        <v>#N/A</v>
      </c>
      <c r="Q3084" s="1" t="e">
        <v>#N/A</v>
      </c>
      <c r="R3084" s="1">
        <f>1+LEN(T3084)-LEN(SUBSTITUTE(T3084,",",))</f>
        <v>11</v>
      </c>
      <c r="S3084" s="1" t="str">
        <f>IF(R3084&gt;4,IF(R3084&lt;8,"4-7",IF(R3084&gt;7,"&gt;7")),"&lt;4")</f>
        <v>&gt;7</v>
      </c>
      <c r="T3084" s="1" t="s">
        <v>20326</v>
      </c>
      <c r="U3084" s="1" t="s">
        <v>17</v>
      </c>
      <c r="V3084" s="1" t="s">
        <v>2394</v>
      </c>
      <c r="W3084" s="1"/>
    </row>
    <row r="3085" spans="1:23" x14ac:dyDescent="0.2">
      <c r="A3085" s="88" t="s">
        <v>18200</v>
      </c>
      <c r="B3085" s="1" t="e">
        <v>#N/A</v>
      </c>
      <c r="C3085" s="1" t="s">
        <v>13409</v>
      </c>
      <c r="D3085" s="1" t="s">
        <v>8107</v>
      </c>
      <c r="E3085" s="1" t="s">
        <v>8108</v>
      </c>
      <c r="F3085" s="1" t="s">
        <v>9333</v>
      </c>
      <c r="G3085" s="1" t="s">
        <v>8959</v>
      </c>
      <c r="H3085" t="s">
        <v>8959</v>
      </c>
      <c r="I3085" s="1" t="s">
        <v>9100</v>
      </c>
      <c r="J3085" s="1" t="s">
        <v>8971</v>
      </c>
      <c r="K3085" s="1" t="s">
        <v>9018</v>
      </c>
      <c r="L3085" s="1" t="s">
        <v>8973</v>
      </c>
      <c r="M3085" s="1">
        <v>8000</v>
      </c>
      <c r="N3085" s="1" t="s">
        <v>8953</v>
      </c>
      <c r="O3085" s="1" t="s">
        <v>8989</v>
      </c>
      <c r="P3085" s="1" t="s">
        <v>8955</v>
      </c>
      <c r="Q3085" s="1" t="s">
        <v>8956</v>
      </c>
      <c r="R3085" s="1" t="s">
        <v>8959</v>
      </c>
      <c r="S3085" s="1" t="s">
        <v>8958</v>
      </c>
      <c r="T3085" s="1" t="s">
        <v>8109</v>
      </c>
      <c r="U3085" s="1" t="s">
        <v>4</v>
      </c>
      <c r="V3085" s="1" t="s">
        <v>46</v>
      </c>
      <c r="W3085" s="1"/>
    </row>
    <row r="3086" spans="1:23" x14ac:dyDescent="0.2">
      <c r="A3086" s="88" t="s">
        <v>18201</v>
      </c>
      <c r="B3086" s="1" t="e">
        <v>#N/A</v>
      </c>
      <c r="C3086" s="1" t="e">
        <v>#N/A</v>
      </c>
      <c r="D3086" s="1" t="s">
        <v>8110</v>
      </c>
      <c r="E3086" s="1" t="s">
        <v>8111</v>
      </c>
      <c r="F3086" s="1" t="s">
        <v>18502</v>
      </c>
      <c r="G3086" s="1" t="s">
        <v>8959</v>
      </c>
      <c r="H3086" t="s">
        <v>8959</v>
      </c>
      <c r="I3086" s="1" t="s">
        <v>9035</v>
      </c>
      <c r="J3086" s="1" t="s">
        <v>8998</v>
      </c>
      <c r="K3086" s="1" t="s">
        <v>18497</v>
      </c>
      <c r="L3086" s="1" t="s">
        <v>8987</v>
      </c>
      <c r="M3086" s="1">
        <v>180</v>
      </c>
      <c r="N3086" s="1" t="s">
        <v>9059</v>
      </c>
      <c r="O3086" s="1" t="s">
        <v>8989</v>
      </c>
      <c r="P3086" s="1" t="e">
        <v>#N/A</v>
      </c>
      <c r="Q3086" s="1" t="e">
        <v>#N/A</v>
      </c>
      <c r="R3086" s="1">
        <f t="shared" ref="R3086:R3092" si="910">1+LEN(T3086)-LEN(SUBSTITUTE(T3086,",",))</f>
        <v>5</v>
      </c>
      <c r="S3086" s="1" t="str">
        <f t="shared" ref="S3086:S3092" si="911">IF(R3086&gt;4,IF(R3086&lt;8,"4-7",IF(R3086&gt;7,"&gt;7")),"&lt;4")</f>
        <v>4-7</v>
      </c>
      <c r="T3086" s="1" t="s">
        <v>20327</v>
      </c>
      <c r="U3086" s="1" t="s">
        <v>17</v>
      </c>
      <c r="V3086" s="1" t="s">
        <v>46</v>
      </c>
      <c r="W3086" s="1"/>
    </row>
    <row r="3087" spans="1:23" x14ac:dyDescent="0.2">
      <c r="A3087" s="88" t="s">
        <v>18202</v>
      </c>
      <c r="B3087" s="1" t="e">
        <v>#N/A</v>
      </c>
      <c r="C3087" s="1" t="e">
        <v>#N/A</v>
      </c>
      <c r="D3087" s="1" t="s">
        <v>8112</v>
      </c>
      <c r="E3087" s="1" t="s">
        <v>8113</v>
      </c>
      <c r="F3087" s="1" t="e">
        <v>#N/A</v>
      </c>
      <c r="G3087" s="1" t="e">
        <v>#N/A</v>
      </c>
      <c r="H3087" t="e">
        <v>#N/A</v>
      </c>
      <c r="I3087" s="1" t="e">
        <v>#N/A</v>
      </c>
      <c r="J3087" s="1" t="e">
        <v>#N/A</v>
      </c>
      <c r="K3087" s="1" t="e">
        <v>#N/A</v>
      </c>
      <c r="L3087" s="1" t="e">
        <v>#N/A</v>
      </c>
      <c r="M3087" s="1" t="e">
        <v>#N/A</v>
      </c>
      <c r="N3087" s="1" t="e">
        <v>#N/A</v>
      </c>
      <c r="O3087" s="1" t="e">
        <v>#N/A</v>
      </c>
      <c r="P3087" s="1" t="e">
        <v>#N/A</v>
      </c>
      <c r="Q3087" s="1" t="e">
        <v>#N/A</v>
      </c>
      <c r="R3087" s="1">
        <f t="shared" si="910"/>
        <v>9</v>
      </c>
      <c r="S3087" s="1" t="str">
        <f t="shared" si="911"/>
        <v>&gt;7</v>
      </c>
      <c r="T3087" s="1" t="s">
        <v>20328</v>
      </c>
      <c r="U3087" s="1" t="s">
        <v>252</v>
      </c>
      <c r="V3087" s="1" t="s">
        <v>8114</v>
      </c>
      <c r="W3087" s="1"/>
    </row>
    <row r="3088" spans="1:23" x14ac:dyDescent="0.2">
      <c r="A3088" s="88" t="s">
        <v>18203</v>
      </c>
      <c r="B3088" s="1" t="e">
        <v>#N/A</v>
      </c>
      <c r="C3088" s="1" t="e">
        <v>#N/A</v>
      </c>
      <c r="D3088" s="1" t="s">
        <v>8115</v>
      </c>
      <c r="E3088" s="1" t="s">
        <v>8116</v>
      </c>
      <c r="F3088" s="1" t="s">
        <v>9310</v>
      </c>
      <c r="G3088" s="1" t="s">
        <v>8957</v>
      </c>
      <c r="H3088" t="s">
        <v>8959</v>
      </c>
      <c r="I3088" s="1" t="s">
        <v>20712</v>
      </c>
      <c r="J3088" s="1" t="s">
        <v>8949</v>
      </c>
      <c r="K3088" s="1" t="s">
        <v>21126</v>
      </c>
      <c r="L3088" s="1" t="s">
        <v>8987</v>
      </c>
      <c r="M3088" s="1">
        <f>558+542</f>
        <v>1100</v>
      </c>
      <c r="N3088" s="1" t="s">
        <v>9059</v>
      </c>
      <c r="O3088" s="1" t="s">
        <v>8954</v>
      </c>
      <c r="P3088" s="1" t="e">
        <v>#N/A</v>
      </c>
      <c r="Q3088" s="1" t="e">
        <v>#N/A</v>
      </c>
      <c r="R3088" s="1">
        <f t="shared" si="910"/>
        <v>25</v>
      </c>
      <c r="S3088" s="1" t="str">
        <f t="shared" si="911"/>
        <v>&gt;7</v>
      </c>
      <c r="T3088" s="1" t="s">
        <v>20329</v>
      </c>
      <c r="U3088" s="1" t="s">
        <v>17</v>
      </c>
      <c r="V3088" s="1" t="s">
        <v>1421</v>
      </c>
      <c r="W3088" s="1"/>
    </row>
    <row r="3089" spans="1:23" x14ac:dyDescent="0.2">
      <c r="A3089" s="88" t="s">
        <v>18204</v>
      </c>
      <c r="B3089" s="1" t="e">
        <v>#N/A</v>
      </c>
      <c r="C3089" s="1" t="e">
        <v>#N/A</v>
      </c>
      <c r="D3089" s="1" t="s">
        <v>8117</v>
      </c>
      <c r="E3089" s="1" t="s">
        <v>8118</v>
      </c>
      <c r="F3089" s="1" t="s">
        <v>9310</v>
      </c>
      <c r="G3089" s="1" t="s">
        <v>8957</v>
      </c>
      <c r="H3089" t="s">
        <v>8959</v>
      </c>
      <c r="I3089" s="1" t="s">
        <v>9154</v>
      </c>
      <c r="J3089" s="1" t="s">
        <v>8949</v>
      </c>
      <c r="K3089" s="1" t="s">
        <v>10492</v>
      </c>
      <c r="L3089" s="1" t="s">
        <v>21127</v>
      </c>
      <c r="M3089" s="1">
        <f>12720+6972+100</f>
        <v>19792</v>
      </c>
      <c r="N3089" s="1" t="s">
        <v>8953</v>
      </c>
      <c r="O3089" s="1" t="s">
        <v>8954</v>
      </c>
      <c r="P3089" s="1" t="e">
        <v>#N/A</v>
      </c>
      <c r="Q3089" s="1" t="e">
        <v>#N/A</v>
      </c>
      <c r="R3089" s="1">
        <f t="shared" si="910"/>
        <v>4</v>
      </c>
      <c r="S3089" s="1" t="str">
        <f t="shared" si="911"/>
        <v>&lt;4</v>
      </c>
      <c r="T3089" s="1" t="s">
        <v>20330</v>
      </c>
      <c r="U3089" s="1" t="s">
        <v>17</v>
      </c>
      <c r="V3089" s="1" t="s">
        <v>74</v>
      </c>
      <c r="W3089" s="1"/>
    </row>
    <row r="3090" spans="1:23" x14ac:dyDescent="0.2">
      <c r="A3090" s="94" t="s">
        <v>21128</v>
      </c>
      <c r="B3090" s="1" t="e">
        <v>#N/A</v>
      </c>
      <c r="C3090" s="1" t="e">
        <v>#N/A</v>
      </c>
      <c r="D3090" s="1" t="s">
        <v>8119</v>
      </c>
      <c r="E3090" s="1" t="s">
        <v>8120</v>
      </c>
      <c r="F3090" s="1" t="e">
        <v>#N/A</v>
      </c>
      <c r="G3090" s="1" t="e">
        <v>#N/A</v>
      </c>
      <c r="H3090" t="e">
        <v>#N/A</v>
      </c>
      <c r="I3090" s="1" t="e">
        <v>#N/A</v>
      </c>
      <c r="J3090" s="1" t="e">
        <v>#N/A</v>
      </c>
      <c r="K3090" s="1" t="e">
        <v>#N/A</v>
      </c>
      <c r="L3090" s="1" t="e">
        <v>#N/A</v>
      </c>
      <c r="M3090" s="1" t="e">
        <v>#N/A</v>
      </c>
      <c r="N3090" s="1" t="e">
        <v>#N/A</v>
      </c>
      <c r="O3090" s="1" t="e">
        <v>#N/A</v>
      </c>
      <c r="P3090" s="1" t="e">
        <v>#N/A</v>
      </c>
      <c r="Q3090" s="1" t="e">
        <v>#N/A</v>
      </c>
      <c r="R3090" s="1">
        <f t="shared" si="910"/>
        <v>4</v>
      </c>
      <c r="S3090" s="1" t="str">
        <f t="shared" si="911"/>
        <v>&lt;4</v>
      </c>
      <c r="T3090" s="1" t="s">
        <v>20331</v>
      </c>
      <c r="U3090" s="1" t="s">
        <v>7</v>
      </c>
      <c r="V3090" s="1" t="s">
        <v>8121</v>
      </c>
      <c r="W3090" s="1"/>
    </row>
    <row r="3091" spans="1:23" x14ac:dyDescent="0.2">
      <c r="A3091" s="88" t="s">
        <v>18205</v>
      </c>
      <c r="B3091" s="1" t="e">
        <v>#N/A</v>
      </c>
      <c r="C3091" s="1" t="e">
        <v>#N/A</v>
      </c>
      <c r="D3091" s="1" t="s">
        <v>8122</v>
      </c>
      <c r="E3091" s="1" t="s">
        <v>8123</v>
      </c>
      <c r="F3091" s="1" t="s">
        <v>18502</v>
      </c>
      <c r="G3091" s="1" t="s">
        <v>8957</v>
      </c>
      <c r="H3091" t="s">
        <v>9061</v>
      </c>
      <c r="I3091" s="1" t="s">
        <v>9100</v>
      </c>
      <c r="J3091" s="1" t="s">
        <v>8949</v>
      </c>
      <c r="K3091" s="1" t="s">
        <v>21129</v>
      </c>
      <c r="L3091" s="1" t="s">
        <v>9076</v>
      </c>
      <c r="M3091" s="1">
        <f>80*240+4800</f>
        <v>24000</v>
      </c>
      <c r="N3091" s="1" t="s">
        <v>8953</v>
      </c>
      <c r="O3091" s="1" t="s">
        <v>8989</v>
      </c>
      <c r="P3091" s="1" t="e">
        <v>#N/A</v>
      </c>
      <c r="Q3091" s="1" t="e">
        <v>#N/A</v>
      </c>
      <c r="R3091" s="1">
        <f t="shared" si="910"/>
        <v>18</v>
      </c>
      <c r="S3091" s="1" t="str">
        <f t="shared" si="911"/>
        <v>&gt;7</v>
      </c>
      <c r="T3091" s="1" t="s">
        <v>20332</v>
      </c>
      <c r="U3091" s="1" t="s">
        <v>7</v>
      </c>
      <c r="V3091" s="1" t="s">
        <v>580</v>
      </c>
      <c r="W3091" s="1"/>
    </row>
    <row r="3092" spans="1:23" x14ac:dyDescent="0.2">
      <c r="A3092" s="95" t="s">
        <v>18206</v>
      </c>
      <c r="B3092" s="1" t="e">
        <v>#N/A</v>
      </c>
      <c r="C3092" s="1" t="e">
        <v>#N/A</v>
      </c>
      <c r="D3092" s="1" t="s">
        <v>8124</v>
      </c>
      <c r="E3092" s="1" t="s">
        <v>8125</v>
      </c>
      <c r="F3092" s="1" t="s">
        <v>9310</v>
      </c>
      <c r="G3092" s="1" t="s">
        <v>9060</v>
      </c>
      <c r="H3092" t="s">
        <v>8959</v>
      </c>
      <c r="I3092" s="1" t="s">
        <v>9075</v>
      </c>
      <c r="J3092" s="1" t="s">
        <v>8959</v>
      </c>
      <c r="K3092" s="1" t="s">
        <v>21129</v>
      </c>
      <c r="L3092" s="1" t="s">
        <v>21130</v>
      </c>
      <c r="M3092" s="1">
        <f>135+124+64</f>
        <v>323</v>
      </c>
      <c r="N3092" s="1" t="s">
        <v>9059</v>
      </c>
      <c r="O3092" s="1" t="s">
        <v>8954</v>
      </c>
      <c r="P3092" s="1" t="e">
        <v>#N/A</v>
      </c>
      <c r="Q3092" s="1" t="e">
        <v>#N/A</v>
      </c>
      <c r="R3092" s="1">
        <f t="shared" si="910"/>
        <v>5</v>
      </c>
      <c r="S3092" s="1" t="str">
        <f t="shared" si="911"/>
        <v>4-7</v>
      </c>
      <c r="T3092" s="1" t="s">
        <v>20333</v>
      </c>
      <c r="U3092" s="1" t="s">
        <v>7</v>
      </c>
      <c r="V3092" s="1" t="s">
        <v>27</v>
      </c>
      <c r="W3092" s="1"/>
    </row>
    <row r="3093" spans="1:23" x14ac:dyDescent="0.2">
      <c r="A3093" s="88" t="s">
        <v>18207</v>
      </c>
      <c r="B3093" s="1" t="e">
        <v>#N/A</v>
      </c>
      <c r="C3093" s="1" t="s">
        <v>12032</v>
      </c>
      <c r="D3093" s="1" t="s">
        <v>8126</v>
      </c>
      <c r="E3093" s="1" t="s">
        <v>8127</v>
      </c>
      <c r="F3093" s="1" t="s">
        <v>9310</v>
      </c>
      <c r="G3093" s="1" t="s">
        <v>8957</v>
      </c>
      <c r="H3093" t="s">
        <v>9183</v>
      </c>
      <c r="I3093" s="1" t="s">
        <v>9049</v>
      </c>
      <c r="J3093" s="1" t="s">
        <v>9050</v>
      </c>
      <c r="K3093" s="1" t="s">
        <v>8972</v>
      </c>
      <c r="L3093" s="1" t="s">
        <v>8973</v>
      </c>
      <c r="M3093" s="1">
        <v>40</v>
      </c>
      <c r="N3093" s="1" t="s">
        <v>8953</v>
      </c>
      <c r="O3093" s="1" t="s">
        <v>8954</v>
      </c>
      <c r="P3093" s="1" t="s">
        <v>8955</v>
      </c>
      <c r="Q3093" s="1" t="s">
        <v>8956</v>
      </c>
      <c r="R3093" s="1" t="s">
        <v>8957</v>
      </c>
      <c r="S3093" s="1" t="s">
        <v>9103</v>
      </c>
      <c r="T3093" s="1" t="s">
        <v>8128</v>
      </c>
      <c r="U3093" s="1" t="s">
        <v>11</v>
      </c>
      <c r="V3093" s="1" t="s">
        <v>1076</v>
      </c>
      <c r="W3093" s="1"/>
    </row>
    <row r="3094" spans="1:23" x14ac:dyDescent="0.2">
      <c r="A3094" s="88" t="s">
        <v>18208</v>
      </c>
      <c r="B3094" s="1" t="e">
        <v>#N/A</v>
      </c>
      <c r="C3094" s="1" t="e">
        <v>#N/A</v>
      </c>
      <c r="D3094" s="1" t="s">
        <v>8129</v>
      </c>
      <c r="E3094" s="1" t="s">
        <v>8130</v>
      </c>
      <c r="F3094" s="1" t="s">
        <v>9310</v>
      </c>
      <c r="G3094" s="1" t="s">
        <v>8959</v>
      </c>
      <c r="H3094" t="s">
        <v>8959</v>
      </c>
      <c r="I3094" s="1" t="s">
        <v>20714</v>
      </c>
      <c r="J3094" s="1" t="s">
        <v>9050</v>
      </c>
      <c r="K3094" s="1" t="s">
        <v>21131</v>
      </c>
      <c r="L3094" s="1" t="s">
        <v>8973</v>
      </c>
      <c r="M3094" s="1">
        <v>88</v>
      </c>
      <c r="N3094" s="1" t="s">
        <v>8953</v>
      </c>
      <c r="O3094" s="1" t="s">
        <v>8954</v>
      </c>
      <c r="P3094" s="1" t="e">
        <v>#N/A</v>
      </c>
      <c r="Q3094" s="1" t="e">
        <v>#N/A</v>
      </c>
      <c r="R3094" s="1">
        <f t="shared" ref="R3094:R3098" si="912">1+LEN(T3094)-LEN(SUBSTITUTE(T3094,",",))</f>
        <v>3</v>
      </c>
      <c r="S3094" s="1" t="str">
        <f t="shared" ref="S3094:S3098" si="913">IF(R3094&gt;4,IF(R3094&lt;8,"4-7",IF(R3094&gt;7,"&gt;7")),"&lt;4")</f>
        <v>&lt;4</v>
      </c>
      <c r="T3094" s="1" t="s">
        <v>20334</v>
      </c>
      <c r="U3094" s="1" t="s">
        <v>17</v>
      </c>
      <c r="V3094" s="1" t="s">
        <v>27</v>
      </c>
      <c r="W3094" s="1"/>
    </row>
    <row r="3095" spans="1:23" x14ac:dyDescent="0.2">
      <c r="A3095" s="88" t="s">
        <v>18209</v>
      </c>
      <c r="B3095" s="1" t="e">
        <v>#N/A</v>
      </c>
      <c r="C3095" s="1" t="e">
        <v>#N/A</v>
      </c>
      <c r="D3095" s="1" t="s">
        <v>8131</v>
      </c>
      <c r="E3095" s="1" t="s">
        <v>8132</v>
      </c>
      <c r="F3095" s="1" t="s">
        <v>9310</v>
      </c>
      <c r="G3095" s="1" t="s">
        <v>8957</v>
      </c>
      <c r="H3095" t="s">
        <v>8959</v>
      </c>
      <c r="I3095" s="1" t="s">
        <v>9605</v>
      </c>
      <c r="J3095" s="1" t="s">
        <v>9422</v>
      </c>
      <c r="K3095" s="1" t="s">
        <v>21131</v>
      </c>
      <c r="L3095" s="1" t="s">
        <v>8973</v>
      </c>
      <c r="M3095" s="1">
        <v>13050</v>
      </c>
      <c r="N3095" s="1" t="s">
        <v>20915</v>
      </c>
      <c r="O3095" s="1" t="s">
        <v>8989</v>
      </c>
      <c r="P3095" s="1" t="e">
        <v>#N/A</v>
      </c>
      <c r="Q3095" s="1" t="e">
        <v>#N/A</v>
      </c>
      <c r="R3095" s="1">
        <f t="shared" si="912"/>
        <v>3</v>
      </c>
      <c r="S3095" s="1" t="str">
        <f t="shared" si="913"/>
        <v>&lt;4</v>
      </c>
      <c r="T3095" s="1" t="s">
        <v>20334</v>
      </c>
      <c r="U3095" s="1" t="s">
        <v>7</v>
      </c>
      <c r="V3095" s="1" t="s">
        <v>61</v>
      </c>
      <c r="W3095" s="1"/>
    </row>
    <row r="3096" spans="1:23" x14ac:dyDescent="0.2">
      <c r="A3096" s="88" t="s">
        <v>18210</v>
      </c>
      <c r="B3096" s="1" t="e">
        <v>#N/A</v>
      </c>
      <c r="C3096" s="1" t="e">
        <v>#N/A</v>
      </c>
      <c r="D3096" s="1" t="s">
        <v>8133</v>
      </c>
      <c r="E3096" s="1" t="s">
        <v>8134</v>
      </c>
      <c r="F3096" s="1" t="s">
        <v>18502</v>
      </c>
      <c r="G3096" s="1" t="s">
        <v>8959</v>
      </c>
      <c r="H3096" t="s">
        <v>8959</v>
      </c>
      <c r="I3096" s="1" t="s">
        <v>20712</v>
      </c>
      <c r="J3096" s="1" t="s">
        <v>8998</v>
      </c>
      <c r="K3096" s="1" t="s">
        <v>21124</v>
      </c>
      <c r="L3096" s="1" t="s">
        <v>9292</v>
      </c>
      <c r="M3096" s="1">
        <v>7489</v>
      </c>
      <c r="N3096" s="1" t="s">
        <v>8953</v>
      </c>
      <c r="O3096" s="1" t="s">
        <v>8989</v>
      </c>
      <c r="P3096" s="1" t="e">
        <v>#N/A</v>
      </c>
      <c r="Q3096" s="1" t="e">
        <v>#N/A</v>
      </c>
      <c r="R3096" s="1">
        <f t="shared" si="912"/>
        <v>7</v>
      </c>
      <c r="S3096" s="1" t="str">
        <f t="shared" si="913"/>
        <v>4-7</v>
      </c>
      <c r="T3096" s="1" t="s">
        <v>20335</v>
      </c>
      <c r="U3096" s="1" t="s">
        <v>924</v>
      </c>
      <c r="V3096" s="1" t="s">
        <v>8135</v>
      </c>
      <c r="W3096" s="1"/>
    </row>
    <row r="3097" spans="1:23" x14ac:dyDescent="0.2">
      <c r="A3097" s="88" t="s">
        <v>18211</v>
      </c>
      <c r="B3097" s="1" t="e">
        <v>#N/A</v>
      </c>
      <c r="C3097" s="1" t="e">
        <v>#N/A</v>
      </c>
      <c r="D3097" s="1" t="s">
        <v>8136</v>
      </c>
      <c r="E3097" s="1" t="s">
        <v>8137</v>
      </c>
      <c r="F3097" s="1" t="s">
        <v>9333</v>
      </c>
      <c r="G3097" s="1" t="s">
        <v>8974</v>
      </c>
      <c r="H3097" t="s">
        <v>9183</v>
      </c>
      <c r="I3097" s="1" t="s">
        <v>9605</v>
      </c>
      <c r="J3097" s="1" t="s">
        <v>9101</v>
      </c>
      <c r="K3097" s="1" t="s">
        <v>10525</v>
      </c>
      <c r="L3097" s="1" t="s">
        <v>8987</v>
      </c>
      <c r="M3097" s="1">
        <v>10100</v>
      </c>
      <c r="N3097" s="1" t="s">
        <v>8953</v>
      </c>
      <c r="O3097" s="1" t="s">
        <v>8989</v>
      </c>
      <c r="P3097" s="1" t="e">
        <v>#N/A</v>
      </c>
      <c r="Q3097" s="1" t="e">
        <v>#N/A</v>
      </c>
      <c r="R3097" s="1">
        <f t="shared" si="912"/>
        <v>13</v>
      </c>
      <c r="S3097" s="1" t="str">
        <f t="shared" si="913"/>
        <v>&gt;7</v>
      </c>
      <c r="T3097" s="1" t="s">
        <v>20336</v>
      </c>
      <c r="U3097" s="1" t="s">
        <v>7</v>
      </c>
      <c r="V3097" s="1" t="s">
        <v>7510</v>
      </c>
      <c r="W3097" s="1"/>
    </row>
    <row r="3098" spans="1:23" x14ac:dyDescent="0.2">
      <c r="A3098" s="89" t="s">
        <v>8138</v>
      </c>
      <c r="B3098" s="1" t="e">
        <v>#N/A</v>
      </c>
      <c r="C3098" s="1" t="e">
        <v>#N/A</v>
      </c>
      <c r="D3098" s="5" t="s">
        <v>8139</v>
      </c>
      <c r="E3098" s="1" t="s">
        <v>8140</v>
      </c>
      <c r="F3098" s="1" t="e">
        <v>#N/A</v>
      </c>
      <c r="G3098" s="1" t="e">
        <v>#N/A</v>
      </c>
      <c r="H3098" t="e">
        <v>#N/A</v>
      </c>
      <c r="I3098" s="1" t="e">
        <v>#N/A</v>
      </c>
      <c r="J3098" s="1" t="e">
        <v>#N/A</v>
      </c>
      <c r="K3098" s="1" t="e">
        <v>#N/A</v>
      </c>
      <c r="L3098" s="1" t="e">
        <v>#N/A</v>
      </c>
      <c r="M3098" s="1" t="e">
        <v>#N/A</v>
      </c>
      <c r="N3098" s="1" t="e">
        <v>#N/A</v>
      </c>
      <c r="O3098" s="1" t="e">
        <v>#N/A</v>
      </c>
      <c r="P3098" s="1" t="e">
        <v>#N/A</v>
      </c>
      <c r="Q3098" s="1" t="e">
        <v>#N/A</v>
      </c>
      <c r="R3098" s="1">
        <f t="shared" si="912"/>
        <v>4</v>
      </c>
      <c r="S3098" s="1" t="str">
        <f t="shared" si="913"/>
        <v>&lt;4</v>
      </c>
      <c r="T3098" s="1" t="s">
        <v>20337</v>
      </c>
      <c r="U3098" s="1" t="s">
        <v>252</v>
      </c>
      <c r="V3098" s="1" t="s">
        <v>4018</v>
      </c>
      <c r="W3098" s="1"/>
    </row>
    <row r="3099" spans="1:23" x14ac:dyDescent="0.2">
      <c r="A3099" s="88" t="s">
        <v>18212</v>
      </c>
      <c r="B3099" s="1" t="e">
        <v>#N/A</v>
      </c>
      <c r="C3099" s="1" t="s">
        <v>14903</v>
      </c>
      <c r="D3099" s="1" t="s">
        <v>8141</v>
      </c>
      <c r="E3099" s="1" t="s">
        <v>8142</v>
      </c>
      <c r="F3099" s="1" t="s">
        <v>9310</v>
      </c>
      <c r="G3099" s="1" t="s">
        <v>8957</v>
      </c>
      <c r="H3099" t="s">
        <v>9061</v>
      </c>
      <c r="I3099" s="1" t="s">
        <v>8984</v>
      </c>
      <c r="J3099" s="1" t="s">
        <v>8949</v>
      </c>
      <c r="K3099" s="1" t="s">
        <v>9036</v>
      </c>
      <c r="L3099" s="1" t="s">
        <v>9133</v>
      </c>
      <c r="M3099" s="1">
        <v>192</v>
      </c>
      <c r="N3099" s="1" t="s">
        <v>8953</v>
      </c>
      <c r="O3099" s="1" t="s">
        <v>8989</v>
      </c>
      <c r="P3099" s="1" t="s">
        <v>8955</v>
      </c>
      <c r="Q3099" s="1" t="s">
        <v>8956</v>
      </c>
      <c r="R3099" s="1" t="s">
        <v>8957</v>
      </c>
      <c r="S3099" s="1" t="s">
        <v>8958</v>
      </c>
      <c r="T3099" s="1" t="s">
        <v>8143</v>
      </c>
      <c r="U3099" s="1" t="s">
        <v>17</v>
      </c>
      <c r="V3099" s="1" t="s">
        <v>1343</v>
      </c>
      <c r="W3099" s="1"/>
    </row>
    <row r="3100" spans="1:23" s="100" customFormat="1" x14ac:dyDescent="0.2">
      <c r="A3100" s="98" t="s">
        <v>18213</v>
      </c>
      <c r="B3100" s="99" t="e">
        <v>#N/A</v>
      </c>
      <c r="C3100" s="99" t="e">
        <v>#N/A</v>
      </c>
      <c r="D3100" s="99" t="s">
        <v>8144</v>
      </c>
      <c r="E3100" s="99" t="s">
        <v>8145</v>
      </c>
      <c r="F3100" s="100" t="s">
        <v>9310</v>
      </c>
      <c r="G3100" s="100" t="s">
        <v>8957</v>
      </c>
      <c r="H3100" s="100" t="s">
        <v>8959</v>
      </c>
      <c r="I3100" s="100" t="s">
        <v>8984</v>
      </c>
      <c r="J3100" s="99" t="s">
        <v>20800</v>
      </c>
      <c r="K3100" s="100" t="s">
        <v>21148</v>
      </c>
      <c r="L3100" s="100" t="s">
        <v>9292</v>
      </c>
      <c r="M3100" s="100">
        <f>57600+1440</f>
        <v>59040</v>
      </c>
      <c r="N3100" s="100" t="s">
        <v>8953</v>
      </c>
      <c r="O3100" s="100" t="s">
        <v>8989</v>
      </c>
      <c r="P3100" s="99" t="e">
        <v>#N/A</v>
      </c>
      <c r="Q3100" s="99" t="e">
        <v>#N/A</v>
      </c>
      <c r="R3100" s="99">
        <f t="shared" ref="R3100:R3102" si="914">1+LEN(T3100)-LEN(SUBSTITUTE(T3100,",",))</f>
        <v>9</v>
      </c>
      <c r="S3100" s="99" t="str">
        <f t="shared" ref="S3100:S3102" si="915">IF(R3100&gt;4,IF(R3100&lt;8,"4-7",IF(R3100&gt;7,"&gt;7")),"&lt;4")</f>
        <v>&gt;7</v>
      </c>
      <c r="T3100" s="99" t="s">
        <v>20338</v>
      </c>
      <c r="U3100" s="99" t="s">
        <v>17</v>
      </c>
      <c r="V3100" s="99" t="s">
        <v>234</v>
      </c>
      <c r="W3100" s="99"/>
    </row>
    <row r="3101" spans="1:23" x14ac:dyDescent="0.2">
      <c r="A3101" s="88" t="s">
        <v>18214</v>
      </c>
      <c r="B3101" s="1" t="e">
        <v>#N/A</v>
      </c>
      <c r="C3101" s="1" t="e">
        <v>#N/A</v>
      </c>
      <c r="D3101" s="1" t="s">
        <v>8146</v>
      </c>
      <c r="E3101" s="1" t="s">
        <v>8147</v>
      </c>
      <c r="F3101" t="s">
        <v>9310</v>
      </c>
      <c r="G3101" t="s">
        <v>8957</v>
      </c>
      <c r="H3101" t="s">
        <v>8959</v>
      </c>
      <c r="I3101" t="s">
        <v>9154</v>
      </c>
      <c r="J3101" t="s">
        <v>8949</v>
      </c>
      <c r="K3101" t="s">
        <v>21407</v>
      </c>
      <c r="L3101" t="s">
        <v>8973</v>
      </c>
      <c r="M3101">
        <f>1902+80+160</f>
        <v>2142</v>
      </c>
      <c r="N3101" t="s">
        <v>8953</v>
      </c>
      <c r="O3101" t="s">
        <v>8954</v>
      </c>
      <c r="P3101" s="1" t="e">
        <v>#N/A</v>
      </c>
      <c r="Q3101" s="1" t="e">
        <v>#N/A</v>
      </c>
      <c r="R3101" s="1">
        <f t="shared" si="914"/>
        <v>7</v>
      </c>
      <c r="S3101" s="1" t="str">
        <f t="shared" si="915"/>
        <v>4-7</v>
      </c>
      <c r="T3101" s="1" t="s">
        <v>20339</v>
      </c>
      <c r="U3101" s="1" t="s">
        <v>17</v>
      </c>
      <c r="V3101" s="1" t="s">
        <v>1343</v>
      </c>
      <c r="W3101" s="1"/>
    </row>
    <row r="3102" spans="1:23" x14ac:dyDescent="0.2">
      <c r="A3102" s="88" t="s">
        <v>18215</v>
      </c>
      <c r="B3102" s="1" t="e">
        <v>#N/A</v>
      </c>
      <c r="C3102" s="1" t="e">
        <v>#N/A</v>
      </c>
      <c r="D3102" s="1" t="s">
        <v>8148</v>
      </c>
      <c r="E3102" s="1" t="s">
        <v>8149</v>
      </c>
      <c r="F3102" t="s">
        <v>10873</v>
      </c>
      <c r="G3102" t="s">
        <v>8957</v>
      </c>
      <c r="H3102" t="s">
        <v>9009</v>
      </c>
      <c r="I3102" t="s">
        <v>9154</v>
      </c>
      <c r="J3102" t="s">
        <v>8949</v>
      </c>
      <c r="K3102" t="s">
        <v>21179</v>
      </c>
      <c r="L3102" t="s">
        <v>8973</v>
      </c>
      <c r="M3102">
        <v>190</v>
      </c>
      <c r="N3102" t="s">
        <v>9059</v>
      </c>
      <c r="O3102" t="s">
        <v>8989</v>
      </c>
      <c r="P3102" s="1" t="e">
        <v>#N/A</v>
      </c>
      <c r="Q3102" s="1" t="e">
        <v>#N/A</v>
      </c>
      <c r="R3102" s="1">
        <f t="shared" si="914"/>
        <v>16</v>
      </c>
      <c r="S3102" s="1" t="str">
        <f t="shared" si="915"/>
        <v>&gt;7</v>
      </c>
      <c r="T3102" s="1" t="s">
        <v>20340</v>
      </c>
      <c r="U3102" s="1" t="s">
        <v>7</v>
      </c>
      <c r="V3102" s="1" t="s">
        <v>8150</v>
      </c>
      <c r="W3102" s="1"/>
    </row>
    <row r="3103" spans="1:23" x14ac:dyDescent="0.2">
      <c r="A3103" s="88" t="s">
        <v>18216</v>
      </c>
      <c r="B3103" s="1" t="e">
        <v>#N/A</v>
      </c>
      <c r="C3103" s="1" t="s">
        <v>10870</v>
      </c>
      <c r="D3103" s="1" t="s">
        <v>8151</v>
      </c>
      <c r="E3103" s="1" t="s">
        <v>8152</v>
      </c>
      <c r="F3103" t="s">
        <v>10873</v>
      </c>
      <c r="G3103" t="s">
        <v>8957</v>
      </c>
      <c r="H3103" t="s">
        <v>9009</v>
      </c>
      <c r="I3103" t="s">
        <v>9154</v>
      </c>
      <c r="J3103" t="s">
        <v>8949</v>
      </c>
      <c r="K3103" t="s">
        <v>21179</v>
      </c>
      <c r="L3103" t="s">
        <v>8973</v>
      </c>
      <c r="M3103">
        <v>100</v>
      </c>
      <c r="N3103" t="s">
        <v>8953</v>
      </c>
      <c r="O3103" t="s">
        <v>8954</v>
      </c>
      <c r="P3103" s="1" t="s">
        <v>8955</v>
      </c>
      <c r="Q3103" s="1" t="s">
        <v>8956</v>
      </c>
      <c r="R3103" s="1" t="s">
        <v>8957</v>
      </c>
      <c r="S3103" s="1" t="s">
        <v>8975</v>
      </c>
      <c r="T3103" s="1" t="s">
        <v>8153</v>
      </c>
      <c r="U3103" s="1" t="s">
        <v>11</v>
      </c>
      <c r="V3103" s="1" t="s">
        <v>46</v>
      </c>
      <c r="W3103" s="1"/>
    </row>
    <row r="3104" spans="1:23" x14ac:dyDescent="0.2">
      <c r="A3104" s="88" t="s">
        <v>18217</v>
      </c>
      <c r="B3104" s="1" t="e">
        <v>#N/A</v>
      </c>
      <c r="C3104" s="1" t="s">
        <v>12323</v>
      </c>
      <c r="D3104" s="1" t="s">
        <v>8154</v>
      </c>
      <c r="E3104" s="1" t="s">
        <v>8155</v>
      </c>
      <c r="F3104" t="s">
        <v>10873</v>
      </c>
      <c r="G3104" t="s">
        <v>9060</v>
      </c>
      <c r="H3104" t="s">
        <v>9183</v>
      </c>
      <c r="I3104" t="s">
        <v>10322</v>
      </c>
      <c r="J3104" t="s">
        <v>8949</v>
      </c>
      <c r="K3104" t="s">
        <v>12326</v>
      </c>
      <c r="L3104" t="s">
        <v>9076</v>
      </c>
      <c r="M3104">
        <v>21128</v>
      </c>
      <c r="N3104" t="s">
        <v>8953</v>
      </c>
      <c r="O3104" t="s">
        <v>8954</v>
      </c>
      <c r="P3104" s="1" t="s">
        <v>8955</v>
      </c>
      <c r="Q3104" s="1" t="s">
        <v>8956</v>
      </c>
      <c r="R3104" s="1" t="s">
        <v>9060</v>
      </c>
      <c r="S3104" s="1" t="s">
        <v>8975</v>
      </c>
      <c r="T3104" s="1" t="s">
        <v>8156</v>
      </c>
      <c r="U3104" s="1" t="s">
        <v>11</v>
      </c>
      <c r="V3104" s="1" t="s">
        <v>61</v>
      </c>
      <c r="W3104" s="1"/>
    </row>
    <row r="3105" spans="1:23" x14ac:dyDescent="0.2">
      <c r="A3105" s="88" t="s">
        <v>18218</v>
      </c>
      <c r="B3105" s="1" t="e">
        <v>#N/A</v>
      </c>
      <c r="C3105" s="1" t="e">
        <v>#N/A</v>
      </c>
      <c r="D3105" s="1" t="s">
        <v>8157</v>
      </c>
      <c r="E3105" s="1" t="s">
        <v>8158</v>
      </c>
      <c r="F3105" t="s">
        <v>9310</v>
      </c>
      <c r="G3105" t="s">
        <v>8957</v>
      </c>
      <c r="H3105" t="s">
        <v>8959</v>
      </c>
      <c r="I3105" t="s">
        <v>9100</v>
      </c>
      <c r="J3105" t="s">
        <v>9155</v>
      </c>
      <c r="K3105" t="s">
        <v>21180</v>
      </c>
      <c r="L3105" t="s">
        <v>21161</v>
      </c>
      <c r="M3105">
        <v>9</v>
      </c>
      <c r="N3105" t="s">
        <v>9059</v>
      </c>
      <c r="O3105" t="s">
        <v>8989</v>
      </c>
      <c r="P3105" s="1" t="e">
        <v>#N/A</v>
      </c>
      <c r="Q3105" s="1" t="e">
        <v>#N/A</v>
      </c>
      <c r="R3105" s="1">
        <f>1+LEN(T3105)-LEN(SUBSTITUTE(T3105,",",))</f>
        <v>3</v>
      </c>
      <c r="S3105" s="1" t="str">
        <f>IF(R3105&gt;4,IF(R3105&lt;8,"4-7",IF(R3105&gt;7,"&gt;7")),"&lt;4")</f>
        <v>&lt;4</v>
      </c>
      <c r="T3105" s="1" t="s">
        <v>20341</v>
      </c>
      <c r="U3105" s="1" t="s">
        <v>7</v>
      </c>
      <c r="V3105" s="1" t="s">
        <v>1010</v>
      </c>
      <c r="W3105" s="1"/>
    </row>
    <row r="3106" spans="1:23" x14ac:dyDescent="0.2">
      <c r="A3106" s="88" t="s">
        <v>18219</v>
      </c>
      <c r="B3106" s="1" t="e">
        <v>#N/A</v>
      </c>
      <c r="C3106" s="1" t="s">
        <v>11723</v>
      </c>
      <c r="D3106" s="1" t="s">
        <v>8159</v>
      </c>
      <c r="E3106" s="1" t="s">
        <v>8160</v>
      </c>
      <c r="F3106" t="s">
        <v>9310</v>
      </c>
      <c r="G3106" t="s">
        <v>8957</v>
      </c>
      <c r="H3106" t="s">
        <v>8959</v>
      </c>
      <c r="I3106" t="s">
        <v>9154</v>
      </c>
      <c r="J3106" t="s">
        <v>8949</v>
      </c>
      <c r="K3106" t="s">
        <v>9036</v>
      </c>
      <c r="L3106" t="s">
        <v>8951</v>
      </c>
      <c r="M3106">
        <v>138</v>
      </c>
      <c r="N3106" t="s">
        <v>8953</v>
      </c>
      <c r="O3106" t="s">
        <v>8954</v>
      </c>
      <c r="P3106" s="1" t="s">
        <v>8955</v>
      </c>
      <c r="Q3106" s="1" t="s">
        <v>8956</v>
      </c>
      <c r="R3106" s="1" t="s">
        <v>8957</v>
      </c>
      <c r="S3106" s="1" t="s">
        <v>8958</v>
      </c>
      <c r="T3106" s="1" t="s">
        <v>8161</v>
      </c>
      <c r="U3106" s="1" t="s">
        <v>11</v>
      </c>
      <c r="V3106" s="1" t="s">
        <v>126</v>
      </c>
      <c r="W3106" s="1"/>
    </row>
    <row r="3107" spans="1:23" x14ac:dyDescent="0.2">
      <c r="A3107" s="88" t="s">
        <v>18220</v>
      </c>
      <c r="B3107" s="1" t="e">
        <v>#N/A</v>
      </c>
      <c r="C3107" s="1" t="s">
        <v>11335</v>
      </c>
      <c r="D3107" s="1" t="s">
        <v>8162</v>
      </c>
      <c r="E3107" s="1" t="s">
        <v>8163</v>
      </c>
      <c r="F3107" t="s">
        <v>9310</v>
      </c>
      <c r="G3107" t="s">
        <v>8957</v>
      </c>
      <c r="H3107" t="s">
        <v>9183</v>
      </c>
      <c r="I3107" t="s">
        <v>8948</v>
      </c>
      <c r="J3107" t="s">
        <v>8949</v>
      </c>
      <c r="K3107" t="s">
        <v>9036</v>
      </c>
      <c r="L3107" t="s">
        <v>8987</v>
      </c>
      <c r="M3107">
        <v>64</v>
      </c>
      <c r="N3107" t="s">
        <v>9059</v>
      </c>
      <c r="O3107" t="s">
        <v>8989</v>
      </c>
      <c r="P3107" s="1" t="s">
        <v>8955</v>
      </c>
      <c r="Q3107" s="1" t="s">
        <v>8956</v>
      </c>
      <c r="R3107" s="1" t="s">
        <v>8957</v>
      </c>
      <c r="S3107" s="1" t="s">
        <v>8958</v>
      </c>
      <c r="T3107" s="1" t="s">
        <v>8164</v>
      </c>
      <c r="U3107" s="1" t="s">
        <v>11</v>
      </c>
      <c r="V3107" s="1" t="s">
        <v>1598</v>
      </c>
      <c r="W3107" s="1"/>
    </row>
    <row r="3108" spans="1:23" x14ac:dyDescent="0.2">
      <c r="A3108" s="88" t="s">
        <v>18221</v>
      </c>
      <c r="B3108" s="1" t="e">
        <v>#N/A</v>
      </c>
      <c r="C3108" s="1" t="e">
        <v>#N/A</v>
      </c>
      <c r="D3108" s="1" t="s">
        <v>8165</v>
      </c>
      <c r="E3108" s="1" t="s">
        <v>8166</v>
      </c>
      <c r="F3108" t="s">
        <v>21162</v>
      </c>
      <c r="G3108" t="s">
        <v>8957</v>
      </c>
      <c r="H3108" t="s">
        <v>8959</v>
      </c>
      <c r="I3108" t="s">
        <v>20714</v>
      </c>
      <c r="J3108" t="s">
        <v>9050</v>
      </c>
      <c r="K3108" t="s">
        <v>18497</v>
      </c>
      <c r="L3108" t="s">
        <v>8987</v>
      </c>
      <c r="M3108">
        <v>3815</v>
      </c>
      <c r="N3108" t="s">
        <v>8953</v>
      </c>
      <c r="O3108" t="s">
        <v>8989</v>
      </c>
      <c r="P3108" s="1" t="e">
        <v>#N/A</v>
      </c>
      <c r="Q3108" s="1" t="e">
        <v>#N/A</v>
      </c>
      <c r="R3108" s="1">
        <f>1+LEN(T3108)-LEN(SUBSTITUTE(T3108,",",))</f>
        <v>6</v>
      </c>
      <c r="S3108" s="1" t="str">
        <f>IF(R3108&gt;4,IF(R3108&lt;8,"4-7",IF(R3108&gt;7,"&gt;7")),"&lt;4")</f>
        <v>4-7</v>
      </c>
      <c r="T3108" s="1" t="s">
        <v>20342</v>
      </c>
      <c r="U3108" s="1" t="s">
        <v>7</v>
      </c>
      <c r="V3108" s="1" t="s">
        <v>443</v>
      </c>
      <c r="W3108" s="1"/>
    </row>
    <row r="3109" spans="1:23" x14ac:dyDescent="0.2">
      <c r="A3109" s="88" t="s">
        <v>18222</v>
      </c>
      <c r="B3109" s="1" t="e">
        <v>#N/A</v>
      </c>
      <c r="C3109" s="1" t="s">
        <v>9986</v>
      </c>
      <c r="D3109" s="1" t="s">
        <v>8167</v>
      </c>
      <c r="E3109" s="1" t="s">
        <v>8168</v>
      </c>
      <c r="F3109" t="s">
        <v>9380</v>
      </c>
      <c r="G3109" t="s">
        <v>8959</v>
      </c>
      <c r="H3109" t="s">
        <v>8959</v>
      </c>
      <c r="I3109" t="s">
        <v>9154</v>
      </c>
      <c r="J3109" t="s">
        <v>8971</v>
      </c>
      <c r="K3109" t="s">
        <v>9918</v>
      </c>
      <c r="L3109" t="s">
        <v>8973</v>
      </c>
      <c r="M3109">
        <v>513</v>
      </c>
      <c r="N3109" t="s">
        <v>8953</v>
      </c>
      <c r="O3109" t="s">
        <v>8989</v>
      </c>
      <c r="P3109" s="1" t="s">
        <v>8955</v>
      </c>
      <c r="Q3109" s="1" t="s">
        <v>8990</v>
      </c>
      <c r="R3109" s="1" t="s">
        <v>8959</v>
      </c>
      <c r="S3109" s="1" t="s">
        <v>9103</v>
      </c>
      <c r="T3109" s="1" t="s">
        <v>8169</v>
      </c>
      <c r="U3109" s="1" t="s">
        <v>17</v>
      </c>
      <c r="V3109" s="1" t="s">
        <v>5702</v>
      </c>
      <c r="W3109" s="1"/>
    </row>
    <row r="3110" spans="1:23" x14ac:dyDescent="0.2">
      <c r="A3110" s="88" t="s">
        <v>18223</v>
      </c>
      <c r="B3110" s="1" t="e">
        <v>#N/A</v>
      </c>
      <c r="C3110" s="1" t="s">
        <v>11620</v>
      </c>
      <c r="D3110" s="1" t="s">
        <v>8170</v>
      </c>
      <c r="E3110" s="1" t="s">
        <v>8171</v>
      </c>
      <c r="F3110" t="s">
        <v>9010</v>
      </c>
      <c r="G3110" t="s">
        <v>9060</v>
      </c>
      <c r="H3110" t="s">
        <v>9183</v>
      </c>
      <c r="I3110" t="s">
        <v>9035</v>
      </c>
      <c r="J3110" t="s">
        <v>8998</v>
      </c>
      <c r="K3110" t="s">
        <v>11623</v>
      </c>
      <c r="L3110" t="s">
        <v>8973</v>
      </c>
      <c r="M3110">
        <v>60</v>
      </c>
      <c r="N3110" t="s">
        <v>8953</v>
      </c>
      <c r="O3110" t="s">
        <v>8954</v>
      </c>
      <c r="P3110" s="1" t="s">
        <v>8955</v>
      </c>
      <c r="Q3110" s="1" t="s">
        <v>8956</v>
      </c>
      <c r="R3110" s="1" t="s">
        <v>9060</v>
      </c>
      <c r="S3110" s="1" t="s">
        <v>8975</v>
      </c>
      <c r="T3110" s="1" t="s">
        <v>8172</v>
      </c>
      <c r="U3110" s="1" t="s">
        <v>11</v>
      </c>
      <c r="V3110" s="1" t="s">
        <v>93</v>
      </c>
      <c r="W3110" s="1"/>
    </row>
    <row r="3111" spans="1:23" x14ac:dyDescent="0.2">
      <c r="A3111" s="88" t="s">
        <v>18224</v>
      </c>
      <c r="B3111" s="1" t="e">
        <v>#N/A</v>
      </c>
      <c r="C3111" s="1" t="e">
        <v>#N/A</v>
      </c>
      <c r="D3111" s="1" t="s">
        <v>8173</v>
      </c>
      <c r="E3111" s="1" t="s">
        <v>8174</v>
      </c>
      <c r="F3111" t="s">
        <v>9310</v>
      </c>
      <c r="G3111" t="s">
        <v>8959</v>
      </c>
      <c r="H3111" t="s">
        <v>8959</v>
      </c>
      <c r="I3111" t="s">
        <v>20714</v>
      </c>
      <c r="J3111" t="s">
        <v>21163</v>
      </c>
      <c r="K3111" t="s">
        <v>21181</v>
      </c>
      <c r="L3111" t="s">
        <v>9133</v>
      </c>
      <c r="M3111">
        <f>430+45</f>
        <v>475</v>
      </c>
      <c r="N3111" t="s">
        <v>8953</v>
      </c>
      <c r="O3111" t="s">
        <v>8989</v>
      </c>
      <c r="P3111" s="1" t="e">
        <v>#N/A</v>
      </c>
      <c r="Q3111" s="1" t="e">
        <v>#N/A</v>
      </c>
      <c r="R3111" s="1">
        <f t="shared" ref="R3111:R3112" si="916">1+LEN(T3111)-LEN(SUBSTITUTE(T3111,",",))</f>
        <v>5</v>
      </c>
      <c r="S3111" s="1" t="str">
        <f t="shared" ref="S3111:S3112" si="917">IF(R3111&gt;4,IF(R3111&lt;8,"4-7",IF(R3111&gt;7,"&gt;7")),"&lt;4")</f>
        <v>4-7</v>
      </c>
      <c r="T3111" s="1" t="s">
        <v>20343</v>
      </c>
      <c r="U3111" s="1" t="s">
        <v>7</v>
      </c>
      <c r="V3111" s="1" t="s">
        <v>4060</v>
      </c>
      <c r="W3111" s="1"/>
    </row>
    <row r="3112" spans="1:23" x14ac:dyDescent="0.2">
      <c r="A3112" s="88" t="s">
        <v>18225</v>
      </c>
      <c r="B3112" s="1" t="e">
        <v>#N/A</v>
      </c>
      <c r="C3112" s="1" t="e">
        <v>#N/A</v>
      </c>
      <c r="D3112" s="1" t="s">
        <v>8175</v>
      </c>
      <c r="E3112" s="1" t="s">
        <v>8176</v>
      </c>
      <c r="F3112" t="s">
        <v>18502</v>
      </c>
      <c r="G3112" t="s">
        <v>8957</v>
      </c>
      <c r="H3112" t="s">
        <v>8959</v>
      </c>
      <c r="I3112" t="s">
        <v>20712</v>
      </c>
      <c r="J3112" t="s">
        <v>9155</v>
      </c>
      <c r="K3112" t="s">
        <v>10492</v>
      </c>
      <c r="L3112" t="s">
        <v>8973</v>
      </c>
      <c r="M3112">
        <f>1704*2+50+25</f>
        <v>3483</v>
      </c>
      <c r="N3112" t="s">
        <v>8953</v>
      </c>
      <c r="O3112" t="s">
        <v>8954</v>
      </c>
      <c r="P3112" s="1" t="e">
        <v>#N/A</v>
      </c>
      <c r="Q3112" s="1" t="e">
        <v>#N/A</v>
      </c>
      <c r="R3112" s="1">
        <f t="shared" si="916"/>
        <v>8</v>
      </c>
      <c r="S3112" s="1" t="str">
        <f t="shared" si="917"/>
        <v>&gt;7</v>
      </c>
      <c r="T3112" s="1" t="s">
        <v>20344</v>
      </c>
      <c r="U3112" s="1" t="s">
        <v>7</v>
      </c>
      <c r="V3112" s="1" t="s">
        <v>808</v>
      </c>
      <c r="W3112" s="1"/>
    </row>
    <row r="3113" spans="1:23" x14ac:dyDescent="0.2">
      <c r="A3113" s="88" t="s">
        <v>18226</v>
      </c>
      <c r="B3113" s="1" t="e">
        <v>#N/A</v>
      </c>
      <c r="C3113" s="1" t="s">
        <v>14022</v>
      </c>
      <c r="D3113" s="1" t="s">
        <v>8177</v>
      </c>
      <c r="E3113" s="1" t="s">
        <v>8178</v>
      </c>
      <c r="F3113" t="s">
        <v>9310</v>
      </c>
      <c r="G3113" t="s">
        <v>8957</v>
      </c>
      <c r="H3113" t="s">
        <v>8959</v>
      </c>
      <c r="I3113" t="s">
        <v>9092</v>
      </c>
      <c r="J3113" t="s">
        <v>9308</v>
      </c>
      <c r="K3113" t="s">
        <v>9036</v>
      </c>
      <c r="L3113" t="s">
        <v>8951</v>
      </c>
      <c r="M3113">
        <v>110</v>
      </c>
      <c r="N3113" t="s">
        <v>9059</v>
      </c>
      <c r="O3113" t="s">
        <v>8989</v>
      </c>
      <c r="P3113" s="1" t="s">
        <v>8955</v>
      </c>
      <c r="Q3113" s="1" t="s">
        <v>8956</v>
      </c>
      <c r="R3113" s="1" t="s">
        <v>8957</v>
      </c>
      <c r="S3113" s="1" t="s">
        <v>8958</v>
      </c>
      <c r="T3113" s="1" t="s">
        <v>8179</v>
      </c>
      <c r="U3113" s="1" t="s">
        <v>242</v>
      </c>
      <c r="V3113" s="1" t="s">
        <v>46</v>
      </c>
      <c r="W3113" s="1"/>
    </row>
    <row r="3114" spans="1:23" x14ac:dyDescent="0.2">
      <c r="A3114" s="88" t="s">
        <v>18227</v>
      </c>
      <c r="B3114" s="1" t="e">
        <v>#N/A</v>
      </c>
      <c r="C3114" s="1" t="s">
        <v>12308</v>
      </c>
      <c r="D3114" s="1" t="s">
        <v>8180</v>
      </c>
      <c r="E3114" s="1" t="s">
        <v>8181</v>
      </c>
      <c r="F3114" t="s">
        <v>9310</v>
      </c>
      <c r="G3114" t="s">
        <v>9060</v>
      </c>
      <c r="H3114" t="s">
        <v>9183</v>
      </c>
      <c r="I3114" t="s">
        <v>9100</v>
      </c>
      <c r="J3114" t="s">
        <v>8998</v>
      </c>
      <c r="K3114" t="s">
        <v>9781</v>
      </c>
      <c r="L3114" t="s">
        <v>9464</v>
      </c>
      <c r="M3114">
        <v>4000</v>
      </c>
      <c r="N3114" t="s">
        <v>8953</v>
      </c>
      <c r="O3114" t="s">
        <v>8989</v>
      </c>
      <c r="P3114" s="1" t="s">
        <v>8955</v>
      </c>
      <c r="Q3114" s="1" t="s">
        <v>8956</v>
      </c>
      <c r="R3114" s="1" t="s">
        <v>9060</v>
      </c>
      <c r="S3114" s="1" t="s">
        <v>8975</v>
      </c>
      <c r="T3114" s="1" t="s">
        <v>8182</v>
      </c>
      <c r="U3114" s="1" t="s">
        <v>11</v>
      </c>
      <c r="V3114" s="1" t="s">
        <v>61</v>
      </c>
      <c r="W3114" s="1"/>
    </row>
    <row r="3115" spans="1:23" x14ac:dyDescent="0.2">
      <c r="A3115" s="88" t="s">
        <v>18228</v>
      </c>
      <c r="B3115" s="1" t="e">
        <v>#N/A</v>
      </c>
      <c r="C3115" s="1" t="e">
        <v>#N/A</v>
      </c>
      <c r="D3115" s="1" t="s">
        <v>8183</v>
      </c>
      <c r="E3115" s="1" t="s">
        <v>8184</v>
      </c>
      <c r="F3115" t="s">
        <v>21162</v>
      </c>
      <c r="G3115" t="s">
        <v>8957</v>
      </c>
      <c r="H3115" t="s">
        <v>9009</v>
      </c>
      <c r="I3115" t="s">
        <v>9154</v>
      </c>
      <c r="J3115" t="s">
        <v>9308</v>
      </c>
      <c r="K3115" t="s">
        <v>21302</v>
      </c>
      <c r="L3115" t="s">
        <v>8973</v>
      </c>
      <c r="M3115">
        <v>3302</v>
      </c>
      <c r="N3115" t="s">
        <v>8953</v>
      </c>
      <c r="O3115" t="s">
        <v>8989</v>
      </c>
      <c r="P3115" s="1" t="e">
        <v>#N/A</v>
      </c>
      <c r="Q3115" s="1" t="e">
        <v>#N/A</v>
      </c>
      <c r="R3115" s="1">
        <f>1+LEN(T3115)-LEN(SUBSTITUTE(T3115,",",))</f>
        <v>19</v>
      </c>
      <c r="S3115" s="1" t="str">
        <f>IF(R3115&gt;4,IF(R3115&lt;8,"4-7",IF(R3115&gt;7,"&gt;7")),"&lt;4")</f>
        <v>&gt;7</v>
      </c>
      <c r="T3115" s="1" t="s">
        <v>20345</v>
      </c>
      <c r="U3115" s="1" t="s">
        <v>17</v>
      </c>
      <c r="V3115" s="1" t="s">
        <v>24</v>
      </c>
      <c r="W3115" s="1"/>
    </row>
    <row r="3116" spans="1:23" x14ac:dyDescent="0.2">
      <c r="A3116" s="88" t="s">
        <v>18229</v>
      </c>
      <c r="B3116" s="1" t="e">
        <v>#N/A</v>
      </c>
      <c r="C3116" s="1" t="s">
        <v>12799</v>
      </c>
      <c r="D3116" s="1" t="s">
        <v>8185</v>
      </c>
      <c r="E3116" s="1" t="s">
        <v>8186</v>
      </c>
      <c r="F3116" t="s">
        <v>9010</v>
      </c>
      <c r="G3116" t="s">
        <v>8957</v>
      </c>
      <c r="H3116" t="s">
        <v>8959</v>
      </c>
      <c r="I3116" t="s">
        <v>9605</v>
      </c>
      <c r="J3116" t="s">
        <v>9101</v>
      </c>
      <c r="K3116" t="s">
        <v>21148</v>
      </c>
      <c r="L3116" t="s">
        <v>8987</v>
      </c>
      <c r="M3116">
        <v>384</v>
      </c>
      <c r="N3116" t="s">
        <v>8953</v>
      </c>
      <c r="O3116" t="s">
        <v>8989</v>
      </c>
      <c r="P3116" s="1" t="s">
        <v>8955</v>
      </c>
      <c r="Q3116" s="1" t="s">
        <v>8956</v>
      </c>
      <c r="R3116" s="1" t="s">
        <v>8957</v>
      </c>
      <c r="S3116" s="1" t="s">
        <v>8975</v>
      </c>
      <c r="T3116" s="1" t="s">
        <v>8187</v>
      </c>
      <c r="U3116" s="1" t="s">
        <v>11</v>
      </c>
      <c r="V3116" s="1" t="s">
        <v>15</v>
      </c>
      <c r="W3116" s="1"/>
    </row>
    <row r="3117" spans="1:23" x14ac:dyDescent="0.2">
      <c r="A3117" s="88" t="s">
        <v>18230</v>
      </c>
      <c r="B3117" s="1" t="e">
        <v>#N/A</v>
      </c>
      <c r="C3117" s="1" t="e">
        <v>#N/A</v>
      </c>
      <c r="D3117" s="1" t="s">
        <v>8188</v>
      </c>
      <c r="E3117" s="1" t="s">
        <v>8189</v>
      </c>
      <c r="F3117" t="s">
        <v>18502</v>
      </c>
      <c r="G3117" t="s">
        <v>9060</v>
      </c>
      <c r="H3117" t="s">
        <v>8959</v>
      </c>
      <c r="I3117" t="s">
        <v>9100</v>
      </c>
      <c r="J3117" t="s">
        <v>9101</v>
      </c>
      <c r="K3117" t="s">
        <v>21148</v>
      </c>
      <c r="L3117" t="s">
        <v>8987</v>
      </c>
      <c r="M3117">
        <v>24</v>
      </c>
      <c r="N3117" t="s">
        <v>9059</v>
      </c>
      <c r="O3117" t="s">
        <v>8954</v>
      </c>
      <c r="P3117" s="1" t="e">
        <v>#N/A</v>
      </c>
      <c r="Q3117" s="1" t="e">
        <v>#N/A</v>
      </c>
      <c r="R3117" s="1">
        <f>1+LEN(T3117)-LEN(SUBSTITUTE(T3117,",",))</f>
        <v>19</v>
      </c>
      <c r="S3117" s="1" t="str">
        <f>IF(R3117&gt;4,IF(R3117&lt;8,"4-7",IF(R3117&gt;7,"&gt;7")),"&lt;4")</f>
        <v>&gt;7</v>
      </c>
      <c r="T3117" s="1" t="s">
        <v>20705</v>
      </c>
      <c r="U3117" s="1" t="s">
        <v>17</v>
      </c>
      <c r="V3117" s="1" t="s">
        <v>8190</v>
      </c>
      <c r="W3117" s="1"/>
    </row>
    <row r="3118" spans="1:23" x14ac:dyDescent="0.2">
      <c r="A3118" s="88" t="s">
        <v>18231</v>
      </c>
      <c r="B3118" s="1" t="e">
        <v>#N/A</v>
      </c>
      <c r="C3118" s="1" t="s">
        <v>14290</v>
      </c>
      <c r="D3118" s="1" t="s">
        <v>8191</v>
      </c>
      <c r="E3118" s="1" t="s">
        <v>8192</v>
      </c>
      <c r="F3118" t="s">
        <v>9310</v>
      </c>
      <c r="G3118" t="s">
        <v>8957</v>
      </c>
      <c r="H3118" t="s">
        <v>9009</v>
      </c>
      <c r="I3118" t="s">
        <v>9035</v>
      </c>
      <c r="J3118" t="s">
        <v>9308</v>
      </c>
      <c r="K3118" t="s">
        <v>9036</v>
      </c>
      <c r="L3118" t="s">
        <v>9464</v>
      </c>
      <c r="M3118">
        <v>504</v>
      </c>
      <c r="N3118" t="s">
        <v>9059</v>
      </c>
      <c r="O3118" t="s">
        <v>8989</v>
      </c>
      <c r="P3118" s="1" t="s">
        <v>8955</v>
      </c>
      <c r="Q3118" s="1" t="s">
        <v>8956</v>
      </c>
      <c r="R3118" s="1" t="s">
        <v>8957</v>
      </c>
      <c r="S3118" s="1" t="s">
        <v>8975</v>
      </c>
      <c r="T3118" s="1" t="s">
        <v>8193</v>
      </c>
      <c r="U3118" s="1" t="s">
        <v>4</v>
      </c>
      <c r="V3118" s="1" t="s">
        <v>126</v>
      </c>
      <c r="W3118" s="1"/>
    </row>
    <row r="3119" spans="1:23" x14ac:dyDescent="0.2">
      <c r="A3119" s="88" t="s">
        <v>18232</v>
      </c>
      <c r="B3119" s="1" t="e">
        <v>#N/A</v>
      </c>
      <c r="C3119" s="1" t="s">
        <v>13748</v>
      </c>
      <c r="D3119" s="1" t="s">
        <v>8194</v>
      </c>
      <c r="E3119" s="1" t="s">
        <v>8195</v>
      </c>
      <c r="F3119" t="s">
        <v>9010</v>
      </c>
      <c r="G3119" t="s">
        <v>8957</v>
      </c>
      <c r="H3119" t="s">
        <v>8959</v>
      </c>
      <c r="I3119" t="s">
        <v>9605</v>
      </c>
      <c r="J3119" t="s">
        <v>8959</v>
      </c>
      <c r="K3119" t="s">
        <v>9316</v>
      </c>
      <c r="L3119" t="s">
        <v>8951</v>
      </c>
      <c r="M3119">
        <v>373</v>
      </c>
      <c r="N3119" t="s">
        <v>8953</v>
      </c>
      <c r="O3119" t="s">
        <v>8989</v>
      </c>
      <c r="P3119" s="1" t="s">
        <v>8955</v>
      </c>
      <c r="Q3119" s="1" t="s">
        <v>8956</v>
      </c>
      <c r="R3119" s="1" t="s">
        <v>8957</v>
      </c>
      <c r="S3119" s="1" t="s">
        <v>8958</v>
      </c>
      <c r="T3119" s="1" t="s">
        <v>8196</v>
      </c>
      <c r="U3119" s="1" t="s">
        <v>4</v>
      </c>
      <c r="V3119" s="1" t="s">
        <v>392</v>
      </c>
      <c r="W3119" s="1"/>
    </row>
    <row r="3120" spans="1:23" x14ac:dyDescent="0.2">
      <c r="A3120" s="92" t="s">
        <v>18233</v>
      </c>
      <c r="B3120" s="1" t="e">
        <v>#N/A</v>
      </c>
      <c r="C3120" s="1" t="e">
        <v>#N/A</v>
      </c>
      <c r="D3120" s="1" t="s">
        <v>8197</v>
      </c>
      <c r="E3120" s="1" t="s">
        <v>8198</v>
      </c>
      <c r="F3120" t="s">
        <v>9310</v>
      </c>
      <c r="G3120" t="s">
        <v>8957</v>
      </c>
      <c r="H3120" t="s">
        <v>8959</v>
      </c>
      <c r="I3120" t="s">
        <v>8948</v>
      </c>
      <c r="J3120" t="s">
        <v>8998</v>
      </c>
      <c r="K3120" t="e">
        <v>#N/A</v>
      </c>
      <c r="L3120" t="s">
        <v>8973</v>
      </c>
      <c r="M3120">
        <v>147</v>
      </c>
      <c r="N3120" t="s">
        <v>8953</v>
      </c>
      <c r="O3120" t="s">
        <v>8989</v>
      </c>
      <c r="P3120" s="1" t="e">
        <v>#N/A</v>
      </c>
      <c r="Q3120" s="1" t="e">
        <v>#N/A</v>
      </c>
      <c r="R3120" s="1">
        <f t="shared" ref="R3120:R3122" si="918">1+LEN(T3120)-LEN(SUBSTITUTE(T3120,",",))</f>
        <v>1</v>
      </c>
      <c r="S3120" s="1" t="str">
        <f t="shared" ref="S3120:S3122" si="919">IF(R3120&gt;4,IF(R3120&lt;8,"4-7",IF(R3120&gt;7,"&gt;7")),"&lt;4")</f>
        <v>&lt;4</v>
      </c>
      <c r="T3120" s="1"/>
      <c r="U3120" s="1"/>
      <c r="V3120" s="1"/>
      <c r="W3120" s="1"/>
    </row>
    <row r="3121" spans="1:23" x14ac:dyDescent="0.2">
      <c r="A3121" s="88" t="s">
        <v>18234</v>
      </c>
      <c r="B3121" s="1" t="e">
        <v>#N/A</v>
      </c>
      <c r="C3121" s="1" t="e">
        <v>#N/A</v>
      </c>
      <c r="D3121" s="1" t="s">
        <v>8199</v>
      </c>
      <c r="E3121" s="1" t="s">
        <v>8200</v>
      </c>
      <c r="F3121" t="s">
        <v>9310</v>
      </c>
      <c r="G3121" t="s">
        <v>8957</v>
      </c>
      <c r="H3121" t="s">
        <v>9061</v>
      </c>
      <c r="I3121" t="s">
        <v>9252</v>
      </c>
      <c r="J3121" t="s">
        <v>8998</v>
      </c>
      <c r="K3121" t="s">
        <v>21148</v>
      </c>
      <c r="L3121" t="s">
        <v>8987</v>
      </c>
      <c r="M3121">
        <v>348</v>
      </c>
      <c r="N3121" t="s">
        <v>9059</v>
      </c>
      <c r="O3121" t="s">
        <v>8989</v>
      </c>
      <c r="P3121" s="1" t="e">
        <v>#N/A</v>
      </c>
      <c r="Q3121" s="1" t="e">
        <v>#N/A</v>
      </c>
      <c r="R3121" s="1">
        <f t="shared" si="918"/>
        <v>10</v>
      </c>
      <c r="S3121" s="1" t="str">
        <f t="shared" si="919"/>
        <v>&gt;7</v>
      </c>
      <c r="T3121" s="1" t="s">
        <v>20346</v>
      </c>
      <c r="U3121" s="1" t="s">
        <v>7</v>
      </c>
      <c r="V3121" s="1" t="s">
        <v>562</v>
      </c>
      <c r="W3121" s="1"/>
    </row>
    <row r="3122" spans="1:23" x14ac:dyDescent="0.2">
      <c r="A3122" s="89" t="s">
        <v>8201</v>
      </c>
      <c r="B3122" s="1" t="e">
        <v>#N/A</v>
      </c>
      <c r="C3122" s="1" t="e">
        <v>#N/A</v>
      </c>
      <c r="D3122" s="5" t="s">
        <v>8202</v>
      </c>
      <c r="E3122" s="1" t="s">
        <v>8203</v>
      </c>
      <c r="F3122" t="e">
        <v>#N/A</v>
      </c>
      <c r="G3122" t="e">
        <v>#N/A</v>
      </c>
      <c r="H3122" t="e">
        <v>#N/A</v>
      </c>
      <c r="I3122" t="e">
        <v>#N/A</v>
      </c>
      <c r="J3122" t="e">
        <v>#N/A</v>
      </c>
      <c r="K3122" t="e">
        <v>#N/A</v>
      </c>
      <c r="L3122" t="e">
        <v>#N/A</v>
      </c>
      <c r="M3122" t="e">
        <v>#N/A</v>
      </c>
      <c r="N3122" t="e">
        <v>#N/A</v>
      </c>
      <c r="O3122" t="e">
        <v>#N/A</v>
      </c>
      <c r="P3122" s="1" t="e">
        <v>#N/A</v>
      </c>
      <c r="Q3122" s="1" t="e">
        <v>#N/A</v>
      </c>
      <c r="R3122" s="1">
        <f t="shared" si="918"/>
        <v>11</v>
      </c>
      <c r="S3122" s="1" t="str">
        <f t="shared" si="919"/>
        <v>&gt;7</v>
      </c>
      <c r="T3122" s="1" t="s">
        <v>20347</v>
      </c>
      <c r="U3122" s="1" t="s">
        <v>11</v>
      </c>
      <c r="V3122" s="1" t="s">
        <v>8204</v>
      </c>
      <c r="W3122" s="1"/>
    </row>
    <row r="3123" spans="1:23" x14ac:dyDescent="0.2">
      <c r="A3123" s="88" t="s">
        <v>18235</v>
      </c>
      <c r="B3123" s="1" t="e">
        <v>#N/A</v>
      </c>
      <c r="C3123" s="1" t="s">
        <v>10663</v>
      </c>
      <c r="D3123" s="1" t="s">
        <v>8205</v>
      </c>
      <c r="E3123" s="1" t="s">
        <v>8206</v>
      </c>
      <c r="F3123" t="s">
        <v>9317</v>
      </c>
      <c r="G3123" t="s">
        <v>8959</v>
      </c>
      <c r="H3123" t="s">
        <v>8959</v>
      </c>
      <c r="I3123" t="s">
        <v>9605</v>
      </c>
      <c r="J3123" t="s">
        <v>8949</v>
      </c>
      <c r="K3123" t="s">
        <v>21148</v>
      </c>
      <c r="L3123" t="s">
        <v>9076</v>
      </c>
      <c r="M3123">
        <v>300</v>
      </c>
      <c r="N3123" t="s">
        <v>8953</v>
      </c>
      <c r="O3123" t="s">
        <v>8954</v>
      </c>
      <c r="P3123" s="1" t="s">
        <v>8955</v>
      </c>
      <c r="Q3123" s="1" t="s">
        <v>8956</v>
      </c>
      <c r="R3123" s="1" t="s">
        <v>8959</v>
      </c>
      <c r="S3123" s="1" t="s">
        <v>8958</v>
      </c>
      <c r="T3123" s="1" t="s">
        <v>8207</v>
      </c>
      <c r="U3123" s="1" t="s">
        <v>7</v>
      </c>
      <c r="V3123" s="1" t="s">
        <v>1110</v>
      </c>
      <c r="W3123" s="1"/>
    </row>
    <row r="3124" spans="1:23" x14ac:dyDescent="0.2">
      <c r="A3124" s="88" t="s">
        <v>18236</v>
      </c>
      <c r="B3124" s="1" t="e">
        <v>#N/A</v>
      </c>
      <c r="C3124" s="1" t="e">
        <v>#N/A</v>
      </c>
      <c r="D3124" s="1" t="s">
        <v>8208</v>
      </c>
      <c r="E3124" s="1" t="s">
        <v>8209</v>
      </c>
      <c r="F3124" t="s">
        <v>9310</v>
      </c>
      <c r="G3124" t="s">
        <v>8957</v>
      </c>
      <c r="H3124" t="s">
        <v>8959</v>
      </c>
      <c r="I3124" t="s">
        <v>9605</v>
      </c>
      <c r="J3124" t="s">
        <v>9101</v>
      </c>
      <c r="K3124" t="s">
        <v>21148</v>
      </c>
      <c r="L3124" t="s">
        <v>8951</v>
      </c>
      <c r="M3124">
        <v>5000</v>
      </c>
      <c r="N3124" t="s">
        <v>8953</v>
      </c>
      <c r="O3124" t="s">
        <v>8989</v>
      </c>
      <c r="P3124" s="1" t="e">
        <v>#N/A</v>
      </c>
      <c r="Q3124" s="1" t="e">
        <v>#N/A</v>
      </c>
      <c r="R3124" s="1">
        <f t="shared" ref="R3124:R3130" si="920">1+LEN(T3124)-LEN(SUBSTITUTE(T3124,",",))</f>
        <v>5</v>
      </c>
      <c r="S3124" s="1" t="str">
        <f t="shared" ref="S3124:S3130" si="921">IF(R3124&gt;4,IF(R3124&lt;8,"4-7",IF(R3124&gt;7,"&gt;7")),"&lt;4")</f>
        <v>4-7</v>
      </c>
      <c r="T3124" s="1" t="s">
        <v>20348</v>
      </c>
      <c r="U3124" s="1" t="s">
        <v>7</v>
      </c>
      <c r="V3124" s="1" t="s">
        <v>257</v>
      </c>
      <c r="W3124" s="1"/>
    </row>
    <row r="3125" spans="1:23" x14ac:dyDescent="0.2">
      <c r="A3125" s="89" t="s">
        <v>8210</v>
      </c>
      <c r="B3125" s="1" t="e">
        <v>#N/A</v>
      </c>
      <c r="C3125" s="1" t="e">
        <v>#N/A</v>
      </c>
      <c r="D3125" s="1" t="s">
        <v>8211</v>
      </c>
      <c r="E3125" s="1" t="s">
        <v>8212</v>
      </c>
      <c r="F3125" t="e">
        <v>#N/A</v>
      </c>
      <c r="G3125" t="e">
        <v>#N/A</v>
      </c>
      <c r="H3125" t="e">
        <v>#N/A</v>
      </c>
      <c r="I3125" t="e">
        <v>#N/A</v>
      </c>
      <c r="J3125" t="e">
        <v>#N/A</v>
      </c>
      <c r="K3125" t="e">
        <v>#N/A</v>
      </c>
      <c r="L3125" t="e">
        <v>#N/A</v>
      </c>
      <c r="M3125" t="e">
        <v>#N/A</v>
      </c>
      <c r="N3125" t="e">
        <v>#N/A</v>
      </c>
      <c r="O3125" t="e">
        <v>#N/A</v>
      </c>
      <c r="P3125" s="1" t="e">
        <v>#N/A</v>
      </c>
      <c r="Q3125" s="1" t="e">
        <v>#N/A</v>
      </c>
      <c r="R3125" s="1">
        <f t="shared" si="920"/>
        <v>2</v>
      </c>
      <c r="S3125" s="1" t="str">
        <f t="shared" si="921"/>
        <v>&lt;4</v>
      </c>
      <c r="T3125" s="1" t="s">
        <v>20349</v>
      </c>
      <c r="U3125" s="1" t="s">
        <v>17</v>
      </c>
      <c r="V3125" s="1" t="s">
        <v>8213</v>
      </c>
      <c r="W3125" s="1"/>
    </row>
    <row r="3126" spans="1:23" x14ac:dyDescent="0.2">
      <c r="A3126" s="89" t="s">
        <v>8214</v>
      </c>
      <c r="B3126" s="1" t="e">
        <v>#N/A</v>
      </c>
      <c r="C3126" s="1" t="e">
        <v>#N/A</v>
      </c>
      <c r="D3126" s="1" t="s">
        <v>8215</v>
      </c>
      <c r="E3126" s="1" t="s">
        <v>8216</v>
      </c>
      <c r="F3126" t="e">
        <v>#N/A</v>
      </c>
      <c r="G3126" t="e">
        <v>#N/A</v>
      </c>
      <c r="H3126" t="e">
        <v>#N/A</v>
      </c>
      <c r="I3126" t="e">
        <v>#N/A</v>
      </c>
      <c r="J3126" t="e">
        <v>#N/A</v>
      </c>
      <c r="K3126" t="e">
        <v>#N/A</v>
      </c>
      <c r="L3126" t="e">
        <v>#N/A</v>
      </c>
      <c r="M3126" t="e">
        <v>#N/A</v>
      </c>
      <c r="N3126" t="e">
        <v>#N/A</v>
      </c>
      <c r="O3126" t="e">
        <v>#N/A</v>
      </c>
      <c r="P3126" s="1" t="e">
        <v>#N/A</v>
      </c>
      <c r="Q3126" s="1" t="e">
        <v>#N/A</v>
      </c>
      <c r="R3126" s="1">
        <f t="shared" si="920"/>
        <v>3</v>
      </c>
      <c r="S3126" s="1" t="str">
        <f t="shared" si="921"/>
        <v>&lt;4</v>
      </c>
      <c r="T3126" s="1" t="s">
        <v>20350</v>
      </c>
      <c r="U3126" s="1" t="s">
        <v>17</v>
      </c>
      <c r="V3126" s="1" t="s">
        <v>8217</v>
      </c>
      <c r="W3126" s="1"/>
    </row>
    <row r="3127" spans="1:23" x14ac:dyDescent="0.2">
      <c r="A3127" s="88" t="s">
        <v>18237</v>
      </c>
      <c r="B3127" s="1" t="e">
        <v>#N/A</v>
      </c>
      <c r="C3127" s="1" t="e">
        <v>#N/A</v>
      </c>
      <c r="D3127" s="1" t="s">
        <v>8218</v>
      </c>
      <c r="E3127" s="1" t="s">
        <v>8219</v>
      </c>
      <c r="F3127" t="s">
        <v>18502</v>
      </c>
      <c r="G3127" t="s">
        <v>8957</v>
      </c>
      <c r="H3127" t="s">
        <v>8959</v>
      </c>
      <c r="I3127" t="s">
        <v>9605</v>
      </c>
      <c r="J3127" t="s">
        <v>9101</v>
      </c>
      <c r="K3127" t="s">
        <v>20736</v>
      </c>
      <c r="L3127" t="s">
        <v>8987</v>
      </c>
      <c r="M3127">
        <v>100</v>
      </c>
      <c r="N3127" t="s">
        <v>8953</v>
      </c>
      <c r="O3127" t="s">
        <v>8989</v>
      </c>
      <c r="P3127" s="1" t="e">
        <v>#N/A</v>
      </c>
      <c r="Q3127" s="1" t="e">
        <v>#N/A</v>
      </c>
      <c r="R3127" s="1">
        <f t="shared" si="920"/>
        <v>3</v>
      </c>
      <c r="S3127" s="1" t="str">
        <f t="shared" si="921"/>
        <v>&lt;4</v>
      </c>
      <c r="T3127" s="1" t="s">
        <v>20351</v>
      </c>
      <c r="U3127" s="1" t="s">
        <v>17</v>
      </c>
      <c r="V3127" s="1" t="s">
        <v>24</v>
      </c>
      <c r="W3127" s="1"/>
    </row>
    <row r="3128" spans="1:23" x14ac:dyDescent="0.2">
      <c r="A3128" s="88" t="s">
        <v>21182</v>
      </c>
      <c r="B3128" s="1" t="e">
        <v>#N/A</v>
      </c>
      <c r="C3128" s="1" t="e">
        <v>#N/A</v>
      </c>
      <c r="D3128" s="1" t="s">
        <v>8220</v>
      </c>
      <c r="E3128" s="1" t="s">
        <v>8221</v>
      </c>
      <c r="F3128" t="s">
        <v>9310</v>
      </c>
      <c r="G3128" t="s">
        <v>8957</v>
      </c>
      <c r="H3128" t="s">
        <v>8959</v>
      </c>
      <c r="I3128" t="s">
        <v>9605</v>
      </c>
      <c r="J3128" t="s">
        <v>9101</v>
      </c>
      <c r="K3128" t="s">
        <v>21183</v>
      </c>
      <c r="L3128" t="s">
        <v>8973</v>
      </c>
      <c r="M3128">
        <v>1692</v>
      </c>
      <c r="N3128" t="s">
        <v>8953</v>
      </c>
      <c r="O3128" t="s">
        <v>8954</v>
      </c>
      <c r="P3128" s="1" t="e">
        <v>#N/A</v>
      </c>
      <c r="Q3128" s="1" t="e">
        <v>#N/A</v>
      </c>
      <c r="R3128" s="1">
        <f t="shared" si="920"/>
        <v>3</v>
      </c>
      <c r="S3128" s="1" t="str">
        <f t="shared" si="921"/>
        <v>&lt;4</v>
      </c>
      <c r="T3128" s="1" t="s">
        <v>20352</v>
      </c>
      <c r="U3128" s="1" t="s">
        <v>7</v>
      </c>
      <c r="V3128" s="1" t="s">
        <v>493</v>
      </c>
      <c r="W3128" s="1"/>
    </row>
    <row r="3129" spans="1:23" x14ac:dyDescent="0.2">
      <c r="A3129" s="88" t="s">
        <v>18238</v>
      </c>
      <c r="B3129" s="1" t="e">
        <v>#N/A</v>
      </c>
      <c r="C3129" s="1" t="e">
        <v>#N/A</v>
      </c>
      <c r="D3129" s="1" t="s">
        <v>8222</v>
      </c>
      <c r="E3129" s="1" t="s">
        <v>8223</v>
      </c>
      <c r="F3129" t="s">
        <v>9310</v>
      </c>
      <c r="G3129" t="s">
        <v>9060</v>
      </c>
      <c r="H3129" t="s">
        <v>8959</v>
      </c>
      <c r="I3129" t="s">
        <v>9943</v>
      </c>
      <c r="J3129" t="s">
        <v>8971</v>
      </c>
      <c r="K3129" t="s">
        <v>21184</v>
      </c>
      <c r="L3129" t="s">
        <v>8951</v>
      </c>
      <c r="M3129" t="s">
        <v>21164</v>
      </c>
      <c r="N3129" t="s">
        <v>8953</v>
      </c>
      <c r="O3129" t="s">
        <v>8989</v>
      </c>
      <c r="P3129" s="1" t="e">
        <v>#N/A</v>
      </c>
      <c r="Q3129" s="1" t="e">
        <v>#N/A</v>
      </c>
      <c r="R3129" s="1">
        <f t="shared" si="920"/>
        <v>7</v>
      </c>
      <c r="S3129" s="1" t="str">
        <f t="shared" si="921"/>
        <v>4-7</v>
      </c>
      <c r="T3129" s="1" t="s">
        <v>20353</v>
      </c>
      <c r="U3129" s="1" t="s">
        <v>7</v>
      </c>
      <c r="V3129" s="1" t="s">
        <v>2785</v>
      </c>
      <c r="W3129" s="1"/>
    </row>
    <row r="3130" spans="1:23" x14ac:dyDescent="0.2">
      <c r="A3130" s="88" t="s">
        <v>18239</v>
      </c>
      <c r="B3130" s="1" t="e">
        <v>#N/A</v>
      </c>
      <c r="C3130" s="1" t="e">
        <v>#N/A</v>
      </c>
      <c r="D3130" s="1" t="s">
        <v>8224</v>
      </c>
      <c r="E3130" s="1" t="s">
        <v>8225</v>
      </c>
      <c r="F3130" t="s">
        <v>18502</v>
      </c>
      <c r="G3130" t="s">
        <v>8974</v>
      </c>
      <c r="H3130" t="s">
        <v>9009</v>
      </c>
      <c r="I3130" t="s">
        <v>9154</v>
      </c>
      <c r="J3130" t="s">
        <v>11607</v>
      </c>
      <c r="K3130" t="s">
        <v>21181</v>
      </c>
      <c r="L3130" t="s">
        <v>8951</v>
      </c>
      <c r="M3130">
        <v>20000</v>
      </c>
      <c r="N3130" t="s">
        <v>9059</v>
      </c>
      <c r="O3130" t="s">
        <v>8954</v>
      </c>
      <c r="P3130" s="1" t="e">
        <v>#N/A</v>
      </c>
      <c r="Q3130" s="1" t="e">
        <v>#N/A</v>
      </c>
      <c r="R3130" s="1">
        <f t="shared" si="920"/>
        <v>9</v>
      </c>
      <c r="S3130" s="1" t="str">
        <f t="shared" si="921"/>
        <v>&gt;7</v>
      </c>
      <c r="T3130" s="1" t="s">
        <v>20354</v>
      </c>
      <c r="U3130" s="1" t="s">
        <v>7</v>
      </c>
      <c r="V3130" s="1" t="s">
        <v>8226</v>
      </c>
      <c r="W3130" s="1"/>
    </row>
    <row r="3131" spans="1:23" x14ac:dyDescent="0.2">
      <c r="A3131" s="88" t="s">
        <v>18240</v>
      </c>
      <c r="B3131" s="1" t="e">
        <v>#N/A</v>
      </c>
      <c r="C3131" s="1" t="s">
        <v>11575</v>
      </c>
      <c r="D3131" s="1" t="s">
        <v>8227</v>
      </c>
      <c r="E3131" s="1" t="s">
        <v>8228</v>
      </c>
      <c r="F3131" t="s">
        <v>9380</v>
      </c>
      <c r="G3131" t="s">
        <v>8974</v>
      </c>
      <c r="H3131" t="s">
        <v>9183</v>
      </c>
      <c r="I3131" t="s">
        <v>9173</v>
      </c>
      <c r="J3131" t="s">
        <v>9174</v>
      </c>
      <c r="K3131" t="s">
        <v>10258</v>
      </c>
      <c r="L3131" t="s">
        <v>8987</v>
      </c>
      <c r="M3131">
        <v>2917</v>
      </c>
      <c r="N3131" t="s">
        <v>8953</v>
      </c>
      <c r="O3131" t="s">
        <v>8989</v>
      </c>
      <c r="P3131" s="1" t="s">
        <v>8955</v>
      </c>
      <c r="Q3131" s="1" t="s">
        <v>8956</v>
      </c>
      <c r="R3131" s="1" t="s">
        <v>8974</v>
      </c>
      <c r="S3131" s="1" t="s">
        <v>9103</v>
      </c>
      <c r="T3131" s="1" t="s">
        <v>8229</v>
      </c>
      <c r="U3131" s="1" t="s">
        <v>11</v>
      </c>
      <c r="V3131" s="1" t="s">
        <v>8230</v>
      </c>
      <c r="W3131" s="1"/>
    </row>
    <row r="3132" spans="1:23" x14ac:dyDescent="0.2">
      <c r="A3132" s="88" t="s">
        <v>18241</v>
      </c>
      <c r="B3132" s="1" t="e">
        <v>#N/A</v>
      </c>
      <c r="C3132" s="1" t="s">
        <v>13672</v>
      </c>
      <c r="D3132" s="1" t="s">
        <v>8231</v>
      </c>
      <c r="E3132" s="1" t="s">
        <v>8232</v>
      </c>
      <c r="F3132" t="s">
        <v>10873</v>
      </c>
      <c r="G3132" t="s">
        <v>8959</v>
      </c>
      <c r="H3132" t="s">
        <v>8959</v>
      </c>
      <c r="I3132" t="s">
        <v>9252</v>
      </c>
      <c r="J3132" t="s">
        <v>8971</v>
      </c>
      <c r="K3132" t="s">
        <v>13675</v>
      </c>
      <c r="L3132" t="s">
        <v>8951</v>
      </c>
      <c r="M3132">
        <v>469</v>
      </c>
      <c r="N3132" t="s">
        <v>8953</v>
      </c>
      <c r="O3132" t="s">
        <v>8954</v>
      </c>
      <c r="P3132" s="1" t="s">
        <v>8955</v>
      </c>
      <c r="Q3132" s="1" t="s">
        <v>8956</v>
      </c>
      <c r="R3132" s="1" t="s">
        <v>8959</v>
      </c>
      <c r="S3132" s="1" t="s">
        <v>8975</v>
      </c>
      <c r="T3132" s="1" t="s">
        <v>8233</v>
      </c>
      <c r="U3132" s="1" t="s">
        <v>11</v>
      </c>
      <c r="V3132" s="1" t="s">
        <v>27</v>
      </c>
      <c r="W3132" s="1"/>
    </row>
    <row r="3133" spans="1:23" x14ac:dyDescent="0.2">
      <c r="A3133" s="88" t="s">
        <v>18242</v>
      </c>
      <c r="B3133" s="1" t="e">
        <v>#N/A</v>
      </c>
      <c r="C3133" s="1" t="s">
        <v>13521</v>
      </c>
      <c r="D3133" s="1" t="s">
        <v>8234</v>
      </c>
      <c r="E3133" s="1" t="s">
        <v>8235</v>
      </c>
      <c r="F3133" t="s">
        <v>10873</v>
      </c>
      <c r="G3133" t="s">
        <v>8957</v>
      </c>
      <c r="H3133" t="s">
        <v>8959</v>
      </c>
      <c r="I3133" t="s">
        <v>8948</v>
      </c>
      <c r="J3133" t="s">
        <v>8971</v>
      </c>
      <c r="K3133" t="s">
        <v>9036</v>
      </c>
      <c r="L3133" t="s">
        <v>9133</v>
      </c>
      <c r="M3133">
        <v>19838</v>
      </c>
      <c r="N3133" t="s">
        <v>8953</v>
      </c>
      <c r="O3133" t="s">
        <v>8989</v>
      </c>
      <c r="P3133" s="1" t="s">
        <v>8955</v>
      </c>
      <c r="Q3133" s="1" t="s">
        <v>8956</v>
      </c>
      <c r="R3133" s="1" t="s">
        <v>8957</v>
      </c>
      <c r="S3133" s="1" t="s">
        <v>8958</v>
      </c>
      <c r="T3133" s="1" t="s">
        <v>8236</v>
      </c>
      <c r="U3133" s="1" t="s">
        <v>4</v>
      </c>
      <c r="V3133" s="1" t="s">
        <v>1524</v>
      </c>
      <c r="W3133" s="1"/>
    </row>
    <row r="3134" spans="1:23" x14ac:dyDescent="0.2">
      <c r="A3134" s="89" t="s">
        <v>21185</v>
      </c>
      <c r="B3134" s="1" t="e">
        <v>#N/A</v>
      </c>
      <c r="C3134" s="1" t="e">
        <v>#N/A</v>
      </c>
      <c r="D3134" s="1" t="s">
        <v>8237</v>
      </c>
      <c r="E3134" s="1" t="s">
        <v>8238</v>
      </c>
      <c r="F3134" t="e">
        <v>#N/A</v>
      </c>
      <c r="G3134" t="e">
        <v>#N/A</v>
      </c>
      <c r="H3134" t="e">
        <v>#N/A</v>
      </c>
      <c r="I3134" t="e">
        <v>#N/A</v>
      </c>
      <c r="J3134" t="e">
        <v>#N/A</v>
      </c>
      <c r="K3134" t="e">
        <v>#N/A</v>
      </c>
      <c r="L3134" t="e">
        <v>#N/A</v>
      </c>
      <c r="M3134" t="e">
        <v>#N/A</v>
      </c>
      <c r="N3134" t="e">
        <v>#N/A</v>
      </c>
      <c r="O3134" t="e">
        <v>#N/A</v>
      </c>
      <c r="P3134" s="1" t="e">
        <v>#N/A</v>
      </c>
      <c r="Q3134" s="1" t="e">
        <v>#N/A</v>
      </c>
      <c r="R3134" s="1">
        <f>1+LEN(T3134)-LEN(SUBSTITUTE(T3134,",",))</f>
        <v>1</v>
      </c>
      <c r="S3134" s="1" t="str">
        <f>IF(R3134&gt;4,IF(R3134&lt;8,"4-7",IF(R3134&gt;7,"&gt;7")),"&lt;4")</f>
        <v>&lt;4</v>
      </c>
      <c r="U3134" s="1" t="s">
        <v>11</v>
      </c>
      <c r="V3134" s="1" t="s">
        <v>771</v>
      </c>
      <c r="W3134" s="1"/>
    </row>
    <row r="3135" spans="1:23" x14ac:dyDescent="0.2">
      <c r="A3135" s="88" t="s">
        <v>18243</v>
      </c>
      <c r="B3135" s="1" t="e">
        <v>#N/A</v>
      </c>
      <c r="C3135" s="1" t="s">
        <v>13442</v>
      </c>
      <c r="D3135" s="1" t="s">
        <v>8239</v>
      </c>
      <c r="E3135" s="1" t="s">
        <v>8240</v>
      </c>
      <c r="F3135" t="s">
        <v>9333</v>
      </c>
      <c r="G3135" t="s">
        <v>8959</v>
      </c>
      <c r="H3135" t="s">
        <v>9061</v>
      </c>
      <c r="I3135" t="s">
        <v>8984</v>
      </c>
      <c r="J3135" t="s">
        <v>8998</v>
      </c>
      <c r="K3135" t="s">
        <v>9036</v>
      </c>
      <c r="L3135" t="s">
        <v>9133</v>
      </c>
      <c r="M3135">
        <v>55536</v>
      </c>
      <c r="N3135" t="s">
        <v>8953</v>
      </c>
      <c r="O3135" t="s">
        <v>8954</v>
      </c>
      <c r="P3135" s="1" t="s">
        <v>8955</v>
      </c>
      <c r="Q3135" s="1" t="s">
        <v>8956</v>
      </c>
      <c r="R3135" s="1" t="s">
        <v>8959</v>
      </c>
      <c r="S3135" s="1" t="s">
        <v>8958</v>
      </c>
      <c r="T3135" s="1" t="s">
        <v>8241</v>
      </c>
      <c r="U3135" s="1" t="s">
        <v>11</v>
      </c>
      <c r="V3135" s="1" t="s">
        <v>180</v>
      </c>
      <c r="W3135" s="1"/>
    </row>
    <row r="3136" spans="1:23" x14ac:dyDescent="0.2">
      <c r="A3136" s="88" t="s">
        <v>18244</v>
      </c>
      <c r="B3136" s="1" t="e">
        <v>#N/A</v>
      </c>
      <c r="C3136" s="1" t="s">
        <v>12462</v>
      </c>
      <c r="D3136" s="1" t="s">
        <v>8242</v>
      </c>
      <c r="E3136" s="1" t="s">
        <v>8243</v>
      </c>
      <c r="F3136" t="s">
        <v>9333</v>
      </c>
      <c r="G3136" t="s">
        <v>8959</v>
      </c>
      <c r="H3136" t="s">
        <v>9061</v>
      </c>
      <c r="I3136" t="s">
        <v>8984</v>
      </c>
      <c r="J3136" t="s">
        <v>8998</v>
      </c>
      <c r="K3136" t="s">
        <v>9036</v>
      </c>
      <c r="L3136" t="s">
        <v>9292</v>
      </c>
      <c r="M3136">
        <v>992</v>
      </c>
      <c r="N3136" t="s">
        <v>8953</v>
      </c>
      <c r="O3136" t="s">
        <v>8989</v>
      </c>
      <c r="P3136" s="1" t="s">
        <v>8955</v>
      </c>
      <c r="Q3136" s="1" t="s">
        <v>8956</v>
      </c>
      <c r="R3136" s="1" t="s">
        <v>8959</v>
      </c>
      <c r="S3136" s="1" t="s">
        <v>8958</v>
      </c>
      <c r="T3136" s="1" t="s">
        <v>8244</v>
      </c>
      <c r="U3136" s="1" t="s">
        <v>11</v>
      </c>
      <c r="V3136" s="1" t="s">
        <v>147</v>
      </c>
      <c r="W3136" s="1"/>
    </row>
    <row r="3137" spans="1:23" x14ac:dyDescent="0.2">
      <c r="A3137" s="88" t="s">
        <v>18245</v>
      </c>
      <c r="B3137" s="1" t="e">
        <v>#N/A</v>
      </c>
      <c r="C3137" s="1" t="s">
        <v>13206</v>
      </c>
      <c r="D3137" s="1" t="s">
        <v>8245</v>
      </c>
      <c r="E3137" s="1" t="s">
        <v>8246</v>
      </c>
      <c r="F3137" t="s">
        <v>9010</v>
      </c>
      <c r="G3137" t="s">
        <v>8959</v>
      </c>
      <c r="H3137" t="s">
        <v>9061</v>
      </c>
      <c r="I3137" t="s">
        <v>8984</v>
      </c>
      <c r="J3137" t="s">
        <v>8949</v>
      </c>
      <c r="K3137" t="s">
        <v>9036</v>
      </c>
      <c r="L3137" t="s">
        <v>9133</v>
      </c>
      <c r="M3137">
        <v>144180</v>
      </c>
      <c r="N3137" t="s">
        <v>9059</v>
      </c>
      <c r="O3137" t="s">
        <v>8954</v>
      </c>
      <c r="P3137" s="1" t="s">
        <v>9182</v>
      </c>
      <c r="Q3137" s="1" t="s">
        <v>8956</v>
      </c>
      <c r="R3137" s="1" t="s">
        <v>8959</v>
      </c>
      <c r="S3137" s="1" t="s">
        <v>8958</v>
      </c>
      <c r="T3137" s="1" t="s">
        <v>8244</v>
      </c>
      <c r="U3137" s="1" t="s">
        <v>11</v>
      </c>
      <c r="V3137" s="1" t="s">
        <v>180</v>
      </c>
      <c r="W3137" s="1"/>
    </row>
    <row r="3138" spans="1:23" x14ac:dyDescent="0.2">
      <c r="A3138" s="89" t="s">
        <v>8247</v>
      </c>
      <c r="B3138" s="1" t="e">
        <v>#N/A</v>
      </c>
      <c r="C3138" s="1" t="e">
        <v>#N/A</v>
      </c>
      <c r="D3138" s="1" t="s">
        <v>8248</v>
      </c>
      <c r="E3138" s="1" t="s">
        <v>8249</v>
      </c>
      <c r="F3138" t="e">
        <v>#N/A</v>
      </c>
      <c r="G3138" t="e">
        <v>#N/A</v>
      </c>
      <c r="H3138" t="e">
        <v>#N/A</v>
      </c>
      <c r="I3138" t="e">
        <v>#N/A</v>
      </c>
      <c r="J3138" t="e">
        <v>#N/A</v>
      </c>
      <c r="K3138" t="e">
        <v>#N/A</v>
      </c>
      <c r="L3138" t="e">
        <v>#N/A</v>
      </c>
      <c r="M3138" t="e">
        <v>#N/A</v>
      </c>
      <c r="N3138" t="e">
        <v>#N/A</v>
      </c>
      <c r="O3138" t="e">
        <v>#N/A</v>
      </c>
      <c r="P3138" s="1" t="e">
        <v>#N/A</v>
      </c>
      <c r="Q3138" s="1" t="e">
        <v>#N/A</v>
      </c>
      <c r="R3138" s="1">
        <f t="shared" ref="R3138:R3142" si="922">1+LEN(T3138)-LEN(SUBSTITUTE(T3138,",",))</f>
        <v>5</v>
      </c>
      <c r="S3138" s="1" t="str">
        <f t="shared" ref="S3138:S3142" si="923">IF(R3138&gt;4,IF(R3138&lt;8,"4-7",IF(R3138&gt;7,"&gt;7")),"&lt;4")</f>
        <v>4-7</v>
      </c>
      <c r="T3138" s="1" t="s">
        <v>20355</v>
      </c>
      <c r="U3138" s="1" t="s">
        <v>11</v>
      </c>
      <c r="V3138" s="1" t="s">
        <v>2172</v>
      </c>
      <c r="W3138" s="1"/>
    </row>
    <row r="3139" spans="1:23" x14ac:dyDescent="0.2">
      <c r="A3139" s="88" t="s">
        <v>18246</v>
      </c>
      <c r="B3139" s="1" t="e">
        <v>#N/A</v>
      </c>
      <c r="C3139" s="1" t="e">
        <v>#N/A</v>
      </c>
      <c r="D3139" s="1" t="s">
        <v>8250</v>
      </c>
      <c r="E3139" s="1" t="s">
        <v>8251</v>
      </c>
      <c r="F3139" t="s">
        <v>9333</v>
      </c>
      <c r="G3139" t="s">
        <v>8957</v>
      </c>
      <c r="H3139" t="s">
        <v>9061</v>
      </c>
      <c r="I3139" t="s">
        <v>9092</v>
      </c>
      <c r="J3139" t="s">
        <v>8998</v>
      </c>
      <c r="K3139" t="s">
        <v>21148</v>
      </c>
      <c r="L3139" t="s">
        <v>8987</v>
      </c>
      <c r="M3139">
        <f>1665+180+200</f>
        <v>2045</v>
      </c>
      <c r="N3139" t="s">
        <v>8953</v>
      </c>
      <c r="O3139" t="s">
        <v>8954</v>
      </c>
      <c r="P3139" s="1" t="e">
        <v>#N/A</v>
      </c>
      <c r="Q3139" s="1" t="e">
        <v>#N/A</v>
      </c>
      <c r="R3139" s="1">
        <f t="shared" si="922"/>
        <v>5</v>
      </c>
      <c r="S3139" s="1" t="str">
        <f t="shared" si="923"/>
        <v>4-7</v>
      </c>
      <c r="T3139" s="1" t="s">
        <v>20355</v>
      </c>
      <c r="U3139" s="1" t="s">
        <v>7</v>
      </c>
      <c r="V3139" s="1" t="s">
        <v>147</v>
      </c>
      <c r="W3139" s="1"/>
    </row>
    <row r="3140" spans="1:23" x14ac:dyDescent="0.2">
      <c r="A3140" s="88" t="s">
        <v>18247</v>
      </c>
      <c r="B3140" s="1" t="e">
        <v>#N/A</v>
      </c>
      <c r="C3140" s="1" t="e">
        <v>#N/A</v>
      </c>
      <c r="D3140" s="1" t="s">
        <v>8252</v>
      </c>
      <c r="E3140" s="1" t="s">
        <v>8253</v>
      </c>
      <c r="F3140" t="s">
        <v>9310</v>
      </c>
      <c r="G3140" t="s">
        <v>9060</v>
      </c>
      <c r="H3140" t="s">
        <v>8959</v>
      </c>
      <c r="I3140" t="s">
        <v>9100</v>
      </c>
      <c r="J3140" t="s">
        <v>8949</v>
      </c>
      <c r="K3140" t="s">
        <v>21186</v>
      </c>
      <c r="L3140" t="s">
        <v>9076</v>
      </c>
      <c r="M3140">
        <v>25</v>
      </c>
      <c r="N3140" t="s">
        <v>9059</v>
      </c>
      <c r="O3140" t="s">
        <v>8989</v>
      </c>
      <c r="P3140" s="1" t="e">
        <v>#N/A</v>
      </c>
      <c r="Q3140" s="1" t="e">
        <v>#N/A</v>
      </c>
      <c r="R3140" s="1">
        <f t="shared" si="922"/>
        <v>3</v>
      </c>
      <c r="S3140" s="1" t="str">
        <f t="shared" si="923"/>
        <v>&lt;4</v>
      </c>
      <c r="T3140" s="1" t="s">
        <v>20356</v>
      </c>
      <c r="U3140" s="1" t="s">
        <v>17</v>
      </c>
      <c r="V3140" s="1" t="s">
        <v>126</v>
      </c>
      <c r="W3140" s="1"/>
    </row>
    <row r="3141" spans="1:23" x14ac:dyDescent="0.2">
      <c r="A3141" s="88" t="s">
        <v>18248</v>
      </c>
      <c r="B3141" s="1" t="e">
        <v>#N/A</v>
      </c>
      <c r="C3141" s="1" t="e">
        <v>#N/A</v>
      </c>
      <c r="D3141" s="1" t="s">
        <v>21187</v>
      </c>
      <c r="E3141" s="1" t="s">
        <v>8254</v>
      </c>
      <c r="F3141" t="s">
        <v>9310</v>
      </c>
      <c r="G3141" t="s">
        <v>8957</v>
      </c>
      <c r="H3141" t="s">
        <v>9061</v>
      </c>
      <c r="I3141" t="s">
        <v>9100</v>
      </c>
      <c r="J3141" t="s">
        <v>8998</v>
      </c>
      <c r="K3141" t="s">
        <v>21189</v>
      </c>
      <c r="L3141" t="s">
        <v>8951</v>
      </c>
      <c r="M3141">
        <v>76621</v>
      </c>
      <c r="N3141" t="s">
        <v>8953</v>
      </c>
      <c r="O3141" t="s">
        <v>8954</v>
      </c>
      <c r="P3141" s="1" t="e">
        <v>#N/A</v>
      </c>
      <c r="Q3141" s="1" t="e">
        <v>#N/A</v>
      </c>
      <c r="R3141" s="1">
        <f t="shared" si="922"/>
        <v>14</v>
      </c>
      <c r="S3141" s="1" t="str">
        <f t="shared" si="923"/>
        <v>&gt;7</v>
      </c>
      <c r="T3141" s="1" t="s">
        <v>20357</v>
      </c>
      <c r="U3141" s="1" t="s">
        <v>17</v>
      </c>
      <c r="V3141" s="1" t="s">
        <v>147</v>
      </c>
      <c r="W3141" s="1"/>
    </row>
    <row r="3142" spans="1:23" x14ac:dyDescent="0.2">
      <c r="A3142" s="88" t="s">
        <v>18249</v>
      </c>
      <c r="B3142" s="1" t="e">
        <v>#N/A</v>
      </c>
      <c r="C3142" s="1" t="e">
        <v>#N/A</v>
      </c>
      <c r="D3142" s="1" t="s">
        <v>8255</v>
      </c>
      <c r="E3142" s="1" t="s">
        <v>8256</v>
      </c>
      <c r="F3142" t="s">
        <v>9310</v>
      </c>
      <c r="G3142" t="s">
        <v>8957</v>
      </c>
      <c r="H3142" t="s">
        <v>9061</v>
      </c>
      <c r="I3142" t="s">
        <v>21165</v>
      </c>
      <c r="J3142" t="s">
        <v>21166</v>
      </c>
      <c r="K3142" t="s">
        <v>10525</v>
      </c>
      <c r="L3142" t="s">
        <v>8987</v>
      </c>
      <c r="M3142">
        <f>1218+1320</f>
        <v>2538</v>
      </c>
      <c r="N3142" t="s">
        <v>8953</v>
      </c>
      <c r="O3142" t="s">
        <v>8989</v>
      </c>
      <c r="P3142" s="1" t="e">
        <v>#N/A</v>
      </c>
      <c r="Q3142" s="1" t="e">
        <v>#N/A</v>
      </c>
      <c r="R3142" s="1">
        <f t="shared" si="922"/>
        <v>7</v>
      </c>
      <c r="S3142" s="1" t="str">
        <f t="shared" si="923"/>
        <v>4-7</v>
      </c>
      <c r="T3142" s="1" t="s">
        <v>20358</v>
      </c>
      <c r="U3142" s="1" t="s">
        <v>7</v>
      </c>
      <c r="V3142" s="1" t="s">
        <v>147</v>
      </c>
      <c r="W3142" s="1"/>
    </row>
    <row r="3143" spans="1:23" x14ac:dyDescent="0.2">
      <c r="A3143" s="88" t="s">
        <v>18250</v>
      </c>
      <c r="B3143" s="1" t="e">
        <v>#N/A</v>
      </c>
      <c r="C3143" s="1" t="s">
        <v>10425</v>
      </c>
      <c r="D3143" s="1" t="s">
        <v>8257</v>
      </c>
      <c r="E3143" s="1" t="s">
        <v>8258</v>
      </c>
      <c r="F3143" t="s">
        <v>9310</v>
      </c>
      <c r="G3143" t="s">
        <v>8957</v>
      </c>
      <c r="H3143" t="s">
        <v>9009</v>
      </c>
      <c r="I3143" t="s">
        <v>9035</v>
      </c>
      <c r="J3143" t="s">
        <v>8998</v>
      </c>
      <c r="K3143" t="s">
        <v>21243</v>
      </c>
      <c r="L3143" t="s">
        <v>8951</v>
      </c>
      <c r="M3143">
        <v>1228</v>
      </c>
      <c r="N3143" t="s">
        <v>8953</v>
      </c>
      <c r="O3143" t="s">
        <v>8954</v>
      </c>
      <c r="P3143" s="1" t="s">
        <v>8955</v>
      </c>
      <c r="Q3143" s="1" t="s">
        <v>8956</v>
      </c>
      <c r="R3143" s="1" t="s">
        <v>8957</v>
      </c>
      <c r="S3143" s="1" t="s">
        <v>8975</v>
      </c>
      <c r="T3143" s="1" t="s">
        <v>8259</v>
      </c>
      <c r="U3143" s="1" t="s">
        <v>17</v>
      </c>
      <c r="V3143" s="1" t="s">
        <v>1598</v>
      </c>
      <c r="W3143" s="1"/>
    </row>
    <row r="3144" spans="1:23" x14ac:dyDescent="0.2">
      <c r="A3144" s="88" t="s">
        <v>18251</v>
      </c>
      <c r="B3144" s="1" t="e">
        <v>#N/A</v>
      </c>
      <c r="C3144" s="1" t="e">
        <v>#N/A</v>
      </c>
      <c r="D3144" s="1" t="s">
        <v>8260</v>
      </c>
      <c r="E3144" s="1" t="s">
        <v>8261</v>
      </c>
      <c r="F3144" t="s">
        <v>10873</v>
      </c>
      <c r="G3144" t="s">
        <v>8957</v>
      </c>
      <c r="H3144" t="s">
        <v>8959</v>
      </c>
      <c r="I3144" t="s">
        <v>9100</v>
      </c>
      <c r="J3144" t="s">
        <v>8949</v>
      </c>
      <c r="K3144" t="s">
        <v>21148</v>
      </c>
      <c r="L3144" t="s">
        <v>8987</v>
      </c>
      <c r="M3144" s="84">
        <v>3152</v>
      </c>
      <c r="N3144" t="s">
        <v>9059</v>
      </c>
      <c r="O3144" t="s">
        <v>8989</v>
      </c>
      <c r="P3144" s="1" t="e">
        <v>#N/A</v>
      </c>
      <c r="Q3144" s="1" t="e">
        <v>#N/A</v>
      </c>
      <c r="R3144" s="1">
        <f t="shared" ref="R3144:R3148" si="924">1+LEN(T3144)-LEN(SUBSTITUTE(T3144,",",))</f>
        <v>6</v>
      </c>
      <c r="S3144" s="1" t="str">
        <f t="shared" ref="S3144:S3148" si="925">IF(R3144&gt;4,IF(R3144&lt;8,"4-7",IF(R3144&gt;7,"&gt;7")),"&lt;4")</f>
        <v>4-7</v>
      </c>
      <c r="T3144" s="1" t="s">
        <v>20359</v>
      </c>
      <c r="U3144" s="1" t="s">
        <v>7</v>
      </c>
      <c r="V3144" s="1" t="s">
        <v>46</v>
      </c>
      <c r="W3144" s="1"/>
    </row>
    <row r="3145" spans="1:23" x14ac:dyDescent="0.2">
      <c r="A3145" s="88" t="s">
        <v>18252</v>
      </c>
      <c r="B3145" s="1" t="e">
        <v>#N/A</v>
      </c>
      <c r="C3145" s="1" t="e">
        <v>#N/A</v>
      </c>
      <c r="D3145" s="1" t="s">
        <v>8262</v>
      </c>
      <c r="E3145" s="1" t="s">
        <v>8263</v>
      </c>
      <c r="F3145" t="e">
        <v>#N/A</v>
      </c>
      <c r="G3145" t="e">
        <v>#N/A</v>
      </c>
      <c r="H3145" t="e">
        <v>#N/A</v>
      </c>
      <c r="I3145" t="e">
        <v>#N/A</v>
      </c>
      <c r="J3145" t="e">
        <v>#N/A</v>
      </c>
      <c r="K3145" t="e">
        <v>#N/A</v>
      </c>
      <c r="L3145" t="e">
        <v>#N/A</v>
      </c>
      <c r="M3145" t="e">
        <v>#N/A</v>
      </c>
      <c r="N3145" t="e">
        <v>#N/A</v>
      </c>
      <c r="O3145" t="e">
        <v>#N/A</v>
      </c>
      <c r="P3145" s="1" t="e">
        <v>#N/A</v>
      </c>
      <c r="Q3145" s="1" t="e">
        <v>#N/A</v>
      </c>
      <c r="R3145" s="1">
        <f t="shared" si="924"/>
        <v>12</v>
      </c>
      <c r="S3145" s="1" t="str">
        <f t="shared" si="925"/>
        <v>&gt;7</v>
      </c>
      <c r="T3145" s="1" t="s">
        <v>20360</v>
      </c>
      <c r="U3145" s="1" t="s">
        <v>252</v>
      </c>
      <c r="V3145" s="1" t="s">
        <v>8264</v>
      </c>
      <c r="W3145" s="1"/>
    </row>
    <row r="3146" spans="1:23" x14ac:dyDescent="0.2">
      <c r="A3146" s="88" t="s">
        <v>18253</v>
      </c>
      <c r="B3146" s="1" t="e">
        <v>#N/A</v>
      </c>
      <c r="C3146" s="1" t="e">
        <v>#N/A</v>
      </c>
      <c r="D3146" s="1" t="s">
        <v>8265</v>
      </c>
      <c r="E3146" s="1" t="s">
        <v>8266</v>
      </c>
      <c r="F3146" t="s">
        <v>18502</v>
      </c>
      <c r="G3146" t="s">
        <v>8959</v>
      </c>
      <c r="H3146" t="s">
        <v>8959</v>
      </c>
      <c r="I3146" t="s">
        <v>9100</v>
      </c>
      <c r="J3146" t="s">
        <v>9101</v>
      </c>
      <c r="K3146" t="s">
        <v>10492</v>
      </c>
      <c r="L3146" t="s">
        <v>8973</v>
      </c>
      <c r="M3146">
        <v>644</v>
      </c>
      <c r="N3146" t="s">
        <v>8953</v>
      </c>
      <c r="O3146" t="s">
        <v>8989</v>
      </c>
      <c r="P3146" s="1" t="e">
        <v>#N/A</v>
      </c>
      <c r="Q3146" s="1" t="e">
        <v>#N/A</v>
      </c>
      <c r="R3146" s="1">
        <f t="shared" si="924"/>
        <v>6</v>
      </c>
      <c r="S3146" s="1" t="str">
        <f t="shared" si="925"/>
        <v>4-7</v>
      </c>
      <c r="T3146" s="1" t="s">
        <v>20361</v>
      </c>
      <c r="U3146" s="1" t="s">
        <v>17</v>
      </c>
      <c r="V3146" s="1" t="s">
        <v>126</v>
      </c>
      <c r="W3146" s="1"/>
    </row>
    <row r="3147" spans="1:23" x14ac:dyDescent="0.2">
      <c r="A3147" s="89" t="s">
        <v>18254</v>
      </c>
      <c r="B3147" s="1" t="e">
        <v>#N/A</v>
      </c>
      <c r="C3147" s="1" t="e">
        <v>#N/A</v>
      </c>
      <c r="D3147" s="1" t="s">
        <v>8267</v>
      </c>
      <c r="E3147" s="1" t="s">
        <v>8268</v>
      </c>
      <c r="F3147" t="s">
        <v>18502</v>
      </c>
      <c r="G3147" t="e">
        <v>#N/A</v>
      </c>
      <c r="H3147" t="s">
        <v>9061</v>
      </c>
      <c r="I3147" t="e">
        <v>#N/A</v>
      </c>
      <c r="J3147" t="e">
        <v>#N/A</v>
      </c>
      <c r="K3147" t="e">
        <v>#N/A</v>
      </c>
      <c r="L3147" t="e">
        <v>#N/A</v>
      </c>
      <c r="M3147" t="e">
        <v>#N/A</v>
      </c>
      <c r="N3147" t="e">
        <v>#N/A</v>
      </c>
      <c r="O3147" t="e">
        <v>#N/A</v>
      </c>
      <c r="P3147" s="1" t="e">
        <v>#N/A</v>
      </c>
      <c r="Q3147" s="1" t="e">
        <v>#N/A</v>
      </c>
      <c r="R3147" s="1">
        <f t="shared" si="924"/>
        <v>1</v>
      </c>
      <c r="S3147" s="1" t="str">
        <f t="shared" si="925"/>
        <v>&lt;4</v>
      </c>
      <c r="U3147" s="1" t="s">
        <v>11</v>
      </c>
      <c r="V3147" s="1" t="s">
        <v>174</v>
      </c>
      <c r="W3147" s="1"/>
    </row>
    <row r="3148" spans="1:23" x14ac:dyDescent="0.2">
      <c r="A3148" s="88" t="s">
        <v>18255</v>
      </c>
      <c r="B3148" s="1" t="e">
        <v>#N/A</v>
      </c>
      <c r="C3148" s="1" t="e">
        <v>#N/A</v>
      </c>
      <c r="D3148" s="1" t="s">
        <v>8269</v>
      </c>
      <c r="E3148" s="1" t="s">
        <v>8270</v>
      </c>
      <c r="F3148" t="s">
        <v>18502</v>
      </c>
      <c r="G3148" t="s">
        <v>8957</v>
      </c>
      <c r="H3148" t="s">
        <v>9061</v>
      </c>
      <c r="I3148" t="s">
        <v>9035</v>
      </c>
      <c r="J3148" t="s">
        <v>9308</v>
      </c>
      <c r="K3148" t="s">
        <v>21181</v>
      </c>
      <c r="L3148" t="s">
        <v>8987</v>
      </c>
      <c r="M3148">
        <v>88</v>
      </c>
      <c r="N3148" t="s">
        <v>8953</v>
      </c>
      <c r="O3148" t="s">
        <v>8954</v>
      </c>
      <c r="P3148" s="1" t="e">
        <v>#N/A</v>
      </c>
      <c r="Q3148" s="1" t="e">
        <v>#N/A</v>
      </c>
      <c r="R3148" s="1">
        <f t="shared" si="924"/>
        <v>1</v>
      </c>
      <c r="S3148" s="1" t="str">
        <f t="shared" si="925"/>
        <v>&lt;4</v>
      </c>
      <c r="U3148" s="1" t="s">
        <v>7</v>
      </c>
      <c r="V3148" s="1" t="s">
        <v>1161</v>
      </c>
      <c r="W3148" s="1"/>
    </row>
    <row r="3149" spans="1:23" x14ac:dyDescent="0.2">
      <c r="A3149" s="88" t="s">
        <v>18256</v>
      </c>
      <c r="B3149" s="1" t="e">
        <v>#N/A</v>
      </c>
      <c r="C3149" s="1" t="s">
        <v>9841</v>
      </c>
      <c r="D3149" s="1" t="s">
        <v>8271</v>
      </c>
      <c r="E3149" s="1" t="s">
        <v>8272</v>
      </c>
      <c r="F3149" t="s">
        <v>9010</v>
      </c>
      <c r="G3149" t="s">
        <v>8959</v>
      </c>
      <c r="H3149" t="s">
        <v>9061</v>
      </c>
      <c r="I3149" t="s">
        <v>9092</v>
      </c>
      <c r="J3149" t="s">
        <v>9308</v>
      </c>
      <c r="K3149" t="s">
        <v>18497</v>
      </c>
      <c r="L3149" t="s">
        <v>8987</v>
      </c>
      <c r="M3149">
        <v>250</v>
      </c>
      <c r="N3149" t="s">
        <v>8953</v>
      </c>
      <c r="O3149" t="s">
        <v>8989</v>
      </c>
      <c r="P3149" s="1" t="s">
        <v>8955</v>
      </c>
      <c r="Q3149" s="1" t="s">
        <v>8956</v>
      </c>
      <c r="R3149" s="1" t="s">
        <v>8959</v>
      </c>
      <c r="S3149" s="1" t="s">
        <v>8975</v>
      </c>
      <c r="T3149" s="1" t="s">
        <v>8273</v>
      </c>
      <c r="U3149" s="1" t="s">
        <v>17</v>
      </c>
      <c r="V3149" s="1" t="s">
        <v>8274</v>
      </c>
      <c r="W3149" s="1"/>
    </row>
    <row r="3150" spans="1:23" x14ac:dyDescent="0.2">
      <c r="A3150" s="88" t="s">
        <v>18257</v>
      </c>
      <c r="B3150" s="1" t="e">
        <v>#N/A</v>
      </c>
      <c r="C3150" s="1" t="s">
        <v>9596</v>
      </c>
      <c r="D3150" s="1" t="s">
        <v>8275</v>
      </c>
      <c r="E3150" s="1" t="s">
        <v>8276</v>
      </c>
      <c r="F3150" t="s">
        <v>9010</v>
      </c>
      <c r="G3150" t="s">
        <v>8959</v>
      </c>
      <c r="H3150" t="s">
        <v>9061</v>
      </c>
      <c r="I3150" t="s">
        <v>9252</v>
      </c>
      <c r="J3150" t="s">
        <v>9253</v>
      </c>
      <c r="K3150" t="s">
        <v>18497</v>
      </c>
      <c r="L3150" t="s">
        <v>8987</v>
      </c>
      <c r="M3150">
        <v>3034</v>
      </c>
      <c r="N3150" t="s">
        <v>8953</v>
      </c>
      <c r="O3150" t="s">
        <v>8989</v>
      </c>
      <c r="P3150" s="1" t="s">
        <v>8955</v>
      </c>
      <c r="Q3150" s="1" t="s">
        <v>8956</v>
      </c>
      <c r="R3150" s="1" t="s">
        <v>8959</v>
      </c>
      <c r="S3150" s="1" t="s">
        <v>8975</v>
      </c>
      <c r="T3150" s="1" t="s">
        <v>8277</v>
      </c>
      <c r="U3150" s="1" t="s">
        <v>17</v>
      </c>
      <c r="V3150" s="1" t="s">
        <v>87</v>
      </c>
      <c r="W3150" s="1"/>
    </row>
    <row r="3151" spans="1:23" x14ac:dyDescent="0.2">
      <c r="A3151" s="88" t="s">
        <v>18258</v>
      </c>
      <c r="B3151" s="1" t="e">
        <v>#N/A</v>
      </c>
      <c r="C3151" s="1" t="e">
        <v>#N/A</v>
      </c>
      <c r="D3151" s="1" t="s">
        <v>8278</v>
      </c>
      <c r="E3151" s="1" t="s">
        <v>8279</v>
      </c>
      <c r="F3151" t="s">
        <v>18502</v>
      </c>
      <c r="G3151" t="s">
        <v>8959</v>
      </c>
      <c r="H3151" t="s">
        <v>9061</v>
      </c>
      <c r="I3151" t="s">
        <v>21165</v>
      </c>
      <c r="J3151" t="s">
        <v>9308</v>
      </c>
      <c r="K3151" t="s">
        <v>18497</v>
      </c>
      <c r="L3151" t="s">
        <v>21167</v>
      </c>
      <c r="M3151">
        <f>158+158+374</f>
        <v>690</v>
      </c>
      <c r="N3151" t="s">
        <v>8953</v>
      </c>
      <c r="O3151" t="s">
        <v>8954</v>
      </c>
      <c r="P3151" s="1" t="e">
        <v>#N/A</v>
      </c>
      <c r="Q3151" s="1" t="e">
        <v>#N/A</v>
      </c>
      <c r="R3151" s="1">
        <f t="shared" ref="R3151:R3161" si="926">1+LEN(T3151)-LEN(SUBSTITUTE(T3151,",",))</f>
        <v>8</v>
      </c>
      <c r="S3151" s="1" t="str">
        <f t="shared" ref="S3151:S3161" si="927">IF(R3151&gt;4,IF(R3151&lt;8,"4-7",IF(R3151&gt;7,"&gt;7")),"&lt;4")</f>
        <v>&gt;7</v>
      </c>
      <c r="T3151" s="1" t="s">
        <v>20362</v>
      </c>
      <c r="U3151" s="1" t="s">
        <v>7</v>
      </c>
      <c r="V3151" s="1" t="s">
        <v>8280</v>
      </c>
      <c r="W3151" s="1"/>
    </row>
    <row r="3152" spans="1:23" x14ac:dyDescent="0.2">
      <c r="A3152" s="88" t="s">
        <v>18259</v>
      </c>
      <c r="B3152" s="1" t="e">
        <v>#N/A</v>
      </c>
      <c r="C3152" s="1" t="e">
        <v>#N/A</v>
      </c>
      <c r="D3152" s="1" t="s">
        <v>8281</v>
      </c>
      <c r="E3152" s="1" t="s">
        <v>8282</v>
      </c>
      <c r="F3152" t="s">
        <v>9380</v>
      </c>
      <c r="G3152" t="s">
        <v>8959</v>
      </c>
      <c r="H3152" t="s">
        <v>8959</v>
      </c>
      <c r="I3152" t="s">
        <v>9154</v>
      </c>
      <c r="J3152" t="s">
        <v>8998</v>
      </c>
      <c r="K3152" t="s">
        <v>21449</v>
      </c>
      <c r="L3152" t="s">
        <v>8987</v>
      </c>
      <c r="M3152">
        <f>239+850</f>
        <v>1089</v>
      </c>
      <c r="N3152" t="s">
        <v>8953</v>
      </c>
      <c r="O3152" t="s">
        <v>8954</v>
      </c>
      <c r="P3152" s="1" t="e">
        <v>#N/A</v>
      </c>
      <c r="Q3152" s="1" t="e">
        <v>#N/A</v>
      </c>
      <c r="R3152" s="1">
        <f t="shared" si="926"/>
        <v>2</v>
      </c>
      <c r="S3152" s="1" t="str">
        <f t="shared" si="927"/>
        <v>&lt;4</v>
      </c>
      <c r="T3152" s="1" t="s">
        <v>20363</v>
      </c>
      <c r="U3152" s="1" t="s">
        <v>11</v>
      </c>
      <c r="V3152" s="1" t="s">
        <v>87</v>
      </c>
      <c r="W3152" s="1"/>
    </row>
    <row r="3153" spans="1:23" x14ac:dyDescent="0.2">
      <c r="A3153" s="89" t="s">
        <v>8283</v>
      </c>
      <c r="B3153" s="1" t="e">
        <v>#N/A</v>
      </c>
      <c r="C3153" s="1" t="e">
        <v>#N/A</v>
      </c>
      <c r="D3153" s="5" t="s">
        <v>8284</v>
      </c>
      <c r="E3153" s="1" t="s">
        <v>8285</v>
      </c>
      <c r="F3153" t="e">
        <v>#N/A</v>
      </c>
      <c r="G3153" t="e">
        <v>#N/A</v>
      </c>
      <c r="H3153" t="e">
        <v>#N/A</v>
      </c>
      <c r="I3153" t="e">
        <v>#N/A</v>
      </c>
      <c r="J3153" t="e">
        <v>#N/A</v>
      </c>
      <c r="K3153" t="e">
        <v>#N/A</v>
      </c>
      <c r="L3153" t="e">
        <v>#N/A</v>
      </c>
      <c r="M3153" t="e">
        <v>#N/A</v>
      </c>
      <c r="N3153" t="e">
        <v>#N/A</v>
      </c>
      <c r="O3153" t="e">
        <v>#N/A</v>
      </c>
      <c r="P3153" s="1" t="e">
        <v>#N/A</v>
      </c>
      <c r="Q3153" s="1" t="e">
        <v>#N/A</v>
      </c>
      <c r="R3153" s="1">
        <f t="shared" si="926"/>
        <v>3</v>
      </c>
      <c r="S3153" s="1" t="str">
        <f t="shared" si="927"/>
        <v>&lt;4</v>
      </c>
      <c r="T3153" s="1" t="s">
        <v>20364</v>
      </c>
      <c r="U3153" s="1" t="s">
        <v>17</v>
      </c>
      <c r="V3153" s="1" t="s">
        <v>126</v>
      </c>
      <c r="W3153" s="1"/>
    </row>
    <row r="3154" spans="1:23" x14ac:dyDescent="0.2">
      <c r="A3154" s="88" t="s">
        <v>18260</v>
      </c>
      <c r="B3154" s="1" t="e">
        <v>#N/A</v>
      </c>
      <c r="C3154" s="1" t="e">
        <v>#N/A</v>
      </c>
      <c r="D3154" s="1" t="s">
        <v>8286</v>
      </c>
      <c r="E3154" s="1" t="s">
        <v>8287</v>
      </c>
      <c r="F3154" t="s">
        <v>10873</v>
      </c>
      <c r="G3154" t="s">
        <v>8957</v>
      </c>
      <c r="H3154" t="s">
        <v>8959</v>
      </c>
      <c r="I3154" t="s">
        <v>20714</v>
      </c>
      <c r="J3154" t="s">
        <v>20725</v>
      </c>
      <c r="K3154" t="s">
        <v>10492</v>
      </c>
      <c r="L3154" t="s">
        <v>8987</v>
      </c>
      <c r="M3154" s="84">
        <v>2795</v>
      </c>
      <c r="N3154" t="s">
        <v>9059</v>
      </c>
      <c r="O3154" t="s">
        <v>8954</v>
      </c>
      <c r="P3154" s="1" t="e">
        <v>#N/A</v>
      </c>
      <c r="Q3154" s="1" t="e">
        <v>#N/A</v>
      </c>
      <c r="R3154" s="1">
        <f t="shared" si="926"/>
        <v>25</v>
      </c>
      <c r="S3154" s="1" t="str">
        <f t="shared" si="927"/>
        <v>&gt;7</v>
      </c>
      <c r="T3154" s="1" t="s">
        <v>20365</v>
      </c>
      <c r="U3154" s="1" t="s">
        <v>7</v>
      </c>
      <c r="V3154" s="1" t="s">
        <v>402</v>
      </c>
      <c r="W3154" s="1"/>
    </row>
    <row r="3155" spans="1:23" x14ac:dyDescent="0.2">
      <c r="A3155" s="88" t="s">
        <v>18261</v>
      </c>
      <c r="B3155" s="1" t="e">
        <v>#N/A</v>
      </c>
      <c r="C3155" s="1" t="e">
        <v>#N/A</v>
      </c>
      <c r="D3155" s="1" t="s">
        <v>8288</v>
      </c>
      <c r="E3155" s="1" t="s">
        <v>8289</v>
      </c>
      <c r="F3155" t="s">
        <v>9310</v>
      </c>
      <c r="G3155" t="s">
        <v>8957</v>
      </c>
      <c r="H3155" t="s">
        <v>9061</v>
      </c>
      <c r="I3155" t="s">
        <v>9035</v>
      </c>
      <c r="J3155" t="s">
        <v>8998</v>
      </c>
      <c r="K3155" t="s">
        <v>21148</v>
      </c>
      <c r="L3155" t="s">
        <v>9292</v>
      </c>
      <c r="M3155">
        <v>204</v>
      </c>
      <c r="N3155" t="s">
        <v>8953</v>
      </c>
      <c r="O3155" t="s">
        <v>8954</v>
      </c>
      <c r="P3155" s="1" t="e">
        <v>#N/A</v>
      </c>
      <c r="Q3155" s="1" t="e">
        <v>#N/A</v>
      </c>
      <c r="R3155" s="1">
        <f t="shared" si="926"/>
        <v>6</v>
      </c>
      <c r="S3155" s="1" t="str">
        <f t="shared" si="927"/>
        <v>4-7</v>
      </c>
      <c r="T3155" s="1" t="s">
        <v>20366</v>
      </c>
      <c r="U3155" s="1" t="s">
        <v>17</v>
      </c>
      <c r="V3155" s="1" t="s">
        <v>234</v>
      </c>
      <c r="W3155" s="1"/>
    </row>
    <row r="3156" spans="1:23" x14ac:dyDescent="0.2">
      <c r="A3156" s="88" t="s">
        <v>18262</v>
      </c>
      <c r="B3156" s="1" t="e">
        <v>#N/A</v>
      </c>
      <c r="C3156" s="1" t="e">
        <v>#N/A</v>
      </c>
      <c r="D3156" s="1" t="s">
        <v>8290</v>
      </c>
      <c r="E3156" s="1" t="s">
        <v>8291</v>
      </c>
      <c r="F3156" t="s">
        <v>9310</v>
      </c>
      <c r="G3156" t="s">
        <v>8957</v>
      </c>
      <c r="H3156" t="s">
        <v>8959</v>
      </c>
      <c r="I3156" t="s">
        <v>8984</v>
      </c>
      <c r="J3156" t="s">
        <v>21168</v>
      </c>
      <c r="K3156" t="s">
        <v>18497</v>
      </c>
      <c r="L3156" t="s">
        <v>9076</v>
      </c>
      <c r="M3156">
        <v>20</v>
      </c>
      <c r="N3156" t="s">
        <v>9059</v>
      </c>
      <c r="O3156" t="s">
        <v>8954</v>
      </c>
      <c r="P3156" s="1" t="e">
        <v>#N/A</v>
      </c>
      <c r="Q3156" s="1" t="e">
        <v>#N/A</v>
      </c>
      <c r="R3156" s="1">
        <f t="shared" si="926"/>
        <v>10</v>
      </c>
      <c r="S3156" s="1" t="str">
        <f t="shared" si="927"/>
        <v>&gt;7</v>
      </c>
      <c r="T3156" s="1" t="s">
        <v>20367</v>
      </c>
      <c r="U3156" s="1" t="s">
        <v>17</v>
      </c>
      <c r="V3156" s="1" t="s">
        <v>61</v>
      </c>
      <c r="W3156" s="1"/>
    </row>
    <row r="3157" spans="1:23" x14ac:dyDescent="0.2">
      <c r="A3157" s="89" t="s">
        <v>8292</v>
      </c>
      <c r="B3157" s="1" t="e">
        <v>#N/A</v>
      </c>
      <c r="C3157" s="1" t="e">
        <v>#N/A</v>
      </c>
      <c r="D3157" s="1" t="s">
        <v>8293</v>
      </c>
      <c r="E3157" s="1" t="s">
        <v>8294</v>
      </c>
      <c r="F3157" t="e">
        <v>#N/A</v>
      </c>
      <c r="G3157" t="e">
        <v>#N/A</v>
      </c>
      <c r="H3157" t="e">
        <v>#N/A</v>
      </c>
      <c r="I3157" t="e">
        <v>#N/A</v>
      </c>
      <c r="J3157" t="e">
        <v>#N/A</v>
      </c>
      <c r="K3157" t="e">
        <v>#N/A</v>
      </c>
      <c r="L3157" t="e">
        <v>#N/A</v>
      </c>
      <c r="M3157" t="e">
        <v>#N/A</v>
      </c>
      <c r="N3157" t="e">
        <v>#N/A</v>
      </c>
      <c r="O3157" t="e">
        <v>#N/A</v>
      </c>
      <c r="P3157" s="1" t="e">
        <v>#N/A</v>
      </c>
      <c r="Q3157" s="1" t="e">
        <v>#N/A</v>
      </c>
      <c r="R3157" s="1">
        <f t="shared" si="926"/>
        <v>5</v>
      </c>
      <c r="S3157" s="1" t="str">
        <f t="shared" si="927"/>
        <v>4-7</v>
      </c>
      <c r="T3157" s="1" t="s">
        <v>20368</v>
      </c>
      <c r="U3157" s="1" t="s">
        <v>242</v>
      </c>
      <c r="V3157" s="1" t="s">
        <v>184</v>
      </c>
      <c r="W3157" s="1"/>
    </row>
    <row r="3158" spans="1:23" x14ac:dyDescent="0.2">
      <c r="A3158" s="88" t="s">
        <v>18263</v>
      </c>
      <c r="B3158" s="1" t="e">
        <v>#N/A</v>
      </c>
      <c r="C3158" s="1" t="e">
        <v>#N/A</v>
      </c>
      <c r="D3158" s="1" t="s">
        <v>8295</v>
      </c>
      <c r="E3158" s="1" t="s">
        <v>8296</v>
      </c>
      <c r="F3158" t="s">
        <v>9310</v>
      </c>
      <c r="G3158" t="s">
        <v>8957</v>
      </c>
      <c r="H3158" t="s">
        <v>8959</v>
      </c>
      <c r="I3158" t="s">
        <v>9943</v>
      </c>
      <c r="J3158" t="s">
        <v>8971</v>
      </c>
      <c r="K3158" t="s">
        <v>21392</v>
      </c>
      <c r="L3158" t="s">
        <v>21190</v>
      </c>
      <c r="M3158">
        <f>1688+1888</f>
        <v>3576</v>
      </c>
      <c r="N3158" t="s">
        <v>8953</v>
      </c>
      <c r="O3158" t="s">
        <v>8989</v>
      </c>
      <c r="P3158" s="1" t="e">
        <v>#N/A</v>
      </c>
      <c r="Q3158" s="1" t="e">
        <v>#N/A</v>
      </c>
      <c r="R3158" s="1">
        <f t="shared" si="926"/>
        <v>11</v>
      </c>
      <c r="S3158" s="1" t="str">
        <f t="shared" si="927"/>
        <v>&gt;7</v>
      </c>
      <c r="T3158" s="1" t="s">
        <v>20369</v>
      </c>
      <c r="U3158" s="1" t="s">
        <v>7</v>
      </c>
      <c r="V3158" s="1" t="s">
        <v>5</v>
      </c>
      <c r="W3158" s="1"/>
    </row>
    <row r="3159" spans="1:23" x14ac:dyDescent="0.2">
      <c r="A3159" s="88" t="s">
        <v>18264</v>
      </c>
      <c r="B3159" s="1" t="e">
        <v>#N/A</v>
      </c>
      <c r="C3159" s="1" t="e">
        <v>#N/A</v>
      </c>
      <c r="D3159" s="1" t="s">
        <v>8297</v>
      </c>
      <c r="E3159" s="1" t="s">
        <v>8298</v>
      </c>
      <c r="F3159" t="s">
        <v>21162</v>
      </c>
      <c r="G3159" t="s">
        <v>8959</v>
      </c>
      <c r="H3159" t="s">
        <v>8959</v>
      </c>
      <c r="I3159" t="s">
        <v>9035</v>
      </c>
      <c r="J3159" t="s">
        <v>9308</v>
      </c>
      <c r="K3159" t="s">
        <v>18497</v>
      </c>
      <c r="L3159" t="s">
        <v>8951</v>
      </c>
      <c r="M3159">
        <v>5485</v>
      </c>
      <c r="N3159" t="s">
        <v>9059</v>
      </c>
      <c r="O3159" t="s">
        <v>8954</v>
      </c>
      <c r="P3159" s="1" t="e">
        <v>#N/A</v>
      </c>
      <c r="Q3159" s="1" t="e">
        <v>#N/A</v>
      </c>
      <c r="R3159" s="1">
        <f t="shared" si="926"/>
        <v>5</v>
      </c>
      <c r="S3159" s="1" t="str">
        <f t="shared" si="927"/>
        <v>4-7</v>
      </c>
      <c r="T3159" s="1" t="s">
        <v>20370</v>
      </c>
      <c r="U3159" s="1" t="s">
        <v>7</v>
      </c>
      <c r="V3159" s="1" t="s">
        <v>1918</v>
      </c>
      <c r="W3159" s="1"/>
    </row>
    <row r="3160" spans="1:23" x14ac:dyDescent="0.2">
      <c r="A3160" s="88" t="s">
        <v>18265</v>
      </c>
      <c r="B3160" s="1" t="e">
        <v>#N/A</v>
      </c>
      <c r="C3160" s="1" t="e">
        <v>#N/A</v>
      </c>
      <c r="D3160" s="1" t="s">
        <v>8299</v>
      </c>
      <c r="E3160" s="1" t="s">
        <v>8300</v>
      </c>
      <c r="F3160" t="s">
        <v>9380</v>
      </c>
      <c r="G3160" t="s">
        <v>8957</v>
      </c>
      <c r="H3160" t="s">
        <v>8959</v>
      </c>
      <c r="I3160" t="s">
        <v>9075</v>
      </c>
      <c r="J3160" t="s">
        <v>8949</v>
      </c>
      <c r="K3160" t="s">
        <v>18497</v>
      </c>
      <c r="L3160" t="s">
        <v>8951</v>
      </c>
      <c r="M3160">
        <f>3692+654+1486</f>
        <v>5832</v>
      </c>
      <c r="N3160" t="s">
        <v>8953</v>
      </c>
      <c r="O3160" t="s">
        <v>8989</v>
      </c>
      <c r="P3160" s="1" t="e">
        <v>#N/A</v>
      </c>
      <c r="Q3160" s="1" t="e">
        <v>#N/A</v>
      </c>
      <c r="R3160" s="1">
        <f t="shared" si="926"/>
        <v>4</v>
      </c>
      <c r="S3160" s="1" t="str">
        <f t="shared" si="927"/>
        <v>&lt;4</v>
      </c>
      <c r="T3160" s="1" t="s">
        <v>20371</v>
      </c>
      <c r="U3160" s="1" t="s">
        <v>17</v>
      </c>
      <c r="V3160" s="1" t="s">
        <v>24</v>
      </c>
      <c r="W3160" s="1"/>
    </row>
    <row r="3161" spans="1:23" x14ac:dyDescent="0.2">
      <c r="A3161" s="88" t="s">
        <v>18266</v>
      </c>
      <c r="B3161" s="1" t="e">
        <v>#N/A</v>
      </c>
      <c r="C3161" s="1" t="e">
        <v>#N/A</v>
      </c>
      <c r="D3161" s="1" t="s">
        <v>8301</v>
      </c>
      <c r="E3161" s="1" t="s">
        <v>8302</v>
      </c>
      <c r="F3161" t="s">
        <v>21162</v>
      </c>
      <c r="G3161" t="s">
        <v>8959</v>
      </c>
      <c r="H3161" t="s">
        <v>8959</v>
      </c>
      <c r="I3161" t="s">
        <v>8948</v>
      </c>
      <c r="J3161" t="s">
        <v>21169</v>
      </c>
      <c r="K3161" t="s">
        <v>21147</v>
      </c>
      <c r="L3161" t="s">
        <v>8951</v>
      </c>
      <c r="M3161">
        <f>131+208</f>
        <v>339</v>
      </c>
      <c r="N3161" t="s">
        <v>8953</v>
      </c>
      <c r="O3161" t="s">
        <v>8954</v>
      </c>
      <c r="P3161" s="1" t="e">
        <v>#N/A</v>
      </c>
      <c r="Q3161" s="1" t="e">
        <v>#N/A</v>
      </c>
      <c r="R3161" s="1">
        <f t="shared" si="926"/>
        <v>5</v>
      </c>
      <c r="S3161" s="1" t="str">
        <f t="shared" si="927"/>
        <v>4-7</v>
      </c>
      <c r="T3161" s="1" t="s">
        <v>20372</v>
      </c>
      <c r="U3161" s="1" t="s">
        <v>7</v>
      </c>
      <c r="V3161" s="1" t="s">
        <v>74</v>
      </c>
      <c r="W3161" s="1"/>
    </row>
    <row r="3162" spans="1:23" x14ac:dyDescent="0.2">
      <c r="A3162" s="88" t="s">
        <v>18267</v>
      </c>
      <c r="B3162" s="1" t="e">
        <v>#N/A</v>
      </c>
      <c r="C3162" s="1" t="s">
        <v>11200</v>
      </c>
      <c r="D3162" s="1" t="s">
        <v>8303</v>
      </c>
      <c r="E3162" s="1" t="s">
        <v>8304</v>
      </c>
      <c r="F3162" t="s">
        <v>9213</v>
      </c>
      <c r="G3162" t="s">
        <v>8959</v>
      </c>
      <c r="H3162" t="s">
        <v>9183</v>
      </c>
      <c r="I3162" t="s">
        <v>9049</v>
      </c>
      <c r="J3162" t="s">
        <v>9325</v>
      </c>
      <c r="K3162" t="s">
        <v>11203</v>
      </c>
      <c r="L3162" t="s">
        <v>9133</v>
      </c>
      <c r="M3162">
        <v>3000</v>
      </c>
      <c r="N3162" t="s">
        <v>8953</v>
      </c>
      <c r="O3162" t="s">
        <v>8989</v>
      </c>
      <c r="P3162" s="1" t="s">
        <v>9182</v>
      </c>
      <c r="Q3162" s="1" t="s">
        <v>8956</v>
      </c>
      <c r="R3162" s="1" t="s">
        <v>8959</v>
      </c>
      <c r="S3162" s="1" t="s">
        <v>8958</v>
      </c>
      <c r="T3162" s="1" t="s">
        <v>8305</v>
      </c>
      <c r="U3162" s="1" t="s">
        <v>17</v>
      </c>
      <c r="V3162" s="1" t="s">
        <v>5</v>
      </c>
      <c r="W3162" s="1"/>
    </row>
    <row r="3163" spans="1:23" x14ac:dyDescent="0.2">
      <c r="A3163" s="88" t="s">
        <v>18268</v>
      </c>
      <c r="B3163" s="1" t="e">
        <v>#N/A</v>
      </c>
      <c r="C3163" s="1" t="s">
        <v>13382</v>
      </c>
      <c r="D3163" s="1" t="s">
        <v>8306</v>
      </c>
      <c r="E3163" s="1" t="s">
        <v>8307</v>
      </c>
      <c r="F3163" t="s">
        <v>9380</v>
      </c>
      <c r="G3163" t="s">
        <v>8957</v>
      </c>
      <c r="H3163" t="s">
        <v>8959</v>
      </c>
      <c r="I3163" t="s">
        <v>8948</v>
      </c>
      <c r="J3163" t="s">
        <v>8949</v>
      </c>
      <c r="K3163" t="s">
        <v>12500</v>
      </c>
      <c r="L3163" t="s">
        <v>9133</v>
      </c>
      <c r="M3163">
        <v>99</v>
      </c>
      <c r="N3163" t="s">
        <v>9059</v>
      </c>
      <c r="O3163" t="s">
        <v>8954</v>
      </c>
      <c r="P3163" s="1" t="s">
        <v>8955</v>
      </c>
      <c r="Q3163" s="1" t="s">
        <v>8956</v>
      </c>
      <c r="R3163" s="1" t="s">
        <v>8957</v>
      </c>
      <c r="S3163" s="1" t="s">
        <v>8975</v>
      </c>
      <c r="T3163" s="1" t="s">
        <v>8308</v>
      </c>
      <c r="U3163" s="1" t="s">
        <v>11</v>
      </c>
      <c r="V3163" s="1" t="s">
        <v>57</v>
      </c>
      <c r="W3163" s="1"/>
    </row>
    <row r="3164" spans="1:23" x14ac:dyDescent="0.2">
      <c r="A3164" s="88" t="s">
        <v>18269</v>
      </c>
      <c r="B3164" s="1" t="e">
        <v>#N/A</v>
      </c>
      <c r="C3164" s="1" t="e">
        <v>#N/A</v>
      </c>
      <c r="D3164" s="1" t="s">
        <v>8309</v>
      </c>
      <c r="E3164" s="1" t="s">
        <v>8310</v>
      </c>
      <c r="F3164" t="s">
        <v>21162</v>
      </c>
      <c r="G3164" t="s">
        <v>9060</v>
      </c>
      <c r="H3164" t="s">
        <v>9061</v>
      </c>
      <c r="I3164" t="s">
        <v>8948</v>
      </c>
      <c r="J3164" t="s">
        <v>8971</v>
      </c>
      <c r="K3164" t="s">
        <v>21148</v>
      </c>
      <c r="L3164" t="s">
        <v>8987</v>
      </c>
      <c r="M3164">
        <v>469</v>
      </c>
      <c r="N3164" t="s">
        <v>9059</v>
      </c>
      <c r="O3164" t="s">
        <v>8989</v>
      </c>
      <c r="P3164" s="1" t="e">
        <v>#N/A</v>
      </c>
      <c r="Q3164" s="1" t="e">
        <v>#N/A</v>
      </c>
      <c r="R3164" s="1">
        <f t="shared" ref="R3164:R3167" si="928">1+LEN(T3164)-LEN(SUBSTITUTE(T3164,",",))</f>
        <v>10</v>
      </c>
      <c r="S3164" s="1" t="str">
        <f t="shared" ref="S3164:S3167" si="929">IF(R3164&gt;4,IF(R3164&lt;8,"4-7",IF(R3164&gt;7,"&gt;7")),"&lt;4")</f>
        <v>&gt;7</v>
      </c>
      <c r="T3164" s="1" t="s">
        <v>20373</v>
      </c>
      <c r="U3164" s="1" t="s">
        <v>7</v>
      </c>
      <c r="V3164" s="1" t="s">
        <v>110</v>
      </c>
      <c r="W3164" s="1"/>
    </row>
    <row r="3165" spans="1:23" x14ac:dyDescent="0.2">
      <c r="A3165" s="88" t="s">
        <v>18270</v>
      </c>
      <c r="B3165" s="1" t="e">
        <v>#N/A</v>
      </c>
      <c r="C3165" s="1" t="e">
        <v>#N/A</v>
      </c>
      <c r="D3165" s="1" t="s">
        <v>8311</v>
      </c>
      <c r="E3165" s="1" t="s">
        <v>8312</v>
      </c>
      <c r="F3165" t="s">
        <v>21162</v>
      </c>
      <c r="G3165" t="s">
        <v>8957</v>
      </c>
      <c r="H3165" t="s">
        <v>8959</v>
      </c>
      <c r="I3165" t="s">
        <v>9100</v>
      </c>
      <c r="J3165" t="s">
        <v>9101</v>
      </c>
      <c r="K3165" t="s">
        <v>18497</v>
      </c>
      <c r="L3165" t="s">
        <v>8951</v>
      </c>
      <c r="M3165">
        <f>1180+12</f>
        <v>1192</v>
      </c>
      <c r="N3165" t="s">
        <v>8953</v>
      </c>
      <c r="O3165" t="s">
        <v>8989</v>
      </c>
      <c r="P3165" s="1" t="e">
        <v>#N/A</v>
      </c>
      <c r="Q3165" s="1" t="e">
        <v>#N/A</v>
      </c>
      <c r="R3165" s="1">
        <f t="shared" si="928"/>
        <v>4</v>
      </c>
      <c r="S3165" s="1" t="str">
        <f t="shared" si="929"/>
        <v>&lt;4</v>
      </c>
      <c r="T3165" s="1" t="s">
        <v>20374</v>
      </c>
      <c r="U3165" s="1" t="s">
        <v>17</v>
      </c>
      <c r="V3165" s="1" t="s">
        <v>184</v>
      </c>
      <c r="W3165" s="1"/>
    </row>
    <row r="3166" spans="1:23" x14ac:dyDescent="0.2">
      <c r="A3166" s="88" t="s">
        <v>18271</v>
      </c>
      <c r="B3166" s="1" t="e">
        <v>#N/A</v>
      </c>
      <c r="C3166" s="1" t="e">
        <v>#N/A</v>
      </c>
      <c r="D3166" s="1" t="s">
        <v>8313</v>
      </c>
      <c r="E3166" s="1" t="s">
        <v>8314</v>
      </c>
      <c r="F3166" t="s">
        <v>21162</v>
      </c>
      <c r="G3166" t="s">
        <v>8957</v>
      </c>
      <c r="H3166" t="s">
        <v>8959</v>
      </c>
      <c r="I3166" t="s">
        <v>8948</v>
      </c>
      <c r="J3166" t="s">
        <v>8971</v>
      </c>
      <c r="K3166" t="s">
        <v>21148</v>
      </c>
      <c r="L3166" t="s">
        <v>9464</v>
      </c>
      <c r="M3166">
        <v>10</v>
      </c>
      <c r="N3166" t="s">
        <v>9059</v>
      </c>
      <c r="O3166" t="s">
        <v>8989</v>
      </c>
      <c r="P3166" s="1" t="e">
        <v>#N/A</v>
      </c>
      <c r="Q3166" s="1" t="e">
        <v>#N/A</v>
      </c>
      <c r="R3166" s="1">
        <f t="shared" si="928"/>
        <v>4</v>
      </c>
      <c r="S3166" s="1" t="str">
        <f t="shared" si="929"/>
        <v>&lt;4</v>
      </c>
      <c r="T3166" s="1" t="s">
        <v>20375</v>
      </c>
      <c r="U3166" s="1" t="s">
        <v>17</v>
      </c>
      <c r="V3166" s="1" t="s">
        <v>61</v>
      </c>
      <c r="W3166" s="1"/>
    </row>
    <row r="3167" spans="1:23" x14ac:dyDescent="0.2">
      <c r="A3167" s="88" t="s">
        <v>18272</v>
      </c>
      <c r="B3167" s="1" t="e">
        <v>#N/A</v>
      </c>
      <c r="C3167" s="1" t="e">
        <v>#N/A</v>
      </c>
      <c r="D3167" s="1" t="s">
        <v>8315</v>
      </c>
      <c r="E3167" s="1" t="s">
        <v>8316</v>
      </c>
      <c r="F3167" t="s">
        <v>18502</v>
      </c>
      <c r="G3167" t="s">
        <v>8974</v>
      </c>
      <c r="H3167" t="s">
        <v>8959</v>
      </c>
      <c r="I3167" t="s">
        <v>20712</v>
      </c>
      <c r="J3167" t="s">
        <v>8998</v>
      </c>
      <c r="K3167" t="s">
        <v>21147</v>
      </c>
      <c r="L3167" t="s">
        <v>9464</v>
      </c>
      <c r="M3167">
        <v>27</v>
      </c>
      <c r="N3167" t="s">
        <v>9059</v>
      </c>
      <c r="O3167" t="s">
        <v>8954</v>
      </c>
      <c r="P3167" s="1" t="e">
        <v>#N/A</v>
      </c>
      <c r="Q3167" s="1" t="e">
        <v>#N/A</v>
      </c>
      <c r="R3167" s="1">
        <f t="shared" si="928"/>
        <v>14</v>
      </c>
      <c r="S3167" s="1" t="str">
        <f t="shared" si="929"/>
        <v>&gt;7</v>
      </c>
      <c r="T3167" s="1" t="s">
        <v>20376</v>
      </c>
      <c r="U3167" s="1" t="s">
        <v>7</v>
      </c>
      <c r="V3167" s="1" t="s">
        <v>61</v>
      </c>
      <c r="W3167" s="1"/>
    </row>
    <row r="3168" spans="1:23" x14ac:dyDescent="0.2">
      <c r="A3168" s="88" t="s">
        <v>18273</v>
      </c>
      <c r="B3168" s="1" t="e">
        <v>#N/A</v>
      </c>
      <c r="C3168" s="1" t="s">
        <v>13143</v>
      </c>
      <c r="D3168" s="1" t="s">
        <v>8317</v>
      </c>
      <c r="E3168" s="1" t="s">
        <v>8318</v>
      </c>
      <c r="F3168" t="s">
        <v>9010</v>
      </c>
      <c r="G3168" t="s">
        <v>9060</v>
      </c>
      <c r="H3168" t="s">
        <v>8959</v>
      </c>
      <c r="I3168" t="s">
        <v>9100</v>
      </c>
      <c r="J3168" t="s">
        <v>8998</v>
      </c>
      <c r="K3168" t="s">
        <v>13146</v>
      </c>
      <c r="L3168" t="s">
        <v>9076</v>
      </c>
      <c r="M3168">
        <v>2378</v>
      </c>
      <c r="N3168" t="s">
        <v>8953</v>
      </c>
      <c r="O3168" t="s">
        <v>8989</v>
      </c>
      <c r="P3168" s="1" t="s">
        <v>8955</v>
      </c>
      <c r="Q3168" s="1" t="s">
        <v>8956</v>
      </c>
      <c r="R3168" s="1" t="s">
        <v>9060</v>
      </c>
      <c r="S3168" s="1" t="s">
        <v>8975</v>
      </c>
      <c r="T3168" s="1" t="s">
        <v>8319</v>
      </c>
      <c r="U3168" s="1" t="s">
        <v>11</v>
      </c>
      <c r="V3168" s="1" t="s">
        <v>1929</v>
      </c>
      <c r="W3168" s="1"/>
    </row>
    <row r="3169" spans="1:23" x14ac:dyDescent="0.2">
      <c r="A3169" s="88">
        <v>1</v>
      </c>
      <c r="B3169" t="e">
        <v>#N/A</v>
      </c>
      <c r="C3169" t="e">
        <v>#N/A</v>
      </c>
      <c r="D3169" s="1" t="s">
        <v>8320</v>
      </c>
      <c r="E3169" s="1" t="s">
        <v>8321</v>
      </c>
      <c r="F3169" t="s">
        <v>18502</v>
      </c>
      <c r="G3169" t="s">
        <v>8957</v>
      </c>
      <c r="H3169" t="s">
        <v>8959</v>
      </c>
      <c r="I3169" t="s">
        <v>9100</v>
      </c>
      <c r="J3169" t="s">
        <v>8998</v>
      </c>
      <c r="K3169" t="s">
        <v>18489</v>
      </c>
      <c r="L3169" t="s">
        <v>8987</v>
      </c>
      <c r="M3169">
        <v>2000</v>
      </c>
      <c r="N3169" t="s">
        <v>8953</v>
      </c>
      <c r="O3169" t="s">
        <v>8989</v>
      </c>
      <c r="P3169" s="1" t="e">
        <v>#N/A</v>
      </c>
      <c r="Q3169" s="1" t="e">
        <v>#N/A</v>
      </c>
      <c r="R3169" s="1">
        <f>1+LEN(T3169)-LEN(SUBSTITUTE(T3169,",",))</f>
        <v>6</v>
      </c>
      <c r="S3169" s="1" t="str">
        <f>IF(R3169&gt;4,IF(R3169&lt;8,"4-7",IF(R3169&gt;7,"&gt;7")),"&lt;4")</f>
        <v>4-7</v>
      </c>
      <c r="T3169" s="1" t="s">
        <v>20377</v>
      </c>
      <c r="U3169" s="1" t="s">
        <v>7</v>
      </c>
      <c r="V3169" s="1"/>
      <c r="W3169" s="1"/>
    </row>
    <row r="3170" spans="1:23" x14ac:dyDescent="0.2">
      <c r="A3170" s="88" t="s">
        <v>18274</v>
      </c>
      <c r="B3170" s="1" t="e">
        <v>#N/A</v>
      </c>
      <c r="C3170" s="1" t="s">
        <v>9568</v>
      </c>
      <c r="D3170" s="1" t="s">
        <v>8322</v>
      </c>
      <c r="E3170" s="1" t="s">
        <v>8323</v>
      </c>
      <c r="F3170" t="s">
        <v>9310</v>
      </c>
      <c r="G3170" t="s">
        <v>8959</v>
      </c>
      <c r="H3170" t="s">
        <v>8959</v>
      </c>
      <c r="I3170" t="s">
        <v>8948</v>
      </c>
      <c r="J3170" t="s">
        <v>8949</v>
      </c>
      <c r="K3170" t="s">
        <v>9036</v>
      </c>
      <c r="L3170" t="s">
        <v>9464</v>
      </c>
      <c r="M3170">
        <v>40</v>
      </c>
      <c r="N3170" t="s">
        <v>8953</v>
      </c>
      <c r="O3170" t="s">
        <v>8954</v>
      </c>
      <c r="P3170" s="1" t="s">
        <v>8955</v>
      </c>
      <c r="Q3170" s="1" t="s">
        <v>8990</v>
      </c>
      <c r="R3170" s="1" t="s">
        <v>8959</v>
      </c>
      <c r="S3170" s="1" t="s">
        <v>8958</v>
      </c>
      <c r="T3170" s="1" t="s">
        <v>8324</v>
      </c>
      <c r="U3170" s="1" t="s">
        <v>17</v>
      </c>
      <c r="V3170" s="1" t="s">
        <v>21</v>
      </c>
      <c r="W3170" s="1"/>
    </row>
    <row r="3171" spans="1:23" x14ac:dyDescent="0.2">
      <c r="A3171" s="89" t="s">
        <v>8325</v>
      </c>
      <c r="B3171" s="1" t="e">
        <v>#N/A</v>
      </c>
      <c r="C3171" s="1" t="e">
        <v>#N/A</v>
      </c>
      <c r="D3171" s="1" t="s">
        <v>8326</v>
      </c>
      <c r="E3171" s="1" t="s">
        <v>8327</v>
      </c>
      <c r="F3171" t="e">
        <v>#N/A</v>
      </c>
      <c r="G3171" t="e">
        <v>#N/A</v>
      </c>
      <c r="H3171" t="e">
        <v>#N/A</v>
      </c>
      <c r="I3171" t="e">
        <v>#N/A</v>
      </c>
      <c r="J3171" t="e">
        <v>#N/A</v>
      </c>
      <c r="K3171" t="e">
        <v>#N/A</v>
      </c>
      <c r="L3171" t="e">
        <v>#N/A</v>
      </c>
      <c r="M3171" t="e">
        <v>#N/A</v>
      </c>
      <c r="N3171" t="e">
        <v>#N/A</v>
      </c>
      <c r="O3171" t="e">
        <v>#N/A</v>
      </c>
      <c r="P3171" s="1" t="e">
        <v>#N/A</v>
      </c>
      <c r="Q3171" s="1" t="e">
        <v>#N/A</v>
      </c>
      <c r="R3171" s="1">
        <f>1+LEN(T3171)-LEN(SUBSTITUTE(T3171,",",))</f>
        <v>11</v>
      </c>
      <c r="S3171" s="1" t="str">
        <f>IF(R3171&gt;4,IF(R3171&lt;8,"4-7",IF(R3171&gt;7,"&gt;7")),"&lt;4")</f>
        <v>&gt;7</v>
      </c>
      <c r="T3171" s="1" t="s">
        <v>20378</v>
      </c>
      <c r="U3171" s="1" t="s">
        <v>7</v>
      </c>
      <c r="V3171" s="1" t="s">
        <v>8328</v>
      </c>
      <c r="W3171" s="1"/>
    </row>
    <row r="3172" spans="1:23" x14ac:dyDescent="0.2">
      <c r="A3172" s="88" t="s">
        <v>18275</v>
      </c>
      <c r="B3172" s="1" t="e">
        <v>#N/A</v>
      </c>
      <c r="C3172" s="1" t="s">
        <v>12607</v>
      </c>
      <c r="D3172" s="1" t="s">
        <v>8329</v>
      </c>
      <c r="E3172" s="1" t="s">
        <v>8330</v>
      </c>
      <c r="F3172" t="s">
        <v>9380</v>
      </c>
      <c r="G3172" t="s">
        <v>8957</v>
      </c>
      <c r="H3172" t="s">
        <v>8959</v>
      </c>
      <c r="I3172" t="s">
        <v>9252</v>
      </c>
      <c r="J3172" t="s">
        <v>9253</v>
      </c>
      <c r="K3172" t="s">
        <v>9036</v>
      </c>
      <c r="L3172" t="s">
        <v>8951</v>
      </c>
      <c r="M3172">
        <v>5040</v>
      </c>
      <c r="N3172" t="s">
        <v>8953</v>
      </c>
      <c r="O3172" t="s">
        <v>8989</v>
      </c>
      <c r="P3172" s="1" t="s">
        <v>8955</v>
      </c>
      <c r="Q3172" s="1" t="s">
        <v>8956</v>
      </c>
      <c r="R3172" s="1" t="s">
        <v>8957</v>
      </c>
      <c r="S3172" s="1" t="s">
        <v>9103</v>
      </c>
      <c r="T3172" s="1" t="s">
        <v>8331</v>
      </c>
      <c r="U3172" s="1" t="s">
        <v>11</v>
      </c>
      <c r="V3172" s="1" t="s">
        <v>74</v>
      </c>
      <c r="W3172" s="1"/>
    </row>
    <row r="3173" spans="1:23" x14ac:dyDescent="0.2">
      <c r="A3173" s="89" t="s">
        <v>8332</v>
      </c>
      <c r="B3173" s="1" t="e">
        <v>#N/A</v>
      </c>
      <c r="C3173" s="1" t="e">
        <v>#N/A</v>
      </c>
      <c r="D3173" s="5" t="s">
        <v>8333</v>
      </c>
      <c r="E3173" s="1" t="s">
        <v>8334</v>
      </c>
      <c r="F3173" t="e">
        <v>#N/A</v>
      </c>
      <c r="G3173" t="e">
        <v>#N/A</v>
      </c>
      <c r="H3173" t="e">
        <v>#N/A</v>
      </c>
      <c r="I3173" t="e">
        <v>#N/A</v>
      </c>
      <c r="J3173" t="e">
        <v>#N/A</v>
      </c>
      <c r="K3173" t="e">
        <v>#N/A</v>
      </c>
      <c r="L3173" t="e">
        <v>#N/A</v>
      </c>
      <c r="M3173" t="e">
        <v>#N/A</v>
      </c>
      <c r="N3173" t="e">
        <v>#N/A</v>
      </c>
      <c r="O3173" t="e">
        <v>#N/A</v>
      </c>
      <c r="P3173" s="1" t="e">
        <v>#N/A</v>
      </c>
      <c r="Q3173" s="1" t="e">
        <v>#N/A</v>
      </c>
      <c r="R3173" s="1">
        <f t="shared" ref="R3173:R3177" si="930">1+LEN(T3173)-LEN(SUBSTITUTE(T3173,",",))</f>
        <v>10</v>
      </c>
      <c r="S3173" s="1" t="str">
        <f t="shared" ref="S3173:S3177" si="931">IF(R3173&gt;4,IF(R3173&lt;8,"4-7",IF(R3173&gt;7,"&gt;7")),"&lt;4")</f>
        <v>&gt;7</v>
      </c>
      <c r="T3173" s="1" t="s">
        <v>20379</v>
      </c>
      <c r="U3173" s="1" t="s">
        <v>17</v>
      </c>
      <c r="V3173" s="1" t="s">
        <v>1343</v>
      </c>
      <c r="W3173" s="1"/>
    </row>
    <row r="3174" spans="1:23" x14ac:dyDescent="0.2">
      <c r="A3174" s="89" t="s">
        <v>8335</v>
      </c>
      <c r="B3174" s="1" t="e">
        <v>#N/A</v>
      </c>
      <c r="C3174" s="1" t="e">
        <v>#N/A</v>
      </c>
      <c r="D3174" s="1" t="s">
        <v>8336</v>
      </c>
      <c r="E3174" s="1" t="s">
        <v>8337</v>
      </c>
      <c r="F3174" t="e">
        <v>#N/A</v>
      </c>
      <c r="G3174" t="e">
        <v>#N/A</v>
      </c>
      <c r="H3174" t="e">
        <v>#N/A</v>
      </c>
      <c r="I3174" t="e">
        <v>#N/A</v>
      </c>
      <c r="J3174" t="e">
        <v>#N/A</v>
      </c>
      <c r="K3174" t="e">
        <v>#N/A</v>
      </c>
      <c r="L3174" t="e">
        <v>#N/A</v>
      </c>
      <c r="M3174" t="e">
        <v>#N/A</v>
      </c>
      <c r="N3174" t="e">
        <v>#N/A</v>
      </c>
      <c r="O3174" t="e">
        <v>#N/A</v>
      </c>
      <c r="P3174" s="1" t="e">
        <v>#N/A</v>
      </c>
      <c r="Q3174" s="1" t="e">
        <v>#N/A</v>
      </c>
      <c r="R3174" s="1">
        <f t="shared" si="930"/>
        <v>8</v>
      </c>
      <c r="S3174" s="1" t="str">
        <f t="shared" si="931"/>
        <v>&gt;7</v>
      </c>
      <c r="T3174" s="1" t="s">
        <v>20380</v>
      </c>
      <c r="U3174" s="1" t="s">
        <v>7</v>
      </c>
      <c r="V3174" s="1" t="s">
        <v>204</v>
      </c>
      <c r="W3174" s="1"/>
    </row>
    <row r="3175" spans="1:23" x14ac:dyDescent="0.2">
      <c r="A3175" s="88" t="s">
        <v>18276</v>
      </c>
      <c r="B3175" s="1" t="e">
        <v>#N/A</v>
      </c>
      <c r="C3175" s="1" t="e">
        <v>#N/A</v>
      </c>
      <c r="D3175" s="1" t="s">
        <v>8338</v>
      </c>
      <c r="E3175" s="1" t="s">
        <v>8339</v>
      </c>
      <c r="F3175" t="s">
        <v>10850</v>
      </c>
      <c r="G3175" t="s">
        <v>8957</v>
      </c>
      <c r="H3175" t="s">
        <v>8959</v>
      </c>
      <c r="I3175" t="s">
        <v>20714</v>
      </c>
      <c r="J3175" t="s">
        <v>20725</v>
      </c>
      <c r="K3175" t="s">
        <v>10492</v>
      </c>
      <c r="L3175" t="s">
        <v>8973</v>
      </c>
      <c r="M3175">
        <v>130</v>
      </c>
      <c r="N3175" t="s">
        <v>9059</v>
      </c>
      <c r="O3175" t="s">
        <v>8989</v>
      </c>
      <c r="P3175" s="1" t="e">
        <v>#N/A</v>
      </c>
      <c r="Q3175" s="1" t="e">
        <v>#N/A</v>
      </c>
      <c r="R3175" s="1">
        <f t="shared" si="930"/>
        <v>7</v>
      </c>
      <c r="S3175" s="1" t="str">
        <f t="shared" si="931"/>
        <v>4-7</v>
      </c>
      <c r="T3175" s="1" t="s">
        <v>20381</v>
      </c>
      <c r="U3175" s="1" t="s">
        <v>7</v>
      </c>
      <c r="V3175" s="1" t="s">
        <v>46</v>
      </c>
      <c r="W3175" s="1"/>
    </row>
    <row r="3176" spans="1:23" x14ac:dyDescent="0.2">
      <c r="A3176" s="89" t="s">
        <v>8340</v>
      </c>
      <c r="B3176" s="1" t="e">
        <v>#N/A</v>
      </c>
      <c r="C3176" s="1" t="e">
        <v>#N/A</v>
      </c>
      <c r="D3176" s="1" t="s">
        <v>8341</v>
      </c>
      <c r="E3176" s="1" t="s">
        <v>8342</v>
      </c>
      <c r="F3176" t="e">
        <v>#N/A</v>
      </c>
      <c r="G3176" t="e">
        <v>#N/A</v>
      </c>
      <c r="H3176" t="e">
        <v>#N/A</v>
      </c>
      <c r="I3176" t="e">
        <v>#N/A</v>
      </c>
      <c r="J3176" t="e">
        <v>#N/A</v>
      </c>
      <c r="K3176" t="e">
        <v>#N/A</v>
      </c>
      <c r="L3176" t="e">
        <v>#N/A</v>
      </c>
      <c r="M3176" t="e">
        <v>#N/A</v>
      </c>
      <c r="N3176" t="e">
        <v>#N/A</v>
      </c>
      <c r="O3176" t="e">
        <v>#N/A</v>
      </c>
      <c r="P3176" s="1" t="e">
        <v>#N/A</v>
      </c>
      <c r="Q3176" s="1" t="e">
        <v>#N/A</v>
      </c>
      <c r="R3176" s="1">
        <f t="shared" si="930"/>
        <v>5</v>
      </c>
      <c r="S3176" s="1" t="str">
        <f t="shared" si="931"/>
        <v>4-7</v>
      </c>
      <c r="T3176" s="1" t="s">
        <v>20382</v>
      </c>
      <c r="U3176" s="1" t="s">
        <v>7</v>
      </c>
      <c r="V3176" s="1" t="s">
        <v>204</v>
      </c>
      <c r="W3176" s="1"/>
    </row>
    <row r="3177" spans="1:23" x14ac:dyDescent="0.2">
      <c r="A3177" s="88" t="s">
        <v>18277</v>
      </c>
      <c r="B3177" s="1" t="e">
        <v>#N/A</v>
      </c>
      <c r="C3177" s="1" t="e">
        <v>#N/A</v>
      </c>
      <c r="D3177" s="1" t="s">
        <v>8343</v>
      </c>
      <c r="E3177" s="1" t="s">
        <v>8344</v>
      </c>
      <c r="F3177" t="s">
        <v>9310</v>
      </c>
      <c r="G3177" t="s">
        <v>8957</v>
      </c>
      <c r="H3177" t="s">
        <v>8959</v>
      </c>
      <c r="I3177" t="s">
        <v>20714</v>
      </c>
      <c r="J3177" t="s">
        <v>21170</v>
      </c>
      <c r="K3177" t="s">
        <v>21244</v>
      </c>
      <c r="L3177" t="s">
        <v>8973</v>
      </c>
      <c r="M3177">
        <f>34*128</f>
        <v>4352</v>
      </c>
      <c r="N3177" t="s">
        <v>8953</v>
      </c>
      <c r="O3177" t="s">
        <v>8989</v>
      </c>
      <c r="P3177" s="1" t="e">
        <v>#N/A</v>
      </c>
      <c r="Q3177" s="1" t="e">
        <v>#N/A</v>
      </c>
      <c r="R3177" s="1">
        <f t="shared" si="930"/>
        <v>8</v>
      </c>
      <c r="S3177" s="1" t="str">
        <f t="shared" si="931"/>
        <v>&gt;7</v>
      </c>
      <c r="T3177" s="1" t="s">
        <v>20383</v>
      </c>
      <c r="U3177" s="1" t="s">
        <v>17</v>
      </c>
      <c r="V3177" s="1" t="s">
        <v>93</v>
      </c>
      <c r="W3177" s="1"/>
    </row>
    <row r="3178" spans="1:23" x14ac:dyDescent="0.2">
      <c r="A3178" s="88" t="s">
        <v>18278</v>
      </c>
      <c r="B3178" s="1" t="e">
        <v>#N/A</v>
      </c>
      <c r="C3178" s="1" t="s">
        <v>11340</v>
      </c>
      <c r="D3178" s="1" t="s">
        <v>8345</v>
      </c>
      <c r="E3178" s="1" t="s">
        <v>8346</v>
      </c>
      <c r="F3178" t="s">
        <v>9310</v>
      </c>
      <c r="G3178" t="s">
        <v>8957</v>
      </c>
      <c r="H3178" t="s">
        <v>9061</v>
      </c>
      <c r="I3178" t="s">
        <v>9605</v>
      </c>
      <c r="J3178" t="s">
        <v>8971</v>
      </c>
      <c r="K3178" t="s">
        <v>11343</v>
      </c>
      <c r="L3178" t="s">
        <v>9157</v>
      </c>
      <c r="M3178">
        <v>200</v>
      </c>
      <c r="N3178" t="s">
        <v>8953</v>
      </c>
      <c r="O3178" t="s">
        <v>8954</v>
      </c>
      <c r="P3178" s="1" t="s">
        <v>8955</v>
      </c>
      <c r="Q3178" s="1" t="s">
        <v>8956</v>
      </c>
      <c r="R3178" s="1" t="s">
        <v>8957</v>
      </c>
      <c r="S3178" s="1" t="s">
        <v>8958</v>
      </c>
      <c r="T3178" s="1" t="s">
        <v>8347</v>
      </c>
      <c r="U3178" s="1" t="s">
        <v>11</v>
      </c>
      <c r="V3178" s="1" t="s">
        <v>110</v>
      </c>
      <c r="W3178" s="1"/>
    </row>
    <row r="3179" spans="1:23" x14ac:dyDescent="0.2">
      <c r="A3179" s="92" t="s">
        <v>18279</v>
      </c>
      <c r="B3179" s="1" t="e">
        <v>#N/A</v>
      </c>
      <c r="C3179" s="1" t="e">
        <v>#N/A</v>
      </c>
      <c r="D3179" s="1" t="s">
        <v>8348</v>
      </c>
      <c r="E3179" s="1" t="s">
        <v>8349</v>
      </c>
      <c r="F3179" t="s">
        <v>9310</v>
      </c>
      <c r="G3179" t="e">
        <v>#N/A</v>
      </c>
      <c r="H3179" t="s">
        <v>9061</v>
      </c>
      <c r="I3179" t="e">
        <v>#N/A</v>
      </c>
      <c r="J3179" t="s">
        <v>8998</v>
      </c>
      <c r="K3179" t="e">
        <v>#N/A</v>
      </c>
      <c r="L3179" t="e">
        <v>#N/A</v>
      </c>
      <c r="M3179" t="e">
        <v>#N/A</v>
      </c>
      <c r="N3179" t="e">
        <v>#N/A</v>
      </c>
      <c r="O3179" t="e">
        <v>#N/A</v>
      </c>
      <c r="P3179" s="1" t="e">
        <v>#N/A</v>
      </c>
      <c r="Q3179" s="1" t="e">
        <v>#N/A</v>
      </c>
      <c r="R3179" s="1">
        <f>1+LEN(T3179)-LEN(SUBSTITUTE(T3179,",",))</f>
        <v>5</v>
      </c>
      <c r="S3179" s="1" t="str">
        <f>IF(R3179&gt;4,IF(R3179&lt;8,"4-7",IF(R3179&gt;7,"&gt;7")),"&lt;4")</f>
        <v>4-7</v>
      </c>
      <c r="T3179" s="1" t="s">
        <v>20384</v>
      </c>
      <c r="U3179" s="1" t="s">
        <v>17</v>
      </c>
      <c r="V3179" s="1" t="s">
        <v>1303</v>
      </c>
      <c r="W3179" s="1"/>
    </row>
    <row r="3180" spans="1:23" x14ac:dyDescent="0.2">
      <c r="A3180" s="88" t="s">
        <v>18280</v>
      </c>
      <c r="B3180" s="1" t="e">
        <v>#N/A</v>
      </c>
      <c r="C3180" s="1" t="s">
        <v>12594</v>
      </c>
      <c r="D3180" s="1" t="s">
        <v>8350</v>
      </c>
      <c r="E3180" s="1" t="s">
        <v>8351</v>
      </c>
      <c r="F3180" t="s">
        <v>9310</v>
      </c>
      <c r="G3180" t="s">
        <v>8957</v>
      </c>
      <c r="H3180" t="s">
        <v>9009</v>
      </c>
      <c r="I3180" t="s">
        <v>9075</v>
      </c>
      <c r="J3180" t="s">
        <v>9101</v>
      </c>
      <c r="K3180" t="s">
        <v>9036</v>
      </c>
      <c r="L3180" t="s">
        <v>8951</v>
      </c>
      <c r="M3180">
        <v>1000</v>
      </c>
      <c r="N3180" t="s">
        <v>8953</v>
      </c>
      <c r="O3180" t="s">
        <v>8989</v>
      </c>
      <c r="P3180" s="1" t="s">
        <v>8955</v>
      </c>
      <c r="Q3180" s="1" t="s">
        <v>8956</v>
      </c>
      <c r="R3180" s="1" t="s">
        <v>8957</v>
      </c>
      <c r="S3180" s="1" t="s">
        <v>8975</v>
      </c>
      <c r="T3180" s="1" t="s">
        <v>8352</v>
      </c>
      <c r="U3180" s="1" t="s">
        <v>11</v>
      </c>
      <c r="V3180" s="1" t="s">
        <v>257</v>
      </c>
      <c r="W3180" s="1"/>
    </row>
    <row r="3181" spans="1:23" x14ac:dyDescent="0.2">
      <c r="A3181" s="88" t="s">
        <v>18281</v>
      </c>
      <c r="B3181" s="1" t="e">
        <v>#N/A</v>
      </c>
      <c r="C3181" s="1" t="e">
        <v>#N/A</v>
      </c>
      <c r="D3181" s="1" t="s">
        <v>8353</v>
      </c>
      <c r="E3181" s="1" t="s">
        <v>8354</v>
      </c>
      <c r="F3181" t="s">
        <v>21162</v>
      </c>
      <c r="G3181" t="s">
        <v>8957</v>
      </c>
      <c r="H3181" t="s">
        <v>8959</v>
      </c>
      <c r="I3181" t="s">
        <v>8948</v>
      </c>
      <c r="J3181" t="s">
        <v>21166</v>
      </c>
      <c r="K3181" t="s">
        <v>20723</v>
      </c>
      <c r="L3181" t="s">
        <v>8987</v>
      </c>
      <c r="M3181">
        <v>5890</v>
      </c>
      <c r="N3181" t="s">
        <v>9059</v>
      </c>
      <c r="O3181" t="s">
        <v>8989</v>
      </c>
      <c r="P3181" s="1" t="e">
        <v>#N/A</v>
      </c>
      <c r="Q3181" s="1" t="e">
        <v>#N/A</v>
      </c>
      <c r="R3181" s="1">
        <f t="shared" ref="R3181:R3185" si="932">1+LEN(T3181)-LEN(SUBSTITUTE(T3181,",",))</f>
        <v>6</v>
      </c>
      <c r="S3181" s="1" t="str">
        <f t="shared" ref="S3181:S3185" si="933">IF(R3181&gt;4,IF(R3181&lt;8,"4-7",IF(R3181&gt;7,"&gt;7")),"&lt;4")</f>
        <v>4-7</v>
      </c>
      <c r="T3181" s="1" t="s">
        <v>20385</v>
      </c>
      <c r="U3181" s="1" t="s">
        <v>7</v>
      </c>
      <c r="V3181" s="1" t="s">
        <v>1125</v>
      </c>
      <c r="W3181" s="1"/>
    </row>
    <row r="3182" spans="1:23" x14ac:dyDescent="0.2">
      <c r="A3182" s="94">
        <v>1</v>
      </c>
      <c r="B3182" t="e">
        <v>#N/A</v>
      </c>
      <c r="C3182" t="e">
        <v>#N/A</v>
      </c>
      <c r="D3182" s="1" t="s">
        <v>8355</v>
      </c>
      <c r="E3182" s="1" t="s">
        <v>8356</v>
      </c>
      <c r="F3182" t="e">
        <v>#N/A</v>
      </c>
      <c r="G3182" t="e">
        <v>#N/A</v>
      </c>
      <c r="H3182" t="e">
        <v>#N/A</v>
      </c>
      <c r="I3182" t="e">
        <v>#N/A</v>
      </c>
      <c r="J3182" t="e">
        <v>#N/A</v>
      </c>
      <c r="K3182" t="e">
        <v>#N/A</v>
      </c>
      <c r="L3182" t="e">
        <v>#N/A</v>
      </c>
      <c r="M3182" t="e">
        <v>#N/A</v>
      </c>
      <c r="N3182" t="e">
        <v>#N/A</v>
      </c>
      <c r="O3182" t="e">
        <v>#N/A</v>
      </c>
      <c r="P3182" s="1" t="e">
        <v>#N/A</v>
      </c>
      <c r="Q3182" s="1" t="e">
        <v>#N/A</v>
      </c>
      <c r="R3182" s="1">
        <f t="shared" si="932"/>
        <v>8</v>
      </c>
      <c r="S3182" s="1" t="str">
        <f t="shared" si="933"/>
        <v>&gt;7</v>
      </c>
      <c r="T3182" s="1" t="s">
        <v>20386</v>
      </c>
      <c r="U3182" s="1" t="s">
        <v>7</v>
      </c>
      <c r="V3182" s="1"/>
      <c r="W3182" s="1"/>
    </row>
    <row r="3183" spans="1:23" x14ac:dyDescent="0.2">
      <c r="A3183" s="88" t="s">
        <v>18282</v>
      </c>
      <c r="B3183" s="1" t="e">
        <v>#N/A</v>
      </c>
      <c r="C3183" s="1" t="e">
        <v>#N/A</v>
      </c>
      <c r="D3183" s="1" t="s">
        <v>8357</v>
      </c>
      <c r="E3183" s="1" t="s">
        <v>8358</v>
      </c>
      <c r="F3183" t="s">
        <v>9310</v>
      </c>
      <c r="G3183" t="s">
        <v>8959</v>
      </c>
      <c r="H3183" t="s">
        <v>9061</v>
      </c>
      <c r="I3183" t="s">
        <v>9035</v>
      </c>
      <c r="J3183" t="s">
        <v>8998</v>
      </c>
      <c r="K3183" t="s">
        <v>10492</v>
      </c>
      <c r="L3183" t="s">
        <v>8973</v>
      </c>
      <c r="M3183">
        <v>421</v>
      </c>
      <c r="N3183" t="s">
        <v>9059</v>
      </c>
      <c r="O3183" t="s">
        <v>8954</v>
      </c>
      <c r="P3183" s="1" t="e">
        <v>#N/A</v>
      </c>
      <c r="Q3183" s="1" t="e">
        <v>#N/A</v>
      </c>
      <c r="R3183" s="1">
        <f t="shared" si="932"/>
        <v>10</v>
      </c>
      <c r="S3183" s="1" t="str">
        <f t="shared" si="933"/>
        <v>&gt;7</v>
      </c>
      <c r="T3183" s="1" t="s">
        <v>20387</v>
      </c>
      <c r="U3183" s="1" t="s">
        <v>7</v>
      </c>
      <c r="V3183" s="1" t="s">
        <v>3111</v>
      </c>
      <c r="W3183" s="1"/>
    </row>
    <row r="3184" spans="1:23" x14ac:dyDescent="0.2">
      <c r="A3184" s="88" t="s">
        <v>18283</v>
      </c>
      <c r="B3184" s="1" t="e">
        <v>#N/A</v>
      </c>
      <c r="C3184" s="1" t="e">
        <v>#N/A</v>
      </c>
      <c r="D3184" s="1" t="s">
        <v>8359</v>
      </c>
      <c r="E3184" s="1" t="s">
        <v>8360</v>
      </c>
      <c r="F3184" t="s">
        <v>18502</v>
      </c>
      <c r="G3184" t="s">
        <v>8957</v>
      </c>
      <c r="H3184" t="s">
        <v>9061</v>
      </c>
      <c r="I3184" t="s">
        <v>8948</v>
      </c>
      <c r="J3184" t="s">
        <v>8998</v>
      </c>
      <c r="K3184" t="s">
        <v>21148</v>
      </c>
      <c r="L3184" t="s">
        <v>8973</v>
      </c>
      <c r="M3184">
        <f>202+31+40</f>
        <v>273</v>
      </c>
      <c r="N3184" t="s">
        <v>8953</v>
      </c>
      <c r="O3184" t="s">
        <v>8954</v>
      </c>
      <c r="P3184" s="1" t="e">
        <v>#N/A</v>
      </c>
      <c r="Q3184" s="1" t="e">
        <v>#N/A</v>
      </c>
      <c r="R3184" s="1">
        <f t="shared" si="932"/>
        <v>9</v>
      </c>
      <c r="S3184" s="1" t="str">
        <f t="shared" si="933"/>
        <v>&gt;7</v>
      </c>
      <c r="T3184" s="1" t="s">
        <v>20388</v>
      </c>
      <c r="U3184" s="1" t="s">
        <v>7</v>
      </c>
      <c r="V3184" s="1" t="s">
        <v>378</v>
      </c>
      <c r="W3184" s="1"/>
    </row>
    <row r="3185" spans="1:23" x14ac:dyDescent="0.2">
      <c r="A3185" s="88" t="s">
        <v>18284</v>
      </c>
      <c r="B3185" s="1" t="e">
        <v>#N/A</v>
      </c>
      <c r="C3185" s="1" t="e">
        <v>#N/A</v>
      </c>
      <c r="D3185" s="1" t="s">
        <v>8361</v>
      </c>
      <c r="E3185" s="1" t="s">
        <v>8362</v>
      </c>
      <c r="F3185" t="e">
        <v>#N/A</v>
      </c>
      <c r="G3185" t="e">
        <v>#N/A</v>
      </c>
      <c r="H3185" t="e">
        <v>#N/A</v>
      </c>
      <c r="I3185" t="e">
        <v>#N/A</v>
      </c>
      <c r="J3185" t="e">
        <v>#N/A</v>
      </c>
      <c r="K3185" t="e">
        <v>#N/A</v>
      </c>
      <c r="L3185" t="e">
        <v>#N/A</v>
      </c>
      <c r="M3185" t="e">
        <v>#N/A</v>
      </c>
      <c r="N3185" t="e">
        <v>#N/A</v>
      </c>
      <c r="O3185" t="e">
        <v>#N/A</v>
      </c>
      <c r="P3185" s="1" t="e">
        <v>#N/A</v>
      </c>
      <c r="Q3185" s="1" t="e">
        <v>#N/A</v>
      </c>
      <c r="R3185" s="1">
        <f t="shared" si="932"/>
        <v>5</v>
      </c>
      <c r="S3185" s="1" t="str">
        <f t="shared" si="933"/>
        <v>4-7</v>
      </c>
      <c r="T3185" s="1" t="s">
        <v>20389</v>
      </c>
      <c r="U3185" s="1" t="s">
        <v>252</v>
      </c>
      <c r="V3185" s="1" t="s">
        <v>200</v>
      </c>
      <c r="W3185" s="1"/>
    </row>
    <row r="3186" spans="1:23" x14ac:dyDescent="0.2">
      <c r="A3186" s="88" t="s">
        <v>18285</v>
      </c>
      <c r="B3186" s="1" t="e">
        <v>#N/A</v>
      </c>
      <c r="C3186" s="1" t="s">
        <v>12005</v>
      </c>
      <c r="D3186" s="1" t="s">
        <v>8363</v>
      </c>
      <c r="E3186" s="1" t="s">
        <v>8364</v>
      </c>
      <c r="F3186" t="s">
        <v>9310</v>
      </c>
      <c r="G3186" t="s">
        <v>8959</v>
      </c>
      <c r="H3186" t="s">
        <v>9183</v>
      </c>
      <c r="I3186" t="s">
        <v>8948</v>
      </c>
      <c r="J3186" t="s">
        <v>9121</v>
      </c>
      <c r="K3186" t="s">
        <v>9036</v>
      </c>
      <c r="L3186" t="s">
        <v>9076</v>
      </c>
      <c r="M3186">
        <v>160</v>
      </c>
      <c r="N3186" t="s">
        <v>8953</v>
      </c>
      <c r="O3186" t="s">
        <v>8954</v>
      </c>
      <c r="P3186" s="1" t="s">
        <v>8955</v>
      </c>
      <c r="Q3186" s="1" t="s">
        <v>8956</v>
      </c>
      <c r="R3186" s="1" t="s">
        <v>8959</v>
      </c>
      <c r="S3186" s="1" t="s">
        <v>9103</v>
      </c>
      <c r="T3186" s="1" t="s">
        <v>8365</v>
      </c>
      <c r="U3186" s="1" t="s">
        <v>11</v>
      </c>
      <c r="V3186" s="1" t="s">
        <v>1110</v>
      </c>
      <c r="W3186" s="1"/>
    </row>
    <row r="3187" spans="1:23" x14ac:dyDescent="0.2">
      <c r="A3187" s="88" t="s">
        <v>18286</v>
      </c>
      <c r="B3187" s="1" t="e">
        <v>#N/A</v>
      </c>
      <c r="C3187" s="1" t="s">
        <v>11140</v>
      </c>
      <c r="D3187" s="1" t="s">
        <v>8366</v>
      </c>
      <c r="E3187" s="1" t="s">
        <v>8367</v>
      </c>
      <c r="F3187" t="s">
        <v>10850</v>
      </c>
      <c r="G3187" t="s">
        <v>9060</v>
      </c>
      <c r="H3187" t="s">
        <v>9061</v>
      </c>
      <c r="I3187" t="s">
        <v>8984</v>
      </c>
      <c r="J3187" t="s">
        <v>9422</v>
      </c>
      <c r="K3187" t="s">
        <v>11143</v>
      </c>
      <c r="L3187" t="s">
        <v>9292</v>
      </c>
      <c r="M3187">
        <v>100</v>
      </c>
      <c r="N3187" t="s">
        <v>8953</v>
      </c>
      <c r="O3187" t="s">
        <v>8989</v>
      </c>
      <c r="P3187" s="1" t="s">
        <v>8955</v>
      </c>
      <c r="Q3187" s="1" t="s">
        <v>8956</v>
      </c>
      <c r="R3187" s="1" t="s">
        <v>9060</v>
      </c>
      <c r="S3187" s="1" t="s">
        <v>8975</v>
      </c>
      <c r="T3187" s="1" t="s">
        <v>8368</v>
      </c>
      <c r="U3187" s="1" t="s">
        <v>11</v>
      </c>
      <c r="V3187" s="1" t="s">
        <v>24</v>
      </c>
      <c r="W3187" s="1"/>
    </row>
    <row r="3188" spans="1:23" x14ac:dyDescent="0.2">
      <c r="A3188" s="88" t="s">
        <v>18287</v>
      </c>
      <c r="B3188" s="1" t="e">
        <v>#N/A</v>
      </c>
      <c r="C3188" s="1" t="e">
        <v>#N/A</v>
      </c>
      <c r="D3188" s="1" t="s">
        <v>8369</v>
      </c>
      <c r="E3188" s="1" t="s">
        <v>8370</v>
      </c>
      <c r="F3188" t="s">
        <v>18502</v>
      </c>
      <c r="G3188" t="s">
        <v>8959</v>
      </c>
      <c r="H3188" t="s">
        <v>9061</v>
      </c>
      <c r="I3188" t="s">
        <v>9100</v>
      </c>
      <c r="J3188" t="s">
        <v>8949</v>
      </c>
      <c r="K3188" t="s">
        <v>10492</v>
      </c>
      <c r="L3188" t="s">
        <v>8973</v>
      </c>
      <c r="M3188">
        <v>182</v>
      </c>
      <c r="N3188" t="s">
        <v>9059</v>
      </c>
      <c r="O3188" t="s">
        <v>8954</v>
      </c>
      <c r="P3188" s="1" t="e">
        <v>#N/A</v>
      </c>
      <c r="Q3188" s="1" t="e">
        <v>#N/A</v>
      </c>
      <c r="R3188" s="1">
        <f t="shared" ref="R3188:R3196" si="934">1+LEN(T3188)-LEN(SUBSTITUTE(T3188,",",))</f>
        <v>11</v>
      </c>
      <c r="S3188" s="1" t="str">
        <f t="shared" ref="S3188:S3196" si="935">IF(R3188&gt;4,IF(R3188&lt;8,"4-7",IF(R3188&gt;7,"&gt;7")),"&lt;4")</f>
        <v>&gt;7</v>
      </c>
      <c r="T3188" s="1" t="s">
        <v>20390</v>
      </c>
      <c r="U3188" s="1" t="s">
        <v>7</v>
      </c>
      <c r="V3188" s="1" t="s">
        <v>1918</v>
      </c>
      <c r="W3188" s="1"/>
    </row>
    <row r="3189" spans="1:23" x14ac:dyDescent="0.2">
      <c r="A3189" s="92" t="s">
        <v>18288</v>
      </c>
      <c r="B3189" s="1" t="e">
        <v>#N/A</v>
      </c>
      <c r="C3189" s="1" t="e">
        <v>#N/A</v>
      </c>
      <c r="D3189" s="1" t="s">
        <v>8371</v>
      </c>
      <c r="E3189" s="1" t="s">
        <v>8372</v>
      </c>
      <c r="F3189" t="e">
        <v>#N/A</v>
      </c>
      <c r="G3189" t="e">
        <v>#N/A</v>
      </c>
      <c r="H3189" t="e">
        <v>#N/A</v>
      </c>
      <c r="I3189" t="e">
        <v>#N/A</v>
      </c>
      <c r="J3189" t="e">
        <v>#N/A</v>
      </c>
      <c r="K3189" t="e">
        <v>#N/A</v>
      </c>
      <c r="L3189" t="e">
        <v>#N/A</v>
      </c>
      <c r="M3189" t="e">
        <v>#N/A</v>
      </c>
      <c r="N3189" t="e">
        <v>#N/A</v>
      </c>
      <c r="O3189" t="e">
        <v>#N/A</v>
      </c>
      <c r="P3189" s="1" t="e">
        <v>#N/A</v>
      </c>
      <c r="Q3189" s="1" t="e">
        <v>#N/A</v>
      </c>
      <c r="R3189" s="1">
        <f t="shared" si="934"/>
        <v>1</v>
      </c>
      <c r="S3189" s="1" t="str">
        <f t="shared" si="935"/>
        <v>&lt;4</v>
      </c>
      <c r="T3189" s="1" t="s">
        <v>8373</v>
      </c>
      <c r="U3189" s="1" t="s">
        <v>7</v>
      </c>
      <c r="V3189" s="1" t="s">
        <v>4304</v>
      </c>
      <c r="W3189" s="1"/>
    </row>
    <row r="3190" spans="1:23" x14ac:dyDescent="0.2">
      <c r="A3190" s="88" t="s">
        <v>18289</v>
      </c>
      <c r="B3190" s="1" t="e">
        <v>#N/A</v>
      </c>
      <c r="C3190" s="1" t="e">
        <v>#N/A</v>
      </c>
      <c r="D3190" s="1" t="s">
        <v>8374</v>
      </c>
      <c r="E3190" s="1" t="s">
        <v>8375</v>
      </c>
      <c r="F3190" t="s">
        <v>9310</v>
      </c>
      <c r="G3190" t="s">
        <v>8957</v>
      </c>
      <c r="H3190" t="s">
        <v>9061</v>
      </c>
      <c r="I3190" t="s">
        <v>9173</v>
      </c>
      <c r="J3190" t="s">
        <v>9174</v>
      </c>
      <c r="K3190" t="s">
        <v>21191</v>
      </c>
      <c r="L3190" t="s">
        <v>9292</v>
      </c>
      <c r="M3190">
        <v>1279</v>
      </c>
      <c r="N3190" t="s">
        <v>8953</v>
      </c>
      <c r="O3190" t="s">
        <v>8989</v>
      </c>
      <c r="P3190" s="1" t="e">
        <v>#N/A</v>
      </c>
      <c r="Q3190" s="1" t="e">
        <v>#N/A</v>
      </c>
      <c r="R3190" s="1">
        <f t="shared" si="934"/>
        <v>8</v>
      </c>
      <c r="S3190" s="1" t="str">
        <f t="shared" si="935"/>
        <v>&gt;7</v>
      </c>
      <c r="T3190" s="1" t="s">
        <v>20391</v>
      </c>
      <c r="U3190" s="1" t="s">
        <v>17</v>
      </c>
      <c r="V3190" s="1" t="s">
        <v>1076</v>
      </c>
      <c r="W3190" s="1"/>
    </row>
    <row r="3191" spans="1:23" x14ac:dyDescent="0.2">
      <c r="A3191" s="88" t="s">
        <v>18290</v>
      </c>
      <c r="B3191" s="1" t="e">
        <v>#N/A</v>
      </c>
      <c r="C3191" s="1" t="e">
        <v>#N/A</v>
      </c>
      <c r="D3191" s="1" t="s">
        <v>8376</v>
      </c>
      <c r="E3191" s="1" t="s">
        <v>8377</v>
      </c>
      <c r="F3191" t="s">
        <v>9310</v>
      </c>
      <c r="G3191" t="s">
        <v>8957</v>
      </c>
      <c r="H3191" t="s">
        <v>8959</v>
      </c>
      <c r="I3191" t="s">
        <v>9035</v>
      </c>
      <c r="J3191" t="s">
        <v>8998</v>
      </c>
      <c r="K3191" t="s">
        <v>21303</v>
      </c>
      <c r="L3191" t="s">
        <v>8987</v>
      </c>
      <c r="M3191">
        <v>729</v>
      </c>
      <c r="N3191" t="s">
        <v>8953</v>
      </c>
      <c r="O3191" t="s">
        <v>8989</v>
      </c>
      <c r="P3191" s="1" t="e">
        <v>#N/A</v>
      </c>
      <c r="Q3191" s="1" t="e">
        <v>#N/A</v>
      </c>
      <c r="R3191" s="1">
        <f t="shared" si="934"/>
        <v>9</v>
      </c>
      <c r="S3191" s="1" t="str">
        <f t="shared" si="935"/>
        <v>&gt;7</v>
      </c>
      <c r="T3191" s="1" t="s">
        <v>20392</v>
      </c>
      <c r="U3191" s="1" t="s">
        <v>7</v>
      </c>
      <c r="V3191" s="1" t="s">
        <v>1598</v>
      </c>
      <c r="W3191" s="1"/>
    </row>
    <row r="3192" spans="1:23" x14ac:dyDescent="0.2">
      <c r="A3192" s="88" t="s">
        <v>18291</v>
      </c>
      <c r="B3192" s="1" t="e">
        <v>#N/A</v>
      </c>
      <c r="C3192" s="1" t="e">
        <v>#N/A</v>
      </c>
      <c r="D3192" s="1" t="s">
        <v>8378</v>
      </c>
      <c r="E3192" s="1" t="s">
        <v>8379</v>
      </c>
      <c r="F3192" t="s">
        <v>9310</v>
      </c>
      <c r="G3192" t="s">
        <v>8957</v>
      </c>
      <c r="H3192" t="s">
        <v>8959</v>
      </c>
      <c r="I3192" t="s">
        <v>9075</v>
      </c>
      <c r="J3192" t="s">
        <v>21171</v>
      </c>
      <c r="K3192" t="s">
        <v>21408</v>
      </c>
      <c r="L3192" t="s">
        <v>21192</v>
      </c>
      <c r="M3192">
        <v>22330</v>
      </c>
      <c r="N3192" t="s">
        <v>9059</v>
      </c>
      <c r="O3192" t="s">
        <v>8989</v>
      </c>
      <c r="P3192" s="1" t="e">
        <v>#N/A</v>
      </c>
      <c r="Q3192" s="1" t="e">
        <v>#N/A</v>
      </c>
      <c r="R3192" s="1">
        <f t="shared" si="934"/>
        <v>12</v>
      </c>
      <c r="S3192" s="1" t="str">
        <f t="shared" si="935"/>
        <v>&gt;7</v>
      </c>
      <c r="T3192" s="1" t="s">
        <v>20393</v>
      </c>
      <c r="U3192" s="1" t="s">
        <v>7</v>
      </c>
      <c r="V3192" s="1" t="s">
        <v>24</v>
      </c>
      <c r="W3192" s="1"/>
    </row>
    <row r="3193" spans="1:23" x14ac:dyDescent="0.2">
      <c r="A3193" s="88">
        <v>1</v>
      </c>
      <c r="B3193" t="e">
        <v>#N/A</v>
      </c>
      <c r="C3193" t="e">
        <v>#N/A</v>
      </c>
      <c r="D3193" s="1" t="s">
        <v>8380</v>
      </c>
      <c r="E3193" s="1" t="s">
        <v>8381</v>
      </c>
      <c r="F3193" t="s">
        <v>18502</v>
      </c>
      <c r="G3193" t="s">
        <v>8959</v>
      </c>
      <c r="H3193" t="s">
        <v>8959</v>
      </c>
      <c r="I3193" t="s">
        <v>9035</v>
      </c>
      <c r="J3193" t="s">
        <v>21172</v>
      </c>
      <c r="K3193" t="s">
        <v>21188</v>
      </c>
      <c r="L3193" t="s">
        <v>8987</v>
      </c>
      <c r="M3193">
        <f>1566921+2000</f>
        <v>1568921</v>
      </c>
      <c r="N3193" t="s">
        <v>8953</v>
      </c>
      <c r="O3193" t="s">
        <v>8954</v>
      </c>
      <c r="P3193" s="1" t="e">
        <v>#N/A</v>
      </c>
      <c r="Q3193" s="1" t="e">
        <v>#N/A</v>
      </c>
      <c r="R3193" s="1">
        <f t="shared" si="934"/>
        <v>3</v>
      </c>
      <c r="S3193" s="1" t="str">
        <f t="shared" si="935"/>
        <v>&lt;4</v>
      </c>
      <c r="T3193" s="1" t="s">
        <v>20394</v>
      </c>
      <c r="U3193" s="1" t="s">
        <v>17</v>
      </c>
      <c r="V3193" s="1"/>
      <c r="W3193" s="1"/>
    </row>
    <row r="3194" spans="1:23" x14ac:dyDescent="0.2">
      <c r="A3194" s="88" t="s">
        <v>18292</v>
      </c>
      <c r="B3194" s="1" t="e">
        <v>#N/A</v>
      </c>
      <c r="C3194" s="1" t="e">
        <v>#N/A</v>
      </c>
      <c r="D3194" s="1" t="s">
        <v>8382</v>
      </c>
      <c r="E3194" s="1" t="s">
        <v>8383</v>
      </c>
      <c r="F3194" t="s">
        <v>9310</v>
      </c>
      <c r="G3194" t="s">
        <v>8957</v>
      </c>
      <c r="H3194" t="s">
        <v>8959</v>
      </c>
      <c r="I3194" t="s">
        <v>8948</v>
      </c>
      <c r="J3194" t="s">
        <v>8998</v>
      </c>
      <c r="K3194" t="s">
        <v>10492</v>
      </c>
      <c r="L3194" t="s">
        <v>9076</v>
      </c>
      <c r="M3194">
        <v>55</v>
      </c>
      <c r="N3194" t="s">
        <v>9059</v>
      </c>
      <c r="O3194" t="s">
        <v>8989</v>
      </c>
      <c r="P3194" s="1" t="e">
        <v>#N/A</v>
      </c>
      <c r="Q3194" s="1" t="e">
        <v>#N/A</v>
      </c>
      <c r="R3194" s="1">
        <f t="shared" si="934"/>
        <v>9</v>
      </c>
      <c r="S3194" s="1" t="str">
        <f t="shared" si="935"/>
        <v>&gt;7</v>
      </c>
      <c r="T3194" s="1" t="s">
        <v>20395</v>
      </c>
      <c r="U3194" s="1" t="s">
        <v>7</v>
      </c>
      <c r="V3194" s="1" t="s">
        <v>378</v>
      </c>
      <c r="W3194" s="1"/>
    </row>
    <row r="3195" spans="1:23" x14ac:dyDescent="0.2">
      <c r="A3195" s="95" t="s">
        <v>18293</v>
      </c>
      <c r="B3195" s="1" t="e">
        <v>#N/A</v>
      </c>
      <c r="C3195" s="1" t="e">
        <v>#N/A</v>
      </c>
      <c r="D3195" s="1" t="s">
        <v>21194</v>
      </c>
      <c r="E3195" s="1" t="s">
        <v>8384</v>
      </c>
      <c r="F3195" t="s">
        <v>18502</v>
      </c>
      <c r="G3195" t="s">
        <v>8959</v>
      </c>
      <c r="H3195" t="s">
        <v>8959</v>
      </c>
      <c r="I3195" t="s">
        <v>9605</v>
      </c>
      <c r="J3195" t="s">
        <v>8998</v>
      </c>
      <c r="K3195" t="s">
        <v>21813</v>
      </c>
      <c r="L3195" t="s">
        <v>9464</v>
      </c>
      <c r="M3195">
        <f>5175</f>
        <v>5175</v>
      </c>
      <c r="N3195" t="s">
        <v>8953</v>
      </c>
      <c r="O3195" t="s">
        <v>8989</v>
      </c>
      <c r="P3195" s="1" t="e">
        <v>#N/A</v>
      </c>
      <c r="Q3195" s="1" t="e">
        <v>#N/A</v>
      </c>
      <c r="R3195" s="1">
        <f t="shared" si="934"/>
        <v>3</v>
      </c>
      <c r="S3195" s="1" t="str">
        <f t="shared" si="935"/>
        <v>&lt;4</v>
      </c>
      <c r="T3195" s="1" t="s">
        <v>20396</v>
      </c>
      <c r="U3195" s="1" t="s">
        <v>7</v>
      </c>
      <c r="V3195" s="1" t="s">
        <v>378</v>
      </c>
      <c r="W3195" s="1"/>
    </row>
    <row r="3196" spans="1:23" x14ac:dyDescent="0.2">
      <c r="A3196" s="88" t="s">
        <v>18294</v>
      </c>
      <c r="B3196" s="1" t="e">
        <v>#N/A</v>
      </c>
      <c r="C3196" s="1" t="e">
        <v>#N/A</v>
      </c>
      <c r="D3196" s="1" t="s">
        <v>8385</v>
      </c>
      <c r="E3196" s="1" t="s">
        <v>8386</v>
      </c>
      <c r="F3196" t="s">
        <v>18502</v>
      </c>
      <c r="G3196" t="s">
        <v>8959</v>
      </c>
      <c r="H3196" t="s">
        <v>9061</v>
      </c>
      <c r="I3196" t="s">
        <v>9173</v>
      </c>
      <c r="J3196" t="s">
        <v>9174</v>
      </c>
      <c r="K3196" t="s">
        <v>21195</v>
      </c>
      <c r="L3196" t="s">
        <v>8973</v>
      </c>
      <c r="M3196">
        <f>2000+600+150</f>
        <v>2750</v>
      </c>
      <c r="N3196" t="s">
        <v>8953</v>
      </c>
      <c r="O3196" t="s">
        <v>8989</v>
      </c>
      <c r="P3196" s="1" t="e">
        <v>#N/A</v>
      </c>
      <c r="Q3196" s="1" t="e">
        <v>#N/A</v>
      </c>
      <c r="R3196" s="1">
        <f t="shared" si="934"/>
        <v>2</v>
      </c>
      <c r="S3196" s="1" t="str">
        <f t="shared" si="935"/>
        <v>&lt;4</v>
      </c>
      <c r="T3196" s="1" t="s">
        <v>20397</v>
      </c>
      <c r="U3196" s="1" t="s">
        <v>17</v>
      </c>
      <c r="V3196" s="1" t="s">
        <v>27</v>
      </c>
      <c r="W3196" s="1"/>
    </row>
    <row r="3197" spans="1:23" x14ac:dyDescent="0.2">
      <c r="A3197" s="88" t="s">
        <v>18295</v>
      </c>
      <c r="B3197" s="1" t="e">
        <v>#N/A</v>
      </c>
      <c r="C3197" s="1" t="s">
        <v>10548</v>
      </c>
      <c r="D3197" s="1" t="s">
        <v>8387</v>
      </c>
      <c r="E3197" s="1" t="s">
        <v>8388</v>
      </c>
      <c r="F3197" t="s">
        <v>9310</v>
      </c>
      <c r="G3197" t="s">
        <v>8959</v>
      </c>
      <c r="H3197" t="s">
        <v>8959</v>
      </c>
      <c r="I3197" t="s">
        <v>9075</v>
      </c>
      <c r="J3197" t="s">
        <v>8949</v>
      </c>
      <c r="K3197" t="s">
        <v>9658</v>
      </c>
      <c r="L3197" t="s">
        <v>8987</v>
      </c>
      <c r="M3197">
        <v>353</v>
      </c>
      <c r="N3197" t="s">
        <v>9059</v>
      </c>
      <c r="O3197" t="s">
        <v>8954</v>
      </c>
      <c r="P3197" s="1" t="s">
        <v>8955</v>
      </c>
      <c r="Q3197" s="1" t="s">
        <v>8956</v>
      </c>
      <c r="R3197" s="1" t="s">
        <v>8959</v>
      </c>
      <c r="S3197" s="1" t="s">
        <v>8958</v>
      </c>
      <c r="T3197" s="1" t="s">
        <v>8389</v>
      </c>
      <c r="U3197" s="1" t="s">
        <v>17</v>
      </c>
      <c r="V3197" s="1" t="s">
        <v>93</v>
      </c>
      <c r="W3197" s="1"/>
    </row>
    <row r="3198" spans="1:23" x14ac:dyDescent="0.2">
      <c r="A3198" s="88" t="s">
        <v>18296</v>
      </c>
      <c r="B3198" s="1" t="e">
        <v>#N/A</v>
      </c>
      <c r="C3198" s="1" t="s">
        <v>13404</v>
      </c>
      <c r="D3198" s="1" t="s">
        <v>8390</v>
      </c>
      <c r="E3198" s="1" t="s">
        <v>8391</v>
      </c>
      <c r="F3198" t="s">
        <v>10446</v>
      </c>
      <c r="G3198" t="s">
        <v>9060</v>
      </c>
      <c r="H3198" t="s">
        <v>8959</v>
      </c>
      <c r="I3198" t="s">
        <v>9605</v>
      </c>
      <c r="J3198" t="s">
        <v>9101</v>
      </c>
      <c r="K3198" t="s">
        <v>9036</v>
      </c>
      <c r="L3198" t="s">
        <v>8987</v>
      </c>
      <c r="M3198">
        <v>600</v>
      </c>
      <c r="N3198" t="s">
        <v>8953</v>
      </c>
      <c r="O3198" t="s">
        <v>8989</v>
      </c>
      <c r="P3198" s="1" t="s">
        <v>8955</v>
      </c>
      <c r="Q3198" s="1" t="s">
        <v>8956</v>
      </c>
      <c r="R3198" s="1" t="s">
        <v>9060</v>
      </c>
      <c r="S3198" s="1" t="s">
        <v>8958</v>
      </c>
      <c r="T3198" s="1" t="s">
        <v>8392</v>
      </c>
      <c r="U3198" s="1" t="s">
        <v>4</v>
      </c>
      <c r="V3198" s="1" t="s">
        <v>46</v>
      </c>
      <c r="W3198" s="1"/>
    </row>
    <row r="3199" spans="1:23" x14ac:dyDescent="0.2">
      <c r="A3199" s="89" t="s">
        <v>18297</v>
      </c>
      <c r="B3199" s="1" t="e">
        <v>#N/A</v>
      </c>
      <c r="C3199" s="1" t="e">
        <v>#N/A</v>
      </c>
      <c r="D3199" s="1" t="s">
        <v>8393</v>
      </c>
      <c r="E3199" s="1" t="s">
        <v>8394</v>
      </c>
      <c r="F3199" t="e">
        <v>#N/A</v>
      </c>
      <c r="G3199" t="e">
        <v>#N/A</v>
      </c>
      <c r="H3199" t="e">
        <v>#N/A</v>
      </c>
      <c r="I3199" t="e">
        <v>#N/A</v>
      </c>
      <c r="J3199" t="e">
        <v>#N/A</v>
      </c>
      <c r="K3199" t="e">
        <v>#N/A</v>
      </c>
      <c r="L3199" t="e">
        <v>#N/A</v>
      </c>
      <c r="M3199" t="e">
        <v>#N/A</v>
      </c>
      <c r="N3199" t="e">
        <v>#N/A</v>
      </c>
      <c r="O3199" t="e">
        <v>#N/A</v>
      </c>
      <c r="P3199" s="1" t="e">
        <v>#N/A</v>
      </c>
      <c r="Q3199" s="1" t="e">
        <v>#N/A</v>
      </c>
      <c r="R3199" s="1">
        <f>1+LEN(T3199)-LEN(SUBSTITUTE(T3199,",",))</f>
        <v>7</v>
      </c>
      <c r="S3199" s="1" t="str">
        <f>IF(R3199&gt;4,IF(R3199&lt;8,"4-7",IF(R3199&gt;7,"&gt;7")),"&lt;4")</f>
        <v>4-7</v>
      </c>
      <c r="T3199" s="1" t="s">
        <v>20398</v>
      </c>
      <c r="U3199" s="1" t="s">
        <v>7</v>
      </c>
      <c r="V3199" s="1" t="s">
        <v>8395</v>
      </c>
      <c r="W3199" s="1"/>
    </row>
    <row r="3200" spans="1:23" x14ac:dyDescent="0.2">
      <c r="A3200" s="88" t="s">
        <v>18298</v>
      </c>
      <c r="B3200" s="1" t="e">
        <v>#N/A</v>
      </c>
      <c r="C3200" s="1" t="s">
        <v>14845</v>
      </c>
      <c r="D3200" s="1" t="s">
        <v>8396</v>
      </c>
      <c r="E3200" s="1" t="s">
        <v>8397</v>
      </c>
      <c r="F3200" t="s">
        <v>9310</v>
      </c>
      <c r="G3200" t="s">
        <v>8957</v>
      </c>
      <c r="H3200" t="s">
        <v>8959</v>
      </c>
      <c r="I3200" t="s">
        <v>9605</v>
      </c>
      <c r="J3200" t="s">
        <v>8971</v>
      </c>
      <c r="K3200" t="s">
        <v>14848</v>
      </c>
      <c r="L3200" t="s">
        <v>9292</v>
      </c>
      <c r="M3200">
        <v>3430</v>
      </c>
      <c r="N3200" t="s">
        <v>8953</v>
      </c>
      <c r="O3200" t="s">
        <v>8989</v>
      </c>
      <c r="P3200" s="1" t="s">
        <v>8955</v>
      </c>
      <c r="Q3200" s="1" t="s">
        <v>8956</v>
      </c>
      <c r="R3200" s="1" t="s">
        <v>8957</v>
      </c>
      <c r="S3200" s="1" t="s">
        <v>8975</v>
      </c>
      <c r="T3200" s="1" t="s">
        <v>8398</v>
      </c>
      <c r="U3200" s="1" t="s">
        <v>17</v>
      </c>
      <c r="V3200" s="1" t="s">
        <v>8399</v>
      </c>
      <c r="W3200" s="1"/>
    </row>
    <row r="3201" spans="1:23" x14ac:dyDescent="0.2">
      <c r="A3201" s="88" t="s">
        <v>18299</v>
      </c>
      <c r="B3201" s="1" t="e">
        <v>#N/A</v>
      </c>
      <c r="C3201" s="1" t="e">
        <v>#N/A</v>
      </c>
      <c r="D3201" s="1" t="s">
        <v>8400</v>
      </c>
      <c r="E3201" s="1" t="s">
        <v>8401</v>
      </c>
      <c r="F3201" t="s">
        <v>21162</v>
      </c>
      <c r="G3201" t="s">
        <v>8957</v>
      </c>
      <c r="H3201" t="s">
        <v>8959</v>
      </c>
      <c r="I3201" t="s">
        <v>8948</v>
      </c>
      <c r="J3201" t="s">
        <v>8998</v>
      </c>
      <c r="K3201" t="s">
        <v>21217</v>
      </c>
      <c r="L3201" t="s">
        <v>8951</v>
      </c>
      <c r="M3201">
        <f>26+229</f>
        <v>255</v>
      </c>
      <c r="N3201" t="s">
        <v>9059</v>
      </c>
      <c r="O3201" t="s">
        <v>8954</v>
      </c>
      <c r="P3201" s="1" t="e">
        <v>#N/A</v>
      </c>
      <c r="Q3201" s="1" t="e">
        <v>#N/A</v>
      </c>
      <c r="R3201" s="1">
        <f>1+LEN(T3201)-LEN(SUBSTITUTE(T3201,",",))</f>
        <v>5</v>
      </c>
      <c r="S3201" s="1" t="str">
        <f>IF(R3201&gt;4,IF(R3201&lt;8,"4-7",IF(R3201&gt;7,"&gt;7")),"&lt;4")</f>
        <v>4-7</v>
      </c>
      <c r="T3201" s="1" t="s">
        <v>20399</v>
      </c>
      <c r="U3201" s="1" t="s">
        <v>7</v>
      </c>
      <c r="V3201" s="1" t="s">
        <v>378</v>
      </c>
      <c r="W3201" s="1"/>
    </row>
    <row r="3202" spans="1:23" x14ac:dyDescent="0.2">
      <c r="A3202" s="88" t="s">
        <v>18300</v>
      </c>
      <c r="B3202" s="1" t="e">
        <v>#N/A</v>
      </c>
      <c r="C3202" s="1" t="s">
        <v>15307</v>
      </c>
      <c r="D3202" s="1" t="s">
        <v>15490</v>
      </c>
      <c r="E3202" s="1" t="s">
        <v>8402</v>
      </c>
      <c r="F3202" t="s">
        <v>9213</v>
      </c>
      <c r="G3202" t="s">
        <v>8957</v>
      </c>
      <c r="H3202" t="s">
        <v>9009</v>
      </c>
      <c r="I3202" t="s">
        <v>9035</v>
      </c>
      <c r="J3202" t="s">
        <v>8998</v>
      </c>
      <c r="K3202" t="s">
        <v>9036</v>
      </c>
      <c r="L3202" t="s">
        <v>8973</v>
      </c>
      <c r="M3202">
        <v>161</v>
      </c>
      <c r="N3202" t="s">
        <v>9059</v>
      </c>
      <c r="O3202" t="s">
        <v>8954</v>
      </c>
      <c r="P3202" s="1" t="s">
        <v>8955</v>
      </c>
      <c r="Q3202" s="1" t="s">
        <v>8956</v>
      </c>
      <c r="R3202" s="1" t="s">
        <v>8957</v>
      </c>
      <c r="S3202" s="1" t="s">
        <v>8975</v>
      </c>
      <c r="T3202" s="1" t="s">
        <v>8403</v>
      </c>
      <c r="U3202" s="1" t="s">
        <v>17</v>
      </c>
      <c r="V3202" s="1" t="s">
        <v>126</v>
      </c>
      <c r="W3202" s="1"/>
    </row>
    <row r="3203" spans="1:23" x14ac:dyDescent="0.2">
      <c r="A3203" s="88" t="s">
        <v>18301</v>
      </c>
      <c r="B3203" s="1" t="e">
        <v>#N/A</v>
      </c>
      <c r="C3203" s="1" t="e">
        <v>#N/A</v>
      </c>
      <c r="D3203" s="1" t="s">
        <v>8404</v>
      </c>
      <c r="E3203" s="1" t="s">
        <v>8405</v>
      </c>
      <c r="F3203" t="s">
        <v>18502</v>
      </c>
      <c r="G3203" t="s">
        <v>8959</v>
      </c>
      <c r="H3203" t="s">
        <v>9061</v>
      </c>
      <c r="I3203" t="s">
        <v>21173</v>
      </c>
      <c r="J3203" t="s">
        <v>21166</v>
      </c>
      <c r="K3203" t="s">
        <v>10525</v>
      </c>
      <c r="L3203" t="s">
        <v>8987</v>
      </c>
      <c r="M3203">
        <v>10607</v>
      </c>
      <c r="N3203" t="s">
        <v>8953</v>
      </c>
      <c r="O3203" t="s">
        <v>8989</v>
      </c>
      <c r="P3203" s="1" t="e">
        <v>#N/A</v>
      </c>
      <c r="Q3203" s="1" t="e">
        <v>#N/A</v>
      </c>
      <c r="R3203" s="1">
        <f t="shared" ref="R3203:R3207" si="936">1+LEN(T3203)-LEN(SUBSTITUTE(T3203,",",))</f>
        <v>6</v>
      </c>
      <c r="S3203" s="1" t="str">
        <f t="shared" ref="S3203:S3207" si="937">IF(R3203&gt;4,IF(R3203&lt;8,"4-7",IF(R3203&gt;7,"&gt;7")),"&lt;4")</f>
        <v>4-7</v>
      </c>
      <c r="T3203" s="1" t="s">
        <v>20400</v>
      </c>
      <c r="U3203" s="1" t="s">
        <v>17</v>
      </c>
      <c r="V3203" s="1" t="s">
        <v>87</v>
      </c>
      <c r="W3203" s="1"/>
    </row>
    <row r="3204" spans="1:23" x14ac:dyDescent="0.2">
      <c r="A3204" s="89" t="s">
        <v>8406</v>
      </c>
      <c r="B3204" s="1" t="e">
        <v>#N/A</v>
      </c>
      <c r="C3204" s="1" t="e">
        <v>#N/A</v>
      </c>
      <c r="D3204" s="1" t="s">
        <v>8407</v>
      </c>
      <c r="E3204" s="1" t="s">
        <v>8408</v>
      </c>
      <c r="F3204" t="e">
        <v>#N/A</v>
      </c>
      <c r="G3204" t="e">
        <v>#N/A</v>
      </c>
      <c r="H3204" t="e">
        <v>#N/A</v>
      </c>
      <c r="I3204" t="e">
        <v>#N/A</v>
      </c>
      <c r="J3204" t="e">
        <v>#N/A</v>
      </c>
      <c r="K3204" t="e">
        <v>#N/A</v>
      </c>
      <c r="L3204" t="e">
        <v>#N/A</v>
      </c>
      <c r="M3204" t="e">
        <v>#N/A</v>
      </c>
      <c r="N3204" t="e">
        <v>#N/A</v>
      </c>
      <c r="O3204" t="e">
        <v>#N/A</v>
      </c>
      <c r="P3204" s="1" t="e">
        <v>#N/A</v>
      </c>
      <c r="Q3204" s="1" t="e">
        <v>#N/A</v>
      </c>
      <c r="R3204" s="1">
        <f t="shared" si="936"/>
        <v>3</v>
      </c>
      <c r="S3204" s="1" t="str">
        <f t="shared" si="937"/>
        <v>&lt;4</v>
      </c>
      <c r="T3204" s="1" t="s">
        <v>20401</v>
      </c>
      <c r="U3204" s="1" t="s">
        <v>7</v>
      </c>
      <c r="V3204" s="1" t="s">
        <v>1726</v>
      </c>
      <c r="W3204" s="1"/>
    </row>
    <row r="3205" spans="1:23" x14ac:dyDescent="0.2">
      <c r="A3205" s="88" t="s">
        <v>18302</v>
      </c>
      <c r="B3205" s="1" t="e">
        <v>#N/A</v>
      </c>
      <c r="C3205" s="1" t="e">
        <v>#N/A</v>
      </c>
      <c r="D3205" s="1" t="s">
        <v>8409</v>
      </c>
      <c r="E3205" s="1" t="s">
        <v>8410</v>
      </c>
      <c r="F3205" t="s">
        <v>18502</v>
      </c>
      <c r="G3205" t="s">
        <v>8959</v>
      </c>
      <c r="H3205" t="s">
        <v>9009</v>
      </c>
      <c r="I3205" t="s">
        <v>8984</v>
      </c>
      <c r="J3205" t="s">
        <v>9131</v>
      </c>
      <c r="K3205" t="s">
        <v>21196</v>
      </c>
      <c r="L3205" t="s">
        <v>8987</v>
      </c>
      <c r="M3205">
        <f>92+542+5278</f>
        <v>5912</v>
      </c>
      <c r="N3205" t="s">
        <v>8953</v>
      </c>
      <c r="O3205" t="s">
        <v>8954</v>
      </c>
      <c r="P3205" s="1" t="e">
        <v>#N/A</v>
      </c>
      <c r="Q3205" s="1" t="e">
        <v>#N/A</v>
      </c>
      <c r="R3205" s="1">
        <f t="shared" si="936"/>
        <v>8</v>
      </c>
      <c r="S3205" s="1" t="str">
        <f t="shared" si="937"/>
        <v>&gt;7</v>
      </c>
      <c r="T3205" s="1" t="s">
        <v>20402</v>
      </c>
      <c r="U3205" s="1" t="s">
        <v>7</v>
      </c>
      <c r="V3205" s="1" t="s">
        <v>6293</v>
      </c>
      <c r="W3205" s="1"/>
    </row>
    <row r="3206" spans="1:23" x14ac:dyDescent="0.2">
      <c r="A3206" s="89" t="s">
        <v>8411</v>
      </c>
      <c r="B3206" s="1" t="e">
        <v>#N/A</v>
      </c>
      <c r="C3206" s="1" t="e">
        <v>#N/A</v>
      </c>
      <c r="D3206" s="1" t="s">
        <v>8412</v>
      </c>
      <c r="E3206" s="1" t="s">
        <v>8413</v>
      </c>
      <c r="F3206" t="e">
        <v>#N/A</v>
      </c>
      <c r="G3206" t="e">
        <v>#N/A</v>
      </c>
      <c r="H3206" t="e">
        <v>#N/A</v>
      </c>
      <c r="I3206" t="e">
        <v>#N/A</v>
      </c>
      <c r="J3206" t="e">
        <v>#N/A</v>
      </c>
      <c r="K3206" t="e">
        <v>#N/A</v>
      </c>
      <c r="L3206" t="e">
        <v>#N/A</v>
      </c>
      <c r="M3206" t="e">
        <v>#N/A</v>
      </c>
      <c r="N3206" t="e">
        <v>#N/A</v>
      </c>
      <c r="O3206" t="e">
        <v>#N/A</v>
      </c>
      <c r="P3206" s="1" t="e">
        <v>#N/A</v>
      </c>
      <c r="Q3206" s="1" t="e">
        <v>#N/A</v>
      </c>
      <c r="R3206" s="1">
        <f t="shared" si="936"/>
        <v>8</v>
      </c>
      <c r="S3206" s="1" t="str">
        <f t="shared" si="937"/>
        <v>&gt;7</v>
      </c>
      <c r="T3206" s="1" t="s">
        <v>20403</v>
      </c>
      <c r="U3206" s="1" t="s">
        <v>7</v>
      </c>
      <c r="V3206" s="1" t="s">
        <v>4168</v>
      </c>
      <c r="W3206" s="1"/>
    </row>
    <row r="3207" spans="1:23" x14ac:dyDescent="0.2">
      <c r="A3207" s="88" t="s">
        <v>18303</v>
      </c>
      <c r="B3207" s="1" t="e">
        <v>#N/A</v>
      </c>
      <c r="C3207" s="1" t="e">
        <v>#N/A</v>
      </c>
      <c r="D3207" s="1" t="s">
        <v>8414</v>
      </c>
      <c r="E3207" s="1" t="s">
        <v>8415</v>
      </c>
      <c r="F3207" t="s">
        <v>10049</v>
      </c>
      <c r="G3207" t="s">
        <v>9060</v>
      </c>
      <c r="H3207" t="s">
        <v>8959</v>
      </c>
      <c r="I3207" t="s">
        <v>9075</v>
      </c>
      <c r="J3207" t="s">
        <v>9155</v>
      </c>
      <c r="K3207" t="s">
        <v>10492</v>
      </c>
      <c r="L3207" t="s">
        <v>8973</v>
      </c>
      <c r="M3207">
        <v>50</v>
      </c>
      <c r="N3207" t="s">
        <v>9059</v>
      </c>
      <c r="O3207" t="s">
        <v>8989</v>
      </c>
      <c r="P3207" s="1" t="e">
        <v>#N/A</v>
      </c>
      <c r="Q3207" s="1" t="e">
        <v>#N/A</v>
      </c>
      <c r="R3207" s="1">
        <f t="shared" si="936"/>
        <v>8</v>
      </c>
      <c r="S3207" s="1" t="str">
        <f t="shared" si="937"/>
        <v>&gt;7</v>
      </c>
      <c r="T3207" s="1" t="s">
        <v>20404</v>
      </c>
      <c r="U3207" s="1" t="s">
        <v>17</v>
      </c>
      <c r="V3207" s="1" t="s">
        <v>378</v>
      </c>
      <c r="W3207" s="1"/>
    </row>
    <row r="3208" spans="1:23" x14ac:dyDescent="0.2">
      <c r="A3208" s="88" t="s">
        <v>18304</v>
      </c>
      <c r="B3208" s="1" t="e">
        <v>#N/A</v>
      </c>
      <c r="C3208" s="1" t="s">
        <v>11249</v>
      </c>
      <c r="D3208" s="1" t="s">
        <v>8416</v>
      </c>
      <c r="E3208" s="1" t="s">
        <v>8417</v>
      </c>
      <c r="F3208" t="s">
        <v>9650</v>
      </c>
      <c r="G3208" t="s">
        <v>9060</v>
      </c>
      <c r="H3208" t="s">
        <v>9183</v>
      </c>
      <c r="I3208" t="s">
        <v>9049</v>
      </c>
      <c r="J3208" t="s">
        <v>9050</v>
      </c>
      <c r="K3208" t="s">
        <v>9036</v>
      </c>
      <c r="L3208" t="s">
        <v>8951</v>
      </c>
      <c r="M3208">
        <v>216</v>
      </c>
      <c r="N3208" t="s">
        <v>8953</v>
      </c>
      <c r="O3208" t="s">
        <v>8954</v>
      </c>
      <c r="P3208" s="1" t="s">
        <v>8955</v>
      </c>
      <c r="Q3208" s="1" t="s">
        <v>8956</v>
      </c>
      <c r="R3208" s="1" t="s">
        <v>9060</v>
      </c>
      <c r="S3208" s="1" t="s">
        <v>8958</v>
      </c>
      <c r="T3208" s="1" t="s">
        <v>8418</v>
      </c>
      <c r="U3208" s="1" t="s">
        <v>11</v>
      </c>
      <c r="V3208" s="1" t="s">
        <v>74</v>
      </c>
      <c r="W3208" s="1"/>
    </row>
    <row r="3209" spans="1:23" x14ac:dyDescent="0.2">
      <c r="A3209" s="88" t="s">
        <v>18305</v>
      </c>
      <c r="B3209" s="1" t="e">
        <v>#N/A</v>
      </c>
      <c r="C3209" s="1" t="e">
        <v>#N/A</v>
      </c>
      <c r="D3209" s="1" t="s">
        <v>8419</v>
      </c>
      <c r="E3209" s="1" t="s">
        <v>8420</v>
      </c>
      <c r="F3209" t="s">
        <v>12547</v>
      </c>
      <c r="G3209" t="s">
        <v>8957</v>
      </c>
      <c r="H3209" t="s">
        <v>8959</v>
      </c>
      <c r="I3209" t="s">
        <v>20714</v>
      </c>
      <c r="J3209" t="s">
        <v>9050</v>
      </c>
      <c r="K3209" t="s">
        <v>10525</v>
      </c>
      <c r="L3209" t="s">
        <v>8951</v>
      </c>
      <c r="M3209">
        <f>130+89+53576+1200+1748+103+4105</f>
        <v>60951</v>
      </c>
      <c r="N3209" t="s">
        <v>8953</v>
      </c>
      <c r="O3209" t="s">
        <v>8954</v>
      </c>
      <c r="P3209" s="1" t="e">
        <v>#N/A</v>
      </c>
      <c r="Q3209" s="1" t="e">
        <v>#N/A</v>
      </c>
      <c r="R3209" s="1">
        <f t="shared" ref="R3209:R3211" si="938">1+LEN(T3209)-LEN(SUBSTITUTE(T3209,",",))</f>
        <v>4</v>
      </c>
      <c r="S3209" s="1" t="str">
        <f t="shared" ref="S3209:S3211" si="939">IF(R3209&gt;4,IF(R3209&lt;8,"4-7",IF(R3209&gt;7,"&gt;7")),"&lt;4")</f>
        <v>&lt;4</v>
      </c>
      <c r="T3209" s="1" t="s">
        <v>20706</v>
      </c>
      <c r="U3209" s="1" t="s">
        <v>7</v>
      </c>
      <c r="V3209" s="1" t="s">
        <v>74</v>
      </c>
      <c r="W3209" s="1"/>
    </row>
    <row r="3210" spans="1:23" x14ac:dyDescent="0.2">
      <c r="A3210" s="89" t="s">
        <v>8421</v>
      </c>
      <c r="B3210" s="1" t="e">
        <v>#N/A</v>
      </c>
      <c r="C3210" s="1" t="e">
        <v>#N/A</v>
      </c>
      <c r="D3210" s="1" t="s">
        <v>8422</v>
      </c>
      <c r="E3210" s="1" t="s">
        <v>8423</v>
      </c>
      <c r="F3210" t="e">
        <v>#N/A</v>
      </c>
      <c r="G3210" t="e">
        <v>#N/A</v>
      </c>
      <c r="H3210" t="e">
        <v>#N/A</v>
      </c>
      <c r="I3210" t="e">
        <v>#N/A</v>
      </c>
      <c r="J3210" t="e">
        <v>#N/A</v>
      </c>
      <c r="K3210" t="e">
        <v>#N/A</v>
      </c>
      <c r="L3210" t="e">
        <v>#N/A</v>
      </c>
      <c r="M3210" t="e">
        <v>#N/A</v>
      </c>
      <c r="N3210" t="e">
        <v>#N/A</v>
      </c>
      <c r="O3210" t="e">
        <v>#N/A</v>
      </c>
      <c r="P3210" s="1" t="e">
        <v>#N/A</v>
      </c>
      <c r="Q3210" s="1" t="e">
        <v>#N/A</v>
      </c>
      <c r="R3210" s="1">
        <f t="shared" si="938"/>
        <v>1</v>
      </c>
      <c r="S3210" s="1" t="str">
        <f t="shared" si="939"/>
        <v>&lt;4</v>
      </c>
      <c r="T3210" s="1" t="s">
        <v>8424</v>
      </c>
      <c r="U3210" s="1" t="s">
        <v>17</v>
      </c>
      <c r="V3210" s="1" t="s">
        <v>382</v>
      </c>
      <c r="W3210" s="1"/>
    </row>
    <row r="3211" spans="1:23" x14ac:dyDescent="0.2">
      <c r="A3211" s="89" t="s">
        <v>8425</v>
      </c>
      <c r="B3211" s="1" t="e">
        <v>#N/A</v>
      </c>
      <c r="C3211" s="1" t="e">
        <v>#N/A</v>
      </c>
      <c r="D3211" s="1" t="s">
        <v>8426</v>
      </c>
      <c r="E3211" s="1" t="s">
        <v>8427</v>
      </c>
      <c r="F3211" t="e">
        <v>#N/A</v>
      </c>
      <c r="G3211" t="e">
        <v>#N/A</v>
      </c>
      <c r="H3211" t="e">
        <v>#N/A</v>
      </c>
      <c r="I3211" t="e">
        <v>#N/A</v>
      </c>
      <c r="J3211" t="e">
        <v>#N/A</v>
      </c>
      <c r="K3211" t="e">
        <v>#N/A</v>
      </c>
      <c r="L3211" t="e">
        <v>#N/A</v>
      </c>
      <c r="M3211" t="e">
        <v>#N/A</v>
      </c>
      <c r="N3211" t="e">
        <v>#N/A</v>
      </c>
      <c r="O3211" t="e">
        <v>#N/A</v>
      </c>
      <c r="P3211" s="1" t="e">
        <v>#N/A</v>
      </c>
      <c r="Q3211" s="1" t="e">
        <v>#N/A</v>
      </c>
      <c r="R3211" s="1">
        <f t="shared" si="938"/>
        <v>5</v>
      </c>
      <c r="S3211" s="1" t="str">
        <f t="shared" si="939"/>
        <v>4-7</v>
      </c>
      <c r="T3211" s="1" t="s">
        <v>20405</v>
      </c>
      <c r="U3211" s="1" t="s">
        <v>11</v>
      </c>
      <c r="V3211" s="1" t="s">
        <v>1202</v>
      </c>
      <c r="W3211" s="1"/>
    </row>
    <row r="3212" spans="1:23" x14ac:dyDescent="0.2">
      <c r="A3212" s="88" t="s">
        <v>18306</v>
      </c>
      <c r="B3212" s="1" t="e">
        <v>#N/A</v>
      </c>
      <c r="C3212" s="1" t="s">
        <v>12640</v>
      </c>
      <c r="D3212" s="1" t="s">
        <v>8428</v>
      </c>
      <c r="E3212" s="1" t="s">
        <v>8429</v>
      </c>
      <c r="F3212" t="s">
        <v>9650</v>
      </c>
      <c r="G3212" t="s">
        <v>8957</v>
      </c>
      <c r="H3212" t="s">
        <v>8959</v>
      </c>
      <c r="I3212" t="s">
        <v>9173</v>
      </c>
      <c r="J3212" t="s">
        <v>9422</v>
      </c>
      <c r="K3212" t="s">
        <v>9036</v>
      </c>
      <c r="L3212" t="s">
        <v>8987</v>
      </c>
      <c r="M3212">
        <v>22</v>
      </c>
      <c r="N3212" t="s">
        <v>8953</v>
      </c>
      <c r="O3212" t="s">
        <v>8954</v>
      </c>
      <c r="P3212" s="1" t="s">
        <v>8955</v>
      </c>
      <c r="Q3212" s="1" t="s">
        <v>8956</v>
      </c>
      <c r="R3212" s="1" t="s">
        <v>8957</v>
      </c>
      <c r="S3212" s="1" t="s">
        <v>8958</v>
      </c>
      <c r="T3212" s="1" t="s">
        <v>8430</v>
      </c>
      <c r="U3212" s="1" t="s">
        <v>11</v>
      </c>
      <c r="V3212" s="1" t="s">
        <v>184</v>
      </c>
      <c r="W3212" s="1"/>
    </row>
    <row r="3213" spans="1:23" x14ac:dyDescent="0.2">
      <c r="A3213" s="89" t="s">
        <v>8431</v>
      </c>
      <c r="B3213" s="1" t="e">
        <v>#N/A</v>
      </c>
      <c r="C3213" s="1" t="s">
        <v>11315</v>
      </c>
      <c r="D3213" s="1" t="s">
        <v>8432</v>
      </c>
      <c r="E3213" s="1" t="s">
        <v>8433</v>
      </c>
      <c r="F3213" t="s">
        <v>9333</v>
      </c>
      <c r="G3213" t="s">
        <v>8957</v>
      </c>
      <c r="H3213" t="s">
        <v>9183</v>
      </c>
      <c r="I3213" t="s">
        <v>11318</v>
      </c>
      <c r="J3213" t="s">
        <v>9725</v>
      </c>
      <c r="K3213" t="s">
        <v>9036</v>
      </c>
      <c r="L3213" t="s">
        <v>9133</v>
      </c>
      <c r="M3213" t="s">
        <v>9479</v>
      </c>
      <c r="N3213" t="s">
        <v>8953</v>
      </c>
      <c r="O3213" t="s">
        <v>8954</v>
      </c>
      <c r="P3213" s="1" t="s">
        <v>8955</v>
      </c>
      <c r="Q3213" s="1" t="s">
        <v>8956</v>
      </c>
      <c r="R3213" s="1" t="s">
        <v>8957</v>
      </c>
      <c r="S3213" s="1" t="s">
        <v>9103</v>
      </c>
      <c r="T3213" s="1" t="s">
        <v>8434</v>
      </c>
      <c r="U3213" s="1" t="s">
        <v>11</v>
      </c>
      <c r="V3213" s="1" t="s">
        <v>1519</v>
      </c>
      <c r="W3213" s="1"/>
    </row>
    <row r="3214" spans="1:23" x14ac:dyDescent="0.2">
      <c r="A3214" s="88" t="s">
        <v>18307</v>
      </c>
      <c r="B3214" s="1" t="e">
        <v>#N/A</v>
      </c>
      <c r="C3214" s="1" t="s">
        <v>12851</v>
      </c>
      <c r="D3214" s="1" t="s">
        <v>8435</v>
      </c>
      <c r="E3214" s="1" t="s">
        <v>8436</v>
      </c>
      <c r="F3214" t="s">
        <v>9380</v>
      </c>
      <c r="G3214" t="s">
        <v>9060</v>
      </c>
      <c r="H3214" t="s">
        <v>9009</v>
      </c>
      <c r="I3214" t="s">
        <v>9100</v>
      </c>
      <c r="J3214" t="s">
        <v>9725</v>
      </c>
      <c r="K3214" t="s">
        <v>10492</v>
      </c>
      <c r="L3214" t="s">
        <v>8973</v>
      </c>
      <c r="M3214">
        <v>200</v>
      </c>
      <c r="N3214" t="s">
        <v>8953</v>
      </c>
      <c r="O3214" t="s">
        <v>8954</v>
      </c>
      <c r="P3214" s="1" t="s">
        <v>8955</v>
      </c>
      <c r="Q3214" s="1" t="s">
        <v>8956</v>
      </c>
      <c r="R3214" s="1" t="s">
        <v>9060</v>
      </c>
      <c r="S3214" s="1" t="s">
        <v>8958</v>
      </c>
      <c r="T3214" s="1" t="s">
        <v>8437</v>
      </c>
      <c r="U3214" s="1" t="s">
        <v>11</v>
      </c>
      <c r="V3214" s="1" t="s">
        <v>24</v>
      </c>
      <c r="W3214" s="1"/>
    </row>
    <row r="3215" spans="1:23" x14ac:dyDescent="0.2">
      <c r="A3215" s="88" t="s">
        <v>18308</v>
      </c>
      <c r="B3215" s="1" t="e">
        <v>#N/A</v>
      </c>
      <c r="C3215" s="1" t="e">
        <v>#N/A</v>
      </c>
      <c r="D3215" s="1" t="s">
        <v>15491</v>
      </c>
      <c r="E3215" s="1" t="s">
        <v>8438</v>
      </c>
      <c r="F3215" t="s">
        <v>9317</v>
      </c>
      <c r="G3215" t="s">
        <v>8957</v>
      </c>
      <c r="H3215" t="s">
        <v>9061</v>
      </c>
      <c r="I3215" t="s">
        <v>9100</v>
      </c>
      <c r="J3215" t="s">
        <v>8949</v>
      </c>
      <c r="K3215" t="s">
        <v>9102</v>
      </c>
      <c r="L3215" t="e">
        <v>#N/A</v>
      </c>
      <c r="M3215">
        <v>7</v>
      </c>
      <c r="N3215" t="s">
        <v>9059</v>
      </c>
      <c r="O3215" t="s">
        <v>8989</v>
      </c>
      <c r="P3215" s="1" t="e">
        <v>#N/A</v>
      </c>
      <c r="Q3215" s="1" t="e">
        <v>#N/A</v>
      </c>
      <c r="R3215" s="1">
        <f t="shared" ref="R3215:R3218" si="940">1+LEN(T3215)-LEN(SUBSTITUTE(T3215,",",))</f>
        <v>10</v>
      </c>
      <c r="S3215" s="1" t="str">
        <f t="shared" ref="S3215:S3218" si="941">IF(R3215&gt;4,IF(R3215&lt;8,"4-7",IF(R3215&gt;7,"&gt;7")),"&lt;4")</f>
        <v>&gt;7</v>
      </c>
      <c r="T3215" s="1" t="s">
        <v>20406</v>
      </c>
      <c r="U3215" s="1" t="s">
        <v>17</v>
      </c>
      <c r="V3215" s="1" t="s">
        <v>161</v>
      </c>
      <c r="W3215" s="1"/>
    </row>
    <row r="3216" spans="1:23" x14ac:dyDescent="0.2">
      <c r="A3216" s="88" t="s">
        <v>18309</v>
      </c>
      <c r="B3216" s="1" t="e">
        <v>#N/A</v>
      </c>
      <c r="C3216" s="1" t="e">
        <v>#N/A</v>
      </c>
      <c r="D3216" s="1" t="s">
        <v>8439</v>
      </c>
      <c r="E3216" s="1" t="s">
        <v>8440</v>
      </c>
      <c r="F3216" t="s">
        <v>9317</v>
      </c>
      <c r="G3216" t="s">
        <v>8957</v>
      </c>
      <c r="H3216" t="s">
        <v>9009</v>
      </c>
      <c r="I3216" t="s">
        <v>9252</v>
      </c>
      <c r="J3216" t="s">
        <v>21174</v>
      </c>
      <c r="K3216" t="s">
        <v>21197</v>
      </c>
      <c r="L3216" t="s">
        <v>21175</v>
      </c>
      <c r="M3216">
        <f>299+301</f>
        <v>600</v>
      </c>
      <c r="N3216" t="s">
        <v>8953</v>
      </c>
      <c r="O3216" t="s">
        <v>8989</v>
      </c>
      <c r="P3216" s="1" t="e">
        <v>#N/A</v>
      </c>
      <c r="Q3216" s="1" t="e">
        <v>#N/A</v>
      </c>
      <c r="R3216" s="1">
        <f t="shared" si="940"/>
        <v>12</v>
      </c>
      <c r="S3216" s="1" t="str">
        <f t="shared" si="941"/>
        <v>&gt;7</v>
      </c>
      <c r="T3216" s="1" t="s">
        <v>20407</v>
      </c>
      <c r="U3216" s="1" t="s">
        <v>17</v>
      </c>
      <c r="V3216" s="1" t="s">
        <v>24</v>
      </c>
      <c r="W3216" s="1"/>
    </row>
    <row r="3217" spans="1:23" x14ac:dyDescent="0.2">
      <c r="A3217" s="88" t="s">
        <v>18310</v>
      </c>
      <c r="B3217" s="1" t="e">
        <v>#N/A</v>
      </c>
      <c r="C3217" s="1" t="e">
        <v>#N/A</v>
      </c>
      <c r="D3217" s="1" t="s">
        <v>8441</v>
      </c>
      <c r="E3217" s="1" t="s">
        <v>8442</v>
      </c>
      <c r="F3217" t="s">
        <v>21162</v>
      </c>
      <c r="G3217" t="s">
        <v>8957</v>
      </c>
      <c r="H3217" t="s">
        <v>8959</v>
      </c>
      <c r="I3217" t="s">
        <v>9092</v>
      </c>
      <c r="J3217" t="s">
        <v>8971</v>
      </c>
      <c r="K3217" t="s">
        <v>21198</v>
      </c>
      <c r="L3217" t="s">
        <v>8973</v>
      </c>
      <c r="M3217">
        <f>3104+870+560+1200</f>
        <v>5734</v>
      </c>
      <c r="N3217" t="s">
        <v>8953</v>
      </c>
      <c r="O3217" t="s">
        <v>8989</v>
      </c>
      <c r="P3217" s="1" t="e">
        <v>#N/A</v>
      </c>
      <c r="Q3217" s="1" t="e">
        <v>#N/A</v>
      </c>
      <c r="R3217" s="1">
        <f t="shared" si="940"/>
        <v>6</v>
      </c>
      <c r="S3217" s="1" t="str">
        <f t="shared" si="941"/>
        <v>4-7</v>
      </c>
      <c r="T3217" s="1" t="s">
        <v>20408</v>
      </c>
      <c r="U3217" s="1" t="s">
        <v>7</v>
      </c>
      <c r="V3217" s="1" t="s">
        <v>64</v>
      </c>
      <c r="W3217" s="1"/>
    </row>
    <row r="3218" spans="1:23" x14ac:dyDescent="0.2">
      <c r="A3218" s="89" t="s">
        <v>18311</v>
      </c>
      <c r="B3218" s="1" t="e">
        <v>#N/A</v>
      </c>
      <c r="C3218" s="1" t="e">
        <v>#N/A</v>
      </c>
      <c r="D3218" s="1" t="s">
        <v>8443</v>
      </c>
      <c r="E3218" s="1" t="s">
        <v>8444</v>
      </c>
      <c r="F3218" t="e">
        <v>#N/A</v>
      </c>
      <c r="G3218" t="e">
        <v>#N/A</v>
      </c>
      <c r="H3218" t="e">
        <v>#N/A</v>
      </c>
      <c r="I3218" t="e">
        <v>#N/A</v>
      </c>
      <c r="J3218" t="e">
        <v>#N/A</v>
      </c>
      <c r="K3218" t="e">
        <v>#N/A</v>
      </c>
      <c r="L3218" t="e">
        <v>#N/A</v>
      </c>
      <c r="M3218" t="e">
        <v>#N/A</v>
      </c>
      <c r="N3218" t="e">
        <v>#N/A</v>
      </c>
      <c r="O3218" t="e">
        <v>#N/A</v>
      </c>
      <c r="P3218" s="1" t="e">
        <v>#N/A</v>
      </c>
      <c r="Q3218" s="1" t="e">
        <v>#N/A</v>
      </c>
      <c r="R3218" s="1">
        <f t="shared" si="940"/>
        <v>1</v>
      </c>
      <c r="S3218" s="1" t="str">
        <f t="shared" si="941"/>
        <v>&lt;4</v>
      </c>
      <c r="U3218" s="1" t="s">
        <v>11</v>
      </c>
      <c r="V3218" s="1" t="s">
        <v>1421</v>
      </c>
      <c r="W3218" s="1"/>
    </row>
    <row r="3219" spans="1:23" x14ac:dyDescent="0.2">
      <c r="A3219" s="88" t="s">
        <v>18312</v>
      </c>
      <c r="B3219" s="1" t="e">
        <v>#N/A</v>
      </c>
      <c r="C3219" s="1" t="s">
        <v>10204</v>
      </c>
      <c r="D3219" s="1" t="s">
        <v>8445</v>
      </c>
      <c r="E3219" s="1" t="s">
        <v>8446</v>
      </c>
      <c r="F3219" t="s">
        <v>9010</v>
      </c>
      <c r="G3219" t="s">
        <v>8957</v>
      </c>
      <c r="H3219" t="s">
        <v>8959</v>
      </c>
      <c r="I3219" t="s">
        <v>9035</v>
      </c>
      <c r="J3219" t="s">
        <v>9308</v>
      </c>
      <c r="K3219" t="s">
        <v>9316</v>
      </c>
      <c r="L3219" t="s">
        <v>8973</v>
      </c>
      <c r="M3219">
        <v>118</v>
      </c>
      <c r="N3219" t="s">
        <v>8953</v>
      </c>
      <c r="O3219" t="s">
        <v>8989</v>
      </c>
      <c r="P3219" s="1" t="s">
        <v>8955</v>
      </c>
      <c r="Q3219" s="1" t="s">
        <v>8956</v>
      </c>
      <c r="R3219" s="1" t="s">
        <v>8957</v>
      </c>
      <c r="S3219" s="1" t="s">
        <v>8958</v>
      </c>
      <c r="T3219" s="1" t="s">
        <v>8447</v>
      </c>
      <c r="U3219" s="1" t="s">
        <v>17</v>
      </c>
      <c r="V3219" s="1" t="s">
        <v>93</v>
      </c>
      <c r="W3219" s="1"/>
    </row>
    <row r="3220" spans="1:23" x14ac:dyDescent="0.2">
      <c r="A3220" s="88" t="s">
        <v>18313</v>
      </c>
      <c r="B3220" s="1" t="e">
        <v>#N/A</v>
      </c>
      <c r="C3220" s="1" t="e">
        <v>#N/A</v>
      </c>
      <c r="D3220" s="1" t="s">
        <v>8448</v>
      </c>
      <c r="E3220" s="1" t="s">
        <v>8449</v>
      </c>
      <c r="F3220" t="s">
        <v>18502</v>
      </c>
      <c r="G3220" t="s">
        <v>8957</v>
      </c>
      <c r="H3220" t="s">
        <v>9061</v>
      </c>
      <c r="I3220" t="s">
        <v>9075</v>
      </c>
      <c r="J3220" t="s">
        <v>8949</v>
      </c>
      <c r="K3220" t="s">
        <v>10492</v>
      </c>
      <c r="L3220" t="s">
        <v>8973</v>
      </c>
      <c r="M3220">
        <v>550</v>
      </c>
      <c r="N3220" t="s">
        <v>8953</v>
      </c>
      <c r="O3220" t="s">
        <v>8954</v>
      </c>
      <c r="P3220" s="1" t="e">
        <v>#N/A</v>
      </c>
      <c r="Q3220" s="1" t="e">
        <v>#N/A</v>
      </c>
      <c r="R3220" s="1">
        <f>1+LEN(T3220)-LEN(SUBSTITUTE(T3220,",",))</f>
        <v>9</v>
      </c>
      <c r="S3220" s="1" t="str">
        <f>IF(R3220&gt;4,IF(R3220&lt;8,"4-7",IF(R3220&gt;7,"&gt;7")),"&lt;4")</f>
        <v>&gt;7</v>
      </c>
      <c r="T3220" s="1" t="s">
        <v>20409</v>
      </c>
      <c r="U3220" s="1" t="s">
        <v>7</v>
      </c>
      <c r="V3220" s="1" t="s">
        <v>500</v>
      </c>
      <c r="W3220" s="1"/>
    </row>
    <row r="3221" spans="1:23" x14ac:dyDescent="0.2">
      <c r="A3221" s="88" t="s">
        <v>18314</v>
      </c>
      <c r="B3221" s="1" t="e">
        <v>#N/A</v>
      </c>
      <c r="C3221" s="1" t="s">
        <v>13039</v>
      </c>
      <c r="D3221" s="1" t="s">
        <v>8450</v>
      </c>
      <c r="E3221" s="1" t="s">
        <v>8451</v>
      </c>
      <c r="F3221" t="s">
        <v>9010</v>
      </c>
      <c r="G3221" t="s">
        <v>8957</v>
      </c>
      <c r="H3221" t="s">
        <v>9061</v>
      </c>
      <c r="I3221" t="s">
        <v>8948</v>
      </c>
      <c r="J3221" t="s">
        <v>8998</v>
      </c>
      <c r="K3221" t="s">
        <v>9036</v>
      </c>
      <c r="L3221" t="s">
        <v>9292</v>
      </c>
      <c r="M3221">
        <v>1004</v>
      </c>
      <c r="N3221" t="s">
        <v>8953</v>
      </c>
      <c r="O3221" t="s">
        <v>8989</v>
      </c>
      <c r="P3221" s="1" t="s">
        <v>8955</v>
      </c>
      <c r="Q3221" s="1" t="s">
        <v>8956</v>
      </c>
      <c r="R3221" s="1" t="s">
        <v>8957</v>
      </c>
      <c r="S3221" s="1" t="s">
        <v>8975</v>
      </c>
      <c r="T3221" s="1" t="s">
        <v>8452</v>
      </c>
      <c r="U3221" s="1" t="s">
        <v>11</v>
      </c>
      <c r="V3221" s="1" t="s">
        <v>180</v>
      </c>
      <c r="W3221" s="1"/>
    </row>
    <row r="3222" spans="1:23" x14ac:dyDescent="0.2">
      <c r="A3222" s="88" t="s">
        <v>18315</v>
      </c>
      <c r="B3222" s="1" t="e">
        <v>#N/A</v>
      </c>
      <c r="C3222" s="1" t="s">
        <v>11090</v>
      </c>
      <c r="D3222" s="1" t="s">
        <v>8453</v>
      </c>
      <c r="E3222" s="1" t="s">
        <v>8454</v>
      </c>
      <c r="F3222" t="s">
        <v>9010</v>
      </c>
      <c r="G3222" t="s">
        <v>8957</v>
      </c>
      <c r="H3222" t="s">
        <v>9061</v>
      </c>
      <c r="I3222" t="s">
        <v>9035</v>
      </c>
      <c r="J3222" t="s">
        <v>9308</v>
      </c>
      <c r="K3222" t="s">
        <v>21199</v>
      </c>
      <c r="L3222" t="s">
        <v>8951</v>
      </c>
      <c r="M3222">
        <v>158323</v>
      </c>
      <c r="N3222" t="s">
        <v>8953</v>
      </c>
      <c r="O3222" t="s">
        <v>8989</v>
      </c>
      <c r="P3222" s="1" t="s">
        <v>8955</v>
      </c>
      <c r="Q3222" s="1" t="s">
        <v>8956</v>
      </c>
      <c r="R3222" s="1" t="s">
        <v>8957</v>
      </c>
      <c r="S3222" s="1" t="s">
        <v>8958</v>
      </c>
      <c r="T3222" s="1" t="s">
        <v>8455</v>
      </c>
      <c r="U3222" s="1" t="s">
        <v>11</v>
      </c>
      <c r="V3222" s="1" t="s">
        <v>771</v>
      </c>
      <c r="W3222" s="1"/>
    </row>
    <row r="3223" spans="1:23" x14ac:dyDescent="0.2">
      <c r="A3223" s="88" t="s">
        <v>18316</v>
      </c>
      <c r="B3223" s="1" t="e">
        <v>#N/A</v>
      </c>
      <c r="C3223" s="1" t="e">
        <v>#N/A</v>
      </c>
      <c r="D3223" s="1" t="s">
        <v>8456</v>
      </c>
      <c r="E3223" s="1" t="s">
        <v>8457</v>
      </c>
      <c r="F3223" t="s">
        <v>9317</v>
      </c>
      <c r="G3223" t="s">
        <v>8957</v>
      </c>
      <c r="H3223" t="s">
        <v>8959</v>
      </c>
      <c r="I3223" t="s">
        <v>9100</v>
      </c>
      <c r="J3223" t="s">
        <v>8949</v>
      </c>
      <c r="K3223" t="s">
        <v>21200</v>
      </c>
      <c r="L3223" t="s">
        <v>8973</v>
      </c>
      <c r="M3223">
        <f>336+125</f>
        <v>461</v>
      </c>
      <c r="N3223" t="s">
        <v>9059</v>
      </c>
      <c r="O3223" t="s">
        <v>8954</v>
      </c>
      <c r="P3223" s="1" t="e">
        <v>#N/A</v>
      </c>
      <c r="Q3223" s="1" t="e">
        <v>#N/A</v>
      </c>
      <c r="R3223" s="1">
        <f>1+LEN(T3223)-LEN(SUBSTITUTE(T3223,",",))</f>
        <v>5</v>
      </c>
      <c r="S3223" s="1" t="str">
        <f>IF(R3223&gt;4,IF(R3223&lt;8,"4-7",IF(R3223&gt;7,"&gt;7")),"&lt;4")</f>
        <v>4-7</v>
      </c>
      <c r="T3223" s="1" t="s">
        <v>20410</v>
      </c>
      <c r="U3223" s="1" t="s">
        <v>7</v>
      </c>
      <c r="V3223" s="1" t="s">
        <v>64</v>
      </c>
      <c r="W3223" s="1"/>
    </row>
    <row r="3224" spans="1:23" x14ac:dyDescent="0.2">
      <c r="A3224" s="92" t="s">
        <v>18317</v>
      </c>
      <c r="B3224" s="1" t="e">
        <v>#N/A</v>
      </c>
      <c r="C3224" s="1" t="s">
        <v>14834</v>
      </c>
      <c r="D3224" s="1" t="s">
        <v>8458</v>
      </c>
      <c r="E3224" s="1" t="s">
        <v>8459</v>
      </c>
      <c r="F3224" t="s">
        <v>9310</v>
      </c>
      <c r="G3224" t="s">
        <v>9060</v>
      </c>
      <c r="H3224" t="s">
        <v>8959</v>
      </c>
      <c r="I3224" t="s">
        <v>9100</v>
      </c>
      <c r="J3224" t="s">
        <v>8949</v>
      </c>
      <c r="K3224" t="s">
        <v>9036</v>
      </c>
      <c r="L3224" t="s">
        <v>9133</v>
      </c>
      <c r="M3224">
        <v>509</v>
      </c>
      <c r="N3224" t="s">
        <v>8953</v>
      </c>
      <c r="O3224" t="s">
        <v>8954</v>
      </c>
      <c r="P3224" s="1" t="s">
        <v>8955</v>
      </c>
      <c r="Q3224" s="1" t="s">
        <v>8956</v>
      </c>
      <c r="R3224" s="1" t="s">
        <v>9060</v>
      </c>
      <c r="S3224" s="1" t="s">
        <v>8958</v>
      </c>
      <c r="T3224" s="1" t="s">
        <v>8460</v>
      </c>
      <c r="U3224" s="1" t="s">
        <v>17</v>
      </c>
      <c r="V3224" s="1" t="s">
        <v>1328</v>
      </c>
      <c r="W3224" s="1"/>
    </row>
    <row r="3225" spans="1:23" x14ac:dyDescent="0.2">
      <c r="A3225" s="88" t="s">
        <v>18318</v>
      </c>
      <c r="B3225" s="1" t="e">
        <v>#N/A</v>
      </c>
      <c r="C3225" s="1" t="e">
        <v>#N/A</v>
      </c>
      <c r="D3225" s="1" t="s">
        <v>8461</v>
      </c>
      <c r="E3225" s="1" t="s">
        <v>8462</v>
      </c>
      <c r="F3225" t="s">
        <v>18502</v>
      </c>
      <c r="G3225" t="s">
        <v>9060</v>
      </c>
      <c r="H3225" t="s">
        <v>8959</v>
      </c>
      <c r="I3225" t="s">
        <v>21176</v>
      </c>
      <c r="J3225" t="s">
        <v>21177</v>
      </c>
      <c r="K3225" t="s">
        <v>18497</v>
      </c>
      <c r="L3225" t="s">
        <v>9076</v>
      </c>
      <c r="M3225">
        <f>8+22</f>
        <v>30</v>
      </c>
      <c r="N3225" t="s">
        <v>9059</v>
      </c>
      <c r="O3225" t="s">
        <v>8989</v>
      </c>
      <c r="P3225" s="1" t="e">
        <v>#N/A</v>
      </c>
      <c r="Q3225" s="1" t="e">
        <v>#N/A</v>
      </c>
      <c r="R3225" s="1">
        <f>1+LEN(T3225)-LEN(SUBSTITUTE(T3225,",",))</f>
        <v>8</v>
      </c>
      <c r="S3225" s="1" t="str">
        <f>IF(R3225&gt;4,IF(R3225&lt;8,"4-7",IF(R3225&gt;7,"&gt;7")),"&lt;4")</f>
        <v>&gt;7</v>
      </c>
      <c r="T3225" s="1" t="s">
        <v>20411</v>
      </c>
      <c r="U3225" s="1" t="s">
        <v>17</v>
      </c>
      <c r="V3225" s="1" t="s">
        <v>161</v>
      </c>
      <c r="W3225" s="1"/>
    </row>
    <row r="3226" spans="1:23" x14ac:dyDescent="0.2">
      <c r="A3226" s="88" t="s">
        <v>18319</v>
      </c>
      <c r="B3226" s="1" t="e">
        <v>#N/A</v>
      </c>
      <c r="C3226" s="1" t="s">
        <v>11360</v>
      </c>
      <c r="D3226" s="1" t="s">
        <v>8463</v>
      </c>
      <c r="E3226" s="1" t="s">
        <v>8464</v>
      </c>
      <c r="F3226" t="s">
        <v>9465</v>
      </c>
      <c r="G3226" t="s">
        <v>8957</v>
      </c>
      <c r="H3226" t="s">
        <v>9183</v>
      </c>
      <c r="I3226" t="s">
        <v>9092</v>
      </c>
      <c r="J3226" t="s">
        <v>8949</v>
      </c>
      <c r="K3226" t="s">
        <v>9436</v>
      </c>
      <c r="L3226" t="s">
        <v>8973</v>
      </c>
      <c r="M3226">
        <v>20</v>
      </c>
      <c r="N3226" t="s">
        <v>9059</v>
      </c>
      <c r="O3226" t="s">
        <v>8989</v>
      </c>
      <c r="P3226" s="1" t="s">
        <v>8955</v>
      </c>
      <c r="Q3226" s="1" t="s">
        <v>8956</v>
      </c>
      <c r="R3226" s="1" t="s">
        <v>8957</v>
      </c>
      <c r="S3226" s="1" t="s">
        <v>9103</v>
      </c>
      <c r="T3226" s="1" t="s">
        <v>8465</v>
      </c>
      <c r="U3226" s="1" t="s">
        <v>11</v>
      </c>
      <c r="V3226" s="1" t="s">
        <v>204</v>
      </c>
      <c r="W3226" s="1"/>
    </row>
    <row r="3227" spans="1:23" x14ac:dyDescent="0.2">
      <c r="A3227" s="88" t="s">
        <v>18320</v>
      </c>
      <c r="B3227" s="1" t="e">
        <v>#N/A</v>
      </c>
      <c r="C3227" s="1" t="s">
        <v>9433</v>
      </c>
      <c r="D3227" s="1" t="s">
        <v>8466</v>
      </c>
      <c r="E3227" s="1" t="s">
        <v>8467</v>
      </c>
      <c r="F3227" t="s">
        <v>9310</v>
      </c>
      <c r="G3227" t="s">
        <v>8957</v>
      </c>
      <c r="H3227" t="s">
        <v>8959</v>
      </c>
      <c r="I3227" t="s">
        <v>9092</v>
      </c>
      <c r="J3227" t="s">
        <v>9155</v>
      </c>
      <c r="K3227" t="s">
        <v>9436</v>
      </c>
      <c r="L3227" t="s">
        <v>8973</v>
      </c>
      <c r="M3227">
        <v>25</v>
      </c>
      <c r="N3227" t="s">
        <v>8953</v>
      </c>
      <c r="O3227" t="s">
        <v>8954</v>
      </c>
      <c r="P3227" s="1" t="s">
        <v>8955</v>
      </c>
      <c r="Q3227" s="1" t="s">
        <v>8956</v>
      </c>
      <c r="R3227" s="1" t="s">
        <v>8957</v>
      </c>
      <c r="S3227" s="1" t="s">
        <v>9103</v>
      </c>
      <c r="T3227" s="1" t="s">
        <v>8465</v>
      </c>
      <c r="U3227" s="1" t="s">
        <v>17</v>
      </c>
      <c r="V3227" s="1" t="s">
        <v>126</v>
      </c>
      <c r="W3227" s="1"/>
    </row>
    <row r="3228" spans="1:23" x14ac:dyDescent="0.2">
      <c r="A3228" s="88" t="s">
        <v>18321</v>
      </c>
      <c r="B3228" s="1" t="e">
        <v>#N/A</v>
      </c>
      <c r="C3228" s="1" t="s">
        <v>12669</v>
      </c>
      <c r="D3228" s="1" t="s">
        <v>8468</v>
      </c>
      <c r="E3228" s="1" t="s">
        <v>8469</v>
      </c>
      <c r="F3228" t="s">
        <v>9310</v>
      </c>
      <c r="G3228" t="s">
        <v>9060</v>
      </c>
      <c r="H3228" t="s">
        <v>8959</v>
      </c>
      <c r="I3228" t="s">
        <v>8948</v>
      </c>
      <c r="J3228" t="s">
        <v>8949</v>
      </c>
      <c r="K3228" t="s">
        <v>21218</v>
      </c>
      <c r="L3228" t="s">
        <v>9133</v>
      </c>
      <c r="M3228">
        <v>357</v>
      </c>
      <c r="N3228" t="s">
        <v>9059</v>
      </c>
      <c r="O3228" t="s">
        <v>8954</v>
      </c>
      <c r="P3228" s="1" t="s">
        <v>8955</v>
      </c>
      <c r="Q3228" s="1" t="s">
        <v>8956</v>
      </c>
      <c r="R3228" s="1" t="s">
        <v>9060</v>
      </c>
      <c r="S3228" s="1" t="s">
        <v>8975</v>
      </c>
      <c r="T3228" s="1" t="s">
        <v>8470</v>
      </c>
      <c r="U3228" s="1" t="s">
        <v>11</v>
      </c>
      <c r="V3228" s="1" t="s">
        <v>1421</v>
      </c>
      <c r="W3228" s="1"/>
    </row>
    <row r="3229" spans="1:23" x14ac:dyDescent="0.2">
      <c r="A3229" s="88" t="s">
        <v>18322</v>
      </c>
      <c r="B3229" s="1" t="e">
        <v>#N/A</v>
      </c>
      <c r="C3229" s="1" t="e">
        <v>#N/A</v>
      </c>
      <c r="D3229" s="1" t="s">
        <v>8471</v>
      </c>
      <c r="E3229" s="1" t="s">
        <v>8472</v>
      </c>
      <c r="F3229" t="s">
        <v>18502</v>
      </c>
      <c r="G3229" t="s">
        <v>9060</v>
      </c>
      <c r="H3229" t="s">
        <v>9061</v>
      </c>
      <c r="I3229" t="s">
        <v>20712</v>
      </c>
      <c r="J3229" t="s">
        <v>9155</v>
      </c>
      <c r="K3229" t="s">
        <v>10492</v>
      </c>
      <c r="L3229" t="s">
        <v>9464</v>
      </c>
      <c r="M3229">
        <v>36</v>
      </c>
      <c r="N3229" t="s">
        <v>9059</v>
      </c>
      <c r="O3229" t="s">
        <v>8989</v>
      </c>
      <c r="P3229" s="1" t="e">
        <v>#N/A</v>
      </c>
      <c r="Q3229" s="1" t="e">
        <v>#N/A</v>
      </c>
      <c r="R3229" s="1">
        <f>1+LEN(T3229)-LEN(SUBSTITUTE(T3229,",",))</f>
        <v>12</v>
      </c>
      <c r="S3229" s="1" t="str">
        <f>IF(R3229&gt;4,IF(R3229&lt;8,"4-7",IF(R3229&gt;7,"&gt;7")),"&lt;4")</f>
        <v>&gt;7</v>
      </c>
      <c r="T3229" s="1" t="s">
        <v>20412</v>
      </c>
      <c r="U3229" s="1" t="s">
        <v>7</v>
      </c>
      <c r="V3229" s="1" t="s">
        <v>378</v>
      </c>
      <c r="W3229" s="1"/>
    </row>
    <row r="3230" spans="1:23" x14ac:dyDescent="0.2">
      <c r="A3230" s="88" t="s">
        <v>18323</v>
      </c>
      <c r="B3230" s="1" t="e">
        <v>#N/A</v>
      </c>
      <c r="C3230" s="1" t="s">
        <v>13960</v>
      </c>
      <c r="D3230" s="1" t="s">
        <v>8473</v>
      </c>
      <c r="E3230" s="1" t="s">
        <v>8474</v>
      </c>
      <c r="F3230" t="s">
        <v>9010</v>
      </c>
      <c r="G3230" t="s">
        <v>8959</v>
      </c>
      <c r="H3230" t="s">
        <v>8959</v>
      </c>
      <c r="I3230" t="s">
        <v>9100</v>
      </c>
      <c r="J3230" t="s">
        <v>9101</v>
      </c>
      <c r="K3230" t="s">
        <v>18489</v>
      </c>
      <c r="L3230" t="s">
        <v>8973</v>
      </c>
      <c r="M3230">
        <v>200</v>
      </c>
      <c r="N3230" t="s">
        <v>8953</v>
      </c>
      <c r="O3230" t="s">
        <v>8989</v>
      </c>
      <c r="P3230" s="1" t="s">
        <v>8955</v>
      </c>
      <c r="Q3230" s="1" t="s">
        <v>8990</v>
      </c>
      <c r="R3230" s="1" t="s">
        <v>8959</v>
      </c>
      <c r="S3230" s="1" t="s">
        <v>9103</v>
      </c>
      <c r="T3230" s="1" t="s">
        <v>8475</v>
      </c>
      <c r="U3230" s="1" t="s">
        <v>4</v>
      </c>
      <c r="V3230" s="1" t="s">
        <v>493</v>
      </c>
    </row>
    <row r="3231" spans="1:23" x14ac:dyDescent="0.2">
      <c r="A3231" s="88" t="s">
        <v>18324</v>
      </c>
      <c r="B3231" s="1" t="e">
        <v>#N/A</v>
      </c>
      <c r="C3231" s="1" t="s">
        <v>13136</v>
      </c>
      <c r="D3231" s="1" t="s">
        <v>8476</v>
      </c>
      <c r="E3231" s="1" t="s">
        <v>8477</v>
      </c>
      <c r="F3231" t="s">
        <v>9010</v>
      </c>
      <c r="G3231" t="s">
        <v>9060</v>
      </c>
      <c r="H3231" t="s">
        <v>9009</v>
      </c>
      <c r="I3231" t="s">
        <v>9075</v>
      </c>
      <c r="J3231" t="s">
        <v>8998</v>
      </c>
      <c r="K3231" t="s">
        <v>21202</v>
      </c>
      <c r="L3231" t="s">
        <v>8973</v>
      </c>
      <c r="M3231">
        <v>38112</v>
      </c>
      <c r="N3231" t="s">
        <v>8953</v>
      </c>
      <c r="O3231" t="s">
        <v>8989</v>
      </c>
      <c r="P3231" s="1" t="s">
        <v>8955</v>
      </c>
      <c r="Q3231" s="1" t="s">
        <v>8956</v>
      </c>
      <c r="R3231" s="1" t="s">
        <v>9060</v>
      </c>
      <c r="S3231" s="1" t="s">
        <v>8958</v>
      </c>
      <c r="T3231" s="1" t="s">
        <v>8478</v>
      </c>
      <c r="U3231" s="1" t="s">
        <v>11</v>
      </c>
      <c r="V3231" s="1" t="s">
        <v>7608</v>
      </c>
      <c r="W3231" s="1"/>
    </row>
    <row r="3232" spans="1:23" x14ac:dyDescent="0.2">
      <c r="A3232" s="88" t="s">
        <v>18325</v>
      </c>
      <c r="B3232" s="1" t="e">
        <v>#N/A</v>
      </c>
      <c r="C3232" s="1" t="e">
        <v>#N/A</v>
      </c>
      <c r="D3232" s="1" t="s">
        <v>8479</v>
      </c>
      <c r="E3232" s="1" t="s">
        <v>8480</v>
      </c>
      <c r="F3232" t="s">
        <v>9310</v>
      </c>
      <c r="G3232" t="s">
        <v>8957</v>
      </c>
      <c r="H3232" t="s">
        <v>8959</v>
      </c>
      <c r="I3232" t="s">
        <v>20712</v>
      </c>
      <c r="J3232" t="s">
        <v>9155</v>
      </c>
      <c r="K3232" t="s">
        <v>21262</v>
      </c>
      <c r="L3232" s="8" t="s">
        <v>21178</v>
      </c>
      <c r="M3232">
        <f>6563+7470</f>
        <v>14033</v>
      </c>
      <c r="N3232" t="s">
        <v>8953</v>
      </c>
      <c r="O3232" t="s">
        <v>8954</v>
      </c>
      <c r="P3232" s="1" t="e">
        <v>#N/A</v>
      </c>
      <c r="Q3232" s="1" t="e">
        <v>#N/A</v>
      </c>
      <c r="R3232" s="1">
        <f t="shared" ref="R3232:R3233" si="942">1+LEN(T3232)-LEN(SUBSTITUTE(T3232,",",))</f>
        <v>4</v>
      </c>
      <c r="S3232" s="1" t="str">
        <f t="shared" ref="S3232:S3233" si="943">IF(R3232&gt;4,IF(R3232&lt;8,"4-7",IF(R3232&gt;7,"&gt;7")),"&lt;4")</f>
        <v>&lt;4</v>
      </c>
      <c r="T3232" s="1" t="s">
        <v>20413</v>
      </c>
      <c r="U3232" s="1" t="s">
        <v>7</v>
      </c>
      <c r="V3232" s="1" t="s">
        <v>184</v>
      </c>
      <c r="W3232" s="1"/>
    </row>
    <row r="3233" spans="1:23" x14ac:dyDescent="0.2">
      <c r="A3233" s="88" t="s">
        <v>18326</v>
      </c>
      <c r="B3233" s="1" t="e">
        <v>#N/A</v>
      </c>
      <c r="C3233" s="1" t="e">
        <v>#N/A</v>
      </c>
      <c r="D3233" s="1" t="s">
        <v>8481</v>
      </c>
      <c r="E3233" s="1" t="s">
        <v>8482</v>
      </c>
      <c r="F3233" t="s">
        <v>18502</v>
      </c>
      <c r="G3233" t="s">
        <v>8957</v>
      </c>
      <c r="H3233" t="s">
        <v>8959</v>
      </c>
      <c r="I3233" t="s">
        <v>9035</v>
      </c>
      <c r="J3233" t="s">
        <v>8949</v>
      </c>
      <c r="K3233" t="s">
        <v>21195</v>
      </c>
      <c r="L3233" t="s">
        <v>8973</v>
      </c>
      <c r="M3233">
        <v>45</v>
      </c>
      <c r="N3233" t="s">
        <v>9059</v>
      </c>
      <c r="O3233" t="s">
        <v>8989</v>
      </c>
      <c r="P3233" s="1" t="e">
        <v>#N/A</v>
      </c>
      <c r="Q3233" s="1" t="e">
        <v>#N/A</v>
      </c>
      <c r="R3233" s="1">
        <f t="shared" si="942"/>
        <v>6</v>
      </c>
      <c r="S3233" s="1" t="str">
        <f t="shared" si="943"/>
        <v>4-7</v>
      </c>
      <c r="T3233" s="1" t="s">
        <v>20414</v>
      </c>
      <c r="U3233" s="1" t="s">
        <v>17</v>
      </c>
      <c r="V3233" s="1" t="s">
        <v>619</v>
      </c>
      <c r="W3233" s="1"/>
    </row>
    <row r="3234" spans="1:23" x14ac:dyDescent="0.2">
      <c r="A3234" s="88" t="s">
        <v>18327</v>
      </c>
      <c r="B3234" s="1" t="e">
        <v>#N/A</v>
      </c>
      <c r="C3234" s="1" t="s">
        <v>13371</v>
      </c>
      <c r="D3234" s="1" t="s">
        <v>8483</v>
      </c>
      <c r="E3234" s="1" t="s">
        <v>8484</v>
      </c>
      <c r="F3234" t="s">
        <v>9010</v>
      </c>
      <c r="G3234" t="s">
        <v>8974</v>
      </c>
      <c r="H3234" t="s">
        <v>9009</v>
      </c>
      <c r="I3234" t="s">
        <v>9035</v>
      </c>
      <c r="J3234" t="s">
        <v>8949</v>
      </c>
      <c r="K3234" t="s">
        <v>21203</v>
      </c>
      <c r="L3234" t="s">
        <v>9464</v>
      </c>
      <c r="M3234">
        <v>18</v>
      </c>
      <c r="N3234" t="s">
        <v>9059</v>
      </c>
      <c r="O3234" t="s">
        <v>8954</v>
      </c>
      <c r="P3234" s="1" t="s">
        <v>8955</v>
      </c>
      <c r="Q3234" s="1" t="s">
        <v>8956</v>
      </c>
      <c r="R3234" s="1" t="s">
        <v>8974</v>
      </c>
      <c r="S3234" s="1" t="s">
        <v>8975</v>
      </c>
      <c r="T3234" s="1" t="s">
        <v>8485</v>
      </c>
      <c r="U3234" s="1" t="s">
        <v>11</v>
      </c>
      <c r="V3234" s="1" t="s">
        <v>619</v>
      </c>
      <c r="W3234" s="1"/>
    </row>
    <row r="3235" spans="1:23" s="100" customFormat="1" x14ac:dyDescent="0.2">
      <c r="A3235" s="98" t="s">
        <v>18328</v>
      </c>
      <c r="B3235" s="99" t="e">
        <v>#N/A</v>
      </c>
      <c r="C3235" s="99" t="e">
        <v>#N/A</v>
      </c>
      <c r="D3235" s="99" t="s">
        <v>8486</v>
      </c>
      <c r="E3235" s="99" t="s">
        <v>8487</v>
      </c>
      <c r="F3235" t="s">
        <v>18502</v>
      </c>
      <c r="G3235" t="s">
        <v>8957</v>
      </c>
      <c r="H3235" t="s">
        <v>8959</v>
      </c>
      <c r="I3235" t="s">
        <v>20712</v>
      </c>
      <c r="J3235" t="s">
        <v>8949</v>
      </c>
      <c r="K3235" t="s">
        <v>21480</v>
      </c>
      <c r="L3235" t="s">
        <v>9464</v>
      </c>
      <c r="M3235">
        <v>192</v>
      </c>
      <c r="N3235" t="s">
        <v>9059</v>
      </c>
      <c r="O3235" t="s">
        <v>8954</v>
      </c>
      <c r="P3235" s="99" t="e">
        <v>#N/A</v>
      </c>
      <c r="Q3235" s="99" t="e">
        <v>#N/A</v>
      </c>
      <c r="R3235" s="99">
        <f t="shared" ref="R3235:R3246" si="944">1+LEN(T3235)-LEN(SUBSTITUTE(T3235,",",))</f>
        <v>6</v>
      </c>
      <c r="S3235" s="99" t="str">
        <f t="shared" ref="S3235:S3246" si="945">IF(R3235&gt;4,IF(R3235&lt;8,"4-7",IF(R3235&gt;7,"&gt;7")),"&lt;4")</f>
        <v>4-7</v>
      </c>
      <c r="T3235" s="99" t="s">
        <v>20415</v>
      </c>
      <c r="U3235" s="99" t="s">
        <v>17</v>
      </c>
      <c r="V3235" s="99" t="s">
        <v>110</v>
      </c>
      <c r="W3235" s="99"/>
    </row>
    <row r="3236" spans="1:23" x14ac:dyDescent="0.2">
      <c r="A3236" s="88" t="s">
        <v>18329</v>
      </c>
      <c r="B3236" s="1" t="e">
        <v>#N/A</v>
      </c>
      <c r="C3236" s="1" t="e">
        <v>#N/A</v>
      </c>
      <c r="D3236" s="1" t="s">
        <v>8488</v>
      </c>
      <c r="E3236" s="1" t="s">
        <v>8489</v>
      </c>
      <c r="F3236" t="s">
        <v>9310</v>
      </c>
      <c r="G3236" t="s">
        <v>8957</v>
      </c>
      <c r="H3236" t="s">
        <v>8959</v>
      </c>
      <c r="I3236" t="s">
        <v>8948</v>
      </c>
      <c r="J3236" t="s">
        <v>8949</v>
      </c>
      <c r="K3236" t="s">
        <v>21481</v>
      </c>
      <c r="L3236" t="s">
        <v>8987</v>
      </c>
      <c r="M3236">
        <f>2*(1750+120)</f>
        <v>3740</v>
      </c>
      <c r="N3236" t="s">
        <v>8953</v>
      </c>
      <c r="O3236" t="s">
        <v>8989</v>
      </c>
      <c r="P3236" s="1" t="e">
        <v>#N/A</v>
      </c>
      <c r="Q3236" s="1" t="e">
        <v>#N/A</v>
      </c>
      <c r="R3236" s="1">
        <f t="shared" si="944"/>
        <v>7</v>
      </c>
      <c r="S3236" s="1" t="str">
        <f t="shared" si="945"/>
        <v>4-7</v>
      </c>
      <c r="T3236" s="1" t="s">
        <v>20416</v>
      </c>
      <c r="U3236" s="1" t="s">
        <v>17</v>
      </c>
      <c r="V3236" s="1" t="s">
        <v>322</v>
      </c>
      <c r="W3236" s="1"/>
    </row>
    <row r="3237" spans="1:23" x14ac:dyDescent="0.2">
      <c r="A3237" s="88" t="s">
        <v>18330</v>
      </c>
      <c r="B3237" s="1" t="e">
        <v>#N/A</v>
      </c>
      <c r="C3237" s="1" t="e">
        <v>#N/A</v>
      </c>
      <c r="D3237" s="1" t="s">
        <v>8490</v>
      </c>
      <c r="E3237" s="1" t="s">
        <v>8491</v>
      </c>
      <c r="F3237" t="s">
        <v>9310</v>
      </c>
      <c r="G3237" t="s">
        <v>8957</v>
      </c>
      <c r="H3237" t="s">
        <v>8959</v>
      </c>
      <c r="I3237" t="s">
        <v>9035</v>
      </c>
      <c r="J3237" t="s">
        <v>8998</v>
      </c>
      <c r="K3237" t="s">
        <v>21195</v>
      </c>
      <c r="L3237" t="s">
        <v>21475</v>
      </c>
      <c r="M3237">
        <f>888+1397+757+50</f>
        <v>3092</v>
      </c>
      <c r="N3237" t="s">
        <v>8953</v>
      </c>
      <c r="O3237" t="s">
        <v>8954</v>
      </c>
      <c r="P3237" s="1" t="e">
        <v>#N/A</v>
      </c>
      <c r="Q3237" s="1" t="e">
        <v>#N/A</v>
      </c>
      <c r="R3237" s="1">
        <f t="shared" si="944"/>
        <v>1</v>
      </c>
      <c r="S3237" s="1" t="str">
        <f t="shared" si="945"/>
        <v>&lt;4</v>
      </c>
      <c r="T3237" s="1"/>
      <c r="U3237" s="1"/>
      <c r="V3237" s="1"/>
      <c r="W3237" s="1"/>
    </row>
    <row r="3238" spans="1:23" x14ac:dyDescent="0.2">
      <c r="A3238" s="94" t="s">
        <v>18331</v>
      </c>
      <c r="B3238" s="1" t="e">
        <v>#N/A</v>
      </c>
      <c r="C3238" s="1" t="e">
        <v>#N/A</v>
      </c>
      <c r="D3238" s="1" t="s">
        <v>15492</v>
      </c>
      <c r="E3238" s="1" t="s">
        <v>8492</v>
      </c>
      <c r="F3238" t="s">
        <v>9310</v>
      </c>
      <c r="G3238" t="s">
        <v>8957</v>
      </c>
      <c r="H3238" t="s">
        <v>8959</v>
      </c>
      <c r="I3238" t="e">
        <v>#N/A</v>
      </c>
      <c r="J3238" t="s">
        <v>21476</v>
      </c>
      <c r="K3238" t="s">
        <v>21482</v>
      </c>
      <c r="L3238" t="e">
        <v>#N/A</v>
      </c>
      <c r="M3238" t="e">
        <v>#N/A</v>
      </c>
      <c r="N3238" t="e">
        <v>#N/A</v>
      </c>
      <c r="O3238" t="e">
        <v>#N/A</v>
      </c>
      <c r="P3238" s="1" t="e">
        <v>#N/A</v>
      </c>
      <c r="Q3238" s="1" t="e">
        <v>#N/A</v>
      </c>
      <c r="R3238" s="1">
        <f t="shared" si="944"/>
        <v>6</v>
      </c>
      <c r="S3238" s="1" t="str">
        <f t="shared" si="945"/>
        <v>4-7</v>
      </c>
      <c r="T3238" s="1" t="s">
        <v>20417</v>
      </c>
      <c r="U3238" s="1" t="s">
        <v>7</v>
      </c>
      <c r="V3238" s="1" t="s">
        <v>8493</v>
      </c>
      <c r="W3238" s="1"/>
    </row>
    <row r="3239" spans="1:23" x14ac:dyDescent="0.2">
      <c r="A3239" s="88" t="s">
        <v>18332</v>
      </c>
      <c r="B3239" s="1" t="e">
        <v>#N/A</v>
      </c>
      <c r="C3239" s="1" t="e">
        <v>#N/A</v>
      </c>
      <c r="D3239" s="1" t="s">
        <v>8494</v>
      </c>
      <c r="E3239" s="1" t="s">
        <v>8495</v>
      </c>
      <c r="F3239" t="s">
        <v>9310</v>
      </c>
      <c r="G3239" t="s">
        <v>8959</v>
      </c>
      <c r="H3239" t="s">
        <v>9061</v>
      </c>
      <c r="I3239" t="s">
        <v>9035</v>
      </c>
      <c r="J3239" t="s">
        <v>8998</v>
      </c>
      <c r="K3239" t="s">
        <v>10492</v>
      </c>
      <c r="L3239" t="s">
        <v>8973</v>
      </c>
      <c r="M3239">
        <v>650</v>
      </c>
      <c r="N3239" t="s">
        <v>8953</v>
      </c>
      <c r="O3239" t="s">
        <v>8954</v>
      </c>
      <c r="P3239" s="1" t="e">
        <v>#N/A</v>
      </c>
      <c r="Q3239" s="1" t="e">
        <v>#N/A</v>
      </c>
      <c r="R3239" s="1">
        <f t="shared" si="944"/>
        <v>10</v>
      </c>
      <c r="S3239" s="1" t="str">
        <f t="shared" si="945"/>
        <v>&gt;7</v>
      </c>
      <c r="T3239" s="1" t="s">
        <v>20418</v>
      </c>
      <c r="U3239" s="1" t="s">
        <v>7</v>
      </c>
      <c r="V3239" s="1" t="s">
        <v>8496</v>
      </c>
      <c r="W3239" s="1"/>
    </row>
    <row r="3240" spans="1:23" x14ac:dyDescent="0.2">
      <c r="A3240" s="88" t="s">
        <v>18333</v>
      </c>
      <c r="B3240" s="1" t="e">
        <v>#N/A</v>
      </c>
      <c r="C3240" s="1" t="e">
        <v>#N/A</v>
      </c>
      <c r="D3240" s="1" t="s">
        <v>8497</v>
      </c>
      <c r="E3240" s="1" t="s">
        <v>8498</v>
      </c>
      <c r="F3240" t="s">
        <v>9310</v>
      </c>
      <c r="G3240" t="s">
        <v>8957</v>
      </c>
      <c r="H3240" t="s">
        <v>8959</v>
      </c>
      <c r="I3240" t="s">
        <v>9252</v>
      </c>
      <c r="J3240" t="s">
        <v>18504</v>
      </c>
      <c r="K3240" t="s">
        <v>20723</v>
      </c>
      <c r="L3240" t="s">
        <v>9133</v>
      </c>
      <c r="M3240">
        <v>5706</v>
      </c>
      <c r="N3240" t="s">
        <v>8953</v>
      </c>
      <c r="O3240" t="s">
        <v>8989</v>
      </c>
      <c r="P3240" s="1" t="e">
        <v>#N/A</v>
      </c>
      <c r="Q3240" s="1" t="e">
        <v>#N/A</v>
      </c>
      <c r="R3240" s="1">
        <f t="shared" si="944"/>
        <v>4</v>
      </c>
      <c r="S3240" s="1" t="str">
        <f t="shared" si="945"/>
        <v>&lt;4</v>
      </c>
      <c r="T3240" s="1" t="s">
        <v>20419</v>
      </c>
      <c r="U3240" s="1" t="s">
        <v>7</v>
      </c>
      <c r="V3240" s="1" t="s">
        <v>110</v>
      </c>
      <c r="W3240" s="1"/>
    </row>
    <row r="3241" spans="1:23" x14ac:dyDescent="0.2">
      <c r="A3241" s="88" t="s">
        <v>18334</v>
      </c>
      <c r="B3241" s="1" t="e">
        <v>#N/A</v>
      </c>
      <c r="C3241" s="1" t="e">
        <v>#N/A</v>
      </c>
      <c r="D3241" s="1" t="s">
        <v>8499</v>
      </c>
      <c r="E3241" s="1" t="s">
        <v>8500</v>
      </c>
      <c r="F3241" t="s">
        <v>18502</v>
      </c>
      <c r="G3241" t="s">
        <v>8957</v>
      </c>
      <c r="H3241" t="s">
        <v>9061</v>
      </c>
      <c r="I3241" t="s">
        <v>9252</v>
      </c>
      <c r="J3241" t="s">
        <v>8971</v>
      </c>
      <c r="K3241" t="s">
        <v>21202</v>
      </c>
      <c r="L3241" t="s">
        <v>9133</v>
      </c>
      <c r="M3241">
        <f>160+295</f>
        <v>455</v>
      </c>
      <c r="N3241" t="s">
        <v>8953</v>
      </c>
      <c r="O3241" t="s">
        <v>8954</v>
      </c>
      <c r="P3241" s="1" t="e">
        <v>#N/A</v>
      </c>
      <c r="Q3241" s="1" t="e">
        <v>#N/A</v>
      </c>
      <c r="R3241" s="1">
        <f t="shared" si="944"/>
        <v>5</v>
      </c>
      <c r="S3241" s="1" t="str">
        <f t="shared" si="945"/>
        <v>4-7</v>
      </c>
      <c r="T3241" s="1" t="s">
        <v>20420</v>
      </c>
      <c r="U3241" s="1" t="s">
        <v>17</v>
      </c>
      <c r="V3241" s="1" t="s">
        <v>46</v>
      </c>
      <c r="W3241" s="1"/>
    </row>
    <row r="3242" spans="1:23" x14ac:dyDescent="0.2">
      <c r="A3242" s="88" t="s">
        <v>18335</v>
      </c>
      <c r="B3242" s="1" t="e">
        <v>#N/A</v>
      </c>
      <c r="C3242" s="1" t="e">
        <v>#N/A</v>
      </c>
      <c r="D3242" s="1" t="s">
        <v>8501</v>
      </c>
      <c r="E3242" s="1" t="s">
        <v>8502</v>
      </c>
      <c r="F3242" t="s">
        <v>9310</v>
      </c>
      <c r="G3242" t="s">
        <v>8959</v>
      </c>
      <c r="H3242" t="s">
        <v>8959</v>
      </c>
      <c r="I3242" t="s">
        <v>9252</v>
      </c>
      <c r="J3242" t="s">
        <v>8971</v>
      </c>
      <c r="K3242" t="s">
        <v>21202</v>
      </c>
      <c r="L3242" t="s">
        <v>9133</v>
      </c>
      <c r="M3242">
        <f>128+258</f>
        <v>386</v>
      </c>
      <c r="N3242" t="s">
        <v>8953</v>
      </c>
      <c r="O3242" t="s">
        <v>8954</v>
      </c>
      <c r="P3242" s="1" t="e">
        <v>#N/A</v>
      </c>
      <c r="Q3242" s="1" t="e">
        <v>#N/A</v>
      </c>
      <c r="R3242" s="1">
        <f t="shared" si="944"/>
        <v>5</v>
      </c>
      <c r="S3242" s="1" t="str">
        <f t="shared" si="945"/>
        <v>4-7</v>
      </c>
      <c r="T3242" s="1" t="s">
        <v>20420</v>
      </c>
      <c r="U3242" s="1" t="s">
        <v>7</v>
      </c>
      <c r="V3242" s="1" t="s">
        <v>378</v>
      </c>
      <c r="W3242" s="1"/>
    </row>
    <row r="3243" spans="1:23" x14ac:dyDescent="0.2">
      <c r="A3243" s="89" t="s">
        <v>18336</v>
      </c>
      <c r="B3243" s="1" t="e">
        <v>#N/A</v>
      </c>
      <c r="C3243" s="1" t="e">
        <v>#N/A</v>
      </c>
      <c r="D3243" s="1" t="s">
        <v>8503</v>
      </c>
      <c r="E3243" s="1" t="s">
        <v>8504</v>
      </c>
      <c r="F3243" t="s">
        <v>9310</v>
      </c>
      <c r="G3243" t="e">
        <v>#N/A</v>
      </c>
      <c r="H3243" t="s">
        <v>8959</v>
      </c>
      <c r="I3243" t="s">
        <v>9035</v>
      </c>
      <c r="J3243" t="s">
        <v>8998</v>
      </c>
      <c r="K3243" t="e">
        <v>#N/A</v>
      </c>
      <c r="L3243" t="s">
        <v>9133</v>
      </c>
      <c r="M3243" t="e">
        <v>#N/A</v>
      </c>
      <c r="N3243" t="e">
        <v>#N/A</v>
      </c>
      <c r="O3243" t="e">
        <v>#N/A</v>
      </c>
      <c r="P3243" s="1" t="e">
        <v>#N/A</v>
      </c>
      <c r="Q3243" s="1" t="e">
        <v>#N/A</v>
      </c>
      <c r="R3243" s="1">
        <f t="shared" si="944"/>
        <v>9</v>
      </c>
      <c r="S3243" s="1" t="str">
        <f t="shared" si="945"/>
        <v>&gt;7</v>
      </c>
      <c r="T3243" s="1" t="s">
        <v>20421</v>
      </c>
      <c r="U3243" s="1" t="s">
        <v>17</v>
      </c>
      <c r="V3243" s="1" t="s">
        <v>97</v>
      </c>
      <c r="W3243" s="1"/>
    </row>
    <row r="3244" spans="1:23" x14ac:dyDescent="0.2">
      <c r="A3244" s="88" t="s">
        <v>18337</v>
      </c>
      <c r="B3244" s="1" t="e">
        <v>#N/A</v>
      </c>
      <c r="C3244" s="1" t="e">
        <v>#N/A</v>
      </c>
      <c r="D3244" s="1" t="s">
        <v>8505</v>
      </c>
      <c r="E3244" s="1" t="s">
        <v>8506</v>
      </c>
      <c r="F3244" t="s">
        <v>9310</v>
      </c>
      <c r="G3244" t="s">
        <v>8957</v>
      </c>
      <c r="H3244" t="s">
        <v>8959</v>
      </c>
      <c r="I3244" t="s">
        <v>9035</v>
      </c>
      <c r="J3244" t="s">
        <v>8998</v>
      </c>
      <c r="K3244" t="s">
        <v>21483</v>
      </c>
      <c r="L3244" t="s">
        <v>8987</v>
      </c>
      <c r="M3244">
        <v>888</v>
      </c>
      <c r="N3244" t="s">
        <v>8953</v>
      </c>
      <c r="O3244" t="s">
        <v>8989</v>
      </c>
      <c r="P3244" s="1" t="e">
        <v>#N/A</v>
      </c>
      <c r="Q3244" s="1" t="e">
        <v>#N/A</v>
      </c>
      <c r="R3244" s="1">
        <f t="shared" si="944"/>
        <v>6</v>
      </c>
      <c r="S3244" s="1" t="str">
        <f t="shared" si="945"/>
        <v>4-7</v>
      </c>
      <c r="T3244" s="1" t="s">
        <v>20422</v>
      </c>
      <c r="U3244" s="1" t="s">
        <v>7</v>
      </c>
      <c r="V3244" s="1" t="s">
        <v>8507</v>
      </c>
      <c r="W3244" s="1"/>
    </row>
    <row r="3245" spans="1:23" x14ac:dyDescent="0.2">
      <c r="A3245" s="88" t="s">
        <v>18338</v>
      </c>
      <c r="B3245" s="1" t="e">
        <v>#N/A</v>
      </c>
      <c r="C3245" s="1" t="e">
        <v>#N/A</v>
      </c>
      <c r="D3245" s="1" t="s">
        <v>8508</v>
      </c>
      <c r="E3245" s="1" t="s">
        <v>8509</v>
      </c>
      <c r="F3245" t="s">
        <v>9310</v>
      </c>
      <c r="G3245" t="s">
        <v>8957</v>
      </c>
      <c r="H3245" t="s">
        <v>8959</v>
      </c>
      <c r="I3245" t="s">
        <v>20714</v>
      </c>
      <c r="J3245" t="s">
        <v>9050</v>
      </c>
      <c r="K3245" t="s">
        <v>21485</v>
      </c>
      <c r="L3245" t="s">
        <v>8987</v>
      </c>
      <c r="M3245">
        <v>1352</v>
      </c>
      <c r="N3245" t="s">
        <v>8953</v>
      </c>
      <c r="O3245" t="s">
        <v>8989</v>
      </c>
      <c r="P3245" s="1" t="e">
        <v>#N/A</v>
      </c>
      <c r="Q3245" s="1" t="e">
        <v>#N/A</v>
      </c>
      <c r="R3245" s="1">
        <f t="shared" si="944"/>
        <v>6</v>
      </c>
      <c r="S3245" s="1" t="str">
        <f t="shared" si="945"/>
        <v>4-7</v>
      </c>
      <c r="T3245" s="1" t="s">
        <v>20423</v>
      </c>
      <c r="U3245" s="1" t="s">
        <v>17</v>
      </c>
      <c r="V3245" s="1" t="s">
        <v>184</v>
      </c>
      <c r="W3245" s="1"/>
    </row>
    <row r="3246" spans="1:23" x14ac:dyDescent="0.2">
      <c r="A3246" s="88" t="s">
        <v>18339</v>
      </c>
      <c r="B3246" s="1" t="e">
        <v>#N/A</v>
      </c>
      <c r="C3246" s="1" t="e">
        <v>#N/A</v>
      </c>
      <c r="D3246" s="1" t="s">
        <v>8510</v>
      </c>
      <c r="E3246" s="1" t="s">
        <v>8511</v>
      </c>
      <c r="F3246" t="s">
        <v>9310</v>
      </c>
      <c r="G3246" t="s">
        <v>8957</v>
      </c>
      <c r="H3246" t="s">
        <v>9009</v>
      </c>
      <c r="I3246" t="s">
        <v>9035</v>
      </c>
      <c r="J3246" t="s">
        <v>8998</v>
      </c>
      <c r="K3246" t="s">
        <v>21484</v>
      </c>
      <c r="L3246" t="s">
        <v>8951</v>
      </c>
      <c r="M3246">
        <v>2460</v>
      </c>
      <c r="N3246" t="s">
        <v>8953</v>
      </c>
      <c r="O3246" t="s">
        <v>8989</v>
      </c>
      <c r="P3246" s="1" t="e">
        <v>#N/A</v>
      </c>
      <c r="Q3246" s="1" t="e">
        <v>#N/A</v>
      </c>
      <c r="R3246" s="1">
        <f t="shared" si="944"/>
        <v>18</v>
      </c>
      <c r="S3246" s="1" t="str">
        <f t="shared" si="945"/>
        <v>&gt;7</v>
      </c>
      <c r="T3246" s="1" t="s">
        <v>20424</v>
      </c>
      <c r="U3246" s="1" t="s">
        <v>7</v>
      </c>
      <c r="V3246" s="1" t="s">
        <v>382</v>
      </c>
      <c r="W3246" s="1"/>
    </row>
    <row r="3247" spans="1:23" x14ac:dyDescent="0.2">
      <c r="A3247" s="88" t="s">
        <v>18340</v>
      </c>
      <c r="B3247" s="1" t="e">
        <v>#N/A</v>
      </c>
      <c r="C3247" s="1" t="s">
        <v>11176</v>
      </c>
      <c r="D3247" s="1" t="s">
        <v>8512</v>
      </c>
      <c r="E3247" s="1" t="s">
        <v>8513</v>
      </c>
      <c r="F3247" t="s">
        <v>9010</v>
      </c>
      <c r="G3247" t="s">
        <v>8957</v>
      </c>
      <c r="H3247" t="s">
        <v>9183</v>
      </c>
      <c r="I3247" t="s">
        <v>9154</v>
      </c>
      <c r="J3247" t="s">
        <v>8971</v>
      </c>
      <c r="K3247" t="s">
        <v>9036</v>
      </c>
      <c r="L3247" t="s">
        <v>9133</v>
      </c>
      <c r="M3247">
        <v>14035</v>
      </c>
      <c r="N3247" t="s">
        <v>8953</v>
      </c>
      <c r="O3247" t="s">
        <v>8954</v>
      </c>
      <c r="P3247" s="1" t="s">
        <v>8955</v>
      </c>
      <c r="Q3247" s="1" t="s">
        <v>8956</v>
      </c>
      <c r="R3247" s="1" t="s">
        <v>8957</v>
      </c>
      <c r="S3247" s="1" t="s">
        <v>8975</v>
      </c>
      <c r="T3247" s="1" t="s">
        <v>8514</v>
      </c>
      <c r="U3247" s="1" t="s">
        <v>11</v>
      </c>
      <c r="V3247" s="1" t="s">
        <v>8515</v>
      </c>
      <c r="W3247" s="1"/>
    </row>
    <row r="3248" spans="1:23" x14ac:dyDescent="0.2">
      <c r="A3248" s="88" t="s">
        <v>18341</v>
      </c>
      <c r="B3248" s="1" t="e">
        <v>#N/A</v>
      </c>
      <c r="C3248" s="1" t="s">
        <v>13768</v>
      </c>
      <c r="D3248" s="1" t="s">
        <v>8516</v>
      </c>
      <c r="E3248" s="1" t="s">
        <v>8517</v>
      </c>
      <c r="F3248" t="s">
        <v>9310</v>
      </c>
      <c r="G3248" t="s">
        <v>8957</v>
      </c>
      <c r="H3248" t="s">
        <v>9009</v>
      </c>
      <c r="I3248" t="s">
        <v>8948</v>
      </c>
      <c r="J3248" t="s">
        <v>8998</v>
      </c>
      <c r="K3248" t="s">
        <v>9036</v>
      </c>
      <c r="L3248" t="s">
        <v>8951</v>
      </c>
      <c r="M3248">
        <v>1200</v>
      </c>
      <c r="N3248" t="s">
        <v>9059</v>
      </c>
      <c r="O3248" t="s">
        <v>8989</v>
      </c>
      <c r="P3248" s="1" t="s">
        <v>8955</v>
      </c>
      <c r="Q3248" s="1" t="s">
        <v>8956</v>
      </c>
      <c r="R3248" s="1" t="s">
        <v>8957</v>
      </c>
      <c r="S3248" s="1" t="s">
        <v>9103</v>
      </c>
      <c r="T3248" s="1" t="s">
        <v>8518</v>
      </c>
      <c r="U3248" s="1" t="s">
        <v>4</v>
      </c>
      <c r="V3248" s="1" t="s">
        <v>625</v>
      </c>
      <c r="W3248" s="1"/>
    </row>
    <row r="3249" spans="1:23" x14ac:dyDescent="0.2">
      <c r="A3249" s="88" t="s">
        <v>18342</v>
      </c>
      <c r="B3249" s="1" t="e">
        <v>#N/A</v>
      </c>
      <c r="C3249" s="1" t="s">
        <v>9909</v>
      </c>
      <c r="D3249" s="1" t="s">
        <v>8519</v>
      </c>
      <c r="E3249" s="1" t="s">
        <v>8520</v>
      </c>
      <c r="F3249" t="s">
        <v>9310</v>
      </c>
      <c r="G3249" t="s">
        <v>8974</v>
      </c>
      <c r="H3249" t="s">
        <v>8959</v>
      </c>
      <c r="I3249" t="s">
        <v>9075</v>
      </c>
      <c r="J3249" t="s">
        <v>9121</v>
      </c>
      <c r="K3249" t="s">
        <v>9912</v>
      </c>
      <c r="L3249" t="s">
        <v>8973</v>
      </c>
      <c r="M3249">
        <v>1094</v>
      </c>
      <c r="N3249" t="s">
        <v>8953</v>
      </c>
      <c r="O3249" t="s">
        <v>8954</v>
      </c>
      <c r="P3249" s="1" t="s">
        <v>8955</v>
      </c>
      <c r="Q3249" s="1" t="s">
        <v>8990</v>
      </c>
      <c r="R3249" s="1" t="s">
        <v>8974</v>
      </c>
      <c r="S3249" s="1" t="s">
        <v>8958</v>
      </c>
      <c r="T3249" s="1" t="s">
        <v>8521</v>
      </c>
      <c r="U3249" s="1" t="s">
        <v>17</v>
      </c>
      <c r="V3249" s="1" t="s">
        <v>74</v>
      </c>
      <c r="W3249" s="1"/>
    </row>
    <row r="3250" spans="1:23" x14ac:dyDescent="0.2">
      <c r="A3250" s="88" t="s">
        <v>18343</v>
      </c>
      <c r="B3250" s="1" t="e">
        <v>#N/A</v>
      </c>
      <c r="C3250" s="1" t="e">
        <v>#N/A</v>
      </c>
      <c r="D3250" s="1" t="s">
        <v>8522</v>
      </c>
      <c r="E3250" s="1" t="s">
        <v>8523</v>
      </c>
      <c r="F3250" t="s">
        <v>18502</v>
      </c>
      <c r="G3250" t="s">
        <v>8957</v>
      </c>
      <c r="H3250" t="s">
        <v>9061</v>
      </c>
      <c r="I3250" t="s">
        <v>9100</v>
      </c>
      <c r="J3250" t="s">
        <v>9155</v>
      </c>
      <c r="K3250" t="s">
        <v>21193</v>
      </c>
      <c r="L3250" t="s">
        <v>9464</v>
      </c>
      <c r="M3250">
        <f>6+16</f>
        <v>22</v>
      </c>
      <c r="N3250" t="s">
        <v>9059</v>
      </c>
      <c r="O3250" t="s">
        <v>8954</v>
      </c>
      <c r="P3250" s="1" t="e">
        <v>#N/A</v>
      </c>
      <c r="Q3250" s="1" t="e">
        <v>#N/A</v>
      </c>
      <c r="R3250" s="1">
        <f t="shared" ref="R3250:R3251" si="946">1+LEN(T3250)-LEN(SUBSTITUTE(T3250,",",))</f>
        <v>8</v>
      </c>
      <c r="S3250" s="1" t="str">
        <f t="shared" ref="S3250:S3251" si="947">IF(R3250&gt;4,IF(R3250&lt;8,"4-7",IF(R3250&gt;7,"&gt;7")),"&lt;4")</f>
        <v>&gt;7</v>
      </c>
      <c r="T3250" s="1" t="s">
        <v>20425</v>
      </c>
      <c r="U3250" s="1" t="s">
        <v>7</v>
      </c>
      <c r="V3250" s="1" t="s">
        <v>392</v>
      </c>
      <c r="W3250" s="1"/>
    </row>
    <row r="3251" spans="1:23" x14ac:dyDescent="0.2">
      <c r="A3251" s="95" t="s">
        <v>18344</v>
      </c>
      <c r="B3251" s="1" t="e">
        <v>#N/A</v>
      </c>
      <c r="C3251" s="1" t="e">
        <v>#N/A</v>
      </c>
      <c r="D3251" s="1" t="s">
        <v>21512</v>
      </c>
      <c r="E3251" s="1" t="s">
        <v>8524</v>
      </c>
      <c r="F3251" t="s">
        <v>9310</v>
      </c>
      <c r="G3251" t="s">
        <v>8957</v>
      </c>
      <c r="H3251" t="s">
        <v>8959</v>
      </c>
      <c r="I3251" t="s">
        <v>9100</v>
      </c>
      <c r="J3251" t="s">
        <v>8949</v>
      </c>
      <c r="K3251" t="s">
        <v>18497</v>
      </c>
      <c r="L3251" t="s">
        <v>9076</v>
      </c>
      <c r="M3251">
        <v>800</v>
      </c>
      <c r="N3251" t="s">
        <v>8953</v>
      </c>
      <c r="O3251" t="s">
        <v>8989</v>
      </c>
      <c r="P3251" s="1" t="e">
        <v>#N/A</v>
      </c>
      <c r="Q3251" s="1" t="e">
        <v>#N/A</v>
      </c>
      <c r="R3251" s="1">
        <f t="shared" si="946"/>
        <v>7</v>
      </c>
      <c r="S3251" s="1" t="str">
        <f t="shared" si="947"/>
        <v>4-7</v>
      </c>
      <c r="T3251" s="1" t="s">
        <v>20426</v>
      </c>
      <c r="U3251" s="1" t="s">
        <v>17</v>
      </c>
      <c r="V3251" s="1" t="s">
        <v>61</v>
      </c>
      <c r="W3251" s="1"/>
    </row>
    <row r="3252" spans="1:23" x14ac:dyDescent="0.2">
      <c r="A3252" s="88" t="s">
        <v>18345</v>
      </c>
      <c r="B3252" s="1" t="e">
        <v>#N/A</v>
      </c>
      <c r="C3252" s="1" t="s">
        <v>12060</v>
      </c>
      <c r="D3252" s="1" t="s">
        <v>8525</v>
      </c>
      <c r="E3252" s="1" t="s">
        <v>8526</v>
      </c>
      <c r="F3252" t="s">
        <v>9310</v>
      </c>
      <c r="G3252" t="s">
        <v>8957</v>
      </c>
      <c r="H3252" t="s">
        <v>8959</v>
      </c>
      <c r="I3252" t="s">
        <v>8948</v>
      </c>
      <c r="J3252" t="s">
        <v>9155</v>
      </c>
      <c r="K3252" s="102" t="s">
        <v>21518</v>
      </c>
      <c r="L3252" t="s">
        <v>8987</v>
      </c>
      <c r="M3252">
        <v>10942</v>
      </c>
      <c r="N3252" t="s">
        <v>8953</v>
      </c>
      <c r="O3252" t="s">
        <v>8989</v>
      </c>
      <c r="P3252" s="1" t="s">
        <v>8955</v>
      </c>
      <c r="Q3252" s="1" t="s">
        <v>8956</v>
      </c>
      <c r="R3252" s="1" t="s">
        <v>8957</v>
      </c>
      <c r="S3252" s="1" t="s">
        <v>8958</v>
      </c>
      <c r="T3252" s="1" t="s">
        <v>8527</v>
      </c>
      <c r="U3252" s="1" t="s">
        <v>11</v>
      </c>
      <c r="V3252" s="1" t="s">
        <v>27</v>
      </c>
      <c r="W3252" s="1"/>
    </row>
    <row r="3253" spans="1:23" x14ac:dyDescent="0.2">
      <c r="A3253" s="88" t="s">
        <v>18346</v>
      </c>
      <c r="B3253" s="1" t="e">
        <v>#N/A</v>
      </c>
      <c r="C3253" s="1" t="s">
        <v>10255</v>
      </c>
      <c r="D3253" s="1" t="s">
        <v>8528</v>
      </c>
      <c r="E3253" s="1" t="s">
        <v>8529</v>
      </c>
      <c r="F3253" t="s">
        <v>9310</v>
      </c>
      <c r="G3253" t="s">
        <v>8957</v>
      </c>
      <c r="H3253" t="s">
        <v>8959</v>
      </c>
      <c r="I3253" t="s">
        <v>9605</v>
      </c>
      <c r="J3253" t="s">
        <v>9155</v>
      </c>
      <c r="K3253" t="s">
        <v>10258</v>
      </c>
      <c r="L3253" t="s">
        <v>8987</v>
      </c>
      <c r="M3253">
        <v>21747</v>
      </c>
      <c r="N3253" t="s">
        <v>8953</v>
      </c>
      <c r="O3253" t="s">
        <v>8954</v>
      </c>
      <c r="P3253" s="1" t="s">
        <v>8955</v>
      </c>
      <c r="Q3253" s="1" t="s">
        <v>8956</v>
      </c>
      <c r="R3253" s="1" t="s">
        <v>8957</v>
      </c>
      <c r="S3253" s="1" t="s">
        <v>8958</v>
      </c>
      <c r="T3253" s="1" t="s">
        <v>8530</v>
      </c>
      <c r="U3253" s="1" t="s">
        <v>17</v>
      </c>
      <c r="V3253" s="1" t="s">
        <v>126</v>
      </c>
      <c r="W3253" s="1"/>
    </row>
    <row r="3254" spans="1:23" x14ac:dyDescent="0.2">
      <c r="A3254" s="88" t="s">
        <v>18347</v>
      </c>
      <c r="B3254" s="1" t="e">
        <v>#N/A</v>
      </c>
      <c r="C3254" s="1" t="e">
        <v>#N/A</v>
      </c>
      <c r="D3254" s="1" t="s">
        <v>8531</v>
      </c>
      <c r="E3254" s="1" t="s">
        <v>8532</v>
      </c>
      <c r="F3254" t="s">
        <v>9310</v>
      </c>
      <c r="G3254" t="s">
        <v>8957</v>
      </c>
      <c r="H3254" t="s">
        <v>8959</v>
      </c>
      <c r="I3254" t="s">
        <v>20714</v>
      </c>
      <c r="J3254" t="s">
        <v>9050</v>
      </c>
      <c r="K3254" t="s">
        <v>21486</v>
      </c>
      <c r="L3254" t="s">
        <v>9133</v>
      </c>
      <c r="M3254">
        <v>1513</v>
      </c>
      <c r="N3254" t="s">
        <v>8953</v>
      </c>
      <c r="O3254" t="s">
        <v>8989</v>
      </c>
      <c r="P3254" s="1" t="e">
        <v>#N/A</v>
      </c>
      <c r="Q3254" s="1" t="e">
        <v>#N/A</v>
      </c>
      <c r="R3254" s="1">
        <f t="shared" ref="R3254:R3255" si="948">1+LEN(T3254)-LEN(SUBSTITUTE(T3254,",",))</f>
        <v>12</v>
      </c>
      <c r="S3254" s="1" t="str">
        <f t="shared" ref="S3254:S3255" si="949">IF(R3254&gt;4,IF(R3254&lt;8,"4-7",IF(R3254&gt;7,"&gt;7")),"&lt;4")</f>
        <v>&gt;7</v>
      </c>
      <c r="T3254" s="1" t="s">
        <v>20427</v>
      </c>
      <c r="U3254" s="1" t="s">
        <v>11</v>
      </c>
      <c r="V3254" s="1" t="s">
        <v>2284</v>
      </c>
      <c r="W3254" s="1"/>
    </row>
    <row r="3255" spans="1:23" x14ac:dyDescent="0.2">
      <c r="A3255" s="88" t="s">
        <v>18348</v>
      </c>
      <c r="B3255" s="1" t="e">
        <v>#N/A</v>
      </c>
      <c r="C3255" s="1" t="e">
        <v>#N/A</v>
      </c>
      <c r="D3255" s="1" t="s">
        <v>8533</v>
      </c>
      <c r="E3255" s="1" t="s">
        <v>8534</v>
      </c>
      <c r="F3255" t="s">
        <v>9310</v>
      </c>
      <c r="G3255" t="s">
        <v>9060</v>
      </c>
      <c r="H3255" t="s">
        <v>8959</v>
      </c>
      <c r="I3255" t="s">
        <v>9035</v>
      </c>
      <c r="J3255" t="s">
        <v>8998</v>
      </c>
      <c r="K3255" t="s">
        <v>21487</v>
      </c>
      <c r="L3255" t="s">
        <v>9133</v>
      </c>
      <c r="M3255">
        <v>617775</v>
      </c>
      <c r="N3255" t="s">
        <v>8953</v>
      </c>
      <c r="O3255" t="s">
        <v>8989</v>
      </c>
      <c r="P3255" s="1" t="e">
        <v>#N/A</v>
      </c>
      <c r="Q3255" s="1" t="e">
        <v>#N/A</v>
      </c>
      <c r="R3255" s="1">
        <f t="shared" si="948"/>
        <v>45</v>
      </c>
      <c r="S3255" s="1" t="str">
        <f t="shared" si="949"/>
        <v>&gt;7</v>
      </c>
      <c r="T3255" s="1" t="s">
        <v>20428</v>
      </c>
      <c r="U3255" s="1" t="s">
        <v>7</v>
      </c>
      <c r="V3255" s="1" t="s">
        <v>1462</v>
      </c>
      <c r="W3255" s="1"/>
    </row>
    <row r="3256" spans="1:23" x14ac:dyDescent="0.2">
      <c r="A3256" s="88" t="s">
        <v>18349</v>
      </c>
      <c r="B3256" s="1" t="e">
        <v>#N/A</v>
      </c>
      <c r="C3256" s="1" t="s">
        <v>11821</v>
      </c>
      <c r="D3256" s="1" t="s">
        <v>8535</v>
      </c>
      <c r="E3256" s="1" t="s">
        <v>8536</v>
      </c>
      <c r="F3256" t="s">
        <v>9310</v>
      </c>
      <c r="G3256" t="s">
        <v>8957</v>
      </c>
      <c r="H3256" t="s">
        <v>9183</v>
      </c>
      <c r="I3256" t="s">
        <v>9092</v>
      </c>
      <c r="J3256" t="s">
        <v>8949</v>
      </c>
      <c r="K3256" t="s">
        <v>9270</v>
      </c>
      <c r="L3256" t="s">
        <v>8973</v>
      </c>
      <c r="M3256">
        <v>167</v>
      </c>
      <c r="N3256" t="s">
        <v>9059</v>
      </c>
      <c r="O3256" t="s">
        <v>8989</v>
      </c>
      <c r="P3256" s="1" t="s">
        <v>8955</v>
      </c>
      <c r="Q3256" s="1" t="s">
        <v>8956</v>
      </c>
      <c r="R3256" s="1" t="s">
        <v>8957</v>
      </c>
      <c r="S3256" s="1" t="s">
        <v>8958</v>
      </c>
      <c r="T3256" s="1" t="s">
        <v>8537</v>
      </c>
      <c r="U3256" s="1" t="s">
        <v>11</v>
      </c>
      <c r="V3256" s="1" t="s">
        <v>43</v>
      </c>
      <c r="W3256" s="1"/>
    </row>
    <row r="3257" spans="1:23" x14ac:dyDescent="0.2">
      <c r="A3257" s="88" t="s">
        <v>18350</v>
      </c>
      <c r="B3257" s="1" t="e">
        <v>#N/A</v>
      </c>
      <c r="C3257" s="1" t="s">
        <v>10181</v>
      </c>
      <c r="D3257" s="1" t="s">
        <v>8538</v>
      </c>
      <c r="E3257" s="1" t="s">
        <v>8539</v>
      </c>
      <c r="F3257" t="s">
        <v>9310</v>
      </c>
      <c r="G3257" t="s">
        <v>8957</v>
      </c>
      <c r="H3257" t="s">
        <v>8959</v>
      </c>
      <c r="I3257" t="s">
        <v>9075</v>
      </c>
      <c r="J3257" t="s">
        <v>9121</v>
      </c>
      <c r="K3257" t="s">
        <v>10184</v>
      </c>
      <c r="L3257" t="s">
        <v>8973</v>
      </c>
      <c r="M3257">
        <v>672</v>
      </c>
      <c r="N3257" t="s">
        <v>8953</v>
      </c>
      <c r="O3257" t="s">
        <v>8989</v>
      </c>
      <c r="P3257" s="1" t="s">
        <v>8955</v>
      </c>
      <c r="Q3257" s="1" t="s">
        <v>8956</v>
      </c>
      <c r="R3257" s="1" t="s">
        <v>8957</v>
      </c>
      <c r="S3257" s="1" t="s">
        <v>8958</v>
      </c>
      <c r="T3257" s="1" t="s">
        <v>8540</v>
      </c>
      <c r="U3257" s="1" t="s">
        <v>17</v>
      </c>
      <c r="V3257" s="1" t="s">
        <v>1651</v>
      </c>
      <c r="W3257" s="1"/>
    </row>
    <row r="3258" spans="1:23" x14ac:dyDescent="0.2">
      <c r="A3258" s="88" t="s">
        <v>18351</v>
      </c>
      <c r="B3258" s="1" t="e">
        <v>#N/A</v>
      </c>
      <c r="C3258" s="1" t="e">
        <v>#N/A</v>
      </c>
      <c r="D3258" s="1" t="s">
        <v>8541</v>
      </c>
      <c r="E3258" s="1" t="s">
        <v>8542</v>
      </c>
      <c r="F3258" t="s">
        <v>9310</v>
      </c>
      <c r="G3258" t="s">
        <v>8959</v>
      </c>
      <c r="H3258" t="s">
        <v>8959</v>
      </c>
      <c r="I3258" t="s">
        <v>9173</v>
      </c>
      <c r="J3258" t="s">
        <v>9174</v>
      </c>
      <c r="K3258" t="s">
        <v>21488</v>
      </c>
      <c r="L3258" t="s">
        <v>8951</v>
      </c>
      <c r="M3258" t="s">
        <v>9479</v>
      </c>
      <c r="N3258" t="s">
        <v>8953</v>
      </c>
      <c r="O3258" t="s">
        <v>8954</v>
      </c>
      <c r="P3258" s="1" t="e">
        <v>#N/A</v>
      </c>
      <c r="Q3258" s="1" t="e">
        <v>#N/A</v>
      </c>
      <c r="R3258" s="1">
        <f>1+LEN(T3258)-LEN(SUBSTITUTE(T3258,",",))</f>
        <v>4</v>
      </c>
      <c r="S3258" s="1" t="str">
        <f>IF(R3258&gt;4,IF(R3258&lt;8,"4-7",IF(R3258&gt;7,"&gt;7")),"&lt;4")</f>
        <v>&lt;4</v>
      </c>
      <c r="T3258" s="1" t="s">
        <v>20429</v>
      </c>
      <c r="U3258" s="1" t="s">
        <v>7</v>
      </c>
      <c r="V3258" s="1" t="s">
        <v>8543</v>
      </c>
      <c r="W3258" s="1"/>
    </row>
    <row r="3259" spans="1:23" x14ac:dyDescent="0.2">
      <c r="A3259" s="88" t="s">
        <v>18352</v>
      </c>
      <c r="B3259" s="1" t="e">
        <v>#N/A</v>
      </c>
      <c r="C3259" s="1" t="s">
        <v>9492</v>
      </c>
      <c r="D3259" s="1" t="s">
        <v>8544</v>
      </c>
      <c r="E3259" s="1" t="s">
        <v>8545</v>
      </c>
      <c r="F3259" t="s">
        <v>9310</v>
      </c>
      <c r="G3259" t="s">
        <v>8959</v>
      </c>
      <c r="H3259" t="s">
        <v>9061</v>
      </c>
      <c r="I3259" t="s">
        <v>9075</v>
      </c>
      <c r="J3259" t="s">
        <v>8971</v>
      </c>
      <c r="K3259" t="s">
        <v>21489</v>
      </c>
      <c r="L3259" t="s">
        <v>8951</v>
      </c>
      <c r="M3259">
        <v>1828</v>
      </c>
      <c r="N3259" t="s">
        <v>8953</v>
      </c>
      <c r="O3259" t="s">
        <v>8954</v>
      </c>
      <c r="P3259" s="1" t="s">
        <v>8955</v>
      </c>
      <c r="Q3259" s="1" t="s">
        <v>8990</v>
      </c>
      <c r="R3259" s="1" t="s">
        <v>8959</v>
      </c>
      <c r="S3259" s="1" t="s">
        <v>9103</v>
      </c>
      <c r="T3259" s="1" t="s">
        <v>8546</v>
      </c>
      <c r="U3259" s="1" t="s">
        <v>17</v>
      </c>
      <c r="V3259" s="1" t="s">
        <v>97</v>
      </c>
      <c r="W3259" s="1"/>
    </row>
    <row r="3260" spans="1:23" x14ac:dyDescent="0.2">
      <c r="A3260" s="88" t="s">
        <v>18353</v>
      </c>
      <c r="B3260" s="1" t="e">
        <v>#N/A</v>
      </c>
      <c r="C3260" s="1" t="s">
        <v>9151</v>
      </c>
      <c r="D3260" s="1" t="s">
        <v>8547</v>
      </c>
      <c r="E3260" s="1" t="s">
        <v>8548</v>
      </c>
      <c r="F3260" t="s">
        <v>9010</v>
      </c>
      <c r="G3260" t="s">
        <v>8957</v>
      </c>
      <c r="H3260" t="s">
        <v>8959</v>
      </c>
      <c r="I3260" t="s">
        <v>9154</v>
      </c>
      <c r="J3260" t="s">
        <v>9155</v>
      </c>
      <c r="K3260" t="s">
        <v>9156</v>
      </c>
      <c r="L3260" t="s">
        <v>9157</v>
      </c>
      <c r="M3260">
        <v>132</v>
      </c>
      <c r="N3260" t="s">
        <v>8953</v>
      </c>
      <c r="O3260" t="s">
        <v>8989</v>
      </c>
      <c r="P3260" s="1" t="s">
        <v>8955</v>
      </c>
      <c r="Q3260" s="1" t="s">
        <v>21151</v>
      </c>
      <c r="R3260" s="1" t="s">
        <v>8957</v>
      </c>
      <c r="S3260" s="1" t="s">
        <v>8958</v>
      </c>
      <c r="T3260" s="1" t="s">
        <v>8549</v>
      </c>
      <c r="U3260" s="1" t="s">
        <v>7</v>
      </c>
      <c r="V3260" s="1" t="s">
        <v>61</v>
      </c>
      <c r="W3260" s="1"/>
    </row>
    <row r="3261" spans="1:23" x14ac:dyDescent="0.2">
      <c r="A3261" s="94" t="s">
        <v>18354</v>
      </c>
      <c r="B3261" s="1" t="e">
        <v>#N/A</v>
      </c>
      <c r="C3261" s="1" t="e">
        <v>#N/A</v>
      </c>
      <c r="D3261" s="1" t="s">
        <v>8550</v>
      </c>
      <c r="E3261" s="1" t="s">
        <v>8551</v>
      </c>
      <c r="F3261" t="e">
        <v>#N/A</v>
      </c>
      <c r="G3261" t="e">
        <v>#N/A</v>
      </c>
      <c r="H3261" t="e">
        <v>#N/A</v>
      </c>
      <c r="I3261" t="e">
        <v>#N/A</v>
      </c>
      <c r="J3261" t="e">
        <v>#N/A</v>
      </c>
      <c r="K3261" t="e">
        <v>#N/A</v>
      </c>
      <c r="L3261" t="e">
        <v>#N/A</v>
      </c>
      <c r="M3261" t="e">
        <v>#N/A</v>
      </c>
      <c r="O3261" t="e">
        <v>#N/A</v>
      </c>
      <c r="P3261" s="1" t="e">
        <v>#N/A</v>
      </c>
      <c r="Q3261" s="1" t="e">
        <v>#N/A</v>
      </c>
      <c r="R3261" s="1">
        <f t="shared" ref="R3261:R3272" si="950">1+LEN(T3261)-LEN(SUBSTITUTE(T3261,",",))</f>
        <v>4</v>
      </c>
      <c r="S3261" s="1" t="str">
        <f t="shared" ref="S3261:S3272" si="951">IF(R3261&gt;4,IF(R3261&lt;8,"4-7",IF(R3261&gt;7,"&gt;7")),"&lt;4")</f>
        <v>&lt;4</v>
      </c>
      <c r="T3261" s="1" t="s">
        <v>20430</v>
      </c>
      <c r="U3261" s="1" t="s">
        <v>7</v>
      </c>
      <c r="V3261" s="1" t="s">
        <v>3509</v>
      </c>
      <c r="W3261" s="1"/>
    </row>
    <row r="3262" spans="1:23" x14ac:dyDescent="0.2">
      <c r="A3262" s="88" t="s">
        <v>18355</v>
      </c>
      <c r="B3262" s="1" t="e">
        <v>#N/A</v>
      </c>
      <c r="C3262" s="1" t="e">
        <v>#N/A</v>
      </c>
      <c r="D3262" s="1" t="s">
        <v>8552</v>
      </c>
      <c r="E3262" s="1" t="s">
        <v>8553</v>
      </c>
      <c r="F3262" t="s">
        <v>18502</v>
      </c>
      <c r="G3262" t="s">
        <v>8957</v>
      </c>
      <c r="H3262" t="s">
        <v>8959</v>
      </c>
      <c r="I3262" t="s">
        <v>20712</v>
      </c>
      <c r="J3262" t="s">
        <v>9155</v>
      </c>
      <c r="K3262" t="s">
        <v>21490</v>
      </c>
      <c r="L3262" t="s">
        <v>8973</v>
      </c>
      <c r="M3262">
        <f>26+6+50+60+98+16+4+100+20+10+10+10+465</f>
        <v>875</v>
      </c>
      <c r="N3262" t="s">
        <v>9059</v>
      </c>
      <c r="O3262" t="s">
        <v>8954</v>
      </c>
      <c r="P3262" s="1" t="e">
        <v>#N/A</v>
      </c>
      <c r="Q3262" s="1" t="e">
        <v>#N/A</v>
      </c>
      <c r="R3262" s="1">
        <f t="shared" si="950"/>
        <v>11</v>
      </c>
      <c r="S3262" s="1" t="str">
        <f t="shared" si="951"/>
        <v>&gt;7</v>
      </c>
      <c r="T3262" s="1" t="s">
        <v>20431</v>
      </c>
      <c r="U3262" s="1" t="s">
        <v>7</v>
      </c>
      <c r="V3262" s="1" t="s">
        <v>61</v>
      </c>
      <c r="W3262" s="1"/>
    </row>
    <row r="3263" spans="1:23" x14ac:dyDescent="0.2">
      <c r="A3263" s="88" t="s">
        <v>18356</v>
      </c>
      <c r="B3263" s="1" t="e">
        <v>#N/A</v>
      </c>
      <c r="C3263" s="1" t="e">
        <v>#N/A</v>
      </c>
      <c r="D3263" s="1" t="s">
        <v>8554</v>
      </c>
      <c r="E3263" s="1" t="s">
        <v>8555</v>
      </c>
      <c r="F3263" t="s">
        <v>9310</v>
      </c>
      <c r="G3263" t="s">
        <v>8957</v>
      </c>
      <c r="H3263" t="s">
        <v>8959</v>
      </c>
      <c r="I3263" t="s">
        <v>8948</v>
      </c>
      <c r="J3263" t="s">
        <v>9155</v>
      </c>
      <c r="K3263" t="s">
        <v>18497</v>
      </c>
      <c r="L3263" t="s">
        <v>9133</v>
      </c>
      <c r="M3263">
        <v>78</v>
      </c>
      <c r="N3263" t="s">
        <v>9059</v>
      </c>
      <c r="O3263" t="s">
        <v>8989</v>
      </c>
      <c r="P3263" s="1" t="e">
        <v>#N/A</v>
      </c>
      <c r="Q3263" s="1" t="e">
        <v>#N/A</v>
      </c>
      <c r="R3263" s="1">
        <f t="shared" si="950"/>
        <v>14</v>
      </c>
      <c r="S3263" s="1" t="str">
        <f t="shared" si="951"/>
        <v>&gt;7</v>
      </c>
      <c r="T3263" s="1" t="s">
        <v>20432</v>
      </c>
      <c r="U3263" s="1" t="s">
        <v>17</v>
      </c>
      <c r="V3263" s="1" t="s">
        <v>3111</v>
      </c>
      <c r="W3263" s="1"/>
    </row>
    <row r="3264" spans="1:23" x14ac:dyDescent="0.2">
      <c r="A3264" s="88" t="s">
        <v>18357</v>
      </c>
      <c r="B3264" s="1" t="e">
        <v>#N/A</v>
      </c>
      <c r="C3264" s="1" t="e">
        <v>#N/A</v>
      </c>
      <c r="D3264" s="1" t="s">
        <v>8556</v>
      </c>
      <c r="E3264" s="1" t="s">
        <v>8557</v>
      </c>
      <c r="F3264" t="s">
        <v>18502</v>
      </c>
      <c r="G3264" t="s">
        <v>8957</v>
      </c>
      <c r="H3264" t="s">
        <v>9061</v>
      </c>
      <c r="I3264" t="s">
        <v>9100</v>
      </c>
      <c r="J3264" t="s">
        <v>8959</v>
      </c>
      <c r="K3264" t="s">
        <v>21193</v>
      </c>
      <c r="L3264" t="s">
        <v>8973</v>
      </c>
      <c r="M3264">
        <v>30</v>
      </c>
      <c r="N3264" t="s">
        <v>8953</v>
      </c>
      <c r="O3264" t="s">
        <v>8989</v>
      </c>
      <c r="P3264" s="1" t="e">
        <v>#N/A</v>
      </c>
      <c r="Q3264" s="1" t="e">
        <v>#N/A</v>
      </c>
      <c r="R3264" s="1">
        <f t="shared" si="950"/>
        <v>7</v>
      </c>
      <c r="S3264" s="1" t="str">
        <f t="shared" si="951"/>
        <v>4-7</v>
      </c>
      <c r="T3264" s="1" t="s">
        <v>20433</v>
      </c>
      <c r="U3264" s="1" t="s">
        <v>7</v>
      </c>
      <c r="V3264" s="1" t="s">
        <v>184</v>
      </c>
      <c r="W3264" s="1"/>
    </row>
    <row r="3265" spans="1:23" x14ac:dyDescent="0.2">
      <c r="A3265" s="88" t="s">
        <v>18358</v>
      </c>
      <c r="B3265" s="1" t="e">
        <v>#N/A</v>
      </c>
      <c r="C3265" s="1" t="e">
        <v>#N/A</v>
      </c>
      <c r="D3265" s="1" t="s">
        <v>8558</v>
      </c>
      <c r="E3265" s="1" t="s">
        <v>8559</v>
      </c>
      <c r="F3265" t="s">
        <v>18502</v>
      </c>
      <c r="G3265" t="s">
        <v>9060</v>
      </c>
      <c r="H3265" t="s">
        <v>21491</v>
      </c>
      <c r="I3265" t="s">
        <v>9605</v>
      </c>
      <c r="J3265" t="s">
        <v>9101</v>
      </c>
      <c r="K3265" t="s">
        <v>21193</v>
      </c>
      <c r="L3265" t="s">
        <v>8973</v>
      </c>
      <c r="M3265" t="e">
        <v>#N/A</v>
      </c>
      <c r="N3265" t="e">
        <v>#N/A</v>
      </c>
      <c r="O3265" t="e">
        <v>#N/A</v>
      </c>
      <c r="P3265" s="1" t="e">
        <v>#N/A</v>
      </c>
      <c r="Q3265" s="1" t="e">
        <v>#N/A</v>
      </c>
      <c r="R3265" s="1">
        <f t="shared" si="950"/>
        <v>7</v>
      </c>
      <c r="S3265" s="1" t="str">
        <f t="shared" si="951"/>
        <v>4-7</v>
      </c>
      <c r="T3265" s="1" t="s">
        <v>20434</v>
      </c>
      <c r="U3265" s="1" t="s">
        <v>7</v>
      </c>
      <c r="V3265" s="1" t="s">
        <v>580</v>
      </c>
      <c r="W3265" s="1"/>
    </row>
    <row r="3266" spans="1:23" x14ac:dyDescent="0.2">
      <c r="A3266" s="88" t="s">
        <v>18359</v>
      </c>
      <c r="B3266" s="1" t="e">
        <v>#N/A</v>
      </c>
      <c r="C3266" s="1" t="e">
        <v>#N/A</v>
      </c>
      <c r="D3266" s="1" t="s">
        <v>8560</v>
      </c>
      <c r="E3266" s="1" t="s">
        <v>8561</v>
      </c>
      <c r="F3266" t="s">
        <v>9310</v>
      </c>
      <c r="G3266" t="s">
        <v>8957</v>
      </c>
      <c r="H3266" t="s">
        <v>9061</v>
      </c>
      <c r="I3266" t="s">
        <v>9154</v>
      </c>
      <c r="J3266" t="s">
        <v>8949</v>
      </c>
      <c r="K3266" t="s">
        <v>21203</v>
      </c>
      <c r="L3266" t="s">
        <v>9133</v>
      </c>
      <c r="M3266">
        <f>212+87</f>
        <v>299</v>
      </c>
      <c r="N3266" t="s">
        <v>9059</v>
      </c>
      <c r="O3266" t="s">
        <v>8989</v>
      </c>
      <c r="P3266" s="1" t="e">
        <v>#N/A</v>
      </c>
      <c r="Q3266" s="1" t="e">
        <v>#N/A</v>
      </c>
      <c r="R3266" s="1">
        <f t="shared" si="950"/>
        <v>11</v>
      </c>
      <c r="S3266" s="1" t="str">
        <f t="shared" si="951"/>
        <v>&gt;7</v>
      </c>
      <c r="T3266" s="1" t="s">
        <v>20435</v>
      </c>
      <c r="U3266" s="1" t="s">
        <v>17</v>
      </c>
      <c r="V3266" s="1" t="s">
        <v>180</v>
      </c>
      <c r="W3266" s="1"/>
    </row>
    <row r="3267" spans="1:23" x14ac:dyDescent="0.2">
      <c r="A3267" s="88" t="s">
        <v>18360</v>
      </c>
      <c r="B3267" s="1" t="e">
        <v>#N/A</v>
      </c>
      <c r="C3267" s="1" t="e">
        <v>#N/A</v>
      </c>
      <c r="D3267" s="1" t="s">
        <v>8562</v>
      </c>
      <c r="E3267" s="1" t="s">
        <v>8563</v>
      </c>
      <c r="F3267" t="s">
        <v>18502</v>
      </c>
      <c r="G3267" t="s">
        <v>8957</v>
      </c>
      <c r="H3267" t="s">
        <v>8959</v>
      </c>
      <c r="I3267" t="s">
        <v>9605</v>
      </c>
      <c r="J3267" t="s">
        <v>9101</v>
      </c>
      <c r="K3267" t="s">
        <v>21195</v>
      </c>
      <c r="L3267" t="s">
        <v>9292</v>
      </c>
      <c r="M3267">
        <v>5</v>
      </c>
      <c r="N3267" t="s">
        <v>11658</v>
      </c>
      <c r="O3267" t="s">
        <v>8989</v>
      </c>
      <c r="P3267" s="1" t="e">
        <v>#N/A</v>
      </c>
      <c r="Q3267" s="1" t="e">
        <v>#N/A</v>
      </c>
      <c r="R3267" s="1">
        <f t="shared" si="950"/>
        <v>7</v>
      </c>
      <c r="S3267" s="1" t="str">
        <f t="shared" si="951"/>
        <v>4-7</v>
      </c>
      <c r="T3267" s="1" t="s">
        <v>20436</v>
      </c>
      <c r="U3267" s="1" t="s">
        <v>11</v>
      </c>
      <c r="V3267" s="1" t="s">
        <v>700</v>
      </c>
      <c r="W3267" s="1"/>
    </row>
    <row r="3268" spans="1:23" x14ac:dyDescent="0.2">
      <c r="A3268" s="88" t="s">
        <v>18361</v>
      </c>
      <c r="B3268" s="1" t="e">
        <v>#N/A</v>
      </c>
      <c r="C3268" s="1" t="e">
        <v>#N/A</v>
      </c>
      <c r="D3268" s="1" t="s">
        <v>8564</v>
      </c>
      <c r="E3268" s="1" t="s">
        <v>8565</v>
      </c>
      <c r="F3268" t="s">
        <v>9310</v>
      </c>
      <c r="G3268" t="s">
        <v>8957</v>
      </c>
      <c r="H3268" t="s">
        <v>8959</v>
      </c>
      <c r="I3268" t="s">
        <v>9100</v>
      </c>
      <c r="J3268" t="s">
        <v>12453</v>
      </c>
      <c r="K3268" t="s">
        <v>21492</v>
      </c>
      <c r="L3268" t="s">
        <v>8987</v>
      </c>
      <c r="M3268">
        <v>17</v>
      </c>
      <c r="N3268" t="s">
        <v>9059</v>
      </c>
      <c r="O3268" t="s">
        <v>8989</v>
      </c>
      <c r="P3268" s="1" t="e">
        <v>#N/A</v>
      </c>
      <c r="Q3268" s="1" t="e">
        <v>#N/A</v>
      </c>
      <c r="R3268" s="1">
        <f t="shared" si="950"/>
        <v>5</v>
      </c>
      <c r="S3268" s="1" t="str">
        <f t="shared" si="951"/>
        <v>4-7</v>
      </c>
      <c r="T3268" s="1" t="s">
        <v>20437</v>
      </c>
      <c r="U3268" s="1" t="s">
        <v>17</v>
      </c>
      <c r="V3268" s="1" t="s">
        <v>4802</v>
      </c>
      <c r="W3268" s="1"/>
    </row>
    <row r="3269" spans="1:23" x14ac:dyDescent="0.2">
      <c r="A3269" s="94" t="s">
        <v>18362</v>
      </c>
      <c r="B3269" s="1" t="e">
        <v>#N/A</v>
      </c>
      <c r="C3269" s="1" t="e">
        <v>#N/A</v>
      </c>
      <c r="D3269" s="1" t="s">
        <v>8566</v>
      </c>
      <c r="E3269" s="1" t="s">
        <v>8567</v>
      </c>
      <c r="F3269" t="s">
        <v>9310</v>
      </c>
      <c r="G3269" t="e">
        <v>#N/A</v>
      </c>
      <c r="H3269" t="s">
        <v>8959</v>
      </c>
      <c r="I3269" t="e">
        <v>#N/A</v>
      </c>
      <c r="J3269" t="e">
        <v>#N/A</v>
      </c>
      <c r="K3269" t="e">
        <v>#N/A</v>
      </c>
      <c r="L3269" t="e">
        <v>#N/A</v>
      </c>
      <c r="M3269" t="e">
        <v>#N/A</v>
      </c>
      <c r="N3269" t="e">
        <v>#N/A</v>
      </c>
      <c r="O3269" t="e">
        <v>#N/A</v>
      </c>
      <c r="P3269" s="1" t="e">
        <v>#N/A</v>
      </c>
      <c r="Q3269" s="1" t="e">
        <v>#N/A</v>
      </c>
      <c r="R3269" s="1">
        <f t="shared" si="950"/>
        <v>4</v>
      </c>
      <c r="S3269" s="1" t="str">
        <f t="shared" si="951"/>
        <v>&lt;4</v>
      </c>
      <c r="T3269" s="1" t="s">
        <v>20438</v>
      </c>
      <c r="U3269" s="1" t="s">
        <v>7</v>
      </c>
      <c r="V3269" s="1" t="s">
        <v>110</v>
      </c>
      <c r="W3269" s="1"/>
    </row>
    <row r="3270" spans="1:23" x14ac:dyDescent="0.2">
      <c r="A3270" s="88" t="s">
        <v>18363</v>
      </c>
      <c r="B3270" s="1" t="e">
        <v>#N/A</v>
      </c>
      <c r="C3270" s="1" t="e">
        <v>#N/A</v>
      </c>
      <c r="D3270" s="1" t="s">
        <v>8568</v>
      </c>
      <c r="E3270" s="1" t="s">
        <v>8569</v>
      </c>
      <c r="F3270" t="s">
        <v>9310</v>
      </c>
      <c r="G3270" t="s">
        <v>9060</v>
      </c>
      <c r="H3270" t="s">
        <v>9061</v>
      </c>
      <c r="I3270" t="s">
        <v>20712</v>
      </c>
      <c r="J3270" t="s">
        <v>8998</v>
      </c>
      <c r="K3270" t="s">
        <v>21492</v>
      </c>
      <c r="L3270" t="s">
        <v>9464</v>
      </c>
      <c r="M3270">
        <v>50000</v>
      </c>
      <c r="N3270" t="s">
        <v>8953</v>
      </c>
      <c r="O3270" t="s">
        <v>8989</v>
      </c>
      <c r="P3270" s="1" t="e">
        <v>#N/A</v>
      </c>
      <c r="Q3270" s="1" t="e">
        <v>#N/A</v>
      </c>
      <c r="R3270" s="1">
        <f t="shared" si="950"/>
        <v>6</v>
      </c>
      <c r="S3270" s="1" t="str">
        <f t="shared" si="951"/>
        <v>4-7</v>
      </c>
      <c r="T3270" s="1" t="s">
        <v>20439</v>
      </c>
      <c r="U3270" s="1" t="s">
        <v>7</v>
      </c>
      <c r="V3270" s="1" t="s">
        <v>378</v>
      </c>
      <c r="W3270" s="1"/>
    </row>
    <row r="3271" spans="1:23" x14ac:dyDescent="0.2">
      <c r="A3271" s="88" t="s">
        <v>18364</v>
      </c>
      <c r="B3271" s="1" t="e">
        <v>#N/A</v>
      </c>
      <c r="C3271" s="1" t="e">
        <v>#N/A</v>
      </c>
      <c r="D3271" s="1" t="s">
        <v>8570</v>
      </c>
      <c r="E3271" s="1" t="s">
        <v>8571</v>
      </c>
      <c r="F3271" t="s">
        <v>9310</v>
      </c>
      <c r="G3271" t="s">
        <v>8957</v>
      </c>
      <c r="H3271" t="s">
        <v>8959</v>
      </c>
      <c r="I3271" t="s">
        <v>20714</v>
      </c>
      <c r="J3271" t="s">
        <v>20725</v>
      </c>
      <c r="K3271" t="s">
        <v>21493</v>
      </c>
      <c r="L3271" t="s">
        <v>9133</v>
      </c>
      <c r="M3271">
        <v>38057</v>
      </c>
      <c r="N3271" t="s">
        <v>8953</v>
      </c>
      <c r="O3271" t="s">
        <v>8989</v>
      </c>
      <c r="P3271" s="1" t="e">
        <v>#N/A</v>
      </c>
      <c r="Q3271" s="1" t="e">
        <v>#N/A</v>
      </c>
      <c r="R3271" s="1">
        <f t="shared" si="950"/>
        <v>4</v>
      </c>
      <c r="S3271" s="1" t="str">
        <f t="shared" si="951"/>
        <v>&lt;4</v>
      </c>
      <c r="T3271" s="1" t="s">
        <v>20440</v>
      </c>
      <c r="U3271" s="1" t="s">
        <v>7</v>
      </c>
      <c r="V3271" s="1" t="s">
        <v>8572</v>
      </c>
      <c r="W3271" s="1"/>
    </row>
    <row r="3272" spans="1:23" x14ac:dyDescent="0.2">
      <c r="A3272" s="88" t="s">
        <v>18365</v>
      </c>
      <c r="B3272" s="1" t="e">
        <v>#N/A</v>
      </c>
      <c r="C3272" s="1" t="e">
        <v>#N/A</v>
      </c>
      <c r="D3272" s="1" t="s">
        <v>8573</v>
      </c>
      <c r="E3272" s="1" t="s">
        <v>8574</v>
      </c>
      <c r="F3272" t="s">
        <v>9310</v>
      </c>
      <c r="G3272" t="s">
        <v>9060</v>
      </c>
      <c r="H3272" t="s">
        <v>8959</v>
      </c>
      <c r="I3272" t="s">
        <v>20712</v>
      </c>
      <c r="J3272" t="s">
        <v>8949</v>
      </c>
      <c r="K3272" t="s">
        <v>21492</v>
      </c>
      <c r="L3272" t="s">
        <v>9076</v>
      </c>
      <c r="M3272">
        <f>17532+24+12+20</f>
        <v>17588</v>
      </c>
      <c r="N3272" t="s">
        <v>8953</v>
      </c>
      <c r="O3272" t="s">
        <v>8954</v>
      </c>
      <c r="P3272" s="1" t="e">
        <v>#N/A</v>
      </c>
      <c r="Q3272" s="1" t="e">
        <v>#N/A</v>
      </c>
      <c r="R3272" s="1">
        <f t="shared" si="950"/>
        <v>9</v>
      </c>
      <c r="S3272" s="1" t="str">
        <f t="shared" si="951"/>
        <v>&gt;7</v>
      </c>
      <c r="T3272" s="1" t="s">
        <v>20441</v>
      </c>
      <c r="U3272" s="1" t="s">
        <v>17</v>
      </c>
      <c r="V3272" s="1" t="s">
        <v>161</v>
      </c>
      <c r="W3272" s="1"/>
    </row>
    <row r="3273" spans="1:23" x14ac:dyDescent="0.2">
      <c r="A3273" s="88" t="s">
        <v>18366</v>
      </c>
      <c r="B3273" s="1" t="e">
        <v>#N/A</v>
      </c>
      <c r="C3273" s="1" t="s">
        <v>14310</v>
      </c>
      <c r="D3273" s="1" t="s">
        <v>8575</v>
      </c>
      <c r="E3273" s="1" t="s">
        <v>8576</v>
      </c>
      <c r="F3273" t="s">
        <v>9310</v>
      </c>
      <c r="G3273" t="s">
        <v>8957</v>
      </c>
      <c r="H3273" t="s">
        <v>8959</v>
      </c>
      <c r="I3273" t="s">
        <v>9252</v>
      </c>
      <c r="J3273" t="s">
        <v>9121</v>
      </c>
      <c r="K3273" t="s">
        <v>21494</v>
      </c>
      <c r="L3273" t="s">
        <v>8987</v>
      </c>
      <c r="M3273">
        <v>227</v>
      </c>
      <c r="N3273" t="s">
        <v>8953</v>
      </c>
      <c r="O3273" t="s">
        <v>8989</v>
      </c>
      <c r="P3273" s="1" t="s">
        <v>8955</v>
      </c>
      <c r="Q3273" s="1" t="s">
        <v>8956</v>
      </c>
      <c r="R3273" s="1" t="s">
        <v>8957</v>
      </c>
      <c r="S3273" s="1" t="s">
        <v>8958</v>
      </c>
      <c r="T3273" s="1" t="s">
        <v>8577</v>
      </c>
      <c r="U3273" s="1" t="s">
        <v>242</v>
      </c>
      <c r="V3273" s="1" t="s">
        <v>5702</v>
      </c>
      <c r="W3273" s="1"/>
    </row>
    <row r="3274" spans="1:23" x14ac:dyDescent="0.2">
      <c r="A3274" s="88" t="s">
        <v>18367</v>
      </c>
      <c r="B3274" s="1" t="e">
        <v>#N/A</v>
      </c>
      <c r="C3274" s="1" t="e">
        <v>#N/A</v>
      </c>
      <c r="D3274" s="1" t="s">
        <v>8578</v>
      </c>
      <c r="E3274" s="1" t="s">
        <v>8579</v>
      </c>
      <c r="F3274" t="s">
        <v>9310</v>
      </c>
      <c r="G3274" t="s">
        <v>8957</v>
      </c>
      <c r="H3274" t="s">
        <v>8959</v>
      </c>
      <c r="I3274" t="s">
        <v>9075</v>
      </c>
      <c r="J3274" t="s">
        <v>8971</v>
      </c>
      <c r="K3274" t="s">
        <v>21495</v>
      </c>
      <c r="L3274" t="s">
        <v>9133</v>
      </c>
      <c r="M3274">
        <v>313</v>
      </c>
      <c r="N3274" t="s">
        <v>8953</v>
      </c>
      <c r="O3274" t="s">
        <v>8989</v>
      </c>
      <c r="P3274" s="1" t="e">
        <v>#N/A</v>
      </c>
      <c r="Q3274" s="1" t="e">
        <v>#N/A</v>
      </c>
      <c r="R3274" s="1">
        <f t="shared" ref="R3274:R3276" si="952">1+LEN(T3274)-LEN(SUBSTITUTE(T3274,",",))</f>
        <v>6</v>
      </c>
      <c r="S3274" s="1" t="str">
        <f t="shared" ref="S3274:S3276" si="953">IF(R3274&gt;4,IF(R3274&lt;8,"4-7",IF(R3274&gt;7,"&gt;7")),"&lt;4")</f>
        <v>4-7</v>
      </c>
      <c r="T3274" s="1" t="s">
        <v>20442</v>
      </c>
      <c r="U3274" s="1" t="s">
        <v>7</v>
      </c>
      <c r="V3274" s="1" t="s">
        <v>2304</v>
      </c>
      <c r="W3274" s="1"/>
    </row>
    <row r="3275" spans="1:23" x14ac:dyDescent="0.2">
      <c r="A3275" s="88" t="s">
        <v>18368</v>
      </c>
      <c r="B3275" s="1" t="e">
        <v>#N/A</v>
      </c>
      <c r="C3275" s="1" t="e">
        <v>#N/A</v>
      </c>
      <c r="D3275" s="1" t="s">
        <v>8580</v>
      </c>
      <c r="E3275" s="1" t="s">
        <v>8581</v>
      </c>
      <c r="F3275" t="s">
        <v>9310</v>
      </c>
      <c r="G3275" t="s">
        <v>8957</v>
      </c>
      <c r="H3275" t="s">
        <v>8959</v>
      </c>
      <c r="I3275" t="s">
        <v>9035</v>
      </c>
      <c r="J3275" t="s">
        <v>9308</v>
      </c>
      <c r="K3275" t="s">
        <v>21497</v>
      </c>
      <c r="L3275" t="s">
        <v>8987</v>
      </c>
      <c r="M3275">
        <v>4990</v>
      </c>
      <c r="N3275" t="s">
        <v>8953</v>
      </c>
      <c r="O3275" t="s">
        <v>8954</v>
      </c>
      <c r="P3275" s="1" t="e">
        <v>#N/A</v>
      </c>
      <c r="Q3275" s="1" t="e">
        <v>#N/A</v>
      </c>
      <c r="R3275" s="1">
        <f t="shared" si="952"/>
        <v>4</v>
      </c>
      <c r="S3275" s="1" t="str">
        <f t="shared" si="953"/>
        <v>&lt;4</v>
      </c>
      <c r="T3275" s="1" t="s">
        <v>20443</v>
      </c>
      <c r="U3275" s="1" t="s">
        <v>7</v>
      </c>
      <c r="V3275" s="1" t="s">
        <v>46</v>
      </c>
      <c r="W3275" s="1"/>
    </row>
    <row r="3276" spans="1:23" x14ac:dyDescent="0.2">
      <c r="A3276" s="88" t="s">
        <v>18369</v>
      </c>
      <c r="B3276" s="1" t="e">
        <v>#N/A</v>
      </c>
      <c r="C3276" s="1" t="e">
        <v>#N/A</v>
      </c>
      <c r="D3276" s="1" t="s">
        <v>8582</v>
      </c>
      <c r="E3276" s="1" t="s">
        <v>8583</v>
      </c>
      <c r="F3276" t="s">
        <v>9310</v>
      </c>
      <c r="G3276" t="s">
        <v>8957</v>
      </c>
      <c r="H3276" t="s">
        <v>8959</v>
      </c>
      <c r="I3276" t="s">
        <v>9035</v>
      </c>
      <c r="J3276" t="s">
        <v>9308</v>
      </c>
      <c r="K3276" t="s">
        <v>21496</v>
      </c>
      <c r="L3276" t="s">
        <v>8951</v>
      </c>
      <c r="M3276">
        <f>5860+235</f>
        <v>6095</v>
      </c>
      <c r="N3276" t="s">
        <v>8953</v>
      </c>
      <c r="O3276" t="s">
        <v>8954</v>
      </c>
      <c r="P3276" s="1" t="e">
        <v>#N/A</v>
      </c>
      <c r="Q3276" s="1" t="e">
        <v>#N/A</v>
      </c>
      <c r="R3276" s="1">
        <f t="shared" si="952"/>
        <v>11</v>
      </c>
      <c r="S3276" s="1" t="str">
        <f t="shared" si="953"/>
        <v>&gt;7</v>
      </c>
      <c r="T3276" s="1" t="s">
        <v>20444</v>
      </c>
      <c r="U3276" s="1" t="s">
        <v>7</v>
      </c>
      <c r="V3276" s="1" t="s">
        <v>8584</v>
      </c>
      <c r="W3276" s="1"/>
    </row>
    <row r="3277" spans="1:23" x14ac:dyDescent="0.2">
      <c r="A3277" s="88" t="s">
        <v>18370</v>
      </c>
      <c r="B3277" s="1" t="e">
        <v>#N/A</v>
      </c>
      <c r="C3277" s="1" t="s">
        <v>9750</v>
      </c>
      <c r="D3277" s="1" t="s">
        <v>8585</v>
      </c>
      <c r="E3277" s="1" t="s">
        <v>8586</v>
      </c>
      <c r="F3277" t="s">
        <v>9310</v>
      </c>
      <c r="G3277" t="s">
        <v>8957</v>
      </c>
      <c r="H3277" t="s">
        <v>9183</v>
      </c>
      <c r="I3277" t="s">
        <v>8984</v>
      </c>
      <c r="J3277" t="s">
        <v>9131</v>
      </c>
      <c r="K3277" t="s">
        <v>21499</v>
      </c>
      <c r="L3277" t="s">
        <v>8951</v>
      </c>
      <c r="M3277">
        <v>11574</v>
      </c>
      <c r="N3277" t="s">
        <v>8953</v>
      </c>
      <c r="O3277" t="s">
        <v>8954</v>
      </c>
      <c r="P3277" s="1" t="s">
        <v>8955</v>
      </c>
      <c r="Q3277" s="1" t="s">
        <v>8990</v>
      </c>
      <c r="R3277" s="1" t="s">
        <v>8957</v>
      </c>
      <c r="S3277" s="1" t="s">
        <v>8958</v>
      </c>
      <c r="T3277" s="1" t="s">
        <v>8587</v>
      </c>
      <c r="U3277" s="1" t="s">
        <v>11</v>
      </c>
      <c r="V3277" s="1" t="s">
        <v>8588</v>
      </c>
      <c r="W3277" s="1"/>
    </row>
    <row r="3278" spans="1:23" x14ac:dyDescent="0.2">
      <c r="A3278" s="88" t="s">
        <v>21498</v>
      </c>
      <c r="B3278" s="1" t="e">
        <v>#N/A</v>
      </c>
      <c r="C3278" s="1" t="e">
        <v>#N/A</v>
      </c>
      <c r="D3278" s="1" t="s">
        <v>8589</v>
      </c>
      <c r="E3278" s="1" t="s">
        <v>8590</v>
      </c>
      <c r="F3278" t="s">
        <v>18502</v>
      </c>
      <c r="G3278" t="s">
        <v>8957</v>
      </c>
      <c r="H3278" t="s">
        <v>9061</v>
      </c>
      <c r="I3278" t="s">
        <v>9100</v>
      </c>
      <c r="J3278" t="s">
        <v>8949</v>
      </c>
      <c r="K3278" t="s">
        <v>21500</v>
      </c>
      <c r="L3278" t="s">
        <v>8987</v>
      </c>
      <c r="M3278">
        <v>80</v>
      </c>
      <c r="N3278" t="s">
        <v>9059</v>
      </c>
      <c r="O3278" t="s">
        <v>8989</v>
      </c>
      <c r="P3278" s="1" t="e">
        <v>#N/A</v>
      </c>
      <c r="Q3278" s="1" t="e">
        <v>#N/A</v>
      </c>
      <c r="R3278" s="1">
        <f>1+LEN(T3278)-LEN(SUBSTITUTE(T3278,",",))</f>
        <v>6</v>
      </c>
      <c r="S3278" s="1" t="str">
        <f>IF(R3278&gt;4,IF(R3278&lt;8,"4-7",IF(R3278&gt;7,"&gt;7")),"&lt;4")</f>
        <v>4-7</v>
      </c>
      <c r="T3278" s="1" t="s">
        <v>20445</v>
      </c>
      <c r="U3278" s="1" t="s">
        <v>17</v>
      </c>
      <c r="V3278" s="1" t="s">
        <v>126</v>
      </c>
      <c r="W3278" s="1"/>
    </row>
    <row r="3279" spans="1:23" x14ac:dyDescent="0.2">
      <c r="A3279" s="88" t="s">
        <v>18371</v>
      </c>
      <c r="B3279" s="1" t="e">
        <v>#N/A</v>
      </c>
      <c r="C3279" s="1" t="s">
        <v>9275</v>
      </c>
      <c r="D3279" s="1" t="s">
        <v>8591</v>
      </c>
      <c r="E3279" s="1" t="s">
        <v>8592</v>
      </c>
      <c r="F3279" t="s">
        <v>9010</v>
      </c>
      <c r="G3279" t="s">
        <v>8957</v>
      </c>
      <c r="H3279" t="s">
        <v>9061</v>
      </c>
      <c r="I3279" t="s">
        <v>20712</v>
      </c>
      <c r="J3279" t="s">
        <v>8998</v>
      </c>
      <c r="K3279" t="s">
        <v>21501</v>
      </c>
      <c r="L3279" t="s">
        <v>8987</v>
      </c>
      <c r="M3279">
        <v>600</v>
      </c>
      <c r="N3279" t="s">
        <v>8953</v>
      </c>
      <c r="O3279" t="s">
        <v>8954</v>
      </c>
      <c r="P3279" s="1" t="s">
        <v>8955</v>
      </c>
      <c r="Q3279" s="1" t="s">
        <v>8956</v>
      </c>
      <c r="R3279" s="1" t="s">
        <v>8957</v>
      </c>
      <c r="S3279" s="1" t="s">
        <v>8975</v>
      </c>
      <c r="T3279" s="1" t="s">
        <v>8593</v>
      </c>
      <c r="U3279" s="1" t="s">
        <v>17</v>
      </c>
      <c r="V3279" s="1" t="s">
        <v>43</v>
      </c>
      <c r="W3279" s="1"/>
    </row>
    <row r="3280" spans="1:23" x14ac:dyDescent="0.2">
      <c r="A3280" s="88" t="s">
        <v>18372</v>
      </c>
      <c r="B3280" s="1" t="e">
        <v>#N/A</v>
      </c>
      <c r="C3280" s="1" t="e">
        <v>#N/A</v>
      </c>
      <c r="D3280" s="1" t="s">
        <v>8594</v>
      </c>
      <c r="E3280" s="1" t="s">
        <v>8595</v>
      </c>
      <c r="F3280" t="s">
        <v>18502</v>
      </c>
      <c r="G3280" t="s">
        <v>8957</v>
      </c>
      <c r="H3280" t="s">
        <v>9061</v>
      </c>
      <c r="I3280" t="s">
        <v>9100</v>
      </c>
      <c r="J3280" t="s">
        <v>8949</v>
      </c>
      <c r="K3280" t="s">
        <v>21492</v>
      </c>
      <c r="L3280" t="s">
        <v>8987</v>
      </c>
      <c r="M3280">
        <f>60+6</f>
        <v>66</v>
      </c>
      <c r="N3280" t="s">
        <v>9059</v>
      </c>
      <c r="O3280" t="s">
        <v>8954</v>
      </c>
      <c r="P3280" s="1" t="e">
        <v>#N/A</v>
      </c>
      <c r="Q3280" s="1" t="e">
        <v>#N/A</v>
      </c>
      <c r="R3280" s="1">
        <f>1+LEN(T3280)-LEN(SUBSTITUTE(T3280,",",))</f>
        <v>10</v>
      </c>
      <c r="S3280" s="1" t="str">
        <f>IF(R3280&gt;4,IF(R3280&lt;8,"4-7",IF(R3280&gt;7,"&gt;7")),"&lt;4")</f>
        <v>&gt;7</v>
      </c>
      <c r="T3280" s="1" t="s">
        <v>20446</v>
      </c>
      <c r="U3280" s="1" t="s">
        <v>17</v>
      </c>
      <c r="V3280" s="1" t="s">
        <v>1076</v>
      </c>
      <c r="W3280" s="1"/>
    </row>
    <row r="3281" spans="1:23" x14ac:dyDescent="0.2">
      <c r="A3281" s="88" t="s">
        <v>18373</v>
      </c>
      <c r="B3281" s="1" t="e">
        <v>#N/A</v>
      </c>
      <c r="C3281" s="1" t="s">
        <v>9232</v>
      </c>
      <c r="D3281" s="1" t="s">
        <v>8596</v>
      </c>
      <c r="E3281" s="1" t="s">
        <v>8597</v>
      </c>
      <c r="F3281" t="s">
        <v>9310</v>
      </c>
      <c r="G3281" t="s">
        <v>8957</v>
      </c>
      <c r="H3281" t="s">
        <v>8959</v>
      </c>
      <c r="I3281" t="s">
        <v>8984</v>
      </c>
      <c r="J3281" t="s">
        <v>8971</v>
      </c>
      <c r="K3281" t="s">
        <v>9036</v>
      </c>
      <c r="L3281" t="s">
        <v>8951</v>
      </c>
      <c r="M3281">
        <v>1640</v>
      </c>
      <c r="N3281" t="s">
        <v>8953</v>
      </c>
      <c r="O3281" t="s">
        <v>8954</v>
      </c>
      <c r="P3281" s="1" t="s">
        <v>8955</v>
      </c>
      <c r="Q3281" s="1" t="s">
        <v>8956</v>
      </c>
      <c r="R3281" s="1" t="s">
        <v>8957</v>
      </c>
      <c r="S3281" s="1" t="s">
        <v>8975</v>
      </c>
      <c r="T3281" s="1" t="s">
        <v>8598</v>
      </c>
      <c r="U3281" s="1" t="s">
        <v>7</v>
      </c>
      <c r="V3281" s="1" t="s">
        <v>27</v>
      </c>
      <c r="W3281" s="1"/>
    </row>
    <row r="3282" spans="1:23" x14ac:dyDescent="0.2">
      <c r="A3282" s="88" t="s">
        <v>18374</v>
      </c>
      <c r="B3282" s="1" t="e">
        <v>#N/A</v>
      </c>
      <c r="C3282" s="1" t="e">
        <v>#N/A</v>
      </c>
      <c r="D3282" s="1" t="s">
        <v>8599</v>
      </c>
      <c r="E3282" s="1" t="s">
        <v>8600</v>
      </c>
      <c r="F3282" t="s">
        <v>9310</v>
      </c>
      <c r="G3282" t="s">
        <v>8957</v>
      </c>
      <c r="H3282" t="s">
        <v>8959</v>
      </c>
      <c r="I3282" t="s">
        <v>9092</v>
      </c>
      <c r="J3282" t="s">
        <v>21477</v>
      </c>
      <c r="K3282" t="s">
        <v>18497</v>
      </c>
      <c r="L3282" t="s">
        <v>9133</v>
      </c>
      <c r="M3282">
        <v>10219</v>
      </c>
      <c r="N3282" t="s">
        <v>8953</v>
      </c>
      <c r="O3282" t="s">
        <v>8989</v>
      </c>
      <c r="P3282" s="1" t="e">
        <v>#N/A</v>
      </c>
      <c r="Q3282" s="1" t="e">
        <v>#N/A</v>
      </c>
      <c r="R3282" s="1">
        <f>1+LEN(T3282)-LEN(SUBSTITUTE(T3282,",",))</f>
        <v>6</v>
      </c>
      <c r="S3282" s="1" t="str">
        <f>IF(R3282&gt;4,IF(R3282&lt;8,"4-7",IF(R3282&gt;7,"&gt;7")),"&lt;4")</f>
        <v>4-7</v>
      </c>
      <c r="T3282" s="1" t="s">
        <v>20447</v>
      </c>
      <c r="U3282" s="1" t="s">
        <v>7</v>
      </c>
      <c r="V3282" s="1" t="s">
        <v>8601</v>
      </c>
      <c r="W3282" s="1"/>
    </row>
    <row r="3283" spans="1:23" x14ac:dyDescent="0.2">
      <c r="A3283" s="88" t="s">
        <v>18375</v>
      </c>
      <c r="B3283" s="1" t="e">
        <v>#N/A</v>
      </c>
      <c r="C3283" s="1" t="s">
        <v>14542</v>
      </c>
      <c r="D3283" s="1" t="s">
        <v>8602</v>
      </c>
      <c r="E3283" s="1" t="s">
        <v>8603</v>
      </c>
      <c r="F3283" t="s">
        <v>9010</v>
      </c>
      <c r="G3283" t="s">
        <v>8957</v>
      </c>
      <c r="H3283" t="s">
        <v>8959</v>
      </c>
      <c r="I3283" t="s">
        <v>8948</v>
      </c>
      <c r="J3283" t="s">
        <v>9155</v>
      </c>
      <c r="K3283" t="s">
        <v>9036</v>
      </c>
      <c r="L3283" t="s">
        <v>8973</v>
      </c>
      <c r="M3283">
        <v>2680</v>
      </c>
      <c r="N3283" t="s">
        <v>8953</v>
      </c>
      <c r="O3283" t="s">
        <v>8989</v>
      </c>
      <c r="P3283" s="1" t="s">
        <v>8955</v>
      </c>
      <c r="Q3283" s="1" t="s">
        <v>8956</v>
      </c>
      <c r="R3283" s="1" t="s">
        <v>8957</v>
      </c>
      <c r="S3283" s="1" t="s">
        <v>8958</v>
      </c>
      <c r="T3283" s="1" t="s">
        <v>8604</v>
      </c>
      <c r="U3283" s="1" t="s">
        <v>924</v>
      </c>
      <c r="V3283" s="1" t="s">
        <v>392</v>
      </c>
      <c r="W3283" s="1"/>
    </row>
    <row r="3284" spans="1:23" x14ac:dyDescent="0.2">
      <c r="A3284" s="94" t="s">
        <v>18376</v>
      </c>
      <c r="B3284" s="1" t="e">
        <v>#N/A</v>
      </c>
      <c r="C3284" s="1" t="e">
        <v>#N/A</v>
      </c>
      <c r="D3284" s="1" t="s">
        <v>21502</v>
      </c>
      <c r="E3284" s="1" t="s">
        <v>8605</v>
      </c>
      <c r="F3284" t="s">
        <v>9310</v>
      </c>
      <c r="G3284" t="e">
        <v>#N/A</v>
      </c>
      <c r="H3284" t="s">
        <v>8959</v>
      </c>
      <c r="I3284" t="e">
        <v>#N/A</v>
      </c>
      <c r="J3284" t="e">
        <v>#N/A</v>
      </c>
      <c r="K3284" t="e">
        <v>#N/A</v>
      </c>
      <c r="L3284" t="e">
        <v>#N/A</v>
      </c>
      <c r="M3284" t="e">
        <v>#N/A</v>
      </c>
      <c r="N3284" t="e">
        <v>#N/A</v>
      </c>
      <c r="O3284" t="e">
        <v>#N/A</v>
      </c>
      <c r="P3284" s="1" t="e">
        <v>#N/A</v>
      </c>
      <c r="Q3284" s="1" t="e">
        <v>#N/A</v>
      </c>
      <c r="R3284" s="1">
        <f t="shared" ref="R3284:R3285" si="954">1+LEN(T3284)-LEN(SUBSTITUTE(T3284,",",))</f>
        <v>3</v>
      </c>
      <c r="S3284" s="1" t="str">
        <f t="shared" ref="S3284:S3285" si="955">IF(R3284&gt;4,IF(R3284&lt;8,"4-7",IF(R3284&gt;7,"&gt;7")),"&lt;4")</f>
        <v>&lt;4</v>
      </c>
      <c r="T3284" s="1" t="s">
        <v>20448</v>
      </c>
      <c r="U3284" s="1" t="s">
        <v>7</v>
      </c>
      <c r="V3284" s="1" t="s">
        <v>2251</v>
      </c>
      <c r="W3284" s="1"/>
    </row>
    <row r="3285" spans="1:23" x14ac:dyDescent="0.2">
      <c r="A3285" s="88" t="s">
        <v>18377</v>
      </c>
      <c r="B3285" s="1" t="e">
        <v>#N/A</v>
      </c>
      <c r="C3285" s="1" t="e">
        <v>#N/A</v>
      </c>
      <c r="D3285" s="1" t="s">
        <v>8606</v>
      </c>
      <c r="E3285" s="1" t="s">
        <v>8607</v>
      </c>
      <c r="F3285" t="s">
        <v>18502</v>
      </c>
      <c r="G3285" t="s">
        <v>8957</v>
      </c>
      <c r="H3285" t="s">
        <v>9061</v>
      </c>
      <c r="I3285" t="s">
        <v>9100</v>
      </c>
      <c r="J3285" t="s">
        <v>8949</v>
      </c>
      <c r="K3285" t="s">
        <v>21503</v>
      </c>
      <c r="L3285" t="s">
        <v>8987</v>
      </c>
      <c r="M3285">
        <v>900</v>
      </c>
      <c r="N3285" t="s">
        <v>9059</v>
      </c>
      <c r="O3285" t="s">
        <v>8989</v>
      </c>
      <c r="P3285" s="1" t="e">
        <v>#N/A</v>
      </c>
      <c r="Q3285" s="1" t="e">
        <v>#N/A</v>
      </c>
      <c r="R3285" s="1">
        <f t="shared" si="954"/>
        <v>11</v>
      </c>
      <c r="S3285" s="1" t="str">
        <f t="shared" si="955"/>
        <v>&gt;7</v>
      </c>
      <c r="T3285" s="1" t="s">
        <v>20449</v>
      </c>
      <c r="U3285" s="1" t="s">
        <v>7</v>
      </c>
      <c r="V3285" s="1" t="s">
        <v>8608</v>
      </c>
      <c r="W3285" s="1"/>
    </row>
    <row r="3286" spans="1:23" x14ac:dyDescent="0.2">
      <c r="A3286" s="88" t="s">
        <v>18378</v>
      </c>
      <c r="B3286" s="1" t="e">
        <v>#N/A</v>
      </c>
      <c r="C3286" s="1" t="s">
        <v>13457</v>
      </c>
      <c r="D3286" s="1" t="s">
        <v>8609</v>
      </c>
      <c r="E3286" s="1" t="s">
        <v>8610</v>
      </c>
      <c r="F3286" t="s">
        <v>9310</v>
      </c>
      <c r="G3286" t="s">
        <v>8959</v>
      </c>
      <c r="H3286" t="s">
        <v>8959</v>
      </c>
      <c r="I3286" t="s">
        <v>9173</v>
      </c>
      <c r="J3286" t="s">
        <v>9174</v>
      </c>
      <c r="K3286" t="s">
        <v>9036</v>
      </c>
      <c r="L3286" t="s">
        <v>8973</v>
      </c>
      <c r="M3286">
        <v>2600</v>
      </c>
      <c r="N3286" t="s">
        <v>8953</v>
      </c>
      <c r="O3286" t="s">
        <v>8989</v>
      </c>
      <c r="P3286" s="1" t="s">
        <v>8955</v>
      </c>
      <c r="Q3286" s="1" t="s">
        <v>8956</v>
      </c>
      <c r="R3286" s="1" t="s">
        <v>8959</v>
      </c>
      <c r="S3286" s="1" t="s">
        <v>9103</v>
      </c>
      <c r="T3286" s="1" t="s">
        <v>8611</v>
      </c>
      <c r="U3286" s="1" t="s">
        <v>4</v>
      </c>
      <c r="V3286" s="1" t="s">
        <v>2307</v>
      </c>
      <c r="W3286" s="1"/>
    </row>
    <row r="3287" spans="1:23" x14ac:dyDescent="0.2">
      <c r="A3287" s="88" t="s">
        <v>18379</v>
      </c>
      <c r="B3287" s="1" t="e">
        <v>#N/A</v>
      </c>
      <c r="C3287" s="1" t="e">
        <v>#N/A</v>
      </c>
      <c r="D3287" s="1" t="s">
        <v>8612</v>
      </c>
      <c r="E3287" s="1" t="s">
        <v>8613</v>
      </c>
      <c r="F3287" t="s">
        <v>18502</v>
      </c>
      <c r="G3287" t="s">
        <v>9060</v>
      </c>
      <c r="H3287" t="s">
        <v>8959</v>
      </c>
      <c r="I3287" t="s">
        <v>9100</v>
      </c>
      <c r="J3287" t="s">
        <v>21478</v>
      </c>
      <c r="K3287" t="s">
        <v>21504</v>
      </c>
      <c r="L3287" t="s">
        <v>8987</v>
      </c>
      <c r="M3287">
        <v>466</v>
      </c>
      <c r="N3287" t="s">
        <v>9059</v>
      </c>
      <c r="O3287" t="s">
        <v>8989</v>
      </c>
      <c r="P3287" s="1" t="e">
        <v>#N/A</v>
      </c>
      <c r="Q3287" s="1" t="e">
        <v>#N/A</v>
      </c>
      <c r="R3287" s="1">
        <f t="shared" ref="R3287:R3291" si="956">1+LEN(T3287)-LEN(SUBSTITUTE(T3287,",",))</f>
        <v>8</v>
      </c>
      <c r="S3287" s="1" t="str">
        <f t="shared" ref="S3287:S3291" si="957">IF(R3287&gt;4,IF(R3287&lt;8,"4-7",IF(R3287&gt;7,"&gt;7")),"&lt;4")</f>
        <v>&gt;7</v>
      </c>
      <c r="T3287" s="1" t="s">
        <v>20450</v>
      </c>
      <c r="U3287" s="1" t="s">
        <v>17</v>
      </c>
      <c r="V3287" s="1" t="s">
        <v>24</v>
      </c>
      <c r="W3287" s="1"/>
    </row>
    <row r="3288" spans="1:23" x14ac:dyDescent="0.2">
      <c r="A3288" s="88">
        <v>1</v>
      </c>
      <c r="B3288" t="e">
        <v>#N/A</v>
      </c>
      <c r="C3288" t="e">
        <v>#N/A</v>
      </c>
      <c r="D3288" s="1" t="s">
        <v>8614</v>
      </c>
      <c r="E3288" s="1" t="s">
        <v>8615</v>
      </c>
      <c r="F3288" t="s">
        <v>18502</v>
      </c>
      <c r="G3288" t="s">
        <v>9060</v>
      </c>
      <c r="H3288" t="s">
        <v>8959</v>
      </c>
      <c r="I3288" t="s">
        <v>9100</v>
      </c>
      <c r="J3288" t="s">
        <v>8949</v>
      </c>
      <c r="K3288" t="s">
        <v>21505</v>
      </c>
      <c r="L3288" t="s">
        <v>8987</v>
      </c>
      <c r="M3288">
        <v>754</v>
      </c>
      <c r="N3288" t="s">
        <v>9059</v>
      </c>
      <c r="O3288" t="s">
        <v>8989</v>
      </c>
      <c r="P3288" s="1" t="e">
        <v>#N/A</v>
      </c>
      <c r="Q3288" s="1" t="e">
        <v>#N/A</v>
      </c>
      <c r="R3288" s="1">
        <f t="shared" si="956"/>
        <v>6</v>
      </c>
      <c r="S3288" s="1" t="str">
        <f t="shared" si="957"/>
        <v>4-7</v>
      </c>
      <c r="T3288" s="1" t="s">
        <v>20451</v>
      </c>
      <c r="U3288" s="1" t="s">
        <v>11</v>
      </c>
      <c r="V3288" s="1"/>
      <c r="W3288" s="1"/>
    </row>
    <row r="3289" spans="1:23" x14ac:dyDescent="0.2">
      <c r="A3289" s="88" t="s">
        <v>18380</v>
      </c>
      <c r="B3289" s="1" t="e">
        <v>#N/A</v>
      </c>
      <c r="C3289" s="1" t="e">
        <v>#N/A</v>
      </c>
      <c r="D3289" s="1" t="s">
        <v>8616</v>
      </c>
      <c r="E3289" s="1" t="s">
        <v>8617</v>
      </c>
      <c r="F3289" t="s">
        <v>9310</v>
      </c>
      <c r="G3289" t="s">
        <v>8957</v>
      </c>
      <c r="H3289" t="s">
        <v>8959</v>
      </c>
      <c r="I3289" t="s">
        <v>9075</v>
      </c>
      <c r="J3289" t="s">
        <v>9101</v>
      </c>
      <c r="K3289" t="s">
        <v>20723</v>
      </c>
      <c r="L3289" t="s">
        <v>9292</v>
      </c>
      <c r="M3289">
        <v>1550</v>
      </c>
      <c r="N3289" t="s">
        <v>8953</v>
      </c>
      <c r="O3289" t="s">
        <v>8989</v>
      </c>
      <c r="P3289" s="1" t="e">
        <v>#N/A</v>
      </c>
      <c r="Q3289" s="1" t="e">
        <v>#N/A</v>
      </c>
      <c r="R3289" s="1">
        <f t="shared" si="956"/>
        <v>5</v>
      </c>
      <c r="S3289" s="1" t="str">
        <f t="shared" si="957"/>
        <v>4-7</v>
      </c>
      <c r="T3289" s="1" t="s">
        <v>20452</v>
      </c>
      <c r="U3289" s="1" t="s">
        <v>17</v>
      </c>
      <c r="V3289" s="1" t="s">
        <v>97</v>
      </c>
      <c r="W3289" s="1"/>
    </row>
    <row r="3290" spans="1:23" x14ac:dyDescent="0.2">
      <c r="A3290" s="88" t="s">
        <v>18381</v>
      </c>
      <c r="B3290" s="1" t="e">
        <v>#N/A</v>
      </c>
      <c r="C3290" s="1" t="e">
        <v>#N/A</v>
      </c>
      <c r="D3290" s="1" t="s">
        <v>8618</v>
      </c>
      <c r="E3290" s="1" t="s">
        <v>8619</v>
      </c>
      <c r="F3290" t="s">
        <v>9310</v>
      </c>
      <c r="G3290" t="s">
        <v>8957</v>
      </c>
      <c r="H3290" t="s">
        <v>9061</v>
      </c>
      <c r="I3290" t="s">
        <v>8984</v>
      </c>
      <c r="J3290" t="s">
        <v>8949</v>
      </c>
      <c r="K3290" t="s">
        <v>21492</v>
      </c>
      <c r="L3290" t="s">
        <v>8987</v>
      </c>
      <c r="M3290">
        <v>383</v>
      </c>
      <c r="N3290" t="s">
        <v>9059</v>
      </c>
      <c r="O3290" t="s">
        <v>8989</v>
      </c>
      <c r="P3290" s="1" t="e">
        <v>#N/A</v>
      </c>
      <c r="Q3290" s="1" t="e">
        <v>#N/A</v>
      </c>
      <c r="R3290" s="1">
        <f t="shared" si="956"/>
        <v>9</v>
      </c>
      <c r="S3290" s="1" t="str">
        <f t="shared" si="957"/>
        <v>&gt;7</v>
      </c>
      <c r="T3290" s="1" t="s">
        <v>20453</v>
      </c>
      <c r="U3290" s="1" t="s">
        <v>7</v>
      </c>
      <c r="V3290" s="1" t="s">
        <v>180</v>
      </c>
      <c r="W3290" s="1"/>
    </row>
    <row r="3291" spans="1:23" x14ac:dyDescent="0.2">
      <c r="A3291" s="88" t="s">
        <v>18382</v>
      </c>
      <c r="B3291" s="1" t="e">
        <v>#N/A</v>
      </c>
      <c r="C3291" s="1" t="e">
        <v>#N/A</v>
      </c>
      <c r="D3291" s="1" t="s">
        <v>8620</v>
      </c>
      <c r="E3291" s="1" t="s">
        <v>8621</v>
      </c>
      <c r="F3291" t="s">
        <v>9310</v>
      </c>
      <c r="G3291" t="s">
        <v>8957</v>
      </c>
      <c r="H3291" t="s">
        <v>8959</v>
      </c>
      <c r="I3291" t="s">
        <v>9943</v>
      </c>
      <c r="J3291" t="s">
        <v>8971</v>
      </c>
      <c r="K3291" t="s">
        <v>21506</v>
      </c>
      <c r="L3291" t="s">
        <v>21479</v>
      </c>
      <c r="M3291">
        <v>5000</v>
      </c>
      <c r="N3291" t="s">
        <v>8953</v>
      </c>
      <c r="O3291" t="s">
        <v>8989</v>
      </c>
      <c r="P3291" s="1" t="e">
        <v>#N/A</v>
      </c>
      <c r="Q3291" s="1" t="e">
        <v>#N/A</v>
      </c>
      <c r="R3291" s="1">
        <f t="shared" si="956"/>
        <v>1</v>
      </c>
      <c r="S3291" s="1" t="str">
        <f t="shared" si="957"/>
        <v>&lt;4</v>
      </c>
      <c r="T3291" s="1" t="s">
        <v>8622</v>
      </c>
      <c r="U3291" s="1" t="s">
        <v>17</v>
      </c>
      <c r="V3291" s="1" t="s">
        <v>97</v>
      </c>
      <c r="W3291" s="1"/>
    </row>
    <row r="3292" spans="1:23" x14ac:dyDescent="0.2">
      <c r="A3292" s="88" t="s">
        <v>18383</v>
      </c>
      <c r="B3292" s="1" t="e">
        <v>#N/A</v>
      </c>
      <c r="C3292" s="1" t="s">
        <v>13398</v>
      </c>
      <c r="D3292" s="1" t="s">
        <v>8623</v>
      </c>
      <c r="E3292" s="1" t="s">
        <v>8624</v>
      </c>
      <c r="F3292" t="s">
        <v>9310</v>
      </c>
      <c r="G3292" t="s">
        <v>8959</v>
      </c>
      <c r="H3292" t="s">
        <v>8959</v>
      </c>
      <c r="I3292" t="s">
        <v>13401</v>
      </c>
      <c r="J3292" t="s">
        <v>9155</v>
      </c>
      <c r="K3292" t="s">
        <v>9036</v>
      </c>
      <c r="L3292" t="s">
        <v>9076</v>
      </c>
      <c r="M3292">
        <v>1000</v>
      </c>
      <c r="N3292" t="s">
        <v>8953</v>
      </c>
      <c r="O3292" t="s">
        <v>8989</v>
      </c>
      <c r="P3292" s="1" t="s">
        <v>8955</v>
      </c>
      <c r="Q3292" s="1" t="s">
        <v>8956</v>
      </c>
      <c r="R3292" s="1" t="s">
        <v>8959</v>
      </c>
      <c r="S3292" s="1" t="s">
        <v>9103</v>
      </c>
      <c r="T3292" s="1" t="s">
        <v>8625</v>
      </c>
      <c r="U3292" s="1" t="s">
        <v>4</v>
      </c>
      <c r="V3292" s="1" t="s">
        <v>35</v>
      </c>
      <c r="W3292" s="1"/>
    </row>
    <row r="3293" spans="1:23" x14ac:dyDescent="0.2">
      <c r="A3293" s="88" t="s">
        <v>18384</v>
      </c>
      <c r="B3293" s="1" t="e">
        <v>#N/A</v>
      </c>
      <c r="C3293" s="1" t="e">
        <v>#N/A</v>
      </c>
      <c r="D3293" s="1" t="s">
        <v>8626</v>
      </c>
      <c r="E3293" s="1" t="s">
        <v>8627</v>
      </c>
      <c r="F3293" t="s">
        <v>18502</v>
      </c>
      <c r="G3293" t="s">
        <v>8957</v>
      </c>
      <c r="H3293" t="s">
        <v>9061</v>
      </c>
      <c r="I3293" t="s">
        <v>9252</v>
      </c>
      <c r="J3293" t="s">
        <v>8949</v>
      </c>
      <c r="K3293" t="s">
        <v>21507</v>
      </c>
      <c r="L3293" t="s">
        <v>8973</v>
      </c>
      <c r="M3293">
        <f>286+28</f>
        <v>314</v>
      </c>
      <c r="N3293" t="s">
        <v>9059</v>
      </c>
      <c r="O3293" t="s">
        <v>8954</v>
      </c>
      <c r="P3293" s="1" t="e">
        <v>#N/A</v>
      </c>
      <c r="Q3293" s="1" t="e">
        <v>#N/A</v>
      </c>
      <c r="R3293" s="1">
        <f t="shared" ref="R3293:R3297" si="958">1+LEN(T3293)-LEN(SUBSTITUTE(T3293,",",))</f>
        <v>11</v>
      </c>
      <c r="S3293" s="1" t="str">
        <f t="shared" ref="S3293:S3297" si="959">IF(R3293&gt;4,IF(R3293&lt;8,"4-7",IF(R3293&gt;7,"&gt;7")),"&lt;4")</f>
        <v>&gt;7</v>
      </c>
      <c r="T3293" s="1" t="s">
        <v>20454</v>
      </c>
      <c r="U3293" s="1" t="s">
        <v>17</v>
      </c>
      <c r="V3293" s="1" t="s">
        <v>562</v>
      </c>
      <c r="W3293" s="1"/>
    </row>
    <row r="3294" spans="1:23" x14ac:dyDescent="0.2">
      <c r="A3294" s="88" t="s">
        <v>18385</v>
      </c>
      <c r="B3294" s="1" t="e">
        <v>#N/A</v>
      </c>
      <c r="C3294" s="1" t="e">
        <v>#N/A</v>
      </c>
      <c r="D3294" s="1" t="s">
        <v>8628</v>
      </c>
      <c r="E3294" s="1" t="s">
        <v>8629</v>
      </c>
      <c r="F3294" t="s">
        <v>9310</v>
      </c>
      <c r="G3294" t="s">
        <v>9060</v>
      </c>
      <c r="H3294" t="s">
        <v>8959</v>
      </c>
      <c r="I3294" t="s">
        <v>20714</v>
      </c>
      <c r="J3294" t="s">
        <v>8949</v>
      </c>
      <c r="K3294" t="s">
        <v>21508</v>
      </c>
      <c r="L3294" t="s">
        <v>9076</v>
      </c>
      <c r="M3294">
        <f>1800+300</f>
        <v>2100</v>
      </c>
      <c r="N3294" t="s">
        <v>8953</v>
      </c>
      <c r="O3294" t="s">
        <v>8954</v>
      </c>
      <c r="P3294" s="1" t="e">
        <v>#N/A</v>
      </c>
      <c r="Q3294" s="1" t="e">
        <v>#N/A</v>
      </c>
      <c r="R3294" s="1">
        <f t="shared" si="958"/>
        <v>8</v>
      </c>
      <c r="S3294" s="1" t="str">
        <f t="shared" si="959"/>
        <v>&gt;7</v>
      </c>
      <c r="T3294" s="1" t="s">
        <v>20455</v>
      </c>
      <c r="U3294" s="1" t="s">
        <v>7</v>
      </c>
      <c r="V3294" s="1" t="s">
        <v>342</v>
      </c>
      <c r="W3294" s="1"/>
    </row>
    <row r="3295" spans="1:23" x14ac:dyDescent="0.2">
      <c r="A3295" s="88" t="s">
        <v>18386</v>
      </c>
      <c r="B3295" s="1" t="e">
        <v>#N/A</v>
      </c>
      <c r="C3295" s="1" t="e">
        <v>#N/A</v>
      </c>
      <c r="D3295" s="1" t="s">
        <v>21509</v>
      </c>
      <c r="E3295" s="1" t="s">
        <v>8630</v>
      </c>
      <c r="F3295" t="s">
        <v>18502</v>
      </c>
      <c r="G3295" t="e">
        <v>#N/A</v>
      </c>
      <c r="H3295" t="s">
        <v>9061</v>
      </c>
      <c r="I3295" t="s">
        <v>9075</v>
      </c>
      <c r="J3295" t="s">
        <v>8971</v>
      </c>
      <c r="K3295" t="s">
        <v>21510</v>
      </c>
      <c r="L3295" t="s">
        <v>9292</v>
      </c>
      <c r="M3295">
        <v>23</v>
      </c>
      <c r="N3295" t="s">
        <v>9059</v>
      </c>
      <c r="O3295" t="s">
        <v>8989</v>
      </c>
      <c r="P3295" s="1" t="e">
        <v>#N/A</v>
      </c>
      <c r="Q3295" s="1" t="e">
        <v>#N/A</v>
      </c>
      <c r="R3295" s="1">
        <f t="shared" si="958"/>
        <v>9</v>
      </c>
      <c r="S3295" s="1" t="str">
        <f t="shared" si="959"/>
        <v>&gt;7</v>
      </c>
      <c r="T3295" s="1" t="s">
        <v>20456</v>
      </c>
      <c r="U3295" s="1" t="s">
        <v>7</v>
      </c>
      <c r="V3295" s="1" t="s">
        <v>378</v>
      </c>
      <c r="W3295" s="1"/>
    </row>
    <row r="3296" spans="1:23" x14ac:dyDescent="0.2">
      <c r="A3296" s="88" t="s">
        <v>18387</v>
      </c>
      <c r="B3296" s="1" t="e">
        <v>#N/A</v>
      </c>
      <c r="C3296" s="1" t="e">
        <v>#N/A</v>
      </c>
      <c r="D3296" s="1" t="s">
        <v>8631</v>
      </c>
      <c r="E3296" s="1" t="s">
        <v>8632</v>
      </c>
      <c r="F3296" t="s">
        <v>9310</v>
      </c>
      <c r="G3296" t="s">
        <v>8957</v>
      </c>
      <c r="H3296" t="s">
        <v>8959</v>
      </c>
      <c r="I3296" t="s">
        <v>9100</v>
      </c>
      <c r="J3296" t="s">
        <v>8949</v>
      </c>
      <c r="K3296" t="s">
        <v>21507</v>
      </c>
      <c r="L3296" t="s">
        <v>8973</v>
      </c>
      <c r="M3296">
        <v>229</v>
      </c>
      <c r="N3296" t="s">
        <v>9059</v>
      </c>
      <c r="O3296" t="s">
        <v>8989</v>
      </c>
      <c r="P3296" s="1" t="e">
        <v>#N/A</v>
      </c>
      <c r="Q3296" s="1" t="e">
        <v>#N/A</v>
      </c>
      <c r="R3296" s="1">
        <f t="shared" si="958"/>
        <v>6</v>
      </c>
      <c r="S3296" s="1" t="str">
        <f t="shared" si="959"/>
        <v>4-7</v>
      </c>
      <c r="T3296" s="1" t="s">
        <v>20457</v>
      </c>
      <c r="U3296" s="1" t="s">
        <v>7</v>
      </c>
      <c r="V3296" s="1" t="s">
        <v>27</v>
      </c>
      <c r="W3296" s="1"/>
    </row>
    <row r="3297" spans="1:23" x14ac:dyDescent="0.2">
      <c r="A3297" s="88" t="s">
        <v>18388</v>
      </c>
      <c r="B3297" s="1" t="e">
        <v>#N/A</v>
      </c>
      <c r="C3297" s="1" t="e">
        <v>#N/A</v>
      </c>
      <c r="D3297" s="1" t="s">
        <v>8633</v>
      </c>
      <c r="E3297" s="1" t="s">
        <v>8634</v>
      </c>
      <c r="F3297" t="s">
        <v>9310</v>
      </c>
      <c r="G3297" t="s">
        <v>8957</v>
      </c>
      <c r="H3297" t="s">
        <v>8959</v>
      </c>
      <c r="I3297" t="s">
        <v>9100</v>
      </c>
      <c r="J3297" t="s">
        <v>8949</v>
      </c>
      <c r="K3297" t="s">
        <v>21492</v>
      </c>
      <c r="L3297" t="s">
        <v>9076</v>
      </c>
      <c r="M3297">
        <v>15</v>
      </c>
      <c r="N3297" t="s">
        <v>9059</v>
      </c>
      <c r="O3297" t="s">
        <v>8989</v>
      </c>
      <c r="P3297" s="1" t="e">
        <v>#N/A</v>
      </c>
      <c r="Q3297" s="1" t="e">
        <v>#N/A</v>
      </c>
      <c r="R3297" s="1">
        <f t="shared" si="958"/>
        <v>5</v>
      </c>
      <c r="S3297" s="1" t="str">
        <f t="shared" si="959"/>
        <v>4-7</v>
      </c>
      <c r="T3297" s="1" t="s">
        <v>20458</v>
      </c>
      <c r="U3297" s="1" t="s">
        <v>17</v>
      </c>
      <c r="V3297" s="1" t="s">
        <v>21</v>
      </c>
      <c r="W3297" s="1"/>
    </row>
    <row r="3298" spans="1:23" x14ac:dyDescent="0.2">
      <c r="A3298" s="88" t="s">
        <v>18389</v>
      </c>
      <c r="B3298" s="1" t="e">
        <v>#N/A</v>
      </c>
      <c r="C3298" s="1" t="s">
        <v>12298</v>
      </c>
      <c r="D3298" s="1" t="s">
        <v>8635</v>
      </c>
      <c r="E3298" s="1" t="s">
        <v>8636</v>
      </c>
      <c r="F3298" s="1" t="s">
        <v>9010</v>
      </c>
      <c r="G3298" s="1" t="s">
        <v>8974</v>
      </c>
      <c r="H3298" t="s">
        <v>8959</v>
      </c>
      <c r="I3298" s="1" t="s">
        <v>9092</v>
      </c>
      <c r="J3298" s="1" t="s">
        <v>8998</v>
      </c>
      <c r="K3298" s="1" t="s">
        <v>9036</v>
      </c>
      <c r="L3298" s="1" t="s">
        <v>9076</v>
      </c>
      <c r="M3298" s="1">
        <v>2000</v>
      </c>
      <c r="N3298" s="1" t="s">
        <v>8953</v>
      </c>
      <c r="O3298" s="1" t="s">
        <v>8989</v>
      </c>
      <c r="P3298" s="1" t="s">
        <v>8955</v>
      </c>
      <c r="Q3298" s="1" t="s">
        <v>8956</v>
      </c>
      <c r="R3298" s="1" t="s">
        <v>8974</v>
      </c>
      <c r="S3298" s="1" t="s">
        <v>9103</v>
      </c>
      <c r="T3298" s="1" t="s">
        <v>8637</v>
      </c>
      <c r="U3298" s="1" t="s">
        <v>11</v>
      </c>
      <c r="V3298" s="1" t="s">
        <v>61</v>
      </c>
      <c r="W3298" s="1"/>
    </row>
    <row r="3299" spans="1:23" x14ac:dyDescent="0.2">
      <c r="A3299" s="88" t="s">
        <v>18390</v>
      </c>
      <c r="B3299" s="1" t="e">
        <v>#N/A</v>
      </c>
      <c r="C3299" s="1" t="s">
        <v>11681</v>
      </c>
      <c r="D3299" s="1" t="s">
        <v>8638</v>
      </c>
      <c r="E3299" s="1" t="s">
        <v>8639</v>
      </c>
      <c r="F3299" s="1" t="s">
        <v>9010</v>
      </c>
      <c r="G3299" s="1" t="s">
        <v>8957</v>
      </c>
      <c r="H3299" t="s">
        <v>9183</v>
      </c>
      <c r="I3299" s="1" t="s">
        <v>9092</v>
      </c>
      <c r="J3299" s="1" t="s">
        <v>9121</v>
      </c>
      <c r="K3299" s="1" t="s">
        <v>21409</v>
      </c>
      <c r="L3299" s="1" t="s">
        <v>8951</v>
      </c>
      <c r="M3299" s="1">
        <v>265</v>
      </c>
      <c r="N3299" s="1" t="s">
        <v>9059</v>
      </c>
      <c r="O3299" s="1" t="s">
        <v>8989</v>
      </c>
      <c r="P3299" s="1" t="s">
        <v>8955</v>
      </c>
      <c r="Q3299" s="1" t="s">
        <v>8956</v>
      </c>
      <c r="R3299" s="1" t="s">
        <v>8957</v>
      </c>
      <c r="S3299" s="1" t="s">
        <v>9103</v>
      </c>
      <c r="T3299" s="1" t="s">
        <v>8640</v>
      </c>
      <c r="U3299" s="1" t="s">
        <v>11</v>
      </c>
      <c r="V3299" s="1" t="s">
        <v>24</v>
      </c>
      <c r="W3299" s="1"/>
    </row>
    <row r="3300" spans="1:23" x14ac:dyDescent="0.2">
      <c r="A3300" s="88" t="s">
        <v>18391</v>
      </c>
      <c r="B3300" t="e">
        <v>#N/A</v>
      </c>
      <c r="C3300" t="e">
        <v>#N/A</v>
      </c>
      <c r="D3300" t="s">
        <v>8641</v>
      </c>
      <c r="E3300" t="s">
        <v>8642</v>
      </c>
      <c r="F3300" s="8" t="s">
        <v>9310</v>
      </c>
      <c r="G3300" s="8" t="s">
        <v>8957</v>
      </c>
      <c r="H3300" s="8" t="s">
        <v>8959</v>
      </c>
      <c r="I3300" s="8" t="s">
        <v>8984</v>
      </c>
      <c r="J3300" s="8" t="s">
        <v>8998</v>
      </c>
      <c r="K3300" s="8" t="s">
        <v>21263</v>
      </c>
      <c r="L3300" s="8" t="s">
        <v>8951</v>
      </c>
      <c r="M3300" s="8">
        <v>2890</v>
      </c>
      <c r="N3300" s="8" t="s">
        <v>8953</v>
      </c>
      <c r="O3300" s="91" t="s">
        <v>8989</v>
      </c>
      <c r="P3300" s="1" t="e">
        <v>#N/A</v>
      </c>
      <c r="Q3300" s="1" t="e">
        <v>#N/A</v>
      </c>
      <c r="R3300" s="1">
        <f>1+LEN(T3300)-LEN(SUBSTITUTE(T3300,",",))</f>
        <v>4</v>
      </c>
      <c r="S3300" s="1" t="str">
        <f>IF(R3300&gt;4,IF(R3300&lt;8,"4-7",IF(R3300&gt;7,"&gt;7")),"&lt;4")</f>
        <v>&lt;4</v>
      </c>
      <c r="T3300" s="1" t="s">
        <v>20459</v>
      </c>
      <c r="U3300" s="1" t="s">
        <v>7</v>
      </c>
      <c r="V3300" s="1" t="s">
        <v>46</v>
      </c>
      <c r="W3300" s="1"/>
    </row>
    <row r="3301" spans="1:23" x14ac:dyDescent="0.2">
      <c r="A3301" s="88" t="s">
        <v>18392</v>
      </c>
      <c r="B3301" t="e">
        <v>#N/A</v>
      </c>
      <c r="C3301" t="s">
        <v>12287</v>
      </c>
      <c r="D3301" t="s">
        <v>8643</v>
      </c>
      <c r="E3301" t="s">
        <v>8644</v>
      </c>
      <c r="F3301" s="8" t="s">
        <v>9310</v>
      </c>
      <c r="G3301" s="8" t="s">
        <v>8957</v>
      </c>
      <c r="H3301" s="8" t="s">
        <v>9061</v>
      </c>
      <c r="I3301" s="8" t="s">
        <v>9100</v>
      </c>
      <c r="J3301" s="8" t="s">
        <v>8998</v>
      </c>
      <c r="K3301" s="8" t="s">
        <v>9270</v>
      </c>
      <c r="L3301" s="8" t="s">
        <v>9076</v>
      </c>
      <c r="M3301" s="8">
        <v>3059</v>
      </c>
      <c r="N3301" s="8" t="s">
        <v>8953</v>
      </c>
      <c r="O3301" s="8" t="s">
        <v>8954</v>
      </c>
      <c r="P3301" s="1" t="s">
        <v>8955</v>
      </c>
      <c r="Q3301" s="1" t="s">
        <v>8956</v>
      </c>
      <c r="R3301" s="1" t="s">
        <v>8957</v>
      </c>
      <c r="S3301" s="1" t="s">
        <v>8958</v>
      </c>
      <c r="T3301" s="1" t="s">
        <v>8645</v>
      </c>
      <c r="U3301" s="1" t="s">
        <v>11</v>
      </c>
      <c r="V3301" s="1" t="s">
        <v>61</v>
      </c>
      <c r="W3301" s="1"/>
    </row>
    <row r="3302" spans="1:23" x14ac:dyDescent="0.2">
      <c r="A3302" s="89" t="s">
        <v>8646</v>
      </c>
      <c r="B3302" t="e">
        <v>#N/A</v>
      </c>
      <c r="C3302" t="e">
        <v>#N/A</v>
      </c>
      <c r="D3302" t="s">
        <v>8647</v>
      </c>
      <c r="E3302" t="s">
        <v>8648</v>
      </c>
      <c r="F3302" s="8" t="s">
        <v>18502</v>
      </c>
      <c r="G3302" s="8" t="e">
        <v>#N/A</v>
      </c>
      <c r="H3302" s="8" t="s">
        <v>8959</v>
      </c>
      <c r="I3302" s="8" t="e">
        <v>#N/A</v>
      </c>
      <c r="J3302" s="8" t="e">
        <v>#N/A</v>
      </c>
      <c r="K3302" s="8" t="e">
        <v>#N/A</v>
      </c>
      <c r="L3302" s="8" t="e">
        <v>#N/A</v>
      </c>
      <c r="M3302" s="8" t="e">
        <v>#N/A</v>
      </c>
      <c r="N3302" s="8" t="e">
        <v>#N/A</v>
      </c>
      <c r="O3302" s="8" t="e">
        <v>#N/A</v>
      </c>
      <c r="P3302" s="1" t="e">
        <v>#N/A</v>
      </c>
      <c r="Q3302" s="1" t="e">
        <v>#N/A</v>
      </c>
      <c r="R3302" s="1">
        <f t="shared" ref="R3302:R3304" si="960">1+LEN(T3302)-LEN(SUBSTITUTE(T3302,",",))</f>
        <v>2</v>
      </c>
      <c r="S3302" s="1" t="str">
        <f t="shared" ref="S3302:S3304" si="961">IF(R3302&gt;4,IF(R3302&lt;8,"4-7",IF(R3302&gt;7,"&gt;7")),"&lt;4")</f>
        <v>&lt;4</v>
      </c>
      <c r="T3302" s="1" t="s">
        <v>20460</v>
      </c>
      <c r="U3302" s="1" t="s">
        <v>17</v>
      </c>
      <c r="V3302" s="1" t="s">
        <v>74</v>
      </c>
      <c r="W3302" s="1"/>
    </row>
    <row r="3303" spans="1:23" x14ac:dyDescent="0.2">
      <c r="A3303" s="88" t="s">
        <v>18393</v>
      </c>
      <c r="B3303" t="e">
        <v>#N/A</v>
      </c>
      <c r="C3303" t="e">
        <v>#N/A</v>
      </c>
      <c r="D3303" t="s">
        <v>8649</v>
      </c>
      <c r="E3303" t="s">
        <v>8650</v>
      </c>
      <c r="F3303" s="8" t="s">
        <v>9310</v>
      </c>
      <c r="G3303" s="8" t="s">
        <v>8957</v>
      </c>
      <c r="H3303" s="8" t="s">
        <v>8959</v>
      </c>
      <c r="I3303" s="8" t="s">
        <v>20712</v>
      </c>
      <c r="J3303" s="8" t="s">
        <v>9155</v>
      </c>
      <c r="K3303" s="8" t="s">
        <v>10492</v>
      </c>
      <c r="L3303" s="8" t="s">
        <v>8973</v>
      </c>
      <c r="M3303" s="8">
        <v>5340</v>
      </c>
      <c r="N3303" s="8" t="s">
        <v>8953</v>
      </c>
      <c r="O3303" s="8" t="s">
        <v>8954</v>
      </c>
      <c r="P3303" s="1" t="e">
        <v>#N/A</v>
      </c>
      <c r="Q3303" s="1" t="e">
        <v>#N/A</v>
      </c>
      <c r="R3303" s="1">
        <f t="shared" si="960"/>
        <v>4</v>
      </c>
      <c r="S3303" s="1" t="str">
        <f t="shared" si="961"/>
        <v>&lt;4</v>
      </c>
      <c r="T3303" s="1" t="s">
        <v>20461</v>
      </c>
      <c r="U3303" s="1" t="s">
        <v>7</v>
      </c>
      <c r="V3303" s="1" t="s">
        <v>184</v>
      </c>
      <c r="W3303" s="1"/>
    </row>
    <row r="3304" spans="1:23" x14ac:dyDescent="0.2">
      <c r="A3304" s="89" t="s">
        <v>18394</v>
      </c>
      <c r="B3304" t="e">
        <v>#N/A</v>
      </c>
      <c r="C3304" t="e">
        <v>#N/A</v>
      </c>
      <c r="D3304" t="s">
        <v>8651</v>
      </c>
      <c r="E3304" t="s">
        <v>8652</v>
      </c>
      <c r="F3304" s="8" t="s">
        <v>18502</v>
      </c>
      <c r="G3304" s="8" t="s">
        <v>8957</v>
      </c>
      <c r="H3304" s="8" t="s">
        <v>8959</v>
      </c>
      <c r="I3304" s="8" t="e">
        <v>#N/A</v>
      </c>
      <c r="J3304" s="8" t="s">
        <v>8949</v>
      </c>
      <c r="K3304" s="8" t="e">
        <v>#N/A</v>
      </c>
      <c r="L3304" s="8"/>
      <c r="M3304" s="8" t="e">
        <v>#N/A</v>
      </c>
      <c r="N3304" s="8" t="e">
        <v>#N/A</v>
      </c>
      <c r="O3304" s="8" t="e">
        <v>#N/A</v>
      </c>
      <c r="P3304" s="1" t="e">
        <v>#N/A</v>
      </c>
      <c r="Q3304" s="1" t="e">
        <v>#N/A</v>
      </c>
      <c r="R3304" s="1">
        <f t="shared" si="960"/>
        <v>13</v>
      </c>
      <c r="S3304" s="1" t="str">
        <f t="shared" si="961"/>
        <v>&gt;7</v>
      </c>
      <c r="T3304" s="1" t="s">
        <v>20462</v>
      </c>
      <c r="U3304" s="1" t="s">
        <v>17</v>
      </c>
      <c r="V3304" s="1" t="s">
        <v>21</v>
      </c>
      <c r="W3304" s="1"/>
    </row>
    <row r="3305" spans="1:23" x14ac:dyDescent="0.2">
      <c r="A3305" s="88" t="s">
        <v>18395</v>
      </c>
      <c r="B3305" t="e">
        <v>#N/A</v>
      </c>
      <c r="C3305" t="s">
        <v>12705</v>
      </c>
      <c r="D3305" t="s">
        <v>8653</v>
      </c>
      <c r="E3305" t="s">
        <v>8654</v>
      </c>
      <c r="F3305" s="8" t="s">
        <v>9010</v>
      </c>
      <c r="G3305" s="8" t="s">
        <v>8957</v>
      </c>
      <c r="H3305" s="8" t="s">
        <v>8959</v>
      </c>
      <c r="I3305" s="8" t="s">
        <v>8948</v>
      </c>
      <c r="J3305" s="8" t="s">
        <v>8949</v>
      </c>
      <c r="K3305" s="8" t="s">
        <v>9036</v>
      </c>
      <c r="L3305" s="8" t="s">
        <v>8973</v>
      </c>
      <c r="M3305" s="8">
        <v>10000</v>
      </c>
      <c r="N3305" s="8" t="s">
        <v>8953</v>
      </c>
      <c r="O3305" s="8" t="s">
        <v>8954</v>
      </c>
      <c r="P3305" s="1" t="s">
        <v>8955</v>
      </c>
      <c r="Q3305" s="1" t="s">
        <v>8956</v>
      </c>
      <c r="R3305" s="1" t="s">
        <v>8957</v>
      </c>
      <c r="S3305" s="1" t="s">
        <v>8958</v>
      </c>
      <c r="T3305" s="1" t="s">
        <v>8655</v>
      </c>
      <c r="U3305" s="1" t="s">
        <v>11</v>
      </c>
      <c r="V3305" s="1" t="s">
        <v>392</v>
      </c>
      <c r="W3305" s="1"/>
    </row>
    <row r="3306" spans="1:23" x14ac:dyDescent="0.2">
      <c r="A3306" s="88" t="s">
        <v>18396</v>
      </c>
      <c r="B3306" t="e">
        <v>#N/A</v>
      </c>
      <c r="C3306" t="e">
        <v>#N/A</v>
      </c>
      <c r="D3306" t="s">
        <v>8656</v>
      </c>
      <c r="E3306" t="s">
        <v>8657</v>
      </c>
      <c r="F3306" s="8" t="s">
        <v>18502</v>
      </c>
      <c r="G3306" s="8" t="s">
        <v>8957</v>
      </c>
      <c r="H3306" s="8" t="s">
        <v>9061</v>
      </c>
      <c r="I3306" s="8" t="s">
        <v>9075</v>
      </c>
      <c r="J3306" s="8" t="s">
        <v>8949</v>
      </c>
      <c r="K3306" s="8" t="s">
        <v>21142</v>
      </c>
      <c r="L3306" s="8" t="s">
        <v>8973</v>
      </c>
      <c r="M3306" s="8">
        <v>600</v>
      </c>
      <c r="N3306" s="8" t="s">
        <v>8953</v>
      </c>
      <c r="O3306" s="8" t="s">
        <v>8989</v>
      </c>
      <c r="P3306" s="1" t="e">
        <v>#N/A</v>
      </c>
      <c r="Q3306" s="1" t="e">
        <v>#N/A</v>
      </c>
      <c r="R3306" s="1">
        <f>1+LEN(T3306)-LEN(SUBSTITUTE(T3306,",",))</f>
        <v>6</v>
      </c>
      <c r="S3306" s="1" t="str">
        <f>IF(R3306&gt;4,IF(R3306&lt;8,"4-7",IF(R3306&gt;7,"&gt;7")),"&lt;4")</f>
        <v>4-7</v>
      </c>
      <c r="T3306" s="1" t="s">
        <v>20463</v>
      </c>
      <c r="U3306" s="1" t="s">
        <v>7</v>
      </c>
      <c r="V3306" s="1" t="s">
        <v>24</v>
      </c>
      <c r="W3306" s="1"/>
    </row>
    <row r="3307" spans="1:23" x14ac:dyDescent="0.2">
      <c r="A3307" s="88" t="s">
        <v>18397</v>
      </c>
      <c r="B3307" t="e">
        <v>#N/A</v>
      </c>
      <c r="C3307" t="s">
        <v>11877</v>
      </c>
      <c r="D3307" t="s">
        <v>8658</v>
      </c>
      <c r="E3307" t="s">
        <v>8659</v>
      </c>
      <c r="F3307" s="8" t="s">
        <v>10850</v>
      </c>
      <c r="G3307" s="8" t="s">
        <v>9060</v>
      </c>
      <c r="H3307" s="8" t="s">
        <v>8959</v>
      </c>
      <c r="I3307" s="8" t="s">
        <v>9049</v>
      </c>
      <c r="J3307" s="8" t="s">
        <v>9155</v>
      </c>
      <c r="K3307" s="8" t="s">
        <v>9051</v>
      </c>
      <c r="L3307" s="8" t="s">
        <v>9133</v>
      </c>
      <c r="M3307" s="8">
        <v>10</v>
      </c>
      <c r="N3307" s="8" t="s">
        <v>8953</v>
      </c>
      <c r="O3307" s="8" t="s">
        <v>8954</v>
      </c>
      <c r="P3307" s="1" t="s">
        <v>8955</v>
      </c>
      <c r="Q3307" s="1" t="s">
        <v>8956</v>
      </c>
      <c r="R3307" s="1" t="s">
        <v>9060</v>
      </c>
      <c r="S3307" s="1" t="s">
        <v>8958</v>
      </c>
      <c r="T3307" s="1" t="s">
        <v>8660</v>
      </c>
      <c r="U3307" s="1" t="s">
        <v>11</v>
      </c>
      <c r="V3307" s="1" t="s">
        <v>126</v>
      </c>
      <c r="W3307" s="1"/>
    </row>
    <row r="3308" spans="1:23" x14ac:dyDescent="0.2">
      <c r="A3308" s="94" t="s">
        <v>18398</v>
      </c>
      <c r="B3308" t="e">
        <v>#N/A</v>
      </c>
      <c r="C3308" t="e">
        <v>#N/A</v>
      </c>
      <c r="D3308" t="s">
        <v>21141</v>
      </c>
      <c r="E3308" t="s">
        <v>8661</v>
      </c>
      <c r="F3308" s="8" t="s">
        <v>10850</v>
      </c>
      <c r="G3308" s="8" t="s">
        <v>8957</v>
      </c>
      <c r="H3308" s="8" t="s">
        <v>8959</v>
      </c>
      <c r="I3308" s="8" t="s">
        <v>8948</v>
      </c>
      <c r="J3308" s="8" t="e">
        <v>#N/A</v>
      </c>
      <c r="K3308" s="8" t="s">
        <v>21129</v>
      </c>
      <c r="L3308" s="8" t="s">
        <v>9292</v>
      </c>
      <c r="M3308" s="90">
        <v>4356052</v>
      </c>
      <c r="N3308" s="8" t="s">
        <v>8953</v>
      </c>
      <c r="O3308" s="8" t="s">
        <v>8989</v>
      </c>
      <c r="P3308" s="1" t="e">
        <v>#N/A</v>
      </c>
      <c r="Q3308" s="1" t="e">
        <v>#N/A</v>
      </c>
      <c r="R3308" s="1">
        <f t="shared" ref="R3308:R3318" si="962">1+LEN(T3308)-LEN(SUBSTITUTE(T3308,",",))</f>
        <v>6</v>
      </c>
      <c r="S3308" s="1" t="str">
        <f t="shared" ref="S3308:S3318" si="963">IF(R3308&gt;4,IF(R3308&lt;8,"4-7",IF(R3308&gt;7,"&gt;7")),"&lt;4")</f>
        <v>4-7</v>
      </c>
      <c r="T3308" s="1" t="s">
        <v>20464</v>
      </c>
      <c r="U3308" s="1" t="s">
        <v>17</v>
      </c>
      <c r="V3308" s="1" t="s">
        <v>1110</v>
      </c>
      <c r="W3308" s="1"/>
    </row>
    <row r="3309" spans="1:23" x14ac:dyDescent="0.2">
      <c r="A3309" s="88" t="s">
        <v>18399</v>
      </c>
      <c r="B3309" t="e">
        <v>#N/A</v>
      </c>
      <c r="C3309" t="e">
        <v>#N/A</v>
      </c>
      <c r="D3309" t="s">
        <v>8662</v>
      </c>
      <c r="E3309" t="s">
        <v>8663</v>
      </c>
      <c r="F3309" s="8" t="s">
        <v>9310</v>
      </c>
      <c r="G3309" s="8" t="s">
        <v>8974</v>
      </c>
      <c r="H3309" s="8" t="s">
        <v>9061</v>
      </c>
      <c r="I3309" s="8" t="s">
        <v>8948</v>
      </c>
      <c r="J3309" s="8" t="s">
        <v>9725</v>
      </c>
      <c r="K3309" s="8" t="s">
        <v>18491</v>
      </c>
      <c r="L3309" s="8" t="s">
        <v>21055</v>
      </c>
      <c r="M3309" s="8">
        <v>109</v>
      </c>
      <c r="N3309" s="8" t="s">
        <v>9059</v>
      </c>
      <c r="O3309" s="8" t="s">
        <v>8989</v>
      </c>
      <c r="P3309" s="1" t="e">
        <v>#N/A</v>
      </c>
      <c r="Q3309" s="1" t="e">
        <v>#N/A</v>
      </c>
      <c r="R3309" s="1">
        <f t="shared" si="962"/>
        <v>10</v>
      </c>
      <c r="S3309" s="1" t="str">
        <f t="shared" si="963"/>
        <v>&gt;7</v>
      </c>
      <c r="T3309" s="1" t="s">
        <v>20465</v>
      </c>
      <c r="U3309" s="1" t="s">
        <v>7</v>
      </c>
      <c r="V3309" s="1" t="s">
        <v>110</v>
      </c>
      <c r="W3309" s="1"/>
    </row>
    <row r="3310" spans="1:23" x14ac:dyDescent="0.2">
      <c r="A3310" s="88" t="s">
        <v>18400</v>
      </c>
      <c r="B3310" t="e">
        <v>#N/A</v>
      </c>
      <c r="C3310" t="e">
        <v>#N/A</v>
      </c>
      <c r="D3310" t="s">
        <v>8664</v>
      </c>
      <c r="E3310" t="s">
        <v>8665</v>
      </c>
      <c r="F3310" s="8" t="s">
        <v>9310</v>
      </c>
      <c r="G3310" s="8" t="s">
        <v>8959</v>
      </c>
      <c r="H3310" s="8" t="s">
        <v>8959</v>
      </c>
      <c r="I3310" s="8" t="s">
        <v>20712</v>
      </c>
      <c r="J3310" s="8" t="s">
        <v>20800</v>
      </c>
      <c r="K3310" s="8" t="s">
        <v>10492</v>
      </c>
      <c r="L3310" s="8" t="s">
        <v>8973</v>
      </c>
      <c r="M3310" s="8">
        <f>165+173+40</f>
        <v>378</v>
      </c>
      <c r="N3310" s="8" t="s">
        <v>8953</v>
      </c>
      <c r="O3310" s="8" t="s">
        <v>8954</v>
      </c>
      <c r="P3310" s="1" t="e">
        <v>#N/A</v>
      </c>
      <c r="Q3310" s="1" t="e">
        <v>#N/A</v>
      </c>
      <c r="R3310" s="1">
        <f t="shared" si="962"/>
        <v>4</v>
      </c>
      <c r="S3310" s="1" t="str">
        <f t="shared" si="963"/>
        <v>&lt;4</v>
      </c>
      <c r="T3310" s="1" t="s">
        <v>20466</v>
      </c>
      <c r="U3310" s="1" t="s">
        <v>7</v>
      </c>
      <c r="V3310" s="1" t="s">
        <v>2785</v>
      </c>
      <c r="W3310" s="1"/>
    </row>
    <row r="3311" spans="1:23" x14ac:dyDescent="0.2">
      <c r="A3311" s="88" t="s">
        <v>18401</v>
      </c>
      <c r="B3311" t="e">
        <v>#N/A</v>
      </c>
      <c r="C3311" t="e">
        <v>#N/A</v>
      </c>
      <c r="D3311" t="s">
        <v>8666</v>
      </c>
      <c r="E3311" t="s">
        <v>8667</v>
      </c>
      <c r="F3311" s="8" t="s">
        <v>18502</v>
      </c>
      <c r="G3311" s="8" t="s">
        <v>8957</v>
      </c>
      <c r="H3311" s="8" t="s">
        <v>9009</v>
      </c>
      <c r="I3311" s="8" t="s">
        <v>20712</v>
      </c>
      <c r="J3311" s="8" t="s">
        <v>9155</v>
      </c>
      <c r="K3311" s="8" t="s">
        <v>10525</v>
      </c>
      <c r="L3311" s="8" t="s">
        <v>9133</v>
      </c>
      <c r="M3311" s="8">
        <f>334+340+833+778+12611</f>
        <v>14896</v>
      </c>
      <c r="N3311" s="8" t="s">
        <v>9059</v>
      </c>
      <c r="O3311" s="8" t="s">
        <v>8954</v>
      </c>
      <c r="P3311" s="1" t="e">
        <v>#N/A</v>
      </c>
      <c r="Q3311" s="1" t="e">
        <v>#N/A</v>
      </c>
      <c r="R3311" s="1">
        <f t="shared" si="962"/>
        <v>3</v>
      </c>
      <c r="S3311" s="1" t="str">
        <f t="shared" si="963"/>
        <v>&lt;4</v>
      </c>
      <c r="T3311" s="1" t="s">
        <v>20467</v>
      </c>
      <c r="U3311" s="1" t="s">
        <v>7</v>
      </c>
      <c r="V3311" s="1" t="s">
        <v>580</v>
      </c>
      <c r="W3311" s="1"/>
    </row>
    <row r="3312" spans="1:23" x14ac:dyDescent="0.2">
      <c r="A3312" s="89" t="s">
        <v>18402</v>
      </c>
      <c r="B3312" t="e">
        <v>#N/A</v>
      </c>
      <c r="C3312" t="e">
        <v>#N/A</v>
      </c>
      <c r="D3312" s="4" t="s">
        <v>8668</v>
      </c>
      <c r="E3312" t="s">
        <v>8669</v>
      </c>
      <c r="F3312" s="8" t="s">
        <v>9310</v>
      </c>
      <c r="G3312" s="8" t="e">
        <v>#N/A</v>
      </c>
      <c r="H3312" s="8" t="s">
        <v>8959</v>
      </c>
      <c r="I3312" s="8" t="s">
        <v>9035</v>
      </c>
      <c r="J3312" s="8" t="s">
        <v>9308</v>
      </c>
      <c r="K3312" s="8" t="e">
        <v>#N/A</v>
      </c>
      <c r="L3312" s="8" t="s">
        <v>21160</v>
      </c>
      <c r="M3312" s="8" t="e">
        <v>#N/A</v>
      </c>
      <c r="N3312" s="8" t="e">
        <v>#N/A</v>
      </c>
      <c r="O3312" s="8" t="e">
        <v>#N/A</v>
      </c>
      <c r="P3312" s="1" t="e">
        <v>#N/A</v>
      </c>
      <c r="Q3312" s="1" t="e">
        <v>#N/A</v>
      </c>
      <c r="R3312" s="1">
        <f t="shared" si="962"/>
        <v>7</v>
      </c>
      <c r="S3312" s="1" t="str">
        <f t="shared" si="963"/>
        <v>4-7</v>
      </c>
      <c r="T3312" s="1" t="s">
        <v>20468</v>
      </c>
      <c r="U3312" s="1" t="s">
        <v>17</v>
      </c>
      <c r="V3312" s="1" t="s">
        <v>1328</v>
      </c>
      <c r="W3312" s="1"/>
    </row>
    <row r="3313" spans="1:23" x14ac:dyDescent="0.2">
      <c r="A3313" s="88" t="s">
        <v>21140</v>
      </c>
      <c r="B3313" t="e">
        <v>#N/A</v>
      </c>
      <c r="C3313" t="e">
        <v>#N/A</v>
      </c>
      <c r="D3313" t="s">
        <v>21138</v>
      </c>
      <c r="E3313" t="s">
        <v>21139</v>
      </c>
      <c r="F3313" s="8" t="s">
        <v>9317</v>
      </c>
      <c r="G3313" s="8" t="s">
        <v>8957</v>
      </c>
      <c r="H3313" s="8" t="s">
        <v>9009</v>
      </c>
      <c r="I3313" s="8" t="s">
        <v>20712</v>
      </c>
      <c r="J3313" s="8" t="s">
        <v>9101</v>
      </c>
      <c r="K3313" s="8" t="s">
        <v>10492</v>
      </c>
      <c r="L3313" s="8" t="s">
        <v>9076</v>
      </c>
      <c r="M3313" s="8">
        <v>278656</v>
      </c>
      <c r="N3313" s="8" t="s">
        <v>8953</v>
      </c>
      <c r="O3313" s="8" t="s">
        <v>8989</v>
      </c>
      <c r="P3313" s="1" t="e">
        <v>#N/A</v>
      </c>
      <c r="Q3313" s="1" t="e">
        <v>#N/A</v>
      </c>
      <c r="R3313" s="1">
        <f t="shared" si="962"/>
        <v>23</v>
      </c>
      <c r="S3313" s="1" t="str">
        <f t="shared" si="963"/>
        <v>&gt;7</v>
      </c>
      <c r="T3313" s="1" t="s">
        <v>20469</v>
      </c>
      <c r="U3313" s="1" t="s">
        <v>7</v>
      </c>
      <c r="V3313" s="1" t="s">
        <v>1462</v>
      </c>
      <c r="W3313" s="1"/>
    </row>
    <row r="3314" spans="1:23" x14ac:dyDescent="0.2">
      <c r="A3314" s="88" t="s">
        <v>18403</v>
      </c>
      <c r="B3314" t="e">
        <v>#N/A</v>
      </c>
      <c r="C3314" t="e">
        <v>#N/A</v>
      </c>
      <c r="D3314" t="s">
        <v>8670</v>
      </c>
      <c r="E3314" t="s">
        <v>8671</v>
      </c>
      <c r="F3314" s="8" t="s">
        <v>9310</v>
      </c>
      <c r="G3314" s="8" t="s">
        <v>8957</v>
      </c>
      <c r="H3314" s="8" t="s">
        <v>9183</v>
      </c>
      <c r="I3314" s="8" t="s">
        <v>9173</v>
      </c>
      <c r="J3314" s="8" t="s">
        <v>9174</v>
      </c>
      <c r="K3314" s="8" t="s">
        <v>21304</v>
      </c>
      <c r="L3314" s="8" t="s">
        <v>9292</v>
      </c>
      <c r="M3314" s="8">
        <v>8021</v>
      </c>
      <c r="N3314" s="8" t="s">
        <v>8953</v>
      </c>
      <c r="O3314" s="8" t="s">
        <v>8989</v>
      </c>
      <c r="P3314" s="1" t="e">
        <v>#N/A</v>
      </c>
      <c r="Q3314" s="1" t="e">
        <v>#N/A</v>
      </c>
      <c r="R3314" s="1">
        <f t="shared" si="962"/>
        <v>15</v>
      </c>
      <c r="S3314" s="1" t="str">
        <f t="shared" si="963"/>
        <v>&gt;7</v>
      </c>
      <c r="T3314" s="1" t="s">
        <v>20470</v>
      </c>
      <c r="U3314" s="1" t="s">
        <v>7</v>
      </c>
      <c r="V3314" s="1" t="s">
        <v>8672</v>
      </c>
      <c r="W3314" s="1"/>
    </row>
    <row r="3315" spans="1:23" x14ac:dyDescent="0.2">
      <c r="A3315" s="88" t="s">
        <v>18404</v>
      </c>
      <c r="B3315" t="e">
        <v>#N/A</v>
      </c>
      <c r="C3315" t="e">
        <v>#N/A</v>
      </c>
      <c r="D3315" t="s">
        <v>8673</v>
      </c>
      <c r="E3315" t="s">
        <v>8674</v>
      </c>
      <c r="F3315" s="8" t="s">
        <v>18502</v>
      </c>
      <c r="G3315" s="8" t="s">
        <v>8959</v>
      </c>
      <c r="H3315" s="8" t="s">
        <v>9061</v>
      </c>
      <c r="I3315" s="8" t="s">
        <v>9035</v>
      </c>
      <c r="J3315" s="8" t="s">
        <v>8998</v>
      </c>
      <c r="K3315" s="8" t="s">
        <v>9036</v>
      </c>
      <c r="L3315" s="8" t="s">
        <v>8951</v>
      </c>
      <c r="M3315" s="8">
        <v>1200</v>
      </c>
      <c r="N3315" s="8" t="s">
        <v>8953</v>
      </c>
      <c r="O3315" s="8" t="s">
        <v>8989</v>
      </c>
      <c r="P3315" s="1" t="e">
        <v>#N/A</v>
      </c>
      <c r="Q3315" s="1" t="e">
        <v>#N/A</v>
      </c>
      <c r="R3315" s="1">
        <f t="shared" si="962"/>
        <v>3</v>
      </c>
      <c r="S3315" s="1" t="str">
        <f t="shared" si="963"/>
        <v>&lt;4</v>
      </c>
      <c r="T3315" s="1" t="s">
        <v>20471</v>
      </c>
      <c r="U3315" s="1" t="s">
        <v>17</v>
      </c>
      <c r="V3315" s="1" t="s">
        <v>93</v>
      </c>
      <c r="W3315" s="1"/>
    </row>
    <row r="3316" spans="1:23" x14ac:dyDescent="0.2">
      <c r="A3316" s="88" t="s">
        <v>18405</v>
      </c>
      <c r="B3316" t="e">
        <v>#N/A</v>
      </c>
      <c r="C3316" t="e">
        <v>#N/A</v>
      </c>
      <c r="D3316" t="s">
        <v>8675</v>
      </c>
      <c r="E3316" t="s">
        <v>8676</v>
      </c>
      <c r="F3316" s="8" t="s">
        <v>18502</v>
      </c>
      <c r="G3316" s="8" t="s">
        <v>8957</v>
      </c>
      <c r="H3316" s="8" t="s">
        <v>9061</v>
      </c>
      <c r="I3316" s="8" t="s">
        <v>9075</v>
      </c>
      <c r="J3316" s="8" t="s">
        <v>9155</v>
      </c>
      <c r="K3316" s="8" t="s">
        <v>10525</v>
      </c>
      <c r="L3316" s="8" t="s">
        <v>9076</v>
      </c>
      <c r="M3316" s="8">
        <v>1000</v>
      </c>
      <c r="N3316" s="8" t="s">
        <v>8953</v>
      </c>
      <c r="O3316" s="8" t="s">
        <v>8989</v>
      </c>
      <c r="P3316" s="1" t="e">
        <v>#N/A</v>
      </c>
      <c r="Q3316" s="1" t="e">
        <v>#N/A</v>
      </c>
      <c r="R3316" s="1">
        <f t="shared" si="962"/>
        <v>7</v>
      </c>
      <c r="S3316" s="1" t="str">
        <f t="shared" si="963"/>
        <v>4-7</v>
      </c>
      <c r="T3316" s="1" t="s">
        <v>20472</v>
      </c>
      <c r="U3316" s="1" t="s">
        <v>17</v>
      </c>
      <c r="V3316" s="1" t="s">
        <v>1780</v>
      </c>
      <c r="W3316" s="1"/>
    </row>
    <row r="3317" spans="1:23" x14ac:dyDescent="0.2">
      <c r="A3317" s="88" t="s">
        <v>18406</v>
      </c>
      <c r="B3317" t="e">
        <v>#N/A</v>
      </c>
      <c r="C3317" t="e">
        <v>#N/A</v>
      </c>
      <c r="D3317" t="s">
        <v>8677</v>
      </c>
      <c r="E3317" t="s">
        <v>8678</v>
      </c>
      <c r="F3317" s="8" t="s">
        <v>18502</v>
      </c>
      <c r="G3317" s="8" t="s">
        <v>8957</v>
      </c>
      <c r="H3317" s="8" t="s">
        <v>9061</v>
      </c>
      <c r="I3317" s="8" t="s">
        <v>8984</v>
      </c>
      <c r="J3317" s="8" t="s">
        <v>9155</v>
      </c>
      <c r="K3317" s="8" t="s">
        <v>10525</v>
      </c>
      <c r="L3317" s="8" t="s">
        <v>9076</v>
      </c>
      <c r="M3317" s="8">
        <f>16+64</f>
        <v>80</v>
      </c>
      <c r="N3317" s="8" t="s">
        <v>9059</v>
      </c>
      <c r="O3317" s="8" t="s">
        <v>8989</v>
      </c>
      <c r="P3317" s="1" t="e">
        <v>#N/A</v>
      </c>
      <c r="Q3317" s="1" t="e">
        <v>#N/A</v>
      </c>
      <c r="R3317" s="1">
        <f t="shared" si="962"/>
        <v>9</v>
      </c>
      <c r="S3317" s="1" t="str">
        <f t="shared" si="963"/>
        <v>&gt;7</v>
      </c>
      <c r="T3317" s="1" t="s">
        <v>20473</v>
      </c>
      <c r="U3317" s="1" t="s">
        <v>17</v>
      </c>
      <c r="V3317" s="1" t="s">
        <v>4044</v>
      </c>
      <c r="W3317" s="1"/>
    </row>
    <row r="3318" spans="1:23" x14ac:dyDescent="0.2">
      <c r="A3318" s="88" t="s">
        <v>18407</v>
      </c>
      <c r="B3318" t="e">
        <v>#N/A</v>
      </c>
      <c r="C3318" t="e">
        <v>#N/A</v>
      </c>
      <c r="D3318" t="s">
        <v>8679</v>
      </c>
      <c r="E3318" t="s">
        <v>8680</v>
      </c>
      <c r="F3318" s="8" t="s">
        <v>9310</v>
      </c>
      <c r="G3318" s="8" t="s">
        <v>8957</v>
      </c>
      <c r="H3318" s="8" t="s">
        <v>9061</v>
      </c>
      <c r="I3318" s="8" t="s">
        <v>9035</v>
      </c>
      <c r="J3318" s="8" t="s">
        <v>8998</v>
      </c>
      <c r="K3318" s="8" t="s">
        <v>20723</v>
      </c>
      <c r="L3318" s="8" t="s">
        <v>8951</v>
      </c>
      <c r="M3318" s="8">
        <v>579</v>
      </c>
      <c r="N3318" s="8" t="s">
        <v>9059</v>
      </c>
      <c r="O3318" s="8" t="s">
        <v>8954</v>
      </c>
      <c r="P3318" s="1" t="e">
        <v>#N/A</v>
      </c>
      <c r="Q3318" s="1" t="e">
        <v>#N/A</v>
      </c>
      <c r="R3318" s="1">
        <f t="shared" si="962"/>
        <v>13</v>
      </c>
      <c r="S3318" s="1" t="str">
        <f t="shared" si="963"/>
        <v>&gt;7</v>
      </c>
      <c r="T3318" s="1" t="s">
        <v>20474</v>
      </c>
      <c r="U3318" s="1" t="s">
        <v>17</v>
      </c>
      <c r="V3318" s="1" t="s">
        <v>8681</v>
      </c>
      <c r="W3318" s="1"/>
    </row>
    <row r="3319" spans="1:23" x14ac:dyDescent="0.2">
      <c r="A3319" s="88" t="s">
        <v>18408</v>
      </c>
      <c r="B3319" t="e">
        <v>#N/A</v>
      </c>
      <c r="C3319" t="s">
        <v>11420</v>
      </c>
      <c r="D3319" t="s">
        <v>8682</v>
      </c>
      <c r="E3319" t="s">
        <v>8683</v>
      </c>
      <c r="F3319" s="8" t="s">
        <v>9310</v>
      </c>
      <c r="G3319" s="8" t="s">
        <v>8957</v>
      </c>
      <c r="H3319" s="8" t="s">
        <v>9183</v>
      </c>
      <c r="I3319" s="8" t="s">
        <v>9035</v>
      </c>
      <c r="J3319" s="8" t="s">
        <v>8998</v>
      </c>
      <c r="K3319" s="8" t="s">
        <v>9270</v>
      </c>
      <c r="L3319" s="8" t="s">
        <v>9464</v>
      </c>
      <c r="M3319" s="8">
        <v>651</v>
      </c>
      <c r="N3319" s="8" t="s">
        <v>8953</v>
      </c>
      <c r="O3319" s="8" t="s">
        <v>8989</v>
      </c>
      <c r="P3319" s="1" t="s">
        <v>9182</v>
      </c>
      <c r="Q3319" s="1" t="s">
        <v>8956</v>
      </c>
      <c r="R3319" s="1" t="s">
        <v>8957</v>
      </c>
      <c r="S3319" s="1" t="s">
        <v>8975</v>
      </c>
      <c r="T3319" s="1" t="s">
        <v>8684</v>
      </c>
      <c r="U3319" s="1" t="s">
        <v>11</v>
      </c>
      <c r="V3319" s="1" t="s">
        <v>1979</v>
      </c>
      <c r="W3319" s="1"/>
    </row>
    <row r="3320" spans="1:23" x14ac:dyDescent="0.2">
      <c r="A3320" s="88" t="s">
        <v>18409</v>
      </c>
      <c r="B3320" t="e">
        <v>#N/A</v>
      </c>
      <c r="C3320" t="e">
        <v>#N/A</v>
      </c>
      <c r="D3320" t="s">
        <v>8685</v>
      </c>
      <c r="E3320" t="s">
        <v>8686</v>
      </c>
      <c r="F3320" s="8" t="s">
        <v>9310</v>
      </c>
      <c r="G3320" s="8" t="s">
        <v>8957</v>
      </c>
      <c r="H3320" s="8" t="s">
        <v>9061</v>
      </c>
      <c r="I3320" s="8" t="s">
        <v>9035</v>
      </c>
      <c r="J3320" s="8" t="s">
        <v>8998</v>
      </c>
      <c r="K3320" s="8" t="s">
        <v>20723</v>
      </c>
      <c r="L3320" s="8" t="s">
        <v>9133</v>
      </c>
      <c r="M3320" s="8">
        <v>183</v>
      </c>
      <c r="N3320" s="8" t="s">
        <v>9059</v>
      </c>
      <c r="O3320" s="8" t="s">
        <v>8989</v>
      </c>
      <c r="P3320" s="1" t="e">
        <v>#N/A</v>
      </c>
      <c r="Q3320" s="1" t="e">
        <v>#N/A</v>
      </c>
      <c r="R3320" s="1">
        <f>1+LEN(T3320)-LEN(SUBSTITUTE(T3320,",",))</f>
        <v>13</v>
      </c>
      <c r="S3320" s="1" t="str">
        <f>IF(R3320&gt;4,IF(R3320&lt;8,"4-7",IF(R3320&gt;7,"&gt;7")),"&lt;4")</f>
        <v>&gt;7</v>
      </c>
      <c r="T3320" s="1" t="s">
        <v>20475</v>
      </c>
      <c r="U3320" s="1" t="s">
        <v>17</v>
      </c>
      <c r="V3320" s="1" t="s">
        <v>4311</v>
      </c>
      <c r="W3320" s="1"/>
    </row>
    <row r="3321" spans="1:23" x14ac:dyDescent="0.2">
      <c r="A3321" s="88" t="s">
        <v>18410</v>
      </c>
      <c r="B3321" t="e">
        <v>#N/A</v>
      </c>
      <c r="C3321" t="s">
        <v>10604</v>
      </c>
      <c r="D3321" t="s">
        <v>8687</v>
      </c>
      <c r="E3321" t="s">
        <v>8688</v>
      </c>
      <c r="F3321" s="8" t="s">
        <v>9310</v>
      </c>
      <c r="G3321" s="8" t="s">
        <v>8957</v>
      </c>
      <c r="H3321" s="8" t="s">
        <v>8959</v>
      </c>
      <c r="I3321" s="8" t="s">
        <v>9035</v>
      </c>
      <c r="J3321" s="8" t="s">
        <v>9155</v>
      </c>
      <c r="K3321" s="8" t="s">
        <v>10607</v>
      </c>
      <c r="L3321" s="8" t="s">
        <v>8973</v>
      </c>
      <c r="M3321" s="8">
        <v>3</v>
      </c>
      <c r="N3321" s="8" t="s">
        <v>9059</v>
      </c>
      <c r="O3321" s="8" t="s">
        <v>8989</v>
      </c>
      <c r="P3321" s="1" t="s">
        <v>8955</v>
      </c>
      <c r="Q3321" s="1" t="s">
        <v>8956</v>
      </c>
      <c r="R3321" s="1" t="s">
        <v>8957</v>
      </c>
      <c r="S3321" s="1" t="s">
        <v>8958</v>
      </c>
      <c r="T3321" s="1" t="s">
        <v>8689</v>
      </c>
      <c r="U3321" s="1" t="s">
        <v>11</v>
      </c>
      <c r="V3321" s="1" t="s">
        <v>378</v>
      </c>
      <c r="W3321" s="1"/>
    </row>
    <row r="3322" spans="1:23" x14ac:dyDescent="0.2">
      <c r="A3322" s="88" t="s">
        <v>18411</v>
      </c>
      <c r="B3322" t="e">
        <v>#N/A</v>
      </c>
      <c r="C3322" t="s">
        <v>12888</v>
      </c>
      <c r="D3322" t="s">
        <v>8690</v>
      </c>
      <c r="E3322" t="s">
        <v>8691</v>
      </c>
      <c r="F3322" s="8" t="s">
        <v>9310</v>
      </c>
      <c r="G3322" s="8" t="s">
        <v>8957</v>
      </c>
      <c r="H3322" s="8" t="s">
        <v>9009</v>
      </c>
      <c r="I3322" s="8" t="s">
        <v>8984</v>
      </c>
      <c r="J3322" s="8" t="s">
        <v>8998</v>
      </c>
      <c r="K3322" s="8" t="s">
        <v>9036</v>
      </c>
      <c r="L3322" s="8" t="s">
        <v>8987</v>
      </c>
      <c r="M3322" s="8">
        <v>743</v>
      </c>
      <c r="N3322" s="8" t="s">
        <v>8953</v>
      </c>
      <c r="O3322" s="8" t="s">
        <v>8989</v>
      </c>
      <c r="P3322" s="1" t="s">
        <v>8955</v>
      </c>
      <c r="Q3322" s="1" t="s">
        <v>8956</v>
      </c>
      <c r="R3322" s="1" t="s">
        <v>8957</v>
      </c>
      <c r="S3322" s="1" t="s">
        <v>8958</v>
      </c>
      <c r="T3322" s="1" t="s">
        <v>8692</v>
      </c>
      <c r="U3322" s="1" t="s">
        <v>11</v>
      </c>
      <c r="V3322" s="1" t="s">
        <v>64</v>
      </c>
      <c r="W3322" s="1"/>
    </row>
    <row r="3323" spans="1:23" x14ac:dyDescent="0.2">
      <c r="A3323" s="88" t="s">
        <v>18412</v>
      </c>
      <c r="B3323" t="e">
        <v>#N/A</v>
      </c>
      <c r="C3323" t="s">
        <v>9546</v>
      </c>
      <c r="D3323" t="s">
        <v>8693</v>
      </c>
      <c r="E3323" t="s">
        <v>8694</v>
      </c>
      <c r="F3323" s="8" t="s">
        <v>9310</v>
      </c>
      <c r="G3323" s="8" t="s">
        <v>9060</v>
      </c>
      <c r="H3323" s="8" t="s">
        <v>8959</v>
      </c>
      <c r="I3323" s="8" t="s">
        <v>9035</v>
      </c>
      <c r="J3323" s="8" t="s">
        <v>8998</v>
      </c>
      <c r="K3323" s="8" t="s">
        <v>9549</v>
      </c>
      <c r="L3323" s="8" t="s">
        <v>8987</v>
      </c>
      <c r="M3323" s="8">
        <v>1018</v>
      </c>
      <c r="N3323" s="8" t="s">
        <v>8953</v>
      </c>
      <c r="O3323" s="8" t="s">
        <v>8989</v>
      </c>
      <c r="P3323" s="1" t="s">
        <v>8955</v>
      </c>
      <c r="Q3323" s="1" t="s">
        <v>8990</v>
      </c>
      <c r="R3323" s="1" t="s">
        <v>9060</v>
      </c>
      <c r="S3323" s="1" t="s">
        <v>8958</v>
      </c>
      <c r="T3323" s="1" t="s">
        <v>8695</v>
      </c>
      <c r="U3323" s="1" t="s">
        <v>17</v>
      </c>
      <c r="V3323" s="1" t="s">
        <v>234</v>
      </c>
      <c r="W3323" s="1"/>
    </row>
    <row r="3324" spans="1:23" x14ac:dyDescent="0.2">
      <c r="A3324" s="88" t="s">
        <v>21143</v>
      </c>
      <c r="B3324" t="e">
        <v>#N/A</v>
      </c>
      <c r="C3324" t="e">
        <v>#N/A</v>
      </c>
      <c r="D3324" t="s">
        <v>8696</v>
      </c>
      <c r="E3324" t="s">
        <v>8697</v>
      </c>
      <c r="F3324" s="8" t="s">
        <v>9310</v>
      </c>
      <c r="G3324" s="8" t="s">
        <v>8957</v>
      </c>
      <c r="H3324" s="8" t="s">
        <v>8959</v>
      </c>
      <c r="I3324" s="8" t="s">
        <v>9100</v>
      </c>
      <c r="J3324" s="8" t="s">
        <v>8949</v>
      </c>
      <c r="K3324" t="s">
        <v>20723</v>
      </c>
      <c r="L3324" s="8" t="s">
        <v>9133</v>
      </c>
      <c r="M3324" s="8">
        <f>576*96</f>
        <v>55296</v>
      </c>
      <c r="N3324" s="8" t="s">
        <v>8953</v>
      </c>
      <c r="O3324" s="8" t="s">
        <v>8989</v>
      </c>
      <c r="P3324" s="1" t="e">
        <v>#N/A</v>
      </c>
      <c r="Q3324" s="1" t="e">
        <v>#N/A</v>
      </c>
      <c r="R3324" s="1">
        <f t="shared" ref="R3324:R3325" si="964">1+LEN(T3324)-LEN(SUBSTITUTE(T3324,",",))</f>
        <v>4</v>
      </c>
      <c r="S3324" s="1" t="str">
        <f t="shared" ref="S3324:S3325" si="965">IF(R3324&gt;4,IF(R3324&lt;8,"4-7",IF(R3324&gt;7,"&gt;7")),"&lt;4")</f>
        <v>&lt;4</v>
      </c>
      <c r="T3324" s="1" t="s">
        <v>20476</v>
      </c>
      <c r="U3324" s="1" t="s">
        <v>17</v>
      </c>
      <c r="V3324" s="1" t="s">
        <v>625</v>
      </c>
      <c r="W3324" s="1"/>
    </row>
    <row r="3325" spans="1:23" x14ac:dyDescent="0.2">
      <c r="A3325" s="88" t="s">
        <v>18413</v>
      </c>
      <c r="B3325" t="e">
        <v>#N/A</v>
      </c>
      <c r="C3325" t="e">
        <v>#N/A</v>
      </c>
      <c r="D3325" t="s">
        <v>8698</v>
      </c>
      <c r="E3325" t="s">
        <v>8699</v>
      </c>
      <c r="F3325" s="8" t="s">
        <v>9317</v>
      </c>
      <c r="G3325" s="8" t="s">
        <v>8959</v>
      </c>
      <c r="H3325" s="8" t="s">
        <v>8959</v>
      </c>
      <c r="I3325" s="8" t="s">
        <v>9100</v>
      </c>
      <c r="J3325" s="8" t="s">
        <v>9725</v>
      </c>
      <c r="K3325" s="8" t="s">
        <v>9036</v>
      </c>
      <c r="L3325" s="8" t="s">
        <v>8987</v>
      </c>
      <c r="M3325" s="8">
        <v>920</v>
      </c>
      <c r="N3325" s="8" t="s">
        <v>9059</v>
      </c>
      <c r="O3325" s="8" t="s">
        <v>8989</v>
      </c>
      <c r="P3325" s="1" t="e">
        <v>#N/A</v>
      </c>
      <c r="Q3325" s="1" t="e">
        <v>#N/A</v>
      </c>
      <c r="R3325" s="1">
        <f t="shared" si="964"/>
        <v>13</v>
      </c>
      <c r="S3325" s="1" t="str">
        <f t="shared" si="965"/>
        <v>&gt;7</v>
      </c>
      <c r="T3325" s="1" t="s">
        <v>20477</v>
      </c>
      <c r="U3325" s="1" t="s">
        <v>17</v>
      </c>
      <c r="V3325" s="1" t="s">
        <v>46</v>
      </c>
      <c r="W3325" s="1"/>
    </row>
    <row r="3326" spans="1:23" x14ac:dyDescent="0.2">
      <c r="A3326" s="88" t="s">
        <v>18414</v>
      </c>
      <c r="B3326" t="e">
        <v>#N/A</v>
      </c>
      <c r="C3326" t="s">
        <v>10962</v>
      </c>
      <c r="D3326" t="s">
        <v>8700</v>
      </c>
      <c r="E3326" t="s">
        <v>8701</v>
      </c>
      <c r="F3326" s="8" t="s">
        <v>9010</v>
      </c>
      <c r="G3326" s="8" t="s">
        <v>8957</v>
      </c>
      <c r="H3326" s="8" t="s">
        <v>8959</v>
      </c>
      <c r="I3326" s="8" t="s">
        <v>9605</v>
      </c>
      <c r="J3326" s="8" t="s">
        <v>9121</v>
      </c>
      <c r="K3326" s="8" t="s">
        <v>9041</v>
      </c>
      <c r="L3326" s="8" t="s">
        <v>9133</v>
      </c>
      <c r="M3326" s="8">
        <v>10000</v>
      </c>
      <c r="N3326" s="8" t="s">
        <v>8953</v>
      </c>
      <c r="O3326" s="8" t="s">
        <v>8989</v>
      </c>
      <c r="P3326" s="1" t="s">
        <v>8955</v>
      </c>
      <c r="Q3326" s="1" t="s">
        <v>8956</v>
      </c>
      <c r="R3326" s="1" t="s">
        <v>8957</v>
      </c>
      <c r="S3326" s="1" t="s">
        <v>8958</v>
      </c>
      <c r="T3326" s="1" t="s">
        <v>8702</v>
      </c>
      <c r="U3326" s="1" t="s">
        <v>11</v>
      </c>
      <c r="V3326" s="1" t="s">
        <v>8703</v>
      </c>
      <c r="W3326" s="1"/>
    </row>
    <row r="3327" spans="1:23" x14ac:dyDescent="0.2">
      <c r="A3327" s="88" t="s">
        <v>18415</v>
      </c>
      <c r="B3327" t="e">
        <v>#N/A</v>
      </c>
      <c r="C3327" t="s">
        <v>13615</v>
      </c>
      <c r="D3327" t="s">
        <v>8704</v>
      </c>
      <c r="E3327" t="s">
        <v>8705</v>
      </c>
      <c r="F3327" s="8" t="s">
        <v>9010</v>
      </c>
      <c r="G3327" s="8" t="s">
        <v>8957</v>
      </c>
      <c r="H3327" s="8" t="s">
        <v>8959</v>
      </c>
      <c r="I3327" s="8" t="s">
        <v>8948</v>
      </c>
      <c r="J3327" s="8" t="s">
        <v>8949</v>
      </c>
      <c r="K3327" s="8" t="s">
        <v>21201</v>
      </c>
      <c r="L3327" s="8" t="s">
        <v>9464</v>
      </c>
      <c r="M3327" s="8">
        <v>5275</v>
      </c>
      <c r="N3327" s="8" t="s">
        <v>8953</v>
      </c>
      <c r="O3327" s="8" t="s">
        <v>8989</v>
      </c>
      <c r="P3327" s="1" t="s">
        <v>8955</v>
      </c>
      <c r="Q3327" s="1" t="s">
        <v>8956</v>
      </c>
      <c r="R3327" s="1" t="s">
        <v>8957</v>
      </c>
      <c r="S3327" s="1" t="s">
        <v>8975</v>
      </c>
      <c r="T3327" s="1" t="s">
        <v>8706</v>
      </c>
      <c r="U3327" s="1" t="s">
        <v>4</v>
      </c>
      <c r="V3327" s="1" t="s">
        <v>126</v>
      </c>
      <c r="W3327" s="1"/>
    </row>
    <row r="3328" spans="1:23" x14ac:dyDescent="0.2">
      <c r="A3328" s="88" t="s">
        <v>18416</v>
      </c>
      <c r="B3328" t="e">
        <v>#N/A</v>
      </c>
      <c r="C3328" t="s">
        <v>13803</v>
      </c>
      <c r="D3328" t="s">
        <v>8707</v>
      </c>
      <c r="E3328" t="s">
        <v>8708</v>
      </c>
      <c r="F3328" s="8" t="s">
        <v>9010</v>
      </c>
      <c r="G3328" s="8" t="s">
        <v>8957</v>
      </c>
      <c r="H3328" s="8" t="s">
        <v>9061</v>
      </c>
      <c r="I3328" s="8" t="s">
        <v>8948</v>
      </c>
      <c r="J3328" s="8" t="s">
        <v>8949</v>
      </c>
      <c r="K3328" s="8" t="s">
        <v>9036</v>
      </c>
      <c r="L3328" s="8" t="s">
        <v>8987</v>
      </c>
      <c r="M3328" s="8">
        <v>68</v>
      </c>
      <c r="N3328" s="8" t="s">
        <v>9059</v>
      </c>
      <c r="O3328" s="8" t="s">
        <v>8989</v>
      </c>
      <c r="P3328" s="1" t="s">
        <v>8955</v>
      </c>
      <c r="Q3328" s="1" t="s">
        <v>8956</v>
      </c>
      <c r="R3328" s="1" t="s">
        <v>8957</v>
      </c>
      <c r="S3328" s="1" t="s">
        <v>8975</v>
      </c>
      <c r="T3328" s="1" t="s">
        <v>8709</v>
      </c>
      <c r="U3328" s="1" t="s">
        <v>11</v>
      </c>
      <c r="V3328" s="1" t="s">
        <v>1076</v>
      </c>
      <c r="W3328" s="1"/>
    </row>
    <row r="3329" spans="1:23" x14ac:dyDescent="0.2">
      <c r="A3329" s="88" t="s">
        <v>18417</v>
      </c>
      <c r="B3329" t="e">
        <v>#N/A</v>
      </c>
      <c r="C3329" t="e">
        <v>#N/A</v>
      </c>
      <c r="D3329" t="s">
        <v>8710</v>
      </c>
      <c r="E3329" t="s">
        <v>8711</v>
      </c>
      <c r="F3329" s="8" t="s">
        <v>9317</v>
      </c>
      <c r="G3329" s="8" t="s">
        <v>8959</v>
      </c>
      <c r="H3329" s="8" t="s">
        <v>8959</v>
      </c>
      <c r="I3329" s="8" t="s">
        <v>9075</v>
      </c>
      <c r="J3329" s="8" t="s">
        <v>9155</v>
      </c>
      <c r="K3329" s="8" t="s">
        <v>10492</v>
      </c>
      <c r="L3329" s="8" t="s">
        <v>9292</v>
      </c>
      <c r="M3329" s="8">
        <v>71</v>
      </c>
      <c r="N3329" s="8" t="s">
        <v>9059</v>
      </c>
      <c r="O3329" s="8" t="s">
        <v>8954</v>
      </c>
      <c r="P3329" s="1" t="e">
        <v>#N/A</v>
      </c>
      <c r="Q3329" s="1" t="e">
        <v>#N/A</v>
      </c>
      <c r="R3329" s="1">
        <f>1+LEN(T3329)-LEN(SUBSTITUTE(T3329,",",))</f>
        <v>9</v>
      </c>
      <c r="S3329" s="1" t="str">
        <f>IF(R3329&gt;4,IF(R3329&lt;8,"4-7",IF(R3329&gt;7,"&gt;7")),"&lt;4")</f>
        <v>&gt;7</v>
      </c>
      <c r="T3329" s="1" t="s">
        <v>20478</v>
      </c>
      <c r="U3329" s="1" t="s">
        <v>17</v>
      </c>
      <c r="V3329" s="1" t="s">
        <v>46</v>
      </c>
      <c r="W3329" s="1"/>
    </row>
    <row r="3330" spans="1:23" x14ac:dyDescent="0.2">
      <c r="A3330" s="88" t="s">
        <v>18418</v>
      </c>
      <c r="B3330" t="e">
        <v>#N/A</v>
      </c>
      <c r="C3330" t="s">
        <v>12556</v>
      </c>
      <c r="D3330" t="s">
        <v>8712</v>
      </c>
      <c r="E3330" t="s">
        <v>8713</v>
      </c>
      <c r="F3330" s="8" t="s">
        <v>9010</v>
      </c>
      <c r="G3330" s="8" t="s">
        <v>8957</v>
      </c>
      <c r="H3330" s="8" t="s">
        <v>8959</v>
      </c>
      <c r="I3330" s="8" t="s">
        <v>8948</v>
      </c>
      <c r="J3330" s="8" t="s">
        <v>8949</v>
      </c>
      <c r="K3330" s="8" t="s">
        <v>9036</v>
      </c>
      <c r="L3330" s="8" t="s">
        <v>8987</v>
      </c>
      <c r="M3330" s="8">
        <v>1099</v>
      </c>
      <c r="N3330" s="8" t="s">
        <v>9059</v>
      </c>
      <c r="O3330" s="8" t="s">
        <v>8989</v>
      </c>
      <c r="P3330" s="1" t="s">
        <v>8955</v>
      </c>
      <c r="Q3330" s="1" t="s">
        <v>8956</v>
      </c>
      <c r="R3330" s="1" t="s">
        <v>8957</v>
      </c>
      <c r="S3330" s="1" t="s">
        <v>9103</v>
      </c>
      <c r="T3330" s="1" t="s">
        <v>8714</v>
      </c>
      <c r="U3330" s="1" t="s">
        <v>11</v>
      </c>
      <c r="V3330" s="1" t="s">
        <v>126</v>
      </c>
      <c r="W3330" s="1"/>
    </row>
    <row r="3331" spans="1:23" x14ac:dyDescent="0.2">
      <c r="A3331" s="88" t="s">
        <v>18419</v>
      </c>
      <c r="B3331" t="e">
        <v>#N/A</v>
      </c>
      <c r="C3331" t="e">
        <v>#N/A</v>
      </c>
      <c r="D3331" t="s">
        <v>8715</v>
      </c>
      <c r="E3331" t="s">
        <v>8716</v>
      </c>
      <c r="F3331" s="8" t="s">
        <v>9317</v>
      </c>
      <c r="G3331" s="8" t="s">
        <v>8974</v>
      </c>
      <c r="H3331" s="8" t="s">
        <v>8959</v>
      </c>
      <c r="I3331" s="8" t="s">
        <v>20712</v>
      </c>
      <c r="J3331" s="8" t="s">
        <v>8998</v>
      </c>
      <c r="K3331" s="8" t="s">
        <v>10492</v>
      </c>
      <c r="L3331" s="8" t="s">
        <v>8973</v>
      </c>
      <c r="M3331" s="8">
        <v>40</v>
      </c>
      <c r="N3331" s="8" t="s">
        <v>9059</v>
      </c>
      <c r="O3331" s="8" t="s">
        <v>8954</v>
      </c>
      <c r="P3331" s="1" t="e">
        <v>#N/A</v>
      </c>
      <c r="Q3331" s="1" t="e">
        <v>#N/A</v>
      </c>
      <c r="R3331" s="1">
        <f t="shared" ref="R3331:R3332" si="966">1+LEN(T3331)-LEN(SUBSTITUTE(T3331,",",))</f>
        <v>8</v>
      </c>
      <c r="S3331" s="1" t="str">
        <f t="shared" ref="S3331:S3332" si="967">IF(R3331&gt;4,IF(R3331&lt;8,"4-7",IF(R3331&gt;7,"&gt;7")),"&lt;4")</f>
        <v>&gt;7</v>
      </c>
      <c r="T3331" s="1" t="s">
        <v>20479</v>
      </c>
      <c r="U3331" s="1" t="s">
        <v>17</v>
      </c>
      <c r="V3331" s="1" t="s">
        <v>27</v>
      </c>
      <c r="W3331" s="1"/>
    </row>
    <row r="3332" spans="1:23" x14ac:dyDescent="0.2">
      <c r="A3332" s="88" t="s">
        <v>18420</v>
      </c>
      <c r="B3332" t="e">
        <v>#N/A</v>
      </c>
      <c r="C3332" t="e">
        <v>#N/A</v>
      </c>
      <c r="D3332" t="s">
        <v>8717</v>
      </c>
      <c r="E3332" t="s">
        <v>21137</v>
      </c>
      <c r="F3332" s="8" t="s">
        <v>9310</v>
      </c>
      <c r="G3332" s="8" t="s">
        <v>8957</v>
      </c>
      <c r="H3332" s="8" t="s">
        <v>8959</v>
      </c>
      <c r="I3332" s="8" t="s">
        <v>20712</v>
      </c>
      <c r="J3332" s="8" t="s">
        <v>8959</v>
      </c>
      <c r="K3332" s="8" t="s">
        <v>10525</v>
      </c>
      <c r="L3332" s="8" t="s">
        <v>8951</v>
      </c>
      <c r="M3332" s="8">
        <f>20491+1976+876+217</f>
        <v>23560</v>
      </c>
      <c r="N3332" s="8" t="s">
        <v>8953</v>
      </c>
      <c r="O3332" s="8" t="s">
        <v>8954</v>
      </c>
      <c r="P3332" s="1" t="e">
        <v>#N/A</v>
      </c>
      <c r="Q3332" s="1" t="e">
        <v>#N/A</v>
      </c>
      <c r="R3332" s="1">
        <f t="shared" si="966"/>
        <v>4</v>
      </c>
      <c r="S3332" s="1" t="str">
        <f t="shared" si="967"/>
        <v>&lt;4</v>
      </c>
      <c r="T3332" s="1" t="s">
        <v>20480</v>
      </c>
      <c r="U3332" s="1" t="s">
        <v>17</v>
      </c>
      <c r="V3332" s="1" t="s">
        <v>2082</v>
      </c>
      <c r="W3332" s="1"/>
    </row>
    <row r="3333" spans="1:23" x14ac:dyDescent="0.2">
      <c r="A3333" s="88" t="s">
        <v>18421</v>
      </c>
      <c r="B3333" t="e">
        <v>#N/A</v>
      </c>
      <c r="C3333" t="s">
        <v>13533</v>
      </c>
      <c r="D3333" t="s">
        <v>8718</v>
      </c>
      <c r="E3333" t="s">
        <v>8719</v>
      </c>
      <c r="F3333" s="8" t="s">
        <v>9310</v>
      </c>
      <c r="G3333" s="8" t="s">
        <v>8957</v>
      </c>
      <c r="H3333" s="8" t="s">
        <v>8959</v>
      </c>
      <c r="I3333" s="8" t="s">
        <v>8984</v>
      </c>
      <c r="J3333" s="8" t="e">
        <v>#N/A</v>
      </c>
      <c r="K3333" s="8" t="s">
        <v>9036</v>
      </c>
      <c r="L3333" s="8" t="s">
        <v>8951</v>
      </c>
      <c r="M3333" s="8">
        <v>4096</v>
      </c>
      <c r="N3333" s="8" t="s">
        <v>8953</v>
      </c>
      <c r="O3333" s="8" t="s">
        <v>8989</v>
      </c>
      <c r="P3333" s="1" t="s">
        <v>8955</v>
      </c>
      <c r="Q3333" s="1" t="s">
        <v>8956</v>
      </c>
      <c r="R3333" s="1" t="s">
        <v>8957</v>
      </c>
      <c r="S3333" s="1" t="s">
        <v>8958</v>
      </c>
      <c r="T3333" s="1" t="s">
        <v>8720</v>
      </c>
      <c r="U3333" s="1" t="s">
        <v>4</v>
      </c>
      <c r="V3333" s="1" t="s">
        <v>2307</v>
      </c>
      <c r="W3333" s="1"/>
    </row>
    <row r="3334" spans="1:23" x14ac:dyDescent="0.2">
      <c r="A3334" s="88" t="s">
        <v>18422</v>
      </c>
      <c r="B3334" t="e">
        <v>#N/A</v>
      </c>
      <c r="C3334" t="e">
        <v>#N/A</v>
      </c>
      <c r="D3334" t="s">
        <v>8721</v>
      </c>
      <c r="E3334" t="s">
        <v>8722</v>
      </c>
      <c r="F3334" s="8" t="s">
        <v>9310</v>
      </c>
      <c r="G3334" s="8" t="s">
        <v>8957</v>
      </c>
      <c r="H3334" s="8" t="s">
        <v>8959</v>
      </c>
      <c r="I3334" s="8" t="s">
        <v>8948</v>
      </c>
      <c r="J3334" s="8" t="s">
        <v>8971</v>
      </c>
      <c r="K3334" s="8" t="s">
        <v>10525</v>
      </c>
      <c r="L3334" s="8" t="s">
        <v>9292</v>
      </c>
      <c r="M3334" s="8">
        <f>187+192+203+1153</f>
        <v>1735</v>
      </c>
      <c r="N3334" s="8" t="s">
        <v>8953</v>
      </c>
      <c r="O3334" s="8" t="s">
        <v>8954</v>
      </c>
      <c r="P3334" s="1" t="e">
        <v>#N/A</v>
      </c>
      <c r="Q3334" s="1" t="e">
        <v>#N/A</v>
      </c>
      <c r="R3334" s="1">
        <f t="shared" ref="R3334:R3339" si="968">1+LEN(T3334)-LEN(SUBSTITUTE(T3334,",",))</f>
        <v>6</v>
      </c>
      <c r="S3334" s="1" t="str">
        <f t="shared" ref="S3334:S3339" si="969">IF(R3334&gt;4,IF(R3334&lt;8,"4-7",IF(R3334&gt;7,"&gt;7")),"&lt;4")</f>
        <v>4-7</v>
      </c>
      <c r="T3334" s="1" t="s">
        <v>20481</v>
      </c>
      <c r="U3334" s="1" t="s">
        <v>242</v>
      </c>
      <c r="V3334" s="1" t="s">
        <v>46</v>
      </c>
      <c r="W3334" s="1"/>
    </row>
    <row r="3335" spans="1:23" x14ac:dyDescent="0.2">
      <c r="A3335" s="88" t="s">
        <v>21136</v>
      </c>
      <c r="B3335" t="e">
        <v>#N/A</v>
      </c>
      <c r="C3335" t="e">
        <v>#N/A</v>
      </c>
      <c r="D3335" t="s">
        <v>8723</v>
      </c>
      <c r="E3335" t="s">
        <v>8724</v>
      </c>
      <c r="F3335" s="8" t="s">
        <v>9310</v>
      </c>
      <c r="G3335" s="8" t="s">
        <v>8957</v>
      </c>
      <c r="H3335" s="8" t="s">
        <v>8959</v>
      </c>
      <c r="I3335" s="8" t="s">
        <v>20714</v>
      </c>
      <c r="J3335" s="8" t="s">
        <v>20725</v>
      </c>
      <c r="K3335" s="8" t="s">
        <v>18489</v>
      </c>
      <c r="L3335" s="8" t="s">
        <v>8951</v>
      </c>
      <c r="M3335" s="8">
        <f>1501+50+52</f>
        <v>1603</v>
      </c>
      <c r="N3335" s="8" t="s">
        <v>8953</v>
      </c>
      <c r="O3335" s="8" t="s">
        <v>8989</v>
      </c>
      <c r="P3335" s="1" t="e">
        <v>#N/A</v>
      </c>
      <c r="Q3335" s="1" t="e">
        <v>#N/A</v>
      </c>
      <c r="R3335" s="1">
        <f t="shared" si="968"/>
        <v>9</v>
      </c>
      <c r="S3335" s="1" t="str">
        <f t="shared" si="969"/>
        <v>&gt;7</v>
      </c>
      <c r="T3335" s="1" t="s">
        <v>20482</v>
      </c>
      <c r="U3335" s="1" t="s">
        <v>7</v>
      </c>
      <c r="V3335" s="1" t="s">
        <v>4060</v>
      </c>
      <c r="W3335" s="1"/>
    </row>
    <row r="3336" spans="1:23" x14ac:dyDescent="0.2">
      <c r="A3336" s="88" t="s">
        <v>18423</v>
      </c>
      <c r="B3336" t="e">
        <v>#N/A</v>
      </c>
      <c r="C3336" t="e">
        <v>#N/A</v>
      </c>
      <c r="D3336" t="s">
        <v>8725</v>
      </c>
      <c r="E3336" t="s">
        <v>8726</v>
      </c>
      <c r="F3336" s="8" t="s">
        <v>9310</v>
      </c>
      <c r="G3336" s="8" t="s">
        <v>8957</v>
      </c>
      <c r="H3336" s="8" t="s">
        <v>8959</v>
      </c>
      <c r="I3336" s="8" t="s">
        <v>20714</v>
      </c>
      <c r="J3336" s="8" t="s">
        <v>20725</v>
      </c>
      <c r="K3336" s="8" t="s">
        <v>18491</v>
      </c>
      <c r="L3336" s="8" t="s">
        <v>9076</v>
      </c>
      <c r="M3336" s="8">
        <f>37206+11349+8617+51140</f>
        <v>108312</v>
      </c>
      <c r="N3336" s="8" t="s">
        <v>8953</v>
      </c>
      <c r="O3336" s="8" t="s">
        <v>8954</v>
      </c>
      <c r="P3336" s="1" t="e">
        <v>#N/A</v>
      </c>
      <c r="Q3336" s="1" t="e">
        <v>#N/A</v>
      </c>
      <c r="R3336" s="1">
        <f t="shared" si="968"/>
        <v>11</v>
      </c>
      <c r="S3336" s="1" t="str">
        <f t="shared" si="969"/>
        <v>&gt;7</v>
      </c>
      <c r="T3336" s="1" t="s">
        <v>20483</v>
      </c>
      <c r="U3336" s="1" t="s">
        <v>7</v>
      </c>
      <c r="V3336" s="1" t="s">
        <v>7384</v>
      </c>
      <c r="W3336" s="1"/>
    </row>
    <row r="3337" spans="1:23" x14ac:dyDescent="0.2">
      <c r="A3337" s="88" t="s">
        <v>18424</v>
      </c>
      <c r="B3337" t="e">
        <v>#N/A</v>
      </c>
      <c r="C3337" t="e">
        <v>#N/A</v>
      </c>
      <c r="D3337" t="s">
        <v>8727</v>
      </c>
      <c r="E3337" t="s">
        <v>8728</v>
      </c>
      <c r="F3337" s="8" t="s">
        <v>9310</v>
      </c>
      <c r="G3337" s="8" t="s">
        <v>8957</v>
      </c>
      <c r="H3337" s="8" t="s">
        <v>8959</v>
      </c>
      <c r="I3337" s="8" t="s">
        <v>8984</v>
      </c>
      <c r="J3337" s="8" t="s">
        <v>8949</v>
      </c>
      <c r="K3337" s="8" t="s">
        <v>10492</v>
      </c>
      <c r="L3337" s="8" t="s">
        <v>8973</v>
      </c>
      <c r="M3337" s="8">
        <f>82+20</f>
        <v>102</v>
      </c>
      <c r="N3337" s="8" t="s">
        <v>9059</v>
      </c>
      <c r="O3337" s="8" t="s">
        <v>8954</v>
      </c>
      <c r="P3337" s="1" t="e">
        <v>#N/A</v>
      </c>
      <c r="Q3337" s="1" t="e">
        <v>#N/A</v>
      </c>
      <c r="R3337" s="1">
        <f t="shared" si="968"/>
        <v>7</v>
      </c>
      <c r="S3337" s="1" t="str">
        <f t="shared" si="969"/>
        <v>4-7</v>
      </c>
      <c r="T3337" s="1" t="s">
        <v>20484</v>
      </c>
      <c r="U3337" s="1" t="s">
        <v>7</v>
      </c>
      <c r="V3337" s="1" t="s">
        <v>21</v>
      </c>
      <c r="W3337" s="1"/>
    </row>
    <row r="3338" spans="1:23" x14ac:dyDescent="0.2">
      <c r="A3338" s="88" t="s">
        <v>18425</v>
      </c>
      <c r="B3338" t="e">
        <v>#N/A</v>
      </c>
      <c r="C3338" t="e">
        <v>#N/A</v>
      </c>
      <c r="D3338" t="s">
        <v>15493</v>
      </c>
      <c r="E3338" t="s">
        <v>8729</v>
      </c>
      <c r="F3338" s="8" t="s">
        <v>9310</v>
      </c>
      <c r="G3338" s="8" t="s">
        <v>8957</v>
      </c>
      <c r="H3338" s="8" t="s">
        <v>9061</v>
      </c>
      <c r="I3338" s="8" t="s">
        <v>8984</v>
      </c>
      <c r="J3338" s="8" t="s">
        <v>8998</v>
      </c>
      <c r="K3338" s="8" t="s">
        <v>21144</v>
      </c>
      <c r="L3338" s="8" t="s">
        <v>8973</v>
      </c>
      <c r="M3338" s="8">
        <v>82</v>
      </c>
      <c r="N3338" s="8" t="s">
        <v>9059</v>
      </c>
      <c r="O3338" s="8" t="s">
        <v>8989</v>
      </c>
      <c r="P3338" s="1" t="e">
        <v>#N/A</v>
      </c>
      <c r="Q3338" s="1" t="e">
        <v>#N/A</v>
      </c>
      <c r="R3338" s="1">
        <f t="shared" si="968"/>
        <v>5</v>
      </c>
      <c r="S3338" s="1" t="str">
        <f t="shared" si="969"/>
        <v>4-7</v>
      </c>
      <c r="T3338" s="1" t="s">
        <v>20485</v>
      </c>
      <c r="U3338" s="1" t="s">
        <v>7</v>
      </c>
      <c r="V3338" s="1" t="s">
        <v>93</v>
      </c>
      <c r="W3338" s="1"/>
    </row>
    <row r="3339" spans="1:23" x14ac:dyDescent="0.2">
      <c r="A3339" s="88" t="s">
        <v>18426</v>
      </c>
      <c r="B3339" t="e">
        <v>#N/A</v>
      </c>
      <c r="C3339" t="e">
        <v>#N/A</v>
      </c>
      <c r="D3339" t="s">
        <v>8730</v>
      </c>
      <c r="E3339" t="s">
        <v>8731</v>
      </c>
      <c r="F3339" s="8" t="s">
        <v>18502</v>
      </c>
      <c r="G3339" s="8" t="s">
        <v>8957</v>
      </c>
      <c r="H3339" s="8" t="s">
        <v>8959</v>
      </c>
      <c r="I3339" s="8" t="s">
        <v>9154</v>
      </c>
      <c r="J3339" s="8" t="s">
        <v>9155</v>
      </c>
      <c r="K3339" s="8" t="s">
        <v>21219</v>
      </c>
      <c r="L3339" s="8" t="s">
        <v>8973</v>
      </c>
      <c r="M3339" s="8">
        <v>24</v>
      </c>
      <c r="N3339" s="8" t="s">
        <v>8953</v>
      </c>
      <c r="O3339" s="8" t="s">
        <v>8954</v>
      </c>
      <c r="P3339" s="1" t="e">
        <v>#N/A</v>
      </c>
      <c r="Q3339" s="1" t="e">
        <v>#N/A</v>
      </c>
      <c r="R3339" s="1">
        <f t="shared" si="968"/>
        <v>5</v>
      </c>
      <c r="S3339" s="1" t="str">
        <f t="shared" si="969"/>
        <v>4-7</v>
      </c>
      <c r="T3339" s="1" t="s">
        <v>20486</v>
      </c>
      <c r="U3339" s="1" t="s">
        <v>7</v>
      </c>
      <c r="V3339" s="1" t="s">
        <v>8732</v>
      </c>
      <c r="W3339" s="1"/>
    </row>
    <row r="3340" spans="1:23" x14ac:dyDescent="0.2">
      <c r="A3340" s="88" t="s">
        <v>18427</v>
      </c>
      <c r="B3340" t="e">
        <v>#N/A</v>
      </c>
      <c r="C3340" t="s">
        <v>13049</v>
      </c>
      <c r="D3340" t="s">
        <v>8733</v>
      </c>
      <c r="E3340" t="s">
        <v>8734</v>
      </c>
      <c r="F3340" s="8" t="s">
        <v>9010</v>
      </c>
      <c r="G3340" s="8" t="s">
        <v>8959</v>
      </c>
      <c r="H3340" s="8" t="s">
        <v>9009</v>
      </c>
      <c r="I3340" s="8" t="s">
        <v>9092</v>
      </c>
      <c r="J3340" s="8" t="s">
        <v>9308</v>
      </c>
      <c r="K3340" s="8" t="s">
        <v>9036</v>
      </c>
      <c r="L3340" s="8" t="s">
        <v>9464</v>
      </c>
      <c r="M3340" s="8">
        <v>1663</v>
      </c>
      <c r="N3340" s="8" t="s">
        <v>8953</v>
      </c>
      <c r="O3340" s="8" t="s">
        <v>8989</v>
      </c>
      <c r="P3340" s="1" t="s">
        <v>8955</v>
      </c>
      <c r="Q3340" s="1" t="s">
        <v>8956</v>
      </c>
      <c r="R3340" s="1" t="s">
        <v>8959</v>
      </c>
      <c r="S3340" s="1" t="s">
        <v>8958</v>
      </c>
      <c r="T3340" s="1" t="s">
        <v>8735</v>
      </c>
      <c r="U3340" s="1" t="s">
        <v>11</v>
      </c>
      <c r="V3340" s="1" t="s">
        <v>286</v>
      </c>
      <c r="W3340" s="1"/>
    </row>
    <row r="3341" spans="1:23" x14ac:dyDescent="0.2">
      <c r="A3341" s="88" t="s">
        <v>18428</v>
      </c>
      <c r="B3341" t="e">
        <v>#N/A</v>
      </c>
      <c r="C3341" t="e">
        <v>#N/A</v>
      </c>
      <c r="D3341" t="s">
        <v>8736</v>
      </c>
      <c r="E3341" t="s">
        <v>8737</v>
      </c>
      <c r="F3341" s="8" t="s">
        <v>10032</v>
      </c>
      <c r="G3341" s="8" t="s">
        <v>8957</v>
      </c>
      <c r="H3341" s="8" t="s">
        <v>8959</v>
      </c>
      <c r="I3341" s="8" t="s">
        <v>9154</v>
      </c>
      <c r="J3341" s="8" t="s">
        <v>8949</v>
      </c>
      <c r="K3341" s="8" t="e">
        <v>#N/A</v>
      </c>
      <c r="L3341" s="8" t="s">
        <v>8987</v>
      </c>
      <c r="M3341" s="8">
        <v>150</v>
      </c>
      <c r="N3341" s="8" t="s">
        <v>9059</v>
      </c>
      <c r="O3341" s="8" t="s">
        <v>8989</v>
      </c>
      <c r="P3341" s="1" t="e">
        <v>#N/A</v>
      </c>
      <c r="Q3341" s="1" t="e">
        <v>#N/A</v>
      </c>
      <c r="R3341" s="1">
        <f>1+LEN(T3341)-LEN(SUBSTITUTE(T3341,",",))</f>
        <v>3</v>
      </c>
      <c r="S3341" s="1" t="str">
        <f>IF(R3341&gt;4,IF(R3341&lt;8,"4-7",IF(R3341&gt;7,"&gt;7")),"&lt;4")</f>
        <v>&lt;4</v>
      </c>
      <c r="T3341" s="1" t="s">
        <v>20487</v>
      </c>
      <c r="U3341" s="1" t="s">
        <v>17</v>
      </c>
      <c r="V3341" s="1" t="s">
        <v>126</v>
      </c>
      <c r="W3341" s="1"/>
    </row>
    <row r="3342" spans="1:23" x14ac:dyDescent="0.2">
      <c r="A3342" s="88" t="s">
        <v>18429</v>
      </c>
      <c r="B3342" t="e">
        <v>#N/A</v>
      </c>
      <c r="C3342" t="s">
        <v>11965</v>
      </c>
      <c r="D3342" t="s">
        <v>8738</v>
      </c>
      <c r="E3342" t="s">
        <v>8739</v>
      </c>
      <c r="F3342" s="8" t="s">
        <v>10032</v>
      </c>
      <c r="G3342" s="8" t="s">
        <v>8957</v>
      </c>
      <c r="H3342" s="8" t="s">
        <v>9183</v>
      </c>
      <c r="I3342" s="8" t="s">
        <v>9154</v>
      </c>
      <c r="J3342" s="8" t="s">
        <v>8949</v>
      </c>
      <c r="K3342" s="8" t="s">
        <v>8972</v>
      </c>
      <c r="L3342" s="8" t="s">
        <v>8973</v>
      </c>
      <c r="M3342" s="8">
        <v>3078</v>
      </c>
      <c r="N3342" s="8" t="s">
        <v>8953</v>
      </c>
      <c r="O3342" s="8" t="s">
        <v>8989</v>
      </c>
      <c r="P3342" s="1" t="s">
        <v>8955</v>
      </c>
      <c r="Q3342" s="1" t="s">
        <v>8956</v>
      </c>
      <c r="R3342" s="1" t="s">
        <v>8957</v>
      </c>
      <c r="S3342" s="1" t="s">
        <v>8958</v>
      </c>
      <c r="T3342" s="1" t="s">
        <v>8740</v>
      </c>
      <c r="U3342" s="1" t="s">
        <v>11</v>
      </c>
      <c r="V3342" s="1" t="s">
        <v>61</v>
      </c>
      <c r="W3342" s="1"/>
    </row>
    <row r="3343" spans="1:23" x14ac:dyDescent="0.2">
      <c r="A3343" s="88" t="s">
        <v>18430</v>
      </c>
      <c r="B3343" t="e">
        <v>#N/A</v>
      </c>
      <c r="C3343" t="e">
        <v>#N/A</v>
      </c>
      <c r="D3343" t="s">
        <v>8741</v>
      </c>
      <c r="E3343" t="s">
        <v>8742</v>
      </c>
      <c r="F3343" s="8" t="s">
        <v>18502</v>
      </c>
      <c r="G3343" s="8" t="s">
        <v>8959</v>
      </c>
      <c r="H3343" s="8" t="s">
        <v>9061</v>
      </c>
      <c r="I3343" s="8" t="s">
        <v>9075</v>
      </c>
      <c r="J3343" s="8" t="s">
        <v>8971</v>
      </c>
      <c r="K3343" s="8" t="s">
        <v>21124</v>
      </c>
      <c r="L3343" s="8" t="s">
        <v>8987</v>
      </c>
      <c r="M3343" s="8">
        <v>100</v>
      </c>
      <c r="N3343" s="8" t="s">
        <v>9059</v>
      </c>
      <c r="O3343" s="8" t="s">
        <v>8989</v>
      </c>
      <c r="P3343" s="1" t="e">
        <v>#N/A</v>
      </c>
      <c r="Q3343" s="1" t="e">
        <v>#N/A</v>
      </c>
      <c r="R3343" s="1">
        <f t="shared" ref="R3343:R3347" si="970">1+LEN(T3343)-LEN(SUBSTITUTE(T3343,",",))</f>
        <v>4</v>
      </c>
      <c r="S3343" s="1" t="str">
        <f t="shared" ref="S3343:S3347" si="971">IF(R3343&gt;4,IF(R3343&lt;8,"4-7",IF(R3343&gt;7,"&gt;7")),"&lt;4")</f>
        <v>&lt;4</v>
      </c>
      <c r="T3343" s="1" t="s">
        <v>20488</v>
      </c>
      <c r="U3343" s="1" t="s">
        <v>17</v>
      </c>
      <c r="V3343" s="1" t="s">
        <v>8743</v>
      </c>
      <c r="W3343" s="1"/>
    </row>
    <row r="3344" spans="1:23" x14ac:dyDescent="0.2">
      <c r="A3344" s="88" t="s">
        <v>18431</v>
      </c>
      <c r="B3344" t="e">
        <v>#N/A</v>
      </c>
      <c r="C3344" t="e">
        <v>#N/A</v>
      </c>
      <c r="D3344" t="s">
        <v>8744</v>
      </c>
      <c r="E3344" t="s">
        <v>8745</v>
      </c>
      <c r="F3344" s="8" t="s">
        <v>9310</v>
      </c>
      <c r="G3344" s="8" t="s">
        <v>8957</v>
      </c>
      <c r="H3344" s="8" t="s">
        <v>8959</v>
      </c>
      <c r="I3344" s="8" t="s">
        <v>21056</v>
      </c>
      <c r="J3344" s="8" t="s">
        <v>21057</v>
      </c>
      <c r="K3344" s="8" t="e">
        <v>#N/A</v>
      </c>
      <c r="L3344" s="8" t="s">
        <v>8973</v>
      </c>
      <c r="M3344" s="8">
        <v>180</v>
      </c>
      <c r="N3344" s="8" t="s">
        <v>9059</v>
      </c>
      <c r="O3344" s="8" t="s">
        <v>8989</v>
      </c>
      <c r="P3344" s="1" t="e">
        <v>#N/A</v>
      </c>
      <c r="Q3344" s="1" t="e">
        <v>#N/A</v>
      </c>
      <c r="R3344" s="1">
        <f t="shared" si="970"/>
        <v>4</v>
      </c>
      <c r="S3344" s="1" t="str">
        <f t="shared" si="971"/>
        <v>&lt;4</v>
      </c>
      <c r="T3344" s="1" t="s">
        <v>20489</v>
      </c>
      <c r="U3344" s="1" t="s">
        <v>252</v>
      </c>
      <c r="V3344" s="1" t="s">
        <v>8746</v>
      </c>
      <c r="W3344" s="1"/>
    </row>
    <row r="3345" spans="1:23" x14ac:dyDescent="0.2">
      <c r="A3345" s="88" t="s">
        <v>18432</v>
      </c>
      <c r="B3345" t="e">
        <v>#N/A</v>
      </c>
      <c r="C3345" t="e">
        <v>#N/A</v>
      </c>
      <c r="D3345" t="s">
        <v>8747</v>
      </c>
      <c r="E3345" t="s">
        <v>8748</v>
      </c>
      <c r="F3345" s="8" t="s">
        <v>9310</v>
      </c>
      <c r="G3345" s="8" t="s">
        <v>8957</v>
      </c>
      <c r="H3345" s="8" t="s">
        <v>8959</v>
      </c>
      <c r="I3345" s="8" t="s">
        <v>9092</v>
      </c>
      <c r="J3345" s="8" t="s">
        <v>9308</v>
      </c>
      <c r="K3345" s="8" t="s">
        <v>21145</v>
      </c>
      <c r="L3345" s="8" t="s">
        <v>8973</v>
      </c>
      <c r="M3345" s="8">
        <v>179</v>
      </c>
      <c r="N3345" s="8" t="s">
        <v>9059</v>
      </c>
      <c r="O3345" s="8" t="s">
        <v>8989</v>
      </c>
      <c r="P3345" s="1" t="e">
        <v>#N/A</v>
      </c>
      <c r="Q3345" s="1" t="e">
        <v>#N/A</v>
      </c>
      <c r="R3345" s="1">
        <f t="shared" si="970"/>
        <v>5</v>
      </c>
      <c r="S3345" s="1" t="str">
        <f t="shared" si="971"/>
        <v>4-7</v>
      </c>
      <c r="T3345" s="1" t="s">
        <v>20490</v>
      </c>
      <c r="U3345" s="1" t="s">
        <v>7</v>
      </c>
      <c r="V3345" s="1" t="s">
        <v>180</v>
      </c>
      <c r="W3345" s="1"/>
    </row>
    <row r="3346" spans="1:23" x14ac:dyDescent="0.2">
      <c r="A3346" s="88" t="s">
        <v>18433</v>
      </c>
      <c r="B3346" t="e">
        <v>#N/A</v>
      </c>
      <c r="C3346" t="e">
        <v>#N/A</v>
      </c>
      <c r="D3346" s="4" t="s">
        <v>8749</v>
      </c>
      <c r="E3346" t="s">
        <v>8750</v>
      </c>
      <c r="F3346" s="8" t="e">
        <v>#N/A</v>
      </c>
      <c r="G3346" s="8" t="e">
        <v>#N/A</v>
      </c>
      <c r="H3346" s="8" t="e">
        <v>#N/A</v>
      </c>
      <c r="I3346" s="8" t="e">
        <v>#N/A</v>
      </c>
      <c r="J3346" s="8" t="e">
        <v>#N/A</v>
      </c>
      <c r="K3346" s="8" t="e">
        <v>#N/A</v>
      </c>
      <c r="L3346" s="8" t="e">
        <v>#N/A</v>
      </c>
      <c r="M3346" s="8" t="e">
        <v>#N/A</v>
      </c>
      <c r="N3346" s="8" t="e">
        <v>#N/A</v>
      </c>
      <c r="O3346" s="8" t="e">
        <v>#N/A</v>
      </c>
      <c r="P3346" s="1" t="e">
        <v>#N/A</v>
      </c>
      <c r="Q3346" s="1" t="e">
        <v>#N/A</v>
      </c>
      <c r="R3346" s="1">
        <f t="shared" si="970"/>
        <v>7</v>
      </c>
      <c r="S3346" s="1" t="str">
        <f t="shared" si="971"/>
        <v>4-7</v>
      </c>
      <c r="T3346" s="1" t="s">
        <v>20491</v>
      </c>
      <c r="U3346" s="1" t="s">
        <v>252</v>
      </c>
      <c r="V3346" s="1" t="s">
        <v>8751</v>
      </c>
      <c r="W3346" s="1"/>
    </row>
    <row r="3347" spans="1:23" x14ac:dyDescent="0.2">
      <c r="A3347" s="88" t="s">
        <v>18434</v>
      </c>
      <c r="B3347" t="e">
        <v>#N/A</v>
      </c>
      <c r="C3347" t="e">
        <v>#N/A</v>
      </c>
      <c r="D3347" t="s">
        <v>8752</v>
      </c>
      <c r="E3347" t="s">
        <v>8753</v>
      </c>
      <c r="F3347" s="8" t="s">
        <v>9310</v>
      </c>
      <c r="G3347" s="8" t="s">
        <v>8957</v>
      </c>
      <c r="H3347" s="8" t="s">
        <v>9061</v>
      </c>
      <c r="I3347" s="8" t="s">
        <v>9252</v>
      </c>
      <c r="J3347" s="8" t="s">
        <v>9155</v>
      </c>
      <c r="K3347" s="8" t="s">
        <v>18497</v>
      </c>
      <c r="L3347" s="8" t="s">
        <v>9133</v>
      </c>
      <c r="M3347" s="8">
        <v>584</v>
      </c>
      <c r="N3347" s="8" t="s">
        <v>9059</v>
      </c>
      <c r="O3347" s="8" t="s">
        <v>8989</v>
      </c>
      <c r="P3347" s="1" t="e">
        <v>#N/A</v>
      </c>
      <c r="Q3347" s="1" t="e">
        <v>#N/A</v>
      </c>
      <c r="R3347" s="1">
        <f t="shared" si="970"/>
        <v>13</v>
      </c>
      <c r="S3347" s="1" t="str">
        <f t="shared" si="971"/>
        <v>&gt;7</v>
      </c>
      <c r="T3347" s="1" t="s">
        <v>20492</v>
      </c>
      <c r="U3347" s="1" t="s">
        <v>7</v>
      </c>
      <c r="V3347" s="1" t="s">
        <v>580</v>
      </c>
      <c r="W3347" s="1"/>
    </row>
    <row r="3348" spans="1:23" x14ac:dyDescent="0.2">
      <c r="A3348" s="88" t="s">
        <v>18435</v>
      </c>
      <c r="B3348" t="e">
        <v>#N/A</v>
      </c>
      <c r="C3348" t="s">
        <v>14445</v>
      </c>
      <c r="D3348" t="s">
        <v>8754</v>
      </c>
      <c r="E3348" t="s">
        <v>8755</v>
      </c>
      <c r="F3348" s="8" t="s">
        <v>9010</v>
      </c>
      <c r="G3348" s="8" t="s">
        <v>8959</v>
      </c>
      <c r="H3348" s="8" t="s">
        <v>8959</v>
      </c>
      <c r="I3348" s="8" t="s">
        <v>9154</v>
      </c>
      <c r="J3348" s="8" t="s">
        <v>8998</v>
      </c>
      <c r="K3348" s="8" t="s">
        <v>9036</v>
      </c>
      <c r="L3348" s="8" t="s">
        <v>8987</v>
      </c>
      <c r="M3348" s="8">
        <v>7489</v>
      </c>
      <c r="N3348" s="8" t="s">
        <v>8953</v>
      </c>
      <c r="O3348" s="8" t="s">
        <v>8989</v>
      </c>
      <c r="P3348" s="1" t="s">
        <v>8955</v>
      </c>
      <c r="Q3348" s="1" t="s">
        <v>8956</v>
      </c>
      <c r="R3348" s="1" t="s">
        <v>8959</v>
      </c>
      <c r="S3348" s="1" t="s">
        <v>8975</v>
      </c>
      <c r="T3348" s="1" t="s">
        <v>8756</v>
      </c>
      <c r="U3348" s="1" t="s">
        <v>242</v>
      </c>
      <c r="V3348" s="1" t="s">
        <v>61</v>
      </c>
      <c r="W3348" s="1"/>
    </row>
    <row r="3349" spans="1:23" x14ac:dyDescent="0.2">
      <c r="A3349" s="95" t="s">
        <v>18436</v>
      </c>
      <c r="B3349" t="e">
        <v>#N/A</v>
      </c>
      <c r="C3349" t="e">
        <v>#N/A</v>
      </c>
      <c r="D3349" t="s">
        <v>8757</v>
      </c>
      <c r="E3349" t="s">
        <v>8758</v>
      </c>
      <c r="F3349" s="8" t="s">
        <v>9310</v>
      </c>
      <c r="G3349" s="8" t="s">
        <v>8959</v>
      </c>
      <c r="H3349" s="8" t="s">
        <v>8959</v>
      </c>
      <c r="I3349" s="8" t="s">
        <v>9100</v>
      </c>
      <c r="J3349" s="8" t="s">
        <v>8949</v>
      </c>
      <c r="K3349" s="8" t="s">
        <v>21146</v>
      </c>
      <c r="L3349" s="8" t="s">
        <v>8987</v>
      </c>
      <c r="M3349" s="8">
        <v>10</v>
      </c>
      <c r="N3349" s="8" t="s">
        <v>9059</v>
      </c>
      <c r="O3349" s="8" t="s">
        <v>8989</v>
      </c>
      <c r="P3349" s="1" t="e">
        <v>#N/A</v>
      </c>
      <c r="Q3349" s="1" t="e">
        <v>#N/A</v>
      </c>
      <c r="R3349" s="1">
        <f t="shared" ref="R3349:R3350" si="972">1+LEN(T3349)-LEN(SUBSTITUTE(T3349,",",))</f>
        <v>2</v>
      </c>
      <c r="S3349" s="1" t="str">
        <f t="shared" ref="S3349:S3350" si="973">IF(R3349&gt;4,IF(R3349&lt;8,"4-7",IF(R3349&gt;7,"&gt;7")),"&lt;4")</f>
        <v>&lt;4</v>
      </c>
      <c r="T3349" s="1" t="s">
        <v>20493</v>
      </c>
      <c r="U3349" s="1" t="s">
        <v>7</v>
      </c>
      <c r="V3349" s="1" t="s">
        <v>2775</v>
      </c>
      <c r="W3349" s="1"/>
    </row>
    <row r="3350" spans="1:23" x14ac:dyDescent="0.2">
      <c r="A3350" s="88" t="s">
        <v>18437</v>
      </c>
      <c r="B3350" t="e">
        <v>#N/A</v>
      </c>
      <c r="C3350" t="e">
        <v>#N/A</v>
      </c>
      <c r="D3350" t="s">
        <v>8759</v>
      </c>
      <c r="E3350" t="s">
        <v>8760</v>
      </c>
      <c r="F3350" s="8" t="s">
        <v>18502</v>
      </c>
      <c r="G3350" s="8" t="s">
        <v>8974</v>
      </c>
      <c r="H3350" s="8" t="s">
        <v>9061</v>
      </c>
      <c r="I3350" s="8" t="s">
        <v>9075</v>
      </c>
      <c r="J3350" s="8" t="s">
        <v>8949</v>
      </c>
      <c r="K3350" s="8" t="s">
        <v>10258</v>
      </c>
      <c r="L3350" s="8" t="s">
        <v>8987</v>
      </c>
      <c r="M3350" s="8">
        <v>140</v>
      </c>
      <c r="N3350" s="8" t="s">
        <v>9059</v>
      </c>
      <c r="O3350" s="8" t="s">
        <v>8989</v>
      </c>
      <c r="P3350" s="1" t="e">
        <v>#N/A</v>
      </c>
      <c r="Q3350" s="1" t="e">
        <v>#N/A</v>
      </c>
      <c r="R3350" s="1">
        <f t="shared" si="972"/>
        <v>9</v>
      </c>
      <c r="S3350" s="1" t="str">
        <f t="shared" si="973"/>
        <v>&gt;7</v>
      </c>
      <c r="T3350" s="1" t="s">
        <v>20494</v>
      </c>
      <c r="U3350" s="1" t="s">
        <v>17</v>
      </c>
      <c r="V3350" s="1" t="s">
        <v>891</v>
      </c>
      <c r="W3350" s="1"/>
    </row>
    <row r="3351" spans="1:23" x14ac:dyDescent="0.2">
      <c r="A3351" s="88" t="s">
        <v>18438</v>
      </c>
      <c r="B3351" t="e">
        <v>#N/A</v>
      </c>
      <c r="C3351" t="s">
        <v>10361</v>
      </c>
      <c r="D3351" t="s">
        <v>8761</v>
      </c>
      <c r="E3351" t="s">
        <v>8762</v>
      </c>
      <c r="F3351" s="8" t="s">
        <v>9010</v>
      </c>
      <c r="G3351" s="8" t="s">
        <v>8957</v>
      </c>
      <c r="H3351" s="8" t="s">
        <v>9061</v>
      </c>
      <c r="I3351" s="8" t="s">
        <v>9035</v>
      </c>
      <c r="J3351" s="8" t="s">
        <v>8998</v>
      </c>
      <c r="K3351" s="8" t="s">
        <v>9036</v>
      </c>
      <c r="L3351" s="8" t="s">
        <v>9076</v>
      </c>
      <c r="M3351" s="8">
        <v>82</v>
      </c>
      <c r="N3351" s="8" t="s">
        <v>9059</v>
      </c>
      <c r="O3351" s="8" t="s">
        <v>8989</v>
      </c>
      <c r="P3351" s="1" t="s">
        <v>8955</v>
      </c>
      <c r="Q3351" s="1" t="s">
        <v>8990</v>
      </c>
      <c r="R3351" s="1" t="s">
        <v>8957</v>
      </c>
      <c r="S3351" s="1" t="s">
        <v>8975</v>
      </c>
      <c r="T3351" s="1" t="s">
        <v>8763</v>
      </c>
      <c r="U3351" s="1" t="s">
        <v>17</v>
      </c>
      <c r="V3351" s="1" t="s">
        <v>93</v>
      </c>
      <c r="W3351" s="1"/>
    </row>
    <row r="3352" spans="1:23" x14ac:dyDescent="0.2">
      <c r="A3352" s="88" t="s">
        <v>18439</v>
      </c>
      <c r="B3352" t="e">
        <v>#N/A</v>
      </c>
      <c r="C3352" t="s">
        <v>10621</v>
      </c>
      <c r="D3352" t="s">
        <v>8764</v>
      </c>
      <c r="E3352" t="s">
        <v>8765</v>
      </c>
      <c r="F3352" s="8" t="s">
        <v>9010</v>
      </c>
      <c r="G3352" s="8" t="s">
        <v>8957</v>
      </c>
      <c r="H3352" s="8" t="s">
        <v>8959</v>
      </c>
      <c r="I3352" s="8" t="s">
        <v>9035</v>
      </c>
      <c r="J3352" s="8" t="s">
        <v>9155</v>
      </c>
      <c r="K3352" s="8" t="s">
        <v>10492</v>
      </c>
      <c r="L3352" s="8" t="s">
        <v>8973</v>
      </c>
      <c r="M3352" s="8">
        <v>60</v>
      </c>
      <c r="N3352" s="8" t="s">
        <v>9059</v>
      </c>
      <c r="O3352" s="8" t="s">
        <v>8954</v>
      </c>
      <c r="P3352" s="1" t="s">
        <v>8955</v>
      </c>
      <c r="Q3352" s="1" t="s">
        <v>8956</v>
      </c>
      <c r="R3352" s="1" t="s">
        <v>8957</v>
      </c>
      <c r="S3352" s="1" t="s">
        <v>8958</v>
      </c>
      <c r="T3352" s="1" t="s">
        <v>8766</v>
      </c>
      <c r="U3352" s="1" t="s">
        <v>17</v>
      </c>
      <c r="V3352" s="1" t="s">
        <v>93</v>
      </c>
      <c r="W3352" s="1"/>
    </row>
    <row r="3353" spans="1:23" x14ac:dyDescent="0.2">
      <c r="A3353" s="89" t="s">
        <v>18440</v>
      </c>
      <c r="B3353" t="e">
        <v>#N/A</v>
      </c>
      <c r="C3353" t="e">
        <v>#N/A</v>
      </c>
      <c r="D3353" t="s">
        <v>8767</v>
      </c>
      <c r="E3353" t="s">
        <v>8768</v>
      </c>
      <c r="F3353" s="8" t="s">
        <v>18502</v>
      </c>
      <c r="G3353" s="8" t="s">
        <v>8957</v>
      </c>
      <c r="H3353" s="8" t="s">
        <v>8959</v>
      </c>
      <c r="I3353" s="8" t="e">
        <v>#N/A</v>
      </c>
      <c r="J3353" s="8" t="e">
        <v>#N/A</v>
      </c>
      <c r="K3353" s="8" t="e">
        <v>#N/A</v>
      </c>
      <c r="L3353" s="8" t="e">
        <v>#N/A</v>
      </c>
      <c r="M3353" s="8" t="e">
        <v>#N/A</v>
      </c>
      <c r="N3353" s="8" t="e">
        <v>#N/A</v>
      </c>
      <c r="O3353" s="8" t="e">
        <v>#N/A</v>
      </c>
      <c r="P3353" s="1" t="e">
        <v>#N/A</v>
      </c>
      <c r="Q3353" s="1" t="e">
        <v>#N/A</v>
      </c>
      <c r="R3353" s="1">
        <f t="shared" ref="R3353:R3360" si="974">1+LEN(T3353)-LEN(SUBSTITUTE(T3353,",",))</f>
        <v>8</v>
      </c>
      <c r="S3353" s="1" t="str">
        <f t="shared" ref="S3353:S3360" si="975">IF(R3353&gt;4,IF(R3353&lt;8,"4-7",IF(R3353&gt;7,"&gt;7")),"&lt;4")</f>
        <v>&gt;7</v>
      </c>
      <c r="T3353" s="1" t="s">
        <v>20495</v>
      </c>
      <c r="U3353" s="1" t="s">
        <v>7</v>
      </c>
      <c r="V3353" s="1" t="s">
        <v>316</v>
      </c>
      <c r="W3353" s="1"/>
    </row>
    <row r="3354" spans="1:23" x14ac:dyDescent="0.2">
      <c r="A3354" s="95" t="s">
        <v>18441</v>
      </c>
      <c r="B3354" t="e">
        <v>#N/A</v>
      </c>
      <c r="C3354" t="e">
        <v>#N/A</v>
      </c>
      <c r="D3354" t="s">
        <v>8769</v>
      </c>
      <c r="E3354" t="s">
        <v>8770</v>
      </c>
      <c r="F3354" s="8" t="s">
        <v>9310</v>
      </c>
      <c r="G3354" s="8" t="s">
        <v>8974</v>
      </c>
      <c r="H3354" s="8" t="s">
        <v>8959</v>
      </c>
      <c r="I3354" s="8" t="s">
        <v>9100</v>
      </c>
      <c r="J3354" s="8" t="s">
        <v>9101</v>
      </c>
      <c r="K3354" s="8" t="s">
        <v>21147</v>
      </c>
      <c r="L3354" s="8" t="s">
        <v>9076</v>
      </c>
      <c r="M3354" s="8">
        <v>30</v>
      </c>
      <c r="N3354" s="8" t="s">
        <v>8953</v>
      </c>
      <c r="O3354" s="8" t="s">
        <v>8989</v>
      </c>
      <c r="P3354" s="1" t="e">
        <v>#N/A</v>
      </c>
      <c r="Q3354" s="1" t="e">
        <v>#N/A</v>
      </c>
      <c r="R3354" s="1">
        <f t="shared" si="974"/>
        <v>8</v>
      </c>
      <c r="S3354" s="1" t="str">
        <f t="shared" si="975"/>
        <v>&gt;7</v>
      </c>
      <c r="T3354" s="1" t="s">
        <v>20496</v>
      </c>
      <c r="U3354" s="1" t="s">
        <v>7</v>
      </c>
      <c r="V3354" s="1" t="s">
        <v>8703</v>
      </c>
      <c r="W3354" s="1"/>
    </row>
    <row r="3355" spans="1:23" x14ac:dyDescent="0.2">
      <c r="A3355" s="88" t="s">
        <v>18442</v>
      </c>
      <c r="B3355" t="e">
        <v>#N/A</v>
      </c>
      <c r="C3355" t="e">
        <v>#N/A</v>
      </c>
      <c r="D3355" t="s">
        <v>8771</v>
      </c>
      <c r="E3355" t="s">
        <v>8772</v>
      </c>
      <c r="F3355" s="8" t="s">
        <v>9310</v>
      </c>
      <c r="G3355" s="8" t="s">
        <v>8957</v>
      </c>
      <c r="H3355" s="8" t="s">
        <v>8959</v>
      </c>
      <c r="I3355" s="8" t="s">
        <v>9943</v>
      </c>
      <c r="J3355" s="8" t="s">
        <v>8971</v>
      </c>
      <c r="K3355" s="8" t="s">
        <v>21124</v>
      </c>
      <c r="L3355" s="8" t="s">
        <v>9133</v>
      </c>
      <c r="M3355" s="8">
        <v>2284</v>
      </c>
      <c r="N3355" s="8" t="s">
        <v>9059</v>
      </c>
      <c r="O3355" s="8" t="s">
        <v>8989</v>
      </c>
      <c r="P3355" s="1" t="e">
        <v>#N/A</v>
      </c>
      <c r="Q3355" s="1" t="e">
        <v>#N/A</v>
      </c>
      <c r="R3355" s="1">
        <f t="shared" si="974"/>
        <v>8</v>
      </c>
      <c r="S3355" s="1" t="str">
        <f t="shared" si="975"/>
        <v>&gt;7</v>
      </c>
      <c r="T3355" s="1" t="s">
        <v>20497</v>
      </c>
      <c r="U3355" s="1" t="s">
        <v>7</v>
      </c>
      <c r="V3355" s="1" t="s">
        <v>831</v>
      </c>
      <c r="W3355" s="1"/>
    </row>
    <row r="3356" spans="1:23" x14ac:dyDescent="0.2">
      <c r="A3356" s="88" t="s">
        <v>18443</v>
      </c>
      <c r="B3356" t="e">
        <v>#N/A</v>
      </c>
      <c r="C3356" t="e">
        <v>#N/A</v>
      </c>
      <c r="D3356" t="s">
        <v>8773</v>
      </c>
      <c r="E3356" t="s">
        <v>8774</v>
      </c>
      <c r="F3356" s="8" t="s">
        <v>9310</v>
      </c>
      <c r="G3356" s="8" t="s">
        <v>8957</v>
      </c>
      <c r="H3356" s="8" t="s">
        <v>9061</v>
      </c>
      <c r="I3356" s="8" t="s">
        <v>9252</v>
      </c>
      <c r="J3356" s="8" t="s">
        <v>8949</v>
      </c>
      <c r="K3356" s="8" t="s">
        <v>9036</v>
      </c>
      <c r="L3356" s="8" t="s">
        <v>8987</v>
      </c>
      <c r="M3356" s="8">
        <v>1537</v>
      </c>
      <c r="N3356" s="8" t="s">
        <v>9059</v>
      </c>
      <c r="O3356" s="8" t="s">
        <v>8989</v>
      </c>
      <c r="P3356" s="1" t="e">
        <v>#N/A</v>
      </c>
      <c r="Q3356" s="1" t="e">
        <v>#N/A</v>
      </c>
      <c r="R3356" s="1">
        <f t="shared" si="974"/>
        <v>8</v>
      </c>
      <c r="S3356" s="1" t="str">
        <f t="shared" si="975"/>
        <v>&gt;7</v>
      </c>
      <c r="T3356" s="1" t="s">
        <v>20498</v>
      </c>
      <c r="U3356" s="1" t="s">
        <v>17</v>
      </c>
      <c r="V3356" s="1" t="s">
        <v>619</v>
      </c>
      <c r="W3356" s="1"/>
    </row>
    <row r="3357" spans="1:23" x14ac:dyDescent="0.2">
      <c r="A3357" s="89" t="s">
        <v>8775</v>
      </c>
      <c r="B3357" t="e">
        <v>#N/A</v>
      </c>
      <c r="C3357" t="e">
        <v>#N/A</v>
      </c>
      <c r="D3357" t="s">
        <v>8776</v>
      </c>
      <c r="E3357" t="s">
        <v>8777</v>
      </c>
      <c r="F3357" s="8" t="e">
        <v>#N/A</v>
      </c>
      <c r="G3357" s="8" t="e">
        <v>#N/A</v>
      </c>
      <c r="H3357" s="8" t="e">
        <v>#N/A</v>
      </c>
      <c r="I3357" s="8" t="e">
        <v>#N/A</v>
      </c>
      <c r="J3357" s="8" t="e">
        <v>#N/A</v>
      </c>
      <c r="K3357" s="8"/>
      <c r="L3357" s="8"/>
      <c r="M3357" s="8" t="e">
        <v>#N/A</v>
      </c>
      <c r="N3357" s="8" t="e">
        <v>#N/A</v>
      </c>
      <c r="O3357" s="8" t="e">
        <v>#N/A</v>
      </c>
      <c r="P3357" s="1" t="e">
        <v>#N/A</v>
      </c>
      <c r="Q3357" s="1" t="e">
        <v>#N/A</v>
      </c>
      <c r="R3357" s="1">
        <f t="shared" si="974"/>
        <v>3</v>
      </c>
      <c r="S3357" s="1" t="str">
        <f t="shared" si="975"/>
        <v>&lt;4</v>
      </c>
      <c r="T3357" s="1" t="s">
        <v>20499</v>
      </c>
      <c r="U3357" s="1" t="s">
        <v>7</v>
      </c>
      <c r="V3357" s="1" t="s">
        <v>8778</v>
      </c>
      <c r="W3357" s="1"/>
    </row>
    <row r="3358" spans="1:23" x14ac:dyDescent="0.2">
      <c r="A3358" s="88" t="s">
        <v>18444</v>
      </c>
      <c r="B3358" t="e">
        <v>#N/A</v>
      </c>
      <c r="C3358" t="e">
        <v>#N/A</v>
      </c>
      <c r="D3358" t="s">
        <v>8779</v>
      </c>
      <c r="E3358" t="s">
        <v>8780</v>
      </c>
      <c r="F3358" s="8" t="s">
        <v>9310</v>
      </c>
      <c r="G3358" s="8" t="s">
        <v>8957</v>
      </c>
      <c r="H3358" s="8" t="s">
        <v>8959</v>
      </c>
      <c r="I3358" s="8" t="s">
        <v>8948</v>
      </c>
      <c r="J3358" s="8" t="e">
        <v>#N/A</v>
      </c>
      <c r="K3358" s="8" t="s">
        <v>21124</v>
      </c>
      <c r="L3358" s="8" t="s">
        <v>8987</v>
      </c>
      <c r="M3358" s="8">
        <f>70000+2600+50000+10000</f>
        <v>132600</v>
      </c>
      <c r="N3358" s="8" t="s">
        <v>8953</v>
      </c>
      <c r="O3358" s="8" t="s">
        <v>8954</v>
      </c>
      <c r="P3358" s="1" t="e">
        <v>#N/A</v>
      </c>
      <c r="Q3358" s="1" t="e">
        <v>#N/A</v>
      </c>
      <c r="R3358" s="1">
        <f t="shared" si="974"/>
        <v>4</v>
      </c>
      <c r="S3358" s="1" t="str">
        <f t="shared" si="975"/>
        <v>&lt;4</v>
      </c>
      <c r="T3358" s="1" t="s">
        <v>20500</v>
      </c>
      <c r="U3358" s="1" t="s">
        <v>4</v>
      </c>
      <c r="V3358" s="1" t="s">
        <v>1651</v>
      </c>
      <c r="W3358" s="1"/>
    </row>
    <row r="3359" spans="1:23" x14ac:dyDescent="0.2">
      <c r="A3359" s="94" t="s">
        <v>18445</v>
      </c>
      <c r="B3359" t="e">
        <v>#N/A</v>
      </c>
      <c r="C3359" t="e">
        <v>#N/A</v>
      </c>
      <c r="D3359" t="s">
        <v>8781</v>
      </c>
      <c r="E3359" t="s">
        <v>8782</v>
      </c>
      <c r="F3359" s="8" t="e">
        <v>#N/A</v>
      </c>
      <c r="G3359" s="8" t="e">
        <v>#N/A</v>
      </c>
      <c r="H3359" s="8" t="e">
        <v>#N/A</v>
      </c>
      <c r="I3359" s="8" t="e">
        <v>#N/A</v>
      </c>
      <c r="J3359" s="8" t="e">
        <v>#N/A</v>
      </c>
      <c r="K3359" s="8" t="e">
        <v>#N/A</v>
      </c>
      <c r="L3359" s="8" t="e">
        <v>#N/A</v>
      </c>
      <c r="M3359" s="8" t="e">
        <v>#N/A</v>
      </c>
      <c r="N3359" s="8" t="e">
        <v>#N/A</v>
      </c>
      <c r="O3359" s="8" t="e">
        <v>#N/A</v>
      </c>
      <c r="P3359" s="1" t="e">
        <v>#N/A</v>
      </c>
      <c r="Q3359" s="1" t="e">
        <v>#N/A</v>
      </c>
      <c r="R3359" s="1">
        <f t="shared" si="974"/>
        <v>16</v>
      </c>
      <c r="S3359" s="1" t="str">
        <f t="shared" si="975"/>
        <v>&gt;7</v>
      </c>
      <c r="T3359" s="1" t="s">
        <v>20501</v>
      </c>
      <c r="U3359" s="1" t="s">
        <v>7</v>
      </c>
      <c r="V3359" s="1" t="s">
        <v>61</v>
      </c>
      <c r="W3359" s="1"/>
    </row>
    <row r="3360" spans="1:23" x14ac:dyDescent="0.2">
      <c r="A3360" s="89" t="s">
        <v>8783</v>
      </c>
      <c r="B3360" t="e">
        <v>#N/A</v>
      </c>
      <c r="C3360" t="e">
        <v>#N/A</v>
      </c>
      <c r="D3360" t="s">
        <v>8784</v>
      </c>
      <c r="E3360" t="s">
        <v>8785</v>
      </c>
      <c r="F3360" s="8" t="e">
        <v>#N/A</v>
      </c>
      <c r="G3360" s="8" t="e">
        <v>#N/A</v>
      </c>
      <c r="H3360" s="8" t="e">
        <v>#N/A</v>
      </c>
      <c r="I3360" s="8" t="e">
        <v>#N/A</v>
      </c>
      <c r="J3360" s="8" t="e">
        <v>#N/A</v>
      </c>
      <c r="K3360" s="8" t="e">
        <v>#N/A</v>
      </c>
      <c r="L3360" s="8" t="e">
        <v>#N/A</v>
      </c>
      <c r="M3360" s="8" t="e">
        <v>#N/A</v>
      </c>
      <c r="N3360" s="8" t="e">
        <v>#N/A</v>
      </c>
      <c r="O3360" s="8" t="e">
        <v>#N/A</v>
      </c>
      <c r="P3360" s="1" t="e">
        <v>#N/A</v>
      </c>
      <c r="Q3360" s="1" t="e">
        <v>#N/A</v>
      </c>
      <c r="R3360" s="1">
        <f t="shared" si="974"/>
        <v>9</v>
      </c>
      <c r="S3360" s="1" t="str">
        <f t="shared" si="975"/>
        <v>&gt;7</v>
      </c>
      <c r="T3360" s="1" t="s">
        <v>20502</v>
      </c>
      <c r="U3360" s="1" t="s">
        <v>17</v>
      </c>
      <c r="V3360" s="1" t="s">
        <v>8213</v>
      </c>
      <c r="W3360" s="1"/>
    </row>
    <row r="3361" spans="1:23" x14ac:dyDescent="0.2">
      <c r="A3361" s="88" t="s">
        <v>18446</v>
      </c>
      <c r="B3361" t="e">
        <v>#N/A</v>
      </c>
      <c r="C3361" t="s">
        <v>14792</v>
      </c>
      <c r="D3361" t="s">
        <v>8786</v>
      </c>
      <c r="E3361" t="s">
        <v>8787</v>
      </c>
      <c r="F3361" s="8" t="s">
        <v>9310</v>
      </c>
      <c r="G3361" s="8" t="s">
        <v>8957</v>
      </c>
      <c r="H3361" s="8" t="s">
        <v>9061</v>
      </c>
      <c r="I3361" s="8" t="s">
        <v>9252</v>
      </c>
      <c r="J3361" s="8" t="s">
        <v>8971</v>
      </c>
      <c r="K3361" s="8" t="s">
        <v>10258</v>
      </c>
      <c r="L3361" s="8" t="s">
        <v>9133</v>
      </c>
      <c r="M3361" s="8">
        <v>974</v>
      </c>
      <c r="N3361" s="8" t="s">
        <v>8953</v>
      </c>
      <c r="O3361" s="8" t="s">
        <v>8954</v>
      </c>
      <c r="P3361" s="1" t="s">
        <v>8955</v>
      </c>
      <c r="Q3361" s="1" t="s">
        <v>8956</v>
      </c>
      <c r="R3361" s="1" t="s">
        <v>8957</v>
      </c>
      <c r="S3361" s="1" t="s">
        <v>8975</v>
      </c>
      <c r="T3361" s="1" t="s">
        <v>8788</v>
      </c>
      <c r="U3361" s="1" t="s">
        <v>7</v>
      </c>
      <c r="V3361" s="1" t="s">
        <v>180</v>
      </c>
      <c r="W3361" s="1"/>
    </row>
    <row r="3362" spans="1:23" x14ac:dyDescent="0.2">
      <c r="A3362" s="88" t="s">
        <v>18447</v>
      </c>
      <c r="B3362" t="e">
        <v>#N/A</v>
      </c>
      <c r="C3362" t="e">
        <v>#N/A</v>
      </c>
      <c r="D3362" t="s">
        <v>8789</v>
      </c>
      <c r="E3362" t="s">
        <v>8790</v>
      </c>
      <c r="F3362" s="8" t="s">
        <v>9310</v>
      </c>
      <c r="G3362" s="8" t="s">
        <v>8957</v>
      </c>
      <c r="H3362" s="8" t="s">
        <v>8959</v>
      </c>
      <c r="I3362" s="8" t="s">
        <v>9100</v>
      </c>
      <c r="J3362" s="8" t="s">
        <v>8949</v>
      </c>
      <c r="K3362" s="8" t="s">
        <v>21058</v>
      </c>
      <c r="L3362" s="8" t="s">
        <v>8973</v>
      </c>
      <c r="M3362" s="8">
        <v>60</v>
      </c>
      <c r="N3362" s="8" t="s">
        <v>9059</v>
      </c>
      <c r="O3362" s="8" t="s">
        <v>8989</v>
      </c>
      <c r="P3362" s="1" t="e">
        <v>#N/A</v>
      </c>
      <c r="Q3362" s="1" t="e">
        <v>#N/A</v>
      </c>
      <c r="R3362" s="1">
        <f t="shared" ref="R3362:R3363" si="976">1+LEN(T3362)-LEN(SUBSTITUTE(T3362,",",))</f>
        <v>6</v>
      </c>
      <c r="S3362" s="1" t="str">
        <f t="shared" ref="S3362:S3363" si="977">IF(R3362&gt;4,IF(R3362&lt;8,"4-7",IF(R3362&gt;7,"&gt;7")),"&lt;4")</f>
        <v>4-7</v>
      </c>
      <c r="T3362" s="1" t="s">
        <v>20503</v>
      </c>
      <c r="U3362" s="1" t="s">
        <v>7</v>
      </c>
      <c r="V3362" s="1" t="s">
        <v>46</v>
      </c>
      <c r="W3362" s="1"/>
    </row>
    <row r="3363" spans="1:23" x14ac:dyDescent="0.2">
      <c r="A3363" s="88" t="s">
        <v>18448</v>
      </c>
      <c r="B3363" t="e">
        <v>#N/A</v>
      </c>
      <c r="C3363" t="e">
        <v>#N/A</v>
      </c>
      <c r="D3363" t="s">
        <v>8791</v>
      </c>
      <c r="E3363" t="s">
        <v>8792</v>
      </c>
      <c r="F3363" s="8" t="s">
        <v>9310</v>
      </c>
      <c r="G3363" s="8" t="s">
        <v>8959</v>
      </c>
      <c r="H3363" s="8" t="s">
        <v>9061</v>
      </c>
      <c r="I3363" s="8" t="s">
        <v>9035</v>
      </c>
      <c r="J3363" s="8" t="s">
        <v>8998</v>
      </c>
      <c r="K3363" s="8" t="s">
        <v>10381</v>
      </c>
      <c r="L3363" s="8" t="s">
        <v>21059</v>
      </c>
      <c r="M3363" s="8">
        <v>1079</v>
      </c>
      <c r="N3363" s="8" t="s">
        <v>9059</v>
      </c>
      <c r="O3363" s="8" t="s">
        <v>8954</v>
      </c>
      <c r="P3363" s="1" t="e">
        <v>#N/A</v>
      </c>
      <c r="Q3363" s="1" t="e">
        <v>#N/A</v>
      </c>
      <c r="R3363" s="1">
        <f t="shared" si="976"/>
        <v>10</v>
      </c>
      <c r="S3363" s="1" t="str">
        <f t="shared" si="977"/>
        <v>&gt;7</v>
      </c>
      <c r="T3363" s="1" t="s">
        <v>20504</v>
      </c>
      <c r="U3363" s="1" t="s">
        <v>7</v>
      </c>
      <c r="V3363" s="1" t="s">
        <v>138</v>
      </c>
      <c r="W3363" s="1"/>
    </row>
    <row r="3364" spans="1:23" x14ac:dyDescent="0.2">
      <c r="A3364" s="88" t="s">
        <v>18449</v>
      </c>
      <c r="B3364" t="e">
        <v>#N/A</v>
      </c>
      <c r="C3364" t="s">
        <v>14977</v>
      </c>
      <c r="D3364" t="s">
        <v>8793</v>
      </c>
      <c r="E3364" t="s">
        <v>8794</v>
      </c>
      <c r="F3364" s="8" t="s">
        <v>9310</v>
      </c>
      <c r="G3364" s="8" t="s">
        <v>8957</v>
      </c>
      <c r="H3364" s="8" t="s">
        <v>9061</v>
      </c>
      <c r="I3364" s="8" t="s">
        <v>8948</v>
      </c>
      <c r="J3364" s="8" t="s">
        <v>8971</v>
      </c>
      <c r="K3364" s="8" t="s">
        <v>8972</v>
      </c>
      <c r="L3364" s="8" t="s">
        <v>8973</v>
      </c>
      <c r="M3364" s="8">
        <v>2165</v>
      </c>
      <c r="N3364" s="8" t="s">
        <v>8953</v>
      </c>
      <c r="O3364" s="8" t="s">
        <v>8989</v>
      </c>
      <c r="P3364" s="1" t="s">
        <v>8955</v>
      </c>
      <c r="Q3364" s="1" t="s">
        <v>8956</v>
      </c>
      <c r="R3364" s="1" t="s">
        <v>8957</v>
      </c>
      <c r="S3364" s="1" t="s">
        <v>8958</v>
      </c>
      <c r="T3364" s="1" t="s">
        <v>8795</v>
      </c>
      <c r="U3364" s="1" t="s">
        <v>17</v>
      </c>
      <c r="V3364" s="1" t="s">
        <v>93</v>
      </c>
      <c r="W3364" s="1"/>
    </row>
    <row r="3365" spans="1:23" x14ac:dyDescent="0.2">
      <c r="A3365" s="88" t="s">
        <v>18450</v>
      </c>
      <c r="B3365" t="e">
        <v>#N/A</v>
      </c>
      <c r="C3365" t="s">
        <v>13942</v>
      </c>
      <c r="D3365" t="s">
        <v>8796</v>
      </c>
      <c r="E3365" t="s">
        <v>8797</v>
      </c>
      <c r="F3365" s="8" t="s">
        <v>9310</v>
      </c>
      <c r="G3365" s="8" t="s">
        <v>8957</v>
      </c>
      <c r="H3365" s="8" t="s">
        <v>8959</v>
      </c>
      <c r="I3365" s="8" t="s">
        <v>8984</v>
      </c>
      <c r="J3365" s="8" t="s">
        <v>9131</v>
      </c>
      <c r="K3365" s="8" t="s">
        <v>10135</v>
      </c>
      <c r="L3365" s="8" t="s">
        <v>9133</v>
      </c>
      <c r="M3365" s="8">
        <v>20</v>
      </c>
      <c r="N3365" s="8" t="s">
        <v>9059</v>
      </c>
      <c r="O3365" s="8" t="s">
        <v>8989</v>
      </c>
      <c r="P3365" s="1" t="s">
        <v>8955</v>
      </c>
      <c r="Q3365" s="1" t="s">
        <v>8956</v>
      </c>
      <c r="R3365" s="1" t="s">
        <v>8957</v>
      </c>
      <c r="S3365" s="1" t="s">
        <v>8958</v>
      </c>
      <c r="T3365" s="1" t="s">
        <v>8798</v>
      </c>
      <c r="U3365" s="1" t="s">
        <v>4</v>
      </c>
      <c r="V3365" s="1" t="s">
        <v>74</v>
      </c>
      <c r="W3365" s="1"/>
    </row>
    <row r="3366" spans="1:23" x14ac:dyDescent="0.2">
      <c r="A3366" s="88" t="s">
        <v>18451</v>
      </c>
      <c r="B3366" t="e">
        <v>#N/A</v>
      </c>
      <c r="C3366" t="e">
        <v>#N/A</v>
      </c>
      <c r="D3366" t="s">
        <v>8799</v>
      </c>
      <c r="E3366" t="s">
        <v>8800</v>
      </c>
      <c r="F3366" s="8" t="s">
        <v>18502</v>
      </c>
      <c r="G3366" s="8" t="s">
        <v>8957</v>
      </c>
      <c r="H3366" s="8" t="s">
        <v>9061</v>
      </c>
      <c r="I3366" s="8" t="s">
        <v>9100</v>
      </c>
      <c r="J3366" s="8" t="s">
        <v>9155</v>
      </c>
      <c r="K3366" s="8" t="s">
        <v>21135</v>
      </c>
      <c r="L3366" s="8" t="s">
        <v>9292</v>
      </c>
      <c r="M3366" s="8">
        <v>805</v>
      </c>
      <c r="N3366" s="8" t="s">
        <v>9059</v>
      </c>
      <c r="O3366" s="8" t="s">
        <v>8954</v>
      </c>
      <c r="P3366" s="1" t="e">
        <v>#N/A</v>
      </c>
      <c r="Q3366" s="1" t="e">
        <v>#N/A</v>
      </c>
      <c r="R3366" s="1">
        <f t="shared" ref="R3366:R3367" si="978">1+LEN(T3366)-LEN(SUBSTITUTE(T3366,",",))</f>
        <v>4</v>
      </c>
      <c r="S3366" s="1" t="str">
        <f t="shared" ref="S3366:S3367" si="979">IF(R3366&gt;4,IF(R3366&lt;8,"4-7",IF(R3366&gt;7,"&gt;7")),"&lt;4")</f>
        <v>&lt;4</v>
      </c>
      <c r="T3366" s="1" t="s">
        <v>20505</v>
      </c>
      <c r="U3366" s="1" t="s">
        <v>17</v>
      </c>
      <c r="V3366" s="1" t="s">
        <v>2988</v>
      </c>
      <c r="W3366" s="1"/>
    </row>
    <row r="3367" spans="1:23" x14ac:dyDescent="0.2">
      <c r="A3367" s="89" t="s">
        <v>8801</v>
      </c>
      <c r="B3367" t="e">
        <v>#N/A</v>
      </c>
      <c r="C3367" t="e">
        <v>#N/A</v>
      </c>
      <c r="D3367" t="s">
        <v>21134</v>
      </c>
      <c r="E3367" t="s">
        <v>8802</v>
      </c>
      <c r="F3367" s="8" t="s">
        <v>9333</v>
      </c>
      <c r="G3367" s="8" t="s">
        <v>8957</v>
      </c>
      <c r="H3367" s="8" t="s">
        <v>8959</v>
      </c>
      <c r="I3367" s="8" t="s">
        <v>20712</v>
      </c>
      <c r="J3367" s="8" t="s">
        <v>8998</v>
      </c>
      <c r="K3367" s="8" t="s">
        <v>9036</v>
      </c>
      <c r="L3367" s="8" t="s">
        <v>8973</v>
      </c>
      <c r="M3367" s="8">
        <v>200</v>
      </c>
      <c r="N3367" s="8" t="s">
        <v>9059</v>
      </c>
      <c r="O3367" s="8" t="s">
        <v>8989</v>
      </c>
      <c r="P3367" s="1" t="e">
        <v>#N/A</v>
      </c>
      <c r="Q3367" s="1" t="e">
        <v>#N/A</v>
      </c>
      <c r="R3367" s="1">
        <f t="shared" si="978"/>
        <v>1</v>
      </c>
      <c r="S3367" s="1" t="str">
        <f t="shared" si="979"/>
        <v>&lt;4</v>
      </c>
      <c r="T3367" s="1" t="s">
        <v>8803</v>
      </c>
      <c r="U3367" s="1" t="s">
        <v>7</v>
      </c>
      <c r="V3367" s="1" t="s">
        <v>204</v>
      </c>
      <c r="W3367" s="1"/>
    </row>
    <row r="3368" spans="1:23" x14ac:dyDescent="0.2">
      <c r="A3368" s="88" t="s">
        <v>18452</v>
      </c>
      <c r="B3368" t="e">
        <v>#N/A</v>
      </c>
      <c r="C3368" t="s">
        <v>13728</v>
      </c>
      <c r="D3368" t="s">
        <v>8804</v>
      </c>
      <c r="E3368" t="s">
        <v>8805</v>
      </c>
      <c r="F3368" s="8" t="s">
        <v>9333</v>
      </c>
      <c r="G3368" s="8" t="s">
        <v>8957</v>
      </c>
      <c r="H3368" s="8" t="s">
        <v>8959</v>
      </c>
      <c r="I3368" s="8" t="s">
        <v>9605</v>
      </c>
      <c r="J3368" s="8" t="s">
        <v>8998</v>
      </c>
      <c r="K3368" s="8" t="s">
        <v>9436</v>
      </c>
      <c r="L3368" s="8" t="s">
        <v>8973</v>
      </c>
      <c r="M3368" s="8">
        <v>240</v>
      </c>
      <c r="N3368" s="8" t="s">
        <v>8953</v>
      </c>
      <c r="O3368" s="8" t="s">
        <v>8954</v>
      </c>
      <c r="P3368" s="1" t="s">
        <v>8955</v>
      </c>
      <c r="Q3368" s="1" t="s">
        <v>8956</v>
      </c>
      <c r="R3368" s="1" t="s">
        <v>8957</v>
      </c>
      <c r="S3368" s="1" t="s">
        <v>8958</v>
      </c>
      <c r="T3368" s="1" t="s">
        <v>8806</v>
      </c>
      <c r="U3368" s="1" t="s">
        <v>4</v>
      </c>
      <c r="V3368" s="1" t="s">
        <v>93</v>
      </c>
      <c r="W3368" s="1"/>
    </row>
    <row r="3369" spans="1:23" x14ac:dyDescent="0.2">
      <c r="A3369" s="88" t="s">
        <v>18453</v>
      </c>
      <c r="B3369" t="e">
        <v>#N/A</v>
      </c>
      <c r="C3369" t="e">
        <v>#N/A</v>
      </c>
      <c r="D3369" t="s">
        <v>8807</v>
      </c>
      <c r="E3369" t="s">
        <v>8808</v>
      </c>
      <c r="F3369" s="8" t="s">
        <v>9310</v>
      </c>
      <c r="G3369" s="8" t="s">
        <v>8957</v>
      </c>
      <c r="H3369" s="8" t="s">
        <v>8959</v>
      </c>
      <c r="I3369" s="8" t="s">
        <v>8984</v>
      </c>
      <c r="J3369" s="8" t="s">
        <v>8949</v>
      </c>
      <c r="K3369" s="8" t="s">
        <v>9036</v>
      </c>
      <c r="L3369" s="8" t="s">
        <v>8951</v>
      </c>
      <c r="M3369" s="8">
        <v>4417</v>
      </c>
      <c r="N3369" s="93" t="s">
        <v>11658</v>
      </c>
      <c r="O3369" s="8" t="s">
        <v>8989</v>
      </c>
      <c r="P3369" s="1" t="e">
        <v>#N/A</v>
      </c>
      <c r="Q3369" s="1" t="e">
        <v>#N/A</v>
      </c>
      <c r="R3369" s="1">
        <f>1+LEN(T3369)-LEN(SUBSTITUTE(T3369,",",))</f>
        <v>5</v>
      </c>
      <c r="S3369" s="1" t="str">
        <f>IF(R3369&gt;4,IF(R3369&lt;8,"4-7",IF(R3369&gt;7,"&gt;7")),"&lt;4")</f>
        <v>4-7</v>
      </c>
      <c r="T3369" s="1" t="s">
        <v>20506</v>
      </c>
      <c r="U3369" s="1" t="s">
        <v>17</v>
      </c>
      <c r="V3369" s="1" t="s">
        <v>87</v>
      </c>
      <c r="W3369" s="1"/>
    </row>
    <row r="3370" spans="1:23" x14ac:dyDescent="0.2">
      <c r="A3370" s="88" t="s">
        <v>18454</v>
      </c>
      <c r="B3370" t="e">
        <v>#N/A</v>
      </c>
      <c r="C3370" t="s">
        <v>10378</v>
      </c>
      <c r="D3370" t="s">
        <v>8809</v>
      </c>
      <c r="E3370" t="s">
        <v>8810</v>
      </c>
      <c r="F3370" s="8" t="s">
        <v>9310</v>
      </c>
      <c r="G3370" s="8" t="s">
        <v>8957</v>
      </c>
      <c r="H3370" s="8" t="s">
        <v>9183</v>
      </c>
      <c r="I3370" s="8" t="s">
        <v>8984</v>
      </c>
      <c r="J3370" s="8" t="s">
        <v>8949</v>
      </c>
      <c r="K3370" s="8" t="s">
        <v>10381</v>
      </c>
      <c r="L3370" s="8" t="s">
        <v>9133</v>
      </c>
      <c r="M3370" s="8">
        <v>19276</v>
      </c>
      <c r="N3370" s="8" t="s">
        <v>8953</v>
      </c>
      <c r="O3370" s="8" t="s">
        <v>8989</v>
      </c>
      <c r="P3370" s="1" t="s">
        <v>8955</v>
      </c>
      <c r="Q3370" s="1" t="s">
        <v>8956</v>
      </c>
      <c r="R3370" s="1" t="s">
        <v>8957</v>
      </c>
      <c r="S3370" s="1" t="s">
        <v>8958</v>
      </c>
      <c r="T3370" s="1" t="s">
        <v>8811</v>
      </c>
      <c r="U3370" s="1" t="s">
        <v>17</v>
      </c>
      <c r="V3370" s="1" t="s">
        <v>2003</v>
      </c>
      <c r="W3370" s="1"/>
    </row>
    <row r="3371" spans="1:23" x14ac:dyDescent="0.2">
      <c r="A3371" s="88" t="s">
        <v>18455</v>
      </c>
      <c r="B3371" t="e">
        <v>#N/A</v>
      </c>
      <c r="C3371" t="s">
        <v>10957</v>
      </c>
      <c r="D3371" t="s">
        <v>8812</v>
      </c>
      <c r="E3371" t="s">
        <v>8813</v>
      </c>
      <c r="F3371" s="8" t="s">
        <v>9010</v>
      </c>
      <c r="G3371" s="8" t="s">
        <v>8957</v>
      </c>
      <c r="H3371" s="8" t="s">
        <v>9183</v>
      </c>
      <c r="I3371" s="8" t="s">
        <v>8948</v>
      </c>
      <c r="J3371" s="8" t="s">
        <v>9155</v>
      </c>
      <c r="K3371" s="8" t="s">
        <v>9036</v>
      </c>
      <c r="L3371" s="8" t="s">
        <v>9157</v>
      </c>
      <c r="M3371" s="8">
        <v>31</v>
      </c>
      <c r="N3371" s="8" t="s">
        <v>9059</v>
      </c>
      <c r="O3371" s="8" t="s">
        <v>8989</v>
      </c>
      <c r="P3371" s="1" t="s">
        <v>9182</v>
      </c>
      <c r="Q3371" s="1" t="s">
        <v>8956</v>
      </c>
      <c r="R3371" s="1" t="s">
        <v>8957</v>
      </c>
      <c r="S3371" s="1" t="s">
        <v>8975</v>
      </c>
      <c r="T3371" s="1" t="s">
        <v>8814</v>
      </c>
      <c r="U3371" s="1" t="s">
        <v>11</v>
      </c>
      <c r="V3371" s="1" t="s">
        <v>46</v>
      </c>
      <c r="W3371" s="1"/>
    </row>
    <row r="3372" spans="1:23" x14ac:dyDescent="0.2">
      <c r="A3372" s="88" t="s">
        <v>18456</v>
      </c>
      <c r="B3372" t="e">
        <v>#N/A</v>
      </c>
      <c r="C3372" t="e">
        <v>#N/A</v>
      </c>
      <c r="D3372" t="s">
        <v>8815</v>
      </c>
      <c r="E3372" t="s">
        <v>8816</v>
      </c>
      <c r="F3372" s="8" t="s">
        <v>18502</v>
      </c>
      <c r="G3372" s="8" t="s">
        <v>8974</v>
      </c>
      <c r="H3372" s="8" t="s">
        <v>9061</v>
      </c>
      <c r="I3372" s="8" t="s">
        <v>20712</v>
      </c>
      <c r="J3372" s="8" t="s">
        <v>8949</v>
      </c>
      <c r="K3372" s="8" t="s">
        <v>9036</v>
      </c>
      <c r="L3372" s="8" t="s">
        <v>9076</v>
      </c>
      <c r="M3372" s="8">
        <f>(3750+3000)*2</f>
        <v>13500</v>
      </c>
      <c r="N3372" s="8" t="s">
        <v>8953</v>
      </c>
      <c r="O3372" s="8" t="s">
        <v>8954</v>
      </c>
      <c r="P3372" s="1" t="e">
        <v>#N/A</v>
      </c>
      <c r="Q3372" s="1" t="e">
        <v>#N/A</v>
      </c>
      <c r="R3372" s="1">
        <f t="shared" ref="R3372:R3376" si="980">1+LEN(T3372)-LEN(SUBSTITUTE(T3372,",",))</f>
        <v>7</v>
      </c>
      <c r="S3372" s="1" t="str">
        <f t="shared" ref="S3372:S3376" si="981">IF(R3372&gt;4,IF(R3372&lt;8,"4-7",IF(R3372&gt;7,"&gt;7")),"&lt;4")</f>
        <v>4-7</v>
      </c>
      <c r="T3372" s="1" t="s">
        <v>20507</v>
      </c>
      <c r="U3372" s="1" t="s">
        <v>17</v>
      </c>
      <c r="V3372" s="1" t="s">
        <v>93</v>
      </c>
      <c r="W3372" s="1"/>
    </row>
    <row r="3373" spans="1:23" x14ac:dyDescent="0.2">
      <c r="A3373" s="88" t="s">
        <v>18457</v>
      </c>
      <c r="B3373" t="e">
        <v>#N/A</v>
      </c>
      <c r="C3373" t="e">
        <v>#N/A</v>
      </c>
      <c r="D3373" t="s">
        <v>8817</v>
      </c>
      <c r="E3373" t="s">
        <v>8818</v>
      </c>
      <c r="F3373" s="8" t="s">
        <v>18502</v>
      </c>
      <c r="G3373" s="8" t="s">
        <v>8974</v>
      </c>
      <c r="H3373" s="8" t="s">
        <v>8959</v>
      </c>
      <c r="I3373" s="8" t="s">
        <v>9100</v>
      </c>
      <c r="J3373" s="8" t="s">
        <v>8949</v>
      </c>
      <c r="K3373" s="8" t="s">
        <v>18497</v>
      </c>
      <c r="L3373" s="8" t="s">
        <v>8951</v>
      </c>
      <c r="M3373" s="8">
        <v>266</v>
      </c>
      <c r="N3373" s="8" t="s">
        <v>9059</v>
      </c>
      <c r="O3373" s="8" t="s">
        <v>8989</v>
      </c>
      <c r="P3373" s="1" t="e">
        <v>#N/A</v>
      </c>
      <c r="Q3373" s="1" t="e">
        <v>#N/A</v>
      </c>
      <c r="R3373" s="1">
        <f t="shared" si="980"/>
        <v>11</v>
      </c>
      <c r="S3373" s="1" t="str">
        <f t="shared" si="981"/>
        <v>&gt;7</v>
      </c>
      <c r="T3373" s="1" t="s">
        <v>20707</v>
      </c>
      <c r="U3373" s="1" t="s">
        <v>7</v>
      </c>
      <c r="V3373" s="1" t="s">
        <v>180</v>
      </c>
      <c r="W3373" s="1"/>
    </row>
    <row r="3374" spans="1:23" x14ac:dyDescent="0.2">
      <c r="A3374" s="88" t="s">
        <v>21133</v>
      </c>
      <c r="B3374" t="e">
        <v>#N/A</v>
      </c>
      <c r="C3374" t="e">
        <v>#N/A</v>
      </c>
      <c r="D3374" t="s">
        <v>8819</v>
      </c>
      <c r="E3374" t="s">
        <v>8820</v>
      </c>
      <c r="F3374" s="8" t="s">
        <v>18502</v>
      </c>
      <c r="G3374" s="8" t="s">
        <v>8957</v>
      </c>
      <c r="H3374" s="8" t="s">
        <v>8959</v>
      </c>
      <c r="I3374" s="8" t="s">
        <v>8948</v>
      </c>
      <c r="J3374" s="8" t="s">
        <v>8971</v>
      </c>
      <c r="K3374" s="8" t="s">
        <v>20736</v>
      </c>
      <c r="L3374" s="8" t="e">
        <v>#N/A</v>
      </c>
      <c r="M3374" s="8">
        <v>8021</v>
      </c>
      <c r="N3374" s="8" t="s">
        <v>8953</v>
      </c>
      <c r="O3374" s="8" t="s">
        <v>8989</v>
      </c>
      <c r="P3374" s="1" t="e">
        <v>#N/A</v>
      </c>
      <c r="Q3374" s="1" t="e">
        <v>#N/A</v>
      </c>
      <c r="R3374" s="1">
        <f t="shared" si="980"/>
        <v>6</v>
      </c>
      <c r="S3374" s="1" t="str">
        <f t="shared" si="981"/>
        <v>4-7</v>
      </c>
      <c r="T3374" s="1" t="s">
        <v>20508</v>
      </c>
      <c r="U3374" s="1" t="s">
        <v>17</v>
      </c>
      <c r="V3374" s="1" t="s">
        <v>87</v>
      </c>
      <c r="W3374" s="1"/>
    </row>
    <row r="3375" spans="1:23" x14ac:dyDescent="0.2">
      <c r="A3375" s="88" t="s">
        <v>18458</v>
      </c>
      <c r="B3375" t="e">
        <v>#N/A</v>
      </c>
      <c r="C3375" t="e">
        <v>#N/A</v>
      </c>
      <c r="D3375" t="s">
        <v>8821</v>
      </c>
      <c r="E3375" t="s">
        <v>8822</v>
      </c>
      <c r="F3375" s="8" t="s">
        <v>18502</v>
      </c>
      <c r="G3375" s="8" t="s">
        <v>9060</v>
      </c>
      <c r="H3375" s="8" t="s">
        <v>8959</v>
      </c>
      <c r="I3375" s="8" t="s">
        <v>9035</v>
      </c>
      <c r="J3375" s="8" t="s">
        <v>8998</v>
      </c>
      <c r="K3375" s="8" t="e">
        <v>#N/A</v>
      </c>
      <c r="L3375" s="8" t="e">
        <v>#N/A</v>
      </c>
      <c r="M3375" s="8">
        <v>888</v>
      </c>
      <c r="N3375" s="8" t="s">
        <v>9059</v>
      </c>
      <c r="O3375" s="8" t="s">
        <v>8989</v>
      </c>
      <c r="P3375" s="1" t="e">
        <v>#N/A</v>
      </c>
      <c r="Q3375" s="1" t="e">
        <v>#N/A</v>
      </c>
      <c r="R3375" s="1">
        <f t="shared" si="980"/>
        <v>5</v>
      </c>
      <c r="S3375" s="1" t="str">
        <f t="shared" si="981"/>
        <v>4-7</v>
      </c>
      <c r="T3375" s="1" t="s">
        <v>20509</v>
      </c>
      <c r="U3375" s="1" t="s">
        <v>252</v>
      </c>
      <c r="V3375" s="1" t="s">
        <v>126</v>
      </c>
      <c r="W3375" s="1"/>
    </row>
    <row r="3376" spans="1:23" x14ac:dyDescent="0.2">
      <c r="A3376" s="88" t="s">
        <v>18459</v>
      </c>
      <c r="B3376" t="e">
        <v>#N/A</v>
      </c>
      <c r="C3376" t="e">
        <v>#N/A</v>
      </c>
      <c r="D3376" t="s">
        <v>8823</v>
      </c>
      <c r="E3376" t="s">
        <v>8824</v>
      </c>
      <c r="F3376" s="8" t="s">
        <v>18502</v>
      </c>
      <c r="G3376" s="8" t="s">
        <v>9060</v>
      </c>
      <c r="H3376" s="8" t="s">
        <v>8959</v>
      </c>
      <c r="I3376" s="8" t="s">
        <v>9035</v>
      </c>
      <c r="J3376" s="8" t="s">
        <v>9155</v>
      </c>
      <c r="K3376" s="8" t="s">
        <v>21131</v>
      </c>
      <c r="L3376" s="8" t="s">
        <v>9076</v>
      </c>
      <c r="M3376" s="8">
        <f>534+77074</f>
        <v>77608</v>
      </c>
      <c r="N3376" s="8" t="s">
        <v>8953</v>
      </c>
      <c r="O3376" s="8" t="s">
        <v>8954</v>
      </c>
      <c r="P3376" s="1" t="e">
        <v>#N/A</v>
      </c>
      <c r="Q3376" s="1" t="e">
        <v>#N/A</v>
      </c>
      <c r="R3376" s="1">
        <f t="shared" si="980"/>
        <v>7</v>
      </c>
      <c r="S3376" s="1" t="str">
        <f t="shared" si="981"/>
        <v>4-7</v>
      </c>
      <c r="T3376" s="1" t="s">
        <v>20510</v>
      </c>
      <c r="U3376" s="1" t="s">
        <v>17</v>
      </c>
      <c r="V3376" s="1" t="s">
        <v>921</v>
      </c>
      <c r="W3376" s="1"/>
    </row>
    <row r="3377" spans="1:23" x14ac:dyDescent="0.2">
      <c r="A3377" s="88" t="s">
        <v>18460</v>
      </c>
      <c r="B3377" t="e">
        <v>#N/A</v>
      </c>
      <c r="C3377" t="s">
        <v>12438</v>
      </c>
      <c r="D3377" t="s">
        <v>8825</v>
      </c>
      <c r="E3377" t="s">
        <v>8826</v>
      </c>
      <c r="F3377" s="8" t="s">
        <v>9010</v>
      </c>
      <c r="G3377" s="8" t="s">
        <v>8959</v>
      </c>
      <c r="H3377" s="8" t="s">
        <v>9183</v>
      </c>
      <c r="I3377" s="8" t="s">
        <v>9092</v>
      </c>
      <c r="J3377" s="8" t="s">
        <v>8949</v>
      </c>
      <c r="K3377" s="8" t="s">
        <v>9018</v>
      </c>
      <c r="L3377" s="8" t="s">
        <v>8973</v>
      </c>
      <c r="M3377" s="8">
        <v>20</v>
      </c>
      <c r="N3377" s="8" t="s">
        <v>9059</v>
      </c>
      <c r="O3377" s="8" t="s">
        <v>8989</v>
      </c>
      <c r="P3377" s="1" t="s">
        <v>8955</v>
      </c>
      <c r="Q3377" s="1" t="s">
        <v>8956</v>
      </c>
      <c r="R3377" s="1" t="s">
        <v>8959</v>
      </c>
      <c r="S3377" s="1" t="s">
        <v>8958</v>
      </c>
      <c r="T3377" s="1" t="s">
        <v>8827</v>
      </c>
      <c r="U3377" s="1" t="s">
        <v>11</v>
      </c>
      <c r="V3377" s="1" t="s">
        <v>161</v>
      </c>
      <c r="W3377" s="1"/>
    </row>
    <row r="3378" spans="1:23" x14ac:dyDescent="0.2">
      <c r="A3378" s="89" t="s">
        <v>8828</v>
      </c>
      <c r="B3378" t="e">
        <v>#N/A</v>
      </c>
      <c r="C3378" t="e">
        <v>#N/A</v>
      </c>
      <c r="D3378" t="s">
        <v>8829</v>
      </c>
      <c r="E3378" t="s">
        <v>8830</v>
      </c>
      <c r="F3378" s="8" t="e">
        <v>#N/A</v>
      </c>
      <c r="G3378" s="8" t="e">
        <v>#N/A</v>
      </c>
      <c r="H3378" s="8" t="e">
        <v>#N/A</v>
      </c>
      <c r="I3378" s="8" t="e">
        <v>#N/A</v>
      </c>
      <c r="J3378" s="8" t="e">
        <v>#N/A</v>
      </c>
      <c r="K3378" s="8" t="e">
        <v>#N/A</v>
      </c>
      <c r="L3378" s="8" t="e">
        <v>#N/A</v>
      </c>
      <c r="M3378" s="8" t="e">
        <v>#N/A</v>
      </c>
      <c r="N3378" s="8" t="e">
        <v>#N/A</v>
      </c>
      <c r="O3378" s="8" t="e">
        <v>#N/A</v>
      </c>
      <c r="P3378" s="1" t="e">
        <v>#N/A</v>
      </c>
      <c r="Q3378" s="1" t="e">
        <v>#N/A</v>
      </c>
      <c r="R3378" s="1">
        <f t="shared" ref="R3378:R3381" si="982">1+LEN(T3378)-LEN(SUBSTITUTE(T3378,",",))</f>
        <v>9</v>
      </c>
      <c r="S3378" s="1" t="str">
        <f t="shared" ref="S3378:S3381" si="983">IF(R3378&gt;4,IF(R3378&lt;8,"4-7",IF(R3378&gt;7,"&gt;7")),"&lt;4")</f>
        <v>&gt;7</v>
      </c>
      <c r="T3378" s="1" t="s">
        <v>20511</v>
      </c>
      <c r="U3378" s="1" t="s">
        <v>7</v>
      </c>
      <c r="V3378" s="1" t="s">
        <v>4070</v>
      </c>
      <c r="W3378" s="1"/>
    </row>
    <row r="3379" spans="1:23" x14ac:dyDescent="0.2">
      <c r="A3379" s="89" t="s">
        <v>8831</v>
      </c>
      <c r="B3379" t="e">
        <v>#N/A</v>
      </c>
      <c r="C3379" t="e">
        <v>#N/A</v>
      </c>
      <c r="D3379" t="s">
        <v>8832</v>
      </c>
      <c r="E3379" t="s">
        <v>8833</v>
      </c>
      <c r="F3379" s="8" t="e">
        <v>#N/A</v>
      </c>
      <c r="G3379" s="8" t="e">
        <v>#N/A</v>
      </c>
      <c r="H3379" s="8" t="e">
        <v>#N/A</v>
      </c>
      <c r="I3379" s="8" t="e">
        <v>#N/A</v>
      </c>
      <c r="J3379" s="8" t="e">
        <v>#N/A</v>
      </c>
      <c r="K3379" s="8" t="e">
        <v>#N/A</v>
      </c>
      <c r="L3379" s="8" t="e">
        <v>#N/A</v>
      </c>
      <c r="M3379" s="8" t="e">
        <v>#N/A</v>
      </c>
      <c r="N3379" s="8" t="e">
        <v>#N/A</v>
      </c>
      <c r="O3379" s="8" t="e">
        <v>#N/A</v>
      </c>
      <c r="P3379" s="1" t="e">
        <v>#N/A</v>
      </c>
      <c r="Q3379" s="1" t="e">
        <v>#N/A</v>
      </c>
      <c r="R3379" s="1">
        <f t="shared" si="982"/>
        <v>6</v>
      </c>
      <c r="S3379" s="1" t="str">
        <f t="shared" si="983"/>
        <v>4-7</v>
      </c>
      <c r="T3379" s="1" t="s">
        <v>20512</v>
      </c>
      <c r="U3379" s="1" t="s">
        <v>17</v>
      </c>
      <c r="V3379" s="1" t="s">
        <v>4741</v>
      </c>
      <c r="W3379" s="1"/>
    </row>
    <row r="3380" spans="1:23" x14ac:dyDescent="0.2">
      <c r="A3380" s="88" t="s">
        <v>18461</v>
      </c>
      <c r="B3380" t="e">
        <v>#N/A</v>
      </c>
      <c r="C3380" t="e">
        <v>#N/A</v>
      </c>
      <c r="D3380" t="s">
        <v>8834</v>
      </c>
      <c r="E3380" t="s">
        <v>8835</v>
      </c>
      <c r="F3380" s="8" t="s">
        <v>9310</v>
      </c>
      <c r="G3380" s="8" t="s">
        <v>9060</v>
      </c>
      <c r="H3380" s="8" t="s">
        <v>8959</v>
      </c>
      <c r="I3380" s="8" t="s">
        <v>9100</v>
      </c>
      <c r="J3380" s="8" t="s">
        <v>8949</v>
      </c>
      <c r="K3380" s="8" t="s">
        <v>10492</v>
      </c>
      <c r="L3380" s="8" t="s">
        <v>8973</v>
      </c>
      <c r="M3380" s="8">
        <v>100</v>
      </c>
      <c r="N3380" s="8" t="s">
        <v>9059</v>
      </c>
      <c r="O3380" s="8" t="s">
        <v>8989</v>
      </c>
      <c r="P3380" s="1" t="e">
        <v>#N/A</v>
      </c>
      <c r="Q3380" s="1" t="e">
        <v>#N/A</v>
      </c>
      <c r="R3380" s="1">
        <f t="shared" si="982"/>
        <v>4</v>
      </c>
      <c r="S3380" s="1" t="str">
        <f t="shared" si="983"/>
        <v>&lt;4</v>
      </c>
      <c r="T3380" s="1" t="s">
        <v>20513</v>
      </c>
      <c r="U3380" s="1" t="s">
        <v>7</v>
      </c>
      <c r="V3380" s="1" t="s">
        <v>467</v>
      </c>
      <c r="W3380" s="1"/>
    </row>
    <row r="3381" spans="1:23" x14ac:dyDescent="0.2">
      <c r="A3381" s="88" t="s">
        <v>18462</v>
      </c>
      <c r="B3381" t="e">
        <v>#N/A</v>
      </c>
      <c r="C3381" t="e">
        <v>#N/A</v>
      </c>
      <c r="D3381" t="s">
        <v>8836</v>
      </c>
      <c r="E3381" t="s">
        <v>8837</v>
      </c>
      <c r="F3381" s="8" t="s">
        <v>9310</v>
      </c>
      <c r="G3381" s="8" t="s">
        <v>8957</v>
      </c>
      <c r="H3381" s="8" t="s">
        <v>8959</v>
      </c>
      <c r="I3381" s="8" t="s">
        <v>9100</v>
      </c>
      <c r="J3381" s="8" t="s">
        <v>8998</v>
      </c>
      <c r="K3381" s="8" t="s">
        <v>18497</v>
      </c>
      <c r="L3381" s="8" t="s">
        <v>9076</v>
      </c>
      <c r="M3381" s="8">
        <f>24*8*30</f>
        <v>5760</v>
      </c>
      <c r="N3381" s="8" t="s">
        <v>8953</v>
      </c>
      <c r="O3381" s="8" t="s">
        <v>8989</v>
      </c>
      <c r="P3381" s="1" t="e">
        <v>#N/A</v>
      </c>
      <c r="Q3381" s="1" t="e">
        <v>#N/A</v>
      </c>
      <c r="R3381" s="1">
        <f t="shared" si="982"/>
        <v>10</v>
      </c>
      <c r="S3381" s="1" t="str">
        <f t="shared" si="983"/>
        <v>&gt;7</v>
      </c>
      <c r="T3381" s="1" t="s">
        <v>20514</v>
      </c>
      <c r="U3381" s="1" t="s">
        <v>7</v>
      </c>
      <c r="V3381" s="1" t="s">
        <v>64</v>
      </c>
      <c r="W3381" s="1"/>
    </row>
    <row r="3382" spans="1:23" x14ac:dyDescent="0.2">
      <c r="A3382" s="88" t="s">
        <v>18463</v>
      </c>
      <c r="B3382" t="e">
        <v>#N/A</v>
      </c>
      <c r="C3382" t="s">
        <v>9032</v>
      </c>
      <c r="D3382" t="s">
        <v>8838</v>
      </c>
      <c r="E3382" t="s">
        <v>8839</v>
      </c>
      <c r="F3382" s="8" t="s">
        <v>9310</v>
      </c>
      <c r="G3382" s="8" t="s">
        <v>8957</v>
      </c>
      <c r="H3382" s="8" t="s">
        <v>8959</v>
      </c>
      <c r="I3382" s="8" t="s">
        <v>9035</v>
      </c>
      <c r="J3382" s="8" t="s">
        <v>8998</v>
      </c>
      <c r="K3382" s="8" t="s">
        <v>9036</v>
      </c>
      <c r="L3382" s="8" t="s">
        <v>8951</v>
      </c>
      <c r="M3382" s="8">
        <v>793062</v>
      </c>
      <c r="N3382" s="8" t="s">
        <v>8953</v>
      </c>
      <c r="O3382" s="8" t="s">
        <v>8954</v>
      </c>
      <c r="P3382" s="1" t="s">
        <v>8955</v>
      </c>
      <c r="Q3382" s="1" t="s">
        <v>8956</v>
      </c>
      <c r="R3382" s="1" t="s">
        <v>8957</v>
      </c>
      <c r="S3382" s="1" t="s">
        <v>8975</v>
      </c>
      <c r="T3382" s="1" t="s">
        <v>8840</v>
      </c>
      <c r="U3382" s="1" t="s">
        <v>7</v>
      </c>
      <c r="V3382" s="1" t="s">
        <v>27</v>
      </c>
      <c r="W3382" s="1"/>
    </row>
    <row r="3383" spans="1:23" x14ac:dyDescent="0.2">
      <c r="A3383" s="88" t="s">
        <v>18464</v>
      </c>
      <c r="B3383" t="e">
        <v>#N/A</v>
      </c>
      <c r="C3383" t="e">
        <v>#N/A</v>
      </c>
      <c r="D3383" t="s">
        <v>8841</v>
      </c>
      <c r="E3383" t="s">
        <v>8842</v>
      </c>
      <c r="F3383" s="8" t="s">
        <v>9310</v>
      </c>
      <c r="G3383" s="8" t="s">
        <v>8957</v>
      </c>
      <c r="H3383" s="8" t="s">
        <v>8959</v>
      </c>
      <c r="I3383" s="8" t="s">
        <v>9100</v>
      </c>
      <c r="J3383" s="8" t="s">
        <v>9155</v>
      </c>
      <c r="K3383" s="8" t="s">
        <v>21410</v>
      </c>
      <c r="L3383" s="8" t="s">
        <v>21060</v>
      </c>
      <c r="M3383" s="8">
        <f>1486+285*4</f>
        <v>2626</v>
      </c>
      <c r="N3383" s="8" t="s">
        <v>8953</v>
      </c>
      <c r="O3383" s="8" t="s">
        <v>8954</v>
      </c>
      <c r="P3383" s="1" t="e">
        <v>#N/A</v>
      </c>
      <c r="Q3383" s="1" t="e">
        <v>#N/A</v>
      </c>
      <c r="R3383" s="1">
        <f t="shared" ref="R3383:R3387" si="984">1+LEN(T3383)-LEN(SUBSTITUTE(T3383,",",))</f>
        <v>6</v>
      </c>
      <c r="S3383" s="1" t="str">
        <f t="shared" ref="S3383:S3387" si="985">IF(R3383&gt;4,IF(R3383&lt;8,"4-7",IF(R3383&gt;7,"&gt;7")),"&lt;4")</f>
        <v>4-7</v>
      </c>
      <c r="T3383" s="1" t="s">
        <v>20515</v>
      </c>
      <c r="U3383" s="1" t="s">
        <v>7</v>
      </c>
      <c r="V3383" s="1" t="s">
        <v>126</v>
      </c>
      <c r="W3383" s="1"/>
    </row>
    <row r="3384" spans="1:23" x14ac:dyDescent="0.2">
      <c r="A3384" s="88" t="s">
        <v>18465</v>
      </c>
      <c r="B3384" t="e">
        <v>#N/A</v>
      </c>
      <c r="C3384" t="e">
        <v>#N/A</v>
      </c>
      <c r="D3384" t="s">
        <v>8843</v>
      </c>
      <c r="E3384" t="s">
        <v>8844</v>
      </c>
      <c r="F3384" s="8" t="s">
        <v>18502</v>
      </c>
      <c r="G3384" s="8" t="s">
        <v>8959</v>
      </c>
      <c r="H3384" s="8" t="s">
        <v>9061</v>
      </c>
      <c r="I3384" s="8" t="s">
        <v>9035</v>
      </c>
      <c r="J3384" s="8" t="s">
        <v>9308</v>
      </c>
      <c r="K3384" s="8" t="s">
        <v>10525</v>
      </c>
      <c r="L3384" s="8" t="s">
        <v>8987</v>
      </c>
      <c r="M3384" s="8">
        <v>131</v>
      </c>
      <c r="N3384" s="8" t="s">
        <v>8953</v>
      </c>
      <c r="O3384" s="8" t="s">
        <v>8989</v>
      </c>
      <c r="P3384" s="1" t="e">
        <v>#N/A</v>
      </c>
      <c r="Q3384" s="1" t="e">
        <v>#N/A</v>
      </c>
      <c r="R3384" s="1">
        <f t="shared" si="984"/>
        <v>6</v>
      </c>
      <c r="S3384" s="1" t="str">
        <f t="shared" si="985"/>
        <v>4-7</v>
      </c>
      <c r="T3384" s="1" t="s">
        <v>20708</v>
      </c>
      <c r="U3384" s="1" t="s">
        <v>7</v>
      </c>
      <c r="V3384" s="1" t="s">
        <v>110</v>
      </c>
      <c r="W3384" s="1"/>
    </row>
    <row r="3385" spans="1:23" x14ac:dyDescent="0.2">
      <c r="A3385" s="92">
        <v>1</v>
      </c>
      <c r="B3385" t="e">
        <v>#N/A</v>
      </c>
      <c r="C3385" t="e">
        <v>#N/A</v>
      </c>
      <c r="D3385" t="s">
        <v>8845</v>
      </c>
      <c r="E3385" t="s">
        <v>8846</v>
      </c>
      <c r="F3385" s="8" t="e">
        <v>#N/A</v>
      </c>
      <c r="G3385" s="8" t="e">
        <v>#N/A</v>
      </c>
      <c r="H3385" s="8" t="e">
        <v>#N/A</v>
      </c>
      <c r="I3385" s="8" t="e">
        <v>#N/A</v>
      </c>
      <c r="J3385" s="8" t="e">
        <v>#N/A</v>
      </c>
      <c r="K3385" s="8" t="e">
        <v>#N/A</v>
      </c>
      <c r="L3385" s="8" t="e">
        <v>#N/A</v>
      </c>
      <c r="M3385" s="8" t="e">
        <v>#N/A</v>
      </c>
      <c r="N3385" s="8" t="e">
        <v>#N/A</v>
      </c>
      <c r="O3385" s="8" t="e">
        <v>#N/A</v>
      </c>
      <c r="P3385" s="1" t="e">
        <v>#N/A</v>
      </c>
      <c r="Q3385" s="1" t="e">
        <v>#N/A</v>
      </c>
      <c r="R3385" s="1">
        <f t="shared" si="984"/>
        <v>5</v>
      </c>
      <c r="S3385" s="1" t="str">
        <f t="shared" si="985"/>
        <v>4-7</v>
      </c>
      <c r="T3385" s="1" t="s">
        <v>20516</v>
      </c>
      <c r="U3385" s="1" t="s">
        <v>4</v>
      </c>
      <c r="V3385" s="1"/>
      <c r="W3385" s="1"/>
    </row>
    <row r="3386" spans="1:23" x14ac:dyDescent="0.2">
      <c r="A3386" s="88" t="s">
        <v>18466</v>
      </c>
      <c r="B3386" t="e">
        <v>#N/A</v>
      </c>
      <c r="C3386" t="e">
        <v>#N/A</v>
      </c>
      <c r="D3386" t="s">
        <v>8847</v>
      </c>
      <c r="E3386" t="s">
        <v>8848</v>
      </c>
      <c r="F3386" s="8" t="s">
        <v>9310</v>
      </c>
      <c r="G3386" s="8" t="s">
        <v>8957</v>
      </c>
      <c r="H3386" s="8" t="s">
        <v>8959</v>
      </c>
      <c r="I3386" s="8" t="s">
        <v>9075</v>
      </c>
      <c r="J3386" s="8" t="s">
        <v>8949</v>
      </c>
      <c r="K3386" s="8" t="s">
        <v>10525</v>
      </c>
      <c r="L3386" s="8" t="s">
        <v>8973</v>
      </c>
      <c r="M3386" s="8">
        <f>1324+778</f>
        <v>2102</v>
      </c>
      <c r="N3386" s="8" t="s">
        <v>8953</v>
      </c>
      <c r="O3386" s="8" t="s">
        <v>8954</v>
      </c>
      <c r="P3386" s="1" t="e">
        <v>#N/A</v>
      </c>
      <c r="Q3386" s="1" t="e">
        <v>#N/A</v>
      </c>
      <c r="R3386" s="1">
        <f t="shared" si="984"/>
        <v>3</v>
      </c>
      <c r="S3386" s="1" t="str">
        <f t="shared" si="985"/>
        <v>&lt;4</v>
      </c>
      <c r="T3386" s="1" t="s">
        <v>20517</v>
      </c>
      <c r="U3386" s="1" t="s">
        <v>7</v>
      </c>
      <c r="V3386" s="1" t="s">
        <v>61</v>
      </c>
      <c r="W3386" s="1"/>
    </row>
    <row r="3387" spans="1:23" x14ac:dyDescent="0.2">
      <c r="A3387" s="94" t="s">
        <v>18467</v>
      </c>
      <c r="B3387" t="e">
        <v>#N/A</v>
      </c>
      <c r="C3387" t="e">
        <v>#N/A</v>
      </c>
      <c r="D3387" t="s">
        <v>8849</v>
      </c>
      <c r="E3387" t="s">
        <v>8850</v>
      </c>
      <c r="F3387" s="8" t="e">
        <v>#N/A</v>
      </c>
      <c r="G3387" s="8" t="e">
        <v>#N/A</v>
      </c>
      <c r="H3387" s="8" t="e">
        <v>#N/A</v>
      </c>
      <c r="I3387" s="8" t="e">
        <v>#N/A</v>
      </c>
      <c r="J3387" s="8" t="e">
        <v>#N/A</v>
      </c>
      <c r="K3387" s="8" t="e">
        <v>#N/A</v>
      </c>
      <c r="L3387" s="8" t="e">
        <v>#N/A</v>
      </c>
      <c r="M3387" s="8" t="e">
        <v>#N/A</v>
      </c>
      <c r="N3387" s="8" t="e">
        <v>#N/A</v>
      </c>
      <c r="O3387" s="8" t="e">
        <v>#N/A</v>
      </c>
      <c r="P3387" s="1" t="e">
        <v>#N/A</v>
      </c>
      <c r="Q3387" s="1" t="e">
        <v>#N/A</v>
      </c>
      <c r="R3387" s="1">
        <f t="shared" si="984"/>
        <v>6</v>
      </c>
      <c r="S3387" s="1" t="str">
        <f t="shared" si="985"/>
        <v>4-7</v>
      </c>
      <c r="T3387" s="1" t="s">
        <v>20518</v>
      </c>
      <c r="U3387" s="1" t="s">
        <v>17</v>
      </c>
      <c r="V3387" s="1" t="s">
        <v>514</v>
      </c>
      <c r="W3387" s="1"/>
    </row>
    <row r="3388" spans="1:23" x14ac:dyDescent="0.2">
      <c r="A3388" s="88" t="s">
        <v>18468</v>
      </c>
      <c r="B3388" t="e">
        <v>#N/A</v>
      </c>
      <c r="C3388" t="s">
        <v>10760</v>
      </c>
      <c r="D3388" t="s">
        <v>8851</v>
      </c>
      <c r="E3388" t="s">
        <v>8852</v>
      </c>
      <c r="F3388" s="8" t="s">
        <v>9010</v>
      </c>
      <c r="G3388" s="8" t="s">
        <v>8974</v>
      </c>
      <c r="H3388" s="8" t="s">
        <v>8959</v>
      </c>
      <c r="I3388" s="8" t="s">
        <v>8948</v>
      </c>
      <c r="J3388" s="8" t="s">
        <v>8998</v>
      </c>
      <c r="K3388" s="8" t="s">
        <v>8972</v>
      </c>
      <c r="L3388" s="8" t="s">
        <v>8973</v>
      </c>
      <c r="M3388" s="8">
        <v>271</v>
      </c>
      <c r="N3388" s="8" t="s">
        <v>8953</v>
      </c>
      <c r="O3388" s="8" t="s">
        <v>8954</v>
      </c>
      <c r="P3388" s="1" t="s">
        <v>8955</v>
      </c>
      <c r="Q3388" s="1" t="s">
        <v>8956</v>
      </c>
      <c r="R3388" s="1" t="s">
        <v>8974</v>
      </c>
      <c r="S3388" s="1" t="s">
        <v>8975</v>
      </c>
      <c r="T3388" s="1" t="s">
        <v>8853</v>
      </c>
      <c r="U3388" s="1" t="s">
        <v>17</v>
      </c>
      <c r="V3388" s="1" t="s">
        <v>93</v>
      </c>
      <c r="W3388" s="1"/>
    </row>
    <row r="3389" spans="1:23" x14ac:dyDescent="0.2">
      <c r="A3389" s="88" t="s">
        <v>18469</v>
      </c>
      <c r="B3389" t="e">
        <v>#N/A</v>
      </c>
      <c r="C3389" t="e">
        <v>#N/A</v>
      </c>
      <c r="D3389" t="s">
        <v>8854</v>
      </c>
      <c r="E3389" t="s">
        <v>8855</v>
      </c>
      <c r="F3389" s="8" t="s">
        <v>9310</v>
      </c>
      <c r="G3389" s="8" t="s">
        <v>8957</v>
      </c>
      <c r="H3389" s="8" t="s">
        <v>8959</v>
      </c>
      <c r="I3389" s="8" t="s">
        <v>9100</v>
      </c>
      <c r="J3389" s="8" t="s">
        <v>9155</v>
      </c>
      <c r="K3389" s="8" t="s">
        <v>21132</v>
      </c>
      <c r="L3389" s="8" t="s">
        <v>21061</v>
      </c>
      <c r="M3389" s="8">
        <v>500</v>
      </c>
      <c r="N3389" s="8" t="s">
        <v>8953</v>
      </c>
      <c r="O3389" s="8" t="s">
        <v>8954</v>
      </c>
      <c r="P3389" s="1" t="e">
        <v>#N/A</v>
      </c>
      <c r="Q3389" s="1" t="e">
        <v>#N/A</v>
      </c>
      <c r="R3389" s="1">
        <f>1+LEN(T3389)-LEN(SUBSTITUTE(T3389,",",))</f>
        <v>5</v>
      </c>
      <c r="S3389" s="1" t="str">
        <f>IF(R3389&gt;4,IF(R3389&lt;8,"4-7",IF(R3389&gt;7,"&gt;7")),"&lt;4")</f>
        <v>4-7</v>
      </c>
      <c r="T3389" s="1" t="s">
        <v>20519</v>
      </c>
      <c r="U3389" s="1" t="s">
        <v>11</v>
      </c>
      <c r="V3389" s="1" t="s">
        <v>210</v>
      </c>
      <c r="W3389" s="1"/>
    </row>
    <row r="3390" spans="1:23" x14ac:dyDescent="0.2">
      <c r="A3390" s="88" t="s">
        <v>18470</v>
      </c>
      <c r="B3390" t="e">
        <v>#N/A</v>
      </c>
      <c r="C3390" t="s">
        <v>9663</v>
      </c>
      <c r="D3390" t="s">
        <v>8856</v>
      </c>
      <c r="E3390" t="s">
        <v>8857</v>
      </c>
      <c r="F3390" s="8" t="s">
        <v>9310</v>
      </c>
      <c r="G3390" s="8" t="s">
        <v>8957</v>
      </c>
      <c r="H3390" s="8" t="s">
        <v>8959</v>
      </c>
      <c r="I3390" s="8" t="s">
        <v>8948</v>
      </c>
      <c r="J3390" s="8" t="s">
        <v>8949</v>
      </c>
      <c r="K3390" s="8" t="s">
        <v>9666</v>
      </c>
      <c r="L3390" s="8" t="s">
        <v>8987</v>
      </c>
      <c r="M3390" s="8">
        <v>181</v>
      </c>
      <c r="N3390" s="8" t="s">
        <v>8953</v>
      </c>
      <c r="O3390" s="8" t="s">
        <v>8954</v>
      </c>
      <c r="P3390" s="1" t="s">
        <v>8955</v>
      </c>
      <c r="Q3390" s="1" t="s">
        <v>8956</v>
      </c>
      <c r="R3390" s="1" t="s">
        <v>8957</v>
      </c>
      <c r="S3390" s="1" t="s">
        <v>8975</v>
      </c>
      <c r="T3390" s="1" t="s">
        <v>8858</v>
      </c>
      <c r="U3390" s="1" t="s">
        <v>17</v>
      </c>
      <c r="V3390" s="1" t="s">
        <v>831</v>
      </c>
      <c r="W3390" s="1"/>
    </row>
    <row r="3391" spans="1:23" x14ac:dyDescent="0.2">
      <c r="A3391" s="88" t="s">
        <v>18471</v>
      </c>
      <c r="B3391" t="e">
        <v>#N/A</v>
      </c>
      <c r="C3391" t="s">
        <v>13716</v>
      </c>
      <c r="D3391" t="s">
        <v>8859</v>
      </c>
      <c r="E3391" t="s">
        <v>8860</v>
      </c>
      <c r="F3391" s="8" t="s">
        <v>9310</v>
      </c>
      <c r="G3391" s="8" t="s">
        <v>9060</v>
      </c>
      <c r="H3391" s="8" t="s">
        <v>9009</v>
      </c>
      <c r="I3391" s="8" t="s">
        <v>9605</v>
      </c>
      <c r="J3391" s="8" t="s">
        <v>9101</v>
      </c>
      <c r="K3391" s="8" t="s">
        <v>13719</v>
      </c>
      <c r="L3391" s="8" t="s">
        <v>9076</v>
      </c>
      <c r="M3391" s="8">
        <v>100</v>
      </c>
      <c r="N3391" s="8" t="s">
        <v>8953</v>
      </c>
      <c r="O3391" s="8" t="s">
        <v>8954</v>
      </c>
      <c r="P3391" s="1" t="s">
        <v>8955</v>
      </c>
      <c r="Q3391" s="1" t="s">
        <v>8956</v>
      </c>
      <c r="R3391" s="1" t="s">
        <v>9060</v>
      </c>
      <c r="S3391" s="1" t="s">
        <v>9103</v>
      </c>
      <c r="T3391" s="1" t="s">
        <v>8861</v>
      </c>
      <c r="U3391" s="1" t="s">
        <v>4</v>
      </c>
      <c r="V3391" s="1" t="s">
        <v>15</v>
      </c>
      <c r="W3391" s="1"/>
    </row>
    <row r="3392" spans="1:23" x14ac:dyDescent="0.2">
      <c r="A3392" s="88" t="s">
        <v>18472</v>
      </c>
      <c r="B3392" t="e">
        <v>#N/A</v>
      </c>
      <c r="C3392" t="s">
        <v>14154</v>
      </c>
      <c r="D3392" t="s">
        <v>8862</v>
      </c>
      <c r="E3392" t="s">
        <v>8863</v>
      </c>
      <c r="F3392" s="8" t="s">
        <v>9310</v>
      </c>
      <c r="G3392" s="8" t="s">
        <v>8957</v>
      </c>
      <c r="H3392" s="8" t="s">
        <v>8959</v>
      </c>
      <c r="I3392" s="8" t="s">
        <v>9075</v>
      </c>
      <c r="J3392" s="8" t="s">
        <v>8949</v>
      </c>
      <c r="K3392" s="8" t="s">
        <v>21462</v>
      </c>
      <c r="L3392" s="8" t="s">
        <v>8951</v>
      </c>
      <c r="M3392" s="8">
        <v>21</v>
      </c>
      <c r="N3392" s="8" t="s">
        <v>9059</v>
      </c>
      <c r="O3392" s="8" t="s">
        <v>8989</v>
      </c>
      <c r="P3392" s="1" t="s">
        <v>8955</v>
      </c>
      <c r="Q3392" s="1" t="s">
        <v>8956</v>
      </c>
      <c r="R3392" s="1" t="s">
        <v>8957</v>
      </c>
      <c r="S3392" s="1" t="s">
        <v>8958</v>
      </c>
      <c r="T3392" s="1" t="s">
        <v>8864</v>
      </c>
      <c r="U3392" s="1" t="s">
        <v>4</v>
      </c>
      <c r="V3392" s="1" t="s">
        <v>93</v>
      </c>
      <c r="W3392" s="1"/>
    </row>
    <row r="3393" spans="1:23" x14ac:dyDescent="0.2">
      <c r="A3393" s="88" t="s">
        <v>18473</v>
      </c>
      <c r="B3393" t="e">
        <v>#N/A</v>
      </c>
      <c r="C3393" t="e">
        <v>#N/A</v>
      </c>
      <c r="D3393" t="s">
        <v>8865</v>
      </c>
      <c r="E3393" t="s">
        <v>8866</v>
      </c>
      <c r="F3393" s="8" t="s">
        <v>9310</v>
      </c>
      <c r="G3393" s="8" t="s">
        <v>8957</v>
      </c>
      <c r="H3393" s="8" t="s">
        <v>8959</v>
      </c>
      <c r="I3393" s="8" t="s">
        <v>9075</v>
      </c>
      <c r="J3393" s="8" t="s">
        <v>8949</v>
      </c>
      <c r="K3393" s="8" t="s">
        <v>10492</v>
      </c>
      <c r="L3393" s="8" t="s">
        <v>8973</v>
      </c>
      <c r="M3393" s="8">
        <f>668+316+432</f>
        <v>1416</v>
      </c>
      <c r="N3393" s="8" t="s">
        <v>8953</v>
      </c>
      <c r="O3393" s="8" t="s">
        <v>8989</v>
      </c>
      <c r="P3393" s="1" t="e">
        <v>#N/A</v>
      </c>
      <c r="Q3393" s="1" t="e">
        <v>#N/A</v>
      </c>
      <c r="R3393" s="1">
        <f t="shared" ref="R3393:R3404" si="986">1+LEN(T3393)-LEN(SUBSTITUTE(T3393,",",))</f>
        <v>7</v>
      </c>
      <c r="S3393" s="1" t="str">
        <f t="shared" ref="S3393:S3404" si="987">IF(R3393&gt;4,IF(R3393&lt;8,"4-7",IF(R3393&gt;7,"&gt;7")),"&lt;4")</f>
        <v>4-7</v>
      </c>
      <c r="T3393" s="1" t="s">
        <v>20520</v>
      </c>
      <c r="U3393" s="1" t="s">
        <v>17</v>
      </c>
      <c r="V3393" s="1" t="s">
        <v>619</v>
      </c>
      <c r="W3393" s="1"/>
    </row>
    <row r="3394" spans="1:23" x14ac:dyDescent="0.2">
      <c r="A3394" s="88" t="s">
        <v>18474</v>
      </c>
      <c r="B3394" t="e">
        <v>#N/A</v>
      </c>
      <c r="C3394" t="e">
        <v>#N/A</v>
      </c>
      <c r="D3394" t="s">
        <v>8867</v>
      </c>
      <c r="E3394" t="s">
        <v>8868</v>
      </c>
      <c r="F3394" s="8" t="e">
        <v>#N/A</v>
      </c>
      <c r="G3394" s="8" t="e">
        <v>#N/A</v>
      </c>
      <c r="H3394" s="8" t="e">
        <v>#N/A</v>
      </c>
      <c r="I3394" s="8" t="e">
        <v>#N/A</v>
      </c>
      <c r="J3394" s="8" t="e">
        <v>#N/A</v>
      </c>
      <c r="K3394" s="8" t="e">
        <v>#N/A</v>
      </c>
      <c r="L3394" s="8" t="e">
        <v>#N/A</v>
      </c>
      <c r="M3394" s="8" t="e">
        <v>#N/A</v>
      </c>
      <c r="N3394" s="8" t="e">
        <v>#N/A</v>
      </c>
      <c r="O3394" s="8" t="e">
        <v>#N/A</v>
      </c>
      <c r="P3394" s="1" t="e">
        <v>#N/A</v>
      </c>
      <c r="Q3394" s="1" t="e">
        <v>#N/A</v>
      </c>
      <c r="R3394" s="1">
        <f t="shared" si="986"/>
        <v>8</v>
      </c>
      <c r="S3394" s="1" t="str">
        <f t="shared" si="987"/>
        <v>&gt;7</v>
      </c>
      <c r="T3394" s="1" t="s">
        <v>20521</v>
      </c>
      <c r="U3394" s="1" t="s">
        <v>252</v>
      </c>
      <c r="V3394" s="1" t="s">
        <v>5702</v>
      </c>
      <c r="W3394" s="1"/>
    </row>
    <row r="3395" spans="1:23" x14ac:dyDescent="0.2">
      <c r="A3395" s="88" t="s">
        <v>18475</v>
      </c>
      <c r="B3395" t="e">
        <v>#N/A</v>
      </c>
      <c r="C3395" t="e">
        <v>#N/A</v>
      </c>
      <c r="D3395" t="s">
        <v>8869</v>
      </c>
      <c r="E3395" t="s">
        <v>8870</v>
      </c>
      <c r="F3395" s="8" t="s">
        <v>18502</v>
      </c>
      <c r="G3395" s="8" t="s">
        <v>8957</v>
      </c>
      <c r="H3395" s="8" t="s">
        <v>9061</v>
      </c>
      <c r="I3395" s="8" t="s">
        <v>9252</v>
      </c>
      <c r="J3395" s="8" t="s">
        <v>8949</v>
      </c>
      <c r="K3395" s="8" t="s">
        <v>21245</v>
      </c>
      <c r="L3395" s="8" t="s">
        <v>8987</v>
      </c>
      <c r="M3395" s="8">
        <v>270</v>
      </c>
      <c r="N3395" s="8" t="s">
        <v>9059</v>
      </c>
      <c r="O3395" s="8" t="s">
        <v>8989</v>
      </c>
      <c r="P3395" s="1" t="e">
        <v>#N/A</v>
      </c>
      <c r="Q3395" s="1" t="e">
        <v>#N/A</v>
      </c>
      <c r="R3395" s="1">
        <f t="shared" si="986"/>
        <v>6</v>
      </c>
      <c r="S3395" s="1" t="str">
        <f t="shared" si="987"/>
        <v>4-7</v>
      </c>
      <c r="T3395" s="1" t="s">
        <v>20522</v>
      </c>
      <c r="U3395" s="1" t="s">
        <v>17</v>
      </c>
      <c r="V3395" s="1" t="s">
        <v>74</v>
      </c>
      <c r="W3395" s="1"/>
    </row>
    <row r="3396" spans="1:23" x14ac:dyDescent="0.2">
      <c r="A3396" s="88" t="s">
        <v>18476</v>
      </c>
      <c r="B3396" t="e">
        <v>#N/A</v>
      </c>
      <c r="C3396" t="e">
        <v>#N/A</v>
      </c>
      <c r="D3396" t="s">
        <v>8871</v>
      </c>
      <c r="E3396" t="s">
        <v>8872</v>
      </c>
      <c r="F3396" s="8" t="s">
        <v>9310</v>
      </c>
      <c r="G3396" s="8" t="s">
        <v>8957</v>
      </c>
      <c r="H3396" s="8" t="s">
        <v>8959</v>
      </c>
      <c r="I3396" s="8" t="s">
        <v>9100</v>
      </c>
      <c r="J3396" s="8" t="s">
        <v>8949</v>
      </c>
      <c r="K3396" s="8" t="s">
        <v>10492</v>
      </c>
      <c r="L3396" s="8" t="s">
        <v>21062</v>
      </c>
      <c r="M3396" s="8">
        <f>30+40+62</f>
        <v>132</v>
      </c>
      <c r="N3396" s="8" t="s">
        <v>8953</v>
      </c>
      <c r="O3396" s="8" t="s">
        <v>8954</v>
      </c>
      <c r="P3396" s="1" t="e">
        <v>#N/A</v>
      </c>
      <c r="Q3396" s="1" t="e">
        <v>#N/A</v>
      </c>
      <c r="R3396" s="1">
        <f t="shared" si="986"/>
        <v>8</v>
      </c>
      <c r="S3396" s="1" t="str">
        <f t="shared" si="987"/>
        <v>&gt;7</v>
      </c>
      <c r="T3396" s="1" t="s">
        <v>20523</v>
      </c>
      <c r="U3396" s="1" t="s">
        <v>7</v>
      </c>
      <c r="V3396" s="1" t="s">
        <v>93</v>
      </c>
      <c r="W3396" s="1"/>
    </row>
    <row r="3397" spans="1:23" x14ac:dyDescent="0.2">
      <c r="A3397" s="88" t="s">
        <v>18477</v>
      </c>
      <c r="B3397" t="e">
        <v>#N/A</v>
      </c>
      <c r="C3397" t="e">
        <v>#N/A</v>
      </c>
      <c r="D3397" t="s">
        <v>8873</v>
      </c>
      <c r="E3397" t="s">
        <v>8874</v>
      </c>
      <c r="F3397" s="8" t="s">
        <v>9310</v>
      </c>
      <c r="G3397" s="8" t="s">
        <v>8957</v>
      </c>
      <c r="H3397" s="8" t="s">
        <v>8959</v>
      </c>
      <c r="I3397" s="8" t="s">
        <v>9100</v>
      </c>
      <c r="J3397" s="8" t="s">
        <v>8949</v>
      </c>
      <c r="K3397" s="8" t="s">
        <v>10492</v>
      </c>
      <c r="L3397" s="8" t="s">
        <v>21062</v>
      </c>
      <c r="M3397" s="8">
        <f>30+40+62</f>
        <v>132</v>
      </c>
      <c r="N3397" s="8" t="s">
        <v>8953</v>
      </c>
      <c r="O3397" s="8" t="s">
        <v>8954</v>
      </c>
      <c r="P3397" s="1" t="e">
        <v>#N/A</v>
      </c>
      <c r="Q3397" s="1" t="e">
        <v>#N/A</v>
      </c>
      <c r="R3397" s="1">
        <f t="shared" si="986"/>
        <v>6</v>
      </c>
      <c r="S3397" s="1" t="str">
        <f t="shared" si="987"/>
        <v>4-7</v>
      </c>
      <c r="T3397" s="1" t="s">
        <v>20524</v>
      </c>
      <c r="U3397" s="1" t="s">
        <v>7</v>
      </c>
      <c r="V3397" s="1" t="s">
        <v>46</v>
      </c>
      <c r="W3397" s="1"/>
    </row>
    <row r="3398" spans="1:23" x14ac:dyDescent="0.2">
      <c r="A3398" s="88" t="s">
        <v>18478</v>
      </c>
      <c r="B3398" t="e">
        <v>#N/A</v>
      </c>
      <c r="C3398" t="e">
        <v>#N/A</v>
      </c>
      <c r="D3398" t="s">
        <v>8875</v>
      </c>
      <c r="E3398" t="s">
        <v>8876</v>
      </c>
      <c r="F3398" s="8" t="s">
        <v>18502</v>
      </c>
      <c r="G3398" s="8" t="s">
        <v>8959</v>
      </c>
      <c r="H3398" s="8" t="s">
        <v>9061</v>
      </c>
      <c r="I3398" s="8" t="s">
        <v>9252</v>
      </c>
      <c r="J3398" s="8" t="s">
        <v>8949</v>
      </c>
      <c r="K3398" s="8" t="s">
        <v>20735</v>
      </c>
      <c r="L3398" s="8" t="s">
        <v>9292</v>
      </c>
      <c r="M3398" s="8">
        <v>131</v>
      </c>
      <c r="N3398" s="8" t="s">
        <v>9059</v>
      </c>
      <c r="O3398" s="8" t="s">
        <v>8989</v>
      </c>
      <c r="P3398" s="1" t="e">
        <v>#N/A</v>
      </c>
      <c r="Q3398" s="1" t="e">
        <v>#N/A</v>
      </c>
      <c r="R3398" s="1">
        <f t="shared" si="986"/>
        <v>7</v>
      </c>
      <c r="S3398" s="1" t="str">
        <f t="shared" si="987"/>
        <v>4-7</v>
      </c>
      <c r="T3398" s="1" t="s">
        <v>20525</v>
      </c>
      <c r="U3398" s="1" t="s">
        <v>17</v>
      </c>
      <c r="V3398" s="1" t="s">
        <v>74</v>
      </c>
      <c r="W3398" s="1"/>
    </row>
    <row r="3399" spans="1:23" x14ac:dyDescent="0.2">
      <c r="A3399" s="88" t="s">
        <v>18479</v>
      </c>
      <c r="B3399" t="e">
        <v>#N/A</v>
      </c>
      <c r="C3399" t="e">
        <v>#N/A</v>
      </c>
      <c r="D3399" t="s">
        <v>8877</v>
      </c>
      <c r="E3399" t="s">
        <v>8878</v>
      </c>
      <c r="F3399" s="8" t="s">
        <v>9310</v>
      </c>
      <c r="G3399" s="8" t="s">
        <v>8957</v>
      </c>
      <c r="H3399" s="8" t="s">
        <v>8959</v>
      </c>
      <c r="I3399" s="8" t="s">
        <v>9154</v>
      </c>
      <c r="J3399" s="8" t="s">
        <v>9155</v>
      </c>
      <c r="K3399" s="8" t="s">
        <v>21345</v>
      </c>
      <c r="L3399" s="8" t="s">
        <v>8973</v>
      </c>
      <c r="M3399" s="8">
        <v>120</v>
      </c>
      <c r="N3399" s="8" t="s">
        <v>8953</v>
      </c>
      <c r="O3399" s="8" t="s">
        <v>8954</v>
      </c>
      <c r="P3399" s="1" t="e">
        <v>#N/A</v>
      </c>
      <c r="Q3399" s="1" t="e">
        <v>#N/A</v>
      </c>
      <c r="R3399" s="1">
        <f t="shared" si="986"/>
        <v>34</v>
      </c>
      <c r="S3399" s="1" t="str">
        <f t="shared" si="987"/>
        <v>&gt;7</v>
      </c>
      <c r="T3399" s="1" t="s">
        <v>20526</v>
      </c>
      <c r="U3399" s="1" t="s">
        <v>17</v>
      </c>
      <c r="V3399" s="1" t="s">
        <v>126</v>
      </c>
      <c r="W3399" s="1"/>
    </row>
    <row r="3400" spans="1:23" x14ac:dyDescent="0.2">
      <c r="A3400" s="88" t="s">
        <v>18480</v>
      </c>
      <c r="B3400" t="e">
        <v>#N/A</v>
      </c>
      <c r="C3400" t="e">
        <v>#N/A</v>
      </c>
      <c r="D3400" t="s">
        <v>8879</v>
      </c>
      <c r="E3400" t="s">
        <v>8880</v>
      </c>
      <c r="F3400" s="8" t="s">
        <v>9310</v>
      </c>
      <c r="G3400" s="8" t="s">
        <v>8957</v>
      </c>
      <c r="H3400" s="8" t="s">
        <v>8959</v>
      </c>
      <c r="I3400" s="8" t="s">
        <v>9252</v>
      </c>
      <c r="J3400" s="8" t="s">
        <v>8971</v>
      </c>
      <c r="K3400" s="8" t="s">
        <v>10525</v>
      </c>
      <c r="L3400" s="8" t="s">
        <v>8987</v>
      </c>
      <c r="M3400" s="8">
        <v>2288</v>
      </c>
      <c r="N3400" s="8" t="s">
        <v>8953</v>
      </c>
      <c r="O3400" s="8" t="s">
        <v>8954</v>
      </c>
      <c r="P3400" s="1" t="e">
        <v>#N/A</v>
      </c>
      <c r="Q3400" s="1" t="e">
        <v>#N/A</v>
      </c>
      <c r="R3400" s="1">
        <f t="shared" si="986"/>
        <v>6</v>
      </c>
      <c r="S3400" s="1" t="str">
        <f t="shared" si="987"/>
        <v>4-7</v>
      </c>
      <c r="T3400" s="1" t="s">
        <v>20527</v>
      </c>
      <c r="U3400" s="1" t="s">
        <v>7</v>
      </c>
      <c r="V3400" s="1" t="s">
        <v>93</v>
      </c>
      <c r="W3400" s="1"/>
    </row>
    <row r="3401" spans="1:23" x14ac:dyDescent="0.2">
      <c r="A3401" s="88" t="s">
        <v>18481</v>
      </c>
      <c r="B3401" t="e">
        <v>#N/A</v>
      </c>
      <c r="C3401" t="e">
        <v>#N/A</v>
      </c>
      <c r="D3401" t="s">
        <v>8881</v>
      </c>
      <c r="E3401" t="s">
        <v>8882</v>
      </c>
      <c r="F3401" s="8" t="s">
        <v>9310</v>
      </c>
      <c r="G3401" s="8" t="s">
        <v>8957</v>
      </c>
      <c r="H3401" s="8" t="s">
        <v>8959</v>
      </c>
      <c r="I3401" s="8" t="s">
        <v>9252</v>
      </c>
      <c r="J3401" s="8" t="s">
        <v>8971</v>
      </c>
      <c r="K3401" s="8" t="s">
        <v>10492</v>
      </c>
      <c r="L3401" s="8" t="s">
        <v>8973</v>
      </c>
      <c r="M3401" s="8">
        <v>1602</v>
      </c>
      <c r="N3401" s="8" t="s">
        <v>8953</v>
      </c>
      <c r="O3401" s="8" t="s">
        <v>8954</v>
      </c>
      <c r="P3401" s="1" t="e">
        <v>#N/A</v>
      </c>
      <c r="Q3401" s="1" t="e">
        <v>#N/A</v>
      </c>
      <c r="R3401" s="1">
        <f t="shared" si="986"/>
        <v>5</v>
      </c>
      <c r="S3401" s="1" t="str">
        <f t="shared" si="987"/>
        <v>4-7</v>
      </c>
      <c r="T3401" s="1" t="s">
        <v>20528</v>
      </c>
      <c r="U3401" s="1" t="s">
        <v>17</v>
      </c>
      <c r="V3401" s="1" t="s">
        <v>110</v>
      </c>
      <c r="W3401" s="1"/>
    </row>
    <row r="3402" spans="1:23" x14ac:dyDescent="0.2">
      <c r="A3402" s="94" t="s">
        <v>18482</v>
      </c>
      <c r="B3402" t="e">
        <v>#N/A</v>
      </c>
      <c r="C3402" t="e">
        <v>#N/A</v>
      </c>
      <c r="D3402" t="s">
        <v>8883</v>
      </c>
      <c r="E3402" t="s">
        <v>8884</v>
      </c>
      <c r="F3402" s="8" t="e">
        <v>#N/A</v>
      </c>
      <c r="G3402" s="8" t="e">
        <v>#N/A</v>
      </c>
      <c r="H3402" s="8" t="e">
        <v>#N/A</v>
      </c>
      <c r="I3402" s="8" t="e">
        <v>#N/A</v>
      </c>
      <c r="J3402" s="8" t="e">
        <v>#N/A</v>
      </c>
      <c r="K3402" s="8" t="e">
        <v>#N/A</v>
      </c>
      <c r="L3402" s="8" t="e">
        <v>#N/A</v>
      </c>
      <c r="M3402" s="8" t="e">
        <v>#N/A</v>
      </c>
      <c r="N3402" s="8" t="e">
        <v>#N/A</v>
      </c>
      <c r="O3402" s="8" t="e">
        <v>#N/A</v>
      </c>
      <c r="P3402" s="1" t="e">
        <v>#N/A</v>
      </c>
      <c r="Q3402" s="1" t="e">
        <v>#N/A</v>
      </c>
      <c r="R3402" s="1">
        <f t="shared" si="986"/>
        <v>2</v>
      </c>
      <c r="S3402" s="1" t="str">
        <f t="shared" si="987"/>
        <v>&lt;4</v>
      </c>
      <c r="T3402" s="1" t="s">
        <v>20529</v>
      </c>
      <c r="U3402" s="1" t="s">
        <v>17</v>
      </c>
      <c r="V3402" s="1" t="s">
        <v>8885</v>
      </c>
      <c r="W3402" s="1"/>
    </row>
    <row r="3403" spans="1:23" x14ac:dyDescent="0.2">
      <c r="A3403" s="94" t="s">
        <v>18483</v>
      </c>
      <c r="B3403" t="e">
        <v>#N/A</v>
      </c>
      <c r="C3403" t="e">
        <v>#N/A</v>
      </c>
      <c r="D3403" t="s">
        <v>8886</v>
      </c>
      <c r="E3403" t="s">
        <v>8887</v>
      </c>
      <c r="F3403" s="8" t="e">
        <v>#N/A</v>
      </c>
      <c r="G3403" s="8" t="e">
        <v>#N/A</v>
      </c>
      <c r="H3403" s="8" t="e">
        <v>#N/A</v>
      </c>
      <c r="I3403" s="8" t="e">
        <v>#N/A</v>
      </c>
      <c r="J3403" s="8" t="e">
        <v>#N/A</v>
      </c>
      <c r="K3403" s="8" t="e">
        <v>#N/A</v>
      </c>
      <c r="L3403" s="8" t="e">
        <v>#N/A</v>
      </c>
      <c r="M3403" s="8" t="e">
        <v>#N/A</v>
      </c>
      <c r="N3403" s="8" t="e">
        <v>#N/A</v>
      </c>
      <c r="O3403" s="8" t="e">
        <v>#N/A</v>
      </c>
      <c r="P3403" s="1" t="e">
        <v>#N/A</v>
      </c>
      <c r="Q3403" s="1" t="e">
        <v>#N/A</v>
      </c>
      <c r="R3403" s="1">
        <f t="shared" si="986"/>
        <v>10</v>
      </c>
      <c r="S3403" s="1" t="str">
        <f t="shared" si="987"/>
        <v>&gt;7</v>
      </c>
      <c r="T3403" s="1" t="s">
        <v>20530</v>
      </c>
      <c r="U3403" s="1" t="s">
        <v>4</v>
      </c>
      <c r="V3403" s="1" t="s">
        <v>6707</v>
      </c>
      <c r="W3403" s="1"/>
    </row>
    <row r="3404" spans="1:23" x14ac:dyDescent="0.2">
      <c r="A3404" s="94" t="s">
        <v>18484</v>
      </c>
      <c r="B3404" t="e">
        <v>#N/A</v>
      </c>
      <c r="C3404" t="e">
        <v>#N/A</v>
      </c>
      <c r="D3404" t="s">
        <v>8888</v>
      </c>
      <c r="E3404" t="s">
        <v>8889</v>
      </c>
      <c r="F3404" s="8" t="e">
        <v>#N/A</v>
      </c>
      <c r="G3404" s="8" t="e">
        <v>#N/A</v>
      </c>
      <c r="H3404" s="8" t="e">
        <v>#N/A</v>
      </c>
      <c r="I3404" s="8" t="e">
        <v>#N/A</v>
      </c>
      <c r="J3404" s="8" t="e">
        <v>#N/A</v>
      </c>
      <c r="K3404" s="8" t="e">
        <v>#N/A</v>
      </c>
      <c r="L3404" s="8" t="e">
        <v>#N/A</v>
      </c>
      <c r="M3404" s="8" t="e">
        <v>#N/A</v>
      </c>
      <c r="N3404" s="8" t="e">
        <v>#N/A</v>
      </c>
      <c r="O3404" s="8" t="e">
        <v>#N/A</v>
      </c>
      <c r="P3404" s="1" t="e">
        <v>#N/A</v>
      </c>
      <c r="Q3404" s="1" t="e">
        <v>#N/A</v>
      </c>
      <c r="R3404" s="1">
        <f t="shared" si="986"/>
        <v>5</v>
      </c>
      <c r="S3404" s="1" t="str">
        <f t="shared" si="987"/>
        <v>4-7</v>
      </c>
      <c r="T3404" s="1" t="s">
        <v>20531</v>
      </c>
      <c r="U3404" s="1" t="s">
        <v>7</v>
      </c>
      <c r="V3404" s="1" t="s">
        <v>110</v>
      </c>
      <c r="W3404" s="1"/>
    </row>
    <row r="3405" spans="1:23" x14ac:dyDescent="0.2">
      <c r="A3405" s="88" t="s">
        <v>18485</v>
      </c>
      <c r="B3405" t="e">
        <v>#N/A</v>
      </c>
      <c r="C3405" t="s">
        <v>13275</v>
      </c>
      <c r="D3405" t="s">
        <v>8890</v>
      </c>
      <c r="E3405" t="s">
        <v>8891</v>
      </c>
      <c r="F3405" s="8" t="s">
        <v>10873</v>
      </c>
      <c r="G3405" s="8" t="s">
        <v>8974</v>
      </c>
      <c r="H3405" s="8" t="s">
        <v>9183</v>
      </c>
      <c r="I3405" s="8" t="s">
        <v>9049</v>
      </c>
      <c r="J3405" s="8" t="s">
        <v>9050</v>
      </c>
      <c r="K3405" s="8" t="s">
        <v>13278</v>
      </c>
      <c r="L3405" s="8" t="s">
        <v>8951</v>
      </c>
      <c r="M3405" s="8">
        <v>17118</v>
      </c>
      <c r="N3405" s="8" t="s">
        <v>8953</v>
      </c>
      <c r="O3405" s="8" t="s">
        <v>8989</v>
      </c>
      <c r="P3405" s="1" t="s">
        <v>8955</v>
      </c>
      <c r="Q3405" s="1" t="s">
        <v>8956</v>
      </c>
      <c r="R3405" s="1" t="s">
        <v>8974</v>
      </c>
      <c r="S3405" s="1" t="s">
        <v>8975</v>
      </c>
      <c r="T3405" s="1" t="s">
        <v>8892</v>
      </c>
      <c r="U3405" s="1" t="s">
        <v>4</v>
      </c>
      <c r="V3405" s="1" t="s">
        <v>2082</v>
      </c>
      <c r="W3405" s="1"/>
    </row>
    <row r="3406" spans="1:23" x14ac:dyDescent="0.2">
      <c r="A3406" s="89" t="s">
        <v>8893</v>
      </c>
      <c r="B3406" t="e">
        <v>#N/A</v>
      </c>
      <c r="C3406" t="e">
        <v>#N/A</v>
      </c>
      <c r="D3406" t="s">
        <v>8894</v>
      </c>
      <c r="E3406" t="s">
        <v>8895</v>
      </c>
      <c r="F3406" s="8" t="e">
        <v>#N/A</v>
      </c>
      <c r="G3406" s="8" t="e">
        <v>#N/A</v>
      </c>
      <c r="H3406" s="8" t="e">
        <v>#N/A</v>
      </c>
      <c r="I3406" s="8" t="e">
        <v>#N/A</v>
      </c>
      <c r="J3406" s="8" t="e">
        <v>#N/A</v>
      </c>
      <c r="K3406" s="8" t="e">
        <v>#N/A</v>
      </c>
      <c r="L3406" s="8" t="e">
        <v>#N/A</v>
      </c>
      <c r="M3406" s="8" t="e">
        <v>#N/A</v>
      </c>
      <c r="N3406" s="8" t="e">
        <v>#N/A</v>
      </c>
      <c r="O3406" s="8" t="e">
        <v>#N/A</v>
      </c>
      <c r="P3406" s="1" t="e">
        <v>#N/A</v>
      </c>
      <c r="Q3406" s="1" t="e">
        <v>#N/A</v>
      </c>
      <c r="R3406" s="1">
        <f t="shared" ref="R3406:R3411" si="988">1+LEN(T3406)-LEN(SUBSTITUTE(T3406,",",))</f>
        <v>6</v>
      </c>
      <c r="S3406" s="1" t="str">
        <f t="shared" ref="S3406:S3411" si="989">IF(R3406&gt;4,IF(R3406&lt;8,"4-7",IF(R3406&gt;7,"&gt;7")),"&lt;4")</f>
        <v>4-7</v>
      </c>
      <c r="T3406" s="1" t="s">
        <v>20532</v>
      </c>
      <c r="U3406" s="1" t="s">
        <v>7</v>
      </c>
      <c r="V3406" s="1" t="s">
        <v>5460</v>
      </c>
      <c r="W3406" s="1"/>
    </row>
    <row r="3407" spans="1:23" x14ac:dyDescent="0.2">
      <c r="A3407" s="89" t="s">
        <v>8896</v>
      </c>
      <c r="B3407" t="e">
        <v>#N/A</v>
      </c>
      <c r="C3407" t="e">
        <v>#N/A</v>
      </c>
      <c r="D3407" t="s">
        <v>8897</v>
      </c>
      <c r="E3407" t="s">
        <v>8898</v>
      </c>
      <c r="F3407" s="8" t="e">
        <v>#N/A</v>
      </c>
      <c r="G3407" s="8" t="e">
        <v>#N/A</v>
      </c>
      <c r="H3407" s="8" t="e">
        <v>#N/A</v>
      </c>
      <c r="I3407" s="8" t="e">
        <v>#N/A</v>
      </c>
      <c r="J3407" s="8" t="e">
        <v>#N/A</v>
      </c>
      <c r="K3407" s="8" t="e">
        <v>#N/A</v>
      </c>
      <c r="L3407" s="8" t="e">
        <v>#N/A</v>
      </c>
      <c r="M3407" s="8" t="e">
        <v>#N/A</v>
      </c>
      <c r="N3407" s="8" t="e">
        <v>#N/A</v>
      </c>
      <c r="O3407" s="8" t="e">
        <v>#N/A</v>
      </c>
      <c r="P3407" s="1" t="e">
        <v>#N/A</v>
      </c>
      <c r="Q3407" s="1" t="e">
        <v>#N/A</v>
      </c>
      <c r="R3407" s="1">
        <f t="shared" si="988"/>
        <v>6</v>
      </c>
      <c r="S3407" s="1" t="str">
        <f t="shared" si="989"/>
        <v>4-7</v>
      </c>
      <c r="T3407" s="1" t="s">
        <v>20533</v>
      </c>
      <c r="U3407" s="1" t="s">
        <v>7</v>
      </c>
      <c r="V3407" s="1" t="s">
        <v>5214</v>
      </c>
      <c r="W3407" s="1"/>
    </row>
    <row r="3408" spans="1:23" x14ac:dyDescent="0.2">
      <c r="A3408" s="88" t="s">
        <v>18486</v>
      </c>
      <c r="B3408" t="e">
        <v>#N/A</v>
      </c>
      <c r="C3408" t="e">
        <v>#N/A</v>
      </c>
      <c r="D3408" t="s">
        <v>8899</v>
      </c>
      <c r="E3408" t="s">
        <v>8900</v>
      </c>
      <c r="F3408" s="8" t="s">
        <v>18502</v>
      </c>
      <c r="G3408" s="8" t="s">
        <v>8974</v>
      </c>
      <c r="H3408" s="8" t="s">
        <v>9061</v>
      </c>
      <c r="I3408" s="8" t="s">
        <v>9075</v>
      </c>
      <c r="J3408" s="8" t="s">
        <v>8949</v>
      </c>
      <c r="K3408" s="8" t="s">
        <v>10525</v>
      </c>
      <c r="L3408" s="8" t="s">
        <v>8987</v>
      </c>
      <c r="M3408" s="8">
        <f>201+141</f>
        <v>342</v>
      </c>
      <c r="N3408" s="8" t="s">
        <v>9059</v>
      </c>
      <c r="O3408" s="8" t="s">
        <v>8989</v>
      </c>
      <c r="P3408" s="1" t="e">
        <v>#N/A</v>
      </c>
      <c r="Q3408" s="1" t="e">
        <v>#N/A</v>
      </c>
      <c r="R3408" s="1">
        <f t="shared" si="988"/>
        <v>12</v>
      </c>
      <c r="S3408" s="1" t="str">
        <f t="shared" si="989"/>
        <v>&gt;7</v>
      </c>
      <c r="T3408" s="1" t="s">
        <v>20534</v>
      </c>
      <c r="U3408" s="1" t="s">
        <v>7</v>
      </c>
      <c r="V3408" s="1" t="s">
        <v>93</v>
      </c>
      <c r="W3408" s="1"/>
    </row>
    <row r="3409" spans="1:23" x14ac:dyDescent="0.2">
      <c r="A3409" s="89" t="s">
        <v>8901</v>
      </c>
      <c r="B3409" t="e">
        <v>#N/A</v>
      </c>
      <c r="C3409" t="e">
        <v>#N/A</v>
      </c>
      <c r="D3409" s="4" t="s">
        <v>8902</v>
      </c>
      <c r="E3409" t="s">
        <v>8903</v>
      </c>
      <c r="F3409" s="8" t="e">
        <v>#N/A</v>
      </c>
      <c r="G3409" s="8" t="e">
        <v>#N/A</v>
      </c>
      <c r="H3409" s="8" t="e">
        <v>#N/A</v>
      </c>
      <c r="I3409" s="8" t="e">
        <v>#N/A</v>
      </c>
      <c r="J3409" s="8" t="e">
        <v>#N/A</v>
      </c>
      <c r="K3409" s="8" t="e">
        <v>#N/A</v>
      </c>
      <c r="L3409" s="8" t="e">
        <v>#N/A</v>
      </c>
      <c r="M3409" s="8" t="e">
        <v>#N/A</v>
      </c>
      <c r="N3409" s="8" t="e">
        <v>#N/A</v>
      </c>
      <c r="O3409" s="8" t="e">
        <v>#N/A</v>
      </c>
      <c r="P3409" s="1" t="e">
        <v>#N/A</v>
      </c>
      <c r="Q3409" s="1" t="e">
        <v>#N/A</v>
      </c>
      <c r="R3409" s="1">
        <f t="shared" si="988"/>
        <v>6</v>
      </c>
      <c r="S3409" s="1" t="str">
        <f t="shared" si="989"/>
        <v>4-7</v>
      </c>
      <c r="T3409" s="1" t="s">
        <v>20535</v>
      </c>
      <c r="U3409" s="1" t="s">
        <v>17</v>
      </c>
      <c r="V3409" s="1" t="s">
        <v>1010</v>
      </c>
      <c r="W3409" s="1"/>
    </row>
    <row r="3410" spans="1:23" x14ac:dyDescent="0.2">
      <c r="A3410" s="89" t="s">
        <v>8904</v>
      </c>
      <c r="B3410" t="e">
        <v>#N/A</v>
      </c>
      <c r="C3410" t="e">
        <v>#N/A</v>
      </c>
      <c r="D3410" t="s">
        <v>8905</v>
      </c>
      <c r="E3410" t="s">
        <v>8906</v>
      </c>
      <c r="F3410" s="8" t="e">
        <v>#N/A</v>
      </c>
      <c r="G3410" s="8" t="e">
        <v>#N/A</v>
      </c>
      <c r="H3410" s="8" t="e">
        <v>#N/A</v>
      </c>
      <c r="I3410" s="8" t="e">
        <v>#N/A</v>
      </c>
      <c r="J3410" s="8" t="e">
        <v>#N/A</v>
      </c>
      <c r="K3410" s="8" t="e">
        <v>#N/A</v>
      </c>
      <c r="L3410" s="8" t="e">
        <v>#N/A</v>
      </c>
      <c r="M3410" s="8" t="e">
        <v>#N/A</v>
      </c>
      <c r="N3410" s="8" t="e">
        <v>#N/A</v>
      </c>
      <c r="O3410" s="8" t="e">
        <v>#N/A</v>
      </c>
      <c r="P3410" s="1" t="e">
        <v>#N/A</v>
      </c>
      <c r="Q3410" s="1" t="e">
        <v>#N/A</v>
      </c>
      <c r="R3410" s="1">
        <f t="shared" si="988"/>
        <v>4</v>
      </c>
      <c r="S3410" s="1" t="str">
        <f t="shared" si="989"/>
        <v>&lt;4</v>
      </c>
      <c r="T3410" s="1" t="s">
        <v>20536</v>
      </c>
      <c r="U3410" s="1" t="s">
        <v>17</v>
      </c>
      <c r="V3410" s="1" t="s">
        <v>1328</v>
      </c>
      <c r="W3410" s="1"/>
    </row>
    <row r="3411" spans="1:23" x14ac:dyDescent="0.2">
      <c r="A3411" s="88" t="s">
        <v>18487</v>
      </c>
      <c r="B3411" t="e">
        <v>#N/A</v>
      </c>
      <c r="C3411" t="e">
        <v>#N/A</v>
      </c>
      <c r="D3411" t="s">
        <v>8907</v>
      </c>
      <c r="E3411" t="s">
        <v>8908</v>
      </c>
      <c r="F3411" s="8" t="s">
        <v>9310</v>
      </c>
      <c r="G3411" s="8" t="s">
        <v>8959</v>
      </c>
      <c r="H3411" s="8" t="s">
        <v>9009</v>
      </c>
      <c r="I3411" s="8" t="s">
        <v>9035</v>
      </c>
      <c r="J3411" s="8" t="s">
        <v>9308</v>
      </c>
      <c r="K3411" s="8" t="s">
        <v>21411</v>
      </c>
      <c r="L3411" s="8" t="s">
        <v>8951</v>
      </c>
      <c r="M3411" s="8">
        <v>762</v>
      </c>
      <c r="N3411" s="8" t="s">
        <v>8953</v>
      </c>
      <c r="O3411" s="8" t="s">
        <v>8954</v>
      </c>
      <c r="P3411" s="1" t="e">
        <v>#N/A</v>
      </c>
      <c r="Q3411" s="1" t="e">
        <v>#N/A</v>
      </c>
      <c r="R3411" s="1">
        <f t="shared" si="988"/>
        <v>12</v>
      </c>
      <c r="S3411" s="1" t="str">
        <f t="shared" si="989"/>
        <v>&gt;7</v>
      </c>
      <c r="T3411" s="1" t="s">
        <v>20537</v>
      </c>
      <c r="U3411" s="1" t="s">
        <v>7</v>
      </c>
      <c r="V3411" s="1" t="s">
        <v>110</v>
      </c>
      <c r="W3411" s="1"/>
    </row>
    <row r="3412" spans="1:23" x14ac:dyDescent="0.2">
      <c r="A3412" s="88" t="s">
        <v>18488</v>
      </c>
      <c r="B3412" s="1" t="e">
        <v>#N/A</v>
      </c>
      <c r="C3412" s="1" t="s">
        <v>13263</v>
      </c>
      <c r="D3412" s="1" t="s">
        <v>8909</v>
      </c>
      <c r="E3412" s="1" t="s">
        <v>8910</v>
      </c>
      <c r="F3412" s="1" t="s">
        <v>9246</v>
      </c>
      <c r="G3412" s="1" t="s">
        <v>8957</v>
      </c>
      <c r="H3412" t="s">
        <v>9009</v>
      </c>
      <c r="I3412" s="1" t="s">
        <v>9154</v>
      </c>
      <c r="J3412" s="1" t="s">
        <v>8998</v>
      </c>
      <c r="K3412" s="1" t="s">
        <v>21202</v>
      </c>
      <c r="L3412" s="1" t="s">
        <v>9292</v>
      </c>
      <c r="M3412" s="1">
        <v>166</v>
      </c>
      <c r="N3412" s="1" t="s">
        <v>8953</v>
      </c>
      <c r="O3412" s="1" t="s">
        <v>8989</v>
      </c>
      <c r="P3412" s="1" t="s">
        <v>8955</v>
      </c>
      <c r="Q3412" s="1" t="s">
        <v>8956</v>
      </c>
      <c r="R3412" s="1" t="s">
        <v>8957</v>
      </c>
      <c r="S3412" s="1" t="s">
        <v>8975</v>
      </c>
      <c r="T3412" s="1" t="s">
        <v>8911</v>
      </c>
      <c r="U3412" s="1" t="s">
        <v>11</v>
      </c>
      <c r="V3412" s="1" t="s">
        <v>126</v>
      </c>
      <c r="W3412" s="1"/>
    </row>
  </sheetData>
  <autoFilter ref="A1:A3412" xr:uid="{D228DC1D-A2DA-4C90-82A3-7C24744D60A8}">
    <sortState xmlns:xlrd2="http://schemas.microsoft.com/office/spreadsheetml/2017/richdata2" ref="A19:A3404">
      <sortCondition sortBy="cellColor" ref="A1:A3412" dxfId="22"/>
    </sortState>
  </autoFilter>
  <phoneticPr fontId="1" type="noConversion"/>
  <dataValidations count="18">
    <dataValidation type="list" allowBlank="1" showInputMessage="1" showErrorMessage="1" sqref="L1:L27 L29:L64 L66:L81 L83:L100 L102:L107 L1878:L2018 L155:L365 L368:L459 L461:L462 L464:L517 L519:L802 L804:L1097 L1099:L1186 L1188:L1214 L1216:L1221 L1223:L1224 L1226:L1295 L1297:L1405 L1407:L1424 L1426:L1459 L1461:L1531 L1733:L1738 L1740:L1762 L1764:L1778 L116:L153 L2020:L2066 L2068:L2128 L2130:L2135 L2137:L2152 L2154:L2165 L2167:L2181 L2183:L2194 L2196:L2209 L2211:L2216 L2218:L2243 L2245:L2258 L2260:L2271 L2273:L2274 L2276:L2282 L2284:L2293 L2295:L2331 L2333:L2386 L2388:L2459 L2498:L2499 L2461:L2496 L2501:L2565 L2567:L2568 L2570:L2758 L2760:L2762 L3398:L1048576 L3384:L3388 L3390:L3395 L2764:L2831 L2833:L2937 L2939:L2951 L2953:L2959 L2961 L2963:L2973 L2975:L2998 L3000:L3001 L3003:L3021 L3023:L3031 L3033:L3047 L3049:L3091 L109:L114 L1780:L1876 L3313:L3382 L3093:L3104 L3193:L3231 L3106:L3150 L3159:L3178 L3180:L3191 L3152:L3157 L3233:L3311 L1533:L1731" xr:uid="{DFBC0375-F0FA-4054-8DEB-DA8F9409976E}">
      <formula1>"image acquisition,preprocessing,characterization-identification,characterization-segmention,characterization-classification,characterization-detection,characterization-diagnose,monitoring,reporting,improve algorithm"</formula1>
    </dataValidation>
    <dataValidation type="list" allowBlank="1" showInputMessage="1" showErrorMessage="1" sqref="J1 J3413:J1048576" xr:uid="{92BD9967-4CEF-4573-B984-B5155F4D0681}">
      <formula1>"US, CT, MRI, PET,Mammography,HE,WSI,ICH,CFP(fundus images),X-ray, mixed (more than one radiological technique),histopathological images,OCT optical coherence tomography, microscopy image, Dermoscopic image,other"</formula1>
    </dataValidation>
    <dataValidation type="list" allowBlank="1" showInputMessage="1" showErrorMessage="1" sqref="F82:F83 F85:F95 F97:F110 F112:F129 F131:F135 F137:F159 F161:F169 F171:F225 F227:F298 F300:F535 F537:F568 F570:F663 F665:F670 F672:F698 F1:F2 F700:F971 F973:F977 F979:F1169 F1171:F1238 F1240:F1330 F1332:F1429 F1431:F1438 F1440:F1491 F1841:F1843 F1845:F1850 F2271:F2299 F1875:F1879 F1992:F1996 F1998:F2013 F2015:F2195 F1881:F1990 F2301:F2343 F2346:F2352 F2354 F2356:F2389 F2391:F2448 F2450:F2466 F2468:F2741 F2743:F2762 F2764:F2766 F2768:F2771 F2773:F2784 F2786:F2821 F2823:F2828 F2830:F2832 F2838:F2839 F2834:F2836 F2841:F2856 F2197:F2269 F1852:F1873 F4:F80 F2858:F3412 F1493:F1839" xr:uid="{FB6036E7-D6AF-4A67-B592-FA88A52D70A2}">
      <formula1>"the United States,China,South Korea,Germany,Canada,UK,Japan,Netherlands,Australia,India,France,Switzerland,Italy,Spain,Iran,Austria,Pakistan,Israel,Taiwan,Singapore,Turkey,Colombia,Sweden,Brazil,Belgium,SandiArabia,Poland,Finland,Norway,Greece,Malaysia"</formula1>
    </dataValidation>
    <dataValidation type="list" allowBlank="1" showInputMessage="1" showErrorMessage="1" sqref="N1:N349 N1764:N2025 N2029 N2034 N2036 N2039 N2041 N2044:N2046 N2048:N2051 N2054 N2056 N2058:N2059 N2064 N2070:N2073 N2076 N2080 N2083 N2092 N2096 N2099 N2102 N2106 N2109 N2111 N2113 N2115:N2116 N2119 N2123 N2125 N2134 N2141:N2142 N2144 N2146:N2147 N2154 N2156 N2158 N2160 N2164 N2181 N2193:N2194 N2198:N2203 N2205 N2207 N2211:N2212 N2215:N2254 N3413:N1048576 N3300:N3411 N351:N1762" xr:uid="{4C3A0217-24BE-418C-9572-9190C4C84FFD}">
      <formula1>"patient,imagine, video,not mentioned"</formula1>
    </dataValidation>
    <dataValidation type="list" allowBlank="1" showInputMessage="1" showErrorMessage="1" sqref="I3346:I1048576 I1764:I3141 I3143:I3150 I3152:I3343 I1:I1762" xr:uid="{DFD3D52A-8CEA-4B0E-87CE-5171692C1545}">
      <formula1>"neuroradiology, head and neck, thyroid, breast, thoracic, cardiac, abdominal, musculoskeletal, genitourinary, miscellaneous (not conforming to one of the aforementioned categories),eye,skin,multiple sites"</formula1>
    </dataValidation>
    <dataValidation type="list" allowBlank="1" showInputMessage="1" showErrorMessage="1" sqref="G1764:G3412 G1:G1762" xr:uid="{8E8756B5-EB0B-4D0B-B5D1-A1E785C2E763}">
      <formula1>"government,private,both,other"</formula1>
    </dataValidation>
    <dataValidation type="list" allowBlank="1" showInputMessage="1" showErrorMessage="1" sqref="O1764:O1048576 O1:O1762" xr:uid="{BD8A7A50-559A-4316-B569-99F68615C082}">
      <formula1>"single center, multi-center"</formula1>
    </dataValidation>
    <dataValidation type="list" allowBlank="1" showInputMessage="1" showErrorMessage="1" sqref="H1764:H1048576 H1:H1762" xr:uid="{A3C338DB-44AB-42BF-BB37-B6CA46A7E208}">
      <formula1>"radiology,medical or related specialties, surgery or related specialties,other"</formula1>
    </dataValidation>
    <dataValidation type="list" allowBlank="1" showInputMessage="1" showErrorMessage="1" sqref="J3345:J3412 J2154 J2156 J2158 J2160 J2164 J2169 J2181 J2193:J2194 J2198:J2203 J2205 J2207 J2211:J2212 J2216 J2218:J2219 J2223 J2226 J2228:J2236 J2247 J2250 J2254 J2256:J2258 J2262:J2263 J2266 J2278:J2279 J2282 J2284 J2289:J2291 J2304:J2305 J2308 J2311:J2314 J2316:J2317 J2319 J2321:J2322 J2331 J2333:J2334 J2343 J2346:J2347 J2351 J2356 J2358:J2360 J2366 J2368 J2370:J2371 J2374 J2381 J2384 J2386 J2388 J2392 J2396:J2397 J2399 J2405 J2407 J2412:J2413 J2418 J2421:J2423 J2432:J2434 J2436 J2439 J2444:J2445 J2448 J2450 J2454 J2458 J2461 J2465 J2469 J2471 J2474 J2477:J2478 J2482 J2484 J2488:J2490 J2494 J2499 J2503:J2506 J2508 J2511:J2512 J2514 J2521:J2522 J2527 J2531 J2534 J2538 J2543:J2544 J2551:J2552 J2561 J2564 J2568 J2570:J2573 J2575:J2576 J2581:J2582 J2592:J2593 J2595:J2596 J2602 J2610:J2613 J2615 J2619 J2621 J2624 J2627:J2629 J2631 J2636 J2641 J2644 J2647 J2649:J2650 J2653:J2655 J2659 J2661:J2663 J2676 J2678 J2680 J2683 J2687 J2689:J2690 J2697 J2702 J2712:J2713 J2716 J2727 J2729 J2733 J2736 J2738 J2744 J2746:J2750 J2753 J2756 J2768 J2773:J2774 J2778:J2779 J2783 J2786:J2787 J2790 J2797 J2799 J2801 J2804:J2806 J2809:J2810 J2812:J2815 J2820 J2831 J2835 J2838:J2839 J2841 J2846 J2851 J2856 J2860 J2862 J2864:J2866 J2868 J2870:J2871 J2875:J2876 J2879:J2880 J2882:J2883 J2886 J2889 J2891 J2894:J2895 J2900 J2902:J2904 J2910 J2917 J2921:J2923 J2927 J2929 J2934 J2936:J2937 J2940 J2942:J2943 J2945:J2949 J2951 J2956 J2961 J2963 J2972 J2978:J2979 J2982:J2983 J2986 J2989 J2992 J2994:J2995 J2998 J3000 J3004 J3006:J3007 J3023 J3026:J3027 J3031 J3033:J3034 J3036:J3037 J3042 J3047 J3052 J3054 J3057 J3061 J3063 J3065:J3066 J3071:J3072 J3077 J3082:J3085 J3087 J3093 J3098:J3100 J3309:J3343 J1764:J2150 J3298:J3307 J3123 J3143 J3145 J3168 J3170 J3172 J3178 J3180 J3200 J3202 J3208 J3219 J3224 J3234 J3162:J3163 J3185:J3187 J3197:J3198 J3212:J3214 J3221:J3222 J3226:J3228 J3230:J3231 J3103:J3104 J3106:J3107 J3109:J3110 J3113:J3119 J3131:J3133 J3135:J3137 J3273 J3277 J3279 J3281 J3283 J3286 J3292 J3247:J3249 J3252:J3253 J3256:J3257 J3259:J3260 J2:J1762" xr:uid="{38CE05A2-5D44-4D84-A735-AFD46CE743ED}">
      <formula1>"US, CT, MRI, PET,Mammography,HE,WSI,ICH,CFP(fundus images),X-ray, mixed (more than one radiological technique),histopathological images,OCT optical coherence tomography, microscopy image, Dermoscopic image,endoscopy, ECG,EEG,other"</formula1>
    </dataValidation>
    <dataValidation type="list" allowBlank="1" showInputMessage="1" showErrorMessage="1" sqref="N2026:N2028 N2030:N2033 N2035 N2037:N2038 N2040 N2042:N2043 N2047 N2052:N2053 N2055 N2057 N2060:N2063 N2065:N2069 N2074:N2075 N2077:N2079 N2081:N2082 N2084:N2091 N2093:N2095 N2097:N2098 N2100:N2101 N2103:N2105 N2107:N2108 N2110 N2112 N2114 N2117:N2118 N2120:N2122 N2124 N2126:N2133 N2135:N2140 N2143 N2145 N2148:N2153 N2155 N2157 N2159 N2161:N2163 N2165:N2180 N2182:N2192 N2195:N2197 N2204 N2206 N2208:N2210 N2213:N2214" xr:uid="{7328B897-BA5F-45E3-AE56-514C469392CE}">
      <formula1>"patient,imagine,patch, video,not mentioned"</formula1>
    </dataValidation>
    <dataValidation type="list" allowBlank="1" showInputMessage="1" showErrorMessage="1" sqref="J2151:J2153 J2155 J2157 J2159 J2161:J2163 J2165:J2168 J2170:J2180 J2182:J2192 J2195:J2197 J2204 J2206 J2208:J2210 J2213:J2215 J2217 J2220:J2222 J2224:J2225 J2227 J2237:J2246 J2248:J2249 J2251:J2253 J2255 J2259:J2261 J2264:J2265 J2780:J2782 J2280:J2281 J2283 J2285:J2288 J2292:J2303 J2306:J2307 J2309:J2310 J2315 J2318 J2320 J2323:J2330 J2332 J2335:J2342 J2344:J2345 J2348:J2350 J2352:J2355 J2357 J2361:J2365 J2367 J2369 J2372:J2373 J2375:J2380 J2382:J2383 J2385 J2387 J2389:J2391 J2393:J2395 J2398 J2400:J2404 J2406 J2408:J2411 J2414:J2417 J2419:J2420 J2267:J2277 J2435 J2424:J2431 J2440:J2443 J2446:J2447 J2449 J2451:J2453 J2455:J2457 J2459:J2460 J2462:J2464 J2466:J2468 J2470 J2472:J2473 J2475:J2476 J2479:J2481 J2483 J2485:J2487 J2491:J2493 J2495:J2498 J2500:J2502 J2507 J2437:J2438 J2513 J2515:J2520 J2523:J2526 J2528:J2530 J2532:J2533 J2509:J2510 J2539:J2542 J2545:J2550 J2553:J2560 J2562:J2563 J2565:J2567 J2569 J2574 J2535:J2537 J2583:J2591 J2577:J2580 J2597:J2601 J2603:J2609 J2614 J2594 J2620 J2622:J2623 J2616:J2618 J2630 J2632:J2635 J2637:J2640 J2625:J2626 J2645:J2646 J2648 J2651:J2652 J2656:J2658 J2660 J2642:J2643 J2677 J2679 J2681:J2682 J2684:J2686 J2688 J2691:J2696 J2698:J2701 J2703:J2711 J2714:J2715 J2717:J2726 J2728 J2730:J2732 J2734:J2735 J2737 J2739:J2743 J2745 J2751:J2752 J2754:J2755 J2664:J2675 J2769:J2772 J2775:J2777 J2757:J2767 J2784:J2785 J2788:J2789 J2791:J2796 J2798 J2800 J2802:J2803 J3188:J3196 J2807:J2808 J2811 J2816:J2819 J2821:J2830 J2832:J2834 J2836:J2837 J2840 J2842:J2845 J3094:J3097 J2852:J2855 J2857:J2859 J2861 J2863 J2867 J2869 J2872:J2874 J2877:J2878 J2881 J2884:J2885 J2887:J2888 J2890 J2847:J2850 J2896:J2899 J2901 J2892:J2893 J2911:J2916 J2918:J2920 J2905:J2909 J2928 J2930:J2933 J2935 J2938:J2939 J2941 J2944 J2950 J2952:J2955 J2924:J2926 J2962 J2957:J2960 J2973:J2977 J2980:J2981 J2984:J2985 J2987:J2988 J2990:J2991 J2993 J2996:J2997 J2999 J2964:J2971 J3005 J3001:J3003 J3024:J3025 J3008:J3022 J3032 J3035 J3038:J3041 J3043:J3046 J3048:J3051 J3053 J3055:J3056 J3058:J3060 J3062 J3064 J3067:J3070 J3028:J3030 J3078:J3081 J3073:J3076 J3086 J3088:J3092 J3105 J3108 J3112 J3134 J3144 J3169 J3171 J3179 J3199 J3201 J3220 J3223 J3225 J3229 J3203:J3207 J3209:J3211 J3215:J3218 J3232:J3233 J3101:J3102 J3120:J3122 J3124:J3130 J3138:J3141 J3146:J3161 J3164:J3167 J3173:J3177 J3181:J3184 J3258 J3274:J3276 J3278 J3280 J3282 J3235:J3246 J3250:J3251 J3254:J3255 J3261:J3272 J3284:J3285 J3287:J3291 J3293:J3297" xr:uid="{D1DEE23D-B10A-4A7F-A6EA-4ED68D268536}">
      <formula1>"US, CT, MRI, ECT,Mammography,HE,WSI,ICH,CFP(fundus images),X-ray, mixed (more than one radiological technique),histopathological images,OCT optical coherence tomography, microscopy image, Dermoscopic image,endoscopy, ECG,EEG,other"</formula1>
    </dataValidation>
    <dataValidation type="list" allowBlank="1" showInputMessage="1" showErrorMessage="1" sqref="N3412 N2255:N3299 M3258" xr:uid="{E0D5D691-249C-4CFF-ACBF-818F7A4BB061}">
      <formula1>"patient,imagine, patch,video,not mentioned"</formula1>
    </dataValidation>
    <dataValidation type="list" allowBlank="1" showInputMessage="1" showErrorMessage="1" sqref="L3396:L3397" xr:uid="{20318ACB-1351-433F-BE96-63FB0ACB6403}">
      <formula1>"image acquisition,preprocessing,characterization-identification,characterization-segmention,characterization-classification,characterization-detection,characterization-diagnose,monitoring,reporting,improve algorithm,image registration"</formula1>
    </dataValidation>
    <dataValidation type="list" allowBlank="1" showInputMessage="1" showErrorMessage="1" sqref="L3389" xr:uid="{C0CC79E3-F1A3-408D-8E3E-B0A700BCE600}">
      <formula1>"image acquisition,preprocessing,characterization-identification,characterization-segmention,characterization-classification,characterization-detection,characterization-diagnose,monitoring,reporting,improve algorithm,characterization-extraction"</formula1>
    </dataValidation>
    <dataValidation type="list" allowBlank="1" showInputMessage="1" showErrorMessage="1" sqref="L3383" xr:uid="{E08C482B-E77D-4234-A764-3A3169547814}">
      <formula1>"image acquisition,preprocessing,characterization-identification,characterization-segmention,characterization-classification,characterization-detection,characterization-diagnose,monitoring,reporting,improve algorithm,classification and segmentation"</formula1>
    </dataValidation>
    <dataValidation type="list" allowBlank="1" showInputMessage="1" showErrorMessage="1" sqref="I3345" xr:uid="{EA781C4D-200F-4764-9326-32BAA3D53AFC}">
      <formula1>"neuroradiology, head and neck, thyroid, breast, thoracic, cardiac, abdominal, musculoskeletal, genitourinary, miscellaneous (not conforming to one of the aforementioned categories),eye,skin,multiple sites,leg"</formula1>
    </dataValidation>
    <dataValidation type="list" allowBlank="1" showInputMessage="1" showErrorMessage="1" sqref="I3344" xr:uid="{C6D1215C-D69E-4CEA-86FA-4F03CEE4E8E5}">
      <formula1>"neuroradiology, head and neck, thyroid, breast, thoracic, cardiac, abdominal, musculoskeletal, genitourinary, miscellaneous (not conforming to one of the aforementioned categories),eye,skin,multiple sites,tooth"</formula1>
    </dataValidation>
    <dataValidation type="list" allowBlank="1" showInputMessage="1" showErrorMessage="1" sqref="J3344" xr:uid="{9FB6ABDD-6242-481E-B1BE-63BF16BA10F3}">
      <formula1>"US, CT, MRI, PET,Mammography,HE,WSI,ICH,CFP(fundus images),X-ray, mixed (more than one radiological technique),histopathological images,OCT optical coherence tomography, microscopy image, Dermoscopic image,endoscopy, ECG,EEG,CBCT,other"</formula1>
    </dataValidation>
  </dataValidations>
  <pageMargins left="0.7" right="0.7" top="0.75" bottom="0.75" header="0.3" footer="0.3"/>
  <pageSetup paperSize="9" orientation="portrait"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3AF58-5DA7-48D3-AC9B-00A0837AB067}">
  <sheetPr codeName="Sheet2"/>
  <dimension ref="A1:Z1126"/>
  <sheetViews>
    <sheetView topLeftCell="I13" workbookViewId="0">
      <selection activeCell="L12" sqref="L12"/>
    </sheetView>
  </sheetViews>
  <sheetFormatPr defaultRowHeight="20.100000000000001" customHeight="1" x14ac:dyDescent="0.2"/>
  <cols>
    <col min="1" max="1" width="14.625" style="18" customWidth="1"/>
    <col min="2" max="2" width="10.375" style="19" customWidth="1"/>
    <col min="3" max="3" width="12.25" style="19" customWidth="1"/>
    <col min="4" max="4" width="13.125" style="68" customWidth="1"/>
    <col min="5" max="5" width="12" style="20" bestFit="1" customWidth="1"/>
    <col min="6" max="6" width="11.75" style="20" bestFit="1" customWidth="1"/>
    <col min="7" max="7" width="21.125" style="20" bestFit="1" customWidth="1"/>
    <col min="8" max="9" width="10.125" style="20" bestFit="1" customWidth="1"/>
    <col min="10" max="10" width="7.125" style="20" customWidth="1"/>
    <col min="11" max="11" width="11.125" style="20" bestFit="1" customWidth="1"/>
    <col min="12" max="12" width="11.125" style="21" customWidth="1"/>
    <col min="13" max="13" width="10.625" style="20" bestFit="1" customWidth="1"/>
    <col min="14" max="14" width="9" style="20" bestFit="1" customWidth="1"/>
    <col min="15" max="15" width="9" style="20" customWidth="1"/>
    <col min="16" max="16" width="7.875" style="22" bestFit="1" customWidth="1"/>
    <col min="17" max="17" width="20.375" style="21" customWidth="1"/>
    <col min="18" max="18" width="15.875" style="23" customWidth="1"/>
    <col min="19" max="19" width="24" style="24" hidden="1" customWidth="1"/>
    <col min="20" max="20" width="24" style="24" customWidth="1"/>
    <col min="21" max="21" width="23.625" style="24" customWidth="1"/>
    <col min="22" max="22" width="19.625" style="24" customWidth="1"/>
    <col min="23" max="23" width="12" style="18" bestFit="1" customWidth="1"/>
    <col min="24" max="24" width="18.125" style="26" customWidth="1"/>
    <col min="25" max="25" width="17.75" style="18" bestFit="1" customWidth="1"/>
    <col min="26" max="26" width="15.25" style="24" bestFit="1" customWidth="1"/>
  </cols>
  <sheetData>
    <row r="1" spans="1:26" ht="20.100000000000001" customHeight="1" x14ac:dyDescent="0.2">
      <c r="A1" s="6" t="s">
        <v>8921</v>
      </c>
      <c r="B1" s="7" t="s">
        <v>8922</v>
      </c>
      <c r="C1" s="7" t="s">
        <v>8923</v>
      </c>
      <c r="D1" s="8" t="s">
        <v>8924</v>
      </c>
      <c r="E1" s="9" t="s">
        <v>8925</v>
      </c>
      <c r="F1" s="9" t="s">
        <v>8926</v>
      </c>
      <c r="G1" s="9" t="s">
        <v>8927</v>
      </c>
      <c r="H1" s="9" t="s">
        <v>8928</v>
      </c>
      <c r="I1" s="10" t="s">
        <v>8929</v>
      </c>
      <c r="J1" s="11" t="s">
        <v>8930</v>
      </c>
      <c r="K1" s="12" t="s">
        <v>8931</v>
      </c>
      <c r="L1" s="10" t="s">
        <v>8932</v>
      </c>
      <c r="M1" s="10" t="s">
        <v>8933</v>
      </c>
      <c r="N1" s="10" t="s">
        <v>8934</v>
      </c>
      <c r="O1" s="13" t="s">
        <v>8935</v>
      </c>
      <c r="P1" s="14" t="s">
        <v>8936</v>
      </c>
      <c r="Q1" s="9" t="s">
        <v>8937</v>
      </c>
      <c r="R1" s="15"/>
      <c r="S1" s="16" t="s">
        <v>8938</v>
      </c>
      <c r="T1" s="16"/>
      <c r="U1" s="16" t="s">
        <v>8939</v>
      </c>
      <c r="V1" s="16" t="s">
        <v>8940</v>
      </c>
      <c r="W1" s="6" t="s">
        <v>8941</v>
      </c>
      <c r="X1" s="17" t="s">
        <v>8942</v>
      </c>
      <c r="Y1" s="6" t="s">
        <v>8943</v>
      </c>
      <c r="Z1" s="16" t="s">
        <v>8944</v>
      </c>
    </row>
    <row r="2" spans="1:26" ht="20.100000000000001" customHeight="1" x14ac:dyDescent="0.2">
      <c r="A2" s="18" t="s">
        <v>8945</v>
      </c>
      <c r="B2" s="19" t="s">
        <v>8946</v>
      </c>
      <c r="C2" s="19" t="s">
        <v>8947</v>
      </c>
      <c r="D2" s="8" t="s">
        <v>8948</v>
      </c>
      <c r="E2" s="20" t="s">
        <v>8949</v>
      </c>
      <c r="F2" s="20" t="s">
        <v>8950</v>
      </c>
      <c r="G2" s="21" t="s">
        <v>8951</v>
      </c>
      <c r="H2" s="21">
        <v>2684</v>
      </c>
      <c r="I2" s="20" t="s">
        <v>8952</v>
      </c>
      <c r="J2" s="20" t="s">
        <v>8953</v>
      </c>
      <c r="K2" s="20" t="s">
        <v>8954</v>
      </c>
      <c r="L2" s="21" t="s">
        <v>8955</v>
      </c>
      <c r="M2" s="20" t="s">
        <v>8956</v>
      </c>
      <c r="N2" s="20" t="s">
        <v>8957</v>
      </c>
      <c r="O2" s="20">
        <f t="shared" ref="O2:O65" si="0">1+LEN(V2)-LEN(SUBSTITUTE(V2,";",))</f>
        <v>4</v>
      </c>
      <c r="P2" s="22" t="s">
        <v>8958</v>
      </c>
      <c r="Q2" s="21" t="s">
        <v>8959</v>
      </c>
      <c r="R2" s="23" t="s">
        <v>8960</v>
      </c>
      <c r="S2" s="24" t="s">
        <v>8961</v>
      </c>
      <c r="T2" s="24" t="str">
        <f>VLOOKUP(R2,[1]Sheet3!$A$2:$A$47,1,0)</f>
        <v>Canada</v>
      </c>
      <c r="U2" s="25" t="s">
        <v>8962</v>
      </c>
      <c r="V2" s="24" t="s">
        <v>8963</v>
      </c>
      <c r="W2" s="18" t="s">
        <v>8964</v>
      </c>
      <c r="X2" s="26" t="s">
        <v>8965</v>
      </c>
      <c r="Y2" s="18" t="s">
        <v>8966</v>
      </c>
      <c r="Z2" s="24" t="s">
        <v>17</v>
      </c>
    </row>
    <row r="3" spans="1:26" ht="20.100000000000001" customHeight="1" x14ac:dyDescent="0.2">
      <c r="A3" s="18" t="s">
        <v>8967</v>
      </c>
      <c r="B3" s="19" t="s">
        <v>8968</v>
      </c>
      <c r="C3" s="19" t="s">
        <v>8969</v>
      </c>
      <c r="D3" s="8" t="s">
        <v>8970</v>
      </c>
      <c r="E3" s="20" t="s">
        <v>8971</v>
      </c>
      <c r="F3" s="20" t="s">
        <v>8972</v>
      </c>
      <c r="G3" s="20" t="s">
        <v>8973</v>
      </c>
      <c r="H3" s="20">
        <v>1370</v>
      </c>
      <c r="I3" s="20" t="s">
        <v>8952</v>
      </c>
      <c r="J3" s="20" t="s">
        <v>8953</v>
      </c>
      <c r="K3" s="20" t="s">
        <v>8954</v>
      </c>
      <c r="L3" s="21" t="s">
        <v>8955</v>
      </c>
      <c r="M3" s="20" t="s">
        <v>8956</v>
      </c>
      <c r="N3" s="20" t="s">
        <v>8974</v>
      </c>
      <c r="O3" s="20">
        <f t="shared" si="0"/>
        <v>8</v>
      </c>
      <c r="P3" s="22" t="s">
        <v>8975</v>
      </c>
      <c r="Q3" s="21" t="s">
        <v>8959</v>
      </c>
      <c r="R3" s="23" t="s">
        <v>8976</v>
      </c>
      <c r="S3" s="24" t="s">
        <v>8977</v>
      </c>
      <c r="T3" s="24" t="str">
        <f>VLOOKUP(R3,[1]Sheet3!$A$2:$A$47,1,0)</f>
        <v>Iran</v>
      </c>
      <c r="U3" s="24" t="s">
        <v>8978</v>
      </c>
      <c r="V3" s="24" t="s">
        <v>8979</v>
      </c>
      <c r="W3" s="18" t="s">
        <v>8964</v>
      </c>
      <c r="X3" s="26" t="s">
        <v>2434</v>
      </c>
      <c r="Y3" s="18" t="s">
        <v>8980</v>
      </c>
      <c r="Z3" s="24" t="s">
        <v>17</v>
      </c>
    </row>
    <row r="4" spans="1:26" ht="20.100000000000001" customHeight="1" x14ac:dyDescent="0.2">
      <c r="A4" s="18" t="s">
        <v>8981</v>
      </c>
      <c r="B4" s="19" t="s">
        <v>8982</v>
      </c>
      <c r="C4" s="19" t="s">
        <v>8983</v>
      </c>
      <c r="D4" s="8" t="s">
        <v>8984</v>
      </c>
      <c r="E4" s="20" t="s">
        <v>8985</v>
      </c>
      <c r="F4" s="20" t="s">
        <v>8986</v>
      </c>
      <c r="G4" s="20" t="s">
        <v>8987</v>
      </c>
      <c r="H4" s="20">
        <v>462</v>
      </c>
      <c r="I4" s="20" t="s">
        <v>8988</v>
      </c>
      <c r="J4" s="20" t="s">
        <v>8953</v>
      </c>
      <c r="K4" s="20" t="s">
        <v>8989</v>
      </c>
      <c r="L4" s="21" t="s">
        <v>8955</v>
      </c>
      <c r="M4" s="20" t="s">
        <v>8990</v>
      </c>
      <c r="N4" s="20" t="s">
        <v>8957</v>
      </c>
      <c r="O4" s="20">
        <f t="shared" si="0"/>
        <v>6</v>
      </c>
      <c r="P4" s="22" t="s">
        <v>8958</v>
      </c>
      <c r="Q4" s="21" t="s">
        <v>8959</v>
      </c>
      <c r="R4" s="23" t="s">
        <v>8991</v>
      </c>
      <c r="S4" s="24" t="s">
        <v>8992</v>
      </c>
      <c r="T4" s="24" t="str">
        <f>VLOOKUP(R4,[1]Sheet3!$A$2:$A$47,1,0)</f>
        <v>China</v>
      </c>
      <c r="V4" s="24" t="s">
        <v>8993</v>
      </c>
      <c r="W4" s="18" t="s">
        <v>8964</v>
      </c>
      <c r="X4" s="26" t="s">
        <v>27</v>
      </c>
      <c r="Y4" s="18" t="s">
        <v>8994</v>
      </c>
      <c r="Z4" s="24" t="s">
        <v>17</v>
      </c>
    </row>
    <row r="5" spans="1:26" ht="20.100000000000001" customHeight="1" x14ac:dyDescent="0.2">
      <c r="A5" s="18" t="s">
        <v>8995</v>
      </c>
      <c r="B5" s="19" t="s">
        <v>8996</v>
      </c>
      <c r="C5" s="19" t="s">
        <v>8997</v>
      </c>
      <c r="D5" s="8" t="s">
        <v>8984</v>
      </c>
      <c r="E5" s="20" t="s">
        <v>8998</v>
      </c>
      <c r="F5" s="20" t="s">
        <v>8950</v>
      </c>
      <c r="G5" s="20" t="s">
        <v>8987</v>
      </c>
      <c r="H5" s="20">
        <v>2234</v>
      </c>
      <c r="I5" s="20" t="s">
        <v>8952</v>
      </c>
      <c r="J5" s="20" t="s">
        <v>8953</v>
      </c>
      <c r="K5" s="27" t="s">
        <v>8954</v>
      </c>
      <c r="L5" s="21" t="s">
        <v>8955</v>
      </c>
      <c r="M5" s="20" t="s">
        <v>8990</v>
      </c>
      <c r="N5" s="20" t="s">
        <v>8957</v>
      </c>
      <c r="O5" s="20">
        <f t="shared" si="0"/>
        <v>4</v>
      </c>
      <c r="P5" s="22" t="s">
        <v>8958</v>
      </c>
      <c r="Q5" s="21" t="s">
        <v>8959</v>
      </c>
      <c r="R5" s="23" t="s">
        <v>8999</v>
      </c>
      <c r="S5" s="24" t="s">
        <v>9000</v>
      </c>
      <c r="T5" s="24" t="str">
        <f>VLOOKUP(R5,[1]Sheet3!$A$2:$A$47,1,0)</f>
        <v>Turkey</v>
      </c>
      <c r="U5" s="24" t="s">
        <v>9001</v>
      </c>
      <c r="V5" s="24" t="s">
        <v>9002</v>
      </c>
      <c r="W5" s="18" t="s">
        <v>8964</v>
      </c>
      <c r="X5" s="26" t="s">
        <v>948</v>
      </c>
      <c r="Y5" s="18" t="s">
        <v>9003</v>
      </c>
      <c r="Z5" s="24" t="s">
        <v>17</v>
      </c>
    </row>
    <row r="6" spans="1:26" ht="20.100000000000001" customHeight="1" x14ac:dyDescent="0.2">
      <c r="A6" s="18" t="s">
        <v>9004</v>
      </c>
      <c r="B6" s="19" t="s">
        <v>9005</v>
      </c>
      <c r="C6" s="19" t="s">
        <v>9006</v>
      </c>
      <c r="D6" s="8" t="s">
        <v>8948</v>
      </c>
      <c r="E6" s="20" t="s">
        <v>8998</v>
      </c>
      <c r="F6" s="20" t="s">
        <v>9007</v>
      </c>
      <c r="G6" s="20" t="s">
        <v>8973</v>
      </c>
      <c r="H6" s="20">
        <v>55</v>
      </c>
      <c r="I6" s="20" t="s">
        <v>9008</v>
      </c>
      <c r="J6" s="20" t="s">
        <v>8953</v>
      </c>
      <c r="K6" s="20" t="s">
        <v>8954</v>
      </c>
      <c r="L6" s="21" t="s">
        <v>8955</v>
      </c>
      <c r="M6" s="20" t="s">
        <v>8956</v>
      </c>
      <c r="N6" s="20" t="s">
        <v>8957</v>
      </c>
      <c r="O6" s="20">
        <f t="shared" si="0"/>
        <v>7</v>
      </c>
      <c r="P6" s="22" t="s">
        <v>8958</v>
      </c>
      <c r="Q6" s="21" t="s">
        <v>9009</v>
      </c>
      <c r="R6" s="23" t="s">
        <v>9010</v>
      </c>
      <c r="S6" s="24" t="s">
        <v>9011</v>
      </c>
      <c r="T6" s="24" t="str">
        <f>VLOOKUP(R6,[1]Sheet3!$A$2:$A$47,1,0)</f>
        <v>the United States of America</v>
      </c>
      <c r="U6" s="24" t="s">
        <v>9012</v>
      </c>
      <c r="V6" s="24" t="s">
        <v>9013</v>
      </c>
      <c r="W6" s="18" t="s">
        <v>8964</v>
      </c>
      <c r="X6" s="26" t="s">
        <v>93</v>
      </c>
      <c r="Y6" s="18" t="s">
        <v>9014</v>
      </c>
      <c r="Z6" s="24" t="s">
        <v>17</v>
      </c>
    </row>
    <row r="7" spans="1:26" ht="20.100000000000001" customHeight="1" x14ac:dyDescent="0.2">
      <c r="A7" s="18" t="s">
        <v>9015</v>
      </c>
      <c r="B7" s="19" t="s">
        <v>9016</v>
      </c>
      <c r="C7" s="19" t="s">
        <v>9017</v>
      </c>
      <c r="D7" s="8" t="s">
        <v>8948</v>
      </c>
      <c r="E7" s="20" t="s">
        <v>8949</v>
      </c>
      <c r="F7" s="20" t="s">
        <v>9018</v>
      </c>
      <c r="G7" s="20" t="s">
        <v>8987</v>
      </c>
      <c r="H7" s="20">
        <v>14400</v>
      </c>
      <c r="I7" s="20" t="s">
        <v>9019</v>
      </c>
      <c r="J7" s="20" t="s">
        <v>8953</v>
      </c>
      <c r="K7" s="20" t="s">
        <v>8954</v>
      </c>
      <c r="L7" s="21" t="s">
        <v>8955</v>
      </c>
      <c r="M7" s="20" t="s">
        <v>8956</v>
      </c>
      <c r="N7" s="20" t="s">
        <v>8957</v>
      </c>
      <c r="O7" s="20">
        <f t="shared" si="0"/>
        <v>9</v>
      </c>
      <c r="P7" s="22" t="s">
        <v>8975</v>
      </c>
      <c r="Q7" s="21" t="s">
        <v>9009</v>
      </c>
      <c r="R7" s="23" t="s">
        <v>9010</v>
      </c>
      <c r="S7" s="24" t="s">
        <v>9020</v>
      </c>
      <c r="T7" s="24" t="str">
        <f>VLOOKUP(R7,[1]Sheet3!$A$2:$A$47,1,0)</f>
        <v>the United States of America</v>
      </c>
      <c r="U7" s="24" t="s">
        <v>9021</v>
      </c>
      <c r="V7" s="24" t="s">
        <v>9022</v>
      </c>
      <c r="W7" s="18" t="s">
        <v>8964</v>
      </c>
      <c r="X7" s="26" t="s">
        <v>87</v>
      </c>
      <c r="Y7" s="18" t="s">
        <v>9023</v>
      </c>
      <c r="Z7" s="24" t="s">
        <v>17</v>
      </c>
    </row>
    <row r="8" spans="1:26" ht="20.100000000000001" customHeight="1" x14ac:dyDescent="0.2">
      <c r="A8" s="18" t="s">
        <v>9024</v>
      </c>
      <c r="B8" s="19" t="s">
        <v>9025</v>
      </c>
      <c r="C8" s="19" t="s">
        <v>9026</v>
      </c>
      <c r="D8" s="8" t="s">
        <v>8948</v>
      </c>
      <c r="E8" s="20" t="s">
        <v>8949</v>
      </c>
      <c r="F8" s="20" t="s">
        <v>9027</v>
      </c>
      <c r="G8" s="20" t="s">
        <v>8987</v>
      </c>
      <c r="H8" s="20">
        <v>3200</v>
      </c>
      <c r="I8" s="20" t="s">
        <v>9019</v>
      </c>
      <c r="J8" s="20" t="s">
        <v>8953</v>
      </c>
      <c r="K8" s="20" t="s">
        <v>8989</v>
      </c>
      <c r="L8" s="21" t="s">
        <v>8955</v>
      </c>
      <c r="M8" s="20" t="s">
        <v>8956</v>
      </c>
      <c r="N8" s="20" t="s">
        <v>8959</v>
      </c>
      <c r="O8" s="20">
        <f t="shared" si="0"/>
        <v>5</v>
      </c>
      <c r="P8" s="22" t="s">
        <v>8958</v>
      </c>
      <c r="Q8" s="21" t="s">
        <v>8959</v>
      </c>
      <c r="R8" s="23" t="s">
        <v>8999</v>
      </c>
      <c r="S8" s="24" t="s">
        <v>9028</v>
      </c>
      <c r="T8" s="24" t="str">
        <f>VLOOKUP(R8,[1]Sheet3!$A$2:$A$47,1,0)</f>
        <v>Turkey</v>
      </c>
      <c r="U8" s="24" t="s">
        <v>9029</v>
      </c>
      <c r="V8" s="24" t="s">
        <v>9030</v>
      </c>
      <c r="W8" s="18" t="s">
        <v>8964</v>
      </c>
      <c r="X8" s="26" t="s">
        <v>43</v>
      </c>
      <c r="Y8" s="18" t="s">
        <v>9031</v>
      </c>
      <c r="Z8" s="24" t="s">
        <v>17</v>
      </c>
    </row>
    <row r="9" spans="1:26" ht="20.100000000000001" customHeight="1" x14ac:dyDescent="0.2">
      <c r="A9" s="26" t="s">
        <v>9032</v>
      </c>
      <c r="B9" s="19" t="s">
        <v>9033</v>
      </c>
      <c r="C9" s="19" t="s">
        <v>9034</v>
      </c>
      <c r="D9" s="8" t="s">
        <v>9035</v>
      </c>
      <c r="E9" s="20" t="s">
        <v>8998</v>
      </c>
      <c r="F9" s="20" t="s">
        <v>9036</v>
      </c>
      <c r="G9" s="20" t="s">
        <v>8951</v>
      </c>
      <c r="H9" s="20">
        <v>793062</v>
      </c>
      <c r="I9" s="20" t="s">
        <v>8952</v>
      </c>
      <c r="J9" s="20" t="s">
        <v>8953</v>
      </c>
      <c r="K9" s="20" t="s">
        <v>8954</v>
      </c>
      <c r="L9" s="21" t="s">
        <v>8955</v>
      </c>
      <c r="M9" s="20" t="s">
        <v>8956</v>
      </c>
      <c r="N9" s="20" t="s">
        <v>8957</v>
      </c>
      <c r="O9" s="20">
        <f t="shared" si="0"/>
        <v>9</v>
      </c>
      <c r="P9" s="22" t="s">
        <v>8975</v>
      </c>
      <c r="Q9" s="21" t="s">
        <v>8959</v>
      </c>
      <c r="R9" s="23" t="s">
        <v>8991</v>
      </c>
      <c r="S9" s="24" t="s">
        <v>8992</v>
      </c>
      <c r="T9" s="24" t="str">
        <f>VLOOKUP(R9,[1]Sheet3!$A$2:$A$47,1,0)</f>
        <v>China</v>
      </c>
      <c r="V9" s="24" t="s">
        <v>9037</v>
      </c>
      <c r="W9" s="18" t="s">
        <v>8964</v>
      </c>
      <c r="X9" s="26" t="s">
        <v>27</v>
      </c>
      <c r="Y9" s="18" t="s">
        <v>8994</v>
      </c>
      <c r="Z9" s="24" t="s">
        <v>17</v>
      </c>
    </row>
    <row r="10" spans="1:26" ht="20.100000000000001" customHeight="1" x14ac:dyDescent="0.2">
      <c r="A10" s="26" t="s">
        <v>9038</v>
      </c>
      <c r="B10" s="28" t="s">
        <v>9039</v>
      </c>
      <c r="C10" s="19" t="s">
        <v>9040</v>
      </c>
      <c r="D10" s="8" t="s">
        <v>8948</v>
      </c>
      <c r="E10" s="20" t="s">
        <v>8949</v>
      </c>
      <c r="F10" s="20" t="s">
        <v>9041</v>
      </c>
      <c r="G10" s="20" t="s">
        <v>8987</v>
      </c>
      <c r="H10" s="20">
        <v>133869</v>
      </c>
      <c r="I10" s="20" t="s">
        <v>9019</v>
      </c>
      <c r="J10" s="20" t="s">
        <v>8953</v>
      </c>
      <c r="K10" s="20" t="s">
        <v>8954</v>
      </c>
      <c r="L10" s="21" t="s">
        <v>8955</v>
      </c>
      <c r="M10" s="20" t="s">
        <v>8956</v>
      </c>
      <c r="N10" s="20" t="s">
        <v>8959</v>
      </c>
      <c r="O10" s="20">
        <f t="shared" si="0"/>
        <v>4</v>
      </c>
      <c r="P10" s="22" t="s">
        <v>8958</v>
      </c>
      <c r="Q10" s="21" t="s">
        <v>8959</v>
      </c>
      <c r="R10" s="23" t="s">
        <v>9010</v>
      </c>
      <c r="S10" s="24" t="s">
        <v>9042</v>
      </c>
      <c r="T10" s="24" t="str">
        <f>VLOOKUP(R10,[1]Sheet3!$A$2:$A$47,1,0)</f>
        <v>the United States of America</v>
      </c>
      <c r="U10" s="24" t="s">
        <v>9043</v>
      </c>
      <c r="V10" s="24" t="s">
        <v>9044</v>
      </c>
      <c r="W10" s="18" t="s">
        <v>8964</v>
      </c>
      <c r="X10" s="26" t="s">
        <v>322</v>
      </c>
      <c r="Y10" s="18" t="s">
        <v>9045</v>
      </c>
      <c r="Z10" s="24" t="s">
        <v>17</v>
      </c>
    </row>
    <row r="11" spans="1:26" ht="20.100000000000001" customHeight="1" x14ac:dyDescent="0.2">
      <c r="A11" s="26" t="s">
        <v>9046</v>
      </c>
      <c r="B11" s="19" t="s">
        <v>9047</v>
      </c>
      <c r="C11" s="19" t="s">
        <v>9048</v>
      </c>
      <c r="D11" s="8" t="s">
        <v>9049</v>
      </c>
      <c r="E11" s="20" t="s">
        <v>9050</v>
      </c>
      <c r="F11" s="20" t="s">
        <v>9051</v>
      </c>
      <c r="G11" s="20" t="s">
        <v>8973</v>
      </c>
      <c r="H11" s="20">
        <v>1050</v>
      </c>
      <c r="I11" s="20" t="s">
        <v>8952</v>
      </c>
      <c r="J11" s="20" t="s">
        <v>8953</v>
      </c>
      <c r="K11" s="20" t="s">
        <v>8954</v>
      </c>
      <c r="L11" s="21" t="s">
        <v>8955</v>
      </c>
      <c r="M11" s="20" t="s">
        <v>8956</v>
      </c>
      <c r="N11" s="20" t="s">
        <v>8957</v>
      </c>
      <c r="O11" s="20">
        <f t="shared" si="0"/>
        <v>8</v>
      </c>
      <c r="P11" s="22" t="s">
        <v>8975</v>
      </c>
      <c r="Q11" s="21" t="s">
        <v>8959</v>
      </c>
      <c r="R11" s="23" t="s">
        <v>8991</v>
      </c>
      <c r="S11" s="24" t="s">
        <v>9052</v>
      </c>
      <c r="T11" s="24" t="str">
        <f>VLOOKUP(R11,[1]Sheet3!$A$2:$A$47,1,0)</f>
        <v>China</v>
      </c>
      <c r="U11" s="24" t="s">
        <v>9053</v>
      </c>
      <c r="V11" s="24" t="s">
        <v>9054</v>
      </c>
      <c r="W11" s="18" t="s">
        <v>8964</v>
      </c>
      <c r="X11" s="26" t="s">
        <v>74</v>
      </c>
      <c r="Y11" s="18" t="s">
        <v>9055</v>
      </c>
      <c r="Z11" s="24" t="s">
        <v>17</v>
      </c>
    </row>
    <row r="12" spans="1:26" ht="20.100000000000001" customHeight="1" x14ac:dyDescent="0.2">
      <c r="A12" s="18" t="s">
        <v>9056</v>
      </c>
      <c r="B12" s="29" t="s">
        <v>9057</v>
      </c>
      <c r="C12" s="19" t="s">
        <v>9058</v>
      </c>
      <c r="D12" s="8" t="s">
        <v>8984</v>
      </c>
      <c r="E12" s="20" t="s">
        <v>8998</v>
      </c>
      <c r="F12" s="20" t="s">
        <v>8950</v>
      </c>
      <c r="G12" s="20" t="s">
        <v>8973</v>
      </c>
      <c r="H12" s="20">
        <v>85</v>
      </c>
      <c r="I12" s="20" t="s">
        <v>9008</v>
      </c>
      <c r="J12" s="20" t="s">
        <v>9059</v>
      </c>
      <c r="K12" s="20" t="s">
        <v>8989</v>
      </c>
      <c r="L12" s="21" t="s">
        <v>8955</v>
      </c>
      <c r="M12" s="20" t="s">
        <v>8956</v>
      </c>
      <c r="N12" s="20" t="s">
        <v>9060</v>
      </c>
      <c r="O12" s="20">
        <f t="shared" si="0"/>
        <v>5</v>
      </c>
      <c r="P12" s="22" t="s">
        <v>8958</v>
      </c>
      <c r="Q12" s="21" t="s">
        <v>9061</v>
      </c>
      <c r="R12" s="23" t="s">
        <v>9062</v>
      </c>
      <c r="S12" s="24" t="s">
        <v>8961</v>
      </c>
      <c r="T12" s="24" t="str">
        <f>VLOOKUP(R12,[1]Sheet3!$A$2:$A$47,1,0)</f>
        <v>Germany</v>
      </c>
      <c r="U12" s="24" t="s">
        <v>9063</v>
      </c>
      <c r="V12" s="24" t="s">
        <v>9064</v>
      </c>
      <c r="W12" s="18" t="s">
        <v>8964</v>
      </c>
      <c r="X12" s="26" t="s">
        <v>126</v>
      </c>
      <c r="Y12" s="18" t="s">
        <v>8966</v>
      </c>
      <c r="Z12" s="24" t="s">
        <v>17</v>
      </c>
    </row>
    <row r="13" spans="1:26" ht="20.100000000000001" customHeight="1" x14ac:dyDescent="0.2">
      <c r="A13" s="18" t="s">
        <v>9065</v>
      </c>
      <c r="B13" s="19" t="s">
        <v>9066</v>
      </c>
      <c r="C13" s="19" t="s">
        <v>9067</v>
      </c>
      <c r="D13" s="8" t="s">
        <v>9049</v>
      </c>
      <c r="E13" s="20" t="s">
        <v>9050</v>
      </c>
      <c r="F13" s="20" t="s">
        <v>9068</v>
      </c>
      <c r="G13" s="20" t="s">
        <v>8987</v>
      </c>
      <c r="H13" s="20">
        <v>1200</v>
      </c>
      <c r="I13" s="20" t="s">
        <v>8952</v>
      </c>
      <c r="J13" s="20" t="s">
        <v>8953</v>
      </c>
      <c r="K13" s="20" t="s">
        <v>8989</v>
      </c>
      <c r="L13" s="21" t="s">
        <v>8955</v>
      </c>
      <c r="M13" s="20" t="s">
        <v>8956</v>
      </c>
      <c r="N13" s="20" t="s">
        <v>8957</v>
      </c>
      <c r="O13" s="20">
        <f t="shared" si="0"/>
        <v>31</v>
      </c>
      <c r="P13" s="22" t="s">
        <v>8975</v>
      </c>
      <c r="Q13" s="21" t="s">
        <v>9061</v>
      </c>
      <c r="R13" s="23" t="s">
        <v>9069</v>
      </c>
      <c r="S13" s="24" t="s">
        <v>8961</v>
      </c>
      <c r="T13" s="24" t="str">
        <f>VLOOKUP(R13,[1]Sheet3!$A$2:$A$47,1,0)</f>
        <v>Austria</v>
      </c>
      <c r="U13" s="24" t="s">
        <v>9070</v>
      </c>
      <c r="V13" s="24" t="s">
        <v>9071</v>
      </c>
      <c r="W13" s="18" t="s">
        <v>8964</v>
      </c>
      <c r="X13" s="26" t="s">
        <v>126</v>
      </c>
      <c r="Y13" s="18" t="s">
        <v>8966</v>
      </c>
      <c r="Z13" s="24" t="s">
        <v>17</v>
      </c>
    </row>
    <row r="14" spans="1:26" ht="20.100000000000001" customHeight="1" x14ac:dyDescent="0.2">
      <c r="A14" s="18" t="s">
        <v>9072</v>
      </c>
      <c r="B14" s="19" t="s">
        <v>9073</v>
      </c>
      <c r="C14" s="19" t="s">
        <v>9074</v>
      </c>
      <c r="D14" s="8" t="s">
        <v>9075</v>
      </c>
      <c r="E14" s="20" t="s">
        <v>8949</v>
      </c>
      <c r="F14" s="20" t="s">
        <v>8972</v>
      </c>
      <c r="G14" s="20" t="s">
        <v>9076</v>
      </c>
      <c r="H14" s="20">
        <v>893</v>
      </c>
      <c r="I14" s="20" t="s">
        <v>9077</v>
      </c>
      <c r="J14" s="20" t="s">
        <v>8953</v>
      </c>
      <c r="K14" s="20" t="s">
        <v>8954</v>
      </c>
      <c r="L14" s="21" t="s">
        <v>8955</v>
      </c>
      <c r="M14" s="20" t="s">
        <v>8956</v>
      </c>
      <c r="N14" s="20" t="s">
        <v>8957</v>
      </c>
      <c r="O14" s="20">
        <f t="shared" si="0"/>
        <v>4</v>
      </c>
      <c r="P14" s="22" t="s">
        <v>8958</v>
      </c>
      <c r="Q14" s="21" t="s">
        <v>8959</v>
      </c>
      <c r="R14" s="23" t="s">
        <v>8991</v>
      </c>
      <c r="S14" s="24" t="s">
        <v>8961</v>
      </c>
      <c r="T14" s="24" t="str">
        <f>VLOOKUP(R14,[1]Sheet3!$A$2:$A$47,1,0)</f>
        <v>China</v>
      </c>
      <c r="U14" s="24" t="s">
        <v>9078</v>
      </c>
      <c r="V14" s="24" t="s">
        <v>9079</v>
      </c>
      <c r="W14" s="18" t="s">
        <v>8964</v>
      </c>
      <c r="X14" s="26" t="s">
        <v>126</v>
      </c>
      <c r="Y14" s="18" t="s">
        <v>8966</v>
      </c>
      <c r="Z14" s="24" t="s">
        <v>17</v>
      </c>
    </row>
    <row r="15" spans="1:26" ht="20.100000000000001" customHeight="1" x14ac:dyDescent="0.2">
      <c r="A15" s="18" t="s">
        <v>9080</v>
      </c>
      <c r="B15" s="19" t="s">
        <v>9081</v>
      </c>
      <c r="C15" s="19" t="s">
        <v>9082</v>
      </c>
      <c r="D15" s="8" t="s">
        <v>9083</v>
      </c>
      <c r="E15" s="20" t="s">
        <v>8998</v>
      </c>
      <c r="F15" s="20" t="s">
        <v>9084</v>
      </c>
      <c r="G15" s="20" t="s">
        <v>8973</v>
      </c>
      <c r="H15" s="20">
        <v>4993</v>
      </c>
      <c r="I15" s="20" t="s">
        <v>9019</v>
      </c>
      <c r="J15" s="20" t="s">
        <v>8953</v>
      </c>
      <c r="K15" s="20" t="s">
        <v>8954</v>
      </c>
      <c r="L15" s="21" t="s">
        <v>8955</v>
      </c>
      <c r="M15" s="20" t="s">
        <v>8956</v>
      </c>
      <c r="N15" s="20" t="s">
        <v>8957</v>
      </c>
      <c r="O15" s="20">
        <f t="shared" si="0"/>
        <v>5</v>
      </c>
      <c r="P15" s="22" t="s">
        <v>8958</v>
      </c>
      <c r="Q15" s="21" t="s">
        <v>8959</v>
      </c>
      <c r="R15" s="23" t="s">
        <v>8991</v>
      </c>
      <c r="S15" s="24" t="s">
        <v>9085</v>
      </c>
      <c r="T15" s="24" t="str">
        <f>VLOOKUP(R15,[1]Sheet3!$A$2:$A$47,1,0)</f>
        <v>China</v>
      </c>
      <c r="U15" s="24" t="s">
        <v>9086</v>
      </c>
      <c r="V15" s="24" t="s">
        <v>9087</v>
      </c>
      <c r="W15" s="18" t="s">
        <v>8964</v>
      </c>
      <c r="X15" s="26" t="s">
        <v>184</v>
      </c>
      <c r="Y15" s="18" t="s">
        <v>9088</v>
      </c>
      <c r="Z15" s="24" t="s">
        <v>17</v>
      </c>
    </row>
    <row r="16" spans="1:26" ht="20.100000000000001" customHeight="1" x14ac:dyDescent="0.2">
      <c r="A16" s="18" t="s">
        <v>9089</v>
      </c>
      <c r="B16" s="19" t="s">
        <v>9090</v>
      </c>
      <c r="C16" s="19" t="s">
        <v>9091</v>
      </c>
      <c r="D16" s="8" t="s">
        <v>9092</v>
      </c>
      <c r="E16" s="20" t="s">
        <v>8998</v>
      </c>
      <c r="F16" s="20" t="s">
        <v>9036</v>
      </c>
      <c r="G16" s="20" t="s">
        <v>9076</v>
      </c>
      <c r="H16" s="20">
        <v>50</v>
      </c>
      <c r="I16" s="20" t="s">
        <v>9008</v>
      </c>
      <c r="J16" s="20" t="s">
        <v>8953</v>
      </c>
      <c r="K16" s="20" t="s">
        <v>8989</v>
      </c>
      <c r="L16" s="21" t="s">
        <v>8955</v>
      </c>
      <c r="M16" s="20" t="s">
        <v>8956</v>
      </c>
      <c r="N16" s="20" t="s">
        <v>8959</v>
      </c>
      <c r="O16" s="20">
        <f t="shared" si="0"/>
        <v>9</v>
      </c>
      <c r="P16" s="22" t="s">
        <v>8975</v>
      </c>
      <c r="Q16" s="21" t="s">
        <v>8959</v>
      </c>
      <c r="R16" s="23" t="s">
        <v>9010</v>
      </c>
      <c r="S16" s="24" t="s">
        <v>9093</v>
      </c>
      <c r="T16" s="24" t="str">
        <f>VLOOKUP(R16,[1]Sheet3!$A$2:$A$47,1,0)</f>
        <v>the United States of America</v>
      </c>
      <c r="U16" s="24" t="s">
        <v>9094</v>
      </c>
      <c r="V16" s="24" t="s">
        <v>9095</v>
      </c>
      <c r="W16" s="18" t="s">
        <v>8964</v>
      </c>
      <c r="X16" s="26" t="s">
        <v>378</v>
      </c>
      <c r="Y16" s="18" t="s">
        <v>9096</v>
      </c>
      <c r="Z16" s="24" t="s">
        <v>17</v>
      </c>
    </row>
    <row r="17" spans="1:26" ht="20.100000000000001" customHeight="1" x14ac:dyDescent="0.2">
      <c r="A17" s="30" t="s">
        <v>9097</v>
      </c>
      <c r="B17" s="19" t="s">
        <v>9098</v>
      </c>
      <c r="C17" s="19" t="s">
        <v>9099</v>
      </c>
      <c r="D17" s="8" t="s">
        <v>9100</v>
      </c>
      <c r="E17" s="31" t="s">
        <v>9101</v>
      </c>
      <c r="F17" s="27" t="s">
        <v>9102</v>
      </c>
      <c r="G17" s="31" t="s">
        <v>8951</v>
      </c>
      <c r="H17" s="31">
        <v>100</v>
      </c>
      <c r="I17" s="20" t="s">
        <v>9008</v>
      </c>
      <c r="J17" s="20" t="s">
        <v>8953</v>
      </c>
      <c r="K17" s="31" t="s">
        <v>8989</v>
      </c>
      <c r="L17" s="21" t="s">
        <v>8955</v>
      </c>
      <c r="M17" s="20" t="s">
        <v>8956</v>
      </c>
      <c r="N17" s="20" t="s">
        <v>8959</v>
      </c>
      <c r="O17" s="20">
        <f t="shared" si="0"/>
        <v>2</v>
      </c>
      <c r="P17" s="22" t="s">
        <v>9103</v>
      </c>
      <c r="Q17" s="32" t="s">
        <v>8959</v>
      </c>
      <c r="R17" s="23" t="s">
        <v>9104</v>
      </c>
      <c r="S17" s="24" t="s">
        <v>9105</v>
      </c>
      <c r="T17" s="24" t="str">
        <f>VLOOKUP(R17,[1]Sheet3!$A$2:$A$47,1,0)</f>
        <v>Kenya</v>
      </c>
      <c r="U17" s="24" t="s">
        <v>9106</v>
      </c>
      <c r="V17" s="24" t="s">
        <v>9107</v>
      </c>
      <c r="W17" s="18" t="s">
        <v>8964</v>
      </c>
      <c r="X17" s="26" t="s">
        <v>342</v>
      </c>
      <c r="Y17" s="18" t="s">
        <v>9108</v>
      </c>
      <c r="Z17" s="24" t="s">
        <v>17</v>
      </c>
    </row>
    <row r="18" spans="1:26" ht="20.100000000000001" customHeight="1" x14ac:dyDescent="0.2">
      <c r="A18" s="30" t="s">
        <v>9109</v>
      </c>
      <c r="B18" s="19" t="s">
        <v>9110</v>
      </c>
      <c r="C18" s="19" t="s">
        <v>9111</v>
      </c>
      <c r="D18" s="8" t="s">
        <v>8948</v>
      </c>
      <c r="E18" s="20" t="s">
        <v>8998</v>
      </c>
      <c r="F18" s="20" t="s">
        <v>9112</v>
      </c>
      <c r="G18" s="20" t="s">
        <v>8973</v>
      </c>
      <c r="H18" s="20">
        <v>45</v>
      </c>
      <c r="I18" s="20" t="s">
        <v>9008</v>
      </c>
      <c r="J18" s="20" t="s">
        <v>8953</v>
      </c>
      <c r="K18" s="20" t="s">
        <v>8954</v>
      </c>
      <c r="L18" s="21" t="s">
        <v>8955</v>
      </c>
      <c r="M18" s="20" t="s">
        <v>8956</v>
      </c>
      <c r="N18" s="20" t="s">
        <v>9060</v>
      </c>
      <c r="O18" s="20">
        <f t="shared" si="0"/>
        <v>9</v>
      </c>
      <c r="P18" s="22" t="s">
        <v>8975</v>
      </c>
      <c r="Q18" s="21" t="s">
        <v>9009</v>
      </c>
      <c r="R18" s="23" t="s">
        <v>9113</v>
      </c>
      <c r="S18" s="24" t="s">
        <v>9114</v>
      </c>
      <c r="T18" s="24" t="str">
        <f>VLOOKUP(R18,[1]Sheet3!$A$2:$A$47,1,0)</f>
        <v>UK</v>
      </c>
      <c r="U18" s="24" t="s">
        <v>9115</v>
      </c>
      <c r="V18" s="24" t="s">
        <v>9116</v>
      </c>
      <c r="W18" s="18" t="s">
        <v>8964</v>
      </c>
      <c r="X18" s="26" t="s">
        <v>53</v>
      </c>
      <c r="Y18" s="18" t="s">
        <v>9117</v>
      </c>
      <c r="Z18" s="24" t="s">
        <v>17</v>
      </c>
    </row>
    <row r="19" spans="1:26" ht="20.100000000000001" customHeight="1" x14ac:dyDescent="0.2">
      <c r="A19" s="30" t="s">
        <v>9118</v>
      </c>
      <c r="B19" s="19" t="s">
        <v>9119</v>
      </c>
      <c r="C19" s="19" t="s">
        <v>9120</v>
      </c>
      <c r="D19" s="8" t="s">
        <v>9075</v>
      </c>
      <c r="E19" s="31" t="s">
        <v>9121</v>
      </c>
      <c r="F19" s="31" t="s">
        <v>9018</v>
      </c>
      <c r="G19" s="20" t="s">
        <v>9076</v>
      </c>
      <c r="H19" s="20">
        <v>1000</v>
      </c>
      <c r="I19" s="20" t="s">
        <v>9077</v>
      </c>
      <c r="J19" s="20" t="s">
        <v>8953</v>
      </c>
      <c r="K19" s="31" t="s">
        <v>9122</v>
      </c>
      <c r="L19" s="21" t="s">
        <v>8955</v>
      </c>
      <c r="M19" s="20" t="s">
        <v>8956</v>
      </c>
      <c r="N19" s="20" t="s">
        <v>8959</v>
      </c>
      <c r="O19" s="20">
        <f t="shared" si="0"/>
        <v>3</v>
      </c>
      <c r="P19" s="22" t="s">
        <v>9103</v>
      </c>
      <c r="Q19" s="32" t="s">
        <v>8959</v>
      </c>
      <c r="R19" s="23" t="s">
        <v>9123</v>
      </c>
      <c r="S19" s="18" t="s">
        <v>9124</v>
      </c>
      <c r="T19" s="24" t="str">
        <f>VLOOKUP(R19,[1]Sheet3!$A$2:$A$47,1,0)</f>
        <v>France</v>
      </c>
      <c r="U19" s="18" t="s">
        <v>9125</v>
      </c>
      <c r="V19" s="18" t="s">
        <v>9126</v>
      </c>
      <c r="W19" s="18" t="s">
        <v>8964</v>
      </c>
      <c r="X19" s="18" t="s">
        <v>1028</v>
      </c>
      <c r="Y19" s="18" t="s">
        <v>9127</v>
      </c>
      <c r="Z19" s="18" t="s">
        <v>17</v>
      </c>
    </row>
    <row r="20" spans="1:26" ht="20.100000000000001" customHeight="1" x14ac:dyDescent="0.2">
      <c r="A20" s="30" t="s">
        <v>9128</v>
      </c>
      <c r="B20" s="19" t="s">
        <v>9129</v>
      </c>
      <c r="C20" s="19" t="s">
        <v>9130</v>
      </c>
      <c r="D20" s="8" t="s">
        <v>8984</v>
      </c>
      <c r="E20" s="20" t="s">
        <v>9131</v>
      </c>
      <c r="F20" s="27" t="s">
        <v>9132</v>
      </c>
      <c r="G20" s="20" t="s">
        <v>9133</v>
      </c>
      <c r="H20" s="20">
        <v>1036496</v>
      </c>
      <c r="I20" s="20" t="s">
        <v>9019</v>
      </c>
      <c r="J20" s="20" t="s">
        <v>8953</v>
      </c>
      <c r="K20" s="20" t="s">
        <v>8954</v>
      </c>
      <c r="L20" s="32" t="s">
        <v>8955</v>
      </c>
      <c r="M20" s="20" t="s">
        <v>8956</v>
      </c>
      <c r="N20" s="20" t="s">
        <v>8957</v>
      </c>
      <c r="O20" s="20">
        <f t="shared" si="0"/>
        <v>26</v>
      </c>
      <c r="P20" s="22" t="s">
        <v>8975</v>
      </c>
      <c r="Q20" s="21" t="s">
        <v>9009</v>
      </c>
      <c r="R20" s="23" t="s">
        <v>8991</v>
      </c>
      <c r="S20" s="18" t="s">
        <v>9134</v>
      </c>
      <c r="T20" s="24" t="str">
        <f>VLOOKUP(R20,[1]Sheet3!$A$2:$A$47,1,0)</f>
        <v>China</v>
      </c>
      <c r="U20" s="18" t="s">
        <v>9135</v>
      </c>
      <c r="V20" s="18" t="s">
        <v>9136</v>
      </c>
      <c r="W20" s="18" t="s">
        <v>8964</v>
      </c>
      <c r="X20" s="18" t="s">
        <v>956</v>
      </c>
      <c r="Y20" s="18" t="s">
        <v>9137</v>
      </c>
      <c r="Z20" s="18" t="s">
        <v>17</v>
      </c>
    </row>
    <row r="21" spans="1:26" ht="20.100000000000001" customHeight="1" x14ac:dyDescent="0.2">
      <c r="A21" s="30" t="s">
        <v>9138</v>
      </c>
      <c r="B21" s="19" t="s">
        <v>9139</v>
      </c>
      <c r="C21" s="19" t="s">
        <v>9140</v>
      </c>
      <c r="D21" s="8" t="s">
        <v>8948</v>
      </c>
      <c r="E21" s="20" t="s">
        <v>8949</v>
      </c>
      <c r="F21" s="20" t="s">
        <v>8950</v>
      </c>
      <c r="G21" s="20" t="s">
        <v>8987</v>
      </c>
      <c r="H21" s="20">
        <v>195023</v>
      </c>
      <c r="I21" s="20" t="s">
        <v>9019</v>
      </c>
      <c r="J21" s="20" t="s">
        <v>8953</v>
      </c>
      <c r="K21" s="20" t="s">
        <v>8954</v>
      </c>
      <c r="L21" s="21" t="s">
        <v>8955</v>
      </c>
      <c r="M21" s="20" t="s">
        <v>8956</v>
      </c>
      <c r="N21" s="20" t="s">
        <v>8957</v>
      </c>
      <c r="O21" s="20">
        <f t="shared" si="0"/>
        <v>3</v>
      </c>
      <c r="P21" s="22" t="s">
        <v>9103</v>
      </c>
      <c r="Q21" s="21" t="s">
        <v>9061</v>
      </c>
      <c r="R21" s="23" t="s">
        <v>9010</v>
      </c>
      <c r="S21" s="18" t="s">
        <v>9141</v>
      </c>
      <c r="T21" s="24" t="str">
        <f>VLOOKUP(R21,[1]Sheet3!$A$2:$A$47,1,0)</f>
        <v>the United States of America</v>
      </c>
      <c r="U21" s="18" t="s">
        <v>9142</v>
      </c>
      <c r="V21" s="18" t="s">
        <v>9143</v>
      </c>
      <c r="W21" s="18" t="s">
        <v>8964</v>
      </c>
      <c r="X21" s="18" t="s">
        <v>1929</v>
      </c>
      <c r="Y21" s="18" t="s">
        <v>9144</v>
      </c>
      <c r="Z21" s="18" t="s">
        <v>17</v>
      </c>
    </row>
    <row r="22" spans="1:26" ht="20.100000000000001" customHeight="1" x14ac:dyDescent="0.2">
      <c r="A22" s="30" t="s">
        <v>9145</v>
      </c>
      <c r="B22" s="19" t="s">
        <v>9146</v>
      </c>
      <c r="C22" s="19" t="s">
        <v>9147</v>
      </c>
      <c r="D22" s="8" t="s">
        <v>9092</v>
      </c>
      <c r="E22" s="20" t="s">
        <v>8949</v>
      </c>
      <c r="F22" s="27" t="s">
        <v>9148</v>
      </c>
      <c r="G22" s="20" t="s">
        <v>9076</v>
      </c>
      <c r="H22" s="20">
        <v>410</v>
      </c>
      <c r="I22" s="20" t="s">
        <v>8988</v>
      </c>
      <c r="J22" s="20" t="s">
        <v>8953</v>
      </c>
      <c r="K22" s="20" t="s">
        <v>8954</v>
      </c>
      <c r="L22" s="21" t="s">
        <v>8955</v>
      </c>
      <c r="M22" s="20" t="s">
        <v>8956</v>
      </c>
      <c r="N22" s="20" t="s">
        <v>8957</v>
      </c>
      <c r="O22" s="20">
        <f t="shared" si="0"/>
        <v>5</v>
      </c>
      <c r="P22" s="22" t="s">
        <v>8958</v>
      </c>
      <c r="Q22" s="21" t="s">
        <v>8959</v>
      </c>
      <c r="R22" s="23" t="s">
        <v>8991</v>
      </c>
      <c r="S22" s="18" t="s">
        <v>9085</v>
      </c>
      <c r="T22" s="24" t="str">
        <f>VLOOKUP(R22,[1]Sheet3!$A$2:$A$47,1,0)</f>
        <v>China</v>
      </c>
      <c r="U22" s="18" t="s">
        <v>9149</v>
      </c>
      <c r="V22" s="18" t="s">
        <v>9150</v>
      </c>
      <c r="W22" s="18" t="s">
        <v>8964</v>
      </c>
      <c r="X22" s="18" t="s">
        <v>184</v>
      </c>
      <c r="Y22" s="18" t="s">
        <v>9088</v>
      </c>
      <c r="Z22" s="18" t="s">
        <v>17</v>
      </c>
    </row>
    <row r="23" spans="1:26" ht="20.100000000000001" customHeight="1" x14ac:dyDescent="0.2">
      <c r="A23" s="30" t="s">
        <v>9151</v>
      </c>
      <c r="B23" s="19" t="s">
        <v>9152</v>
      </c>
      <c r="C23" s="19" t="s">
        <v>9153</v>
      </c>
      <c r="D23" s="8" t="s">
        <v>9154</v>
      </c>
      <c r="E23" s="20" t="s">
        <v>9155</v>
      </c>
      <c r="F23" s="33" t="s">
        <v>9156</v>
      </c>
      <c r="G23" s="31" t="s">
        <v>9157</v>
      </c>
      <c r="H23" s="31">
        <v>132</v>
      </c>
      <c r="I23" s="20" t="s">
        <v>9158</v>
      </c>
      <c r="J23" s="31" t="s">
        <v>8953</v>
      </c>
      <c r="K23" s="20" t="s">
        <v>8989</v>
      </c>
      <c r="L23" s="21" t="s">
        <v>8955</v>
      </c>
      <c r="M23" s="20" t="s">
        <v>8956</v>
      </c>
      <c r="N23" s="20" t="s">
        <v>8957</v>
      </c>
      <c r="O23" s="20">
        <f t="shared" si="0"/>
        <v>7</v>
      </c>
      <c r="P23" s="22" t="s">
        <v>8958</v>
      </c>
      <c r="Q23" s="21" t="s">
        <v>8959</v>
      </c>
      <c r="R23" s="23" t="s">
        <v>9010</v>
      </c>
      <c r="S23" s="18" t="s">
        <v>9159</v>
      </c>
      <c r="T23" s="24" t="str">
        <f>VLOOKUP(R23,[1]Sheet3!$A$2:$A$47,1,0)</f>
        <v>the United States of America</v>
      </c>
      <c r="U23" s="34" t="s">
        <v>9160</v>
      </c>
      <c r="V23" s="18" t="s">
        <v>9161</v>
      </c>
      <c r="W23" s="18" t="s">
        <v>8964</v>
      </c>
      <c r="X23" s="18" t="s">
        <v>61</v>
      </c>
      <c r="Y23" s="18" t="s">
        <v>9162</v>
      </c>
      <c r="Z23" s="18" t="s">
        <v>17</v>
      </c>
    </row>
    <row r="24" spans="1:26" ht="20.100000000000001" customHeight="1" x14ac:dyDescent="0.2">
      <c r="A24" s="30" t="s">
        <v>9163</v>
      </c>
      <c r="B24" s="19" t="s">
        <v>9164</v>
      </c>
      <c r="C24" s="19" t="s">
        <v>9165</v>
      </c>
      <c r="D24" s="8" t="s">
        <v>9166</v>
      </c>
      <c r="E24" s="20" t="s">
        <v>8949</v>
      </c>
      <c r="F24" s="20" t="s">
        <v>9167</v>
      </c>
      <c r="G24" s="20" t="s">
        <v>9076</v>
      </c>
      <c r="H24" s="35">
        <v>18</v>
      </c>
      <c r="I24" s="20" t="s">
        <v>9008</v>
      </c>
      <c r="J24" s="20" t="s">
        <v>8953</v>
      </c>
      <c r="K24" s="20" t="s">
        <v>8989</v>
      </c>
      <c r="L24" s="21" t="s">
        <v>8955</v>
      </c>
      <c r="M24" s="20" t="s">
        <v>8956</v>
      </c>
      <c r="N24" s="20" t="s">
        <v>8957</v>
      </c>
      <c r="O24" s="20">
        <f t="shared" si="0"/>
        <v>4</v>
      </c>
      <c r="P24" s="22" t="s">
        <v>8958</v>
      </c>
      <c r="Q24" s="21" t="s">
        <v>8959</v>
      </c>
      <c r="R24" s="23" t="s">
        <v>9010</v>
      </c>
      <c r="S24" s="18" t="s">
        <v>9114</v>
      </c>
      <c r="T24" s="24" t="str">
        <f>VLOOKUP(R24,[1]Sheet3!$A$2:$A$47,1,0)</f>
        <v>the United States of America</v>
      </c>
      <c r="U24" s="18" t="s">
        <v>9168</v>
      </c>
      <c r="V24" s="18" t="s">
        <v>9169</v>
      </c>
      <c r="W24" s="18" t="s">
        <v>8964</v>
      </c>
      <c r="X24" s="18" t="s">
        <v>53</v>
      </c>
      <c r="Y24" s="18" t="s">
        <v>9117</v>
      </c>
      <c r="Z24" s="18" t="s">
        <v>17</v>
      </c>
    </row>
    <row r="25" spans="1:26" ht="20.100000000000001" customHeight="1" x14ac:dyDescent="0.2">
      <c r="A25" s="30" t="s">
        <v>9170</v>
      </c>
      <c r="B25" s="19" t="s">
        <v>9171</v>
      </c>
      <c r="C25" s="19" t="s">
        <v>9172</v>
      </c>
      <c r="D25" s="8" t="s">
        <v>9173</v>
      </c>
      <c r="E25" s="33" t="s">
        <v>9174</v>
      </c>
      <c r="F25" s="20" t="s">
        <v>9175</v>
      </c>
      <c r="G25" s="20" t="s">
        <v>8987</v>
      </c>
      <c r="H25" s="20">
        <v>112466</v>
      </c>
      <c r="I25" s="20" t="s">
        <v>9019</v>
      </c>
      <c r="J25" s="20" t="s">
        <v>8953</v>
      </c>
      <c r="K25" s="20" t="s">
        <v>8954</v>
      </c>
      <c r="L25" s="21" t="s">
        <v>8955</v>
      </c>
      <c r="M25" s="20" t="s">
        <v>8956</v>
      </c>
      <c r="N25" s="20" t="s">
        <v>8959</v>
      </c>
      <c r="O25" s="20">
        <f t="shared" si="0"/>
        <v>4</v>
      </c>
      <c r="P25" s="22" t="s">
        <v>8958</v>
      </c>
      <c r="Q25" s="21" t="s">
        <v>8959</v>
      </c>
      <c r="R25" s="23" t="s">
        <v>9176</v>
      </c>
      <c r="S25" s="18" t="s">
        <v>8992</v>
      </c>
      <c r="T25" s="24" t="str">
        <f>VLOOKUP(R25,[1]Sheet3!$A$2:$A$47,1,0)</f>
        <v>Australia</v>
      </c>
      <c r="U25" s="18" t="s">
        <v>9177</v>
      </c>
      <c r="V25" s="18" t="s">
        <v>9178</v>
      </c>
      <c r="W25" s="18" t="s">
        <v>8964</v>
      </c>
      <c r="X25" s="18" t="s">
        <v>27</v>
      </c>
      <c r="Y25" s="18" t="s">
        <v>8994</v>
      </c>
      <c r="Z25" s="18" t="s">
        <v>17</v>
      </c>
    </row>
    <row r="26" spans="1:26" ht="20.100000000000001" customHeight="1" x14ac:dyDescent="0.2">
      <c r="A26" s="36" t="s">
        <v>9179</v>
      </c>
      <c r="B26" s="28" t="s">
        <v>9180</v>
      </c>
      <c r="C26" s="28" t="s">
        <v>9181</v>
      </c>
      <c r="D26" s="8" t="s">
        <v>9075</v>
      </c>
      <c r="E26" s="35" t="s">
        <v>9121</v>
      </c>
      <c r="F26" s="35" t="s">
        <v>9036</v>
      </c>
      <c r="G26" s="35" t="s">
        <v>8951</v>
      </c>
      <c r="H26" s="35">
        <v>63480</v>
      </c>
      <c r="I26" s="35" t="s">
        <v>9019</v>
      </c>
      <c r="J26" s="35" t="s">
        <v>8953</v>
      </c>
      <c r="K26" s="35" t="s">
        <v>8954</v>
      </c>
      <c r="L26" s="37" t="s">
        <v>9182</v>
      </c>
      <c r="M26" s="35" t="s">
        <v>8956</v>
      </c>
      <c r="N26" s="35" t="s">
        <v>8957</v>
      </c>
      <c r="O26" s="35">
        <f t="shared" si="0"/>
        <v>8</v>
      </c>
      <c r="P26" s="38" t="s">
        <v>8975</v>
      </c>
      <c r="Q26" s="37" t="s">
        <v>9183</v>
      </c>
      <c r="R26" s="39" t="s">
        <v>9010</v>
      </c>
      <c r="S26" s="26" t="s">
        <v>9184</v>
      </c>
      <c r="T26" s="24" t="str">
        <f>VLOOKUP(R26,[1]Sheet3!$A$2:$A$47,1,0)</f>
        <v>the United States of America</v>
      </c>
      <c r="U26" s="26" t="s">
        <v>9185</v>
      </c>
      <c r="V26" s="26" t="s">
        <v>9186</v>
      </c>
      <c r="W26" s="26" t="s">
        <v>8964</v>
      </c>
      <c r="X26" s="26" t="s">
        <v>6684</v>
      </c>
      <c r="Y26" s="26" t="s">
        <v>9187</v>
      </c>
      <c r="Z26" s="26" t="s">
        <v>17</v>
      </c>
    </row>
    <row r="27" spans="1:26" ht="20.100000000000001" customHeight="1" x14ac:dyDescent="0.2">
      <c r="A27" s="36" t="s">
        <v>9188</v>
      </c>
      <c r="B27" s="28" t="s">
        <v>9189</v>
      </c>
      <c r="C27" s="28" t="s">
        <v>9190</v>
      </c>
      <c r="D27" s="8" t="s">
        <v>9191</v>
      </c>
      <c r="E27" s="35" t="s">
        <v>9155</v>
      </c>
      <c r="F27" s="35" t="s">
        <v>9192</v>
      </c>
      <c r="G27" s="35" t="s">
        <v>8973</v>
      </c>
      <c r="H27" s="35">
        <v>3618</v>
      </c>
      <c r="I27" s="35" t="s">
        <v>9019</v>
      </c>
      <c r="J27" s="35" t="s">
        <v>8953</v>
      </c>
      <c r="K27" s="35" t="s">
        <v>8954</v>
      </c>
      <c r="L27" s="37" t="s">
        <v>8955</v>
      </c>
      <c r="M27" s="35" t="s">
        <v>8990</v>
      </c>
      <c r="N27" s="35" t="s">
        <v>9060</v>
      </c>
      <c r="O27" s="35">
        <f t="shared" si="0"/>
        <v>2</v>
      </c>
      <c r="P27" s="38" t="s">
        <v>9103</v>
      </c>
      <c r="Q27" s="37" t="s">
        <v>8959</v>
      </c>
      <c r="R27" s="39" t="s">
        <v>9193</v>
      </c>
      <c r="S27" s="26" t="s">
        <v>9105</v>
      </c>
      <c r="T27" s="24" t="str">
        <f>VLOOKUP(R27,[1]Sheet3!$A$2:$A$47,1,0)</f>
        <v>Bangladesh</v>
      </c>
      <c r="U27" s="26" t="s">
        <v>9194</v>
      </c>
      <c r="V27" s="26" t="s">
        <v>9195</v>
      </c>
      <c r="W27" s="26" t="s">
        <v>8964</v>
      </c>
      <c r="X27" s="26" t="s">
        <v>342</v>
      </c>
      <c r="Y27" s="26" t="s">
        <v>9108</v>
      </c>
      <c r="Z27" s="26" t="s">
        <v>17</v>
      </c>
    </row>
    <row r="28" spans="1:26" ht="20.100000000000001" customHeight="1" x14ac:dyDescent="0.2">
      <c r="A28" s="36" t="s">
        <v>9196</v>
      </c>
      <c r="B28" s="28" t="s">
        <v>9197</v>
      </c>
      <c r="C28" s="28" t="s">
        <v>9198</v>
      </c>
      <c r="D28" s="8" t="s">
        <v>9100</v>
      </c>
      <c r="E28" s="35" t="s">
        <v>8949</v>
      </c>
      <c r="F28" s="35" t="s">
        <v>9199</v>
      </c>
      <c r="G28" s="35" t="s">
        <v>8973</v>
      </c>
      <c r="H28" s="35">
        <v>15</v>
      </c>
      <c r="I28" s="35" t="s">
        <v>9008</v>
      </c>
      <c r="J28" s="35" t="s">
        <v>9059</v>
      </c>
      <c r="K28" s="35" t="s">
        <v>8954</v>
      </c>
      <c r="L28" s="37" t="s">
        <v>8955</v>
      </c>
      <c r="M28" s="35" t="s">
        <v>8990</v>
      </c>
      <c r="N28" s="40" t="s">
        <v>9060</v>
      </c>
      <c r="O28" s="35">
        <f t="shared" si="0"/>
        <v>6</v>
      </c>
      <c r="P28" s="38" t="s">
        <v>8958</v>
      </c>
      <c r="Q28" s="37" t="s">
        <v>9061</v>
      </c>
      <c r="R28" s="39" t="s">
        <v>9010</v>
      </c>
      <c r="S28" s="26" t="s">
        <v>9141</v>
      </c>
      <c r="T28" s="24" t="str">
        <f>VLOOKUP(R28,[1]Sheet3!$A$2:$A$47,1,0)</f>
        <v>the United States of America</v>
      </c>
      <c r="U28" s="26" t="s">
        <v>9200</v>
      </c>
      <c r="V28" s="26" t="s">
        <v>9201</v>
      </c>
      <c r="W28" s="26" t="s">
        <v>8964</v>
      </c>
      <c r="X28" s="26" t="s">
        <v>1929</v>
      </c>
      <c r="Y28" s="26" t="s">
        <v>9144</v>
      </c>
      <c r="Z28" s="26" t="s">
        <v>17</v>
      </c>
    </row>
    <row r="29" spans="1:26" ht="20.100000000000001" customHeight="1" x14ac:dyDescent="0.2">
      <c r="A29" s="36" t="s">
        <v>9202</v>
      </c>
      <c r="B29" s="28" t="s">
        <v>9203</v>
      </c>
      <c r="C29" s="28" t="s">
        <v>9204</v>
      </c>
      <c r="D29" s="8" t="s">
        <v>8948</v>
      </c>
      <c r="E29" s="35" t="s">
        <v>8949</v>
      </c>
      <c r="F29" s="35" t="s">
        <v>8972</v>
      </c>
      <c r="G29" s="35" t="s">
        <v>8973</v>
      </c>
      <c r="H29" s="35">
        <v>476</v>
      </c>
      <c r="I29" s="35" t="s">
        <v>8988</v>
      </c>
      <c r="J29" s="35" t="s">
        <v>8953</v>
      </c>
      <c r="K29" s="35" t="s">
        <v>8954</v>
      </c>
      <c r="L29" s="37" t="s">
        <v>8955</v>
      </c>
      <c r="M29" s="35" t="s">
        <v>8956</v>
      </c>
      <c r="N29" s="35" t="s">
        <v>8957</v>
      </c>
      <c r="O29" s="35">
        <f t="shared" si="0"/>
        <v>5</v>
      </c>
      <c r="P29" s="38" t="s">
        <v>8958</v>
      </c>
      <c r="Q29" s="37" t="s">
        <v>8959</v>
      </c>
      <c r="R29" s="39" t="s">
        <v>9113</v>
      </c>
      <c r="S29" s="26" t="s">
        <v>9205</v>
      </c>
      <c r="T29" s="24" t="str">
        <f>VLOOKUP(R29,[1]Sheet3!$A$2:$A$47,1,0)</f>
        <v>UK</v>
      </c>
      <c r="U29" s="26" t="s">
        <v>9206</v>
      </c>
      <c r="V29" s="26" t="s">
        <v>9207</v>
      </c>
      <c r="W29" s="26" t="s">
        <v>8964</v>
      </c>
      <c r="X29" s="26" t="s">
        <v>8</v>
      </c>
      <c r="Y29" s="26" t="s">
        <v>9208</v>
      </c>
      <c r="Z29" s="26" t="s">
        <v>17</v>
      </c>
    </row>
    <row r="30" spans="1:26" ht="20.100000000000001" customHeight="1" x14ac:dyDescent="0.2">
      <c r="A30" s="36" t="s">
        <v>9209</v>
      </c>
      <c r="B30" s="28" t="s">
        <v>9210</v>
      </c>
      <c r="C30" s="28" t="s">
        <v>9211</v>
      </c>
      <c r="D30" s="8" t="s">
        <v>9049</v>
      </c>
      <c r="E30" s="35" t="s">
        <v>9050</v>
      </c>
      <c r="F30" s="35" t="s">
        <v>9212</v>
      </c>
      <c r="G30" s="35" t="s">
        <v>9133</v>
      </c>
      <c r="H30" s="35">
        <v>40</v>
      </c>
      <c r="I30" s="35" t="s">
        <v>9008</v>
      </c>
      <c r="J30" s="35" t="s">
        <v>8953</v>
      </c>
      <c r="K30" s="35" t="s">
        <v>8954</v>
      </c>
      <c r="L30" s="37" t="s">
        <v>8955</v>
      </c>
      <c r="M30" s="35" t="s">
        <v>8990</v>
      </c>
      <c r="N30" s="35" t="s">
        <v>8957</v>
      </c>
      <c r="O30" s="35">
        <f t="shared" si="0"/>
        <v>5</v>
      </c>
      <c r="P30" s="38" t="s">
        <v>8958</v>
      </c>
      <c r="Q30" s="37" t="s">
        <v>8959</v>
      </c>
      <c r="R30" s="39" t="s">
        <v>9213</v>
      </c>
      <c r="S30" s="26" t="s">
        <v>9214</v>
      </c>
      <c r="T30" s="24" t="str">
        <f>VLOOKUP(R30,[1]Sheet3!$A$2:$A$47,1,0)</f>
        <v>South Korea</v>
      </c>
      <c r="U30" s="26" t="s">
        <v>9215</v>
      </c>
      <c r="V30" s="26" t="s">
        <v>9216</v>
      </c>
      <c r="W30" s="26" t="s">
        <v>8964</v>
      </c>
      <c r="X30" s="26" t="s">
        <v>434</v>
      </c>
      <c r="Y30" s="26" t="s">
        <v>9217</v>
      </c>
      <c r="Z30" s="26" t="s">
        <v>17</v>
      </c>
    </row>
    <row r="31" spans="1:26" ht="20.100000000000001" customHeight="1" x14ac:dyDescent="0.2">
      <c r="A31" s="30" t="s">
        <v>9218</v>
      </c>
      <c r="B31" s="19" t="s">
        <v>9219</v>
      </c>
      <c r="C31" s="19" t="s">
        <v>9220</v>
      </c>
      <c r="D31" s="8" t="s">
        <v>8948</v>
      </c>
      <c r="E31" s="20" t="s">
        <v>8949</v>
      </c>
      <c r="F31" s="20" t="s">
        <v>9221</v>
      </c>
      <c r="G31" s="20" t="s">
        <v>8987</v>
      </c>
      <c r="H31" s="20">
        <v>1206</v>
      </c>
      <c r="I31" s="20" t="s">
        <v>8952</v>
      </c>
      <c r="J31" s="20" t="s">
        <v>8953</v>
      </c>
      <c r="K31" s="20" t="s">
        <v>8989</v>
      </c>
      <c r="L31" s="21" t="s">
        <v>8955</v>
      </c>
      <c r="M31" s="20" t="s">
        <v>8956</v>
      </c>
      <c r="N31" s="20" t="s">
        <v>9060</v>
      </c>
      <c r="O31" s="20">
        <f t="shared" si="0"/>
        <v>5</v>
      </c>
      <c r="P31" s="22" t="s">
        <v>8958</v>
      </c>
      <c r="Q31" s="21" t="s">
        <v>8959</v>
      </c>
      <c r="R31" s="23" t="s">
        <v>8991</v>
      </c>
      <c r="S31" s="18" t="s">
        <v>8992</v>
      </c>
      <c r="T31" s="24" t="str">
        <f>VLOOKUP(R31,[1]Sheet3!$A$2:$A$47,1,0)</f>
        <v>China</v>
      </c>
      <c r="U31" s="19" t="s">
        <v>9222</v>
      </c>
      <c r="V31" s="18" t="s">
        <v>9223</v>
      </c>
      <c r="W31" s="18" t="s">
        <v>8964</v>
      </c>
      <c r="X31" s="18" t="s">
        <v>27</v>
      </c>
      <c r="Y31" s="18" t="s">
        <v>8994</v>
      </c>
      <c r="Z31" s="18" t="s">
        <v>17</v>
      </c>
    </row>
    <row r="32" spans="1:26" ht="20.100000000000001" customHeight="1" x14ac:dyDescent="0.2">
      <c r="A32" s="30" t="s">
        <v>9224</v>
      </c>
      <c r="B32" s="19" t="s">
        <v>9225</v>
      </c>
      <c r="C32" s="19" t="s">
        <v>9226</v>
      </c>
      <c r="D32" s="8" t="s">
        <v>8984</v>
      </c>
      <c r="E32" s="20" t="s">
        <v>8998</v>
      </c>
      <c r="F32" s="27" t="s">
        <v>9227</v>
      </c>
      <c r="G32" s="20" t="s">
        <v>9133</v>
      </c>
      <c r="H32" s="20">
        <v>1300</v>
      </c>
      <c r="I32" s="20" t="s">
        <v>8952</v>
      </c>
      <c r="J32" s="20" t="s">
        <v>8953</v>
      </c>
      <c r="K32" s="20" t="s">
        <v>8989</v>
      </c>
      <c r="L32" s="21" t="s">
        <v>8955</v>
      </c>
      <c r="M32" s="20" t="s">
        <v>8956</v>
      </c>
      <c r="N32" s="20" t="s">
        <v>8957</v>
      </c>
      <c r="O32" s="20">
        <f t="shared" si="0"/>
        <v>5</v>
      </c>
      <c r="P32" s="22" t="s">
        <v>8958</v>
      </c>
      <c r="Q32" s="21" t="s">
        <v>8959</v>
      </c>
      <c r="R32" s="23" t="s">
        <v>8991</v>
      </c>
      <c r="S32" s="18" t="s">
        <v>9228</v>
      </c>
      <c r="T32" s="24" t="str">
        <f>VLOOKUP(R32,[1]Sheet3!$A$2:$A$47,1,0)</f>
        <v>China</v>
      </c>
      <c r="U32" s="18" t="s">
        <v>9229</v>
      </c>
      <c r="V32" s="18" t="s">
        <v>9230</v>
      </c>
      <c r="W32" s="18" t="s">
        <v>8964</v>
      </c>
      <c r="X32" s="18" t="s">
        <v>110</v>
      </c>
      <c r="Y32" s="18" t="s">
        <v>9231</v>
      </c>
      <c r="Z32" s="18" t="s">
        <v>17</v>
      </c>
    </row>
    <row r="33" spans="1:26" ht="20.100000000000001" customHeight="1" x14ac:dyDescent="0.2">
      <c r="A33" s="30" t="s">
        <v>9232</v>
      </c>
      <c r="B33" s="19" t="s">
        <v>9233</v>
      </c>
      <c r="C33" s="19" t="s">
        <v>9234</v>
      </c>
      <c r="D33" s="8" t="s">
        <v>8984</v>
      </c>
      <c r="E33" s="20" t="s">
        <v>8971</v>
      </c>
      <c r="F33" s="20" t="s">
        <v>8950</v>
      </c>
      <c r="G33" s="20" t="s">
        <v>8951</v>
      </c>
      <c r="H33" s="20">
        <v>1640</v>
      </c>
      <c r="I33" s="20" t="s">
        <v>8952</v>
      </c>
      <c r="J33" s="20" t="s">
        <v>8953</v>
      </c>
      <c r="K33" s="31" t="s">
        <v>8954</v>
      </c>
      <c r="L33" s="21" t="s">
        <v>8955</v>
      </c>
      <c r="M33" s="20" t="s">
        <v>8956</v>
      </c>
      <c r="N33" s="20" t="s">
        <v>8957</v>
      </c>
      <c r="O33" s="20">
        <f t="shared" si="0"/>
        <v>11</v>
      </c>
      <c r="P33" s="22" t="s">
        <v>8975</v>
      </c>
      <c r="Q33" s="21" t="s">
        <v>8959</v>
      </c>
      <c r="R33" s="23" t="s">
        <v>8991</v>
      </c>
      <c r="S33" s="18" t="s">
        <v>8992</v>
      </c>
      <c r="T33" s="24" t="str">
        <f>VLOOKUP(R33,[1]Sheet3!$A$2:$A$47,1,0)</f>
        <v>China</v>
      </c>
      <c r="U33" s="18" t="s">
        <v>9235</v>
      </c>
      <c r="V33" s="18" t="s">
        <v>9236</v>
      </c>
      <c r="W33" s="18" t="s">
        <v>8964</v>
      </c>
      <c r="X33" s="18" t="s">
        <v>27</v>
      </c>
      <c r="Y33" s="18" t="s">
        <v>8994</v>
      </c>
      <c r="Z33" s="18" t="s">
        <v>17</v>
      </c>
    </row>
    <row r="34" spans="1:26" ht="20.100000000000001" customHeight="1" x14ac:dyDescent="0.2">
      <c r="A34" s="30" t="s">
        <v>9237</v>
      </c>
      <c r="B34" s="19" t="s">
        <v>9238</v>
      </c>
      <c r="C34" s="19" t="s">
        <v>9239</v>
      </c>
      <c r="D34" s="8" t="s">
        <v>8948</v>
      </c>
      <c r="E34" s="20" t="s">
        <v>9155</v>
      </c>
      <c r="F34" s="20" t="s">
        <v>8950</v>
      </c>
      <c r="G34" s="20" t="s">
        <v>8973</v>
      </c>
      <c r="H34" s="20">
        <v>459</v>
      </c>
      <c r="I34" s="20" t="s">
        <v>8988</v>
      </c>
      <c r="J34" s="20" t="s">
        <v>8953</v>
      </c>
      <c r="K34" s="20" t="s">
        <v>8954</v>
      </c>
      <c r="L34" s="21" t="s">
        <v>8955</v>
      </c>
      <c r="M34" s="20" t="s">
        <v>8990</v>
      </c>
      <c r="N34" s="20" t="s">
        <v>8957</v>
      </c>
      <c r="O34" s="20">
        <f t="shared" si="0"/>
        <v>4</v>
      </c>
      <c r="P34" s="22" t="s">
        <v>8958</v>
      </c>
      <c r="Q34" s="21" t="s">
        <v>8959</v>
      </c>
      <c r="R34" s="23" t="s">
        <v>9123</v>
      </c>
      <c r="S34" s="18" t="s">
        <v>8961</v>
      </c>
      <c r="T34" s="24" t="str">
        <f>VLOOKUP(R34,[1]Sheet3!$A$2:$A$47,1,0)</f>
        <v>France</v>
      </c>
      <c r="U34" s="18" t="s">
        <v>9240</v>
      </c>
      <c r="V34" s="18" t="s">
        <v>9241</v>
      </c>
      <c r="W34" s="18" t="s">
        <v>8964</v>
      </c>
      <c r="X34" s="18" t="s">
        <v>126</v>
      </c>
      <c r="Y34" s="18" t="s">
        <v>8966</v>
      </c>
      <c r="Z34" s="18" t="s">
        <v>17</v>
      </c>
    </row>
    <row r="35" spans="1:26" ht="20.100000000000001" customHeight="1" x14ac:dyDescent="0.2">
      <c r="A35" s="30" t="s">
        <v>9242</v>
      </c>
      <c r="B35" s="19" t="s">
        <v>9243</v>
      </c>
      <c r="C35" s="19" t="s">
        <v>9244</v>
      </c>
      <c r="D35" s="8" t="s">
        <v>8948</v>
      </c>
      <c r="E35" s="20" t="s">
        <v>8998</v>
      </c>
      <c r="F35" s="20" t="s">
        <v>9245</v>
      </c>
      <c r="G35" s="20" t="s">
        <v>8951</v>
      </c>
      <c r="H35" s="20">
        <v>196</v>
      </c>
      <c r="I35" s="20" t="s">
        <v>9158</v>
      </c>
      <c r="J35" s="20" t="s">
        <v>8953</v>
      </c>
      <c r="K35" s="20" t="s">
        <v>8989</v>
      </c>
      <c r="L35" s="21" t="s">
        <v>8955</v>
      </c>
      <c r="M35" s="20" t="s">
        <v>8956</v>
      </c>
      <c r="N35" s="20" t="s">
        <v>9060</v>
      </c>
      <c r="O35" s="20">
        <f t="shared" si="0"/>
        <v>4</v>
      </c>
      <c r="P35" s="22" t="s">
        <v>8958</v>
      </c>
      <c r="Q35" s="21" t="s">
        <v>9061</v>
      </c>
      <c r="R35" s="23" t="s">
        <v>9246</v>
      </c>
      <c r="S35" s="18" t="s">
        <v>9159</v>
      </c>
      <c r="T35" s="24" t="str">
        <f>VLOOKUP(R35,[1]Sheet3!$A$2:$A$47,1,0)</f>
        <v>Netherlands</v>
      </c>
      <c r="U35" s="19" t="s">
        <v>9247</v>
      </c>
      <c r="V35" s="18" t="s">
        <v>9248</v>
      </c>
      <c r="W35" s="18" t="s">
        <v>8964</v>
      </c>
      <c r="X35" s="18" t="s">
        <v>61</v>
      </c>
      <c r="Y35" s="18" t="s">
        <v>9162</v>
      </c>
      <c r="Z35" s="18" t="s">
        <v>17</v>
      </c>
    </row>
    <row r="36" spans="1:26" ht="20.100000000000001" customHeight="1" x14ac:dyDescent="0.2">
      <c r="A36" s="30" t="s">
        <v>9249</v>
      </c>
      <c r="B36" s="19" t="s">
        <v>9250</v>
      </c>
      <c r="C36" s="19" t="s">
        <v>9251</v>
      </c>
      <c r="D36" s="8" t="s">
        <v>9252</v>
      </c>
      <c r="E36" s="20" t="s">
        <v>9253</v>
      </c>
      <c r="F36" s="20" t="s">
        <v>9254</v>
      </c>
      <c r="G36" s="20" t="s">
        <v>8951</v>
      </c>
      <c r="H36" s="20">
        <v>2478</v>
      </c>
      <c r="I36" s="20" t="s">
        <v>8952</v>
      </c>
      <c r="J36" s="20" t="s">
        <v>8953</v>
      </c>
      <c r="K36" s="20" t="s">
        <v>8989</v>
      </c>
      <c r="L36" s="21" t="s">
        <v>8955</v>
      </c>
      <c r="M36" s="20" t="s">
        <v>8990</v>
      </c>
      <c r="N36" s="20" t="s">
        <v>8957</v>
      </c>
      <c r="O36" s="20">
        <f t="shared" si="0"/>
        <v>6</v>
      </c>
      <c r="P36" s="22" t="s">
        <v>8958</v>
      </c>
      <c r="Q36" s="32" t="s">
        <v>9009</v>
      </c>
      <c r="R36" s="23" t="s">
        <v>9010</v>
      </c>
      <c r="S36" s="18" t="s">
        <v>9255</v>
      </c>
      <c r="T36" s="24" t="str">
        <f>VLOOKUP(R36,[1]Sheet3!$A$2:$A$47,1,0)</f>
        <v>the United States of America</v>
      </c>
      <c r="U36" s="18" t="s">
        <v>9256</v>
      </c>
      <c r="V36" s="18" t="s">
        <v>9257</v>
      </c>
      <c r="W36" s="18" t="s">
        <v>8964</v>
      </c>
      <c r="X36" s="18" t="s">
        <v>24</v>
      </c>
      <c r="Y36" s="18" t="s">
        <v>9258</v>
      </c>
      <c r="Z36" s="18" t="s">
        <v>17</v>
      </c>
    </row>
    <row r="37" spans="1:26" ht="20.100000000000001" customHeight="1" x14ac:dyDescent="0.2">
      <c r="A37" s="30" t="s">
        <v>9259</v>
      </c>
      <c r="B37" s="19" t="s">
        <v>9260</v>
      </c>
      <c r="C37" s="19" t="s">
        <v>9261</v>
      </c>
      <c r="D37" s="8" t="s">
        <v>8948</v>
      </c>
      <c r="E37" s="20" t="s">
        <v>8949</v>
      </c>
      <c r="F37" s="20" t="s">
        <v>8950</v>
      </c>
      <c r="G37" s="20" t="s">
        <v>8973</v>
      </c>
      <c r="H37" s="20">
        <v>1348</v>
      </c>
      <c r="I37" s="20" t="s">
        <v>9008</v>
      </c>
      <c r="J37" s="20" t="s">
        <v>8953</v>
      </c>
      <c r="K37" s="20" t="s">
        <v>8989</v>
      </c>
      <c r="L37" s="21" t="s">
        <v>8955</v>
      </c>
      <c r="M37" s="20" t="s">
        <v>8956</v>
      </c>
      <c r="N37" s="20" t="s">
        <v>9060</v>
      </c>
      <c r="O37" s="20">
        <f t="shared" si="0"/>
        <v>4</v>
      </c>
      <c r="P37" s="22" t="s">
        <v>8958</v>
      </c>
      <c r="Q37" s="21" t="s">
        <v>8959</v>
      </c>
      <c r="R37" s="23" t="s">
        <v>8991</v>
      </c>
      <c r="S37" s="18" t="s">
        <v>9262</v>
      </c>
      <c r="T37" s="24" t="str">
        <f>VLOOKUP(R37,[1]Sheet3!$A$2:$A$47,1,0)</f>
        <v>China</v>
      </c>
      <c r="U37" s="18" t="s">
        <v>9263</v>
      </c>
      <c r="V37" s="18" t="s">
        <v>9264</v>
      </c>
      <c r="W37" s="18" t="s">
        <v>8964</v>
      </c>
      <c r="X37" s="18" t="s">
        <v>1966</v>
      </c>
      <c r="Y37" s="18" t="s">
        <v>9265</v>
      </c>
      <c r="Z37" s="18" t="s">
        <v>17</v>
      </c>
    </row>
    <row r="38" spans="1:26" ht="20.100000000000001" customHeight="1" x14ac:dyDescent="0.2">
      <c r="A38" s="30" t="s">
        <v>9266</v>
      </c>
      <c r="B38" s="19" t="s">
        <v>9267</v>
      </c>
      <c r="C38" s="19" t="s">
        <v>9268</v>
      </c>
      <c r="D38" s="8" t="s">
        <v>9252</v>
      </c>
      <c r="E38" s="20" t="s">
        <v>9269</v>
      </c>
      <c r="F38" s="20" t="s">
        <v>9270</v>
      </c>
      <c r="G38" s="20" t="s">
        <v>8987</v>
      </c>
      <c r="H38" s="20">
        <v>478</v>
      </c>
      <c r="I38" s="20" t="s">
        <v>8988</v>
      </c>
      <c r="J38" s="20" t="s">
        <v>8953</v>
      </c>
      <c r="K38" s="20" t="s">
        <v>8954</v>
      </c>
      <c r="L38" s="21" t="s">
        <v>8955</v>
      </c>
      <c r="M38" s="20" t="s">
        <v>8956</v>
      </c>
      <c r="N38" s="20" t="s">
        <v>8957</v>
      </c>
      <c r="O38" s="20">
        <f t="shared" si="0"/>
        <v>4</v>
      </c>
      <c r="P38" s="22" t="s">
        <v>8958</v>
      </c>
      <c r="Q38" s="21" t="s">
        <v>8959</v>
      </c>
      <c r="R38" s="23" t="s">
        <v>8991</v>
      </c>
      <c r="S38" s="18" t="s">
        <v>9271</v>
      </c>
      <c r="T38" s="24" t="str">
        <f>VLOOKUP(R38,[1]Sheet3!$A$2:$A$47,1,0)</f>
        <v>China</v>
      </c>
      <c r="U38" s="18" t="s">
        <v>9272</v>
      </c>
      <c r="V38" s="18" t="s">
        <v>9273</v>
      </c>
      <c r="W38" s="18" t="s">
        <v>8964</v>
      </c>
      <c r="X38" s="18" t="s">
        <v>15</v>
      </c>
      <c r="Y38" s="18" t="s">
        <v>9274</v>
      </c>
      <c r="Z38" s="18" t="s">
        <v>17</v>
      </c>
    </row>
    <row r="39" spans="1:26" ht="20.100000000000001" customHeight="1" x14ac:dyDescent="0.2">
      <c r="A39" s="30" t="s">
        <v>9275</v>
      </c>
      <c r="B39" s="19" t="s">
        <v>9276</v>
      </c>
      <c r="C39" s="19" t="s">
        <v>9277</v>
      </c>
      <c r="D39" s="8" t="s">
        <v>9278</v>
      </c>
      <c r="E39" s="20" t="s">
        <v>8998</v>
      </c>
      <c r="F39" s="20" t="s">
        <v>8950</v>
      </c>
      <c r="G39" s="20" t="s">
        <v>8987</v>
      </c>
      <c r="H39" s="20">
        <v>600</v>
      </c>
      <c r="I39" s="20" t="s">
        <v>9077</v>
      </c>
      <c r="J39" s="20" t="s">
        <v>8953</v>
      </c>
      <c r="K39" s="20" t="s">
        <v>8954</v>
      </c>
      <c r="L39" s="21" t="s">
        <v>8955</v>
      </c>
      <c r="M39" s="20" t="s">
        <v>8956</v>
      </c>
      <c r="N39" s="20" t="s">
        <v>8957</v>
      </c>
      <c r="O39" s="20">
        <f t="shared" si="0"/>
        <v>9</v>
      </c>
      <c r="P39" s="22" t="s">
        <v>8975</v>
      </c>
      <c r="Q39" s="21" t="s">
        <v>9061</v>
      </c>
      <c r="R39" s="23" t="s">
        <v>9010</v>
      </c>
      <c r="S39" s="18" t="s">
        <v>9028</v>
      </c>
      <c r="T39" s="24" t="str">
        <f>VLOOKUP(R39,[1]Sheet3!$A$2:$A$47,1,0)</f>
        <v>the United States of America</v>
      </c>
      <c r="U39" s="18" t="s">
        <v>9279</v>
      </c>
      <c r="V39" s="18" t="s">
        <v>9280</v>
      </c>
      <c r="W39" s="18" t="s">
        <v>8964</v>
      </c>
      <c r="X39" s="18" t="s">
        <v>43</v>
      </c>
      <c r="Y39" s="18" t="s">
        <v>9031</v>
      </c>
      <c r="Z39" s="18" t="s">
        <v>17</v>
      </c>
    </row>
    <row r="40" spans="1:26" ht="20.100000000000001" customHeight="1" x14ac:dyDescent="0.2">
      <c r="A40" s="30" t="s">
        <v>9281</v>
      </c>
      <c r="B40" s="19" t="s">
        <v>9282</v>
      </c>
      <c r="C40" s="19" t="s">
        <v>9283</v>
      </c>
      <c r="D40" s="8" t="s">
        <v>9049</v>
      </c>
      <c r="E40" s="20" t="s">
        <v>9050</v>
      </c>
      <c r="F40" s="20" t="s">
        <v>9284</v>
      </c>
      <c r="G40" s="20" t="s">
        <v>8987</v>
      </c>
      <c r="H40" s="20">
        <v>576</v>
      </c>
      <c r="I40" s="20" t="s">
        <v>9077</v>
      </c>
      <c r="J40" s="20" t="s">
        <v>8953</v>
      </c>
      <c r="K40" s="20" t="s">
        <v>8954</v>
      </c>
      <c r="L40" s="21" t="s">
        <v>8955</v>
      </c>
      <c r="M40" s="20" t="s">
        <v>8956</v>
      </c>
      <c r="N40" s="20" t="s">
        <v>8959</v>
      </c>
      <c r="O40" s="20">
        <f t="shared" si="0"/>
        <v>10</v>
      </c>
      <c r="P40" s="22" t="s">
        <v>8975</v>
      </c>
      <c r="Q40" s="21" t="s">
        <v>9183</v>
      </c>
      <c r="R40" s="23" t="s">
        <v>9010</v>
      </c>
      <c r="S40" s="18" t="s">
        <v>9285</v>
      </c>
      <c r="T40" s="24" t="str">
        <f>VLOOKUP(R40,[1]Sheet3!$A$2:$A$47,1,0)</f>
        <v>the United States of America</v>
      </c>
      <c r="U40" s="18" t="s">
        <v>9286</v>
      </c>
      <c r="V40" s="18" t="s">
        <v>9287</v>
      </c>
      <c r="W40" s="18" t="s">
        <v>8964</v>
      </c>
      <c r="X40" s="18" t="s">
        <v>4671</v>
      </c>
      <c r="Y40" s="18" t="s">
        <v>9288</v>
      </c>
      <c r="Z40" s="18" t="s">
        <v>17</v>
      </c>
    </row>
    <row r="41" spans="1:26" ht="20.100000000000001" customHeight="1" x14ac:dyDescent="0.2">
      <c r="A41" s="30" t="s">
        <v>9289</v>
      </c>
      <c r="B41" s="19" t="s">
        <v>9290</v>
      </c>
      <c r="C41" s="19" t="s">
        <v>9291</v>
      </c>
      <c r="D41" s="8" t="s">
        <v>9035</v>
      </c>
      <c r="E41" s="41" t="s">
        <v>9155</v>
      </c>
      <c r="F41" s="42" t="s">
        <v>8950</v>
      </c>
      <c r="G41" s="20" t="s">
        <v>9292</v>
      </c>
      <c r="H41" s="20">
        <v>944</v>
      </c>
      <c r="I41" s="20" t="s">
        <v>9077</v>
      </c>
      <c r="J41" s="20" t="s">
        <v>8953</v>
      </c>
      <c r="K41" s="31" t="s">
        <v>8954</v>
      </c>
      <c r="L41" s="32" t="s">
        <v>8955</v>
      </c>
      <c r="M41" s="20" t="s">
        <v>8956</v>
      </c>
      <c r="N41" s="20" t="s">
        <v>9060</v>
      </c>
      <c r="O41" s="20">
        <f t="shared" si="0"/>
        <v>9</v>
      </c>
      <c r="P41" s="22" t="s">
        <v>8975</v>
      </c>
      <c r="Q41" s="21" t="s">
        <v>8959</v>
      </c>
      <c r="R41" s="23" t="s">
        <v>9010</v>
      </c>
      <c r="S41" s="18" t="s">
        <v>9293</v>
      </c>
      <c r="T41" s="24" t="str">
        <f>VLOOKUP(R41,[1]Sheet3!$A$2:$A$47,1,0)</f>
        <v>the United States of America</v>
      </c>
      <c r="U41" s="18" t="s">
        <v>9294</v>
      </c>
      <c r="V41" s="18" t="s">
        <v>9295</v>
      </c>
      <c r="W41" s="18" t="s">
        <v>8964</v>
      </c>
      <c r="X41" s="18" t="s">
        <v>686</v>
      </c>
      <c r="Y41" s="18" t="s">
        <v>9296</v>
      </c>
      <c r="Z41" s="18" t="s">
        <v>17</v>
      </c>
    </row>
    <row r="42" spans="1:26" ht="20.100000000000001" customHeight="1" x14ac:dyDescent="0.2">
      <c r="A42" s="30" t="s">
        <v>9297</v>
      </c>
      <c r="B42" s="19" t="s">
        <v>9298</v>
      </c>
      <c r="C42" s="19" t="s">
        <v>9299</v>
      </c>
      <c r="D42" s="8" t="s">
        <v>9035</v>
      </c>
      <c r="E42" s="20" t="s">
        <v>8998</v>
      </c>
      <c r="F42" s="27" t="s">
        <v>9300</v>
      </c>
      <c r="G42" s="20" t="s">
        <v>9076</v>
      </c>
      <c r="H42" s="20">
        <v>542</v>
      </c>
      <c r="I42" s="20" t="s">
        <v>9077</v>
      </c>
      <c r="J42" s="20" t="s">
        <v>9059</v>
      </c>
      <c r="K42" s="20" t="s">
        <v>8954</v>
      </c>
      <c r="L42" s="21" t="s">
        <v>8955</v>
      </c>
      <c r="M42" s="20" t="s">
        <v>8956</v>
      </c>
      <c r="N42" s="20" t="s">
        <v>8957</v>
      </c>
      <c r="O42" s="20">
        <f t="shared" si="0"/>
        <v>3</v>
      </c>
      <c r="P42" s="22" t="s">
        <v>9103</v>
      </c>
      <c r="Q42" s="21" t="s">
        <v>8959</v>
      </c>
      <c r="R42" s="23" t="s">
        <v>9010</v>
      </c>
      <c r="S42" s="18" t="s">
        <v>9301</v>
      </c>
      <c r="T42" s="24" t="str">
        <f>VLOOKUP(R42,[1]Sheet3!$A$2:$A$47,1,0)</f>
        <v>the United States of America</v>
      </c>
      <c r="U42" s="19" t="s">
        <v>9302</v>
      </c>
      <c r="V42" s="18" t="s">
        <v>9303</v>
      </c>
      <c r="W42" s="18" t="s">
        <v>8964</v>
      </c>
      <c r="X42" s="18" t="s">
        <v>7789</v>
      </c>
      <c r="Y42" s="18" t="s">
        <v>9304</v>
      </c>
      <c r="Z42" s="18" t="s">
        <v>17</v>
      </c>
    </row>
    <row r="43" spans="1:26" ht="20.100000000000001" customHeight="1" x14ac:dyDescent="0.2">
      <c r="A43" s="30" t="s">
        <v>9305</v>
      </c>
      <c r="B43" s="19" t="s">
        <v>9306</v>
      </c>
      <c r="C43" s="19" t="s">
        <v>9307</v>
      </c>
      <c r="D43" s="8" t="s">
        <v>9252</v>
      </c>
      <c r="E43" s="20" t="s">
        <v>9308</v>
      </c>
      <c r="F43" s="20" t="s">
        <v>9309</v>
      </c>
      <c r="G43" s="20" t="s">
        <v>8973</v>
      </c>
      <c r="H43" s="20">
        <v>2606</v>
      </c>
      <c r="I43" s="20" t="s">
        <v>8952</v>
      </c>
      <c r="J43" s="20" t="s">
        <v>8953</v>
      </c>
      <c r="K43" s="20" t="s">
        <v>8954</v>
      </c>
      <c r="L43" s="21" t="s">
        <v>8955</v>
      </c>
      <c r="M43" s="20" t="s">
        <v>8990</v>
      </c>
      <c r="N43" s="20" t="s">
        <v>8957</v>
      </c>
      <c r="O43" s="20">
        <f t="shared" si="0"/>
        <v>5</v>
      </c>
      <c r="P43" s="22" t="s">
        <v>8958</v>
      </c>
      <c r="Q43" s="21" t="s">
        <v>8959</v>
      </c>
      <c r="R43" s="23" t="s">
        <v>9310</v>
      </c>
      <c r="S43" s="18" t="s">
        <v>9085</v>
      </c>
      <c r="T43" s="24" t="str">
        <f>VLOOKUP(R43,[1]Sheet3!$A$2:$A$47,1,0)</f>
        <v>China</v>
      </c>
      <c r="U43" s="18" t="s">
        <v>9311</v>
      </c>
      <c r="V43" s="18" t="s">
        <v>9312</v>
      </c>
      <c r="W43" s="18" t="s">
        <v>8964</v>
      </c>
      <c r="X43" s="18" t="s">
        <v>184</v>
      </c>
      <c r="Y43" s="18" t="s">
        <v>9088</v>
      </c>
      <c r="Z43" s="18" t="s">
        <v>17</v>
      </c>
    </row>
    <row r="44" spans="1:26" ht="20.100000000000001" customHeight="1" x14ac:dyDescent="0.2">
      <c r="A44" s="30" t="s">
        <v>9313</v>
      </c>
      <c r="B44" s="19" t="s">
        <v>9314</v>
      </c>
      <c r="C44" s="19" t="s">
        <v>9315</v>
      </c>
      <c r="D44" s="8" t="s">
        <v>8948</v>
      </c>
      <c r="E44" s="20" t="s">
        <v>8949</v>
      </c>
      <c r="F44" s="20" t="s">
        <v>9316</v>
      </c>
      <c r="G44" s="20" t="s">
        <v>8987</v>
      </c>
      <c r="H44" s="20">
        <v>969</v>
      </c>
      <c r="I44" s="20" t="s">
        <v>9158</v>
      </c>
      <c r="J44" s="20" t="s">
        <v>9059</v>
      </c>
      <c r="K44" s="20" t="s">
        <v>8989</v>
      </c>
      <c r="L44" s="21" t="s">
        <v>8955</v>
      </c>
      <c r="M44" s="20" t="s">
        <v>8956</v>
      </c>
      <c r="N44" s="20" t="s">
        <v>8957</v>
      </c>
      <c r="O44" s="20">
        <f t="shared" si="0"/>
        <v>4</v>
      </c>
      <c r="P44" s="22" t="s">
        <v>8958</v>
      </c>
      <c r="Q44" s="32" t="s">
        <v>8959</v>
      </c>
      <c r="R44" s="23" t="s">
        <v>9317</v>
      </c>
      <c r="S44" s="18" t="s">
        <v>9318</v>
      </c>
      <c r="T44" s="24" t="str">
        <f>VLOOKUP(R44,[1]Sheet3!$A$2:$A$47,1,0)</f>
        <v>Germany</v>
      </c>
      <c r="U44" s="18" t="s">
        <v>9319</v>
      </c>
      <c r="V44" s="18" t="s">
        <v>9320</v>
      </c>
      <c r="W44" s="18" t="s">
        <v>8964</v>
      </c>
      <c r="X44" s="18" t="s">
        <v>846</v>
      </c>
      <c r="Y44" s="18" t="s">
        <v>9321</v>
      </c>
      <c r="Z44" s="18" t="s">
        <v>17</v>
      </c>
    </row>
    <row r="45" spans="1:26" ht="20.100000000000001" customHeight="1" x14ac:dyDescent="0.2">
      <c r="A45" s="30" t="s">
        <v>9322</v>
      </c>
      <c r="B45" s="19" t="s">
        <v>9323</v>
      </c>
      <c r="C45" s="19" t="s">
        <v>9324</v>
      </c>
      <c r="D45" s="8" t="s">
        <v>9049</v>
      </c>
      <c r="E45" s="31" t="s">
        <v>9325</v>
      </c>
      <c r="F45" s="31" t="s">
        <v>9326</v>
      </c>
      <c r="G45" s="20" t="s">
        <v>8987</v>
      </c>
      <c r="H45" s="20">
        <v>9600</v>
      </c>
      <c r="I45" s="31" t="s">
        <v>9019</v>
      </c>
      <c r="J45" s="31" t="s">
        <v>8953</v>
      </c>
      <c r="K45" s="20" t="s">
        <v>8954</v>
      </c>
      <c r="L45" s="21" t="s">
        <v>8955</v>
      </c>
      <c r="M45" s="20" t="s">
        <v>8990</v>
      </c>
      <c r="N45" s="20" t="s">
        <v>8974</v>
      </c>
      <c r="O45" s="20">
        <f t="shared" si="0"/>
        <v>7</v>
      </c>
      <c r="P45" s="22" t="s">
        <v>8958</v>
      </c>
      <c r="Q45" s="21" t="s">
        <v>8959</v>
      </c>
      <c r="R45" s="23" t="s">
        <v>9327</v>
      </c>
      <c r="S45" s="18" t="s">
        <v>9085</v>
      </c>
      <c r="T45" s="24" t="str">
        <f>VLOOKUP(R45,[1]Sheet3!$A$2:$A$47,1,0)</f>
        <v>Colombia</v>
      </c>
      <c r="U45" s="18" t="s">
        <v>9328</v>
      </c>
      <c r="V45" s="18" t="s">
        <v>9329</v>
      </c>
      <c r="W45" s="18" t="s">
        <v>8964</v>
      </c>
      <c r="X45" s="18" t="s">
        <v>184</v>
      </c>
      <c r="Y45" s="18" t="s">
        <v>9088</v>
      </c>
      <c r="Z45" s="18" t="s">
        <v>17</v>
      </c>
    </row>
    <row r="46" spans="1:26" ht="20.100000000000001" customHeight="1" x14ac:dyDescent="0.2">
      <c r="A46" s="30" t="s">
        <v>9330</v>
      </c>
      <c r="B46" s="19" t="s">
        <v>9331</v>
      </c>
      <c r="C46" s="19" t="s">
        <v>9332</v>
      </c>
      <c r="D46" s="8" t="s">
        <v>9049</v>
      </c>
      <c r="E46" s="31" t="s">
        <v>9325</v>
      </c>
      <c r="F46" s="20" t="s">
        <v>8950</v>
      </c>
      <c r="G46" s="20" t="s">
        <v>8987</v>
      </c>
      <c r="H46" s="20">
        <v>518</v>
      </c>
      <c r="I46" s="20" t="s">
        <v>8952</v>
      </c>
      <c r="J46" s="20" t="s">
        <v>8953</v>
      </c>
      <c r="K46" s="31" t="s">
        <v>8954</v>
      </c>
      <c r="L46" s="21" t="s">
        <v>8955</v>
      </c>
      <c r="M46" s="20" t="s">
        <v>8990</v>
      </c>
      <c r="N46" s="20" t="s">
        <v>8959</v>
      </c>
      <c r="O46" s="20">
        <f t="shared" si="0"/>
        <v>11</v>
      </c>
      <c r="P46" s="22" t="s">
        <v>8975</v>
      </c>
      <c r="Q46" s="32" t="s">
        <v>9183</v>
      </c>
      <c r="R46" s="23" t="s">
        <v>9333</v>
      </c>
      <c r="S46" s="18" t="s">
        <v>9334</v>
      </c>
      <c r="T46" s="24" t="str">
        <f>VLOOKUP(R46,[1]Sheet3!$A$2:$A$47,1,0)</f>
        <v>Japan</v>
      </c>
      <c r="U46" s="18" t="s">
        <v>9335</v>
      </c>
      <c r="V46" s="18" t="s">
        <v>9336</v>
      </c>
      <c r="W46" s="18" t="s">
        <v>8964</v>
      </c>
      <c r="X46" s="18" t="s">
        <v>5280</v>
      </c>
      <c r="Y46" s="18" t="s">
        <v>9337</v>
      </c>
      <c r="Z46" s="18" t="s">
        <v>17</v>
      </c>
    </row>
    <row r="47" spans="1:26" ht="20.100000000000001" customHeight="1" x14ac:dyDescent="0.2">
      <c r="A47" s="30" t="s">
        <v>9338</v>
      </c>
      <c r="B47" s="19" t="s">
        <v>9339</v>
      </c>
      <c r="C47" s="19" t="s">
        <v>9340</v>
      </c>
      <c r="D47" s="8" t="s">
        <v>8984</v>
      </c>
      <c r="E47" s="20" t="s">
        <v>8998</v>
      </c>
      <c r="F47" s="20" t="s">
        <v>9341</v>
      </c>
      <c r="G47" s="20" t="s">
        <v>9076</v>
      </c>
      <c r="H47" s="20">
        <v>60</v>
      </c>
      <c r="I47" s="20" t="s">
        <v>9008</v>
      </c>
      <c r="J47" s="20" t="s">
        <v>8953</v>
      </c>
      <c r="K47" s="20" t="s">
        <v>8954</v>
      </c>
      <c r="L47" s="21" t="s">
        <v>8955</v>
      </c>
      <c r="M47" s="20" t="s">
        <v>8990</v>
      </c>
      <c r="N47" s="20" t="s">
        <v>8957</v>
      </c>
      <c r="O47" s="20">
        <f t="shared" si="0"/>
        <v>8</v>
      </c>
      <c r="P47" s="22" t="s">
        <v>8975</v>
      </c>
      <c r="Q47" s="32" t="s">
        <v>8959</v>
      </c>
      <c r="R47" s="23" t="s">
        <v>9317</v>
      </c>
      <c r="S47" s="18" t="s">
        <v>9342</v>
      </c>
      <c r="T47" s="24" t="str">
        <f>VLOOKUP(R47,[1]Sheet3!$A$2:$A$47,1,0)</f>
        <v>Germany</v>
      </c>
      <c r="U47" s="18" t="s">
        <v>9343</v>
      </c>
      <c r="V47" s="18" t="s">
        <v>9344</v>
      </c>
      <c r="W47" s="18" t="s">
        <v>8964</v>
      </c>
      <c r="X47" s="18" t="s">
        <v>64</v>
      </c>
      <c r="Y47" s="18" t="s">
        <v>9345</v>
      </c>
      <c r="Z47" s="18" t="s">
        <v>17</v>
      </c>
    </row>
    <row r="48" spans="1:26" ht="20.100000000000001" customHeight="1" x14ac:dyDescent="0.2">
      <c r="A48" s="30" t="s">
        <v>9346</v>
      </c>
      <c r="B48" s="19" t="s">
        <v>9347</v>
      </c>
      <c r="C48" s="19" t="s">
        <v>9348</v>
      </c>
      <c r="D48" s="8" t="s">
        <v>8984</v>
      </c>
      <c r="E48" s="20" t="s">
        <v>8998</v>
      </c>
      <c r="F48" s="20" t="s">
        <v>9349</v>
      </c>
      <c r="G48" s="20" t="s">
        <v>8973</v>
      </c>
      <c r="H48" s="20">
        <v>208</v>
      </c>
      <c r="I48" s="20" t="s">
        <v>9158</v>
      </c>
      <c r="J48" s="20" t="s">
        <v>8953</v>
      </c>
      <c r="K48" s="20" t="s">
        <v>8954</v>
      </c>
      <c r="L48" s="21" t="s">
        <v>8955</v>
      </c>
      <c r="M48" s="20" t="s">
        <v>8956</v>
      </c>
      <c r="N48" s="31" t="s">
        <v>8959</v>
      </c>
      <c r="O48" s="20">
        <f t="shared" si="0"/>
        <v>3</v>
      </c>
      <c r="P48" s="22" t="s">
        <v>9103</v>
      </c>
      <c r="Q48" s="21" t="s">
        <v>9061</v>
      </c>
      <c r="R48" s="23" t="s">
        <v>9010</v>
      </c>
      <c r="S48" s="18" t="s">
        <v>9011</v>
      </c>
      <c r="T48" s="24" t="str">
        <f>VLOOKUP(R48,[1]Sheet3!$A$2:$A$47,1,0)</f>
        <v>the United States of America</v>
      </c>
      <c r="U48" s="18" t="s">
        <v>9350</v>
      </c>
      <c r="V48" s="18" t="s">
        <v>9351</v>
      </c>
      <c r="W48" s="18" t="s">
        <v>8964</v>
      </c>
      <c r="X48" s="18" t="s">
        <v>93</v>
      </c>
      <c r="Y48" s="18" t="s">
        <v>9014</v>
      </c>
      <c r="Z48" s="18" t="s">
        <v>17</v>
      </c>
    </row>
    <row r="49" spans="1:26" ht="20.100000000000001" customHeight="1" x14ac:dyDescent="0.2">
      <c r="A49" s="30" t="s">
        <v>9352</v>
      </c>
      <c r="B49" s="19" t="s">
        <v>9353</v>
      </c>
      <c r="C49" s="19" t="s">
        <v>9354</v>
      </c>
      <c r="D49" s="8" t="s">
        <v>8948</v>
      </c>
      <c r="E49" s="20" t="s">
        <v>8949</v>
      </c>
      <c r="F49" s="20" t="s">
        <v>9355</v>
      </c>
      <c r="G49" s="20" t="s">
        <v>9133</v>
      </c>
      <c r="H49" s="20">
        <v>3000</v>
      </c>
      <c r="I49" s="20" t="s">
        <v>8952</v>
      </c>
      <c r="J49" s="20" t="s">
        <v>8953</v>
      </c>
      <c r="K49" s="20" t="s">
        <v>8989</v>
      </c>
      <c r="L49" s="21" t="s">
        <v>8955</v>
      </c>
      <c r="M49" s="20" t="s">
        <v>8956</v>
      </c>
      <c r="N49" s="20" t="s">
        <v>8957</v>
      </c>
      <c r="O49" s="20">
        <f t="shared" si="0"/>
        <v>9</v>
      </c>
      <c r="P49" s="22" t="s">
        <v>8975</v>
      </c>
      <c r="Q49" s="21" t="s">
        <v>9061</v>
      </c>
      <c r="R49" s="23" t="s">
        <v>9356</v>
      </c>
      <c r="S49" s="18" t="s">
        <v>9357</v>
      </c>
      <c r="T49" s="24" t="str">
        <f>VLOOKUP(R49,[1]Sheet3!$A$2:$A$47,1,0)</f>
        <v>Japan</v>
      </c>
      <c r="U49" s="18" t="s">
        <v>9358</v>
      </c>
      <c r="V49" s="18" t="s">
        <v>9359</v>
      </c>
      <c r="W49" s="18" t="s">
        <v>8964</v>
      </c>
      <c r="X49" s="18" t="s">
        <v>3658</v>
      </c>
      <c r="Y49" s="18" t="s">
        <v>9360</v>
      </c>
      <c r="Z49" s="18" t="s">
        <v>17</v>
      </c>
    </row>
    <row r="50" spans="1:26" ht="20.100000000000001" customHeight="1" x14ac:dyDescent="0.2">
      <c r="A50" s="30" t="s">
        <v>9361</v>
      </c>
      <c r="B50" s="19" t="s">
        <v>9362</v>
      </c>
      <c r="C50" s="19" t="s">
        <v>9363</v>
      </c>
      <c r="D50" s="8" t="s">
        <v>9035</v>
      </c>
      <c r="E50" s="20" t="s">
        <v>8998</v>
      </c>
      <c r="F50" s="20" t="s">
        <v>9036</v>
      </c>
      <c r="G50" s="20" t="s">
        <v>8987</v>
      </c>
      <c r="H50" s="20">
        <v>1018</v>
      </c>
      <c r="I50" s="20" t="s">
        <v>8952</v>
      </c>
      <c r="J50" s="20" t="s">
        <v>8953</v>
      </c>
      <c r="K50" s="20" t="s">
        <v>8954</v>
      </c>
      <c r="L50" s="21" t="s">
        <v>8955</v>
      </c>
      <c r="M50" s="20" t="s">
        <v>8956</v>
      </c>
      <c r="N50" s="20" t="s">
        <v>8957</v>
      </c>
      <c r="O50" s="20">
        <f t="shared" si="0"/>
        <v>3</v>
      </c>
      <c r="P50" s="22" t="s">
        <v>9103</v>
      </c>
      <c r="Q50" s="21" t="s">
        <v>8959</v>
      </c>
      <c r="R50" s="23" t="s">
        <v>9310</v>
      </c>
      <c r="S50" s="18" t="s">
        <v>8961</v>
      </c>
      <c r="T50" s="24" t="str">
        <f>VLOOKUP(R50,[1]Sheet3!$A$2:$A$47,1,0)</f>
        <v>China</v>
      </c>
      <c r="U50" s="18" t="s">
        <v>9364</v>
      </c>
      <c r="V50" s="18" t="s">
        <v>9365</v>
      </c>
      <c r="W50" s="18" t="s">
        <v>8964</v>
      </c>
      <c r="X50" s="18" t="s">
        <v>126</v>
      </c>
      <c r="Y50" s="18" t="s">
        <v>8966</v>
      </c>
      <c r="Z50" s="18" t="s">
        <v>17</v>
      </c>
    </row>
    <row r="51" spans="1:26" ht="20.100000000000001" customHeight="1" x14ac:dyDescent="0.2">
      <c r="A51" s="30" t="s">
        <v>9366</v>
      </c>
      <c r="B51" s="19" t="s">
        <v>9367</v>
      </c>
      <c r="C51" s="19" t="s">
        <v>9368</v>
      </c>
      <c r="D51" s="8" t="s">
        <v>8948</v>
      </c>
      <c r="E51" s="20" t="s">
        <v>8949</v>
      </c>
      <c r="F51" s="20" t="s">
        <v>9036</v>
      </c>
      <c r="G51" s="20" t="s">
        <v>8951</v>
      </c>
      <c r="H51" s="20">
        <v>351</v>
      </c>
      <c r="I51" s="20" t="s">
        <v>8988</v>
      </c>
      <c r="J51" s="20" t="s">
        <v>8953</v>
      </c>
      <c r="K51" s="20" t="s">
        <v>8989</v>
      </c>
      <c r="L51" s="21" t="s">
        <v>8955</v>
      </c>
      <c r="M51" s="20" t="s">
        <v>8990</v>
      </c>
      <c r="N51" s="31" t="s">
        <v>8957</v>
      </c>
      <c r="O51" s="20">
        <f t="shared" si="0"/>
        <v>4</v>
      </c>
      <c r="P51" s="22" t="s">
        <v>8958</v>
      </c>
      <c r="Q51" s="21" t="s">
        <v>9061</v>
      </c>
      <c r="R51" s="23" t="s">
        <v>9010</v>
      </c>
      <c r="S51" s="18" t="s">
        <v>9159</v>
      </c>
      <c r="T51" s="24" t="str">
        <f>VLOOKUP(R51,[1]Sheet3!$A$2:$A$47,1,0)</f>
        <v>the United States of America</v>
      </c>
      <c r="U51" s="19" t="s">
        <v>9369</v>
      </c>
      <c r="V51" s="18" t="s">
        <v>9370</v>
      </c>
      <c r="W51" s="18" t="s">
        <v>8964</v>
      </c>
      <c r="X51" s="18" t="s">
        <v>61</v>
      </c>
      <c r="Y51" s="18" t="s">
        <v>9162</v>
      </c>
      <c r="Z51" s="18" t="s">
        <v>17</v>
      </c>
    </row>
    <row r="52" spans="1:26" ht="20.100000000000001" customHeight="1" x14ac:dyDescent="0.2">
      <c r="A52" s="30" t="s">
        <v>9371</v>
      </c>
      <c r="B52" s="19" t="s">
        <v>9372</v>
      </c>
      <c r="C52" s="19" t="s">
        <v>9373</v>
      </c>
      <c r="D52" s="8" t="s">
        <v>8984</v>
      </c>
      <c r="E52" s="20" t="s">
        <v>9121</v>
      </c>
      <c r="F52" s="20" t="s">
        <v>9374</v>
      </c>
      <c r="G52" s="20" t="s">
        <v>9292</v>
      </c>
      <c r="H52" s="20">
        <v>8000</v>
      </c>
      <c r="I52" s="20" t="s">
        <v>9019</v>
      </c>
      <c r="J52" s="20" t="s">
        <v>8953</v>
      </c>
      <c r="K52" s="20" t="s">
        <v>8989</v>
      </c>
      <c r="L52" s="21" t="s">
        <v>8955</v>
      </c>
      <c r="M52" s="20" t="s">
        <v>8956</v>
      </c>
      <c r="N52" s="31" t="s">
        <v>8957</v>
      </c>
      <c r="O52" s="20">
        <f t="shared" si="0"/>
        <v>3</v>
      </c>
      <c r="P52" s="22" t="s">
        <v>9103</v>
      </c>
      <c r="Q52" s="21" t="s">
        <v>8959</v>
      </c>
      <c r="R52" s="23" t="s">
        <v>9010</v>
      </c>
      <c r="S52" s="18" t="s">
        <v>9052</v>
      </c>
      <c r="T52" s="24" t="str">
        <f>VLOOKUP(R52,[1]Sheet3!$A$2:$A$47,1,0)</f>
        <v>the United States of America</v>
      </c>
      <c r="U52" s="18" t="s">
        <v>9375</v>
      </c>
      <c r="V52" s="18" t="s">
        <v>9376</v>
      </c>
      <c r="W52" s="18" t="s">
        <v>8964</v>
      </c>
      <c r="X52" s="18" t="s">
        <v>74</v>
      </c>
      <c r="Y52" s="18" t="s">
        <v>9055</v>
      </c>
      <c r="Z52" s="18" t="s">
        <v>17</v>
      </c>
    </row>
    <row r="53" spans="1:26" ht="20.100000000000001" customHeight="1" x14ac:dyDescent="0.2">
      <c r="A53" s="30" t="s">
        <v>9377</v>
      </c>
      <c r="B53" s="19" t="s">
        <v>9378</v>
      </c>
      <c r="C53" s="19" t="s">
        <v>9379</v>
      </c>
      <c r="D53" s="8" t="s">
        <v>9075</v>
      </c>
      <c r="E53" s="20" t="s">
        <v>8971</v>
      </c>
      <c r="F53" s="20" t="s">
        <v>9036</v>
      </c>
      <c r="G53" s="20" t="s">
        <v>8973</v>
      </c>
      <c r="H53" s="20">
        <v>675</v>
      </c>
      <c r="I53" s="20" t="s">
        <v>9077</v>
      </c>
      <c r="J53" s="20" t="s">
        <v>8953</v>
      </c>
      <c r="K53" s="20" t="s">
        <v>8954</v>
      </c>
      <c r="L53" s="21" t="s">
        <v>8955</v>
      </c>
      <c r="M53" s="20" t="s">
        <v>8956</v>
      </c>
      <c r="N53" s="20" t="s">
        <v>9060</v>
      </c>
      <c r="O53" s="20">
        <f t="shared" si="0"/>
        <v>8</v>
      </c>
      <c r="P53" s="22" t="s">
        <v>8975</v>
      </c>
      <c r="Q53" s="21" t="s">
        <v>8959</v>
      </c>
      <c r="R53" s="23" t="s">
        <v>9380</v>
      </c>
      <c r="S53" s="18" t="s">
        <v>8961</v>
      </c>
      <c r="T53" s="24" t="str">
        <f>VLOOKUP(R53,[1]Sheet3!$A$2:$A$47,1,0)</f>
        <v>Canada</v>
      </c>
      <c r="U53" s="18" t="s">
        <v>9381</v>
      </c>
      <c r="V53" s="18" t="s">
        <v>9382</v>
      </c>
      <c r="W53" s="18" t="s">
        <v>8964</v>
      </c>
      <c r="X53" s="18" t="s">
        <v>126</v>
      </c>
      <c r="Y53" s="18" t="s">
        <v>8966</v>
      </c>
      <c r="Z53" s="18" t="s">
        <v>17</v>
      </c>
    </row>
    <row r="54" spans="1:26" ht="20.100000000000001" customHeight="1" x14ac:dyDescent="0.2">
      <c r="A54" s="30" t="s">
        <v>9383</v>
      </c>
      <c r="B54" s="19" t="s">
        <v>9384</v>
      </c>
      <c r="C54" s="19" t="s">
        <v>9385</v>
      </c>
      <c r="D54" s="8" t="s">
        <v>9191</v>
      </c>
      <c r="E54" s="33" t="s">
        <v>9101</v>
      </c>
      <c r="F54" s="31" t="s">
        <v>9386</v>
      </c>
      <c r="G54" s="20" t="s">
        <v>8987</v>
      </c>
      <c r="H54" s="20">
        <v>1228</v>
      </c>
      <c r="I54" s="20" t="s">
        <v>8952</v>
      </c>
      <c r="J54" s="20" t="s">
        <v>8953</v>
      </c>
      <c r="K54" s="20" t="s">
        <v>8954</v>
      </c>
      <c r="L54" s="21" t="s">
        <v>8955</v>
      </c>
      <c r="M54" s="20" t="s">
        <v>8956</v>
      </c>
      <c r="N54" s="20" t="s">
        <v>8957</v>
      </c>
      <c r="O54" s="20">
        <f t="shared" si="0"/>
        <v>9</v>
      </c>
      <c r="P54" s="22" t="s">
        <v>8975</v>
      </c>
      <c r="Q54" s="21" t="s">
        <v>8959</v>
      </c>
      <c r="R54" s="23" t="s">
        <v>9387</v>
      </c>
      <c r="S54" s="18" t="s">
        <v>8961</v>
      </c>
      <c r="T54" s="24" t="str">
        <f>VLOOKUP(R54,[1]Sheet3!$A$2:$A$47,1,0)</f>
        <v>Israel</v>
      </c>
      <c r="U54" s="18" t="s">
        <v>9388</v>
      </c>
      <c r="V54" s="18" t="s">
        <v>9389</v>
      </c>
      <c r="W54" s="18" t="s">
        <v>8964</v>
      </c>
      <c r="X54" s="18" t="s">
        <v>126</v>
      </c>
      <c r="Y54" s="18" t="s">
        <v>8966</v>
      </c>
      <c r="Z54" s="18" t="s">
        <v>17</v>
      </c>
    </row>
    <row r="55" spans="1:26" ht="20.100000000000001" customHeight="1" x14ac:dyDescent="0.2">
      <c r="A55" s="30" t="s">
        <v>9390</v>
      </c>
      <c r="B55" s="19" t="s">
        <v>9391</v>
      </c>
      <c r="C55" s="19" t="s">
        <v>9392</v>
      </c>
      <c r="D55" s="8" t="s">
        <v>9035</v>
      </c>
      <c r="E55" s="20" t="s">
        <v>9308</v>
      </c>
      <c r="F55" s="20" t="s">
        <v>9112</v>
      </c>
      <c r="G55" s="31" t="s">
        <v>8987</v>
      </c>
      <c r="H55" s="31">
        <v>57813</v>
      </c>
      <c r="I55" s="20" t="s">
        <v>9019</v>
      </c>
      <c r="J55" s="20" t="s">
        <v>9059</v>
      </c>
      <c r="K55" s="20" t="s">
        <v>8954</v>
      </c>
      <c r="L55" s="32" t="s">
        <v>8955</v>
      </c>
      <c r="M55" s="20" t="s">
        <v>8956</v>
      </c>
      <c r="N55" s="31" t="s">
        <v>8957</v>
      </c>
      <c r="O55" s="20">
        <f t="shared" si="0"/>
        <v>6</v>
      </c>
      <c r="P55" s="22" t="s">
        <v>8958</v>
      </c>
      <c r="Q55" s="21" t="s">
        <v>9061</v>
      </c>
      <c r="R55" s="23" t="s">
        <v>9010</v>
      </c>
      <c r="S55" s="18" t="s">
        <v>9393</v>
      </c>
      <c r="T55" s="24" t="str">
        <f>VLOOKUP(R55,[1]Sheet3!$A$2:$A$47,1,0)</f>
        <v>the United States of America</v>
      </c>
      <c r="U55" s="18" t="s">
        <v>9394</v>
      </c>
      <c r="V55" s="18" t="s">
        <v>9395</v>
      </c>
      <c r="W55" s="18" t="s">
        <v>8964</v>
      </c>
      <c r="X55" s="18" t="s">
        <v>1918</v>
      </c>
      <c r="Y55" s="18" t="s">
        <v>9396</v>
      </c>
      <c r="Z55" s="18" t="s">
        <v>17</v>
      </c>
    </row>
    <row r="56" spans="1:26" ht="20.100000000000001" customHeight="1" x14ac:dyDescent="0.2">
      <c r="A56" s="30" t="s">
        <v>9397</v>
      </c>
      <c r="B56" s="19" t="s">
        <v>9398</v>
      </c>
      <c r="C56" s="19" t="s">
        <v>9399</v>
      </c>
      <c r="D56" s="8" t="s">
        <v>9049</v>
      </c>
      <c r="E56" s="20" t="s">
        <v>9050</v>
      </c>
      <c r="F56" s="20" t="s">
        <v>9018</v>
      </c>
      <c r="G56" s="20" t="s">
        <v>8987</v>
      </c>
      <c r="H56" s="20">
        <v>1274</v>
      </c>
      <c r="I56" s="20" t="s">
        <v>8952</v>
      </c>
      <c r="J56" s="20" t="s">
        <v>8953</v>
      </c>
      <c r="K56" s="20" t="s">
        <v>8954</v>
      </c>
      <c r="L56" s="21" t="s">
        <v>8955</v>
      </c>
      <c r="M56" s="20" t="s">
        <v>8956</v>
      </c>
      <c r="N56" s="20" t="s">
        <v>8957</v>
      </c>
      <c r="O56" s="20">
        <f t="shared" si="0"/>
        <v>7</v>
      </c>
      <c r="P56" s="22" t="s">
        <v>8958</v>
      </c>
      <c r="Q56" s="21" t="s">
        <v>8959</v>
      </c>
      <c r="R56" s="23" t="s">
        <v>9317</v>
      </c>
      <c r="S56" s="18" t="s">
        <v>9400</v>
      </c>
      <c r="T56" s="24" t="str">
        <f>VLOOKUP(R56,[1]Sheet3!$A$2:$A$47,1,0)</f>
        <v>Germany</v>
      </c>
      <c r="U56" s="18" t="s">
        <v>9401</v>
      </c>
      <c r="V56" s="18" t="s">
        <v>9402</v>
      </c>
      <c r="W56" s="18" t="s">
        <v>8964</v>
      </c>
      <c r="X56" s="18" t="s">
        <v>577</v>
      </c>
      <c r="Y56" s="18" t="s">
        <v>9403</v>
      </c>
      <c r="Z56" s="18" t="s">
        <v>17</v>
      </c>
    </row>
    <row r="57" spans="1:26" ht="20.100000000000001" customHeight="1" x14ac:dyDescent="0.2">
      <c r="A57" s="30" t="s">
        <v>9404</v>
      </c>
      <c r="B57" s="19" t="s">
        <v>9405</v>
      </c>
      <c r="C57" s="19" t="s">
        <v>9406</v>
      </c>
      <c r="D57" s="8" t="s">
        <v>9173</v>
      </c>
      <c r="E57" s="33" t="s">
        <v>9174</v>
      </c>
      <c r="F57" s="20" t="s">
        <v>8950</v>
      </c>
      <c r="G57" s="20" t="s">
        <v>9292</v>
      </c>
      <c r="H57" s="20">
        <v>39100</v>
      </c>
      <c r="I57" s="20" t="s">
        <v>9019</v>
      </c>
      <c r="J57" s="20" t="s">
        <v>8953</v>
      </c>
      <c r="K57" s="31" t="s">
        <v>8989</v>
      </c>
      <c r="L57" s="21" t="s">
        <v>8955</v>
      </c>
      <c r="M57" s="20" t="s">
        <v>8956</v>
      </c>
      <c r="N57" s="20" t="s">
        <v>8957</v>
      </c>
      <c r="O57" s="20">
        <f t="shared" si="0"/>
        <v>5</v>
      </c>
      <c r="P57" s="22" t="s">
        <v>8958</v>
      </c>
      <c r="Q57" s="43" t="s">
        <v>8959</v>
      </c>
      <c r="R57" s="23" t="s">
        <v>9407</v>
      </c>
      <c r="S57" s="18" t="s">
        <v>9011</v>
      </c>
      <c r="T57" s="24" t="str">
        <f>VLOOKUP(R57,[1]Sheet3!$A$2:$A$47,1,0)</f>
        <v>Estonia</v>
      </c>
      <c r="U57" s="18" t="s">
        <v>9408</v>
      </c>
      <c r="V57" s="18" t="s">
        <v>9409</v>
      </c>
      <c r="W57" s="18" t="s">
        <v>8964</v>
      </c>
      <c r="X57" s="18" t="s">
        <v>93</v>
      </c>
      <c r="Y57" s="18" t="s">
        <v>9014</v>
      </c>
      <c r="Z57" s="18" t="s">
        <v>17</v>
      </c>
    </row>
    <row r="58" spans="1:26" ht="20.100000000000001" customHeight="1" x14ac:dyDescent="0.2">
      <c r="A58" s="30" t="s">
        <v>9410</v>
      </c>
      <c r="B58" s="19" t="s">
        <v>9411</v>
      </c>
      <c r="C58" s="19" t="s">
        <v>9412</v>
      </c>
      <c r="D58" s="8" t="s">
        <v>9154</v>
      </c>
      <c r="E58" s="20" t="s">
        <v>8949</v>
      </c>
      <c r="F58" s="20" t="s">
        <v>9413</v>
      </c>
      <c r="G58" s="20" t="s">
        <v>8987</v>
      </c>
      <c r="H58" s="20">
        <v>4000</v>
      </c>
      <c r="I58" s="20" t="s">
        <v>9019</v>
      </c>
      <c r="J58" s="20" t="s">
        <v>8953</v>
      </c>
      <c r="K58" s="20" t="s">
        <v>8954</v>
      </c>
      <c r="L58" s="32" t="s">
        <v>9182</v>
      </c>
      <c r="M58" s="20" t="s">
        <v>8956</v>
      </c>
      <c r="N58" s="20" t="s">
        <v>9060</v>
      </c>
      <c r="O58" s="20">
        <f t="shared" si="0"/>
        <v>14</v>
      </c>
      <c r="P58" s="22" t="s">
        <v>8975</v>
      </c>
      <c r="Q58" s="21" t="s">
        <v>8959</v>
      </c>
      <c r="R58" s="23" t="s">
        <v>9010</v>
      </c>
      <c r="S58" s="18" t="s">
        <v>9414</v>
      </c>
      <c r="T58" s="24" t="str">
        <f>VLOOKUP(R58,[1]Sheet3!$A$2:$A$47,1,0)</f>
        <v>the United States of America</v>
      </c>
      <c r="U58" s="18" t="s">
        <v>9415</v>
      </c>
      <c r="V58" s="18" t="s">
        <v>9416</v>
      </c>
      <c r="W58" s="18" t="s">
        <v>8964</v>
      </c>
      <c r="X58" s="18" t="s">
        <v>580</v>
      </c>
      <c r="Y58" s="18" t="s">
        <v>9417</v>
      </c>
      <c r="Z58" s="18" t="s">
        <v>17</v>
      </c>
    </row>
    <row r="59" spans="1:26" ht="20.100000000000001" customHeight="1" x14ac:dyDescent="0.2">
      <c r="A59" s="30" t="s">
        <v>9418</v>
      </c>
      <c r="B59" s="19" t="s">
        <v>9419</v>
      </c>
      <c r="C59" s="19" t="s">
        <v>9420</v>
      </c>
      <c r="D59" s="8" t="s">
        <v>9421</v>
      </c>
      <c r="E59" s="33" t="s">
        <v>9422</v>
      </c>
      <c r="F59" s="20" t="s">
        <v>8950</v>
      </c>
      <c r="G59" s="20" t="s">
        <v>9076</v>
      </c>
      <c r="H59" s="20">
        <v>500000000</v>
      </c>
      <c r="I59" s="20" t="s">
        <v>9019</v>
      </c>
      <c r="J59" s="20" t="s">
        <v>8953</v>
      </c>
      <c r="K59" s="20" t="s">
        <v>8989</v>
      </c>
      <c r="L59" s="21" t="s">
        <v>8955</v>
      </c>
      <c r="M59" s="20" t="s">
        <v>8956</v>
      </c>
      <c r="N59" s="20" t="s">
        <v>8974</v>
      </c>
      <c r="O59" s="20">
        <f t="shared" si="0"/>
        <v>14</v>
      </c>
      <c r="P59" s="22" t="s">
        <v>8975</v>
      </c>
      <c r="Q59" s="21" t="s">
        <v>8959</v>
      </c>
      <c r="R59" s="23" t="s">
        <v>9010</v>
      </c>
      <c r="S59" s="18" t="s">
        <v>9423</v>
      </c>
      <c r="T59" s="24" t="str">
        <f>VLOOKUP(R59,[1]Sheet3!$A$2:$A$47,1,0)</f>
        <v>the United States of America</v>
      </c>
      <c r="U59" s="18" t="s">
        <v>9424</v>
      </c>
      <c r="V59" s="18" t="s">
        <v>9425</v>
      </c>
      <c r="W59" s="18" t="s">
        <v>8964</v>
      </c>
      <c r="X59" s="18" t="s">
        <v>2819</v>
      </c>
      <c r="Y59" s="18" t="s">
        <v>9426</v>
      </c>
      <c r="Z59" s="18" t="s">
        <v>17</v>
      </c>
    </row>
    <row r="60" spans="1:26" ht="20.100000000000001" customHeight="1" x14ac:dyDescent="0.2">
      <c r="A60" s="30" t="s">
        <v>9427</v>
      </c>
      <c r="B60" s="19" t="s">
        <v>9428</v>
      </c>
      <c r="C60" s="19" t="s">
        <v>9429</v>
      </c>
      <c r="D60" s="8" t="s">
        <v>9154</v>
      </c>
      <c r="E60" s="20" t="s">
        <v>8971</v>
      </c>
      <c r="F60" s="20" t="s">
        <v>9051</v>
      </c>
      <c r="G60" s="20" t="s">
        <v>9430</v>
      </c>
      <c r="H60" s="20">
        <v>103102</v>
      </c>
      <c r="I60" s="20" t="s">
        <v>9019</v>
      </c>
      <c r="J60" s="20" t="s">
        <v>8953</v>
      </c>
      <c r="K60" s="20" t="s">
        <v>8989</v>
      </c>
      <c r="L60" s="21" t="s">
        <v>8955</v>
      </c>
      <c r="M60" s="20" t="s">
        <v>8956</v>
      </c>
      <c r="N60" s="20" t="s">
        <v>8974</v>
      </c>
      <c r="O60" s="20">
        <f t="shared" si="0"/>
        <v>4</v>
      </c>
      <c r="P60" s="22" t="s">
        <v>8958</v>
      </c>
      <c r="Q60" s="21" t="s">
        <v>8959</v>
      </c>
      <c r="R60" s="23" t="s">
        <v>9010</v>
      </c>
      <c r="S60" s="18" t="s">
        <v>9423</v>
      </c>
      <c r="T60" s="24" t="str">
        <f>VLOOKUP(R60,[1]Sheet3!$A$2:$A$47,1,0)</f>
        <v>the United States of America</v>
      </c>
      <c r="U60" s="18" t="s">
        <v>9431</v>
      </c>
      <c r="V60" s="18" t="s">
        <v>9432</v>
      </c>
      <c r="W60" s="18" t="s">
        <v>8964</v>
      </c>
      <c r="X60" s="18" t="s">
        <v>2819</v>
      </c>
      <c r="Y60" s="18" t="s">
        <v>9426</v>
      </c>
      <c r="Z60" s="18" t="s">
        <v>11</v>
      </c>
    </row>
    <row r="61" spans="1:26" ht="20.100000000000001" customHeight="1" x14ac:dyDescent="0.2">
      <c r="A61" s="30" t="s">
        <v>9433</v>
      </c>
      <c r="B61" s="19" t="s">
        <v>9434</v>
      </c>
      <c r="C61" s="19" t="s">
        <v>9435</v>
      </c>
      <c r="D61" s="8" t="s">
        <v>9092</v>
      </c>
      <c r="E61" s="20" t="s">
        <v>9155</v>
      </c>
      <c r="F61" s="20" t="s">
        <v>9436</v>
      </c>
      <c r="G61" s="20" t="s">
        <v>8973</v>
      </c>
      <c r="H61" s="20">
        <v>25</v>
      </c>
      <c r="I61" s="20" t="s">
        <v>9008</v>
      </c>
      <c r="J61" s="20" t="s">
        <v>8953</v>
      </c>
      <c r="K61" s="20" t="s">
        <v>8954</v>
      </c>
      <c r="L61" s="21" t="s">
        <v>8955</v>
      </c>
      <c r="M61" s="20" t="s">
        <v>8956</v>
      </c>
      <c r="N61" s="20" t="s">
        <v>8957</v>
      </c>
      <c r="O61" s="20">
        <f t="shared" si="0"/>
        <v>2</v>
      </c>
      <c r="P61" s="22" t="s">
        <v>9103</v>
      </c>
      <c r="Q61" s="21" t="s">
        <v>8959</v>
      </c>
      <c r="R61" s="23" t="s">
        <v>8991</v>
      </c>
      <c r="S61" s="18" t="s">
        <v>8961</v>
      </c>
      <c r="T61" s="24" t="str">
        <f>VLOOKUP(R61,[1]Sheet3!$A$2:$A$47,1,0)</f>
        <v>China</v>
      </c>
      <c r="U61" s="18" t="s">
        <v>9437</v>
      </c>
      <c r="V61" s="18" t="s">
        <v>9438</v>
      </c>
      <c r="W61" s="18" t="s">
        <v>8964</v>
      </c>
      <c r="X61" s="18" t="s">
        <v>126</v>
      </c>
      <c r="Y61" s="18" t="s">
        <v>8966</v>
      </c>
      <c r="Z61" s="18" t="s">
        <v>17</v>
      </c>
    </row>
    <row r="62" spans="1:26" ht="20.100000000000001" customHeight="1" x14ac:dyDescent="0.2">
      <c r="A62" s="30" t="s">
        <v>9439</v>
      </c>
      <c r="B62" s="19" t="s">
        <v>9440</v>
      </c>
      <c r="C62" s="19" t="s">
        <v>9441</v>
      </c>
      <c r="D62" s="8" t="s">
        <v>8948</v>
      </c>
      <c r="E62" s="20" t="s">
        <v>8949</v>
      </c>
      <c r="F62" s="20" t="s">
        <v>8972</v>
      </c>
      <c r="G62" s="20" t="s">
        <v>8973</v>
      </c>
      <c r="H62" s="20">
        <v>135</v>
      </c>
      <c r="I62" s="20" t="s">
        <v>9158</v>
      </c>
      <c r="J62" s="20" t="s">
        <v>8953</v>
      </c>
      <c r="K62" s="20" t="s">
        <v>8989</v>
      </c>
      <c r="L62" s="21" t="s">
        <v>8955</v>
      </c>
      <c r="M62" s="20" t="s">
        <v>8956</v>
      </c>
      <c r="N62" s="20" t="s">
        <v>8957</v>
      </c>
      <c r="O62" s="20">
        <f t="shared" si="0"/>
        <v>12</v>
      </c>
      <c r="P62" s="22" t="s">
        <v>8975</v>
      </c>
      <c r="Q62" s="21" t="s">
        <v>8959</v>
      </c>
      <c r="R62" s="23" t="s">
        <v>9010</v>
      </c>
      <c r="S62" s="18" t="s">
        <v>9442</v>
      </c>
      <c r="T62" s="24" t="str">
        <f>VLOOKUP(R62,[1]Sheet3!$A$2:$A$47,1,0)</f>
        <v>the United States of America</v>
      </c>
      <c r="U62" s="18" t="s">
        <v>9443</v>
      </c>
      <c r="V62" s="18" t="s">
        <v>9444</v>
      </c>
      <c r="W62" s="18" t="s">
        <v>8964</v>
      </c>
      <c r="X62" s="18" t="s">
        <v>21</v>
      </c>
      <c r="Y62" s="18" t="s">
        <v>9445</v>
      </c>
      <c r="Z62" s="18" t="s">
        <v>17</v>
      </c>
    </row>
    <row r="63" spans="1:26" ht="20.100000000000001" customHeight="1" x14ac:dyDescent="0.2">
      <c r="A63" s="30" t="s">
        <v>9446</v>
      </c>
      <c r="B63" s="19" t="s">
        <v>9447</v>
      </c>
      <c r="C63" s="19" t="s">
        <v>9448</v>
      </c>
      <c r="D63" s="8" t="s">
        <v>8984</v>
      </c>
      <c r="E63" s="20" t="s">
        <v>9131</v>
      </c>
      <c r="F63" s="20" t="s">
        <v>9449</v>
      </c>
      <c r="G63" s="20" t="s">
        <v>8987</v>
      </c>
      <c r="H63" s="20">
        <v>52471</v>
      </c>
      <c r="I63" s="20" t="s">
        <v>9019</v>
      </c>
      <c r="J63" s="20" t="s">
        <v>8953</v>
      </c>
      <c r="K63" s="20" t="s">
        <v>8954</v>
      </c>
      <c r="L63" s="21" t="s">
        <v>8955</v>
      </c>
      <c r="M63" s="20" t="s">
        <v>8990</v>
      </c>
      <c r="N63" s="20" t="s">
        <v>8957</v>
      </c>
      <c r="O63" s="20">
        <f t="shared" si="0"/>
        <v>5</v>
      </c>
      <c r="P63" s="22" t="s">
        <v>8958</v>
      </c>
      <c r="Q63" s="21" t="s">
        <v>8959</v>
      </c>
      <c r="R63" s="23" t="s">
        <v>9213</v>
      </c>
      <c r="S63" s="18" t="s">
        <v>9214</v>
      </c>
      <c r="T63" s="24" t="str">
        <f>VLOOKUP(R63,[1]Sheet3!$A$2:$A$47,1,0)</f>
        <v>South Korea</v>
      </c>
      <c r="U63" s="18" t="s">
        <v>9450</v>
      </c>
      <c r="V63" s="18" t="s">
        <v>9451</v>
      </c>
      <c r="W63" s="18" t="s">
        <v>8964</v>
      </c>
      <c r="X63" s="18" t="s">
        <v>434</v>
      </c>
      <c r="Y63" s="18" t="s">
        <v>9217</v>
      </c>
      <c r="Z63" s="18" t="s">
        <v>17</v>
      </c>
    </row>
    <row r="64" spans="1:26" ht="20.100000000000001" customHeight="1" x14ac:dyDescent="0.2">
      <c r="A64" s="30" t="s">
        <v>9452</v>
      </c>
      <c r="B64" s="19" t="s">
        <v>9453</v>
      </c>
      <c r="C64" s="19" t="s">
        <v>9454</v>
      </c>
      <c r="D64" s="8" t="s">
        <v>8948</v>
      </c>
      <c r="E64" s="20" t="s">
        <v>8998</v>
      </c>
      <c r="F64" s="20" t="s">
        <v>9455</v>
      </c>
      <c r="G64" s="20" t="s">
        <v>8987</v>
      </c>
      <c r="H64" s="20">
        <v>12635</v>
      </c>
      <c r="I64" s="20" t="s">
        <v>9019</v>
      </c>
      <c r="J64" s="20" t="s">
        <v>8953</v>
      </c>
      <c r="K64" s="20" t="s">
        <v>8989</v>
      </c>
      <c r="L64" s="21" t="s">
        <v>8955</v>
      </c>
      <c r="M64" s="20" t="s">
        <v>8990</v>
      </c>
      <c r="N64" s="20" t="s">
        <v>8959</v>
      </c>
      <c r="O64" s="20">
        <f t="shared" si="0"/>
        <v>3</v>
      </c>
      <c r="P64" s="22" t="s">
        <v>9103</v>
      </c>
      <c r="Q64" s="21" t="s">
        <v>8959</v>
      </c>
      <c r="R64" s="23" t="s">
        <v>9456</v>
      </c>
      <c r="S64" s="18" t="s">
        <v>9457</v>
      </c>
      <c r="T64" s="24" t="str">
        <f>VLOOKUP(R64,[1]Sheet3!$A$2:$A$47,1,0)</f>
        <v>Cyprus</v>
      </c>
      <c r="U64" s="18" t="s">
        <v>9458</v>
      </c>
      <c r="V64" s="18" t="s">
        <v>9459</v>
      </c>
      <c r="W64" s="18" t="s">
        <v>8964</v>
      </c>
      <c r="X64" s="18" t="s">
        <v>1651</v>
      </c>
      <c r="Y64" s="18" t="s">
        <v>9460</v>
      </c>
      <c r="Z64" s="18" t="s">
        <v>17</v>
      </c>
    </row>
    <row r="65" spans="1:26" ht="20.100000000000001" customHeight="1" x14ac:dyDescent="0.2">
      <c r="A65" s="30" t="s">
        <v>9461</v>
      </c>
      <c r="B65" s="19" t="s">
        <v>9462</v>
      </c>
      <c r="C65" s="19" t="s">
        <v>9463</v>
      </c>
      <c r="D65" s="8" t="s">
        <v>8948</v>
      </c>
      <c r="E65" s="20" t="s">
        <v>9155</v>
      </c>
      <c r="F65" s="20" t="s">
        <v>9051</v>
      </c>
      <c r="G65" s="31" t="s">
        <v>9464</v>
      </c>
      <c r="H65" s="31">
        <v>50</v>
      </c>
      <c r="I65" s="20" t="s">
        <v>9008</v>
      </c>
      <c r="J65" s="20" t="s">
        <v>9059</v>
      </c>
      <c r="K65" s="20" t="s">
        <v>8989</v>
      </c>
      <c r="L65" s="21" t="s">
        <v>8955</v>
      </c>
      <c r="M65" s="20" t="s">
        <v>8956</v>
      </c>
      <c r="N65" s="20" t="s">
        <v>8957</v>
      </c>
      <c r="O65" s="20">
        <f t="shared" si="0"/>
        <v>4</v>
      </c>
      <c r="P65" s="22" t="s">
        <v>8958</v>
      </c>
      <c r="Q65" s="21" t="s">
        <v>9061</v>
      </c>
      <c r="R65" s="23" t="s">
        <v>9465</v>
      </c>
      <c r="S65" s="18" t="s">
        <v>9466</v>
      </c>
      <c r="T65" s="24" t="str">
        <f>VLOOKUP(R65,[1]Sheet3!$A$2:$A$47,1,0)</f>
        <v>Switzerland</v>
      </c>
      <c r="U65" s="18" t="s">
        <v>9467</v>
      </c>
      <c r="V65" s="18" t="s">
        <v>9468</v>
      </c>
      <c r="W65" s="18" t="s">
        <v>8964</v>
      </c>
      <c r="X65" s="18" t="s">
        <v>382</v>
      </c>
      <c r="Y65" s="18" t="s">
        <v>9469</v>
      </c>
      <c r="Z65" s="18" t="s">
        <v>17</v>
      </c>
    </row>
    <row r="66" spans="1:26" ht="20.100000000000001" customHeight="1" x14ac:dyDescent="0.2">
      <c r="A66" s="30" t="s">
        <v>9470</v>
      </c>
      <c r="B66" s="19" t="s">
        <v>9471</v>
      </c>
      <c r="C66" s="19" t="s">
        <v>9472</v>
      </c>
      <c r="D66" s="8" t="s">
        <v>9035</v>
      </c>
      <c r="E66" s="20" t="s">
        <v>9308</v>
      </c>
      <c r="F66" s="20" t="s">
        <v>9473</v>
      </c>
      <c r="G66" s="20" t="s">
        <v>9133</v>
      </c>
      <c r="H66" s="20">
        <v>6480</v>
      </c>
      <c r="I66" s="20" t="s">
        <v>9019</v>
      </c>
      <c r="J66" s="20" t="s">
        <v>8953</v>
      </c>
      <c r="K66" s="20" t="s">
        <v>8989</v>
      </c>
      <c r="L66" s="21" t="s">
        <v>8955</v>
      </c>
      <c r="M66" s="20" t="s">
        <v>8990</v>
      </c>
      <c r="N66" s="20" t="s">
        <v>8957</v>
      </c>
      <c r="O66" s="20">
        <f t="shared" ref="O66:O129" si="1">1+LEN(V66)-LEN(SUBSTITUTE(V66,";",))</f>
        <v>2</v>
      </c>
      <c r="P66" s="22" t="s">
        <v>9103</v>
      </c>
      <c r="Q66" s="21" t="s">
        <v>8959</v>
      </c>
      <c r="R66" s="23" t="s">
        <v>9310</v>
      </c>
      <c r="S66" s="18" t="s">
        <v>9085</v>
      </c>
      <c r="T66" s="24" t="str">
        <f>VLOOKUP(R66,[1]Sheet3!$A$2:$A$47,1,0)</f>
        <v>China</v>
      </c>
      <c r="U66" s="18" t="s">
        <v>9474</v>
      </c>
      <c r="V66" s="18" t="s">
        <v>9475</v>
      </c>
      <c r="W66" s="18" t="s">
        <v>8964</v>
      </c>
      <c r="X66" s="18" t="s">
        <v>184</v>
      </c>
      <c r="Y66" s="18" t="s">
        <v>9088</v>
      </c>
      <c r="Z66" s="18" t="s">
        <v>17</v>
      </c>
    </row>
    <row r="67" spans="1:26" ht="20.100000000000001" customHeight="1" x14ac:dyDescent="0.2">
      <c r="A67" s="30"/>
      <c r="B67" s="44" t="s">
        <v>9476</v>
      </c>
      <c r="C67" s="19" t="s">
        <v>9477</v>
      </c>
      <c r="D67" s="8" t="s">
        <v>9035</v>
      </c>
      <c r="E67" s="20" t="s">
        <v>9121</v>
      </c>
      <c r="F67" s="20" t="s">
        <v>9478</v>
      </c>
      <c r="G67" s="20" t="s">
        <v>8987</v>
      </c>
      <c r="H67" s="20">
        <v>1568921</v>
      </c>
      <c r="I67" s="20" t="s">
        <v>9019</v>
      </c>
      <c r="J67" s="20" t="s">
        <v>9479</v>
      </c>
      <c r="K67" s="20" t="s">
        <v>8954</v>
      </c>
      <c r="L67" s="21" t="s">
        <v>8955</v>
      </c>
      <c r="M67" s="20" t="s">
        <v>8956</v>
      </c>
      <c r="N67" s="20" t="s">
        <v>8959</v>
      </c>
      <c r="O67" s="20">
        <f t="shared" si="1"/>
        <v>3</v>
      </c>
      <c r="P67" s="22" t="s">
        <v>9103</v>
      </c>
      <c r="Q67" s="21" t="s">
        <v>8959</v>
      </c>
      <c r="R67" s="23" t="s">
        <v>9010</v>
      </c>
      <c r="S67" s="18" t="s">
        <v>9480</v>
      </c>
      <c r="T67" s="24" t="str">
        <f>VLOOKUP(R67,[1]Sheet3!$A$2:$A$47,1,0)</f>
        <v>the United States of America</v>
      </c>
      <c r="U67" s="18" t="s">
        <v>9481</v>
      </c>
      <c r="V67" s="18" t="s">
        <v>9482</v>
      </c>
      <c r="W67" s="18" t="s">
        <v>8964</v>
      </c>
      <c r="X67" s="18" t="s">
        <v>9483</v>
      </c>
      <c r="Y67" s="18" t="s">
        <v>9484</v>
      </c>
      <c r="Z67" s="18" t="s">
        <v>17</v>
      </c>
    </row>
    <row r="68" spans="1:26" ht="20.100000000000001" customHeight="1" x14ac:dyDescent="0.2">
      <c r="A68" s="30" t="s">
        <v>9485</v>
      </c>
      <c r="B68" s="19" t="s">
        <v>9486</v>
      </c>
      <c r="C68" s="19" t="s">
        <v>9487</v>
      </c>
      <c r="D68" s="8" t="s">
        <v>9154</v>
      </c>
      <c r="E68" s="20" t="s">
        <v>8971</v>
      </c>
      <c r="F68" s="20" t="s">
        <v>8972</v>
      </c>
      <c r="G68" s="20" t="s">
        <v>9133</v>
      </c>
      <c r="H68" s="20">
        <v>800000</v>
      </c>
      <c r="I68" s="20" t="s">
        <v>9019</v>
      </c>
      <c r="J68" s="20" t="s">
        <v>8953</v>
      </c>
      <c r="K68" s="20" t="s">
        <v>8954</v>
      </c>
      <c r="L68" s="21" t="s">
        <v>8955</v>
      </c>
      <c r="M68" s="20" t="s">
        <v>8990</v>
      </c>
      <c r="N68" s="20" t="s">
        <v>8957</v>
      </c>
      <c r="O68" s="20">
        <f t="shared" si="1"/>
        <v>4</v>
      </c>
      <c r="P68" s="22" t="s">
        <v>8958</v>
      </c>
      <c r="Q68" s="21" t="s">
        <v>9009</v>
      </c>
      <c r="R68" s="23" t="s">
        <v>9010</v>
      </c>
      <c r="S68" s="18" t="s">
        <v>9488</v>
      </c>
      <c r="T68" s="24" t="str">
        <f>VLOOKUP(R68,[1]Sheet3!$A$2:$A$47,1,0)</f>
        <v>the United States of America</v>
      </c>
      <c r="U68" s="18" t="s">
        <v>9489</v>
      </c>
      <c r="V68" s="18" t="s">
        <v>9490</v>
      </c>
      <c r="W68" s="18" t="s">
        <v>8964</v>
      </c>
      <c r="X68" s="18" t="s">
        <v>3970</v>
      </c>
      <c r="Y68" s="18" t="s">
        <v>9491</v>
      </c>
      <c r="Z68" s="18" t="s">
        <v>17</v>
      </c>
    </row>
    <row r="69" spans="1:26" ht="20.100000000000001" customHeight="1" x14ac:dyDescent="0.2">
      <c r="A69" s="30" t="s">
        <v>9492</v>
      </c>
      <c r="B69" s="19" t="s">
        <v>9493</v>
      </c>
      <c r="C69" s="19" t="s">
        <v>9494</v>
      </c>
      <c r="D69" s="8" t="s">
        <v>9075</v>
      </c>
      <c r="E69" s="20" t="s">
        <v>8971</v>
      </c>
      <c r="F69" s="20" t="s">
        <v>9495</v>
      </c>
      <c r="G69" s="20" t="s">
        <v>8951</v>
      </c>
      <c r="H69" s="20">
        <v>1828</v>
      </c>
      <c r="I69" s="20" t="s">
        <v>8952</v>
      </c>
      <c r="J69" s="20" t="s">
        <v>8953</v>
      </c>
      <c r="K69" s="20" t="s">
        <v>8954</v>
      </c>
      <c r="L69" s="21" t="s">
        <v>8955</v>
      </c>
      <c r="M69" s="20" t="s">
        <v>8990</v>
      </c>
      <c r="N69" s="20" t="s">
        <v>8959</v>
      </c>
      <c r="O69" s="20">
        <f t="shared" si="1"/>
        <v>3</v>
      </c>
      <c r="P69" s="22" t="s">
        <v>9103</v>
      </c>
      <c r="Q69" s="32" t="s">
        <v>9061</v>
      </c>
      <c r="R69" s="23" t="s">
        <v>9310</v>
      </c>
      <c r="S69" s="18" t="s">
        <v>9496</v>
      </c>
      <c r="T69" s="24" t="str">
        <f>VLOOKUP(R69,[1]Sheet3!$A$2:$A$47,1,0)</f>
        <v>China</v>
      </c>
      <c r="U69" s="18" t="s">
        <v>9497</v>
      </c>
      <c r="V69" s="18" t="s">
        <v>9498</v>
      </c>
      <c r="W69" s="18" t="s">
        <v>8964</v>
      </c>
      <c r="X69" s="18" t="s">
        <v>97</v>
      </c>
      <c r="Y69" s="18" t="s">
        <v>9499</v>
      </c>
      <c r="Z69" s="18" t="s">
        <v>17</v>
      </c>
    </row>
    <row r="70" spans="1:26" ht="20.100000000000001" customHeight="1" x14ac:dyDescent="0.2">
      <c r="A70" s="30" t="s">
        <v>9500</v>
      </c>
      <c r="B70" s="19" t="s">
        <v>9501</v>
      </c>
      <c r="C70" s="19" t="s">
        <v>9502</v>
      </c>
      <c r="D70" s="8" t="s">
        <v>8984</v>
      </c>
      <c r="E70" s="20" t="s">
        <v>9131</v>
      </c>
      <c r="F70" s="20" t="s">
        <v>8950</v>
      </c>
      <c r="G70" s="20" t="s">
        <v>9292</v>
      </c>
      <c r="H70" s="20">
        <v>113426569</v>
      </c>
      <c r="I70" s="20" t="s">
        <v>9019</v>
      </c>
      <c r="J70" s="20" t="s">
        <v>8953</v>
      </c>
      <c r="K70" s="20" t="s">
        <v>8954</v>
      </c>
      <c r="L70" s="21" t="s">
        <v>8955</v>
      </c>
      <c r="M70" s="20" t="s">
        <v>8956</v>
      </c>
      <c r="N70" s="20" t="s">
        <v>8957</v>
      </c>
      <c r="O70" s="20">
        <f t="shared" si="1"/>
        <v>13</v>
      </c>
      <c r="P70" s="22" t="s">
        <v>8975</v>
      </c>
      <c r="Q70" s="21" t="s">
        <v>9503</v>
      </c>
      <c r="R70" s="23" t="s">
        <v>9310</v>
      </c>
      <c r="S70" s="18" t="s">
        <v>1318</v>
      </c>
      <c r="T70" s="24" t="str">
        <f>VLOOKUP(R70,[1]Sheet3!$A$2:$A$47,1,0)</f>
        <v>China</v>
      </c>
      <c r="U70" s="18" t="s">
        <v>9504</v>
      </c>
      <c r="V70" s="18" t="s">
        <v>9505</v>
      </c>
      <c r="W70" s="18" t="s">
        <v>8964</v>
      </c>
      <c r="X70" s="18" t="s">
        <v>1318</v>
      </c>
      <c r="Y70" s="18" t="s">
        <v>9506</v>
      </c>
      <c r="Z70" s="18" t="s">
        <v>17</v>
      </c>
    </row>
    <row r="71" spans="1:26" ht="20.100000000000001" customHeight="1" x14ac:dyDescent="0.2">
      <c r="A71" s="30" t="s">
        <v>9507</v>
      </c>
      <c r="B71" s="19" t="s">
        <v>9508</v>
      </c>
      <c r="C71" s="19" t="s">
        <v>9509</v>
      </c>
      <c r="D71" s="8" t="s">
        <v>8948</v>
      </c>
      <c r="E71" s="20" t="s">
        <v>9155</v>
      </c>
      <c r="F71" s="20" t="s">
        <v>9510</v>
      </c>
      <c r="G71" s="31" t="s">
        <v>9157</v>
      </c>
      <c r="H71" s="31">
        <v>6361</v>
      </c>
      <c r="I71" s="20" t="s">
        <v>9019</v>
      </c>
      <c r="J71" s="20" t="s">
        <v>8953</v>
      </c>
      <c r="K71" s="20" t="s">
        <v>8954</v>
      </c>
      <c r="L71" s="21" t="s">
        <v>8955</v>
      </c>
      <c r="M71" s="20" t="s">
        <v>8956</v>
      </c>
      <c r="N71" s="20" t="s">
        <v>8957</v>
      </c>
      <c r="O71" s="20">
        <f t="shared" si="1"/>
        <v>8</v>
      </c>
      <c r="P71" s="22" t="s">
        <v>8975</v>
      </c>
      <c r="Q71" s="21" t="s">
        <v>8959</v>
      </c>
      <c r="R71" s="23" t="s">
        <v>9010</v>
      </c>
      <c r="S71" s="18" t="s">
        <v>9442</v>
      </c>
      <c r="T71" s="24" t="str">
        <f>VLOOKUP(R71,[1]Sheet3!$A$2:$A$47,1,0)</f>
        <v>the United States of America</v>
      </c>
      <c r="U71" s="18" t="s">
        <v>9511</v>
      </c>
      <c r="V71" s="18" t="s">
        <v>9512</v>
      </c>
      <c r="W71" s="18" t="s">
        <v>8964</v>
      </c>
      <c r="X71" s="18" t="s">
        <v>21</v>
      </c>
      <c r="Y71" s="18" t="s">
        <v>9445</v>
      </c>
      <c r="Z71" s="18" t="s">
        <v>17</v>
      </c>
    </row>
    <row r="72" spans="1:26" ht="20.100000000000001" customHeight="1" x14ac:dyDescent="0.2">
      <c r="A72" s="30" t="s">
        <v>9513</v>
      </c>
      <c r="B72" s="19" t="s">
        <v>9514</v>
      </c>
      <c r="C72" s="19" t="s">
        <v>9515</v>
      </c>
      <c r="D72" s="8" t="s">
        <v>8948</v>
      </c>
      <c r="E72" s="20" t="s">
        <v>8949</v>
      </c>
      <c r="F72" s="20" t="s">
        <v>8972</v>
      </c>
      <c r="G72" s="20" t="s">
        <v>8973</v>
      </c>
      <c r="H72" s="20" t="s">
        <v>9479</v>
      </c>
      <c r="I72" s="20" t="s">
        <v>9479</v>
      </c>
      <c r="J72" s="20" t="s">
        <v>8953</v>
      </c>
      <c r="K72" s="20" t="s">
        <v>8954</v>
      </c>
      <c r="L72" s="21" t="s">
        <v>8955</v>
      </c>
      <c r="M72" s="20" t="s">
        <v>8990</v>
      </c>
      <c r="N72" s="20" t="s">
        <v>8957</v>
      </c>
      <c r="O72" s="20">
        <f t="shared" si="1"/>
        <v>5</v>
      </c>
      <c r="P72" s="22" t="s">
        <v>8958</v>
      </c>
      <c r="Q72" s="21" t="s">
        <v>8959</v>
      </c>
      <c r="R72" s="23" t="s">
        <v>9010</v>
      </c>
      <c r="S72" s="18" t="s">
        <v>9516</v>
      </c>
      <c r="T72" s="24" t="str">
        <f>VLOOKUP(R72,[1]Sheet3!$A$2:$A$47,1,0)</f>
        <v>the United States of America</v>
      </c>
      <c r="U72" s="18" t="s">
        <v>9517</v>
      </c>
      <c r="V72" s="18" t="s">
        <v>9518</v>
      </c>
      <c r="W72" s="18" t="s">
        <v>8964</v>
      </c>
      <c r="X72" s="18" t="s">
        <v>6576</v>
      </c>
      <c r="Y72" s="18" t="s">
        <v>9519</v>
      </c>
      <c r="Z72" s="18" t="s">
        <v>17</v>
      </c>
    </row>
    <row r="73" spans="1:26" ht="20.100000000000001" customHeight="1" x14ac:dyDescent="0.2">
      <c r="A73" s="30" t="s">
        <v>9520</v>
      </c>
      <c r="B73" s="19" t="s">
        <v>9521</v>
      </c>
      <c r="C73" s="19" t="s">
        <v>9522</v>
      </c>
      <c r="D73" s="8" t="s">
        <v>9075</v>
      </c>
      <c r="E73" s="20" t="s">
        <v>8971</v>
      </c>
      <c r="F73" s="20" t="s">
        <v>9523</v>
      </c>
      <c r="G73" s="20" t="s">
        <v>8973</v>
      </c>
      <c r="H73" s="20">
        <v>3372</v>
      </c>
      <c r="I73" s="20" t="s">
        <v>9019</v>
      </c>
      <c r="J73" s="20" t="s">
        <v>8953</v>
      </c>
      <c r="K73" s="20" t="s">
        <v>8954</v>
      </c>
      <c r="L73" s="21" t="s">
        <v>8955</v>
      </c>
      <c r="M73" s="20" t="s">
        <v>8956</v>
      </c>
      <c r="N73" s="20" t="s">
        <v>8957</v>
      </c>
      <c r="O73" s="20">
        <f t="shared" si="1"/>
        <v>8</v>
      </c>
      <c r="P73" s="22" t="s">
        <v>8975</v>
      </c>
      <c r="Q73" s="21" t="s">
        <v>8959</v>
      </c>
      <c r="R73" s="23" t="s">
        <v>9213</v>
      </c>
      <c r="S73" s="18" t="s">
        <v>9011</v>
      </c>
      <c r="T73" s="24" t="str">
        <f>VLOOKUP(R73,[1]Sheet3!$A$2:$A$47,1,0)</f>
        <v>South Korea</v>
      </c>
      <c r="U73" s="18" t="s">
        <v>9524</v>
      </c>
      <c r="V73" s="18" t="s">
        <v>9525</v>
      </c>
      <c r="W73" s="18" t="s">
        <v>8964</v>
      </c>
      <c r="X73" s="18" t="s">
        <v>93</v>
      </c>
      <c r="Y73" s="18" t="s">
        <v>9014</v>
      </c>
      <c r="Z73" s="18" t="s">
        <v>17</v>
      </c>
    </row>
    <row r="74" spans="1:26" ht="20.100000000000001" customHeight="1" x14ac:dyDescent="0.2">
      <c r="A74" s="30" t="s">
        <v>9526</v>
      </c>
      <c r="B74" s="19" t="s">
        <v>9527</v>
      </c>
      <c r="C74" s="19" t="s">
        <v>9528</v>
      </c>
      <c r="D74" s="8" t="s">
        <v>9035</v>
      </c>
      <c r="E74" s="20" t="s">
        <v>8998</v>
      </c>
      <c r="F74" s="20" t="s">
        <v>9112</v>
      </c>
      <c r="G74" s="20" t="s">
        <v>8987</v>
      </c>
      <c r="H74" s="20" t="s">
        <v>9479</v>
      </c>
      <c r="I74" s="20" t="s">
        <v>9479</v>
      </c>
      <c r="J74" s="20" t="s">
        <v>8953</v>
      </c>
      <c r="K74" s="20" t="s">
        <v>8989</v>
      </c>
      <c r="L74" s="21" t="s">
        <v>8955</v>
      </c>
      <c r="M74" s="20" t="s">
        <v>8956</v>
      </c>
      <c r="N74" s="20" t="s">
        <v>8957</v>
      </c>
      <c r="O74" s="20">
        <f t="shared" si="1"/>
        <v>4</v>
      </c>
      <c r="P74" s="22" t="s">
        <v>8958</v>
      </c>
      <c r="Q74" s="21" t="s">
        <v>8959</v>
      </c>
      <c r="R74" s="23" t="s">
        <v>9529</v>
      </c>
      <c r="S74" s="18" t="s">
        <v>8961</v>
      </c>
      <c r="T74" s="24" t="str">
        <f>VLOOKUP(R74,[1]Sheet3!$A$2:$A$47,1,0)</f>
        <v>Switzerland</v>
      </c>
      <c r="U74" s="18" t="s">
        <v>9530</v>
      </c>
      <c r="V74" s="18" t="s">
        <v>9531</v>
      </c>
      <c r="W74" s="18" t="s">
        <v>8964</v>
      </c>
      <c r="X74" s="18" t="s">
        <v>126</v>
      </c>
      <c r="Y74" s="18" t="s">
        <v>8966</v>
      </c>
      <c r="Z74" s="18" t="s">
        <v>17</v>
      </c>
    </row>
    <row r="75" spans="1:26" ht="20.100000000000001" customHeight="1" x14ac:dyDescent="0.2">
      <c r="A75" s="30" t="s">
        <v>9532</v>
      </c>
      <c r="B75" s="19" t="s">
        <v>9533</v>
      </c>
      <c r="C75" s="19" t="s">
        <v>9534</v>
      </c>
      <c r="D75" s="8" t="s">
        <v>9173</v>
      </c>
      <c r="E75" s="20" t="s">
        <v>9308</v>
      </c>
      <c r="F75" s="20" t="s">
        <v>9535</v>
      </c>
      <c r="G75" s="20" t="s">
        <v>9464</v>
      </c>
      <c r="H75" s="20">
        <v>6766</v>
      </c>
      <c r="I75" s="20" t="s">
        <v>9019</v>
      </c>
      <c r="J75" s="20" t="s">
        <v>8953</v>
      </c>
      <c r="K75" s="20" t="s">
        <v>8954</v>
      </c>
      <c r="L75" s="21" t="s">
        <v>8955</v>
      </c>
      <c r="M75" s="20" t="s">
        <v>8990</v>
      </c>
      <c r="N75" s="20" t="s">
        <v>8959</v>
      </c>
      <c r="O75" s="20">
        <f t="shared" si="1"/>
        <v>5</v>
      </c>
      <c r="P75" s="22" t="s">
        <v>8958</v>
      </c>
      <c r="Q75" s="21" t="s">
        <v>8959</v>
      </c>
      <c r="R75" s="23" t="s">
        <v>9536</v>
      </c>
      <c r="S75" s="18" t="s">
        <v>8961</v>
      </c>
      <c r="T75" s="24" t="str">
        <f>VLOOKUP(R75,[1]Sheet3!$A$2:$A$47,1,0)</f>
        <v>Australia</v>
      </c>
      <c r="U75" s="18" t="s">
        <v>9537</v>
      </c>
      <c r="V75" s="18" t="s">
        <v>9538</v>
      </c>
      <c r="W75" s="18" t="s">
        <v>8964</v>
      </c>
      <c r="X75" s="18" t="s">
        <v>126</v>
      </c>
      <c r="Y75" s="18" t="s">
        <v>8966</v>
      </c>
      <c r="Z75" s="18" t="s">
        <v>17</v>
      </c>
    </row>
    <row r="76" spans="1:26" ht="20.100000000000001" customHeight="1" x14ac:dyDescent="0.2">
      <c r="A76" s="30" t="s">
        <v>9539</v>
      </c>
      <c r="B76" s="19" t="s">
        <v>9540</v>
      </c>
      <c r="C76" s="19" t="s">
        <v>9541</v>
      </c>
      <c r="D76" s="8" t="s">
        <v>9252</v>
      </c>
      <c r="E76" s="20" t="s">
        <v>9253</v>
      </c>
      <c r="F76" s="20" t="s">
        <v>8986</v>
      </c>
      <c r="G76" s="20" t="s">
        <v>8951</v>
      </c>
      <c r="H76" s="20">
        <v>316001</v>
      </c>
      <c r="I76" s="20" t="s">
        <v>9019</v>
      </c>
      <c r="J76" s="20" t="s">
        <v>8953</v>
      </c>
      <c r="K76" s="20" t="s">
        <v>8954</v>
      </c>
      <c r="L76" s="21" t="s">
        <v>8955</v>
      </c>
      <c r="M76" s="20" t="s">
        <v>8956</v>
      </c>
      <c r="N76" s="20" t="s">
        <v>8957</v>
      </c>
      <c r="O76" s="20">
        <f t="shared" si="1"/>
        <v>10</v>
      </c>
      <c r="P76" s="22" t="s">
        <v>8975</v>
      </c>
      <c r="Q76" s="21" t="s">
        <v>8959</v>
      </c>
      <c r="R76" s="23" t="s">
        <v>9010</v>
      </c>
      <c r="S76" s="18" t="s">
        <v>9542</v>
      </c>
      <c r="T76" s="24" t="str">
        <f>VLOOKUP(R76,[1]Sheet3!$A$2:$A$47,1,0)</f>
        <v>the United States of America</v>
      </c>
      <c r="U76" s="18" t="s">
        <v>9543</v>
      </c>
      <c r="V76" s="18" t="s">
        <v>9544</v>
      </c>
      <c r="W76" s="18" t="s">
        <v>8964</v>
      </c>
      <c r="X76" s="18" t="s">
        <v>1790</v>
      </c>
      <c r="Y76" s="18" t="s">
        <v>9545</v>
      </c>
      <c r="Z76" s="18" t="s">
        <v>17</v>
      </c>
    </row>
    <row r="77" spans="1:26" ht="20.100000000000001" customHeight="1" x14ac:dyDescent="0.2">
      <c r="A77" s="30" t="s">
        <v>9546</v>
      </c>
      <c r="B77" s="19" t="s">
        <v>9547</v>
      </c>
      <c r="C77" s="19" t="s">
        <v>9548</v>
      </c>
      <c r="D77" s="8" t="s">
        <v>9035</v>
      </c>
      <c r="E77" s="20" t="s">
        <v>8998</v>
      </c>
      <c r="F77" s="20" t="s">
        <v>9549</v>
      </c>
      <c r="G77" s="20" t="s">
        <v>8987</v>
      </c>
      <c r="H77" s="20">
        <v>1018</v>
      </c>
      <c r="I77" s="20" t="s">
        <v>8952</v>
      </c>
      <c r="J77" s="20" t="s">
        <v>8953</v>
      </c>
      <c r="K77" s="20" t="s">
        <v>8989</v>
      </c>
      <c r="L77" s="21" t="s">
        <v>8955</v>
      </c>
      <c r="M77" s="20" t="s">
        <v>8990</v>
      </c>
      <c r="N77" s="20" t="s">
        <v>9060</v>
      </c>
      <c r="O77" s="20">
        <f t="shared" si="1"/>
        <v>7</v>
      </c>
      <c r="P77" s="22" t="s">
        <v>8958</v>
      </c>
      <c r="Q77" s="21" t="s">
        <v>8959</v>
      </c>
      <c r="R77" s="23" t="s">
        <v>9310</v>
      </c>
      <c r="S77" s="18" t="s">
        <v>9550</v>
      </c>
      <c r="T77" s="24" t="str">
        <f>VLOOKUP(R77,[1]Sheet3!$A$2:$A$47,1,0)</f>
        <v>China</v>
      </c>
      <c r="U77" s="18" t="s">
        <v>9551</v>
      </c>
      <c r="V77" s="18" t="s">
        <v>9552</v>
      </c>
      <c r="W77" s="18" t="s">
        <v>8964</v>
      </c>
      <c r="X77" s="18" t="s">
        <v>234</v>
      </c>
      <c r="Y77" s="18" t="s">
        <v>9553</v>
      </c>
      <c r="Z77" s="18" t="s">
        <v>17</v>
      </c>
    </row>
    <row r="78" spans="1:26" ht="20.100000000000001" customHeight="1" x14ac:dyDescent="0.2">
      <c r="A78" s="30" t="s">
        <v>9554</v>
      </c>
      <c r="B78" s="19" t="s">
        <v>9555</v>
      </c>
      <c r="C78" s="19" t="s">
        <v>9556</v>
      </c>
      <c r="D78" s="8" t="s">
        <v>9075</v>
      </c>
      <c r="E78" s="20" t="s">
        <v>8949</v>
      </c>
      <c r="F78" s="20" t="s">
        <v>9557</v>
      </c>
      <c r="G78" s="20" t="s">
        <v>8951</v>
      </c>
      <c r="H78" s="20">
        <v>330</v>
      </c>
      <c r="I78" s="20" t="s">
        <v>8988</v>
      </c>
      <c r="J78" s="20" t="s">
        <v>8953</v>
      </c>
      <c r="K78" s="20" t="s">
        <v>8989</v>
      </c>
      <c r="L78" s="21" t="s">
        <v>8955</v>
      </c>
      <c r="M78" s="20" t="s">
        <v>8990</v>
      </c>
      <c r="N78" s="20" t="s">
        <v>8974</v>
      </c>
      <c r="O78" s="20">
        <f t="shared" si="1"/>
        <v>6</v>
      </c>
      <c r="P78" s="22" t="s">
        <v>8958</v>
      </c>
      <c r="Q78" s="21" t="s">
        <v>9061</v>
      </c>
      <c r="R78" s="23" t="s">
        <v>9010</v>
      </c>
      <c r="S78" s="18" t="s">
        <v>9558</v>
      </c>
      <c r="T78" s="24" t="str">
        <f>VLOOKUP(R78,[1]Sheet3!$A$2:$A$47,1,0)</f>
        <v>the United States of America</v>
      </c>
      <c r="U78" s="18" t="s">
        <v>9559</v>
      </c>
      <c r="V78" s="18" t="s">
        <v>9560</v>
      </c>
      <c r="W78" s="18" t="s">
        <v>8964</v>
      </c>
      <c r="X78" s="18" t="s">
        <v>1322</v>
      </c>
      <c r="Y78" s="18" t="s">
        <v>9561</v>
      </c>
      <c r="Z78" s="18" t="s">
        <v>17</v>
      </c>
    </row>
    <row r="79" spans="1:26" ht="20.100000000000001" customHeight="1" x14ac:dyDescent="0.2">
      <c r="A79" s="30" t="s">
        <v>9562</v>
      </c>
      <c r="B79" s="19" t="s">
        <v>9563</v>
      </c>
      <c r="C79" s="19" t="s">
        <v>9564</v>
      </c>
      <c r="D79" s="8" t="s">
        <v>8984</v>
      </c>
      <c r="E79" s="20" t="s">
        <v>8949</v>
      </c>
      <c r="F79" s="20" t="s">
        <v>9565</v>
      </c>
      <c r="G79" s="20" t="s">
        <v>8973</v>
      </c>
      <c r="H79" s="20">
        <v>140</v>
      </c>
      <c r="I79" s="20" t="s">
        <v>9158</v>
      </c>
      <c r="J79" s="20" t="s">
        <v>8953</v>
      </c>
      <c r="K79" s="20" t="s">
        <v>8954</v>
      </c>
      <c r="L79" s="21" t="s">
        <v>8955</v>
      </c>
      <c r="M79" s="20" t="s">
        <v>8956</v>
      </c>
      <c r="N79" s="20" t="s">
        <v>8957</v>
      </c>
      <c r="O79" s="20">
        <f t="shared" si="1"/>
        <v>7</v>
      </c>
      <c r="P79" s="22" t="s">
        <v>8958</v>
      </c>
      <c r="Q79" s="21" t="s">
        <v>8959</v>
      </c>
      <c r="R79" s="23" t="s">
        <v>9333</v>
      </c>
      <c r="S79" s="18" t="s">
        <v>9028</v>
      </c>
      <c r="T79" s="24" t="str">
        <f>VLOOKUP(R79,[1]Sheet3!$A$2:$A$47,1,0)</f>
        <v>Japan</v>
      </c>
      <c r="U79" s="18" t="s">
        <v>9566</v>
      </c>
      <c r="V79" s="18" t="s">
        <v>9567</v>
      </c>
      <c r="W79" s="18" t="s">
        <v>8964</v>
      </c>
      <c r="X79" s="18" t="s">
        <v>43</v>
      </c>
      <c r="Y79" s="18" t="s">
        <v>9031</v>
      </c>
      <c r="Z79" s="18" t="s">
        <v>17</v>
      </c>
    </row>
    <row r="80" spans="1:26" ht="20.100000000000001" customHeight="1" x14ac:dyDescent="0.2">
      <c r="A80" s="30" t="s">
        <v>9568</v>
      </c>
      <c r="B80" s="19" t="s">
        <v>9569</v>
      </c>
      <c r="C80" s="19" t="s">
        <v>9570</v>
      </c>
      <c r="D80" s="8" t="s">
        <v>8948</v>
      </c>
      <c r="E80" s="20" t="s">
        <v>8949</v>
      </c>
      <c r="F80" s="20" t="s">
        <v>9036</v>
      </c>
      <c r="G80" s="20" t="s">
        <v>9464</v>
      </c>
      <c r="H80" s="20">
        <v>40</v>
      </c>
      <c r="I80" s="20" t="s">
        <v>9008</v>
      </c>
      <c r="J80" s="20" t="s">
        <v>8953</v>
      </c>
      <c r="K80" s="20" t="s">
        <v>8954</v>
      </c>
      <c r="L80" s="21" t="s">
        <v>8955</v>
      </c>
      <c r="M80" s="20" t="s">
        <v>8990</v>
      </c>
      <c r="N80" s="20" t="s">
        <v>8959</v>
      </c>
      <c r="O80" s="20">
        <f t="shared" si="1"/>
        <v>5</v>
      </c>
      <c r="P80" s="22" t="s">
        <v>8958</v>
      </c>
      <c r="Q80" s="21" t="s">
        <v>8959</v>
      </c>
      <c r="R80" s="23" t="s">
        <v>9310</v>
      </c>
      <c r="S80" s="18" t="s">
        <v>9442</v>
      </c>
      <c r="T80" s="24" t="str">
        <f>VLOOKUP(R80,[1]Sheet3!$A$2:$A$47,1,0)</f>
        <v>China</v>
      </c>
      <c r="U80" s="18" t="s">
        <v>9571</v>
      </c>
      <c r="V80" s="18" t="s">
        <v>9572</v>
      </c>
      <c r="W80" s="18" t="s">
        <v>8964</v>
      </c>
      <c r="X80" s="18" t="s">
        <v>21</v>
      </c>
      <c r="Y80" s="18" t="s">
        <v>9445</v>
      </c>
      <c r="Z80" s="18" t="s">
        <v>17</v>
      </c>
    </row>
    <row r="81" spans="1:26" ht="20.100000000000001" customHeight="1" x14ac:dyDescent="0.2">
      <c r="A81" s="30" t="s">
        <v>9573</v>
      </c>
      <c r="B81" s="19" t="s">
        <v>9574</v>
      </c>
      <c r="C81" s="19" t="s">
        <v>9575</v>
      </c>
      <c r="D81" s="8" t="s">
        <v>8948</v>
      </c>
      <c r="E81" s="20" t="s">
        <v>8949</v>
      </c>
      <c r="F81" s="20" t="s">
        <v>8972</v>
      </c>
      <c r="G81" s="20" t="s">
        <v>8973</v>
      </c>
      <c r="H81" s="20">
        <v>431</v>
      </c>
      <c r="I81" s="20" t="s">
        <v>8988</v>
      </c>
      <c r="J81" s="20" t="s">
        <v>8953</v>
      </c>
      <c r="K81" s="20" t="s">
        <v>8954</v>
      </c>
      <c r="L81" s="21" t="s">
        <v>8955</v>
      </c>
      <c r="M81" s="20" t="s">
        <v>8990</v>
      </c>
      <c r="N81" s="20" t="s">
        <v>8959</v>
      </c>
      <c r="O81" s="20">
        <f t="shared" si="1"/>
        <v>2</v>
      </c>
      <c r="P81" s="22" t="s">
        <v>9103</v>
      </c>
      <c r="Q81" s="21" t="s">
        <v>8959</v>
      </c>
      <c r="R81" s="23" t="s">
        <v>9010</v>
      </c>
      <c r="S81" s="18" t="s">
        <v>9576</v>
      </c>
      <c r="T81" s="24" t="str">
        <f>VLOOKUP(R81,[1]Sheet3!$A$2:$A$47,1,0)</f>
        <v>the United States of America</v>
      </c>
      <c r="U81" s="18" t="s">
        <v>9577</v>
      </c>
      <c r="V81" s="18" t="s">
        <v>9578</v>
      </c>
      <c r="W81" s="18" t="s">
        <v>8964</v>
      </c>
      <c r="X81" s="18" t="s">
        <v>2727</v>
      </c>
      <c r="Y81" s="18" t="s">
        <v>9579</v>
      </c>
      <c r="Z81" s="18" t="s">
        <v>11</v>
      </c>
    </row>
    <row r="82" spans="1:26" ht="20.100000000000001" customHeight="1" x14ac:dyDescent="0.2">
      <c r="A82" s="30" t="s">
        <v>9580</v>
      </c>
      <c r="B82" s="19" t="s">
        <v>9581</v>
      </c>
      <c r="C82" s="19" t="s">
        <v>9582</v>
      </c>
      <c r="D82" s="8" t="s">
        <v>8984</v>
      </c>
      <c r="E82" s="20" t="s">
        <v>8998</v>
      </c>
      <c r="F82" s="20" t="s">
        <v>8972</v>
      </c>
      <c r="G82" s="20" t="s">
        <v>9292</v>
      </c>
      <c r="H82" s="20">
        <v>223846</v>
      </c>
      <c r="I82" s="20" t="s">
        <v>9019</v>
      </c>
      <c r="J82" s="20" t="s">
        <v>8953</v>
      </c>
      <c r="K82" s="20" t="s">
        <v>8989</v>
      </c>
      <c r="L82" s="21" t="s">
        <v>8955</v>
      </c>
      <c r="M82" s="20" t="s">
        <v>8956</v>
      </c>
      <c r="N82" s="20" t="s">
        <v>8957</v>
      </c>
      <c r="O82" s="20">
        <f t="shared" si="1"/>
        <v>7</v>
      </c>
      <c r="P82" s="22" t="s">
        <v>8958</v>
      </c>
      <c r="Q82" s="21" t="s">
        <v>8959</v>
      </c>
      <c r="R82" s="23" t="s">
        <v>9310</v>
      </c>
      <c r="S82" s="18" t="s">
        <v>9228</v>
      </c>
      <c r="T82" s="24" t="str">
        <f>VLOOKUP(R82,[1]Sheet3!$A$2:$A$47,1,0)</f>
        <v>China</v>
      </c>
      <c r="U82" s="18" t="s">
        <v>9229</v>
      </c>
      <c r="V82" s="18" t="s">
        <v>9583</v>
      </c>
      <c r="W82" s="18" t="s">
        <v>8964</v>
      </c>
      <c r="X82" s="18" t="s">
        <v>110</v>
      </c>
      <c r="Y82" s="18" t="s">
        <v>9231</v>
      </c>
      <c r="Z82" s="18" t="s">
        <v>17</v>
      </c>
    </row>
    <row r="83" spans="1:26" ht="20.100000000000001" customHeight="1" x14ac:dyDescent="0.2">
      <c r="A83" s="30" t="s">
        <v>9584</v>
      </c>
      <c r="B83" s="19" t="s">
        <v>9585</v>
      </c>
      <c r="C83" s="19" t="s">
        <v>9586</v>
      </c>
      <c r="D83" s="8" t="s">
        <v>9049</v>
      </c>
      <c r="E83" s="20" t="s">
        <v>9325</v>
      </c>
      <c r="F83" s="20" t="s">
        <v>9349</v>
      </c>
      <c r="G83" s="20" t="s">
        <v>8973</v>
      </c>
      <c r="H83" s="20">
        <v>52</v>
      </c>
      <c r="I83" s="20" t="s">
        <v>9008</v>
      </c>
      <c r="J83" s="20" t="s">
        <v>8953</v>
      </c>
      <c r="K83" s="20" t="s">
        <v>8954</v>
      </c>
      <c r="L83" s="21" t="s">
        <v>8955</v>
      </c>
      <c r="M83" s="20" t="s">
        <v>8990</v>
      </c>
      <c r="N83" s="20" t="s">
        <v>8957</v>
      </c>
      <c r="O83" s="20">
        <f t="shared" si="1"/>
        <v>10</v>
      </c>
      <c r="P83" s="22" t="s">
        <v>8975</v>
      </c>
      <c r="Q83" s="21" t="s">
        <v>8959</v>
      </c>
      <c r="R83" s="23" t="s">
        <v>9310</v>
      </c>
      <c r="S83" s="18" t="s">
        <v>9085</v>
      </c>
      <c r="T83" s="24" t="str">
        <f>VLOOKUP(R83,[1]Sheet3!$A$2:$A$47,1,0)</f>
        <v>China</v>
      </c>
      <c r="U83" s="18" t="s">
        <v>9587</v>
      </c>
      <c r="V83" s="18" t="s">
        <v>9588</v>
      </c>
      <c r="W83" s="18" t="s">
        <v>8964</v>
      </c>
      <c r="X83" s="18" t="s">
        <v>184</v>
      </c>
      <c r="Y83" s="18" t="s">
        <v>9088</v>
      </c>
      <c r="Z83" s="18" t="s">
        <v>17</v>
      </c>
    </row>
    <row r="84" spans="1:26" ht="20.100000000000001" customHeight="1" x14ac:dyDescent="0.2">
      <c r="A84" s="30" t="s">
        <v>9589</v>
      </c>
      <c r="B84" s="19" t="s">
        <v>9590</v>
      </c>
      <c r="C84" s="19" t="s">
        <v>9591</v>
      </c>
      <c r="D84" s="8" t="s">
        <v>9092</v>
      </c>
      <c r="E84" s="20" t="s">
        <v>8998</v>
      </c>
      <c r="F84" s="20" t="s">
        <v>8972</v>
      </c>
      <c r="G84" s="20" t="s">
        <v>8973</v>
      </c>
      <c r="H84" s="20">
        <v>9582</v>
      </c>
      <c r="I84" s="20" t="s">
        <v>9019</v>
      </c>
      <c r="J84" s="20" t="s">
        <v>8953</v>
      </c>
      <c r="K84" s="20" t="s">
        <v>8989</v>
      </c>
      <c r="L84" s="21" t="s">
        <v>8955</v>
      </c>
      <c r="M84" s="20" t="s">
        <v>8956</v>
      </c>
      <c r="N84" s="20" t="s">
        <v>8957</v>
      </c>
      <c r="O84" s="20">
        <f t="shared" si="1"/>
        <v>6</v>
      </c>
      <c r="P84" s="22" t="s">
        <v>8958</v>
      </c>
      <c r="Q84" s="21" t="s">
        <v>9009</v>
      </c>
      <c r="R84" s="23" t="s">
        <v>9010</v>
      </c>
      <c r="S84" s="18" t="s">
        <v>9592</v>
      </c>
      <c r="T84" s="24" t="str">
        <f>VLOOKUP(R84,[1]Sheet3!$A$2:$A$47,1,0)</f>
        <v>the United States of America</v>
      </c>
      <c r="U84" s="18" t="s">
        <v>9593</v>
      </c>
      <c r="V84" s="18" t="s">
        <v>9594</v>
      </c>
      <c r="W84" s="18" t="s">
        <v>8964</v>
      </c>
      <c r="X84" s="18" t="s">
        <v>670</v>
      </c>
      <c r="Y84" s="18" t="s">
        <v>9595</v>
      </c>
      <c r="Z84" s="18" t="s">
        <v>17</v>
      </c>
    </row>
    <row r="85" spans="1:26" ht="20.100000000000001" customHeight="1" x14ac:dyDescent="0.2">
      <c r="A85" s="30" t="s">
        <v>9596</v>
      </c>
      <c r="B85" s="19" t="s">
        <v>9597</v>
      </c>
      <c r="C85" s="19" t="s">
        <v>9598</v>
      </c>
      <c r="D85" s="8" t="s">
        <v>9252</v>
      </c>
      <c r="E85" s="20" t="s">
        <v>9253</v>
      </c>
      <c r="F85" s="20" t="s">
        <v>9599</v>
      </c>
      <c r="G85" s="20" t="s">
        <v>8987</v>
      </c>
      <c r="H85" s="20">
        <v>3034</v>
      </c>
      <c r="I85" s="20" t="s">
        <v>9019</v>
      </c>
      <c r="J85" s="20" t="s">
        <v>8953</v>
      </c>
      <c r="K85" s="20" t="s">
        <v>8989</v>
      </c>
      <c r="L85" s="21" t="s">
        <v>8955</v>
      </c>
      <c r="M85" s="20" t="s">
        <v>8956</v>
      </c>
      <c r="N85" s="20" t="s">
        <v>8959</v>
      </c>
      <c r="O85" s="20">
        <f t="shared" si="1"/>
        <v>8</v>
      </c>
      <c r="P85" s="22" t="s">
        <v>8975</v>
      </c>
      <c r="Q85" s="21" t="s">
        <v>9061</v>
      </c>
      <c r="R85" s="23" t="s">
        <v>9010</v>
      </c>
      <c r="S85" s="18" t="s">
        <v>9020</v>
      </c>
      <c r="T85" s="24" t="str">
        <f>VLOOKUP(R85,[1]Sheet3!$A$2:$A$47,1,0)</f>
        <v>the United States of America</v>
      </c>
      <c r="U85" s="18" t="s">
        <v>9600</v>
      </c>
      <c r="V85" s="18" t="s">
        <v>9601</v>
      </c>
      <c r="W85" s="18" t="s">
        <v>8964</v>
      </c>
      <c r="X85" s="18" t="s">
        <v>87</v>
      </c>
      <c r="Y85" s="18" t="s">
        <v>9023</v>
      </c>
      <c r="Z85" s="18" t="s">
        <v>17</v>
      </c>
    </row>
    <row r="86" spans="1:26" ht="20.100000000000001" customHeight="1" x14ac:dyDescent="0.2">
      <c r="A86" s="30" t="s">
        <v>9602</v>
      </c>
      <c r="B86" s="19" t="s">
        <v>9603</v>
      </c>
      <c r="C86" s="19" t="s">
        <v>9604</v>
      </c>
      <c r="D86" s="8" t="s">
        <v>9605</v>
      </c>
      <c r="E86" s="20" t="s">
        <v>9101</v>
      </c>
      <c r="F86" s="45" t="s">
        <v>9036</v>
      </c>
      <c r="G86" s="20" t="s">
        <v>9292</v>
      </c>
      <c r="H86" s="20">
        <v>102</v>
      </c>
      <c r="I86" s="20" t="s">
        <v>9158</v>
      </c>
      <c r="J86" s="20" t="s">
        <v>8953</v>
      </c>
      <c r="K86" s="20" t="s">
        <v>8954</v>
      </c>
      <c r="L86" s="21" t="s">
        <v>8955</v>
      </c>
      <c r="M86" s="20" t="s">
        <v>8956</v>
      </c>
      <c r="N86" s="20" t="s">
        <v>8957</v>
      </c>
      <c r="O86" s="20">
        <f t="shared" si="1"/>
        <v>4</v>
      </c>
      <c r="P86" s="22" t="s">
        <v>8958</v>
      </c>
      <c r="Q86" s="21" t="s">
        <v>8959</v>
      </c>
      <c r="R86" s="23" t="s">
        <v>9010</v>
      </c>
      <c r="S86" s="18" t="s">
        <v>9271</v>
      </c>
      <c r="T86" s="24" t="str">
        <f>VLOOKUP(R86,[1]Sheet3!$A$2:$A$47,1,0)</f>
        <v>the United States of America</v>
      </c>
      <c r="U86" s="18" t="s">
        <v>9606</v>
      </c>
      <c r="V86" s="18" t="s">
        <v>9607</v>
      </c>
      <c r="W86" s="18" t="s">
        <v>8964</v>
      </c>
      <c r="X86" s="18" t="s">
        <v>15</v>
      </c>
      <c r="Y86" s="18" t="s">
        <v>9274</v>
      </c>
      <c r="Z86" s="18" t="s">
        <v>17</v>
      </c>
    </row>
    <row r="87" spans="1:26" ht="20.100000000000001" customHeight="1" x14ac:dyDescent="0.2">
      <c r="A87" s="30" t="s">
        <v>9608</v>
      </c>
      <c r="B87" s="19" t="s">
        <v>9609</v>
      </c>
      <c r="C87" s="19" t="s">
        <v>9610</v>
      </c>
      <c r="D87" s="8" t="s">
        <v>8984</v>
      </c>
      <c r="E87" s="20" t="s">
        <v>8949</v>
      </c>
      <c r="F87" s="20" t="s">
        <v>9175</v>
      </c>
      <c r="G87" s="20" t="s">
        <v>9076</v>
      </c>
      <c r="H87" s="20">
        <v>21</v>
      </c>
      <c r="I87" s="20" t="s">
        <v>9008</v>
      </c>
      <c r="J87" s="20" t="s">
        <v>9059</v>
      </c>
      <c r="K87" s="31" t="s">
        <v>8989</v>
      </c>
      <c r="L87" s="21" t="s">
        <v>8955</v>
      </c>
      <c r="M87" s="20" t="s">
        <v>8956</v>
      </c>
      <c r="N87" s="20" t="s">
        <v>8957</v>
      </c>
      <c r="O87" s="20">
        <f t="shared" si="1"/>
        <v>10</v>
      </c>
      <c r="P87" s="22" t="s">
        <v>8975</v>
      </c>
      <c r="Q87" s="21" t="s">
        <v>9061</v>
      </c>
      <c r="R87" s="23" t="s">
        <v>9010</v>
      </c>
      <c r="S87" s="18" t="s">
        <v>9592</v>
      </c>
      <c r="T87" s="24" t="str">
        <f>VLOOKUP(R87,[1]Sheet3!$A$2:$A$47,1,0)</f>
        <v>the United States of America</v>
      </c>
      <c r="U87" s="18" t="s">
        <v>9611</v>
      </c>
      <c r="V87" s="18" t="s">
        <v>9612</v>
      </c>
      <c r="W87" s="18" t="s">
        <v>8964</v>
      </c>
      <c r="X87" s="18" t="s">
        <v>670</v>
      </c>
      <c r="Y87" s="18" t="s">
        <v>9595</v>
      </c>
      <c r="Z87" s="18" t="s">
        <v>17</v>
      </c>
    </row>
    <row r="88" spans="1:26" ht="20.100000000000001" customHeight="1" x14ac:dyDescent="0.2">
      <c r="A88" s="30" t="s">
        <v>9613</v>
      </c>
      <c r="B88" s="19" t="s">
        <v>9614</v>
      </c>
      <c r="C88" s="19" t="s">
        <v>9615</v>
      </c>
      <c r="D88" s="8" t="s">
        <v>8948</v>
      </c>
      <c r="E88" s="20" t="s">
        <v>8949</v>
      </c>
      <c r="F88" s="20" t="s">
        <v>8950</v>
      </c>
      <c r="G88" s="20" t="s">
        <v>8973</v>
      </c>
      <c r="H88" s="20">
        <v>75</v>
      </c>
      <c r="I88" s="20" t="s">
        <v>9008</v>
      </c>
      <c r="J88" s="20" t="s">
        <v>9059</v>
      </c>
      <c r="K88" s="20" t="s">
        <v>8989</v>
      </c>
      <c r="L88" s="21" t="s">
        <v>8955</v>
      </c>
      <c r="M88" s="20" t="s">
        <v>8956</v>
      </c>
      <c r="N88" s="20" t="s">
        <v>8959</v>
      </c>
      <c r="O88" s="20">
        <f t="shared" si="1"/>
        <v>4</v>
      </c>
      <c r="P88" s="22" t="s">
        <v>8958</v>
      </c>
      <c r="Q88" s="21" t="s">
        <v>8959</v>
      </c>
      <c r="R88" s="23" t="s">
        <v>9113</v>
      </c>
      <c r="S88" s="18" t="s">
        <v>9616</v>
      </c>
      <c r="T88" s="24" t="str">
        <f>VLOOKUP(R88,[1]Sheet3!$A$2:$A$47,1,0)</f>
        <v>UK</v>
      </c>
      <c r="U88" s="18" t="s">
        <v>9617</v>
      </c>
      <c r="V88" s="18" t="s">
        <v>9618</v>
      </c>
      <c r="W88" s="18" t="s">
        <v>8964</v>
      </c>
      <c r="X88" s="18" t="s">
        <v>631</v>
      </c>
      <c r="Y88" s="18" t="s">
        <v>9619</v>
      </c>
      <c r="Z88" s="18" t="s">
        <v>17</v>
      </c>
    </row>
    <row r="89" spans="1:26" ht="20.100000000000001" customHeight="1" x14ac:dyDescent="0.2">
      <c r="A89" s="30" t="s">
        <v>9620</v>
      </c>
      <c r="B89" s="19" t="s">
        <v>9621</v>
      </c>
      <c r="C89" s="19" t="s">
        <v>9622</v>
      </c>
      <c r="D89" s="8" t="s">
        <v>8948</v>
      </c>
      <c r="E89" s="20" t="s">
        <v>8998</v>
      </c>
      <c r="F89" s="20" t="s">
        <v>9623</v>
      </c>
      <c r="G89" s="20" t="s">
        <v>9133</v>
      </c>
      <c r="H89" s="20">
        <v>9455</v>
      </c>
      <c r="I89" s="20" t="s">
        <v>9019</v>
      </c>
      <c r="J89" s="20" t="s">
        <v>8953</v>
      </c>
      <c r="K89" s="20" t="s">
        <v>8989</v>
      </c>
      <c r="L89" s="21" t="s">
        <v>8955</v>
      </c>
      <c r="M89" s="20" t="s">
        <v>8956</v>
      </c>
      <c r="N89" s="20" t="s">
        <v>8957</v>
      </c>
      <c r="O89" s="20">
        <f t="shared" si="1"/>
        <v>21</v>
      </c>
      <c r="P89" s="22" t="s">
        <v>8975</v>
      </c>
      <c r="Q89" s="21" t="s">
        <v>8959</v>
      </c>
      <c r="R89" s="23" t="s">
        <v>9010</v>
      </c>
      <c r="S89" s="18" t="s">
        <v>9393</v>
      </c>
      <c r="T89" s="24" t="str">
        <f>VLOOKUP(R89,[1]Sheet3!$A$2:$A$47,1,0)</f>
        <v>the United States of America</v>
      </c>
      <c r="U89" s="18" t="s">
        <v>9624</v>
      </c>
      <c r="V89" s="18" t="s">
        <v>9625</v>
      </c>
      <c r="W89" s="18" t="s">
        <v>8964</v>
      </c>
      <c r="X89" s="18" t="s">
        <v>1918</v>
      </c>
      <c r="Y89" s="18" t="s">
        <v>9396</v>
      </c>
      <c r="Z89" s="18" t="s">
        <v>17</v>
      </c>
    </row>
    <row r="90" spans="1:26" ht="20.100000000000001" customHeight="1" x14ac:dyDescent="0.2">
      <c r="A90" s="30" t="s">
        <v>9626</v>
      </c>
      <c r="B90" s="19" t="s">
        <v>9627</v>
      </c>
      <c r="C90" s="19" t="s">
        <v>9628</v>
      </c>
      <c r="D90" s="8" t="s">
        <v>9049</v>
      </c>
      <c r="E90" s="20" t="s">
        <v>9050</v>
      </c>
      <c r="F90" s="20" t="s">
        <v>9629</v>
      </c>
      <c r="G90" s="20" t="s">
        <v>8951</v>
      </c>
      <c r="H90" s="20">
        <v>128175</v>
      </c>
      <c r="I90" s="20" t="s">
        <v>9019</v>
      </c>
      <c r="J90" s="20" t="s">
        <v>8953</v>
      </c>
      <c r="K90" s="20" t="s">
        <v>8954</v>
      </c>
      <c r="L90" s="21" t="s">
        <v>8955</v>
      </c>
      <c r="M90" s="20" t="s">
        <v>8990</v>
      </c>
      <c r="N90" s="20" t="s">
        <v>8959</v>
      </c>
      <c r="O90" s="20">
        <f t="shared" si="1"/>
        <v>3</v>
      </c>
      <c r="P90" s="22" t="s">
        <v>9103</v>
      </c>
      <c r="Q90" s="21" t="s">
        <v>8959</v>
      </c>
      <c r="R90" s="23" t="s">
        <v>9630</v>
      </c>
      <c r="S90" s="18" t="s">
        <v>9228</v>
      </c>
      <c r="T90" s="24" t="str">
        <f>VLOOKUP(R90,[1]Sheet3!$A$2:$A$47,1,0)</f>
        <v>Norway</v>
      </c>
      <c r="U90" s="18" t="s">
        <v>9631</v>
      </c>
      <c r="V90" s="18" t="s">
        <v>9632</v>
      </c>
      <c r="W90" s="18" t="s">
        <v>8964</v>
      </c>
      <c r="X90" s="18" t="s">
        <v>110</v>
      </c>
      <c r="Y90" s="18" t="s">
        <v>9231</v>
      </c>
      <c r="Z90" s="18" t="s">
        <v>17</v>
      </c>
    </row>
    <row r="91" spans="1:26" ht="20.100000000000001" customHeight="1" x14ac:dyDescent="0.2">
      <c r="A91" s="30" t="s">
        <v>9633</v>
      </c>
      <c r="B91" s="19" t="s">
        <v>9634</v>
      </c>
      <c r="C91" s="19" t="s">
        <v>9635</v>
      </c>
      <c r="D91" s="8" t="s">
        <v>9049</v>
      </c>
      <c r="E91" s="20" t="s">
        <v>9325</v>
      </c>
      <c r="F91" s="20" t="s">
        <v>8972</v>
      </c>
      <c r="G91" s="20" t="s">
        <v>8951</v>
      </c>
      <c r="H91" s="20">
        <v>290</v>
      </c>
      <c r="I91" s="20" t="s">
        <v>8988</v>
      </c>
      <c r="J91" s="31" t="s">
        <v>8953</v>
      </c>
      <c r="K91" s="20" t="s">
        <v>8954</v>
      </c>
      <c r="L91" s="21" t="s">
        <v>8955</v>
      </c>
      <c r="M91" s="20" t="s">
        <v>8956</v>
      </c>
      <c r="N91" s="20" t="s">
        <v>8957</v>
      </c>
      <c r="O91" s="20">
        <f t="shared" si="1"/>
        <v>8</v>
      </c>
      <c r="P91" s="22" t="s">
        <v>8975</v>
      </c>
      <c r="Q91" s="21" t="s">
        <v>9061</v>
      </c>
      <c r="R91" s="23" t="s">
        <v>9636</v>
      </c>
      <c r="S91" s="18" t="s">
        <v>9159</v>
      </c>
      <c r="T91" s="24" t="str">
        <f>VLOOKUP(R91,[1]Sheet3!$A$2:$A$47,1,0)</f>
        <v>Austria</v>
      </c>
      <c r="U91" s="19" t="s">
        <v>9637</v>
      </c>
      <c r="V91" s="18" t="s">
        <v>9638</v>
      </c>
      <c r="W91" s="18" t="s">
        <v>8964</v>
      </c>
      <c r="X91" s="18" t="s">
        <v>61</v>
      </c>
      <c r="Y91" s="18" t="s">
        <v>9162</v>
      </c>
      <c r="Z91" s="18" t="s">
        <v>17</v>
      </c>
    </row>
    <row r="92" spans="1:26" ht="20.100000000000001" customHeight="1" x14ac:dyDescent="0.2">
      <c r="A92" s="30" t="s">
        <v>9639</v>
      </c>
      <c r="B92" s="19" t="s">
        <v>9640</v>
      </c>
      <c r="C92" s="19" t="s">
        <v>9641</v>
      </c>
      <c r="D92" s="8" t="s">
        <v>9605</v>
      </c>
      <c r="E92" s="20" t="s">
        <v>9101</v>
      </c>
      <c r="F92" s="20" t="s">
        <v>8972</v>
      </c>
      <c r="G92" s="20" t="s">
        <v>9076</v>
      </c>
      <c r="H92" s="20">
        <v>825</v>
      </c>
      <c r="I92" s="20" t="s">
        <v>9077</v>
      </c>
      <c r="J92" s="20" t="s">
        <v>8953</v>
      </c>
      <c r="K92" s="20" t="s">
        <v>8954</v>
      </c>
      <c r="L92" s="21" t="s">
        <v>8955</v>
      </c>
      <c r="M92" s="20" t="s">
        <v>8990</v>
      </c>
      <c r="N92" s="20" t="s">
        <v>8957</v>
      </c>
      <c r="O92" s="20">
        <f t="shared" si="1"/>
        <v>7</v>
      </c>
      <c r="P92" s="22" t="s">
        <v>8958</v>
      </c>
      <c r="Q92" s="21" t="s">
        <v>8959</v>
      </c>
      <c r="R92" s="23" t="s">
        <v>9642</v>
      </c>
      <c r="S92" s="18" t="s">
        <v>9643</v>
      </c>
      <c r="T92" s="24" t="str">
        <f>VLOOKUP(R92,[1]Sheet3!$A$2:$A$47,1,0)</f>
        <v>Belgium</v>
      </c>
      <c r="U92" s="18" t="s">
        <v>9644</v>
      </c>
      <c r="V92" s="18" t="s">
        <v>9645</v>
      </c>
      <c r="W92" s="18" t="s">
        <v>8964</v>
      </c>
      <c r="X92" s="18" t="s">
        <v>4874</v>
      </c>
      <c r="Y92" s="18" t="s">
        <v>9646</v>
      </c>
      <c r="Z92" s="18" t="s">
        <v>17</v>
      </c>
    </row>
    <row r="93" spans="1:26" ht="20.100000000000001" customHeight="1" x14ac:dyDescent="0.2">
      <c r="A93" s="30" t="s">
        <v>9647</v>
      </c>
      <c r="B93" s="19" t="s">
        <v>9648</v>
      </c>
      <c r="C93" s="19" t="s">
        <v>9649</v>
      </c>
      <c r="D93" s="8" t="s">
        <v>9100</v>
      </c>
      <c r="E93" s="20" t="s">
        <v>8949</v>
      </c>
      <c r="F93" s="20" t="s">
        <v>9007</v>
      </c>
      <c r="G93" s="31" t="s">
        <v>9157</v>
      </c>
      <c r="H93" s="31">
        <v>210</v>
      </c>
      <c r="I93" s="20" t="s">
        <v>9158</v>
      </c>
      <c r="J93" s="20" t="s">
        <v>8953</v>
      </c>
      <c r="K93" s="20" t="s">
        <v>8989</v>
      </c>
      <c r="L93" s="21" t="s">
        <v>8955</v>
      </c>
      <c r="M93" s="20" t="s">
        <v>8956</v>
      </c>
      <c r="N93" s="20" t="s">
        <v>8957</v>
      </c>
      <c r="O93" s="20">
        <f t="shared" si="1"/>
        <v>4</v>
      </c>
      <c r="P93" s="22" t="s">
        <v>8958</v>
      </c>
      <c r="Q93" s="21" t="s">
        <v>8959</v>
      </c>
      <c r="R93" s="23" t="s">
        <v>9650</v>
      </c>
      <c r="S93" s="18" t="s">
        <v>9651</v>
      </c>
      <c r="T93" s="24" t="str">
        <f>VLOOKUP(R93,[1]Sheet3!$A$2:$A$47,1,0)</f>
        <v>Spain</v>
      </c>
      <c r="U93" s="18" t="s">
        <v>9652</v>
      </c>
      <c r="V93" s="18" t="s">
        <v>9653</v>
      </c>
      <c r="W93" s="18" t="s">
        <v>8964</v>
      </c>
      <c r="X93" s="18" t="s">
        <v>200</v>
      </c>
      <c r="Y93" s="18" t="s">
        <v>9654</v>
      </c>
      <c r="Z93" s="18" t="s">
        <v>17</v>
      </c>
    </row>
    <row r="94" spans="1:26" ht="20.100000000000001" customHeight="1" x14ac:dyDescent="0.2">
      <c r="A94" s="30" t="s">
        <v>9655</v>
      </c>
      <c r="B94" s="19" t="s">
        <v>9656</v>
      </c>
      <c r="C94" s="19" t="s">
        <v>9657</v>
      </c>
      <c r="D94" s="8" t="s">
        <v>9605</v>
      </c>
      <c r="E94" s="20" t="s">
        <v>8998</v>
      </c>
      <c r="F94" s="20" t="s">
        <v>9658</v>
      </c>
      <c r="G94" s="20" t="s">
        <v>8987</v>
      </c>
      <c r="H94" s="20">
        <v>90</v>
      </c>
      <c r="I94" s="20" t="s">
        <v>9008</v>
      </c>
      <c r="J94" s="20" t="s">
        <v>8953</v>
      </c>
      <c r="K94" s="20" t="s">
        <v>8989</v>
      </c>
      <c r="L94" s="21" t="s">
        <v>8955</v>
      </c>
      <c r="M94" s="20" t="s">
        <v>8990</v>
      </c>
      <c r="N94" s="20" t="s">
        <v>8959</v>
      </c>
      <c r="O94" s="20">
        <f t="shared" si="1"/>
        <v>6</v>
      </c>
      <c r="P94" s="22" t="s">
        <v>8958</v>
      </c>
      <c r="Q94" s="21" t="s">
        <v>9061</v>
      </c>
      <c r="R94" s="23" t="s">
        <v>9333</v>
      </c>
      <c r="S94" s="18" t="s">
        <v>9659</v>
      </c>
      <c r="T94" s="24" t="str">
        <f>VLOOKUP(R94,[1]Sheet3!$A$2:$A$47,1,0)</f>
        <v>Japan</v>
      </c>
      <c r="U94" s="18" t="s">
        <v>9660</v>
      </c>
      <c r="V94" s="18" t="s">
        <v>9661</v>
      </c>
      <c r="W94" s="18" t="s">
        <v>8964</v>
      </c>
      <c r="X94" s="18" t="s">
        <v>2775</v>
      </c>
      <c r="Y94" s="18" t="s">
        <v>9662</v>
      </c>
      <c r="Z94" s="18" t="s">
        <v>17</v>
      </c>
    </row>
    <row r="95" spans="1:26" ht="20.100000000000001" customHeight="1" x14ac:dyDescent="0.2">
      <c r="A95" s="30" t="s">
        <v>9663</v>
      </c>
      <c r="B95" s="19" t="s">
        <v>9664</v>
      </c>
      <c r="C95" s="19" t="s">
        <v>9665</v>
      </c>
      <c r="D95" s="8" t="s">
        <v>8948</v>
      </c>
      <c r="E95" s="20" t="s">
        <v>8949</v>
      </c>
      <c r="F95" s="20" t="s">
        <v>9666</v>
      </c>
      <c r="G95" s="20" t="s">
        <v>8987</v>
      </c>
      <c r="H95" s="20">
        <v>181</v>
      </c>
      <c r="I95" s="20" t="s">
        <v>9158</v>
      </c>
      <c r="J95" s="20" t="s">
        <v>8953</v>
      </c>
      <c r="K95" s="20" t="s">
        <v>8954</v>
      </c>
      <c r="L95" s="21" t="s">
        <v>8955</v>
      </c>
      <c r="M95" s="20" t="s">
        <v>8956</v>
      </c>
      <c r="N95" s="20" t="s">
        <v>8957</v>
      </c>
      <c r="O95" s="20">
        <f t="shared" si="1"/>
        <v>11</v>
      </c>
      <c r="P95" s="22" t="s">
        <v>8975</v>
      </c>
      <c r="Q95" s="21" t="s">
        <v>8959</v>
      </c>
      <c r="R95" s="23" t="s">
        <v>9310</v>
      </c>
      <c r="S95" s="18" t="s">
        <v>9667</v>
      </c>
      <c r="T95" s="24" t="str">
        <f>VLOOKUP(R95,[1]Sheet3!$A$2:$A$47,1,0)</f>
        <v>China</v>
      </c>
      <c r="U95" s="18" t="s">
        <v>9668</v>
      </c>
      <c r="V95" s="18" t="s">
        <v>9669</v>
      </c>
      <c r="W95" s="18" t="s">
        <v>8964</v>
      </c>
      <c r="X95" s="18" t="s">
        <v>831</v>
      </c>
      <c r="Y95" s="18" t="s">
        <v>9670</v>
      </c>
      <c r="Z95" s="18" t="s">
        <v>17</v>
      </c>
    </row>
    <row r="96" spans="1:26" ht="20.100000000000001" customHeight="1" x14ac:dyDescent="0.2">
      <c r="A96" s="30" t="s">
        <v>9671</v>
      </c>
      <c r="B96" s="19" t="s">
        <v>9672</v>
      </c>
      <c r="C96" s="19" t="s">
        <v>9673</v>
      </c>
      <c r="D96" s="8" t="s">
        <v>8948</v>
      </c>
      <c r="E96" s="20" t="s">
        <v>8949</v>
      </c>
      <c r="F96" s="20" t="s">
        <v>9018</v>
      </c>
      <c r="G96" s="20" t="s">
        <v>8987</v>
      </c>
      <c r="H96" s="20">
        <v>3064</v>
      </c>
      <c r="I96" s="20" t="s">
        <v>9019</v>
      </c>
      <c r="J96" s="20" t="s">
        <v>8953</v>
      </c>
      <c r="K96" s="20" t="s">
        <v>8954</v>
      </c>
      <c r="L96" s="21" t="s">
        <v>8955</v>
      </c>
      <c r="M96" s="20" t="s">
        <v>8956</v>
      </c>
      <c r="N96" s="20" t="s">
        <v>8957</v>
      </c>
      <c r="O96" s="20">
        <f t="shared" si="1"/>
        <v>7</v>
      </c>
      <c r="P96" s="22" t="s">
        <v>8958</v>
      </c>
      <c r="Q96" s="21" t="s">
        <v>8959</v>
      </c>
      <c r="R96" s="23" t="s">
        <v>8991</v>
      </c>
      <c r="S96" s="18" t="s">
        <v>9028</v>
      </c>
      <c r="T96" s="24" t="str">
        <f>VLOOKUP(R96,[1]Sheet3!$A$2:$A$47,1,0)</f>
        <v>China</v>
      </c>
      <c r="U96" s="18" t="s">
        <v>9674</v>
      </c>
      <c r="V96" s="18" t="s">
        <v>9675</v>
      </c>
      <c r="W96" s="18" t="s">
        <v>8964</v>
      </c>
      <c r="X96" s="18" t="s">
        <v>43</v>
      </c>
      <c r="Y96" s="18" t="s">
        <v>9031</v>
      </c>
      <c r="Z96" s="18" t="s">
        <v>17</v>
      </c>
    </row>
    <row r="97" spans="1:26" ht="20.100000000000001" customHeight="1" x14ac:dyDescent="0.2">
      <c r="A97" s="30" t="s">
        <v>9676</v>
      </c>
      <c r="B97" s="19" t="s">
        <v>9677</v>
      </c>
      <c r="C97" s="19" t="s">
        <v>9678</v>
      </c>
      <c r="D97" s="8" t="s">
        <v>9075</v>
      </c>
      <c r="E97" s="20" t="s">
        <v>9155</v>
      </c>
      <c r="F97" s="20" t="s">
        <v>9679</v>
      </c>
      <c r="G97" s="20" t="s">
        <v>8973</v>
      </c>
      <c r="H97" s="20">
        <v>6646</v>
      </c>
      <c r="I97" s="20" t="s">
        <v>9019</v>
      </c>
      <c r="J97" s="20" t="s">
        <v>8953</v>
      </c>
      <c r="K97" s="20" t="s">
        <v>8954</v>
      </c>
      <c r="L97" s="21" t="s">
        <v>8955</v>
      </c>
      <c r="M97" s="20" t="s">
        <v>8956</v>
      </c>
      <c r="N97" s="20" t="s">
        <v>8959</v>
      </c>
      <c r="O97" s="20">
        <f t="shared" si="1"/>
        <v>4</v>
      </c>
      <c r="P97" s="22" t="s">
        <v>8958</v>
      </c>
      <c r="Q97" s="21" t="s">
        <v>8959</v>
      </c>
      <c r="R97" s="23" t="s">
        <v>9536</v>
      </c>
      <c r="S97" s="18" t="s">
        <v>9020</v>
      </c>
      <c r="T97" s="24" t="str">
        <f>VLOOKUP(R97,[1]Sheet3!$A$2:$A$47,1,0)</f>
        <v>Australia</v>
      </c>
      <c r="U97" s="18" t="s">
        <v>9680</v>
      </c>
      <c r="V97" s="18" t="s">
        <v>9681</v>
      </c>
      <c r="W97" s="18" t="s">
        <v>8964</v>
      </c>
      <c r="X97" s="18" t="s">
        <v>87</v>
      </c>
      <c r="Y97" s="18" t="s">
        <v>9023</v>
      </c>
      <c r="Z97" s="18" t="s">
        <v>17</v>
      </c>
    </row>
    <row r="98" spans="1:26" ht="20.100000000000001" customHeight="1" x14ac:dyDescent="0.2">
      <c r="A98" s="30" t="s">
        <v>9682</v>
      </c>
      <c r="B98" s="19" t="s">
        <v>9683</v>
      </c>
      <c r="C98" s="19" t="s">
        <v>9684</v>
      </c>
      <c r="D98" s="8" t="s">
        <v>8948</v>
      </c>
      <c r="E98" s="20" t="s">
        <v>9121</v>
      </c>
      <c r="F98" s="20" t="s">
        <v>9510</v>
      </c>
      <c r="G98" s="31" t="s">
        <v>8951</v>
      </c>
      <c r="H98" s="20">
        <v>15099</v>
      </c>
      <c r="I98" s="20" t="s">
        <v>9019</v>
      </c>
      <c r="J98" s="20" t="s">
        <v>9059</v>
      </c>
      <c r="K98" s="20" t="s">
        <v>8989</v>
      </c>
      <c r="L98" s="21" t="s">
        <v>8955</v>
      </c>
      <c r="M98" s="20" t="s">
        <v>8956</v>
      </c>
      <c r="N98" s="20" t="s">
        <v>8957</v>
      </c>
      <c r="O98" s="20">
        <f t="shared" si="1"/>
        <v>3</v>
      </c>
      <c r="P98" s="22" t="s">
        <v>9103</v>
      </c>
      <c r="Q98" s="21" t="s">
        <v>8959</v>
      </c>
      <c r="R98" s="23" t="s">
        <v>9213</v>
      </c>
      <c r="S98" s="18" t="s">
        <v>9685</v>
      </c>
      <c r="T98" s="24" t="str">
        <f>VLOOKUP(R98,[1]Sheet3!$A$2:$A$47,1,0)</f>
        <v>South Korea</v>
      </c>
      <c r="U98" s="18" t="s">
        <v>9686</v>
      </c>
      <c r="V98" s="18" t="s">
        <v>9687</v>
      </c>
      <c r="W98" s="18" t="s">
        <v>8964</v>
      </c>
      <c r="X98" s="18" t="s">
        <v>1381</v>
      </c>
      <c r="Y98" s="18" t="s">
        <v>9688</v>
      </c>
      <c r="Z98" s="18" t="s">
        <v>17</v>
      </c>
    </row>
    <row r="99" spans="1:26" ht="20.100000000000001" customHeight="1" x14ac:dyDescent="0.2">
      <c r="A99" s="30"/>
      <c r="B99" s="19" t="s">
        <v>9689</v>
      </c>
      <c r="C99" s="19" t="s">
        <v>9690</v>
      </c>
      <c r="D99" s="8" t="s">
        <v>8948</v>
      </c>
      <c r="E99" s="20" t="s">
        <v>9308</v>
      </c>
      <c r="F99" s="20" t="s">
        <v>8986</v>
      </c>
      <c r="G99" s="20" t="s">
        <v>8951</v>
      </c>
      <c r="H99" s="20">
        <v>65</v>
      </c>
      <c r="I99" s="20" t="s">
        <v>9008</v>
      </c>
      <c r="J99" s="20" t="s">
        <v>8953</v>
      </c>
      <c r="K99" s="20" t="s">
        <v>8989</v>
      </c>
      <c r="L99" s="21" t="s">
        <v>8955</v>
      </c>
      <c r="M99" s="20" t="s">
        <v>8956</v>
      </c>
      <c r="N99" s="20" t="s">
        <v>8959</v>
      </c>
      <c r="O99" s="20">
        <f t="shared" si="1"/>
        <v>4</v>
      </c>
      <c r="P99" s="22" t="s">
        <v>8958</v>
      </c>
      <c r="Q99" s="21" t="s">
        <v>9061</v>
      </c>
      <c r="R99" s="23" t="s">
        <v>9387</v>
      </c>
      <c r="S99" s="18" t="s">
        <v>9691</v>
      </c>
      <c r="T99" s="24" t="str">
        <f>VLOOKUP(R99,[1]Sheet3!$A$2:$A$47,1,0)</f>
        <v>Israel</v>
      </c>
      <c r="U99" s="19"/>
      <c r="V99" s="18" t="s">
        <v>9692</v>
      </c>
      <c r="W99" s="18" t="s">
        <v>8964</v>
      </c>
      <c r="X99" s="18" t="s">
        <v>9693</v>
      </c>
      <c r="Y99" s="18" t="s">
        <v>9694</v>
      </c>
      <c r="Z99" s="18" t="s">
        <v>17</v>
      </c>
    </row>
    <row r="100" spans="1:26" ht="20.100000000000001" customHeight="1" x14ac:dyDescent="0.2">
      <c r="A100" s="30" t="s">
        <v>9695</v>
      </c>
      <c r="B100" s="19" t="s">
        <v>9696</v>
      </c>
      <c r="C100" s="19" t="s">
        <v>9697</v>
      </c>
      <c r="D100" s="8" t="s">
        <v>9154</v>
      </c>
      <c r="E100" s="20" t="s">
        <v>9155</v>
      </c>
      <c r="F100" s="20" t="s">
        <v>9698</v>
      </c>
      <c r="G100" s="20" t="s">
        <v>8973</v>
      </c>
      <c r="H100" s="20">
        <v>1466</v>
      </c>
      <c r="I100" s="31" t="s">
        <v>8952</v>
      </c>
      <c r="J100" s="31" t="s">
        <v>8953</v>
      </c>
      <c r="K100" s="20" t="s">
        <v>8954</v>
      </c>
      <c r="L100" s="21" t="s">
        <v>8955</v>
      </c>
      <c r="M100" s="20" t="s">
        <v>8990</v>
      </c>
      <c r="N100" s="20" t="s">
        <v>8959</v>
      </c>
      <c r="O100" s="20">
        <f t="shared" si="1"/>
        <v>8</v>
      </c>
      <c r="P100" s="22" t="s">
        <v>8975</v>
      </c>
      <c r="Q100" s="21" t="s">
        <v>8959</v>
      </c>
      <c r="R100" s="23" t="s">
        <v>8960</v>
      </c>
      <c r="S100" s="18" t="s">
        <v>9028</v>
      </c>
      <c r="T100" s="24" t="str">
        <f>VLOOKUP(R100,[1]Sheet3!$A$2:$A$47,1,0)</f>
        <v>Canada</v>
      </c>
      <c r="U100" s="18" t="s">
        <v>9699</v>
      </c>
      <c r="V100" s="18" t="s">
        <v>9700</v>
      </c>
      <c r="W100" s="18" t="s">
        <v>8964</v>
      </c>
      <c r="X100" s="18" t="s">
        <v>43</v>
      </c>
      <c r="Y100" s="18" t="s">
        <v>9031</v>
      </c>
      <c r="Z100" s="18" t="s">
        <v>17</v>
      </c>
    </row>
    <row r="101" spans="1:26" ht="20.100000000000001" customHeight="1" x14ac:dyDescent="0.2">
      <c r="A101" s="30" t="s">
        <v>9701</v>
      </c>
      <c r="B101" s="19" t="s">
        <v>9702</v>
      </c>
      <c r="C101" s="19" t="s">
        <v>9703</v>
      </c>
      <c r="D101" s="8" t="s">
        <v>9035</v>
      </c>
      <c r="E101" s="20" t="s">
        <v>8998</v>
      </c>
      <c r="F101" s="27" t="s">
        <v>9704</v>
      </c>
      <c r="G101" s="20" t="s">
        <v>9133</v>
      </c>
      <c r="H101" s="20">
        <v>11205</v>
      </c>
      <c r="I101" s="20" t="s">
        <v>9019</v>
      </c>
      <c r="J101" s="20" t="s">
        <v>8953</v>
      </c>
      <c r="K101" s="20" t="s">
        <v>8989</v>
      </c>
      <c r="L101" s="21" t="s">
        <v>8955</v>
      </c>
      <c r="M101" s="20" t="s">
        <v>8956</v>
      </c>
      <c r="N101" s="20" t="s">
        <v>8957</v>
      </c>
      <c r="O101" s="20">
        <f t="shared" si="1"/>
        <v>35</v>
      </c>
      <c r="P101" s="22" t="s">
        <v>8975</v>
      </c>
      <c r="Q101" s="21" t="s">
        <v>9061</v>
      </c>
      <c r="R101" s="23" t="s">
        <v>9310</v>
      </c>
      <c r="S101" s="18" t="s">
        <v>1421</v>
      </c>
      <c r="T101" s="24" t="str">
        <f>VLOOKUP(R101,[1]Sheet3!$A$2:$A$47,1,0)</f>
        <v>China</v>
      </c>
      <c r="U101" s="18" t="s">
        <v>9705</v>
      </c>
      <c r="V101" s="18" t="s">
        <v>9706</v>
      </c>
      <c r="W101" s="18" t="s">
        <v>8964</v>
      </c>
      <c r="X101" s="18" t="s">
        <v>1421</v>
      </c>
      <c r="Y101" s="18" t="s">
        <v>9707</v>
      </c>
      <c r="Z101" s="18" t="s">
        <v>17</v>
      </c>
    </row>
    <row r="102" spans="1:26" ht="20.100000000000001" customHeight="1" x14ac:dyDescent="0.2">
      <c r="A102" s="30" t="s">
        <v>9708</v>
      </c>
      <c r="B102" s="19" t="s">
        <v>9709</v>
      </c>
      <c r="C102" s="19" t="s">
        <v>9710</v>
      </c>
      <c r="D102" s="8" t="s">
        <v>8948</v>
      </c>
      <c r="E102" s="20" t="s">
        <v>9121</v>
      </c>
      <c r="F102" s="45" t="s">
        <v>8950</v>
      </c>
      <c r="G102" s="20" t="s">
        <v>8951</v>
      </c>
      <c r="H102" s="20">
        <v>220</v>
      </c>
      <c r="I102" s="20" t="s">
        <v>9158</v>
      </c>
      <c r="J102" s="20" t="s">
        <v>8953</v>
      </c>
      <c r="K102" s="20" t="s">
        <v>8954</v>
      </c>
      <c r="L102" s="21" t="s">
        <v>8955</v>
      </c>
      <c r="M102" s="20" t="s">
        <v>8990</v>
      </c>
      <c r="N102" s="20" t="s">
        <v>8957</v>
      </c>
      <c r="O102" s="20">
        <f t="shared" si="1"/>
        <v>8</v>
      </c>
      <c r="P102" s="22" t="s">
        <v>8975</v>
      </c>
      <c r="Q102" s="21" t="s">
        <v>8959</v>
      </c>
      <c r="R102" s="23" t="s">
        <v>9010</v>
      </c>
      <c r="S102" s="18" t="s">
        <v>9711</v>
      </c>
      <c r="T102" s="24" t="str">
        <f>VLOOKUP(R102,[1]Sheet3!$A$2:$A$47,1,0)</f>
        <v>the United States of America</v>
      </c>
      <c r="U102" s="18" t="s">
        <v>9712</v>
      </c>
      <c r="V102" s="18" t="s">
        <v>9713</v>
      </c>
      <c r="W102" s="18" t="s">
        <v>8964</v>
      </c>
      <c r="X102" s="18" t="s">
        <v>392</v>
      </c>
      <c r="Y102" s="18" t="s">
        <v>9714</v>
      </c>
      <c r="Z102" s="18" t="s">
        <v>17</v>
      </c>
    </row>
    <row r="103" spans="1:26" ht="20.100000000000001" customHeight="1" x14ac:dyDescent="0.2">
      <c r="A103" s="30" t="s">
        <v>9715</v>
      </c>
      <c r="B103" s="19" t="s">
        <v>9716</v>
      </c>
      <c r="C103" s="19" t="s">
        <v>9717</v>
      </c>
      <c r="D103" s="8" t="s">
        <v>9154</v>
      </c>
      <c r="E103" s="20" t="s">
        <v>9325</v>
      </c>
      <c r="F103" s="20" t="s">
        <v>9036</v>
      </c>
      <c r="G103" s="20" t="s">
        <v>8987</v>
      </c>
      <c r="H103" s="20">
        <v>200</v>
      </c>
      <c r="I103" s="20" t="s">
        <v>9158</v>
      </c>
      <c r="J103" s="20" t="s">
        <v>8953</v>
      </c>
      <c r="K103" s="20" t="s">
        <v>8989</v>
      </c>
      <c r="L103" s="21" t="s">
        <v>8955</v>
      </c>
      <c r="M103" s="20" t="s">
        <v>8956</v>
      </c>
      <c r="N103" s="20" t="s">
        <v>8959</v>
      </c>
      <c r="O103" s="20">
        <f t="shared" si="1"/>
        <v>6</v>
      </c>
      <c r="P103" s="22" t="s">
        <v>8958</v>
      </c>
      <c r="Q103" s="21" t="s">
        <v>9183</v>
      </c>
      <c r="R103" s="23" t="s">
        <v>9317</v>
      </c>
      <c r="S103" s="18" t="s">
        <v>9718</v>
      </c>
      <c r="T103" s="24" t="str">
        <f>VLOOKUP(R103,[1]Sheet3!$A$2:$A$47,1,0)</f>
        <v>Germany</v>
      </c>
      <c r="U103" s="18" t="s">
        <v>9719</v>
      </c>
      <c r="V103" s="18" t="s">
        <v>9720</v>
      </c>
      <c r="W103" s="18" t="s">
        <v>8964</v>
      </c>
      <c r="X103" s="18" t="s">
        <v>4060</v>
      </c>
      <c r="Y103" s="18" t="s">
        <v>9721</v>
      </c>
      <c r="Z103" s="18" t="s">
        <v>17</v>
      </c>
    </row>
    <row r="104" spans="1:26" ht="20.100000000000001" customHeight="1" x14ac:dyDescent="0.2">
      <c r="A104" s="30" t="s">
        <v>9722</v>
      </c>
      <c r="B104" s="19" t="s">
        <v>9723</v>
      </c>
      <c r="C104" s="19" t="s">
        <v>9724</v>
      </c>
      <c r="D104" s="8" t="s">
        <v>9100</v>
      </c>
      <c r="E104" s="20" t="s">
        <v>9725</v>
      </c>
      <c r="F104" s="20" t="s">
        <v>9726</v>
      </c>
      <c r="G104" s="20" t="s">
        <v>9133</v>
      </c>
      <c r="H104" s="20">
        <v>220</v>
      </c>
      <c r="I104" s="20" t="s">
        <v>9158</v>
      </c>
      <c r="J104" s="20" t="s">
        <v>9059</v>
      </c>
      <c r="K104" s="20" t="s">
        <v>8954</v>
      </c>
      <c r="L104" s="21" t="s">
        <v>8955</v>
      </c>
      <c r="M104" s="20" t="s">
        <v>8956</v>
      </c>
      <c r="N104" s="20" t="s">
        <v>8957</v>
      </c>
      <c r="O104" s="20">
        <f t="shared" si="1"/>
        <v>10</v>
      </c>
      <c r="P104" s="22" t="s">
        <v>8975</v>
      </c>
      <c r="Q104" s="21" t="s">
        <v>8959</v>
      </c>
      <c r="R104" s="23" t="s">
        <v>9310</v>
      </c>
      <c r="S104" s="18" t="s">
        <v>9727</v>
      </c>
      <c r="T104" s="24" t="str">
        <f>VLOOKUP(R104,[1]Sheet3!$A$2:$A$47,1,0)</f>
        <v>China</v>
      </c>
      <c r="U104" s="18" t="s">
        <v>9728</v>
      </c>
      <c r="V104" s="18" t="s">
        <v>9729</v>
      </c>
      <c r="W104" s="18" t="s">
        <v>8964</v>
      </c>
      <c r="X104" s="18" t="s">
        <v>938</v>
      </c>
      <c r="Y104" s="18" t="s">
        <v>9730</v>
      </c>
      <c r="Z104" s="18" t="s">
        <v>17</v>
      </c>
    </row>
    <row r="105" spans="1:26" ht="20.100000000000001" customHeight="1" x14ac:dyDescent="0.2">
      <c r="A105" s="30" t="s">
        <v>9731</v>
      </c>
      <c r="B105" s="19" t="s">
        <v>9732</v>
      </c>
      <c r="C105" s="19" t="s">
        <v>9733</v>
      </c>
      <c r="D105" s="8" t="s">
        <v>9035</v>
      </c>
      <c r="E105" s="20" t="s">
        <v>8998</v>
      </c>
      <c r="F105" s="20" t="s">
        <v>8950</v>
      </c>
      <c r="G105" s="20" t="s">
        <v>8951</v>
      </c>
      <c r="H105" s="20">
        <v>7855</v>
      </c>
      <c r="I105" s="20" t="s">
        <v>9019</v>
      </c>
      <c r="J105" s="20" t="s">
        <v>8953</v>
      </c>
      <c r="K105" s="20" t="s">
        <v>8954</v>
      </c>
      <c r="L105" s="21" t="s">
        <v>9182</v>
      </c>
      <c r="M105" s="20" t="s">
        <v>8956</v>
      </c>
      <c r="N105" s="20" t="s">
        <v>8974</v>
      </c>
      <c r="O105" s="20">
        <f t="shared" si="1"/>
        <v>12</v>
      </c>
      <c r="P105" s="22" t="s">
        <v>8975</v>
      </c>
      <c r="Q105" s="21" t="s">
        <v>8959</v>
      </c>
      <c r="R105" s="23" t="s">
        <v>9010</v>
      </c>
      <c r="S105" s="18" t="s">
        <v>9734</v>
      </c>
      <c r="T105" s="24" t="str">
        <f>VLOOKUP(R105,[1]Sheet3!$A$2:$A$47,1,0)</f>
        <v>the United States of America</v>
      </c>
      <c r="U105" s="18" t="s">
        <v>9735</v>
      </c>
      <c r="V105" s="18" t="s">
        <v>9736</v>
      </c>
      <c r="W105" s="18" t="s">
        <v>8964</v>
      </c>
      <c r="X105" s="18" t="s">
        <v>402</v>
      </c>
      <c r="Y105" s="18" t="s">
        <v>9737</v>
      </c>
      <c r="Z105" s="18" t="s">
        <v>17</v>
      </c>
    </row>
    <row r="106" spans="1:26" ht="20.100000000000001" customHeight="1" x14ac:dyDescent="0.2">
      <c r="A106" s="30" t="s">
        <v>9738</v>
      </c>
      <c r="B106" s="19" t="s">
        <v>9739</v>
      </c>
      <c r="C106" s="19" t="s">
        <v>9740</v>
      </c>
      <c r="D106" s="8" t="s">
        <v>8948</v>
      </c>
      <c r="E106" s="20" t="s">
        <v>8949</v>
      </c>
      <c r="F106" s="20" t="s">
        <v>9041</v>
      </c>
      <c r="G106" s="20" t="s">
        <v>9133</v>
      </c>
      <c r="H106" s="20">
        <v>1635</v>
      </c>
      <c r="I106" s="20" t="s">
        <v>8952</v>
      </c>
      <c r="J106" s="20" t="s">
        <v>8953</v>
      </c>
      <c r="K106" s="20" t="s">
        <v>8989</v>
      </c>
      <c r="L106" s="21" t="s">
        <v>8955</v>
      </c>
      <c r="M106" s="20" t="s">
        <v>8990</v>
      </c>
      <c r="N106" s="20" t="s">
        <v>8957</v>
      </c>
      <c r="O106" s="20">
        <f t="shared" si="1"/>
        <v>4</v>
      </c>
      <c r="P106" s="22" t="s">
        <v>8958</v>
      </c>
      <c r="Q106" s="21" t="s">
        <v>8959</v>
      </c>
      <c r="R106" s="23" t="s">
        <v>9010</v>
      </c>
      <c r="S106" s="18" t="s">
        <v>9741</v>
      </c>
      <c r="T106" s="24" t="str">
        <f>VLOOKUP(R106,[1]Sheet3!$A$2:$A$47,1,0)</f>
        <v>the United States of America</v>
      </c>
      <c r="U106" s="18" t="s">
        <v>9742</v>
      </c>
      <c r="V106" s="18" t="s">
        <v>9743</v>
      </c>
      <c r="W106" s="18" t="s">
        <v>8964</v>
      </c>
      <c r="X106" s="18" t="s">
        <v>921</v>
      </c>
      <c r="Y106" s="18" t="s">
        <v>9744</v>
      </c>
      <c r="Z106" s="18" t="s">
        <v>11</v>
      </c>
    </row>
    <row r="107" spans="1:26" ht="20.100000000000001" customHeight="1" x14ac:dyDescent="0.2">
      <c r="A107" s="30" t="s">
        <v>9745</v>
      </c>
      <c r="B107" s="19" t="s">
        <v>9746</v>
      </c>
      <c r="C107" s="19" t="s">
        <v>9747</v>
      </c>
      <c r="D107" s="8" t="s">
        <v>8948</v>
      </c>
      <c r="E107" s="20" t="s">
        <v>8949</v>
      </c>
      <c r="F107" s="20" t="s">
        <v>8950</v>
      </c>
      <c r="G107" s="20" t="s">
        <v>9133</v>
      </c>
      <c r="H107" s="20">
        <v>351</v>
      </c>
      <c r="I107" s="20" t="s">
        <v>8988</v>
      </c>
      <c r="J107" s="20" t="s">
        <v>8953</v>
      </c>
      <c r="K107" s="20" t="s">
        <v>8954</v>
      </c>
      <c r="L107" s="21" t="s">
        <v>8955</v>
      </c>
      <c r="M107" s="20" t="s">
        <v>8956</v>
      </c>
      <c r="N107" s="20" t="s">
        <v>8957</v>
      </c>
      <c r="O107" s="20">
        <f t="shared" si="1"/>
        <v>3</v>
      </c>
      <c r="P107" s="22" t="s">
        <v>9103</v>
      </c>
      <c r="Q107" s="21" t="s">
        <v>9061</v>
      </c>
      <c r="R107" s="23" t="s">
        <v>9010</v>
      </c>
      <c r="S107" s="18" t="s">
        <v>9741</v>
      </c>
      <c r="T107" s="24" t="str">
        <f>VLOOKUP(R107,[1]Sheet3!$A$2:$A$47,1,0)</f>
        <v>the United States of America</v>
      </c>
      <c r="U107" s="18" t="s">
        <v>9748</v>
      </c>
      <c r="V107" s="18" t="s">
        <v>9749</v>
      </c>
      <c r="W107" s="18" t="s">
        <v>8964</v>
      </c>
      <c r="X107" s="18" t="s">
        <v>921</v>
      </c>
      <c r="Y107" s="18" t="s">
        <v>9744</v>
      </c>
      <c r="Z107" s="18" t="s">
        <v>11</v>
      </c>
    </row>
    <row r="108" spans="1:26" ht="20.100000000000001" customHeight="1" x14ac:dyDescent="0.2">
      <c r="A108" s="30" t="s">
        <v>9750</v>
      </c>
      <c r="B108" s="19" t="s">
        <v>9751</v>
      </c>
      <c r="C108" s="19" t="s">
        <v>9752</v>
      </c>
      <c r="D108" s="8" t="s">
        <v>8984</v>
      </c>
      <c r="E108" s="33" t="s">
        <v>9131</v>
      </c>
      <c r="F108" s="20" t="s">
        <v>9753</v>
      </c>
      <c r="G108" s="20" t="s">
        <v>8951</v>
      </c>
      <c r="H108" s="20">
        <v>11574</v>
      </c>
      <c r="I108" s="20" t="s">
        <v>9019</v>
      </c>
      <c r="J108" s="20" t="s">
        <v>8953</v>
      </c>
      <c r="K108" s="20" t="s">
        <v>8954</v>
      </c>
      <c r="L108" s="21" t="s">
        <v>8955</v>
      </c>
      <c r="M108" s="20" t="s">
        <v>8990</v>
      </c>
      <c r="N108" s="20" t="s">
        <v>8957</v>
      </c>
      <c r="O108" s="20">
        <f t="shared" si="1"/>
        <v>5</v>
      </c>
      <c r="P108" s="22" t="s">
        <v>8958</v>
      </c>
      <c r="Q108" s="21" t="s">
        <v>9183</v>
      </c>
      <c r="R108" s="23" t="s">
        <v>8991</v>
      </c>
      <c r="S108" s="18" t="s">
        <v>9754</v>
      </c>
      <c r="T108" s="24" t="str">
        <f>VLOOKUP(R108,[1]Sheet3!$A$2:$A$47,1,0)</f>
        <v>China</v>
      </c>
      <c r="U108" s="18" t="s">
        <v>9755</v>
      </c>
      <c r="V108" s="18" t="s">
        <v>9756</v>
      </c>
      <c r="W108" s="18" t="s">
        <v>8964</v>
      </c>
      <c r="X108" s="18" t="s">
        <v>8588</v>
      </c>
      <c r="Y108" s="18" t="s">
        <v>9757</v>
      </c>
      <c r="Z108" s="18" t="s">
        <v>11</v>
      </c>
    </row>
    <row r="109" spans="1:26" ht="20.100000000000001" customHeight="1" x14ac:dyDescent="0.2">
      <c r="A109" s="30" t="s">
        <v>9758</v>
      </c>
      <c r="B109" s="19" t="s">
        <v>9759</v>
      </c>
      <c r="C109" s="19" t="s">
        <v>9760</v>
      </c>
      <c r="D109" s="8" t="s">
        <v>9075</v>
      </c>
      <c r="E109" s="20" t="s">
        <v>9269</v>
      </c>
      <c r="F109" s="20" t="s">
        <v>9112</v>
      </c>
      <c r="G109" s="20" t="s">
        <v>8987</v>
      </c>
      <c r="H109" s="20">
        <v>96</v>
      </c>
      <c r="I109" s="20" t="s">
        <v>9008</v>
      </c>
      <c r="J109" s="20" t="s">
        <v>8953</v>
      </c>
      <c r="K109" s="20" t="s">
        <v>8989</v>
      </c>
      <c r="L109" s="21" t="s">
        <v>8955</v>
      </c>
      <c r="M109" s="20" t="s">
        <v>8990</v>
      </c>
      <c r="N109" s="20" t="s">
        <v>8957</v>
      </c>
      <c r="O109" s="20">
        <f t="shared" si="1"/>
        <v>8</v>
      </c>
      <c r="P109" s="22" t="s">
        <v>8975</v>
      </c>
      <c r="Q109" s="21" t="s">
        <v>8959</v>
      </c>
      <c r="R109" s="23" t="s">
        <v>9246</v>
      </c>
      <c r="S109" s="18" t="s">
        <v>9761</v>
      </c>
      <c r="T109" s="24" t="str">
        <f>VLOOKUP(R109,[1]Sheet3!$A$2:$A$47,1,0)</f>
        <v>Netherlands</v>
      </c>
      <c r="U109" s="18" t="s">
        <v>9762</v>
      </c>
      <c r="V109" s="18" t="s">
        <v>9763</v>
      </c>
      <c r="W109" s="18" t="s">
        <v>8964</v>
      </c>
      <c r="X109" s="18" t="s">
        <v>4822</v>
      </c>
      <c r="Y109" s="18" t="s">
        <v>9764</v>
      </c>
      <c r="Z109" s="18" t="s">
        <v>17</v>
      </c>
    </row>
    <row r="110" spans="1:26" ht="20.100000000000001" customHeight="1" x14ac:dyDescent="0.2">
      <c r="A110" s="30" t="s">
        <v>9765</v>
      </c>
      <c r="B110" s="19" t="s">
        <v>9766</v>
      </c>
      <c r="C110" s="19" t="s">
        <v>9767</v>
      </c>
      <c r="D110" s="8" t="s">
        <v>8984</v>
      </c>
      <c r="E110" s="20" t="s">
        <v>8949</v>
      </c>
      <c r="F110" s="20" t="s">
        <v>8950</v>
      </c>
      <c r="G110" s="20" t="s">
        <v>9133</v>
      </c>
      <c r="H110" s="20">
        <v>494</v>
      </c>
      <c r="I110" s="31" t="s">
        <v>8988</v>
      </c>
      <c r="J110" s="31" t="s">
        <v>8953</v>
      </c>
      <c r="K110" s="31" t="s">
        <v>8954</v>
      </c>
      <c r="L110" s="21" t="s">
        <v>8955</v>
      </c>
      <c r="M110" s="20" t="s">
        <v>8956</v>
      </c>
      <c r="N110" s="20" t="s">
        <v>8957</v>
      </c>
      <c r="O110" s="20">
        <f t="shared" si="1"/>
        <v>11</v>
      </c>
      <c r="P110" s="22" t="s">
        <v>8975</v>
      </c>
      <c r="Q110" s="21" t="s">
        <v>8959</v>
      </c>
      <c r="R110" s="23" t="s">
        <v>9010</v>
      </c>
      <c r="S110" s="18" t="s">
        <v>9768</v>
      </c>
      <c r="T110" s="24" t="str">
        <f>VLOOKUP(R110,[1]Sheet3!$A$2:$A$47,1,0)</f>
        <v>the United States of America</v>
      </c>
      <c r="U110" s="18" t="s">
        <v>9769</v>
      </c>
      <c r="V110" s="18" t="s">
        <v>9770</v>
      </c>
      <c r="W110" s="18" t="s">
        <v>8964</v>
      </c>
      <c r="X110" s="18" t="s">
        <v>147</v>
      </c>
      <c r="Y110" s="18" t="s">
        <v>9771</v>
      </c>
      <c r="Z110" s="18" t="s">
        <v>17</v>
      </c>
    </row>
    <row r="111" spans="1:26" ht="20.100000000000001" customHeight="1" x14ac:dyDescent="0.2">
      <c r="A111" s="30" t="s">
        <v>9772</v>
      </c>
      <c r="B111" s="19" t="s">
        <v>9773</v>
      </c>
      <c r="C111" s="19" t="s">
        <v>9774</v>
      </c>
      <c r="D111" s="8" t="s">
        <v>9775</v>
      </c>
      <c r="E111" s="41" t="s">
        <v>9155</v>
      </c>
      <c r="F111" s="20" t="s">
        <v>8950</v>
      </c>
      <c r="G111" s="20" t="s">
        <v>8987</v>
      </c>
      <c r="H111" s="20">
        <v>99</v>
      </c>
      <c r="I111" s="20" t="s">
        <v>9008</v>
      </c>
      <c r="J111" s="20" t="s">
        <v>9059</v>
      </c>
      <c r="K111" s="20" t="s">
        <v>8954</v>
      </c>
      <c r="L111" s="21" t="s">
        <v>8955</v>
      </c>
      <c r="M111" s="20" t="s">
        <v>8956</v>
      </c>
      <c r="N111" s="27" t="s">
        <v>8974</v>
      </c>
      <c r="O111" s="20">
        <f t="shared" si="1"/>
        <v>11</v>
      </c>
      <c r="P111" s="22" t="s">
        <v>8975</v>
      </c>
      <c r="Q111" s="21" t="s">
        <v>8959</v>
      </c>
      <c r="R111" s="23" t="s">
        <v>9010</v>
      </c>
      <c r="S111" s="18" t="s">
        <v>9020</v>
      </c>
      <c r="T111" s="24" t="str">
        <f>VLOOKUP(R111,[1]Sheet3!$A$2:$A$47,1,0)</f>
        <v>the United States of America</v>
      </c>
      <c r="U111" s="18" t="s">
        <v>9776</v>
      </c>
      <c r="V111" s="18" t="s">
        <v>9777</v>
      </c>
      <c r="W111" s="18" t="s">
        <v>8964</v>
      </c>
      <c r="X111" s="18" t="s">
        <v>87</v>
      </c>
      <c r="Y111" s="18" t="s">
        <v>9023</v>
      </c>
      <c r="Z111" s="18" t="s">
        <v>17</v>
      </c>
    </row>
    <row r="112" spans="1:26" ht="20.100000000000001" customHeight="1" x14ac:dyDescent="0.2">
      <c r="A112" s="30" t="s">
        <v>9778</v>
      </c>
      <c r="B112" s="19" t="s">
        <v>9779</v>
      </c>
      <c r="C112" s="19" t="s">
        <v>9780</v>
      </c>
      <c r="D112" s="8" t="s">
        <v>8948</v>
      </c>
      <c r="E112" s="20" t="s">
        <v>8949</v>
      </c>
      <c r="F112" s="20" t="s">
        <v>9781</v>
      </c>
      <c r="G112" s="20" t="s">
        <v>9464</v>
      </c>
      <c r="H112" s="20">
        <v>110</v>
      </c>
      <c r="I112" s="20" t="s">
        <v>9158</v>
      </c>
      <c r="J112" s="31" t="s">
        <v>8953</v>
      </c>
      <c r="K112" s="20" t="s">
        <v>8954</v>
      </c>
      <c r="L112" s="21" t="s">
        <v>8955</v>
      </c>
      <c r="M112" s="20" t="s">
        <v>8956</v>
      </c>
      <c r="N112" s="20" t="s">
        <v>8957</v>
      </c>
      <c r="O112" s="20">
        <f t="shared" si="1"/>
        <v>7</v>
      </c>
      <c r="P112" s="22" t="s">
        <v>8958</v>
      </c>
      <c r="Q112" s="21" t="s">
        <v>8959</v>
      </c>
      <c r="R112" s="23" t="s">
        <v>9310</v>
      </c>
      <c r="S112" s="18" t="s">
        <v>8961</v>
      </c>
      <c r="T112" s="24" t="str">
        <f>VLOOKUP(R112,[1]Sheet3!$A$2:$A$47,1,0)</f>
        <v>China</v>
      </c>
      <c r="U112" s="18" t="s">
        <v>9782</v>
      </c>
      <c r="V112" s="18" t="s">
        <v>9783</v>
      </c>
      <c r="W112" s="18" t="s">
        <v>8964</v>
      </c>
      <c r="X112" s="18" t="s">
        <v>126</v>
      </c>
      <c r="Y112" s="18" t="s">
        <v>8966</v>
      </c>
      <c r="Z112" s="18" t="s">
        <v>17</v>
      </c>
    </row>
    <row r="113" spans="1:26" ht="20.100000000000001" customHeight="1" x14ac:dyDescent="0.2">
      <c r="A113" s="30" t="s">
        <v>9784</v>
      </c>
      <c r="B113" s="19" t="s">
        <v>9785</v>
      </c>
      <c r="C113" s="19" t="s">
        <v>9786</v>
      </c>
      <c r="D113" s="8" t="s">
        <v>9252</v>
      </c>
      <c r="E113" s="20" t="s">
        <v>8971</v>
      </c>
      <c r="F113" s="27" t="s">
        <v>9787</v>
      </c>
      <c r="G113" s="20" t="s">
        <v>8951</v>
      </c>
      <c r="H113" s="20">
        <v>307</v>
      </c>
      <c r="I113" s="20" t="s">
        <v>8988</v>
      </c>
      <c r="J113" s="20" t="s">
        <v>8953</v>
      </c>
      <c r="K113" s="20" t="s">
        <v>8989</v>
      </c>
      <c r="L113" s="21" t="s">
        <v>8955</v>
      </c>
      <c r="M113" s="20" t="s">
        <v>8956</v>
      </c>
      <c r="N113" s="20" t="s">
        <v>8957</v>
      </c>
      <c r="O113" s="20">
        <f t="shared" si="1"/>
        <v>6</v>
      </c>
      <c r="P113" s="22" t="s">
        <v>8958</v>
      </c>
      <c r="Q113" s="21" t="s">
        <v>9061</v>
      </c>
      <c r="R113" s="23" t="s">
        <v>8991</v>
      </c>
      <c r="S113" s="18" t="s">
        <v>9788</v>
      </c>
      <c r="T113" s="24" t="str">
        <f>VLOOKUP(R113,[1]Sheet3!$A$2:$A$47,1,0)</f>
        <v>China</v>
      </c>
      <c r="U113" s="18" t="s">
        <v>9789</v>
      </c>
      <c r="V113" s="18" t="s">
        <v>9790</v>
      </c>
      <c r="W113" s="18" t="s">
        <v>8964</v>
      </c>
      <c r="X113" s="18" t="s">
        <v>267</v>
      </c>
      <c r="Y113" s="18" t="s">
        <v>9791</v>
      </c>
      <c r="Z113" s="18" t="s">
        <v>17</v>
      </c>
    </row>
    <row r="114" spans="1:26" ht="20.100000000000001" customHeight="1" x14ac:dyDescent="0.2">
      <c r="A114" s="30" t="s">
        <v>9792</v>
      </c>
      <c r="B114" s="19" t="s">
        <v>9793</v>
      </c>
      <c r="C114" s="19" t="s">
        <v>9794</v>
      </c>
      <c r="D114" s="8" t="s">
        <v>8948</v>
      </c>
      <c r="E114" s="20" t="s">
        <v>8998</v>
      </c>
      <c r="F114" s="45" t="s">
        <v>9795</v>
      </c>
      <c r="G114" s="20" t="s">
        <v>9133</v>
      </c>
      <c r="H114" s="20">
        <v>500</v>
      </c>
      <c r="I114" s="20" t="s">
        <v>8988</v>
      </c>
      <c r="J114" s="20" t="s">
        <v>8953</v>
      </c>
      <c r="K114" s="20" t="s">
        <v>8954</v>
      </c>
      <c r="L114" s="21" t="s">
        <v>8955</v>
      </c>
      <c r="M114" s="20" t="s">
        <v>8956</v>
      </c>
      <c r="N114" s="20" t="s">
        <v>8957</v>
      </c>
      <c r="O114" s="20">
        <f t="shared" si="1"/>
        <v>8</v>
      </c>
      <c r="P114" s="22" t="s">
        <v>8975</v>
      </c>
      <c r="Q114" s="21" t="s">
        <v>9061</v>
      </c>
      <c r="R114" s="23" t="s">
        <v>9333</v>
      </c>
      <c r="S114" s="18" t="s">
        <v>9796</v>
      </c>
      <c r="T114" s="24" t="str">
        <f>VLOOKUP(R114,[1]Sheet3!$A$2:$A$47,1,0)</f>
        <v>Japan</v>
      </c>
      <c r="U114" s="18" t="s">
        <v>9797</v>
      </c>
      <c r="V114" s="18" t="s">
        <v>9798</v>
      </c>
      <c r="W114" s="18" t="s">
        <v>8964</v>
      </c>
      <c r="X114" s="18" t="s">
        <v>2895</v>
      </c>
      <c r="Y114" s="18" t="s">
        <v>9799</v>
      </c>
      <c r="Z114" s="18" t="s">
        <v>17</v>
      </c>
    </row>
    <row r="115" spans="1:26" ht="20.100000000000001" customHeight="1" x14ac:dyDescent="0.2">
      <c r="A115" s="30" t="s">
        <v>9800</v>
      </c>
      <c r="B115" s="19" t="s">
        <v>9801</v>
      </c>
      <c r="C115" s="19" t="s">
        <v>9802</v>
      </c>
      <c r="D115" s="8" t="s">
        <v>9092</v>
      </c>
      <c r="E115" s="20" t="s">
        <v>8949</v>
      </c>
      <c r="F115" s="20" t="s">
        <v>8950</v>
      </c>
      <c r="G115" s="20" t="s">
        <v>8973</v>
      </c>
      <c r="H115" s="20">
        <v>30</v>
      </c>
      <c r="I115" s="20" t="s">
        <v>9008</v>
      </c>
      <c r="J115" s="20" t="s">
        <v>9059</v>
      </c>
      <c r="K115" s="20" t="s">
        <v>8989</v>
      </c>
      <c r="L115" s="21" t="s">
        <v>8955</v>
      </c>
      <c r="M115" s="20" t="s">
        <v>8956</v>
      </c>
      <c r="N115" s="31" t="s">
        <v>8974</v>
      </c>
      <c r="O115" s="20">
        <f t="shared" si="1"/>
        <v>8</v>
      </c>
      <c r="P115" s="22" t="s">
        <v>8975</v>
      </c>
      <c r="Q115" s="21" t="s">
        <v>8959</v>
      </c>
      <c r="R115" s="23" t="s">
        <v>9010</v>
      </c>
      <c r="S115" s="18" t="s">
        <v>9228</v>
      </c>
      <c r="T115" s="24" t="str">
        <f>VLOOKUP(R115,[1]Sheet3!$A$2:$A$47,1,0)</f>
        <v>the United States of America</v>
      </c>
      <c r="U115" s="18" t="s">
        <v>9803</v>
      </c>
      <c r="V115" s="18" t="s">
        <v>9804</v>
      </c>
      <c r="W115" s="18" t="s">
        <v>8964</v>
      </c>
      <c r="X115" s="18" t="s">
        <v>110</v>
      </c>
      <c r="Y115" s="18" t="s">
        <v>9231</v>
      </c>
      <c r="Z115" s="18" t="s">
        <v>17</v>
      </c>
    </row>
    <row r="116" spans="1:26" ht="20.100000000000001" customHeight="1" x14ac:dyDescent="0.2">
      <c r="A116" s="30" t="s">
        <v>9805</v>
      </c>
      <c r="B116" s="19" t="s">
        <v>9806</v>
      </c>
      <c r="C116" s="19" t="s">
        <v>9807</v>
      </c>
      <c r="D116" s="8" t="s">
        <v>9049</v>
      </c>
      <c r="E116" s="20" t="s">
        <v>9325</v>
      </c>
      <c r="F116" s="20" t="s">
        <v>9386</v>
      </c>
      <c r="G116" s="20" t="s">
        <v>9076</v>
      </c>
      <c r="H116" s="20">
        <v>269</v>
      </c>
      <c r="I116" s="31" t="s">
        <v>8988</v>
      </c>
      <c r="J116" s="31" t="s">
        <v>9059</v>
      </c>
      <c r="K116" s="20" t="s">
        <v>8954</v>
      </c>
      <c r="L116" s="21" t="s">
        <v>8955</v>
      </c>
      <c r="M116" s="20" t="s">
        <v>8956</v>
      </c>
      <c r="N116" s="20" t="s">
        <v>8959</v>
      </c>
      <c r="O116" s="20">
        <f t="shared" si="1"/>
        <v>9</v>
      </c>
      <c r="P116" s="22" t="s">
        <v>8975</v>
      </c>
      <c r="Q116" s="21" t="s">
        <v>8959</v>
      </c>
      <c r="R116" s="23" t="s">
        <v>9176</v>
      </c>
      <c r="S116" s="18" t="s">
        <v>9808</v>
      </c>
      <c r="T116" s="24" t="str">
        <f>VLOOKUP(R116,[1]Sheet3!$A$2:$A$47,1,0)</f>
        <v>Australia</v>
      </c>
      <c r="U116" s="18" t="s">
        <v>9809</v>
      </c>
      <c r="V116" s="18" t="s">
        <v>9810</v>
      </c>
      <c r="W116" s="18" t="s">
        <v>8964</v>
      </c>
      <c r="X116" s="18" t="s">
        <v>1797</v>
      </c>
      <c r="Y116" s="18" t="s">
        <v>9811</v>
      </c>
      <c r="Z116" s="18" t="s">
        <v>11</v>
      </c>
    </row>
    <row r="117" spans="1:26" ht="20.100000000000001" customHeight="1" x14ac:dyDescent="0.2">
      <c r="A117" s="30" t="s">
        <v>9812</v>
      </c>
      <c r="B117" s="19" t="s">
        <v>9813</v>
      </c>
      <c r="C117" s="19" t="s">
        <v>9814</v>
      </c>
      <c r="D117" s="8" t="s">
        <v>8984</v>
      </c>
      <c r="E117" s="20" t="s">
        <v>8998</v>
      </c>
      <c r="F117" s="20" t="s">
        <v>9212</v>
      </c>
      <c r="G117" s="20" t="s">
        <v>9133</v>
      </c>
      <c r="H117" s="20">
        <v>60</v>
      </c>
      <c r="I117" s="20" t="s">
        <v>9008</v>
      </c>
      <c r="J117" s="20" t="s">
        <v>9059</v>
      </c>
      <c r="K117" s="31" t="s">
        <v>8954</v>
      </c>
      <c r="L117" s="21" t="s">
        <v>8955</v>
      </c>
      <c r="M117" s="20" t="s">
        <v>8956</v>
      </c>
      <c r="N117" s="20" t="s">
        <v>8959</v>
      </c>
      <c r="O117" s="20">
        <f t="shared" si="1"/>
        <v>7</v>
      </c>
      <c r="P117" s="22" t="s">
        <v>8958</v>
      </c>
      <c r="Q117" s="21" t="s">
        <v>8959</v>
      </c>
      <c r="R117" s="23" t="s">
        <v>9815</v>
      </c>
      <c r="S117" s="18" t="s">
        <v>9342</v>
      </c>
      <c r="T117" s="24" t="str">
        <f>VLOOKUP(R117,[1]Sheet3!$A$2:$A$47,1,0)</f>
        <v>India</v>
      </c>
      <c r="U117" s="18" t="s">
        <v>9816</v>
      </c>
      <c r="V117" s="18" t="s">
        <v>9817</v>
      </c>
      <c r="W117" s="18" t="s">
        <v>8964</v>
      </c>
      <c r="X117" s="18" t="s">
        <v>64</v>
      </c>
      <c r="Y117" s="18" t="s">
        <v>9345</v>
      </c>
      <c r="Z117" s="18" t="s">
        <v>17</v>
      </c>
    </row>
    <row r="118" spans="1:26" ht="20.100000000000001" customHeight="1" x14ac:dyDescent="0.2">
      <c r="A118" s="30" t="s">
        <v>9818</v>
      </c>
      <c r="B118" s="19" t="s">
        <v>9819</v>
      </c>
      <c r="C118" s="19" t="s">
        <v>9820</v>
      </c>
      <c r="D118" s="8" t="s">
        <v>8948</v>
      </c>
      <c r="E118" s="20" t="s">
        <v>9325</v>
      </c>
      <c r="F118" s="20" t="s">
        <v>9349</v>
      </c>
      <c r="G118" s="20" t="s">
        <v>8973</v>
      </c>
      <c r="H118" s="20">
        <v>40</v>
      </c>
      <c r="I118" s="20" t="s">
        <v>9008</v>
      </c>
      <c r="J118" s="20" t="s">
        <v>8953</v>
      </c>
      <c r="K118" s="20" t="s">
        <v>8989</v>
      </c>
      <c r="L118" s="21" t="s">
        <v>8955</v>
      </c>
      <c r="M118" s="20" t="s">
        <v>8956</v>
      </c>
      <c r="N118" s="20" t="s">
        <v>8957</v>
      </c>
      <c r="O118" s="20">
        <f t="shared" si="1"/>
        <v>6</v>
      </c>
      <c r="P118" s="22" t="s">
        <v>8958</v>
      </c>
      <c r="Q118" s="21" t="s">
        <v>9183</v>
      </c>
      <c r="R118" s="23" t="s">
        <v>9310</v>
      </c>
      <c r="S118" s="18" t="s">
        <v>9808</v>
      </c>
      <c r="T118" s="24" t="str">
        <f>VLOOKUP(R118,[1]Sheet3!$A$2:$A$47,1,0)</f>
        <v>China</v>
      </c>
      <c r="U118" s="18" t="s">
        <v>9821</v>
      </c>
      <c r="V118" s="18" t="s">
        <v>9822</v>
      </c>
      <c r="W118" s="18" t="s">
        <v>8964</v>
      </c>
      <c r="X118" s="18" t="s">
        <v>1797</v>
      </c>
      <c r="Y118" s="18" t="s">
        <v>9811</v>
      </c>
      <c r="Z118" s="18" t="s">
        <v>17</v>
      </c>
    </row>
    <row r="119" spans="1:26" ht="20.100000000000001" customHeight="1" x14ac:dyDescent="0.2">
      <c r="A119" s="30" t="s">
        <v>9823</v>
      </c>
      <c r="B119" s="19" t="s">
        <v>9824</v>
      </c>
      <c r="C119" s="19" t="s">
        <v>9825</v>
      </c>
      <c r="D119" s="8" t="s">
        <v>9154</v>
      </c>
      <c r="E119" s="20" t="s">
        <v>8949</v>
      </c>
      <c r="F119" s="27" t="s">
        <v>9826</v>
      </c>
      <c r="G119" s="20" t="s">
        <v>8951</v>
      </c>
      <c r="H119" s="20">
        <v>3510</v>
      </c>
      <c r="I119" s="20" t="s">
        <v>9019</v>
      </c>
      <c r="J119" s="20" t="s">
        <v>8953</v>
      </c>
      <c r="K119" s="20" t="s">
        <v>8989</v>
      </c>
      <c r="L119" s="21" t="s">
        <v>8955</v>
      </c>
      <c r="M119" s="20" t="s">
        <v>8956</v>
      </c>
      <c r="N119" s="20" t="s">
        <v>8957</v>
      </c>
      <c r="O119" s="20">
        <f t="shared" si="1"/>
        <v>11</v>
      </c>
      <c r="P119" s="22" t="s">
        <v>8975</v>
      </c>
      <c r="Q119" s="21" t="s">
        <v>8959</v>
      </c>
      <c r="R119" s="23" t="s">
        <v>9113</v>
      </c>
      <c r="S119" s="18" t="s">
        <v>8961</v>
      </c>
      <c r="T119" s="24" t="str">
        <f>VLOOKUP(R119,[1]Sheet3!$A$2:$A$47,1,0)</f>
        <v>UK</v>
      </c>
      <c r="U119" s="18" t="s">
        <v>9827</v>
      </c>
      <c r="V119" s="18" t="s">
        <v>9828</v>
      </c>
      <c r="W119" s="18" t="s">
        <v>8964</v>
      </c>
      <c r="X119" s="18" t="s">
        <v>126</v>
      </c>
      <c r="Y119" s="18" t="s">
        <v>8966</v>
      </c>
      <c r="Z119" s="18" t="s">
        <v>17</v>
      </c>
    </row>
    <row r="120" spans="1:26" ht="20.100000000000001" customHeight="1" x14ac:dyDescent="0.2">
      <c r="A120" s="30" t="s">
        <v>9829</v>
      </c>
      <c r="B120" s="19" t="s">
        <v>9830</v>
      </c>
      <c r="C120" s="19" t="s">
        <v>9831</v>
      </c>
      <c r="D120" s="8" t="s">
        <v>9092</v>
      </c>
      <c r="E120" s="20" t="s">
        <v>8949</v>
      </c>
      <c r="F120" s="20" t="s">
        <v>8972</v>
      </c>
      <c r="G120" s="20" t="s">
        <v>8973</v>
      </c>
      <c r="H120" s="20">
        <v>10874</v>
      </c>
      <c r="I120" s="20" t="s">
        <v>9019</v>
      </c>
      <c r="J120" s="20" t="s">
        <v>8953</v>
      </c>
      <c r="K120" s="20" t="s">
        <v>8954</v>
      </c>
      <c r="L120" s="21" t="s">
        <v>8955</v>
      </c>
      <c r="M120" s="20" t="s">
        <v>8956</v>
      </c>
      <c r="N120" s="20" t="s">
        <v>8957</v>
      </c>
      <c r="O120" s="20">
        <f t="shared" si="1"/>
        <v>2</v>
      </c>
      <c r="P120" s="22" t="s">
        <v>9103</v>
      </c>
      <c r="Q120" s="21" t="s">
        <v>8959</v>
      </c>
      <c r="R120" s="23" t="s">
        <v>9529</v>
      </c>
      <c r="S120" s="18" t="s">
        <v>9342</v>
      </c>
      <c r="T120" s="24" t="str">
        <f>VLOOKUP(R120,[1]Sheet3!$A$2:$A$47,1,0)</f>
        <v>Switzerland</v>
      </c>
      <c r="U120" s="18" t="s">
        <v>9832</v>
      </c>
      <c r="V120" s="18" t="s">
        <v>9833</v>
      </c>
      <c r="W120" s="18" t="s">
        <v>8964</v>
      </c>
      <c r="X120" s="18" t="s">
        <v>64</v>
      </c>
      <c r="Y120" s="18" t="s">
        <v>9345</v>
      </c>
      <c r="Z120" s="18" t="s">
        <v>17</v>
      </c>
    </row>
    <row r="121" spans="1:26" ht="20.100000000000001" customHeight="1" x14ac:dyDescent="0.2">
      <c r="A121" s="30" t="s">
        <v>9834</v>
      </c>
      <c r="B121" s="19" t="s">
        <v>9835</v>
      </c>
      <c r="C121" s="19" t="s">
        <v>9836</v>
      </c>
      <c r="D121" s="8" t="s">
        <v>9035</v>
      </c>
      <c r="E121" s="20" t="s">
        <v>9308</v>
      </c>
      <c r="F121" s="20" t="s">
        <v>8950</v>
      </c>
      <c r="G121" s="20" t="s">
        <v>8987</v>
      </c>
      <c r="H121" s="20">
        <v>5856</v>
      </c>
      <c r="I121" s="20" t="s">
        <v>9019</v>
      </c>
      <c r="J121" s="20" t="s">
        <v>8953</v>
      </c>
      <c r="K121" s="20" t="s">
        <v>8989</v>
      </c>
      <c r="L121" s="21" t="s">
        <v>8955</v>
      </c>
      <c r="M121" s="20" t="s">
        <v>8956</v>
      </c>
      <c r="N121" s="20" t="s">
        <v>8957</v>
      </c>
      <c r="O121" s="20">
        <f t="shared" si="1"/>
        <v>4</v>
      </c>
      <c r="P121" s="22" t="s">
        <v>8958</v>
      </c>
      <c r="Q121" s="21" t="s">
        <v>8959</v>
      </c>
      <c r="R121" s="23" t="s">
        <v>9213</v>
      </c>
      <c r="S121" s="18" t="s">
        <v>9837</v>
      </c>
      <c r="T121" s="24" t="str">
        <f>VLOOKUP(R121,[1]Sheet3!$A$2:$A$47,1,0)</f>
        <v>South Korea</v>
      </c>
      <c r="U121" s="18" t="s">
        <v>9838</v>
      </c>
      <c r="V121" s="18" t="s">
        <v>9839</v>
      </c>
      <c r="W121" s="18" t="s">
        <v>8964</v>
      </c>
      <c r="X121" s="18" t="s">
        <v>35</v>
      </c>
      <c r="Y121" s="18" t="s">
        <v>9840</v>
      </c>
      <c r="Z121" s="18" t="s">
        <v>17</v>
      </c>
    </row>
    <row r="122" spans="1:26" ht="20.100000000000001" customHeight="1" x14ac:dyDescent="0.2">
      <c r="A122" s="30" t="s">
        <v>9841</v>
      </c>
      <c r="B122" s="19" t="s">
        <v>9842</v>
      </c>
      <c r="C122" s="19" t="s">
        <v>9843</v>
      </c>
      <c r="D122" s="8" t="s">
        <v>9092</v>
      </c>
      <c r="E122" s="20" t="s">
        <v>9308</v>
      </c>
      <c r="F122" s="20" t="s">
        <v>9036</v>
      </c>
      <c r="G122" s="20" t="s">
        <v>8987</v>
      </c>
      <c r="H122" s="20">
        <v>250</v>
      </c>
      <c r="I122" s="20" t="s">
        <v>9158</v>
      </c>
      <c r="J122" s="20" t="s">
        <v>8953</v>
      </c>
      <c r="K122" s="20" t="s">
        <v>8989</v>
      </c>
      <c r="L122" s="21" t="s">
        <v>8955</v>
      </c>
      <c r="M122" s="20" t="s">
        <v>8956</v>
      </c>
      <c r="N122" s="20" t="s">
        <v>8959</v>
      </c>
      <c r="O122" s="20">
        <f t="shared" si="1"/>
        <v>8</v>
      </c>
      <c r="P122" s="22" t="s">
        <v>8975</v>
      </c>
      <c r="Q122" s="21" t="s">
        <v>9061</v>
      </c>
      <c r="R122" s="23" t="s">
        <v>9010</v>
      </c>
      <c r="S122" s="18" t="s">
        <v>9844</v>
      </c>
      <c r="T122" s="24" t="str">
        <f>VLOOKUP(R122,[1]Sheet3!$A$2:$A$47,1,0)</f>
        <v>the United States of America</v>
      </c>
      <c r="U122" s="18" t="s">
        <v>9845</v>
      </c>
      <c r="V122" s="18" t="s">
        <v>9846</v>
      </c>
      <c r="W122" s="18" t="s">
        <v>8964</v>
      </c>
      <c r="X122" s="18" t="s">
        <v>8274</v>
      </c>
      <c r="Y122" s="18" t="s">
        <v>9847</v>
      </c>
      <c r="Z122" s="18" t="s">
        <v>17</v>
      </c>
    </row>
    <row r="123" spans="1:26" ht="20.100000000000001" customHeight="1" x14ac:dyDescent="0.2">
      <c r="A123" s="30" t="s">
        <v>9848</v>
      </c>
      <c r="B123" s="19" t="s">
        <v>9849</v>
      </c>
      <c r="C123" s="19" t="s">
        <v>9850</v>
      </c>
      <c r="D123" s="8" t="s">
        <v>8948</v>
      </c>
      <c r="E123" s="20" t="s">
        <v>8949</v>
      </c>
      <c r="F123" s="20" t="s">
        <v>9851</v>
      </c>
      <c r="G123" s="20" t="s">
        <v>8973</v>
      </c>
      <c r="H123" s="20">
        <v>384</v>
      </c>
      <c r="I123" s="20" t="s">
        <v>8988</v>
      </c>
      <c r="J123" s="20" t="s">
        <v>8953</v>
      </c>
      <c r="K123" s="20" t="s">
        <v>8989</v>
      </c>
      <c r="L123" s="21" t="s">
        <v>8955</v>
      </c>
      <c r="M123" s="20" t="s">
        <v>8956</v>
      </c>
      <c r="N123" s="20" t="s">
        <v>8957</v>
      </c>
      <c r="O123" s="20">
        <f t="shared" si="1"/>
        <v>7</v>
      </c>
      <c r="P123" s="22" t="s">
        <v>8958</v>
      </c>
      <c r="Q123" s="21" t="s">
        <v>8959</v>
      </c>
      <c r="R123" s="23" t="s">
        <v>9852</v>
      </c>
      <c r="S123" s="18" t="s">
        <v>9853</v>
      </c>
      <c r="T123" s="24" t="str">
        <f>VLOOKUP(R123,[1]Sheet3!$A$2:$A$47,1,0)</f>
        <v>Pakistan</v>
      </c>
      <c r="U123" s="18" t="s">
        <v>9854</v>
      </c>
      <c r="V123" s="18" t="s">
        <v>9855</v>
      </c>
      <c r="W123" s="18" t="s">
        <v>8964</v>
      </c>
      <c r="X123" s="18" t="s">
        <v>3167</v>
      </c>
      <c r="Y123" s="18" t="s">
        <v>9856</v>
      </c>
      <c r="Z123" s="18" t="s">
        <v>17</v>
      </c>
    </row>
    <row r="124" spans="1:26" ht="20.100000000000001" customHeight="1" x14ac:dyDescent="0.2">
      <c r="A124" s="30" t="s">
        <v>9857</v>
      </c>
      <c r="B124" s="19" t="s">
        <v>9858</v>
      </c>
      <c r="C124" s="19" t="s">
        <v>9859</v>
      </c>
      <c r="D124" s="8" t="s">
        <v>9035</v>
      </c>
      <c r="E124" s="20" t="s">
        <v>9308</v>
      </c>
      <c r="F124" s="20" t="s">
        <v>8972</v>
      </c>
      <c r="G124" s="20" t="s">
        <v>9076</v>
      </c>
      <c r="H124" s="20">
        <v>1012</v>
      </c>
      <c r="I124" s="20" t="s">
        <v>8952</v>
      </c>
      <c r="J124" s="20" t="s">
        <v>8953</v>
      </c>
      <c r="K124" s="20" t="s">
        <v>8954</v>
      </c>
      <c r="L124" s="21" t="s">
        <v>8955</v>
      </c>
      <c r="M124" s="20" t="s">
        <v>8990</v>
      </c>
      <c r="N124" s="20" t="s">
        <v>8957</v>
      </c>
      <c r="O124" s="20">
        <f t="shared" si="1"/>
        <v>4</v>
      </c>
      <c r="P124" s="22" t="s">
        <v>8958</v>
      </c>
      <c r="Q124" s="21" t="s">
        <v>8959</v>
      </c>
      <c r="R124" s="23" t="s">
        <v>9213</v>
      </c>
      <c r="S124" s="18" t="s">
        <v>9093</v>
      </c>
      <c r="T124" s="24" t="str">
        <f>VLOOKUP(R124,[1]Sheet3!$A$2:$A$47,1,0)</f>
        <v>South Korea</v>
      </c>
      <c r="U124" s="18" t="s">
        <v>9860</v>
      </c>
      <c r="V124" s="18" t="s">
        <v>9861</v>
      </c>
      <c r="W124" s="18" t="s">
        <v>8964</v>
      </c>
      <c r="X124" s="18" t="s">
        <v>378</v>
      </c>
      <c r="Y124" s="18" t="s">
        <v>9096</v>
      </c>
      <c r="Z124" s="18" t="s">
        <v>17</v>
      </c>
    </row>
    <row r="125" spans="1:26" ht="20.100000000000001" customHeight="1" x14ac:dyDescent="0.2">
      <c r="A125" s="30" t="s">
        <v>9862</v>
      </c>
      <c r="B125" s="19" t="s">
        <v>9863</v>
      </c>
      <c r="C125" s="19" t="s">
        <v>9864</v>
      </c>
      <c r="D125" s="8" t="s">
        <v>9092</v>
      </c>
      <c r="E125" s="20" t="s">
        <v>8971</v>
      </c>
      <c r="F125" s="20" t="s">
        <v>8950</v>
      </c>
      <c r="G125" s="20" t="s">
        <v>8951</v>
      </c>
      <c r="H125" s="20">
        <v>276</v>
      </c>
      <c r="I125" s="20" t="s">
        <v>8988</v>
      </c>
      <c r="J125" s="20" t="s">
        <v>8953</v>
      </c>
      <c r="K125" s="20" t="s">
        <v>8989</v>
      </c>
      <c r="L125" s="21" t="s">
        <v>8955</v>
      </c>
      <c r="M125" s="20" t="s">
        <v>8956</v>
      </c>
      <c r="N125" s="20" t="s">
        <v>8959</v>
      </c>
      <c r="O125" s="20">
        <f t="shared" si="1"/>
        <v>3</v>
      </c>
      <c r="P125" s="22" t="s">
        <v>9103</v>
      </c>
      <c r="Q125" s="21" t="s">
        <v>8959</v>
      </c>
      <c r="R125" s="23" t="s">
        <v>9815</v>
      </c>
      <c r="S125" s="18" t="s">
        <v>9865</v>
      </c>
      <c r="T125" s="24" t="str">
        <f>VLOOKUP(R125,[1]Sheet3!$A$2:$A$47,1,0)</f>
        <v>India</v>
      </c>
      <c r="U125" s="18" t="s">
        <v>9866</v>
      </c>
      <c r="V125" s="18" t="s">
        <v>9867</v>
      </c>
      <c r="W125" s="18" t="s">
        <v>8964</v>
      </c>
      <c r="X125" s="18" t="s">
        <v>1241</v>
      </c>
      <c r="Y125" s="18" t="s">
        <v>9868</v>
      </c>
      <c r="Z125" s="18" t="s">
        <v>17</v>
      </c>
    </row>
    <row r="126" spans="1:26" ht="20.100000000000001" customHeight="1" x14ac:dyDescent="0.2">
      <c r="A126" s="30" t="s">
        <v>9869</v>
      </c>
      <c r="B126" s="19" t="s">
        <v>9870</v>
      </c>
      <c r="C126" s="19" t="s">
        <v>9871</v>
      </c>
      <c r="D126" s="8" t="s">
        <v>9049</v>
      </c>
      <c r="E126" s="20" t="s">
        <v>9155</v>
      </c>
      <c r="F126" s="20" t="s">
        <v>9872</v>
      </c>
      <c r="G126" s="31" t="s">
        <v>8951</v>
      </c>
      <c r="H126" s="31">
        <v>165722</v>
      </c>
      <c r="I126" s="20" t="s">
        <v>9019</v>
      </c>
      <c r="J126" s="20" t="s">
        <v>8953</v>
      </c>
      <c r="K126" s="20" t="s">
        <v>8954</v>
      </c>
      <c r="L126" s="21" t="s">
        <v>8955</v>
      </c>
      <c r="M126" s="20" t="s">
        <v>8956</v>
      </c>
      <c r="N126" s="20" t="s">
        <v>8957</v>
      </c>
      <c r="O126" s="20">
        <f t="shared" si="1"/>
        <v>5</v>
      </c>
      <c r="P126" s="22" t="s">
        <v>8958</v>
      </c>
      <c r="Q126" s="21" t="s">
        <v>9183</v>
      </c>
      <c r="R126" s="23" t="s">
        <v>8991</v>
      </c>
      <c r="S126" s="18" t="s">
        <v>9873</v>
      </c>
      <c r="T126" s="24" t="str">
        <f>VLOOKUP(R126,[1]Sheet3!$A$2:$A$47,1,0)</f>
        <v>China</v>
      </c>
      <c r="U126" s="18" t="s">
        <v>9874</v>
      </c>
      <c r="V126" s="18" t="s">
        <v>9875</v>
      </c>
      <c r="W126" s="18" t="s">
        <v>8964</v>
      </c>
      <c r="X126" s="18" t="s">
        <v>1385</v>
      </c>
      <c r="Y126" s="18" t="s">
        <v>9876</v>
      </c>
      <c r="Z126" s="18" t="s">
        <v>17</v>
      </c>
    </row>
    <row r="127" spans="1:26" ht="20.100000000000001" customHeight="1" x14ac:dyDescent="0.2">
      <c r="A127" s="30" t="s">
        <v>9877</v>
      </c>
      <c r="B127" s="19" t="s">
        <v>9878</v>
      </c>
      <c r="C127" s="19" t="s">
        <v>9879</v>
      </c>
      <c r="D127" s="8" t="s">
        <v>8984</v>
      </c>
      <c r="E127" s="20" t="s">
        <v>8949</v>
      </c>
      <c r="F127" s="20" t="s">
        <v>8950</v>
      </c>
      <c r="G127" s="20" t="s">
        <v>9133</v>
      </c>
      <c r="H127" s="20">
        <v>494</v>
      </c>
      <c r="I127" s="20" t="s">
        <v>8988</v>
      </c>
      <c r="J127" s="20" t="s">
        <v>8953</v>
      </c>
      <c r="K127" s="20" t="s">
        <v>8954</v>
      </c>
      <c r="L127" s="21" t="s">
        <v>8955</v>
      </c>
      <c r="M127" s="20" t="s">
        <v>8956</v>
      </c>
      <c r="N127" s="20" t="s">
        <v>8957</v>
      </c>
      <c r="O127" s="20">
        <f t="shared" si="1"/>
        <v>11</v>
      </c>
      <c r="P127" s="22" t="s">
        <v>8975</v>
      </c>
      <c r="Q127" s="21" t="s">
        <v>9061</v>
      </c>
      <c r="R127" s="23" t="s">
        <v>9010</v>
      </c>
      <c r="S127" s="18" t="s">
        <v>9768</v>
      </c>
      <c r="T127" s="24" t="str">
        <f>VLOOKUP(R127,[1]Sheet3!$A$2:$A$47,1,0)</f>
        <v>the United States of America</v>
      </c>
      <c r="U127" s="18" t="s">
        <v>9769</v>
      </c>
      <c r="V127" s="18" t="s">
        <v>9880</v>
      </c>
      <c r="W127" s="18" t="s">
        <v>8964</v>
      </c>
      <c r="X127" s="18" t="s">
        <v>147</v>
      </c>
      <c r="Y127" s="18" t="s">
        <v>9771</v>
      </c>
      <c r="Z127" s="18" t="s">
        <v>17</v>
      </c>
    </row>
    <row r="128" spans="1:26" ht="20.100000000000001" customHeight="1" x14ac:dyDescent="0.2">
      <c r="A128" s="30" t="s">
        <v>9881</v>
      </c>
      <c r="B128" s="19" t="s">
        <v>9882</v>
      </c>
      <c r="C128" s="19" t="s">
        <v>9883</v>
      </c>
      <c r="D128" s="8" t="s">
        <v>9884</v>
      </c>
      <c r="E128" s="41" t="s">
        <v>9050</v>
      </c>
      <c r="F128" s="45" t="s">
        <v>9885</v>
      </c>
      <c r="G128" s="31" t="s">
        <v>9157</v>
      </c>
      <c r="H128" s="31">
        <v>284335</v>
      </c>
      <c r="I128" s="20" t="s">
        <v>9019</v>
      </c>
      <c r="J128" s="20" t="s">
        <v>8953</v>
      </c>
      <c r="K128" s="20" t="s">
        <v>8954</v>
      </c>
      <c r="L128" s="21" t="s">
        <v>8955</v>
      </c>
      <c r="M128" s="20" t="s">
        <v>8956</v>
      </c>
      <c r="N128" s="20" t="s">
        <v>8959</v>
      </c>
      <c r="O128" s="20">
        <f t="shared" si="1"/>
        <v>8</v>
      </c>
      <c r="P128" s="22" t="s">
        <v>8975</v>
      </c>
      <c r="Q128" s="21" t="s">
        <v>8959</v>
      </c>
      <c r="R128" s="23" t="s">
        <v>9010</v>
      </c>
      <c r="S128" s="18" t="s">
        <v>9886</v>
      </c>
      <c r="T128" s="24" t="str">
        <f>VLOOKUP(R128,[1]Sheet3!$A$2:$A$47,1,0)</f>
        <v>the United States of America</v>
      </c>
      <c r="U128" s="18" t="s">
        <v>9887</v>
      </c>
      <c r="V128" s="18" t="s">
        <v>9888</v>
      </c>
      <c r="W128" s="18" t="s">
        <v>8964</v>
      </c>
      <c r="X128" s="18" t="s">
        <v>4369</v>
      </c>
      <c r="Y128" s="18" t="s">
        <v>9889</v>
      </c>
      <c r="Z128" s="18" t="s">
        <v>11</v>
      </c>
    </row>
    <row r="129" spans="1:26" ht="20.100000000000001" customHeight="1" x14ac:dyDescent="0.2">
      <c r="A129" s="30" t="s">
        <v>9890</v>
      </c>
      <c r="B129" s="19" t="s">
        <v>9891</v>
      </c>
      <c r="C129" s="19" t="s">
        <v>9892</v>
      </c>
      <c r="D129" s="8" t="s">
        <v>8984</v>
      </c>
      <c r="E129" s="33" t="s">
        <v>9131</v>
      </c>
      <c r="F129" s="45" t="s">
        <v>9893</v>
      </c>
      <c r="G129" s="20" t="s">
        <v>8951</v>
      </c>
      <c r="H129" s="27">
        <v>27725</v>
      </c>
      <c r="I129" s="20" t="s">
        <v>9019</v>
      </c>
      <c r="J129" s="20" t="s">
        <v>8953</v>
      </c>
      <c r="K129" s="20" t="s">
        <v>8954</v>
      </c>
      <c r="L129" s="21" t="s">
        <v>8955</v>
      </c>
      <c r="M129" s="20" t="s">
        <v>8956</v>
      </c>
      <c r="N129" s="20" t="s">
        <v>8959</v>
      </c>
      <c r="O129" s="20">
        <f t="shared" si="1"/>
        <v>16</v>
      </c>
      <c r="P129" s="22" t="s">
        <v>8975</v>
      </c>
      <c r="Q129" s="21" t="s">
        <v>9009</v>
      </c>
      <c r="R129" s="23" t="s">
        <v>9310</v>
      </c>
      <c r="S129" s="18" t="s">
        <v>9886</v>
      </c>
      <c r="T129" s="24" t="str">
        <f>VLOOKUP(R129,[1]Sheet3!$A$2:$A$47,1,0)</f>
        <v>China</v>
      </c>
      <c r="U129" s="18" t="s">
        <v>9894</v>
      </c>
      <c r="V129" s="18" t="s">
        <v>9895</v>
      </c>
      <c r="W129" s="18" t="s">
        <v>8964</v>
      </c>
      <c r="X129" s="18" t="s">
        <v>4369</v>
      </c>
      <c r="Y129" s="18" t="s">
        <v>9889</v>
      </c>
      <c r="Z129" s="18" t="s">
        <v>11</v>
      </c>
    </row>
    <row r="130" spans="1:26" ht="20.100000000000001" customHeight="1" x14ac:dyDescent="0.2">
      <c r="A130" s="30" t="s">
        <v>9896</v>
      </c>
      <c r="B130" s="19" t="s">
        <v>9897</v>
      </c>
      <c r="C130" s="19" t="s">
        <v>9898</v>
      </c>
      <c r="D130" s="8" t="s">
        <v>9092</v>
      </c>
      <c r="E130" s="20" t="s">
        <v>8998</v>
      </c>
      <c r="F130" s="20" t="s">
        <v>8972</v>
      </c>
      <c r="G130" s="20" t="s">
        <v>8973</v>
      </c>
      <c r="H130" s="20">
        <v>45</v>
      </c>
      <c r="I130" s="20" t="s">
        <v>9008</v>
      </c>
      <c r="J130" s="20" t="s">
        <v>8953</v>
      </c>
      <c r="K130" s="20" t="s">
        <v>8954</v>
      </c>
      <c r="L130" s="21" t="s">
        <v>8955</v>
      </c>
      <c r="M130" s="20" t="s">
        <v>8990</v>
      </c>
      <c r="N130" s="20" t="s">
        <v>8959</v>
      </c>
      <c r="O130" s="20">
        <f t="shared" ref="O130:O193" si="2">1+LEN(V130)-LEN(SUBSTITUTE(V130,";",))</f>
        <v>5</v>
      </c>
      <c r="P130" s="22" t="s">
        <v>8958</v>
      </c>
      <c r="Q130" s="21" t="s">
        <v>8959</v>
      </c>
      <c r="R130" s="23" t="s">
        <v>9899</v>
      </c>
      <c r="S130" s="18" t="s">
        <v>9020</v>
      </c>
      <c r="T130" s="24" t="str">
        <f>VLOOKUP(R130,[1]Sheet3!$A$2:$A$47,1,0)</f>
        <v>Pakistan</v>
      </c>
      <c r="U130" s="18" t="s">
        <v>9900</v>
      </c>
      <c r="V130" s="18" t="s">
        <v>9901</v>
      </c>
      <c r="W130" s="18" t="s">
        <v>8964</v>
      </c>
      <c r="X130" s="18" t="s">
        <v>87</v>
      </c>
      <c r="Y130" s="18" t="s">
        <v>9023</v>
      </c>
      <c r="Z130" s="18" t="s">
        <v>17</v>
      </c>
    </row>
    <row r="131" spans="1:26" ht="20.100000000000001" customHeight="1" x14ac:dyDescent="0.2">
      <c r="A131" s="30" t="s">
        <v>9902</v>
      </c>
      <c r="B131" s="19" t="s">
        <v>9903</v>
      </c>
      <c r="C131" s="19" t="s">
        <v>9904</v>
      </c>
      <c r="D131" s="8" t="s">
        <v>9035</v>
      </c>
      <c r="E131" s="20" t="s">
        <v>8998</v>
      </c>
      <c r="F131" s="20" t="s">
        <v>9679</v>
      </c>
      <c r="G131" s="31" t="s">
        <v>9157</v>
      </c>
      <c r="H131" s="31">
        <v>759</v>
      </c>
      <c r="I131" s="20" t="s">
        <v>9077</v>
      </c>
      <c r="J131" s="20" t="s">
        <v>8953</v>
      </c>
      <c r="K131" s="20" t="s">
        <v>8954</v>
      </c>
      <c r="L131" s="21" t="s">
        <v>8955</v>
      </c>
      <c r="M131" s="20" t="s">
        <v>8956</v>
      </c>
      <c r="N131" s="20" t="s">
        <v>8957</v>
      </c>
      <c r="O131" s="20">
        <f t="shared" si="2"/>
        <v>8</v>
      </c>
      <c r="P131" s="22" t="s">
        <v>8975</v>
      </c>
      <c r="Q131" s="21" t="s">
        <v>9061</v>
      </c>
      <c r="R131" s="23" t="s">
        <v>9010</v>
      </c>
      <c r="S131" s="18" t="s">
        <v>9905</v>
      </c>
      <c r="T131" s="24" t="str">
        <f>VLOOKUP(R131,[1]Sheet3!$A$2:$A$47,1,0)</f>
        <v>the United States of America</v>
      </c>
      <c r="U131" s="18" t="s">
        <v>9906</v>
      </c>
      <c r="V131" s="18" t="s">
        <v>9907</v>
      </c>
      <c r="W131" s="18" t="s">
        <v>8964</v>
      </c>
      <c r="X131" s="18" t="s">
        <v>39</v>
      </c>
      <c r="Y131" s="18" t="s">
        <v>9908</v>
      </c>
      <c r="Z131" s="18" t="s">
        <v>17</v>
      </c>
    </row>
    <row r="132" spans="1:26" ht="20.100000000000001" customHeight="1" x14ac:dyDescent="0.2">
      <c r="A132" s="30" t="s">
        <v>9909</v>
      </c>
      <c r="B132" s="19" t="s">
        <v>9910</v>
      </c>
      <c r="C132" s="19" t="s">
        <v>9911</v>
      </c>
      <c r="D132" s="8" t="s">
        <v>9075</v>
      </c>
      <c r="E132" s="31" t="s">
        <v>9121</v>
      </c>
      <c r="F132" s="27" t="s">
        <v>9912</v>
      </c>
      <c r="G132" s="20" t="s">
        <v>8973</v>
      </c>
      <c r="H132" s="20">
        <v>1094</v>
      </c>
      <c r="I132" s="20" t="s">
        <v>8952</v>
      </c>
      <c r="J132" s="20" t="s">
        <v>8953</v>
      </c>
      <c r="K132" s="20" t="s">
        <v>8954</v>
      </c>
      <c r="L132" s="21" t="s">
        <v>8955</v>
      </c>
      <c r="M132" s="20" t="s">
        <v>8990</v>
      </c>
      <c r="N132" s="20" t="s">
        <v>8974</v>
      </c>
      <c r="O132" s="20">
        <f t="shared" si="2"/>
        <v>6</v>
      </c>
      <c r="P132" s="22" t="s">
        <v>8958</v>
      </c>
      <c r="Q132" s="21" t="s">
        <v>8959</v>
      </c>
      <c r="R132" s="23" t="s">
        <v>8991</v>
      </c>
      <c r="S132" s="18" t="s">
        <v>9052</v>
      </c>
      <c r="T132" s="24" t="str">
        <f>VLOOKUP(R132,[1]Sheet3!$A$2:$A$47,1,0)</f>
        <v>China</v>
      </c>
      <c r="U132" s="18" t="s">
        <v>9913</v>
      </c>
      <c r="V132" s="18" t="s">
        <v>9914</v>
      </c>
      <c r="W132" s="18" t="s">
        <v>8964</v>
      </c>
      <c r="X132" s="18" t="s">
        <v>74</v>
      </c>
      <c r="Y132" s="18" t="s">
        <v>9055</v>
      </c>
      <c r="Z132" s="18" t="s">
        <v>17</v>
      </c>
    </row>
    <row r="133" spans="1:26" ht="20.100000000000001" customHeight="1" x14ac:dyDescent="0.2">
      <c r="A133" s="30" t="s">
        <v>9915</v>
      </c>
      <c r="B133" s="19" t="s">
        <v>9916</v>
      </c>
      <c r="C133" s="19" t="s">
        <v>9917</v>
      </c>
      <c r="D133" s="8" t="s">
        <v>8948</v>
      </c>
      <c r="E133" s="20" t="s">
        <v>8949</v>
      </c>
      <c r="F133" s="31" t="s">
        <v>9918</v>
      </c>
      <c r="G133" s="20" t="s">
        <v>8973</v>
      </c>
      <c r="H133" s="20">
        <v>238365</v>
      </c>
      <c r="I133" s="20" t="s">
        <v>9019</v>
      </c>
      <c r="J133" s="20" t="s">
        <v>8953</v>
      </c>
      <c r="K133" s="20" t="s">
        <v>8954</v>
      </c>
      <c r="L133" s="21" t="s">
        <v>8955</v>
      </c>
      <c r="M133" s="20" t="s">
        <v>8956</v>
      </c>
      <c r="N133" s="20" t="s">
        <v>8957</v>
      </c>
      <c r="O133" s="20">
        <f t="shared" si="2"/>
        <v>3</v>
      </c>
      <c r="P133" s="22" t="s">
        <v>9103</v>
      </c>
      <c r="Q133" s="21" t="s">
        <v>8959</v>
      </c>
      <c r="R133" s="23" t="s">
        <v>9310</v>
      </c>
      <c r="S133" s="18" t="s">
        <v>9052</v>
      </c>
      <c r="T133" s="24" t="str">
        <f>VLOOKUP(R133,[1]Sheet3!$A$2:$A$47,1,0)</f>
        <v>China</v>
      </c>
      <c r="U133" s="18" t="s">
        <v>9919</v>
      </c>
      <c r="V133" s="18" t="s">
        <v>9920</v>
      </c>
      <c r="W133" s="18" t="s">
        <v>8964</v>
      </c>
      <c r="X133" s="18" t="s">
        <v>74</v>
      </c>
      <c r="Y133" s="18" t="s">
        <v>9055</v>
      </c>
      <c r="Z133" s="18" t="s">
        <v>17</v>
      </c>
    </row>
    <row r="134" spans="1:26" ht="20.100000000000001" customHeight="1" x14ac:dyDescent="0.2">
      <c r="A134" s="30" t="s">
        <v>9921</v>
      </c>
      <c r="B134" s="19" t="s">
        <v>9922</v>
      </c>
      <c r="C134" s="19" t="s">
        <v>9923</v>
      </c>
      <c r="D134" s="8" t="s">
        <v>9035</v>
      </c>
      <c r="E134" s="20" t="s">
        <v>8998</v>
      </c>
      <c r="F134" s="20" t="s">
        <v>8950</v>
      </c>
      <c r="G134" s="20" t="s">
        <v>8951</v>
      </c>
      <c r="H134" s="20">
        <v>30000</v>
      </c>
      <c r="I134" s="20" t="s">
        <v>9019</v>
      </c>
      <c r="J134" s="20" t="s">
        <v>8953</v>
      </c>
      <c r="K134" s="20" t="s">
        <v>8954</v>
      </c>
      <c r="L134" s="21" t="s">
        <v>8955</v>
      </c>
      <c r="M134" s="20" t="s">
        <v>8956</v>
      </c>
      <c r="N134" s="20" t="s">
        <v>8959</v>
      </c>
      <c r="O134" s="20">
        <f t="shared" si="2"/>
        <v>2</v>
      </c>
      <c r="P134" s="22" t="s">
        <v>9103</v>
      </c>
      <c r="Q134" s="21" t="s">
        <v>8959</v>
      </c>
      <c r="R134" s="23" t="s">
        <v>9246</v>
      </c>
      <c r="S134" s="18" t="s">
        <v>8961</v>
      </c>
      <c r="T134" s="24" t="str">
        <f>VLOOKUP(R134,[1]Sheet3!$A$2:$A$47,1,0)</f>
        <v>Netherlands</v>
      </c>
      <c r="U134" s="18" t="s">
        <v>9924</v>
      </c>
      <c r="V134" s="18" t="s">
        <v>9925</v>
      </c>
      <c r="W134" s="18" t="s">
        <v>8964</v>
      </c>
      <c r="X134" s="18" t="s">
        <v>126</v>
      </c>
      <c r="Y134" s="18" t="s">
        <v>8966</v>
      </c>
      <c r="Z134" s="18" t="s">
        <v>17</v>
      </c>
    </row>
    <row r="135" spans="1:26" ht="20.100000000000001" customHeight="1" x14ac:dyDescent="0.2">
      <c r="A135" s="30" t="s">
        <v>9926</v>
      </c>
      <c r="B135" s="19" t="s">
        <v>9927</v>
      </c>
      <c r="C135" s="19" t="s">
        <v>9928</v>
      </c>
      <c r="D135" s="8" t="s">
        <v>9929</v>
      </c>
      <c r="E135" s="20" t="s">
        <v>9155</v>
      </c>
      <c r="F135" s="20" t="s">
        <v>9018</v>
      </c>
      <c r="G135" s="20" t="s">
        <v>8987</v>
      </c>
      <c r="H135" s="20">
        <v>42000</v>
      </c>
      <c r="I135" s="20" t="s">
        <v>9019</v>
      </c>
      <c r="J135" s="20" t="s">
        <v>8953</v>
      </c>
      <c r="K135" s="20" t="s">
        <v>8954</v>
      </c>
      <c r="L135" s="21" t="s">
        <v>8955</v>
      </c>
      <c r="M135" s="20" t="s">
        <v>8956</v>
      </c>
      <c r="N135" s="20" t="s">
        <v>8957</v>
      </c>
      <c r="O135" s="20">
        <f t="shared" si="2"/>
        <v>3</v>
      </c>
      <c r="P135" s="22" t="s">
        <v>9103</v>
      </c>
      <c r="Q135" s="21" t="s">
        <v>8959</v>
      </c>
      <c r="R135" s="23" t="s">
        <v>9010</v>
      </c>
      <c r="S135" s="18" t="s">
        <v>9930</v>
      </c>
      <c r="T135" s="24" t="str">
        <f>VLOOKUP(R135,[1]Sheet3!$A$2:$A$47,1,0)</f>
        <v>the United States of America</v>
      </c>
      <c r="U135" s="18" t="s">
        <v>9931</v>
      </c>
      <c r="V135" s="18" t="s">
        <v>9932</v>
      </c>
      <c r="W135" s="18" t="s">
        <v>8964</v>
      </c>
      <c r="X135" s="18" t="s">
        <v>2024</v>
      </c>
      <c r="Y135" s="18" t="s">
        <v>9933</v>
      </c>
      <c r="Z135" s="18" t="s">
        <v>17</v>
      </c>
    </row>
    <row r="136" spans="1:26" ht="20.100000000000001" customHeight="1" x14ac:dyDescent="0.2">
      <c r="A136" s="30" t="s">
        <v>9934</v>
      </c>
      <c r="B136" s="19" t="s">
        <v>9935</v>
      </c>
      <c r="C136" s="19" t="s">
        <v>9936</v>
      </c>
      <c r="D136" s="8" t="s">
        <v>8948</v>
      </c>
      <c r="E136" s="31" t="s">
        <v>9155</v>
      </c>
      <c r="F136" s="20" t="s">
        <v>9937</v>
      </c>
      <c r="G136" s="20" t="s">
        <v>8973</v>
      </c>
      <c r="H136" s="20">
        <v>21</v>
      </c>
      <c r="I136" s="20" t="s">
        <v>9008</v>
      </c>
      <c r="J136" s="20" t="s">
        <v>8953</v>
      </c>
      <c r="K136" s="20" t="s">
        <v>8954</v>
      </c>
      <c r="L136" s="21" t="s">
        <v>8955</v>
      </c>
      <c r="M136" s="20" t="s">
        <v>8990</v>
      </c>
      <c r="N136" s="20" t="s">
        <v>8957</v>
      </c>
      <c r="O136" s="20">
        <f t="shared" si="2"/>
        <v>5</v>
      </c>
      <c r="P136" s="22" t="s">
        <v>8958</v>
      </c>
      <c r="Q136" s="21" t="s">
        <v>8959</v>
      </c>
      <c r="R136" s="23" t="s">
        <v>9333</v>
      </c>
      <c r="S136" s="18" t="s">
        <v>9105</v>
      </c>
      <c r="T136" s="24" t="str">
        <f>VLOOKUP(R136,[1]Sheet3!$A$2:$A$47,1,0)</f>
        <v>Japan</v>
      </c>
      <c r="U136" s="18" t="s">
        <v>9938</v>
      </c>
      <c r="V136" s="18" t="s">
        <v>9939</v>
      </c>
      <c r="W136" s="18" t="s">
        <v>8964</v>
      </c>
      <c r="X136" s="18" t="s">
        <v>342</v>
      </c>
      <c r="Y136" s="18" t="s">
        <v>9108</v>
      </c>
      <c r="Z136" s="18" t="s">
        <v>17</v>
      </c>
    </row>
    <row r="137" spans="1:26" ht="20.100000000000001" customHeight="1" x14ac:dyDescent="0.2">
      <c r="A137" s="30" t="s">
        <v>9940</v>
      </c>
      <c r="B137" s="19" t="s">
        <v>9941</v>
      </c>
      <c r="C137" s="19" t="s">
        <v>9942</v>
      </c>
      <c r="D137" s="8" t="s">
        <v>9943</v>
      </c>
      <c r="E137" s="20" t="s">
        <v>8971</v>
      </c>
      <c r="F137" s="20" t="s">
        <v>9629</v>
      </c>
      <c r="G137" s="20" t="s">
        <v>9133</v>
      </c>
      <c r="H137" s="20">
        <v>1513</v>
      </c>
      <c r="I137" s="20" t="s">
        <v>8952</v>
      </c>
      <c r="J137" s="20" t="s">
        <v>8953</v>
      </c>
      <c r="K137" s="20" t="s">
        <v>8954</v>
      </c>
      <c r="L137" s="21" t="s">
        <v>8955</v>
      </c>
      <c r="M137" s="20" t="s">
        <v>8990</v>
      </c>
      <c r="N137" s="20" t="s">
        <v>8957</v>
      </c>
      <c r="O137" s="20">
        <f t="shared" si="2"/>
        <v>12</v>
      </c>
      <c r="P137" s="22" t="s">
        <v>8975</v>
      </c>
      <c r="Q137" s="21" t="s">
        <v>8959</v>
      </c>
      <c r="R137" s="23" t="s">
        <v>9213</v>
      </c>
      <c r="S137" s="18" t="s">
        <v>9788</v>
      </c>
      <c r="T137" s="24" t="str">
        <f>VLOOKUP(R137,[1]Sheet3!$A$2:$A$47,1,0)</f>
        <v>South Korea</v>
      </c>
      <c r="U137" s="18" t="s">
        <v>9944</v>
      </c>
      <c r="V137" s="18" t="s">
        <v>9945</v>
      </c>
      <c r="W137" s="18" t="s">
        <v>8964</v>
      </c>
      <c r="X137" s="18" t="s">
        <v>267</v>
      </c>
      <c r="Y137" s="18" t="s">
        <v>9791</v>
      </c>
      <c r="Z137" s="18" t="s">
        <v>17</v>
      </c>
    </row>
    <row r="138" spans="1:26" ht="20.100000000000001" customHeight="1" x14ac:dyDescent="0.2">
      <c r="A138" s="30" t="s">
        <v>9946</v>
      </c>
      <c r="B138" s="19" t="s">
        <v>9947</v>
      </c>
      <c r="C138" s="19" t="s">
        <v>9948</v>
      </c>
      <c r="D138" s="8" t="s">
        <v>9092</v>
      </c>
      <c r="E138" s="20" t="s">
        <v>9121</v>
      </c>
      <c r="F138" s="20" t="s">
        <v>9949</v>
      </c>
      <c r="G138" s="20" t="s">
        <v>8973</v>
      </c>
      <c r="H138" s="20">
        <v>1015</v>
      </c>
      <c r="I138" s="20" t="s">
        <v>8952</v>
      </c>
      <c r="J138" s="20" t="s">
        <v>8953</v>
      </c>
      <c r="K138" s="20" t="s">
        <v>8954</v>
      </c>
      <c r="L138" s="21" t="s">
        <v>8955</v>
      </c>
      <c r="M138" s="20" t="s">
        <v>8956</v>
      </c>
      <c r="N138" s="20" t="s">
        <v>8959</v>
      </c>
      <c r="O138" s="20">
        <f t="shared" si="2"/>
        <v>5</v>
      </c>
      <c r="P138" s="22" t="s">
        <v>8958</v>
      </c>
      <c r="Q138" s="21" t="s">
        <v>8959</v>
      </c>
      <c r="R138" s="23" t="s">
        <v>9852</v>
      </c>
      <c r="S138" s="18" t="s">
        <v>9020</v>
      </c>
      <c r="T138" s="24" t="str">
        <f>VLOOKUP(R138,[1]Sheet3!$A$2:$A$47,1,0)</f>
        <v>Pakistan</v>
      </c>
      <c r="U138" s="18" t="s">
        <v>9950</v>
      </c>
      <c r="V138" s="18" t="s">
        <v>9951</v>
      </c>
      <c r="W138" s="18" t="s">
        <v>8964</v>
      </c>
      <c r="X138" s="18" t="s">
        <v>87</v>
      </c>
      <c r="Y138" s="18" t="s">
        <v>9023</v>
      </c>
      <c r="Z138" s="18" t="s">
        <v>17</v>
      </c>
    </row>
    <row r="139" spans="1:26" ht="20.100000000000001" customHeight="1" x14ac:dyDescent="0.2">
      <c r="A139" s="30" t="s">
        <v>9952</v>
      </c>
      <c r="B139" s="19" t="s">
        <v>9953</v>
      </c>
      <c r="C139" s="19" t="s">
        <v>9954</v>
      </c>
      <c r="D139" s="8" t="s">
        <v>9049</v>
      </c>
      <c r="E139" s="20" t="s">
        <v>9325</v>
      </c>
      <c r="F139" s="20" t="s">
        <v>9955</v>
      </c>
      <c r="G139" s="20" t="s">
        <v>9133</v>
      </c>
      <c r="H139" s="20">
        <v>9121</v>
      </c>
      <c r="I139" s="20" t="s">
        <v>9019</v>
      </c>
      <c r="J139" s="20" t="s">
        <v>8953</v>
      </c>
      <c r="K139" s="20" t="s">
        <v>8989</v>
      </c>
      <c r="L139" s="21" t="s">
        <v>8955</v>
      </c>
      <c r="M139" s="20" t="s">
        <v>8956</v>
      </c>
      <c r="N139" s="20" t="s">
        <v>8957</v>
      </c>
      <c r="O139" s="20">
        <f t="shared" si="2"/>
        <v>4</v>
      </c>
      <c r="P139" s="22" t="s">
        <v>8958</v>
      </c>
      <c r="Q139" s="21" t="s">
        <v>9009</v>
      </c>
      <c r="R139" s="23" t="s">
        <v>8991</v>
      </c>
      <c r="S139" s="18" t="s">
        <v>9956</v>
      </c>
      <c r="T139" s="24" t="str">
        <f>VLOOKUP(R139,[1]Sheet3!$A$2:$A$47,1,0)</f>
        <v>China</v>
      </c>
      <c r="U139" s="18" t="s">
        <v>9957</v>
      </c>
      <c r="V139" s="18" t="s">
        <v>9958</v>
      </c>
      <c r="W139" s="18" t="s">
        <v>4457</v>
      </c>
      <c r="X139" s="18" t="s">
        <v>1303</v>
      </c>
      <c r="Y139" s="18" t="s">
        <v>9959</v>
      </c>
      <c r="Z139" s="18" t="s">
        <v>17</v>
      </c>
    </row>
    <row r="140" spans="1:26" ht="20.100000000000001" customHeight="1" x14ac:dyDescent="0.2">
      <c r="A140" s="30" t="s">
        <v>9960</v>
      </c>
      <c r="B140" s="19" t="s">
        <v>9961</v>
      </c>
      <c r="C140" s="19" t="s">
        <v>9962</v>
      </c>
      <c r="D140" s="8" t="s">
        <v>9092</v>
      </c>
      <c r="E140" s="20" t="s">
        <v>9121</v>
      </c>
      <c r="F140" s="20" t="s">
        <v>9510</v>
      </c>
      <c r="G140" s="20" t="s">
        <v>8951</v>
      </c>
      <c r="H140" s="20">
        <v>5749</v>
      </c>
      <c r="I140" s="20" t="s">
        <v>9019</v>
      </c>
      <c r="J140" s="20" t="s">
        <v>9059</v>
      </c>
      <c r="K140" s="20" t="s">
        <v>8989</v>
      </c>
      <c r="L140" s="21" t="s">
        <v>8955</v>
      </c>
      <c r="M140" s="20" t="s">
        <v>8956</v>
      </c>
      <c r="N140" s="20" t="s">
        <v>8957</v>
      </c>
      <c r="O140" s="20">
        <f t="shared" si="2"/>
        <v>3</v>
      </c>
      <c r="P140" s="22" t="s">
        <v>9103</v>
      </c>
      <c r="Q140" s="21" t="s">
        <v>8959</v>
      </c>
      <c r="R140" s="23" t="s">
        <v>9213</v>
      </c>
      <c r="S140" s="18" t="s">
        <v>9685</v>
      </c>
      <c r="T140" s="24" t="str">
        <f>VLOOKUP(R140,[1]Sheet3!$A$2:$A$47,1,0)</f>
        <v>South Korea</v>
      </c>
      <c r="U140" s="18" t="s">
        <v>9963</v>
      </c>
      <c r="V140" s="18" t="s">
        <v>9964</v>
      </c>
      <c r="W140" s="18" t="s">
        <v>8964</v>
      </c>
      <c r="X140" s="18" t="s">
        <v>1381</v>
      </c>
      <c r="Y140" s="18" t="s">
        <v>9688</v>
      </c>
      <c r="Z140" s="18" t="s">
        <v>17</v>
      </c>
    </row>
    <row r="141" spans="1:26" ht="20.100000000000001" customHeight="1" x14ac:dyDescent="0.2">
      <c r="A141" s="30" t="s">
        <v>9965</v>
      </c>
      <c r="B141" s="19" t="s">
        <v>9966</v>
      </c>
      <c r="C141" s="19" t="s">
        <v>9967</v>
      </c>
      <c r="D141" s="8" t="s">
        <v>8948</v>
      </c>
      <c r="E141" s="20" t="s">
        <v>8949</v>
      </c>
      <c r="F141" s="20" t="s">
        <v>8950</v>
      </c>
      <c r="G141" s="20" t="s">
        <v>9133</v>
      </c>
      <c r="H141" s="20">
        <v>2256</v>
      </c>
      <c r="I141" s="20" t="s">
        <v>8952</v>
      </c>
      <c r="J141" s="20" t="s">
        <v>8953</v>
      </c>
      <c r="K141" s="20" t="s">
        <v>8954</v>
      </c>
      <c r="L141" s="21" t="s">
        <v>8955</v>
      </c>
      <c r="M141" s="20" t="s">
        <v>8956</v>
      </c>
      <c r="N141" s="20" t="s">
        <v>8959</v>
      </c>
      <c r="O141" s="20">
        <f t="shared" si="2"/>
        <v>3</v>
      </c>
      <c r="P141" s="22" t="s">
        <v>9103</v>
      </c>
      <c r="Q141" s="21" t="s">
        <v>8959</v>
      </c>
      <c r="R141" s="23" t="s">
        <v>9968</v>
      </c>
      <c r="S141" s="18" t="s">
        <v>9020</v>
      </c>
      <c r="T141" s="24" t="str">
        <f>VLOOKUP(R141,[1]Sheet3!$A$2:$A$47,1,0)</f>
        <v>Iran</v>
      </c>
      <c r="U141" s="18" t="s">
        <v>9969</v>
      </c>
      <c r="V141" s="18" t="s">
        <v>9970</v>
      </c>
      <c r="W141" s="18" t="s">
        <v>8964</v>
      </c>
      <c r="X141" s="18" t="s">
        <v>87</v>
      </c>
      <c r="Y141" s="18" t="s">
        <v>9023</v>
      </c>
      <c r="Z141" s="18" t="s">
        <v>17</v>
      </c>
    </row>
    <row r="142" spans="1:26" ht="20.100000000000001" customHeight="1" x14ac:dyDescent="0.2">
      <c r="A142" s="30" t="s">
        <v>9971</v>
      </c>
      <c r="B142" s="19" t="s">
        <v>9972</v>
      </c>
      <c r="C142" s="19" t="s">
        <v>9973</v>
      </c>
      <c r="D142" s="8" t="s">
        <v>9049</v>
      </c>
      <c r="E142" s="41" t="s">
        <v>9325</v>
      </c>
      <c r="F142" s="45" t="s">
        <v>9974</v>
      </c>
      <c r="G142" s="20" t="s">
        <v>9076</v>
      </c>
      <c r="H142" s="20">
        <v>401098</v>
      </c>
      <c r="I142" s="20" t="s">
        <v>9019</v>
      </c>
      <c r="J142" s="20" t="s">
        <v>8953</v>
      </c>
      <c r="K142" s="20" t="s">
        <v>8954</v>
      </c>
      <c r="L142" s="21" t="s">
        <v>8955</v>
      </c>
      <c r="M142" s="20" t="s">
        <v>8956</v>
      </c>
      <c r="N142" s="20" t="s">
        <v>8957</v>
      </c>
      <c r="O142" s="20">
        <f t="shared" si="2"/>
        <v>10</v>
      </c>
      <c r="P142" s="22" t="s">
        <v>8975</v>
      </c>
      <c r="Q142" s="21" t="s">
        <v>9183</v>
      </c>
      <c r="R142" s="23" t="s">
        <v>9010</v>
      </c>
      <c r="S142" s="18" t="s">
        <v>9255</v>
      </c>
      <c r="T142" s="24" t="str">
        <f>VLOOKUP(R142,[1]Sheet3!$A$2:$A$47,1,0)</f>
        <v>the United States of America</v>
      </c>
      <c r="U142" s="18" t="s">
        <v>9975</v>
      </c>
      <c r="V142" s="18" t="s">
        <v>9976</v>
      </c>
      <c r="W142" s="18" t="s">
        <v>8964</v>
      </c>
      <c r="X142" s="18" t="s">
        <v>24</v>
      </c>
      <c r="Y142" s="18" t="s">
        <v>9258</v>
      </c>
      <c r="Z142" s="18" t="s">
        <v>17</v>
      </c>
    </row>
    <row r="143" spans="1:26" ht="20.100000000000001" customHeight="1" x14ac:dyDescent="0.2">
      <c r="A143" s="30" t="s">
        <v>9977</v>
      </c>
      <c r="B143" s="19" t="s">
        <v>9978</v>
      </c>
      <c r="C143" s="19" t="s">
        <v>9979</v>
      </c>
      <c r="D143" s="8" t="s">
        <v>9252</v>
      </c>
      <c r="E143" s="33" t="s">
        <v>9101</v>
      </c>
      <c r="F143" s="20" t="s">
        <v>9980</v>
      </c>
      <c r="G143" s="20" t="s">
        <v>8987</v>
      </c>
      <c r="H143" s="20">
        <v>212</v>
      </c>
      <c r="I143" s="20" t="s">
        <v>9158</v>
      </c>
      <c r="J143" s="20" t="s">
        <v>8953</v>
      </c>
      <c r="K143" s="20" t="s">
        <v>8989</v>
      </c>
      <c r="L143" s="21" t="s">
        <v>8955</v>
      </c>
      <c r="M143" s="20" t="s">
        <v>8956</v>
      </c>
      <c r="N143" s="20" t="s">
        <v>8959</v>
      </c>
      <c r="O143" s="20">
        <f t="shared" si="2"/>
        <v>4</v>
      </c>
      <c r="P143" s="22" t="s">
        <v>8958</v>
      </c>
      <c r="Q143" s="21" t="s">
        <v>8959</v>
      </c>
      <c r="R143" s="23" t="s">
        <v>9981</v>
      </c>
      <c r="S143" s="18" t="s">
        <v>9982</v>
      </c>
      <c r="T143" s="24" t="str">
        <f>VLOOKUP(R143,[1]Sheet3!$A$2:$A$47,1,0)</f>
        <v>India</v>
      </c>
      <c r="U143" s="18" t="s">
        <v>9983</v>
      </c>
      <c r="V143" s="18" t="s">
        <v>9984</v>
      </c>
      <c r="W143" s="18" t="s">
        <v>8964</v>
      </c>
      <c r="X143" s="18" t="s">
        <v>2953</v>
      </c>
      <c r="Y143" s="18" t="s">
        <v>9985</v>
      </c>
      <c r="Z143" s="18" t="s">
        <v>17</v>
      </c>
    </row>
    <row r="144" spans="1:26" ht="20.100000000000001" customHeight="1" x14ac:dyDescent="0.2">
      <c r="A144" s="30" t="s">
        <v>9986</v>
      </c>
      <c r="B144" s="19" t="s">
        <v>9987</v>
      </c>
      <c r="C144" s="19" t="s">
        <v>9988</v>
      </c>
      <c r="D144" s="8" t="s">
        <v>9154</v>
      </c>
      <c r="E144" s="20" t="s">
        <v>8971</v>
      </c>
      <c r="F144" s="20" t="s">
        <v>9918</v>
      </c>
      <c r="G144" s="20" t="s">
        <v>8973</v>
      </c>
      <c r="H144" s="20">
        <v>513</v>
      </c>
      <c r="I144" s="20" t="s">
        <v>9158</v>
      </c>
      <c r="J144" s="20" t="s">
        <v>8953</v>
      </c>
      <c r="K144" s="20" t="s">
        <v>8989</v>
      </c>
      <c r="L144" s="21" t="s">
        <v>8955</v>
      </c>
      <c r="M144" s="20" t="s">
        <v>8990</v>
      </c>
      <c r="N144" s="20" t="s">
        <v>8959</v>
      </c>
      <c r="O144" s="20">
        <f t="shared" si="2"/>
        <v>3</v>
      </c>
      <c r="P144" s="22" t="s">
        <v>9103</v>
      </c>
      <c r="Q144" s="21" t="s">
        <v>8959</v>
      </c>
      <c r="R144" s="23" t="s">
        <v>8960</v>
      </c>
      <c r="S144" s="18" t="s">
        <v>5702</v>
      </c>
      <c r="T144" s="24" t="str">
        <f>VLOOKUP(R144,[1]Sheet3!$A$2:$A$47,1,0)</f>
        <v>Canada</v>
      </c>
      <c r="U144" s="18" t="s">
        <v>9989</v>
      </c>
      <c r="V144" s="18" t="s">
        <v>9990</v>
      </c>
      <c r="W144" s="18" t="s">
        <v>8964</v>
      </c>
      <c r="X144" s="18" t="s">
        <v>5702</v>
      </c>
      <c r="Y144" s="18" t="s">
        <v>9991</v>
      </c>
      <c r="Z144" s="18" t="s">
        <v>17</v>
      </c>
    </row>
    <row r="145" spans="1:26" ht="20.100000000000001" customHeight="1" x14ac:dyDescent="0.2">
      <c r="A145" s="30" t="s">
        <v>9992</v>
      </c>
      <c r="B145" s="19" t="s">
        <v>9993</v>
      </c>
      <c r="C145" s="19" t="s">
        <v>9994</v>
      </c>
      <c r="D145" s="8" t="s">
        <v>9252</v>
      </c>
      <c r="E145" s="20" t="s">
        <v>9995</v>
      </c>
      <c r="F145" s="20" t="s">
        <v>9036</v>
      </c>
      <c r="G145" s="20" t="s">
        <v>9133</v>
      </c>
      <c r="H145" s="20">
        <v>990</v>
      </c>
      <c r="I145" s="20" t="s">
        <v>9077</v>
      </c>
      <c r="J145" s="20" t="s">
        <v>8953</v>
      </c>
      <c r="K145" s="20" t="s">
        <v>8954</v>
      </c>
      <c r="L145" s="21" t="s">
        <v>8955</v>
      </c>
      <c r="M145" s="20" t="s">
        <v>8956</v>
      </c>
      <c r="N145" s="20" t="s">
        <v>8957</v>
      </c>
      <c r="O145" s="20">
        <f t="shared" si="2"/>
        <v>8</v>
      </c>
      <c r="P145" s="22" t="s">
        <v>8975</v>
      </c>
      <c r="Q145" s="21" t="s">
        <v>8959</v>
      </c>
      <c r="R145" s="23" t="s">
        <v>9310</v>
      </c>
      <c r="S145" s="18" t="s">
        <v>9996</v>
      </c>
      <c r="T145" s="24" t="str">
        <f>VLOOKUP(R145,[1]Sheet3!$A$2:$A$47,1,0)</f>
        <v>China</v>
      </c>
      <c r="U145" s="18" t="s">
        <v>9997</v>
      </c>
      <c r="V145" s="18" t="s">
        <v>9998</v>
      </c>
      <c r="W145" s="18" t="s">
        <v>8964</v>
      </c>
      <c r="X145" s="18" t="s">
        <v>1010</v>
      </c>
      <c r="Y145" s="18" t="s">
        <v>9999</v>
      </c>
      <c r="Z145" s="18" t="s">
        <v>17</v>
      </c>
    </row>
    <row r="146" spans="1:26" ht="20.100000000000001" customHeight="1" x14ac:dyDescent="0.2">
      <c r="A146" s="30" t="s">
        <v>10000</v>
      </c>
      <c r="B146" s="19" t="s">
        <v>10001</v>
      </c>
      <c r="C146" s="19" t="s">
        <v>10002</v>
      </c>
      <c r="D146" s="8" t="s">
        <v>9154</v>
      </c>
      <c r="E146" s="20" t="s">
        <v>8971</v>
      </c>
      <c r="F146" s="20" t="s">
        <v>8972</v>
      </c>
      <c r="G146" s="20" t="s">
        <v>8973</v>
      </c>
      <c r="H146" s="20">
        <v>854</v>
      </c>
      <c r="I146" s="20" t="s">
        <v>9077</v>
      </c>
      <c r="J146" s="20" t="s">
        <v>8953</v>
      </c>
      <c r="K146" s="20" t="s">
        <v>8989</v>
      </c>
      <c r="L146" s="21" t="s">
        <v>8955</v>
      </c>
      <c r="M146" s="20" t="s">
        <v>8990</v>
      </c>
      <c r="N146" s="20" t="s">
        <v>8957</v>
      </c>
      <c r="O146" s="20">
        <f t="shared" si="2"/>
        <v>8</v>
      </c>
      <c r="P146" s="22" t="s">
        <v>8975</v>
      </c>
      <c r="Q146" s="21" t="s">
        <v>8959</v>
      </c>
      <c r="R146" s="23" t="s">
        <v>9380</v>
      </c>
      <c r="S146" s="18" t="s">
        <v>9342</v>
      </c>
      <c r="T146" s="24" t="str">
        <f>VLOOKUP(R146,[1]Sheet3!$A$2:$A$47,1,0)</f>
        <v>Canada</v>
      </c>
      <c r="U146" s="18" t="s">
        <v>10003</v>
      </c>
      <c r="V146" s="18" t="s">
        <v>10004</v>
      </c>
      <c r="W146" s="18" t="s">
        <v>8964</v>
      </c>
      <c r="X146" s="18" t="s">
        <v>64</v>
      </c>
      <c r="Y146" s="18" t="s">
        <v>9345</v>
      </c>
      <c r="Z146" s="18" t="s">
        <v>17</v>
      </c>
    </row>
    <row r="147" spans="1:26" ht="20.100000000000001" customHeight="1" x14ac:dyDescent="0.2">
      <c r="A147" s="30" t="s">
        <v>10005</v>
      </c>
      <c r="B147" s="19" t="s">
        <v>10006</v>
      </c>
      <c r="C147" s="19" t="s">
        <v>10007</v>
      </c>
      <c r="D147" s="8" t="s">
        <v>8984</v>
      </c>
      <c r="E147" s="20" t="s">
        <v>9121</v>
      </c>
      <c r="F147" s="20" t="s">
        <v>8950</v>
      </c>
      <c r="G147" s="20" t="s">
        <v>8951</v>
      </c>
      <c r="H147" s="20">
        <v>200</v>
      </c>
      <c r="I147" s="20" t="s">
        <v>9158</v>
      </c>
      <c r="J147" s="20" t="s">
        <v>9059</v>
      </c>
      <c r="K147" s="31" t="s">
        <v>8989</v>
      </c>
      <c r="L147" s="21" t="s">
        <v>8955</v>
      </c>
      <c r="M147" s="20" t="s">
        <v>8990</v>
      </c>
      <c r="N147" s="20" t="s">
        <v>8959</v>
      </c>
      <c r="O147" s="20">
        <f t="shared" si="2"/>
        <v>9</v>
      </c>
      <c r="P147" s="22" t="s">
        <v>8975</v>
      </c>
      <c r="Q147" s="21" t="s">
        <v>8959</v>
      </c>
      <c r="R147" s="23" t="s">
        <v>10008</v>
      </c>
      <c r="S147" s="18" t="s">
        <v>9011</v>
      </c>
      <c r="T147" s="24" t="str">
        <f>VLOOKUP(R147,[1]Sheet3!$A$2:$A$47,1,0)</f>
        <v>Greece</v>
      </c>
      <c r="U147" s="18" t="s">
        <v>10009</v>
      </c>
      <c r="V147" s="18" t="s">
        <v>10010</v>
      </c>
      <c r="W147" s="18" t="s">
        <v>8964</v>
      </c>
      <c r="X147" s="18" t="s">
        <v>93</v>
      </c>
      <c r="Y147" s="18" t="s">
        <v>9014</v>
      </c>
      <c r="Z147" s="18" t="s">
        <v>17</v>
      </c>
    </row>
    <row r="148" spans="1:26" ht="20.100000000000001" customHeight="1" x14ac:dyDescent="0.2">
      <c r="A148" s="30" t="s">
        <v>10011</v>
      </c>
      <c r="B148" s="19" t="s">
        <v>10012</v>
      </c>
      <c r="C148" s="19" t="s">
        <v>10013</v>
      </c>
      <c r="D148" s="8" t="s">
        <v>10014</v>
      </c>
      <c r="E148" s="20" t="s">
        <v>9121</v>
      </c>
      <c r="F148" s="20" t="s">
        <v>9658</v>
      </c>
      <c r="G148" s="20" t="s">
        <v>8951</v>
      </c>
      <c r="H148" s="20">
        <v>29</v>
      </c>
      <c r="I148" s="20" t="s">
        <v>9008</v>
      </c>
      <c r="J148" s="20" t="s">
        <v>9059</v>
      </c>
      <c r="K148" s="20" t="s">
        <v>8954</v>
      </c>
      <c r="L148" s="21" t="s">
        <v>8955</v>
      </c>
      <c r="M148" s="20" t="s">
        <v>8990</v>
      </c>
      <c r="N148" s="20" t="s">
        <v>8957</v>
      </c>
      <c r="O148" s="20">
        <f t="shared" si="2"/>
        <v>7</v>
      </c>
      <c r="P148" s="22" t="s">
        <v>8958</v>
      </c>
      <c r="Q148" s="21" t="s">
        <v>9009</v>
      </c>
      <c r="R148" s="23" t="s">
        <v>9176</v>
      </c>
      <c r="S148" s="18" t="s">
        <v>9011</v>
      </c>
      <c r="T148" s="24" t="str">
        <f>VLOOKUP(R148,[1]Sheet3!$A$2:$A$47,1,0)</f>
        <v>Australia</v>
      </c>
      <c r="U148" s="18" t="s">
        <v>10015</v>
      </c>
      <c r="V148" s="18" t="s">
        <v>10016</v>
      </c>
      <c r="W148" s="18" t="s">
        <v>8964</v>
      </c>
      <c r="X148" s="18" t="s">
        <v>93</v>
      </c>
      <c r="Y148" s="18" t="s">
        <v>9014</v>
      </c>
      <c r="Z148" s="18" t="s">
        <v>17</v>
      </c>
    </row>
    <row r="149" spans="1:26" ht="20.100000000000001" customHeight="1" x14ac:dyDescent="0.2">
      <c r="A149" s="30" t="s">
        <v>10017</v>
      </c>
      <c r="B149" s="19" t="s">
        <v>10018</v>
      </c>
      <c r="C149" s="19" t="s">
        <v>10019</v>
      </c>
      <c r="D149" s="8" t="s">
        <v>9092</v>
      </c>
      <c r="E149" s="20" t="s">
        <v>9155</v>
      </c>
      <c r="F149" s="20" t="s">
        <v>8950</v>
      </c>
      <c r="G149" s="20" t="s">
        <v>8973</v>
      </c>
      <c r="H149" s="20">
        <v>150</v>
      </c>
      <c r="I149" s="20" t="s">
        <v>9158</v>
      </c>
      <c r="J149" s="20" t="s">
        <v>9059</v>
      </c>
      <c r="K149" s="20" t="s">
        <v>8954</v>
      </c>
      <c r="L149" s="21" t="s">
        <v>8955</v>
      </c>
      <c r="M149" s="20" t="s">
        <v>8956</v>
      </c>
      <c r="N149" s="20" t="s">
        <v>8957</v>
      </c>
      <c r="O149" s="20">
        <f t="shared" si="2"/>
        <v>10</v>
      </c>
      <c r="P149" s="22" t="s">
        <v>8975</v>
      </c>
      <c r="Q149" s="21" t="s">
        <v>9009</v>
      </c>
      <c r="R149" s="23" t="s">
        <v>10020</v>
      </c>
      <c r="S149" s="18" t="s">
        <v>9667</v>
      </c>
      <c r="T149" s="24" t="str">
        <f>VLOOKUP(R149,[1]Sheet3!$A$2:$A$47,1,0)</f>
        <v>Sweden</v>
      </c>
      <c r="U149" s="18" t="s">
        <v>10021</v>
      </c>
      <c r="V149" s="18" t="s">
        <v>10022</v>
      </c>
      <c r="W149" s="18" t="s">
        <v>8964</v>
      </c>
      <c r="X149" s="18" t="s">
        <v>831</v>
      </c>
      <c r="Y149" s="18" t="s">
        <v>9670</v>
      </c>
      <c r="Z149" s="18" t="s">
        <v>17</v>
      </c>
    </row>
    <row r="150" spans="1:26" ht="20.100000000000001" customHeight="1" x14ac:dyDescent="0.2">
      <c r="A150" s="30" t="s">
        <v>10023</v>
      </c>
      <c r="B150" s="19" t="s">
        <v>10024</v>
      </c>
      <c r="C150" s="19" t="s">
        <v>10025</v>
      </c>
      <c r="D150" s="8" t="s">
        <v>8948</v>
      </c>
      <c r="E150" s="20" t="s">
        <v>8949</v>
      </c>
      <c r="F150" s="20" t="s">
        <v>9510</v>
      </c>
      <c r="G150" s="31" t="s">
        <v>9157</v>
      </c>
      <c r="H150" s="31">
        <v>119</v>
      </c>
      <c r="I150" s="20" t="s">
        <v>9158</v>
      </c>
      <c r="J150" s="20" t="s">
        <v>8953</v>
      </c>
      <c r="K150" s="20" t="s">
        <v>8954</v>
      </c>
      <c r="L150" s="21" t="s">
        <v>8955</v>
      </c>
      <c r="M150" s="20" t="s">
        <v>8956</v>
      </c>
      <c r="N150" s="20" t="s">
        <v>8957</v>
      </c>
      <c r="O150" s="20">
        <f t="shared" si="2"/>
        <v>8</v>
      </c>
      <c r="P150" s="22" t="s">
        <v>8975</v>
      </c>
      <c r="Q150" s="21" t="s">
        <v>9009</v>
      </c>
      <c r="R150" s="23" t="s">
        <v>9010</v>
      </c>
      <c r="S150" s="18" t="s">
        <v>9442</v>
      </c>
      <c r="T150" s="24" t="str">
        <f>VLOOKUP(R150,[1]Sheet3!$A$2:$A$47,1,0)</f>
        <v>the United States of America</v>
      </c>
      <c r="U150" s="18" t="s">
        <v>10026</v>
      </c>
      <c r="V150" s="18" t="s">
        <v>10027</v>
      </c>
      <c r="W150" s="18" t="s">
        <v>8964</v>
      </c>
      <c r="X150" s="18" t="s">
        <v>21</v>
      </c>
      <c r="Y150" s="18" t="s">
        <v>9445</v>
      </c>
      <c r="Z150" s="18" t="s">
        <v>17</v>
      </c>
    </row>
    <row r="151" spans="1:26" ht="20.100000000000001" customHeight="1" x14ac:dyDescent="0.2">
      <c r="A151" s="30" t="s">
        <v>10028</v>
      </c>
      <c r="B151" s="19" t="s">
        <v>10029</v>
      </c>
      <c r="C151" s="19" t="s">
        <v>10030</v>
      </c>
      <c r="D151" s="8" t="s">
        <v>8984</v>
      </c>
      <c r="E151" s="20" t="s">
        <v>8971</v>
      </c>
      <c r="F151" s="20" t="s">
        <v>10031</v>
      </c>
      <c r="G151" s="20" t="s">
        <v>9133</v>
      </c>
      <c r="H151" s="20">
        <v>367</v>
      </c>
      <c r="I151" s="20" t="s">
        <v>8988</v>
      </c>
      <c r="J151" s="20" t="s">
        <v>8953</v>
      </c>
      <c r="K151" s="20" t="s">
        <v>8954</v>
      </c>
      <c r="L151" s="21" t="s">
        <v>8955</v>
      </c>
      <c r="M151" s="20" t="s">
        <v>8990</v>
      </c>
      <c r="N151" s="20" t="s">
        <v>8959</v>
      </c>
      <c r="O151" s="20">
        <f t="shared" si="2"/>
        <v>9</v>
      </c>
      <c r="P151" s="22" t="s">
        <v>8975</v>
      </c>
      <c r="Q151" s="21" t="s">
        <v>8959</v>
      </c>
      <c r="R151" s="23" t="s">
        <v>10032</v>
      </c>
      <c r="S151" s="18" t="s">
        <v>10033</v>
      </c>
      <c r="T151" s="24" t="str">
        <f>VLOOKUP(R151,[1]Sheet3!$A$2:$A$47,1,0)</f>
        <v>France</v>
      </c>
      <c r="U151" s="18" t="s">
        <v>10034</v>
      </c>
      <c r="V151" s="18" t="s">
        <v>10035</v>
      </c>
      <c r="W151" s="18" t="s">
        <v>8964</v>
      </c>
      <c r="X151" s="18" t="s">
        <v>2865</v>
      </c>
      <c r="Y151" s="18" t="s">
        <v>10036</v>
      </c>
      <c r="Z151" s="18" t="s">
        <v>17</v>
      </c>
    </row>
    <row r="152" spans="1:26" ht="20.100000000000001" customHeight="1" x14ac:dyDescent="0.2">
      <c r="A152" s="30" t="s">
        <v>10037</v>
      </c>
      <c r="B152" s="19" t="s">
        <v>10038</v>
      </c>
      <c r="C152" s="19" t="s">
        <v>10039</v>
      </c>
      <c r="D152" s="8" t="s">
        <v>9605</v>
      </c>
      <c r="E152" s="20" t="s">
        <v>9101</v>
      </c>
      <c r="F152" s="20" t="s">
        <v>10040</v>
      </c>
      <c r="G152" s="31" t="s">
        <v>9157</v>
      </c>
      <c r="H152" s="31">
        <v>12671</v>
      </c>
      <c r="I152" s="20" t="s">
        <v>9019</v>
      </c>
      <c r="J152" s="20" t="s">
        <v>8953</v>
      </c>
      <c r="K152" s="20" t="s">
        <v>8989</v>
      </c>
      <c r="L152" s="21" t="s">
        <v>8955</v>
      </c>
      <c r="M152" s="20" t="s">
        <v>8956</v>
      </c>
      <c r="N152" s="20" t="s">
        <v>8974</v>
      </c>
      <c r="O152" s="20">
        <f t="shared" si="2"/>
        <v>6</v>
      </c>
      <c r="P152" s="22" t="s">
        <v>8958</v>
      </c>
      <c r="Q152" s="21" t="s">
        <v>8959</v>
      </c>
      <c r="R152" s="23" t="s">
        <v>9010</v>
      </c>
      <c r="S152" s="18" t="s">
        <v>10041</v>
      </c>
      <c r="T152" s="24" t="str">
        <f>VLOOKUP(R152,[1]Sheet3!$A$2:$A$47,1,0)</f>
        <v>the United States of America</v>
      </c>
      <c r="U152" s="18" t="s">
        <v>10042</v>
      </c>
      <c r="V152" s="18" t="s">
        <v>10043</v>
      </c>
      <c r="W152" s="18" t="s">
        <v>8964</v>
      </c>
      <c r="X152" s="18" t="s">
        <v>514</v>
      </c>
      <c r="Y152" s="18" t="s">
        <v>10044</v>
      </c>
      <c r="Z152" s="18" t="s">
        <v>17</v>
      </c>
    </row>
    <row r="153" spans="1:26" ht="20.100000000000001" customHeight="1" x14ac:dyDescent="0.2">
      <c r="A153" s="30" t="s">
        <v>10045</v>
      </c>
      <c r="B153" s="19" t="s">
        <v>10046</v>
      </c>
      <c r="C153" s="19" t="s">
        <v>10047</v>
      </c>
      <c r="D153" s="8" t="s">
        <v>9605</v>
      </c>
      <c r="E153" s="20" t="s">
        <v>9422</v>
      </c>
      <c r="F153" s="20" t="s">
        <v>10048</v>
      </c>
      <c r="G153" s="31" t="s">
        <v>9157</v>
      </c>
      <c r="H153" s="31">
        <v>53787</v>
      </c>
      <c r="I153" s="20" t="s">
        <v>9019</v>
      </c>
      <c r="J153" s="20" t="s">
        <v>8953</v>
      </c>
      <c r="K153" s="20" t="s">
        <v>8954</v>
      </c>
      <c r="L153" s="21" t="s">
        <v>8955</v>
      </c>
      <c r="M153" s="20" t="s">
        <v>8956</v>
      </c>
      <c r="N153" s="20" t="s">
        <v>9060</v>
      </c>
      <c r="O153" s="20">
        <f t="shared" si="2"/>
        <v>9</v>
      </c>
      <c r="P153" s="22" t="s">
        <v>8975</v>
      </c>
      <c r="Q153" s="21" t="s">
        <v>8959</v>
      </c>
      <c r="R153" s="23" t="s">
        <v>10049</v>
      </c>
      <c r="S153" s="18" t="s">
        <v>10050</v>
      </c>
      <c r="T153" s="24" t="str">
        <f>VLOOKUP(R153,[1]Sheet3!$A$2:$A$47,1,0)</f>
        <v>Italy</v>
      </c>
      <c r="U153" s="18" t="s">
        <v>10051</v>
      </c>
      <c r="V153" s="18" t="s">
        <v>10052</v>
      </c>
      <c r="W153" s="18" t="s">
        <v>8964</v>
      </c>
      <c r="X153" s="18" t="s">
        <v>808</v>
      </c>
      <c r="Y153" s="18" t="s">
        <v>10053</v>
      </c>
      <c r="Z153" s="18" t="s">
        <v>17</v>
      </c>
    </row>
    <row r="154" spans="1:26" ht="20.100000000000001" customHeight="1" x14ac:dyDescent="0.2">
      <c r="A154" s="30" t="s">
        <v>10054</v>
      </c>
      <c r="B154" s="19" t="s">
        <v>10055</v>
      </c>
      <c r="C154" s="19" t="s">
        <v>10056</v>
      </c>
      <c r="D154" s="8" t="s">
        <v>8984</v>
      </c>
      <c r="E154" s="20" t="s">
        <v>8971</v>
      </c>
      <c r="F154" s="20" t="s">
        <v>10057</v>
      </c>
      <c r="G154" s="20" t="s">
        <v>9157</v>
      </c>
      <c r="H154" s="20">
        <v>39</v>
      </c>
      <c r="I154" s="20" t="s">
        <v>9008</v>
      </c>
      <c r="J154" s="20" t="s">
        <v>8953</v>
      </c>
      <c r="K154" s="20" t="s">
        <v>8989</v>
      </c>
      <c r="L154" s="21" t="s">
        <v>8955</v>
      </c>
      <c r="M154" s="20" t="s">
        <v>8990</v>
      </c>
      <c r="N154" s="20" t="s">
        <v>8957</v>
      </c>
      <c r="O154" s="20">
        <f t="shared" si="2"/>
        <v>9</v>
      </c>
      <c r="P154" s="22" t="s">
        <v>8975</v>
      </c>
      <c r="Q154" s="21" t="s">
        <v>8959</v>
      </c>
      <c r="R154" s="23" t="s">
        <v>9310</v>
      </c>
      <c r="S154" s="18" t="s">
        <v>9011</v>
      </c>
      <c r="T154" s="24" t="str">
        <f>VLOOKUP(R154,[1]Sheet3!$A$2:$A$47,1,0)</f>
        <v>China</v>
      </c>
      <c r="U154" s="18" t="s">
        <v>10058</v>
      </c>
      <c r="V154" s="18" t="s">
        <v>10059</v>
      </c>
      <c r="W154" s="18" t="s">
        <v>8964</v>
      </c>
      <c r="X154" s="18" t="s">
        <v>93</v>
      </c>
      <c r="Y154" s="18" t="s">
        <v>9014</v>
      </c>
      <c r="Z154" s="18" t="s">
        <v>17</v>
      </c>
    </row>
    <row r="155" spans="1:26" ht="20.100000000000001" customHeight="1" x14ac:dyDescent="0.2">
      <c r="A155" s="30" t="s">
        <v>10060</v>
      </c>
      <c r="B155" s="19" t="s">
        <v>10061</v>
      </c>
      <c r="C155" s="19" t="s">
        <v>10062</v>
      </c>
      <c r="D155" s="8" t="s">
        <v>9605</v>
      </c>
      <c r="E155" s="20" t="s">
        <v>8971</v>
      </c>
      <c r="F155" s="20" t="s">
        <v>8950</v>
      </c>
      <c r="G155" s="20" t="s">
        <v>8951</v>
      </c>
      <c r="H155" s="20">
        <v>6700</v>
      </c>
      <c r="I155" s="20" t="s">
        <v>9019</v>
      </c>
      <c r="J155" s="20" t="s">
        <v>8953</v>
      </c>
      <c r="K155" s="20" t="s">
        <v>8954</v>
      </c>
      <c r="L155" s="21" t="s">
        <v>8955</v>
      </c>
      <c r="M155" s="20" t="s">
        <v>8956</v>
      </c>
      <c r="N155" s="20" t="s">
        <v>8957</v>
      </c>
      <c r="O155" s="20">
        <f t="shared" si="2"/>
        <v>3</v>
      </c>
      <c r="P155" s="22" t="s">
        <v>9103</v>
      </c>
      <c r="Q155" s="21" t="s">
        <v>8959</v>
      </c>
      <c r="R155" s="23" t="s">
        <v>9010</v>
      </c>
      <c r="S155" s="18" t="s">
        <v>9342</v>
      </c>
      <c r="T155" s="24" t="str">
        <f>VLOOKUP(R155,[1]Sheet3!$A$2:$A$47,1,0)</f>
        <v>the United States of America</v>
      </c>
      <c r="U155" s="18" t="s">
        <v>10063</v>
      </c>
      <c r="V155" s="18" t="s">
        <v>10064</v>
      </c>
      <c r="W155" s="18" t="s">
        <v>8964</v>
      </c>
      <c r="X155" s="18" t="s">
        <v>64</v>
      </c>
      <c r="Y155" s="18" t="s">
        <v>9345</v>
      </c>
      <c r="Z155" s="18" t="s">
        <v>17</v>
      </c>
    </row>
    <row r="156" spans="1:26" ht="20.100000000000001" customHeight="1" x14ac:dyDescent="0.2">
      <c r="A156" s="30" t="s">
        <v>10065</v>
      </c>
      <c r="B156" s="19" t="s">
        <v>10066</v>
      </c>
      <c r="C156" s="19" t="s">
        <v>10067</v>
      </c>
      <c r="D156" s="8" t="s">
        <v>8948</v>
      </c>
      <c r="E156" s="20" t="s">
        <v>8949</v>
      </c>
      <c r="F156" s="20" t="s">
        <v>8950</v>
      </c>
      <c r="G156" s="20" t="s">
        <v>8973</v>
      </c>
      <c r="H156" s="20">
        <v>77</v>
      </c>
      <c r="I156" s="20" t="s">
        <v>9008</v>
      </c>
      <c r="J156" s="20" t="s">
        <v>8953</v>
      </c>
      <c r="K156" s="20" t="s">
        <v>8989</v>
      </c>
      <c r="L156" s="21" t="s">
        <v>8955</v>
      </c>
      <c r="M156" s="20" t="s">
        <v>8956</v>
      </c>
      <c r="N156" s="20" t="s">
        <v>8957</v>
      </c>
      <c r="O156" s="20">
        <f t="shared" si="2"/>
        <v>10</v>
      </c>
      <c r="P156" s="22" t="s">
        <v>8975</v>
      </c>
      <c r="Q156" s="21" t="s">
        <v>8959</v>
      </c>
      <c r="R156" s="23" t="s">
        <v>9010</v>
      </c>
      <c r="S156" s="18" t="s">
        <v>9711</v>
      </c>
      <c r="T156" s="24" t="str">
        <f>VLOOKUP(R156,[1]Sheet3!$A$2:$A$47,1,0)</f>
        <v>the United States of America</v>
      </c>
      <c r="U156" s="18" t="s">
        <v>10068</v>
      </c>
      <c r="V156" s="18" t="s">
        <v>10069</v>
      </c>
      <c r="W156" s="18" t="s">
        <v>8964</v>
      </c>
      <c r="X156" s="18" t="s">
        <v>392</v>
      </c>
      <c r="Y156" s="18" t="s">
        <v>9714</v>
      </c>
      <c r="Z156" s="18" t="s">
        <v>17</v>
      </c>
    </row>
    <row r="157" spans="1:26" ht="20.100000000000001" customHeight="1" x14ac:dyDescent="0.2">
      <c r="A157" s="30" t="s">
        <v>10070</v>
      </c>
      <c r="B157" s="19" t="s">
        <v>10071</v>
      </c>
      <c r="C157" s="19" t="s">
        <v>10072</v>
      </c>
      <c r="D157" s="8" t="s">
        <v>9092</v>
      </c>
      <c r="E157" s="20" t="s">
        <v>9121</v>
      </c>
      <c r="F157" s="20" t="s">
        <v>9245</v>
      </c>
      <c r="G157" s="20" t="s">
        <v>8987</v>
      </c>
      <c r="H157" s="20">
        <v>1000</v>
      </c>
      <c r="I157" s="20" t="s">
        <v>9077</v>
      </c>
      <c r="J157" s="20" t="s">
        <v>8953</v>
      </c>
      <c r="K157" s="20" t="s">
        <v>8954</v>
      </c>
      <c r="L157" s="21" t="s">
        <v>8955</v>
      </c>
      <c r="M157" s="20" t="s">
        <v>8956</v>
      </c>
      <c r="N157" s="20" t="s">
        <v>8957</v>
      </c>
      <c r="O157" s="20">
        <f t="shared" si="2"/>
        <v>6</v>
      </c>
      <c r="P157" s="22" t="s">
        <v>8958</v>
      </c>
      <c r="Q157" s="21" t="s">
        <v>8959</v>
      </c>
      <c r="R157" s="23" t="s">
        <v>8991</v>
      </c>
      <c r="S157" s="18" t="s">
        <v>10073</v>
      </c>
      <c r="T157" s="24" t="str">
        <f>VLOOKUP(R157,[1]Sheet3!$A$2:$A$47,1,0)</f>
        <v>China</v>
      </c>
      <c r="U157" s="18" t="s">
        <v>10074</v>
      </c>
      <c r="V157" s="18" t="s">
        <v>10075</v>
      </c>
      <c r="W157" s="18" t="s">
        <v>8964</v>
      </c>
      <c r="X157" s="18" t="s">
        <v>210</v>
      </c>
      <c r="Y157" s="18" t="s">
        <v>10076</v>
      </c>
      <c r="Z157" s="18" t="s">
        <v>17</v>
      </c>
    </row>
    <row r="158" spans="1:26" ht="20.100000000000001" customHeight="1" x14ac:dyDescent="0.2">
      <c r="A158" s="30" t="s">
        <v>10077</v>
      </c>
      <c r="B158" s="19" t="s">
        <v>10078</v>
      </c>
      <c r="C158" s="19" t="s">
        <v>10079</v>
      </c>
      <c r="D158" s="8" t="s">
        <v>8948</v>
      </c>
      <c r="E158" s="20" t="s">
        <v>8949</v>
      </c>
      <c r="F158" s="20" t="s">
        <v>10080</v>
      </c>
      <c r="G158" s="20" t="s">
        <v>9076</v>
      </c>
      <c r="H158" s="20">
        <v>355</v>
      </c>
      <c r="I158" s="20" t="s">
        <v>8988</v>
      </c>
      <c r="J158" s="20" t="s">
        <v>8953</v>
      </c>
      <c r="K158" s="20" t="s">
        <v>8989</v>
      </c>
      <c r="L158" s="21" t="s">
        <v>8955</v>
      </c>
      <c r="M158" s="20" t="s">
        <v>8956</v>
      </c>
      <c r="N158" s="20" t="s">
        <v>8959</v>
      </c>
      <c r="O158" s="20">
        <f t="shared" si="2"/>
        <v>7</v>
      </c>
      <c r="P158" s="22" t="s">
        <v>8958</v>
      </c>
      <c r="Q158" s="21" t="s">
        <v>8959</v>
      </c>
      <c r="R158" s="23" t="s">
        <v>10081</v>
      </c>
      <c r="S158" s="18" t="s">
        <v>9159</v>
      </c>
      <c r="T158" s="24" t="str">
        <f>VLOOKUP(R158,[1]Sheet3!$A$2:$A$47,1,0)</f>
        <v>Taiwan</v>
      </c>
      <c r="U158" s="18" t="s">
        <v>10082</v>
      </c>
      <c r="V158" s="18" t="s">
        <v>10083</v>
      </c>
      <c r="W158" s="18" t="s">
        <v>8964</v>
      </c>
      <c r="X158" s="18" t="s">
        <v>61</v>
      </c>
      <c r="Y158" s="18" t="s">
        <v>9162</v>
      </c>
      <c r="Z158" s="18" t="s">
        <v>17</v>
      </c>
    </row>
    <row r="159" spans="1:26" ht="20.100000000000001" customHeight="1" x14ac:dyDescent="0.2">
      <c r="A159" s="30" t="s">
        <v>10084</v>
      </c>
      <c r="B159" s="19" t="s">
        <v>10085</v>
      </c>
      <c r="C159" s="19" t="s">
        <v>10086</v>
      </c>
      <c r="D159" s="8" t="s">
        <v>8948</v>
      </c>
      <c r="E159" s="20" t="s">
        <v>8949</v>
      </c>
      <c r="F159" s="20" t="s">
        <v>10087</v>
      </c>
      <c r="G159" s="20" t="s">
        <v>9076</v>
      </c>
      <c r="H159" s="20">
        <v>1000</v>
      </c>
      <c r="I159" s="20" t="s">
        <v>9077</v>
      </c>
      <c r="J159" s="20" t="s">
        <v>8953</v>
      </c>
      <c r="K159" s="20" t="s">
        <v>8989</v>
      </c>
      <c r="L159" s="21" t="s">
        <v>8955</v>
      </c>
      <c r="M159" s="20" t="s">
        <v>8990</v>
      </c>
      <c r="N159" s="20" t="s">
        <v>8959</v>
      </c>
      <c r="O159" s="20">
        <f t="shared" si="2"/>
        <v>7</v>
      </c>
      <c r="P159" s="22" t="s">
        <v>8958</v>
      </c>
      <c r="Q159" s="21" t="s">
        <v>8959</v>
      </c>
      <c r="R159" s="23" t="s">
        <v>9310</v>
      </c>
      <c r="S159" s="18" t="s">
        <v>9741</v>
      </c>
      <c r="T159" s="24" t="str">
        <f>VLOOKUP(R159,[1]Sheet3!$A$2:$A$47,1,0)</f>
        <v>China</v>
      </c>
      <c r="U159" s="18" t="s">
        <v>10088</v>
      </c>
      <c r="V159" s="18" t="s">
        <v>10089</v>
      </c>
      <c r="W159" s="18" t="s">
        <v>8964</v>
      </c>
      <c r="X159" s="18" t="s">
        <v>921</v>
      </c>
      <c r="Y159" s="18" t="s">
        <v>9744</v>
      </c>
      <c r="Z159" s="18" t="s">
        <v>11</v>
      </c>
    </row>
    <row r="160" spans="1:26" ht="20.100000000000001" customHeight="1" x14ac:dyDescent="0.2">
      <c r="A160" s="30" t="s">
        <v>10090</v>
      </c>
      <c r="B160" s="19" t="s">
        <v>10091</v>
      </c>
      <c r="C160" s="19" t="s">
        <v>10092</v>
      </c>
      <c r="D160" s="8" t="s">
        <v>9075</v>
      </c>
      <c r="E160" s="20" t="s">
        <v>8971</v>
      </c>
      <c r="F160" s="20" t="s">
        <v>10093</v>
      </c>
      <c r="G160" s="20" t="s">
        <v>9464</v>
      </c>
      <c r="H160" s="20">
        <v>255</v>
      </c>
      <c r="I160" s="20" t="s">
        <v>8988</v>
      </c>
      <c r="J160" s="20" t="s">
        <v>8953</v>
      </c>
      <c r="K160" s="20" t="s">
        <v>8954</v>
      </c>
      <c r="L160" s="21" t="s">
        <v>8955</v>
      </c>
      <c r="M160" s="20" t="s">
        <v>8990</v>
      </c>
      <c r="N160" s="20" t="s">
        <v>8957</v>
      </c>
      <c r="O160" s="20">
        <f t="shared" si="2"/>
        <v>14</v>
      </c>
      <c r="P160" s="22" t="s">
        <v>8975</v>
      </c>
      <c r="Q160" s="21" t="s">
        <v>8959</v>
      </c>
      <c r="R160" s="23" t="s">
        <v>8960</v>
      </c>
      <c r="S160" s="18" t="s">
        <v>9342</v>
      </c>
      <c r="T160" s="24" t="str">
        <f>VLOOKUP(R160,[1]Sheet3!$A$2:$A$47,1,0)</f>
        <v>Canada</v>
      </c>
      <c r="U160" s="18" t="s">
        <v>10094</v>
      </c>
      <c r="V160" s="18" t="s">
        <v>10095</v>
      </c>
      <c r="W160" s="18" t="s">
        <v>8964</v>
      </c>
      <c r="X160" s="18" t="s">
        <v>64</v>
      </c>
      <c r="Y160" s="18" t="s">
        <v>9345</v>
      </c>
      <c r="Z160" s="18" t="s">
        <v>17</v>
      </c>
    </row>
    <row r="161" spans="1:26" ht="20.100000000000001" customHeight="1" x14ac:dyDescent="0.2">
      <c r="A161" s="30" t="s">
        <v>10096</v>
      </c>
      <c r="B161" s="19" t="s">
        <v>10097</v>
      </c>
      <c r="C161" s="19" t="s">
        <v>10098</v>
      </c>
      <c r="D161" s="8" t="s">
        <v>9092</v>
      </c>
      <c r="E161" s="20" t="s">
        <v>8998</v>
      </c>
      <c r="F161" s="20" t="s">
        <v>10099</v>
      </c>
      <c r="G161" s="20" t="s">
        <v>8987</v>
      </c>
      <c r="H161" s="20">
        <v>1931</v>
      </c>
      <c r="I161" s="20" t="s">
        <v>8952</v>
      </c>
      <c r="J161" s="20" t="s">
        <v>8953</v>
      </c>
      <c r="K161" s="20" t="s">
        <v>8989</v>
      </c>
      <c r="L161" s="21" t="s">
        <v>8955</v>
      </c>
      <c r="M161" s="20" t="s">
        <v>8990</v>
      </c>
      <c r="N161" s="20" t="s">
        <v>8957</v>
      </c>
      <c r="O161" s="20">
        <f t="shared" si="2"/>
        <v>7</v>
      </c>
      <c r="P161" s="22" t="s">
        <v>8958</v>
      </c>
      <c r="Q161" s="21" t="s">
        <v>8959</v>
      </c>
      <c r="R161" s="23" t="s">
        <v>8991</v>
      </c>
      <c r="S161" s="18" t="s">
        <v>9085</v>
      </c>
      <c r="T161" s="24" t="str">
        <f>VLOOKUP(R161,[1]Sheet3!$A$2:$A$47,1,0)</f>
        <v>China</v>
      </c>
      <c r="U161" s="18" t="s">
        <v>10100</v>
      </c>
      <c r="V161" s="18" t="s">
        <v>10101</v>
      </c>
      <c r="W161" s="18" t="s">
        <v>8964</v>
      </c>
      <c r="X161" s="18" t="s">
        <v>184</v>
      </c>
      <c r="Y161" s="18" t="s">
        <v>9088</v>
      </c>
      <c r="Z161" s="18" t="s">
        <v>17</v>
      </c>
    </row>
    <row r="162" spans="1:26" ht="20.100000000000001" customHeight="1" x14ac:dyDescent="0.2">
      <c r="A162" s="30" t="s">
        <v>10102</v>
      </c>
      <c r="B162" s="19" t="s">
        <v>10103</v>
      </c>
      <c r="C162" s="19" t="s">
        <v>10104</v>
      </c>
      <c r="D162" s="8" t="s">
        <v>9100</v>
      </c>
      <c r="E162" s="20" t="s">
        <v>8949</v>
      </c>
      <c r="F162" s="20" t="s">
        <v>9018</v>
      </c>
      <c r="G162" s="20" t="s">
        <v>9292</v>
      </c>
      <c r="H162" s="20">
        <v>20</v>
      </c>
      <c r="I162" s="20" t="s">
        <v>9008</v>
      </c>
      <c r="J162" s="20" t="s">
        <v>9059</v>
      </c>
      <c r="K162" s="20" t="s">
        <v>8989</v>
      </c>
      <c r="L162" s="21" t="s">
        <v>8955</v>
      </c>
      <c r="M162" s="20" t="s">
        <v>8990</v>
      </c>
      <c r="N162" s="20" t="s">
        <v>8959</v>
      </c>
      <c r="O162" s="20">
        <f t="shared" si="2"/>
        <v>3</v>
      </c>
      <c r="P162" s="22" t="s">
        <v>9103</v>
      </c>
      <c r="Q162" s="21" t="s">
        <v>8959</v>
      </c>
      <c r="R162" s="23" t="s">
        <v>9981</v>
      </c>
      <c r="S162" s="18" t="s">
        <v>9496</v>
      </c>
      <c r="T162" s="24" t="str">
        <f>VLOOKUP(R162,[1]Sheet3!$A$2:$A$47,1,0)</f>
        <v>India</v>
      </c>
      <c r="U162" s="18" t="s">
        <v>10105</v>
      </c>
      <c r="V162" s="18" t="s">
        <v>10106</v>
      </c>
      <c r="W162" s="18" t="s">
        <v>8964</v>
      </c>
      <c r="X162" s="18" t="s">
        <v>97</v>
      </c>
      <c r="Y162" s="18" t="s">
        <v>9499</v>
      </c>
      <c r="Z162" s="18" t="s">
        <v>17</v>
      </c>
    </row>
    <row r="163" spans="1:26" ht="20.100000000000001" customHeight="1" x14ac:dyDescent="0.2">
      <c r="A163" s="30" t="s">
        <v>10107</v>
      </c>
      <c r="B163" s="19" t="s">
        <v>10108</v>
      </c>
      <c r="C163" s="19" t="s">
        <v>10109</v>
      </c>
      <c r="D163" s="8" t="s">
        <v>9100</v>
      </c>
      <c r="E163" s="20" t="s">
        <v>8949</v>
      </c>
      <c r="F163" s="20" t="s">
        <v>8972</v>
      </c>
      <c r="G163" s="20" t="s">
        <v>8973</v>
      </c>
      <c r="H163" s="20">
        <v>80</v>
      </c>
      <c r="I163" s="20" t="s">
        <v>9008</v>
      </c>
      <c r="J163" s="20" t="s">
        <v>9059</v>
      </c>
      <c r="K163" s="20" t="s">
        <v>8954</v>
      </c>
      <c r="L163" s="21" t="s">
        <v>8955</v>
      </c>
      <c r="M163" s="20" t="s">
        <v>8956</v>
      </c>
      <c r="N163" s="20" t="s">
        <v>9060</v>
      </c>
      <c r="O163" s="20">
        <f t="shared" si="2"/>
        <v>4</v>
      </c>
      <c r="P163" s="22" t="s">
        <v>8958</v>
      </c>
      <c r="Q163" s="21" t="s">
        <v>8959</v>
      </c>
      <c r="R163" s="23" t="s">
        <v>9380</v>
      </c>
      <c r="S163" s="18" t="s">
        <v>9711</v>
      </c>
      <c r="T163" s="24" t="str">
        <f>VLOOKUP(R163,[1]Sheet3!$A$2:$A$47,1,0)</f>
        <v>Canada</v>
      </c>
      <c r="U163" s="18" t="s">
        <v>10110</v>
      </c>
      <c r="V163" s="18" t="s">
        <v>10111</v>
      </c>
      <c r="W163" s="18" t="s">
        <v>8964</v>
      </c>
      <c r="X163" s="18" t="s">
        <v>392</v>
      </c>
      <c r="Y163" s="18" t="s">
        <v>9714</v>
      </c>
      <c r="Z163" s="18" t="s">
        <v>17</v>
      </c>
    </row>
    <row r="164" spans="1:26" ht="20.100000000000001" customHeight="1" x14ac:dyDescent="0.2">
      <c r="A164" s="30" t="s">
        <v>10112</v>
      </c>
      <c r="B164" s="19" t="s">
        <v>10113</v>
      </c>
      <c r="C164" s="19" t="s">
        <v>10114</v>
      </c>
      <c r="D164" s="8" t="s">
        <v>9035</v>
      </c>
      <c r="E164" s="20" t="s">
        <v>8998</v>
      </c>
      <c r="F164" s="27" t="s">
        <v>9787</v>
      </c>
      <c r="G164" s="31" t="s">
        <v>9157</v>
      </c>
      <c r="H164" s="31">
        <v>24400</v>
      </c>
      <c r="I164" s="20" t="s">
        <v>9019</v>
      </c>
      <c r="J164" s="20" t="s">
        <v>8953</v>
      </c>
      <c r="K164" s="20" t="s">
        <v>8954</v>
      </c>
      <c r="L164" s="21" t="s">
        <v>8955</v>
      </c>
      <c r="M164" s="20" t="s">
        <v>8990</v>
      </c>
      <c r="N164" s="20" t="s">
        <v>9060</v>
      </c>
      <c r="O164" s="20">
        <f t="shared" si="2"/>
        <v>6</v>
      </c>
      <c r="P164" s="22" t="s">
        <v>8958</v>
      </c>
      <c r="Q164" s="21" t="s">
        <v>8959</v>
      </c>
      <c r="R164" s="23" t="s">
        <v>9010</v>
      </c>
      <c r="S164" s="18" t="s">
        <v>9741</v>
      </c>
      <c r="T164" s="24" t="str">
        <f>VLOOKUP(R164,[1]Sheet3!$A$2:$A$47,1,0)</f>
        <v>the United States of America</v>
      </c>
      <c r="U164" s="18" t="s">
        <v>10115</v>
      </c>
      <c r="V164" s="18" t="s">
        <v>10116</v>
      </c>
      <c r="W164" s="18" t="s">
        <v>8964</v>
      </c>
      <c r="X164" s="18" t="s">
        <v>921</v>
      </c>
      <c r="Y164" s="18" t="s">
        <v>9744</v>
      </c>
      <c r="Z164" s="18" t="s">
        <v>11</v>
      </c>
    </row>
    <row r="165" spans="1:26" ht="20.100000000000001" customHeight="1" x14ac:dyDescent="0.2">
      <c r="A165" s="30" t="s">
        <v>10117</v>
      </c>
      <c r="B165" s="19" t="s">
        <v>10118</v>
      </c>
      <c r="C165" s="19" t="s">
        <v>10119</v>
      </c>
      <c r="D165" s="8" t="s">
        <v>8948</v>
      </c>
      <c r="E165" s="20" t="s">
        <v>8949</v>
      </c>
      <c r="F165" s="20" t="s">
        <v>8950</v>
      </c>
      <c r="G165" s="20" t="s">
        <v>8973</v>
      </c>
      <c r="H165" s="20">
        <v>285</v>
      </c>
      <c r="I165" s="20" t="s">
        <v>8988</v>
      </c>
      <c r="J165" s="20" t="s">
        <v>8953</v>
      </c>
      <c r="K165" s="20" t="s">
        <v>8954</v>
      </c>
      <c r="L165" s="21" t="s">
        <v>8955</v>
      </c>
      <c r="M165" s="20" t="s">
        <v>8956</v>
      </c>
      <c r="N165" s="20" t="s">
        <v>8957</v>
      </c>
      <c r="O165" s="20">
        <f t="shared" si="2"/>
        <v>4</v>
      </c>
      <c r="P165" s="22" t="s">
        <v>8958</v>
      </c>
      <c r="Q165" s="21" t="s">
        <v>8959</v>
      </c>
      <c r="R165" s="23" t="s">
        <v>9123</v>
      </c>
      <c r="S165" s="18" t="s">
        <v>9028</v>
      </c>
      <c r="T165" s="24" t="str">
        <f>VLOOKUP(R165,[1]Sheet3!$A$2:$A$47,1,0)</f>
        <v>France</v>
      </c>
      <c r="U165" s="18" t="s">
        <v>10120</v>
      </c>
      <c r="V165" s="18" t="s">
        <v>10121</v>
      </c>
      <c r="W165" s="18" t="s">
        <v>8964</v>
      </c>
      <c r="X165" s="18" t="s">
        <v>43</v>
      </c>
      <c r="Y165" s="18" t="s">
        <v>9031</v>
      </c>
      <c r="Z165" s="18" t="s">
        <v>17</v>
      </c>
    </row>
    <row r="166" spans="1:26" ht="20.100000000000001" customHeight="1" x14ac:dyDescent="0.2">
      <c r="A166" s="30" t="s">
        <v>10122</v>
      </c>
      <c r="B166" s="19" t="s">
        <v>10123</v>
      </c>
      <c r="C166" s="19" t="s">
        <v>10124</v>
      </c>
      <c r="D166" s="8" t="s">
        <v>8984</v>
      </c>
      <c r="E166" s="20" t="s">
        <v>8998</v>
      </c>
      <c r="F166" s="20" t="s">
        <v>8950</v>
      </c>
      <c r="G166" s="20" t="s">
        <v>8951</v>
      </c>
      <c r="H166" s="20">
        <f>12*154</f>
        <v>1848</v>
      </c>
      <c r="I166" s="20" t="s">
        <v>8952</v>
      </c>
      <c r="J166" s="20" t="s">
        <v>8953</v>
      </c>
      <c r="K166" s="20" t="s">
        <v>8989</v>
      </c>
      <c r="L166" s="21" t="s">
        <v>8955</v>
      </c>
      <c r="M166" s="20" t="s">
        <v>8956</v>
      </c>
      <c r="N166" s="20" t="s">
        <v>8959</v>
      </c>
      <c r="O166" s="20">
        <f t="shared" si="2"/>
        <v>8</v>
      </c>
      <c r="P166" s="22" t="s">
        <v>8975</v>
      </c>
      <c r="Q166" s="21" t="s">
        <v>9061</v>
      </c>
      <c r="R166" s="23" t="s">
        <v>9010</v>
      </c>
      <c r="S166" s="18" t="s">
        <v>9011</v>
      </c>
      <c r="T166" s="24" t="str">
        <f>VLOOKUP(R166,[1]Sheet3!$A$2:$A$47,1,0)</f>
        <v>the United States of America</v>
      </c>
      <c r="U166" s="18" t="s">
        <v>10125</v>
      </c>
      <c r="V166" s="18" t="s">
        <v>10126</v>
      </c>
      <c r="W166" s="18" t="s">
        <v>8964</v>
      </c>
      <c r="X166" s="18" t="s">
        <v>93</v>
      </c>
      <c r="Y166" s="18" t="s">
        <v>9014</v>
      </c>
      <c r="Z166" s="18" t="s">
        <v>17</v>
      </c>
    </row>
    <row r="167" spans="1:26" ht="20.100000000000001" customHeight="1" x14ac:dyDescent="0.2">
      <c r="A167" s="30" t="s">
        <v>10127</v>
      </c>
      <c r="B167" s="19" t="s">
        <v>10128</v>
      </c>
      <c r="C167" s="19" t="s">
        <v>10129</v>
      </c>
      <c r="D167" s="8" t="s">
        <v>9092</v>
      </c>
      <c r="E167" s="20" t="s">
        <v>8998</v>
      </c>
      <c r="F167" s="20" t="s">
        <v>8972</v>
      </c>
      <c r="G167" s="20" t="s">
        <v>8973</v>
      </c>
      <c r="H167" s="20">
        <v>24</v>
      </c>
      <c r="I167" s="20" t="s">
        <v>9008</v>
      </c>
      <c r="J167" s="20" t="s">
        <v>9059</v>
      </c>
      <c r="K167" s="20" t="s">
        <v>8954</v>
      </c>
      <c r="L167" s="21" t="s">
        <v>8955</v>
      </c>
      <c r="M167" s="20" t="s">
        <v>8956</v>
      </c>
      <c r="N167" s="20" t="s">
        <v>8957</v>
      </c>
      <c r="O167" s="20">
        <f t="shared" si="2"/>
        <v>8</v>
      </c>
      <c r="P167" s="22" t="s">
        <v>8975</v>
      </c>
      <c r="Q167" s="21" t="s">
        <v>8959</v>
      </c>
      <c r="R167" s="23" t="s">
        <v>9062</v>
      </c>
      <c r="S167" s="18" t="s">
        <v>9342</v>
      </c>
      <c r="T167" s="24" t="str">
        <f>VLOOKUP(R167,[1]Sheet3!$A$2:$A$47,1,0)</f>
        <v>Germany</v>
      </c>
      <c r="U167" s="18" t="s">
        <v>10130</v>
      </c>
      <c r="V167" s="18" t="s">
        <v>10131</v>
      </c>
      <c r="W167" s="18" t="s">
        <v>8964</v>
      </c>
      <c r="X167" s="18" t="s">
        <v>64</v>
      </c>
      <c r="Y167" s="18" t="s">
        <v>9345</v>
      </c>
      <c r="Z167" s="18" t="s">
        <v>17</v>
      </c>
    </row>
    <row r="168" spans="1:26" ht="20.100000000000001" customHeight="1" x14ac:dyDescent="0.2">
      <c r="A168" s="30" t="s">
        <v>10132</v>
      </c>
      <c r="B168" s="19" t="s">
        <v>10133</v>
      </c>
      <c r="C168" s="19" t="s">
        <v>10134</v>
      </c>
      <c r="D168" s="8" t="s">
        <v>9252</v>
      </c>
      <c r="E168" s="20" t="s">
        <v>8971</v>
      </c>
      <c r="F168" s="20" t="s">
        <v>10135</v>
      </c>
      <c r="G168" s="20" t="s">
        <v>9292</v>
      </c>
      <c r="H168" s="20">
        <v>947</v>
      </c>
      <c r="I168" s="20" t="s">
        <v>9077</v>
      </c>
      <c r="J168" s="20" t="s">
        <v>8953</v>
      </c>
      <c r="K168" s="20" t="s">
        <v>8989</v>
      </c>
      <c r="L168" s="21" t="s">
        <v>8955</v>
      </c>
      <c r="M168" s="20" t="s">
        <v>8956</v>
      </c>
      <c r="N168" s="20" t="s">
        <v>8957</v>
      </c>
      <c r="O168" s="20">
        <f t="shared" si="2"/>
        <v>10</v>
      </c>
      <c r="P168" s="22" t="s">
        <v>8975</v>
      </c>
      <c r="Q168" s="21" t="s">
        <v>9061</v>
      </c>
      <c r="R168" s="23" t="s">
        <v>9333</v>
      </c>
      <c r="S168" s="18" t="s">
        <v>10136</v>
      </c>
      <c r="T168" s="24" t="str">
        <f>VLOOKUP(R168,[1]Sheet3!$A$2:$A$47,1,0)</f>
        <v>Japan</v>
      </c>
      <c r="U168" s="18" t="s">
        <v>10137</v>
      </c>
      <c r="V168" s="18" t="s">
        <v>10138</v>
      </c>
      <c r="W168" s="18" t="s">
        <v>8964</v>
      </c>
      <c r="X168" s="18" t="s">
        <v>2172</v>
      </c>
      <c r="Y168" s="18" t="s">
        <v>10139</v>
      </c>
      <c r="Z168" s="18" t="s">
        <v>17</v>
      </c>
    </row>
    <row r="169" spans="1:26" ht="20.100000000000001" customHeight="1" x14ac:dyDescent="0.2">
      <c r="A169" s="30" t="s">
        <v>10140</v>
      </c>
      <c r="B169" s="19" t="s">
        <v>10141</v>
      </c>
      <c r="C169" s="19" t="s">
        <v>10142</v>
      </c>
      <c r="D169" s="8" t="s">
        <v>8948</v>
      </c>
      <c r="E169" s="20" t="s">
        <v>8998</v>
      </c>
      <c r="F169" s="20" t="s">
        <v>8972</v>
      </c>
      <c r="G169" s="20" t="s">
        <v>8973</v>
      </c>
      <c r="H169" s="20">
        <v>1120</v>
      </c>
      <c r="I169" s="20" t="s">
        <v>8952</v>
      </c>
      <c r="J169" s="20" t="s">
        <v>8953</v>
      </c>
      <c r="K169" s="20" t="s">
        <v>8989</v>
      </c>
      <c r="L169" s="21" t="s">
        <v>8955</v>
      </c>
      <c r="M169" s="20" t="s">
        <v>8956</v>
      </c>
      <c r="N169" s="20" t="s">
        <v>8974</v>
      </c>
      <c r="O169" s="20">
        <f t="shared" si="2"/>
        <v>11</v>
      </c>
      <c r="P169" s="22" t="s">
        <v>8975</v>
      </c>
      <c r="Q169" s="21" t="s">
        <v>9061</v>
      </c>
      <c r="R169" s="23" t="s">
        <v>9010</v>
      </c>
      <c r="S169" s="18" t="s">
        <v>9011</v>
      </c>
      <c r="T169" s="24" t="str">
        <f>VLOOKUP(R169,[1]Sheet3!$A$2:$A$47,1,0)</f>
        <v>the United States of America</v>
      </c>
      <c r="U169" s="18" t="s">
        <v>10143</v>
      </c>
      <c r="V169" s="18" t="s">
        <v>10144</v>
      </c>
      <c r="W169" s="18" t="s">
        <v>8964</v>
      </c>
      <c r="X169" s="18" t="s">
        <v>93</v>
      </c>
      <c r="Y169" s="18" t="s">
        <v>9014</v>
      </c>
      <c r="Z169" s="18" t="s">
        <v>17</v>
      </c>
    </row>
    <row r="170" spans="1:26" ht="20.100000000000001" customHeight="1" x14ac:dyDescent="0.2">
      <c r="A170" s="30" t="s">
        <v>10145</v>
      </c>
      <c r="B170" s="19" t="s">
        <v>10146</v>
      </c>
      <c r="C170" s="19" t="s">
        <v>10147</v>
      </c>
      <c r="D170" s="8" t="s">
        <v>9605</v>
      </c>
      <c r="E170" s="31" t="s">
        <v>9121</v>
      </c>
      <c r="F170" s="20" t="s">
        <v>10093</v>
      </c>
      <c r="G170" s="20" t="s">
        <v>9292</v>
      </c>
      <c r="H170" s="20">
        <v>608424</v>
      </c>
      <c r="I170" s="31" t="s">
        <v>9019</v>
      </c>
      <c r="J170" s="31" t="s">
        <v>8953</v>
      </c>
      <c r="K170" s="20" t="s">
        <v>8954</v>
      </c>
      <c r="L170" s="21" t="s">
        <v>8955</v>
      </c>
      <c r="M170" s="20" t="s">
        <v>8956</v>
      </c>
      <c r="N170" s="20" t="s">
        <v>8957</v>
      </c>
      <c r="O170" s="20">
        <f t="shared" si="2"/>
        <v>5</v>
      </c>
      <c r="P170" s="22" t="s">
        <v>8958</v>
      </c>
      <c r="Q170" s="21" t="s">
        <v>8959</v>
      </c>
      <c r="R170" s="23" t="s">
        <v>9010</v>
      </c>
      <c r="S170" s="18" t="s">
        <v>10148</v>
      </c>
      <c r="T170" s="24" t="str">
        <f>VLOOKUP(R170,[1]Sheet3!$A$2:$A$47,1,0)</f>
        <v>the United States of America</v>
      </c>
      <c r="U170" s="18" t="s">
        <v>10149</v>
      </c>
      <c r="V170" s="18" t="s">
        <v>10150</v>
      </c>
      <c r="W170" s="18" t="s">
        <v>8964</v>
      </c>
      <c r="X170" s="18" t="s">
        <v>700</v>
      </c>
      <c r="Y170" s="18" t="s">
        <v>10151</v>
      </c>
      <c r="Z170" s="18" t="s">
        <v>17</v>
      </c>
    </row>
    <row r="171" spans="1:26" ht="20.100000000000001" customHeight="1" x14ac:dyDescent="0.2">
      <c r="A171" s="30" t="s">
        <v>10152</v>
      </c>
      <c r="B171" s="19" t="s">
        <v>10153</v>
      </c>
      <c r="C171" s="19" t="s">
        <v>10154</v>
      </c>
      <c r="D171" s="8" t="s">
        <v>8948</v>
      </c>
      <c r="E171" s="20" t="s">
        <v>8949</v>
      </c>
      <c r="F171" s="20" t="s">
        <v>9245</v>
      </c>
      <c r="G171" s="20" t="s">
        <v>8987</v>
      </c>
      <c r="H171" s="20">
        <v>1050</v>
      </c>
      <c r="I171" s="20" t="s">
        <v>8952</v>
      </c>
      <c r="J171" s="20" t="s">
        <v>8953</v>
      </c>
      <c r="K171" s="20" t="s">
        <v>8954</v>
      </c>
      <c r="L171" s="21" t="s">
        <v>8955</v>
      </c>
      <c r="M171" s="20" t="s">
        <v>8990</v>
      </c>
      <c r="N171" s="20" t="s">
        <v>8957</v>
      </c>
      <c r="O171" s="20">
        <f t="shared" si="2"/>
        <v>4</v>
      </c>
      <c r="P171" s="22" t="s">
        <v>8958</v>
      </c>
      <c r="Q171" s="21" t="s">
        <v>9061</v>
      </c>
      <c r="R171" s="23" t="s">
        <v>9010</v>
      </c>
      <c r="S171" s="18" t="s">
        <v>9741</v>
      </c>
      <c r="T171" s="24" t="str">
        <f>VLOOKUP(R171,[1]Sheet3!$A$2:$A$47,1,0)</f>
        <v>the United States of America</v>
      </c>
      <c r="U171" s="18" t="s">
        <v>10155</v>
      </c>
      <c r="V171" s="18" t="s">
        <v>10156</v>
      </c>
      <c r="W171" s="18" t="s">
        <v>8964</v>
      </c>
      <c r="X171" s="18" t="s">
        <v>921</v>
      </c>
      <c r="Y171" s="18" t="s">
        <v>9744</v>
      </c>
      <c r="Z171" s="18" t="s">
        <v>11</v>
      </c>
    </row>
    <row r="172" spans="1:26" ht="20.100000000000001" customHeight="1" x14ac:dyDescent="0.2">
      <c r="A172" s="30" t="s">
        <v>10157</v>
      </c>
      <c r="B172" s="19" t="s">
        <v>10158</v>
      </c>
      <c r="C172" s="19" t="s">
        <v>10159</v>
      </c>
      <c r="D172" s="8" t="s">
        <v>8948</v>
      </c>
      <c r="E172" s="20" t="s">
        <v>9121</v>
      </c>
      <c r="F172" s="20" t="s">
        <v>8972</v>
      </c>
      <c r="G172" s="20" t="s">
        <v>8973</v>
      </c>
      <c r="H172" s="20">
        <v>66</v>
      </c>
      <c r="I172" s="20" t="s">
        <v>9008</v>
      </c>
      <c r="J172" s="20" t="s">
        <v>9059</v>
      </c>
      <c r="K172" s="20" t="s">
        <v>8989</v>
      </c>
      <c r="L172" s="21" t="s">
        <v>8955</v>
      </c>
      <c r="M172" s="20" t="s">
        <v>8990</v>
      </c>
      <c r="N172" s="20" t="s">
        <v>8957</v>
      </c>
      <c r="O172" s="20">
        <f t="shared" si="2"/>
        <v>11</v>
      </c>
      <c r="P172" s="22" t="s">
        <v>8975</v>
      </c>
      <c r="Q172" s="21" t="s">
        <v>9183</v>
      </c>
      <c r="R172" s="23" t="s">
        <v>9317</v>
      </c>
      <c r="S172" s="18" t="s">
        <v>9727</v>
      </c>
      <c r="T172" s="24" t="str">
        <f>VLOOKUP(R172,[1]Sheet3!$A$2:$A$47,1,0)</f>
        <v>Germany</v>
      </c>
      <c r="U172" s="18" t="s">
        <v>10160</v>
      </c>
      <c r="V172" s="18" t="s">
        <v>10161</v>
      </c>
      <c r="W172" s="18" t="s">
        <v>8964</v>
      </c>
      <c r="X172" s="18" t="s">
        <v>938</v>
      </c>
      <c r="Y172" s="18" t="s">
        <v>9730</v>
      </c>
      <c r="Z172" s="18" t="s">
        <v>17</v>
      </c>
    </row>
    <row r="173" spans="1:26" ht="20.100000000000001" customHeight="1" x14ac:dyDescent="0.2">
      <c r="A173" s="30" t="s">
        <v>10162</v>
      </c>
      <c r="B173" s="19" t="s">
        <v>10163</v>
      </c>
      <c r="C173" s="19" t="s">
        <v>10164</v>
      </c>
      <c r="D173" s="8" t="s">
        <v>8984</v>
      </c>
      <c r="E173" s="20" t="s">
        <v>9131</v>
      </c>
      <c r="F173" s="20" t="s">
        <v>10165</v>
      </c>
      <c r="G173" s="20" t="s">
        <v>8951</v>
      </c>
      <c r="H173" s="20">
        <v>1875</v>
      </c>
      <c r="I173" s="20" t="s">
        <v>8952</v>
      </c>
      <c r="J173" s="20" t="s">
        <v>8953</v>
      </c>
      <c r="K173" s="20" t="s">
        <v>8989</v>
      </c>
      <c r="L173" s="21" t="s">
        <v>8955</v>
      </c>
      <c r="M173" s="20" t="s">
        <v>8990</v>
      </c>
      <c r="N173" s="20" t="s">
        <v>8957</v>
      </c>
      <c r="O173" s="20">
        <f t="shared" si="2"/>
        <v>5</v>
      </c>
      <c r="P173" s="22" t="s">
        <v>8958</v>
      </c>
      <c r="Q173" s="21" t="s">
        <v>8959</v>
      </c>
      <c r="R173" s="23" t="s">
        <v>10166</v>
      </c>
      <c r="S173" s="18" t="s">
        <v>10073</v>
      </c>
      <c r="T173" s="24" t="str">
        <f>VLOOKUP(R173,[1]Sheet3!$A$2:$A$47,1,0)</f>
        <v>SaudiArabia</v>
      </c>
      <c r="U173" s="18" t="s">
        <v>10167</v>
      </c>
      <c r="V173" s="18" t="s">
        <v>10168</v>
      </c>
      <c r="W173" s="18" t="s">
        <v>8964</v>
      </c>
      <c r="X173" s="18" t="s">
        <v>210</v>
      </c>
      <c r="Y173" s="18" t="s">
        <v>10076</v>
      </c>
      <c r="Z173" s="18" t="s">
        <v>17</v>
      </c>
    </row>
    <row r="174" spans="1:26" ht="20.100000000000001" customHeight="1" x14ac:dyDescent="0.2">
      <c r="A174" s="30" t="s">
        <v>10169</v>
      </c>
      <c r="B174" s="19" t="s">
        <v>10170</v>
      </c>
      <c r="C174" s="19" t="s">
        <v>10171</v>
      </c>
      <c r="D174" s="8" t="s">
        <v>8948</v>
      </c>
      <c r="E174" s="20" t="s">
        <v>8998</v>
      </c>
      <c r="F174" s="20" t="s">
        <v>10172</v>
      </c>
      <c r="G174" s="31" t="s">
        <v>9157</v>
      </c>
      <c r="H174" s="27">
        <v>170</v>
      </c>
      <c r="I174" s="20" t="s">
        <v>9158</v>
      </c>
      <c r="J174" s="20" t="s">
        <v>9059</v>
      </c>
      <c r="K174" s="20" t="s">
        <v>8954</v>
      </c>
      <c r="L174" s="21" t="s">
        <v>8955</v>
      </c>
      <c r="M174" s="20" t="s">
        <v>8956</v>
      </c>
      <c r="N174" s="20" t="s">
        <v>8957</v>
      </c>
      <c r="O174" s="20">
        <f t="shared" si="2"/>
        <v>9</v>
      </c>
      <c r="P174" s="22" t="s">
        <v>8975</v>
      </c>
      <c r="Q174" s="21" t="s">
        <v>9009</v>
      </c>
      <c r="R174" s="23" t="s">
        <v>9310</v>
      </c>
      <c r="S174" s="18" t="s">
        <v>9011</v>
      </c>
      <c r="T174" s="24" t="str">
        <f>VLOOKUP(R174,[1]Sheet3!$A$2:$A$47,1,0)</f>
        <v>China</v>
      </c>
      <c r="U174" s="18" t="s">
        <v>10173</v>
      </c>
      <c r="V174" s="18" t="s">
        <v>10174</v>
      </c>
      <c r="W174" s="18" t="s">
        <v>8964</v>
      </c>
      <c r="X174" s="18" t="s">
        <v>93</v>
      </c>
      <c r="Y174" s="18" t="s">
        <v>9014</v>
      </c>
      <c r="Z174" s="18" t="s">
        <v>17</v>
      </c>
    </row>
    <row r="175" spans="1:26" ht="20.100000000000001" customHeight="1" x14ac:dyDescent="0.2">
      <c r="A175" s="30" t="s">
        <v>10175</v>
      </c>
      <c r="B175" s="19" t="s">
        <v>10176</v>
      </c>
      <c r="C175" s="19" t="s">
        <v>10177</v>
      </c>
      <c r="D175" s="8" t="s">
        <v>9092</v>
      </c>
      <c r="E175" s="20" t="s">
        <v>8971</v>
      </c>
      <c r="F175" s="20" t="s">
        <v>10178</v>
      </c>
      <c r="G175" s="20" t="s">
        <v>8973</v>
      </c>
      <c r="H175" s="20">
        <v>546</v>
      </c>
      <c r="I175" s="20" t="s">
        <v>9077</v>
      </c>
      <c r="J175" s="20" t="s">
        <v>8953</v>
      </c>
      <c r="K175" s="20" t="s">
        <v>8954</v>
      </c>
      <c r="L175" s="21" t="s">
        <v>8955</v>
      </c>
      <c r="M175" s="20" t="s">
        <v>8956</v>
      </c>
      <c r="N175" s="20" t="s">
        <v>8957</v>
      </c>
      <c r="O175" s="20">
        <f t="shared" si="2"/>
        <v>3</v>
      </c>
      <c r="P175" s="22" t="s">
        <v>9103</v>
      </c>
      <c r="Q175" s="21" t="s">
        <v>8959</v>
      </c>
      <c r="R175" s="23" t="s">
        <v>9010</v>
      </c>
      <c r="S175" s="18" t="s">
        <v>9342</v>
      </c>
      <c r="T175" s="24" t="str">
        <f>VLOOKUP(R175,[1]Sheet3!$A$2:$A$47,1,0)</f>
        <v>the United States of America</v>
      </c>
      <c r="U175" s="18" t="s">
        <v>10179</v>
      </c>
      <c r="V175" s="18" t="s">
        <v>10180</v>
      </c>
      <c r="W175" s="18" t="s">
        <v>8964</v>
      </c>
      <c r="X175" s="18" t="s">
        <v>64</v>
      </c>
      <c r="Y175" s="18" t="s">
        <v>9345</v>
      </c>
      <c r="Z175" s="18" t="s">
        <v>17</v>
      </c>
    </row>
    <row r="176" spans="1:26" ht="20.100000000000001" customHeight="1" x14ac:dyDescent="0.2">
      <c r="A176" s="30" t="s">
        <v>10181</v>
      </c>
      <c r="B176" s="19" t="s">
        <v>10182</v>
      </c>
      <c r="C176" s="19" t="s">
        <v>10183</v>
      </c>
      <c r="D176" s="8" t="s">
        <v>9075</v>
      </c>
      <c r="E176" s="20" t="s">
        <v>9121</v>
      </c>
      <c r="F176" s="20" t="s">
        <v>10184</v>
      </c>
      <c r="G176" s="20" t="s">
        <v>8973</v>
      </c>
      <c r="H176" s="20">
        <v>672</v>
      </c>
      <c r="I176" s="20" t="s">
        <v>9077</v>
      </c>
      <c r="J176" s="20" t="s">
        <v>8953</v>
      </c>
      <c r="K176" s="20" t="s">
        <v>8989</v>
      </c>
      <c r="L176" s="21" t="s">
        <v>8955</v>
      </c>
      <c r="M176" s="20" t="s">
        <v>8956</v>
      </c>
      <c r="N176" s="20" t="s">
        <v>8957</v>
      </c>
      <c r="O176" s="20">
        <f t="shared" si="2"/>
        <v>7</v>
      </c>
      <c r="P176" s="22" t="s">
        <v>8958</v>
      </c>
      <c r="Q176" s="21" t="s">
        <v>8959</v>
      </c>
      <c r="R176" s="23" t="s">
        <v>9310</v>
      </c>
      <c r="S176" s="18" t="s">
        <v>9457</v>
      </c>
      <c r="T176" s="24" t="str">
        <f>VLOOKUP(R176,[1]Sheet3!$A$2:$A$47,1,0)</f>
        <v>China</v>
      </c>
      <c r="U176" s="18" t="s">
        <v>10185</v>
      </c>
      <c r="V176" s="18" t="s">
        <v>10186</v>
      </c>
      <c r="W176" s="18" t="s">
        <v>8964</v>
      </c>
      <c r="X176" s="18" t="s">
        <v>1651</v>
      </c>
      <c r="Y176" s="18" t="s">
        <v>9460</v>
      </c>
      <c r="Z176" s="18" t="s">
        <v>17</v>
      </c>
    </row>
    <row r="177" spans="1:26" ht="20.100000000000001" customHeight="1" x14ac:dyDescent="0.2">
      <c r="A177" s="30" t="s">
        <v>10187</v>
      </c>
      <c r="B177" s="19" t="s">
        <v>10188</v>
      </c>
      <c r="C177" s="19" t="s">
        <v>10189</v>
      </c>
      <c r="D177" s="8" t="s">
        <v>8948</v>
      </c>
      <c r="E177" s="20" t="s">
        <v>8949</v>
      </c>
      <c r="F177" s="20" t="s">
        <v>9018</v>
      </c>
      <c r="G177" s="20" t="s">
        <v>9157</v>
      </c>
      <c r="H177" s="20">
        <v>50</v>
      </c>
      <c r="I177" s="20" t="s">
        <v>9008</v>
      </c>
      <c r="J177" s="20" t="s">
        <v>8953</v>
      </c>
      <c r="K177" s="20" t="s">
        <v>8954</v>
      </c>
      <c r="L177" s="21" t="s">
        <v>8955</v>
      </c>
      <c r="M177" s="20" t="s">
        <v>8956</v>
      </c>
      <c r="N177" s="20" t="s">
        <v>8957</v>
      </c>
      <c r="O177" s="20">
        <f t="shared" si="2"/>
        <v>4</v>
      </c>
      <c r="P177" s="22" t="s">
        <v>8958</v>
      </c>
      <c r="Q177" s="21" t="s">
        <v>9061</v>
      </c>
      <c r="R177" s="23" t="s">
        <v>9010</v>
      </c>
      <c r="S177" s="18" t="s">
        <v>10190</v>
      </c>
      <c r="T177" s="24" t="str">
        <f>VLOOKUP(R177,[1]Sheet3!$A$2:$A$47,1,0)</f>
        <v>the United States of America</v>
      </c>
      <c r="U177" s="18" t="s">
        <v>10191</v>
      </c>
      <c r="V177" s="18" t="s">
        <v>10192</v>
      </c>
      <c r="W177" s="18" t="s">
        <v>8964</v>
      </c>
      <c r="X177" s="18" t="s">
        <v>4602</v>
      </c>
      <c r="Y177" s="18" t="s">
        <v>10193</v>
      </c>
      <c r="Z177" s="18" t="s">
        <v>17</v>
      </c>
    </row>
    <row r="178" spans="1:26" ht="20.100000000000001" customHeight="1" x14ac:dyDescent="0.2">
      <c r="A178" s="30" t="s">
        <v>10194</v>
      </c>
      <c r="B178" s="19" t="s">
        <v>10195</v>
      </c>
      <c r="C178" s="19" t="s">
        <v>10196</v>
      </c>
      <c r="D178" s="8" t="s">
        <v>9605</v>
      </c>
      <c r="E178" s="20" t="s">
        <v>8949</v>
      </c>
      <c r="F178" s="20" t="s">
        <v>8950</v>
      </c>
      <c r="G178" s="20" t="s">
        <v>8973</v>
      </c>
      <c r="H178" s="20">
        <v>173</v>
      </c>
      <c r="I178" s="20" t="s">
        <v>9158</v>
      </c>
      <c r="J178" s="20" t="s">
        <v>8953</v>
      </c>
      <c r="K178" s="20" t="s">
        <v>8954</v>
      </c>
      <c r="L178" s="21" t="s">
        <v>8955</v>
      </c>
      <c r="M178" s="20" t="s">
        <v>8990</v>
      </c>
      <c r="N178" s="20" t="s">
        <v>9060</v>
      </c>
      <c r="O178" s="20">
        <f t="shared" si="2"/>
        <v>6</v>
      </c>
      <c r="P178" s="22" t="s">
        <v>8958</v>
      </c>
      <c r="Q178" s="21" t="s">
        <v>8959</v>
      </c>
      <c r="R178" s="23" t="s">
        <v>8960</v>
      </c>
      <c r="S178" s="18" t="s">
        <v>8961</v>
      </c>
      <c r="T178" s="24" t="str">
        <f>VLOOKUP(R178,[1]Sheet3!$A$2:$A$47,1,0)</f>
        <v>Canada</v>
      </c>
      <c r="U178" s="18" t="s">
        <v>10197</v>
      </c>
      <c r="V178" s="18" t="s">
        <v>10198</v>
      </c>
      <c r="W178" s="18" t="s">
        <v>8964</v>
      </c>
      <c r="X178" s="18" t="s">
        <v>126</v>
      </c>
      <c r="Y178" s="18" t="s">
        <v>8966</v>
      </c>
      <c r="Z178" s="18" t="s">
        <v>17</v>
      </c>
    </row>
    <row r="179" spans="1:26" ht="20.100000000000001" customHeight="1" x14ac:dyDescent="0.2">
      <c r="A179" s="30" t="s">
        <v>10199</v>
      </c>
      <c r="B179" s="19" t="s">
        <v>10200</v>
      </c>
      <c r="C179" s="19" t="s">
        <v>10201</v>
      </c>
      <c r="D179" s="8" t="s">
        <v>9075</v>
      </c>
      <c r="E179" s="20" t="s">
        <v>9422</v>
      </c>
      <c r="F179" s="20" t="s">
        <v>8950</v>
      </c>
      <c r="G179" s="20" t="s">
        <v>9157</v>
      </c>
      <c r="H179" s="20">
        <v>231</v>
      </c>
      <c r="I179" s="20" t="s">
        <v>9158</v>
      </c>
      <c r="J179" s="20" t="s">
        <v>9059</v>
      </c>
      <c r="K179" s="20" t="s">
        <v>8989</v>
      </c>
      <c r="L179" s="21" t="s">
        <v>8955</v>
      </c>
      <c r="M179" s="20" t="s">
        <v>8956</v>
      </c>
      <c r="N179" s="20" t="s">
        <v>9060</v>
      </c>
      <c r="O179" s="20">
        <f t="shared" si="2"/>
        <v>12</v>
      </c>
      <c r="P179" s="22" t="s">
        <v>8975</v>
      </c>
      <c r="Q179" s="21" t="s">
        <v>8959</v>
      </c>
      <c r="R179" s="23" t="s">
        <v>9380</v>
      </c>
      <c r="S179" s="18" t="s">
        <v>9393</v>
      </c>
      <c r="T179" s="24" t="str">
        <f>VLOOKUP(R179,[1]Sheet3!$A$2:$A$47,1,0)</f>
        <v>Canada</v>
      </c>
      <c r="U179" s="18" t="s">
        <v>10202</v>
      </c>
      <c r="V179" s="18" t="s">
        <v>10203</v>
      </c>
      <c r="W179" s="18" t="s">
        <v>8964</v>
      </c>
      <c r="X179" s="18" t="s">
        <v>1918</v>
      </c>
      <c r="Y179" s="18" t="s">
        <v>9396</v>
      </c>
      <c r="Z179" s="18" t="s">
        <v>17</v>
      </c>
    </row>
    <row r="180" spans="1:26" ht="20.100000000000001" customHeight="1" x14ac:dyDescent="0.2">
      <c r="A180" s="30" t="s">
        <v>10204</v>
      </c>
      <c r="B180" s="19" t="s">
        <v>10205</v>
      </c>
      <c r="C180" s="19" t="s">
        <v>10206</v>
      </c>
      <c r="D180" s="8" t="s">
        <v>9035</v>
      </c>
      <c r="E180" s="20" t="s">
        <v>9308</v>
      </c>
      <c r="F180" s="20" t="s">
        <v>9316</v>
      </c>
      <c r="G180" s="20" t="s">
        <v>8973</v>
      </c>
      <c r="H180" s="20">
        <v>118</v>
      </c>
      <c r="I180" s="20" t="s">
        <v>9158</v>
      </c>
      <c r="J180" s="20" t="s">
        <v>8953</v>
      </c>
      <c r="K180" s="20" t="s">
        <v>8989</v>
      </c>
      <c r="L180" s="21" t="s">
        <v>8955</v>
      </c>
      <c r="M180" s="20" t="s">
        <v>8956</v>
      </c>
      <c r="N180" s="20" t="s">
        <v>8957</v>
      </c>
      <c r="O180" s="20">
        <f t="shared" si="2"/>
        <v>4</v>
      </c>
      <c r="P180" s="22" t="s">
        <v>8958</v>
      </c>
      <c r="Q180" s="21" t="s">
        <v>8959</v>
      </c>
      <c r="R180" s="23" t="s">
        <v>9010</v>
      </c>
      <c r="S180" s="18" t="s">
        <v>9011</v>
      </c>
      <c r="T180" s="24" t="str">
        <f>VLOOKUP(R180,[1]Sheet3!$A$2:$A$47,1,0)</f>
        <v>the United States of America</v>
      </c>
      <c r="U180" s="18" t="s">
        <v>10207</v>
      </c>
      <c r="V180" s="18" t="s">
        <v>10208</v>
      </c>
      <c r="W180" s="18" t="s">
        <v>8964</v>
      </c>
      <c r="X180" s="18" t="s">
        <v>93</v>
      </c>
      <c r="Y180" s="18" t="s">
        <v>9014</v>
      </c>
      <c r="Z180" s="18" t="s">
        <v>17</v>
      </c>
    </row>
    <row r="181" spans="1:26" ht="20.100000000000001" customHeight="1" x14ac:dyDescent="0.2">
      <c r="A181" s="30" t="s">
        <v>10209</v>
      </c>
      <c r="B181" s="19" t="s">
        <v>10210</v>
      </c>
      <c r="C181" s="19" t="s">
        <v>10211</v>
      </c>
      <c r="D181" s="8" t="s">
        <v>8948</v>
      </c>
      <c r="E181" s="20" t="s">
        <v>8998</v>
      </c>
      <c r="F181" s="20" t="s">
        <v>8950</v>
      </c>
      <c r="G181" s="20" t="s">
        <v>8973</v>
      </c>
      <c r="H181" s="20">
        <v>40</v>
      </c>
      <c r="I181" s="20" t="s">
        <v>9008</v>
      </c>
      <c r="J181" s="20" t="s">
        <v>8953</v>
      </c>
      <c r="K181" s="20" t="s">
        <v>8989</v>
      </c>
      <c r="L181" s="21" t="s">
        <v>8955</v>
      </c>
      <c r="M181" s="20" t="s">
        <v>8956</v>
      </c>
      <c r="N181" s="20" t="s">
        <v>8959</v>
      </c>
      <c r="O181" s="20">
        <f t="shared" si="2"/>
        <v>9</v>
      </c>
      <c r="P181" s="22" t="s">
        <v>8975</v>
      </c>
      <c r="Q181" s="21" t="s">
        <v>8959</v>
      </c>
      <c r="R181" s="23" t="s">
        <v>9069</v>
      </c>
      <c r="S181" s="18" t="s">
        <v>9342</v>
      </c>
      <c r="T181" s="24" t="str">
        <f>VLOOKUP(R181,[1]Sheet3!$A$2:$A$47,1,0)</f>
        <v>Austria</v>
      </c>
      <c r="U181" s="18" t="s">
        <v>10212</v>
      </c>
      <c r="V181" s="18" t="s">
        <v>10213</v>
      </c>
      <c r="W181" s="18" t="s">
        <v>8964</v>
      </c>
      <c r="X181" s="18" t="s">
        <v>64</v>
      </c>
      <c r="Y181" s="18" t="s">
        <v>9345</v>
      </c>
      <c r="Z181" s="18" t="s">
        <v>17</v>
      </c>
    </row>
    <row r="182" spans="1:26" ht="20.100000000000001" customHeight="1" x14ac:dyDescent="0.2">
      <c r="A182" s="30" t="s">
        <v>10214</v>
      </c>
      <c r="B182" s="19" t="s">
        <v>10215</v>
      </c>
      <c r="C182" s="19" t="s">
        <v>10216</v>
      </c>
      <c r="D182" s="8" t="s">
        <v>10217</v>
      </c>
      <c r="E182" s="20" t="s">
        <v>9155</v>
      </c>
      <c r="F182" s="20" t="s">
        <v>10218</v>
      </c>
      <c r="G182" s="20" t="s">
        <v>8973</v>
      </c>
      <c r="H182" s="20">
        <v>2929</v>
      </c>
      <c r="I182" s="20" t="s">
        <v>8952</v>
      </c>
      <c r="J182" s="20" t="s">
        <v>8953</v>
      </c>
      <c r="K182" s="20" t="s">
        <v>8954</v>
      </c>
      <c r="L182" s="21" t="s">
        <v>8955</v>
      </c>
      <c r="M182" s="20" t="s">
        <v>8956</v>
      </c>
      <c r="N182" s="20" t="s">
        <v>8957</v>
      </c>
      <c r="O182" s="20">
        <f t="shared" si="2"/>
        <v>9</v>
      </c>
      <c r="P182" s="22" t="s">
        <v>8975</v>
      </c>
      <c r="Q182" s="21" t="s">
        <v>8959</v>
      </c>
      <c r="R182" s="23" t="s">
        <v>8991</v>
      </c>
      <c r="S182" s="18" t="s">
        <v>9159</v>
      </c>
      <c r="T182" s="24" t="str">
        <f>VLOOKUP(R182,[1]Sheet3!$A$2:$A$47,1,0)</f>
        <v>China</v>
      </c>
      <c r="U182" s="19" t="s">
        <v>10219</v>
      </c>
      <c r="V182" s="18" t="s">
        <v>10220</v>
      </c>
      <c r="W182" s="18" t="s">
        <v>8964</v>
      </c>
      <c r="X182" s="18" t="s">
        <v>61</v>
      </c>
      <c r="Y182" s="18" t="s">
        <v>9162</v>
      </c>
      <c r="Z182" s="18" t="s">
        <v>17</v>
      </c>
    </row>
    <row r="183" spans="1:26" ht="20.100000000000001" customHeight="1" x14ac:dyDescent="0.2">
      <c r="A183" s="30" t="s">
        <v>10221</v>
      </c>
      <c r="B183" s="19" t="s">
        <v>10222</v>
      </c>
      <c r="C183" s="19" t="s">
        <v>10223</v>
      </c>
      <c r="D183" s="8" t="s">
        <v>8984</v>
      </c>
      <c r="E183" s="20" t="s">
        <v>8949</v>
      </c>
      <c r="F183" s="20" t="s">
        <v>10224</v>
      </c>
      <c r="G183" s="20" t="s">
        <v>8973</v>
      </c>
      <c r="H183" s="20">
        <v>43</v>
      </c>
      <c r="I183" s="20" t="s">
        <v>9008</v>
      </c>
      <c r="J183" s="20" t="s">
        <v>8953</v>
      </c>
      <c r="K183" s="20" t="s">
        <v>8954</v>
      </c>
      <c r="L183" s="21" t="s">
        <v>8955</v>
      </c>
      <c r="M183" s="20" t="s">
        <v>8956</v>
      </c>
      <c r="N183" s="20" t="s">
        <v>8959</v>
      </c>
      <c r="O183" s="20">
        <f t="shared" si="2"/>
        <v>10</v>
      </c>
      <c r="P183" s="22" t="s">
        <v>8975</v>
      </c>
      <c r="Q183" s="21" t="s">
        <v>8959</v>
      </c>
      <c r="R183" s="23" t="s">
        <v>10049</v>
      </c>
      <c r="S183" s="18" t="s">
        <v>9837</v>
      </c>
      <c r="T183" s="24" t="str">
        <f>VLOOKUP(R183,[1]Sheet3!$A$2:$A$47,1,0)</f>
        <v>Italy</v>
      </c>
      <c r="U183" s="18" t="s">
        <v>10225</v>
      </c>
      <c r="V183" s="18" t="s">
        <v>10226</v>
      </c>
      <c r="W183" s="18" t="s">
        <v>8964</v>
      </c>
      <c r="X183" s="18" t="s">
        <v>35</v>
      </c>
      <c r="Y183" s="18" t="s">
        <v>9840</v>
      </c>
      <c r="Z183" s="18" t="s">
        <v>17</v>
      </c>
    </row>
    <row r="184" spans="1:26" ht="20.100000000000001" customHeight="1" x14ac:dyDescent="0.2">
      <c r="A184" s="30" t="s">
        <v>10227</v>
      </c>
      <c r="B184" s="19" t="s">
        <v>10228</v>
      </c>
      <c r="C184" s="19" t="s">
        <v>10229</v>
      </c>
      <c r="D184" s="8" t="s">
        <v>9075</v>
      </c>
      <c r="E184" s="20" t="s">
        <v>9155</v>
      </c>
      <c r="F184" s="20" t="s">
        <v>9349</v>
      </c>
      <c r="G184" s="20" t="s">
        <v>8973</v>
      </c>
      <c r="H184" s="20">
        <v>845</v>
      </c>
      <c r="I184" s="20" t="s">
        <v>9077</v>
      </c>
      <c r="J184" s="20" t="s">
        <v>8953</v>
      </c>
      <c r="K184" s="20" t="s">
        <v>8954</v>
      </c>
      <c r="L184" s="21" t="s">
        <v>8955</v>
      </c>
      <c r="M184" s="20" t="s">
        <v>8990</v>
      </c>
      <c r="N184" s="20" t="s">
        <v>8957</v>
      </c>
      <c r="O184" s="20">
        <f t="shared" si="2"/>
        <v>4</v>
      </c>
      <c r="P184" s="22" t="s">
        <v>8958</v>
      </c>
      <c r="Q184" s="21" t="s">
        <v>8959</v>
      </c>
      <c r="R184" s="23" t="s">
        <v>9636</v>
      </c>
      <c r="S184" s="18" t="s">
        <v>9228</v>
      </c>
      <c r="T184" s="24" t="str">
        <f>VLOOKUP(R184,[1]Sheet3!$A$2:$A$47,1,0)</f>
        <v>Austria</v>
      </c>
      <c r="U184" s="18" t="s">
        <v>10230</v>
      </c>
      <c r="V184" s="18" t="s">
        <v>10231</v>
      </c>
      <c r="W184" s="18" t="s">
        <v>8964</v>
      </c>
      <c r="X184" s="18" t="s">
        <v>110</v>
      </c>
      <c r="Y184" s="18" t="s">
        <v>9231</v>
      </c>
      <c r="Z184" s="18" t="s">
        <v>17</v>
      </c>
    </row>
    <row r="185" spans="1:26" ht="20.100000000000001" customHeight="1" x14ac:dyDescent="0.2">
      <c r="A185" s="30" t="s">
        <v>10232</v>
      </c>
      <c r="B185" s="19" t="s">
        <v>10233</v>
      </c>
      <c r="C185" s="19" t="s">
        <v>10234</v>
      </c>
      <c r="D185" s="8" t="s">
        <v>9049</v>
      </c>
      <c r="E185" s="20" t="s">
        <v>9325</v>
      </c>
      <c r="F185" s="20" t="s">
        <v>10218</v>
      </c>
      <c r="G185" s="20" t="s">
        <v>8951</v>
      </c>
      <c r="H185" s="20">
        <v>14336</v>
      </c>
      <c r="I185" s="20" t="s">
        <v>9019</v>
      </c>
      <c r="J185" s="20" t="s">
        <v>8953</v>
      </c>
      <c r="K185" s="20" t="s">
        <v>8954</v>
      </c>
      <c r="L185" s="21" t="s">
        <v>8955</v>
      </c>
      <c r="M185" s="20" t="s">
        <v>8956</v>
      </c>
      <c r="N185" s="20" t="s">
        <v>8957</v>
      </c>
      <c r="O185" s="20">
        <f t="shared" si="2"/>
        <v>32</v>
      </c>
      <c r="P185" s="22" t="s">
        <v>8975</v>
      </c>
      <c r="Q185" s="21" t="s">
        <v>9183</v>
      </c>
      <c r="R185" s="23" t="s">
        <v>9636</v>
      </c>
      <c r="S185" s="18" t="s">
        <v>9159</v>
      </c>
      <c r="T185" s="24" t="str">
        <f>VLOOKUP(R185,[1]Sheet3!$A$2:$A$47,1,0)</f>
        <v>Austria</v>
      </c>
      <c r="U185" s="19" t="s">
        <v>10235</v>
      </c>
      <c r="V185" s="18" t="s">
        <v>10236</v>
      </c>
      <c r="W185" s="18" t="s">
        <v>8964</v>
      </c>
      <c r="X185" s="18" t="s">
        <v>61</v>
      </c>
      <c r="Y185" s="18" t="s">
        <v>9162</v>
      </c>
      <c r="Z185" s="18" t="s">
        <v>17</v>
      </c>
    </row>
    <row r="186" spans="1:26" ht="20.100000000000001" customHeight="1" x14ac:dyDescent="0.2">
      <c r="A186" s="30" t="s">
        <v>10237</v>
      </c>
      <c r="B186" s="19" t="s">
        <v>10238</v>
      </c>
      <c r="C186" s="19" t="s">
        <v>10239</v>
      </c>
      <c r="D186" s="8" t="s">
        <v>9035</v>
      </c>
      <c r="E186" s="20" t="s">
        <v>8998</v>
      </c>
      <c r="F186" s="20" t="s">
        <v>9036</v>
      </c>
      <c r="G186" s="20" t="s">
        <v>8973</v>
      </c>
      <c r="H186" s="20">
        <v>90</v>
      </c>
      <c r="I186" s="20" t="s">
        <v>9008</v>
      </c>
      <c r="J186" s="20" t="s">
        <v>8953</v>
      </c>
      <c r="K186" s="20" t="s">
        <v>8954</v>
      </c>
      <c r="L186" s="21" t="s">
        <v>8955</v>
      </c>
      <c r="M186" s="20" t="s">
        <v>8956</v>
      </c>
      <c r="N186" s="20" t="s">
        <v>8974</v>
      </c>
      <c r="O186" s="20">
        <f t="shared" si="2"/>
        <v>5</v>
      </c>
      <c r="P186" s="22" t="s">
        <v>8958</v>
      </c>
      <c r="Q186" s="21" t="s">
        <v>8959</v>
      </c>
      <c r="R186" s="23" t="s">
        <v>9010</v>
      </c>
      <c r="S186" s="18" t="s">
        <v>9011</v>
      </c>
      <c r="T186" s="24" t="str">
        <f>VLOOKUP(R186,[1]Sheet3!$A$2:$A$47,1,0)</f>
        <v>the United States of America</v>
      </c>
      <c r="U186" s="18" t="s">
        <v>10240</v>
      </c>
      <c r="V186" s="18" t="s">
        <v>10241</v>
      </c>
      <c r="W186" s="18" t="s">
        <v>8964</v>
      </c>
      <c r="X186" s="18" t="s">
        <v>93</v>
      </c>
      <c r="Y186" s="18" t="s">
        <v>9014</v>
      </c>
      <c r="Z186" s="18" t="s">
        <v>17</v>
      </c>
    </row>
    <row r="187" spans="1:26" ht="20.100000000000001" customHeight="1" x14ac:dyDescent="0.2">
      <c r="A187" s="30" t="s">
        <v>10242</v>
      </c>
      <c r="B187" s="19" t="s">
        <v>10243</v>
      </c>
      <c r="C187" s="19" t="s">
        <v>10244</v>
      </c>
      <c r="D187" s="8" t="s">
        <v>9049</v>
      </c>
      <c r="E187" s="20" t="s">
        <v>9050</v>
      </c>
      <c r="F187" s="20" t="s">
        <v>9629</v>
      </c>
      <c r="G187" s="31" t="s">
        <v>8951</v>
      </c>
      <c r="H187" s="27">
        <f>12374+17997</f>
        <v>30371</v>
      </c>
      <c r="I187" s="20" t="s">
        <v>9019</v>
      </c>
      <c r="J187" s="20" t="s">
        <v>8953</v>
      </c>
      <c r="K187" s="20" t="s">
        <v>8954</v>
      </c>
      <c r="L187" s="21" t="s">
        <v>8955</v>
      </c>
      <c r="M187" s="20" t="s">
        <v>8990</v>
      </c>
      <c r="N187" s="20" t="s">
        <v>8974</v>
      </c>
      <c r="O187" s="20">
        <f t="shared" si="2"/>
        <v>9</v>
      </c>
      <c r="P187" s="22" t="s">
        <v>8975</v>
      </c>
      <c r="Q187" s="21" t="s">
        <v>8959</v>
      </c>
      <c r="R187" s="23" t="s">
        <v>9465</v>
      </c>
      <c r="S187" s="18" t="s">
        <v>10245</v>
      </c>
      <c r="T187" s="24" t="str">
        <f>VLOOKUP(R187,[1]Sheet3!$A$2:$A$47,1,0)</f>
        <v>Switzerland</v>
      </c>
      <c r="U187" s="18" t="s">
        <v>10246</v>
      </c>
      <c r="V187" s="18" t="s">
        <v>10247</v>
      </c>
      <c r="W187" s="18" t="s">
        <v>8964</v>
      </c>
      <c r="X187" s="18" t="s">
        <v>396</v>
      </c>
      <c r="Y187" s="18" t="s">
        <v>10248</v>
      </c>
      <c r="Z187" s="18" t="s">
        <v>17</v>
      </c>
    </row>
    <row r="188" spans="1:26" ht="20.100000000000001" customHeight="1" x14ac:dyDescent="0.2">
      <c r="A188" s="30" t="s">
        <v>10249</v>
      </c>
      <c r="B188" s="19" t="s">
        <v>10250</v>
      </c>
      <c r="C188" s="19" t="s">
        <v>10251</v>
      </c>
      <c r="D188" s="8" t="s">
        <v>9154</v>
      </c>
      <c r="E188" s="20" t="s">
        <v>8998</v>
      </c>
      <c r="F188" s="27" t="s">
        <v>10252</v>
      </c>
      <c r="G188" s="20" t="s">
        <v>8951</v>
      </c>
      <c r="H188" s="20">
        <v>90</v>
      </c>
      <c r="I188" s="20" t="s">
        <v>9008</v>
      </c>
      <c r="J188" s="20" t="s">
        <v>9059</v>
      </c>
      <c r="K188" s="31" t="s">
        <v>8954</v>
      </c>
      <c r="L188" s="21" t="s">
        <v>8955</v>
      </c>
      <c r="M188" s="20" t="s">
        <v>8956</v>
      </c>
      <c r="N188" s="20" t="s">
        <v>8959</v>
      </c>
      <c r="O188" s="20">
        <f t="shared" si="2"/>
        <v>3</v>
      </c>
      <c r="P188" s="22" t="s">
        <v>9103</v>
      </c>
      <c r="Q188" s="21" t="s">
        <v>8959</v>
      </c>
      <c r="R188" s="23" t="s">
        <v>9387</v>
      </c>
      <c r="S188" s="18" t="s">
        <v>9011</v>
      </c>
      <c r="T188" s="24" t="str">
        <f>VLOOKUP(R188,[1]Sheet3!$A$2:$A$47,1,0)</f>
        <v>Israel</v>
      </c>
      <c r="U188" s="18" t="s">
        <v>10253</v>
      </c>
      <c r="V188" s="18" t="s">
        <v>10254</v>
      </c>
      <c r="W188" s="18" t="s">
        <v>8964</v>
      </c>
      <c r="X188" s="18" t="s">
        <v>93</v>
      </c>
      <c r="Y188" s="18" t="s">
        <v>9014</v>
      </c>
      <c r="Z188" s="18" t="s">
        <v>17</v>
      </c>
    </row>
    <row r="189" spans="1:26" ht="20.100000000000001" customHeight="1" x14ac:dyDescent="0.2">
      <c r="A189" s="30" t="s">
        <v>10255</v>
      </c>
      <c r="B189" s="19" t="s">
        <v>10256</v>
      </c>
      <c r="C189" s="19" t="s">
        <v>10257</v>
      </c>
      <c r="D189" s="8" t="s">
        <v>9605</v>
      </c>
      <c r="E189" s="20" t="s">
        <v>9155</v>
      </c>
      <c r="F189" s="20" t="s">
        <v>10258</v>
      </c>
      <c r="G189" s="20" t="s">
        <v>8987</v>
      </c>
      <c r="H189" s="20">
        <v>21747</v>
      </c>
      <c r="I189" s="20" t="s">
        <v>9019</v>
      </c>
      <c r="J189" s="20" t="s">
        <v>8953</v>
      </c>
      <c r="K189" s="20" t="s">
        <v>8954</v>
      </c>
      <c r="L189" s="21" t="s">
        <v>8955</v>
      </c>
      <c r="M189" s="20" t="s">
        <v>8956</v>
      </c>
      <c r="N189" s="20" t="s">
        <v>8957</v>
      </c>
      <c r="O189" s="20">
        <f t="shared" si="2"/>
        <v>4</v>
      </c>
      <c r="P189" s="22" t="s">
        <v>8958</v>
      </c>
      <c r="Q189" s="21" t="s">
        <v>8959</v>
      </c>
      <c r="R189" s="23" t="s">
        <v>8991</v>
      </c>
      <c r="S189" s="18" t="s">
        <v>8961</v>
      </c>
      <c r="T189" s="24" t="str">
        <f>VLOOKUP(R189,[1]Sheet3!$A$2:$A$47,1,0)</f>
        <v>China</v>
      </c>
      <c r="U189" s="18" t="s">
        <v>10259</v>
      </c>
      <c r="V189" s="18" t="s">
        <v>10260</v>
      </c>
      <c r="W189" s="18" t="s">
        <v>8964</v>
      </c>
      <c r="X189" s="18" t="s">
        <v>126</v>
      </c>
      <c r="Y189" s="18" t="s">
        <v>8966</v>
      </c>
      <c r="Z189" s="18" t="s">
        <v>17</v>
      </c>
    </row>
    <row r="190" spans="1:26" ht="20.100000000000001" customHeight="1" x14ac:dyDescent="0.2">
      <c r="A190" s="30" t="s">
        <v>10261</v>
      </c>
      <c r="B190" s="19" t="s">
        <v>10262</v>
      </c>
      <c r="C190" s="19" t="s">
        <v>10263</v>
      </c>
      <c r="D190" s="8" t="s">
        <v>8948</v>
      </c>
      <c r="E190" s="20" t="s">
        <v>8949</v>
      </c>
      <c r="F190" s="20" t="s">
        <v>9036</v>
      </c>
      <c r="G190" s="20" t="s">
        <v>8973</v>
      </c>
      <c r="H190" s="20">
        <v>40</v>
      </c>
      <c r="I190" s="20" t="s">
        <v>9008</v>
      </c>
      <c r="J190" s="20" t="s">
        <v>8953</v>
      </c>
      <c r="K190" s="31" t="s">
        <v>8989</v>
      </c>
      <c r="L190" s="21" t="s">
        <v>8955</v>
      </c>
      <c r="M190" s="20" t="s">
        <v>8956</v>
      </c>
      <c r="N190" s="20" t="s">
        <v>8959</v>
      </c>
      <c r="O190" s="20">
        <f t="shared" si="2"/>
        <v>2</v>
      </c>
      <c r="P190" s="22" t="s">
        <v>9103</v>
      </c>
      <c r="Q190" s="21" t="s">
        <v>8959</v>
      </c>
      <c r="R190" s="23" t="s">
        <v>9981</v>
      </c>
      <c r="S190" s="18" t="s">
        <v>9496</v>
      </c>
      <c r="T190" s="24" t="str">
        <f>VLOOKUP(R190,[1]Sheet3!$A$2:$A$47,1,0)</f>
        <v>India</v>
      </c>
      <c r="U190" s="18" t="s">
        <v>10264</v>
      </c>
      <c r="V190" s="18" t="s">
        <v>10265</v>
      </c>
      <c r="W190" s="18" t="s">
        <v>8964</v>
      </c>
      <c r="X190" s="18" t="s">
        <v>97</v>
      </c>
      <c r="Y190" s="18" t="s">
        <v>9499</v>
      </c>
      <c r="Z190" s="18" t="s">
        <v>17</v>
      </c>
    </row>
    <row r="191" spans="1:26" ht="20.100000000000001" customHeight="1" x14ac:dyDescent="0.2">
      <c r="A191" s="30" t="s">
        <v>10266</v>
      </c>
      <c r="B191" s="19" t="s">
        <v>10267</v>
      </c>
      <c r="C191" s="19" t="s">
        <v>10268</v>
      </c>
      <c r="D191" s="8" t="s">
        <v>9035</v>
      </c>
      <c r="E191" s="20" t="s">
        <v>8998</v>
      </c>
      <c r="F191" s="20" t="s">
        <v>10269</v>
      </c>
      <c r="G191" s="20" t="s">
        <v>8973</v>
      </c>
      <c r="H191" s="20">
        <v>35</v>
      </c>
      <c r="I191" s="20" t="s">
        <v>9008</v>
      </c>
      <c r="J191" s="20" t="s">
        <v>9059</v>
      </c>
      <c r="K191" s="20" t="s">
        <v>8989</v>
      </c>
      <c r="L191" s="21" t="s">
        <v>8955</v>
      </c>
      <c r="M191" s="20" t="s">
        <v>8956</v>
      </c>
      <c r="N191" s="20" t="s">
        <v>8957</v>
      </c>
      <c r="O191" s="20">
        <f t="shared" si="2"/>
        <v>8</v>
      </c>
      <c r="P191" s="22" t="s">
        <v>8975</v>
      </c>
      <c r="Q191" s="21" t="s">
        <v>9061</v>
      </c>
      <c r="R191" s="23" t="s">
        <v>9010</v>
      </c>
      <c r="S191" s="18" t="s">
        <v>9011</v>
      </c>
      <c r="T191" s="24" t="str">
        <f>VLOOKUP(R191,[1]Sheet3!$A$2:$A$47,1,0)</f>
        <v>the United States of America</v>
      </c>
      <c r="U191" s="18" t="s">
        <v>10270</v>
      </c>
      <c r="V191" s="18" t="s">
        <v>10271</v>
      </c>
      <c r="W191" s="18" t="s">
        <v>8964</v>
      </c>
      <c r="X191" s="18" t="s">
        <v>93</v>
      </c>
      <c r="Y191" s="18" t="s">
        <v>9014</v>
      </c>
      <c r="Z191" s="18" t="s">
        <v>17</v>
      </c>
    </row>
    <row r="192" spans="1:26" ht="20.100000000000001" customHeight="1" x14ac:dyDescent="0.2">
      <c r="A192" s="30" t="s">
        <v>10272</v>
      </c>
      <c r="B192" s="19" t="s">
        <v>10273</v>
      </c>
      <c r="C192" s="19" t="s">
        <v>10274</v>
      </c>
      <c r="D192" s="8" t="s">
        <v>8948</v>
      </c>
      <c r="E192" s="20" t="s">
        <v>8998</v>
      </c>
      <c r="F192" s="20" t="s">
        <v>8950</v>
      </c>
      <c r="G192" s="31" t="s">
        <v>9157</v>
      </c>
      <c r="H192" s="27">
        <v>300</v>
      </c>
      <c r="I192" s="20" t="s">
        <v>8988</v>
      </c>
      <c r="J192" s="20" t="s">
        <v>8953</v>
      </c>
      <c r="K192" s="20" t="s">
        <v>8954</v>
      </c>
      <c r="L192" s="21" t="s">
        <v>8955</v>
      </c>
      <c r="M192" s="20" t="s">
        <v>8956</v>
      </c>
      <c r="N192" s="27" t="s">
        <v>8957</v>
      </c>
      <c r="O192" s="20">
        <f t="shared" si="2"/>
        <v>5</v>
      </c>
      <c r="P192" s="22" t="s">
        <v>8958</v>
      </c>
      <c r="Q192" s="32" t="s">
        <v>9009</v>
      </c>
      <c r="R192" s="23" t="s">
        <v>9380</v>
      </c>
      <c r="S192" s="18" t="s">
        <v>9255</v>
      </c>
      <c r="T192" s="24" t="str">
        <f>VLOOKUP(R192,[1]Sheet3!$A$2:$A$47,1,0)</f>
        <v>Canada</v>
      </c>
      <c r="U192" s="18" t="s">
        <v>10275</v>
      </c>
      <c r="V192" s="18" t="s">
        <v>10276</v>
      </c>
      <c r="W192" s="18" t="s">
        <v>8964</v>
      </c>
      <c r="X192" s="18" t="s">
        <v>24</v>
      </c>
      <c r="Y192" s="18" t="s">
        <v>9258</v>
      </c>
      <c r="Z192" s="18" t="s">
        <v>17</v>
      </c>
    </row>
    <row r="193" spans="1:26" ht="20.100000000000001" customHeight="1" x14ac:dyDescent="0.2">
      <c r="A193" s="30" t="s">
        <v>10277</v>
      </c>
      <c r="B193" s="19" t="s">
        <v>10278</v>
      </c>
      <c r="C193" s="19" t="s">
        <v>10279</v>
      </c>
      <c r="D193" s="8" t="s">
        <v>9605</v>
      </c>
      <c r="E193" s="20" t="s">
        <v>8998</v>
      </c>
      <c r="F193" s="20" t="s">
        <v>8972</v>
      </c>
      <c r="G193" s="20" t="s">
        <v>8973</v>
      </c>
      <c r="H193" s="20">
        <v>53</v>
      </c>
      <c r="I193" s="20" t="s">
        <v>9008</v>
      </c>
      <c r="J193" s="20" t="s">
        <v>8953</v>
      </c>
      <c r="K193" s="20" t="s">
        <v>8954</v>
      </c>
      <c r="L193" s="21" t="s">
        <v>8955</v>
      </c>
      <c r="M193" s="20" t="s">
        <v>8956</v>
      </c>
      <c r="N193" s="20" t="s">
        <v>8974</v>
      </c>
      <c r="O193" s="20">
        <f t="shared" si="2"/>
        <v>3</v>
      </c>
      <c r="P193" s="22" t="s">
        <v>9103</v>
      </c>
      <c r="Q193" s="21" t="s">
        <v>8959</v>
      </c>
      <c r="R193" s="23" t="s">
        <v>9062</v>
      </c>
      <c r="S193" s="18" t="s">
        <v>8961</v>
      </c>
      <c r="T193" s="24" t="str">
        <f>VLOOKUP(R193,[1]Sheet3!$A$2:$A$47,1,0)</f>
        <v>Germany</v>
      </c>
      <c r="U193" s="18" t="s">
        <v>10280</v>
      </c>
      <c r="V193" s="18" t="s">
        <v>10281</v>
      </c>
      <c r="W193" s="18" t="s">
        <v>8964</v>
      </c>
      <c r="X193" s="18" t="s">
        <v>126</v>
      </c>
      <c r="Y193" s="18" t="s">
        <v>8966</v>
      </c>
      <c r="Z193" s="18" t="s">
        <v>17</v>
      </c>
    </row>
    <row r="194" spans="1:26" ht="20.100000000000001" customHeight="1" x14ac:dyDescent="0.2">
      <c r="A194" s="30" t="s">
        <v>10282</v>
      </c>
      <c r="B194" s="19" t="s">
        <v>10283</v>
      </c>
      <c r="C194" s="19" t="s">
        <v>10284</v>
      </c>
      <c r="D194" s="8" t="s">
        <v>9035</v>
      </c>
      <c r="E194" s="20" t="s">
        <v>8998</v>
      </c>
      <c r="F194" s="27" t="s">
        <v>9036</v>
      </c>
      <c r="G194" s="20" t="s">
        <v>8987</v>
      </c>
      <c r="H194" s="20">
        <v>598</v>
      </c>
      <c r="I194" s="20" t="s">
        <v>9077</v>
      </c>
      <c r="J194" s="20" t="s">
        <v>8953</v>
      </c>
      <c r="K194" s="20" t="s">
        <v>8989</v>
      </c>
      <c r="L194" s="21" t="s">
        <v>8955</v>
      </c>
      <c r="M194" s="20" t="s">
        <v>8956</v>
      </c>
      <c r="N194" s="20" t="s">
        <v>8959</v>
      </c>
      <c r="O194" s="20">
        <f t="shared" ref="O194:O257" si="3">1+LEN(V194)-LEN(SUBSTITUTE(V194,";",))</f>
        <v>2</v>
      </c>
      <c r="P194" s="22" t="s">
        <v>9103</v>
      </c>
      <c r="Q194" s="21" t="s">
        <v>8959</v>
      </c>
      <c r="R194" s="23" t="s">
        <v>9815</v>
      </c>
      <c r="S194" s="18" t="s">
        <v>10285</v>
      </c>
      <c r="T194" s="24" t="str">
        <f>VLOOKUP(R194,[1]Sheet3!$A$2:$A$47,1,0)</f>
        <v>India</v>
      </c>
      <c r="U194" s="18" t="s">
        <v>10286</v>
      </c>
      <c r="V194" s="18" t="s">
        <v>10287</v>
      </c>
      <c r="W194" s="18" t="s">
        <v>8964</v>
      </c>
      <c r="X194" s="18" t="s">
        <v>3451</v>
      </c>
      <c r="Y194" s="18" t="s">
        <v>10288</v>
      </c>
      <c r="Z194" s="18" t="s">
        <v>17</v>
      </c>
    </row>
    <row r="195" spans="1:26" ht="20.100000000000001" customHeight="1" x14ac:dyDescent="0.2">
      <c r="A195" s="30" t="s">
        <v>10289</v>
      </c>
      <c r="B195" s="19" t="s">
        <v>10290</v>
      </c>
      <c r="C195" s="19" t="s">
        <v>10291</v>
      </c>
      <c r="D195" s="8" t="s">
        <v>9154</v>
      </c>
      <c r="E195" s="20" t="s">
        <v>8949</v>
      </c>
      <c r="F195" s="20" t="s">
        <v>8950</v>
      </c>
      <c r="G195" s="31" t="s">
        <v>9157</v>
      </c>
      <c r="H195" s="27">
        <v>69820</v>
      </c>
      <c r="I195" s="20" t="s">
        <v>8988</v>
      </c>
      <c r="J195" s="20" t="s">
        <v>8953</v>
      </c>
      <c r="K195" s="20" t="s">
        <v>8954</v>
      </c>
      <c r="L195" s="21" t="s">
        <v>8955</v>
      </c>
      <c r="M195" s="20" t="s">
        <v>8956</v>
      </c>
      <c r="N195" s="20" t="s">
        <v>8957</v>
      </c>
      <c r="O195" s="20">
        <f t="shared" si="3"/>
        <v>11</v>
      </c>
      <c r="P195" s="22" t="s">
        <v>8975</v>
      </c>
      <c r="Q195" s="21" t="s">
        <v>9009</v>
      </c>
      <c r="R195" s="23" t="s">
        <v>9113</v>
      </c>
      <c r="S195" s="18" t="s">
        <v>10292</v>
      </c>
      <c r="T195" s="24" t="str">
        <f>VLOOKUP(R195,[1]Sheet3!$A$2:$A$47,1,0)</f>
        <v>UK</v>
      </c>
      <c r="U195" s="18" t="s">
        <v>10293</v>
      </c>
      <c r="V195" s="18" t="s">
        <v>10294</v>
      </c>
      <c r="W195" s="18" t="s">
        <v>8964</v>
      </c>
      <c r="X195" s="18" t="s">
        <v>694</v>
      </c>
      <c r="Y195" s="18" t="s">
        <v>10295</v>
      </c>
      <c r="Z195" s="18" t="s">
        <v>17</v>
      </c>
    </row>
    <row r="196" spans="1:26" ht="20.100000000000001" customHeight="1" x14ac:dyDescent="0.2">
      <c r="A196" s="30" t="s">
        <v>10296</v>
      </c>
      <c r="B196" s="19" t="s">
        <v>10297</v>
      </c>
      <c r="C196" s="19" t="s">
        <v>10298</v>
      </c>
      <c r="D196" s="8" t="s">
        <v>9049</v>
      </c>
      <c r="E196" s="20" t="s">
        <v>9325</v>
      </c>
      <c r="F196" s="20" t="s">
        <v>10040</v>
      </c>
      <c r="G196" s="20" t="s">
        <v>8973</v>
      </c>
      <c r="H196" s="20">
        <v>20160</v>
      </c>
      <c r="I196" s="20" t="s">
        <v>9019</v>
      </c>
      <c r="J196" s="20" t="s">
        <v>8953</v>
      </c>
      <c r="K196" s="20" t="s">
        <v>8954</v>
      </c>
      <c r="L196" s="21" t="s">
        <v>8955</v>
      </c>
      <c r="M196" s="20" t="s">
        <v>8956</v>
      </c>
      <c r="N196" s="20" t="s">
        <v>8957</v>
      </c>
      <c r="O196" s="20">
        <f t="shared" si="3"/>
        <v>8</v>
      </c>
      <c r="P196" s="22" t="s">
        <v>8975</v>
      </c>
      <c r="Q196" s="21" t="s">
        <v>8959</v>
      </c>
      <c r="R196" s="23" t="s">
        <v>9636</v>
      </c>
      <c r="S196" s="18" t="s">
        <v>9808</v>
      </c>
      <c r="T196" s="24" t="str">
        <f>VLOOKUP(R196,[1]Sheet3!$A$2:$A$47,1,0)</f>
        <v>Austria</v>
      </c>
      <c r="U196" s="18" t="s">
        <v>10299</v>
      </c>
      <c r="V196" s="18" t="s">
        <v>10300</v>
      </c>
      <c r="W196" s="18" t="s">
        <v>8964</v>
      </c>
      <c r="X196" s="18" t="s">
        <v>1797</v>
      </c>
      <c r="Y196" s="18" t="s">
        <v>9811</v>
      </c>
      <c r="Z196" s="18" t="s">
        <v>17</v>
      </c>
    </row>
    <row r="197" spans="1:26" ht="20.100000000000001" customHeight="1" x14ac:dyDescent="0.2">
      <c r="A197" s="30" t="s">
        <v>10301</v>
      </c>
      <c r="B197" s="19" t="s">
        <v>10302</v>
      </c>
      <c r="C197" s="19" t="s">
        <v>10303</v>
      </c>
      <c r="D197" s="8" t="s">
        <v>9252</v>
      </c>
      <c r="E197" s="20" t="s">
        <v>9422</v>
      </c>
      <c r="F197" s="20" t="s">
        <v>9212</v>
      </c>
      <c r="G197" s="20" t="s">
        <v>8973</v>
      </c>
      <c r="H197" s="20">
        <v>2061</v>
      </c>
      <c r="I197" s="20" t="s">
        <v>8952</v>
      </c>
      <c r="J197" s="20" t="s">
        <v>8953</v>
      </c>
      <c r="K197" s="20" t="s">
        <v>8954</v>
      </c>
      <c r="L197" s="21" t="s">
        <v>8955</v>
      </c>
      <c r="M197" s="20" t="s">
        <v>8956</v>
      </c>
      <c r="N197" s="20" t="s">
        <v>8957</v>
      </c>
      <c r="O197" s="20">
        <f t="shared" si="3"/>
        <v>6</v>
      </c>
      <c r="P197" s="22" t="s">
        <v>8958</v>
      </c>
      <c r="Q197" s="21" t="s">
        <v>8959</v>
      </c>
      <c r="R197" s="23" t="s">
        <v>8991</v>
      </c>
      <c r="S197" s="18" t="s">
        <v>8961</v>
      </c>
      <c r="T197" s="24" t="str">
        <f>VLOOKUP(R197,[1]Sheet3!$A$2:$A$47,1,0)</f>
        <v>China</v>
      </c>
      <c r="U197" s="18" t="s">
        <v>10304</v>
      </c>
      <c r="V197" s="18" t="s">
        <v>10305</v>
      </c>
      <c r="W197" s="18" t="s">
        <v>8964</v>
      </c>
      <c r="X197" s="18" t="s">
        <v>126</v>
      </c>
      <c r="Y197" s="18" t="s">
        <v>8966</v>
      </c>
      <c r="Z197" s="18" t="s">
        <v>17</v>
      </c>
    </row>
    <row r="198" spans="1:26" ht="20.100000000000001" customHeight="1" x14ac:dyDescent="0.2">
      <c r="A198" s="30" t="s">
        <v>10306</v>
      </c>
      <c r="B198" s="19" t="s">
        <v>10307</v>
      </c>
      <c r="C198" s="19" t="s">
        <v>10308</v>
      </c>
      <c r="D198" s="8" t="s">
        <v>8984</v>
      </c>
      <c r="E198" s="20" t="s">
        <v>9155</v>
      </c>
      <c r="F198" s="20" t="s">
        <v>10309</v>
      </c>
      <c r="G198" s="20" t="s">
        <v>9133</v>
      </c>
      <c r="H198" s="20">
        <v>3540</v>
      </c>
      <c r="I198" s="20" t="s">
        <v>9019</v>
      </c>
      <c r="J198" s="20" t="s">
        <v>8953</v>
      </c>
      <c r="K198" s="20" t="s">
        <v>8989</v>
      </c>
      <c r="L198" s="21" t="s">
        <v>8955</v>
      </c>
      <c r="M198" s="20" t="s">
        <v>8956</v>
      </c>
      <c r="N198" s="20" t="s">
        <v>8957</v>
      </c>
      <c r="O198" s="20">
        <f t="shared" si="3"/>
        <v>7</v>
      </c>
      <c r="P198" s="22" t="s">
        <v>8958</v>
      </c>
      <c r="Q198" s="21" t="s">
        <v>9061</v>
      </c>
      <c r="R198" s="23" t="s">
        <v>9310</v>
      </c>
      <c r="S198" s="18" t="s">
        <v>10310</v>
      </c>
      <c r="T198" s="24" t="str">
        <f>VLOOKUP(R198,[1]Sheet3!$A$2:$A$47,1,0)</f>
        <v>China</v>
      </c>
      <c r="U198" s="18" t="s">
        <v>10311</v>
      </c>
      <c r="V198" s="18" t="s">
        <v>10312</v>
      </c>
      <c r="W198" s="18" t="s">
        <v>4457</v>
      </c>
      <c r="X198" s="18" t="s">
        <v>2149</v>
      </c>
      <c r="Y198" s="18" t="s">
        <v>10313</v>
      </c>
      <c r="Z198" s="18" t="s">
        <v>17</v>
      </c>
    </row>
    <row r="199" spans="1:26" ht="20.100000000000001" customHeight="1" x14ac:dyDescent="0.2">
      <c r="A199" s="30" t="s">
        <v>10314</v>
      </c>
      <c r="B199" s="19" t="s">
        <v>10315</v>
      </c>
      <c r="C199" s="19" t="s">
        <v>10316</v>
      </c>
      <c r="D199" s="8" t="s">
        <v>9049</v>
      </c>
      <c r="E199" s="20" t="s">
        <v>9325</v>
      </c>
      <c r="F199" s="20" t="s">
        <v>9018</v>
      </c>
      <c r="G199" s="20" t="s">
        <v>9464</v>
      </c>
      <c r="H199" s="20">
        <v>640</v>
      </c>
      <c r="I199" s="20" t="s">
        <v>9077</v>
      </c>
      <c r="J199" s="20" t="s">
        <v>8953</v>
      </c>
      <c r="K199" s="20" t="s">
        <v>8989</v>
      </c>
      <c r="L199" s="21" t="s">
        <v>8955</v>
      </c>
      <c r="M199" s="20" t="s">
        <v>8956</v>
      </c>
      <c r="N199" s="20" t="s">
        <v>8957</v>
      </c>
      <c r="O199" s="20">
        <f t="shared" si="3"/>
        <v>5</v>
      </c>
      <c r="P199" s="22" t="s">
        <v>8958</v>
      </c>
      <c r="Q199" s="21" t="s">
        <v>8959</v>
      </c>
      <c r="R199" s="23" t="s">
        <v>9010</v>
      </c>
      <c r="S199" s="18" t="s">
        <v>10245</v>
      </c>
      <c r="T199" s="24" t="str">
        <f>VLOOKUP(R199,[1]Sheet3!$A$2:$A$47,1,0)</f>
        <v>the United States of America</v>
      </c>
      <c r="U199" s="18" t="s">
        <v>10317</v>
      </c>
      <c r="V199" s="18" t="s">
        <v>10318</v>
      </c>
      <c r="W199" s="18" t="s">
        <v>8964</v>
      </c>
      <c r="X199" s="18" t="s">
        <v>396</v>
      </c>
      <c r="Y199" s="18" t="s">
        <v>10248</v>
      </c>
      <c r="Z199" s="18" t="s">
        <v>17</v>
      </c>
    </row>
    <row r="200" spans="1:26" ht="20.100000000000001" customHeight="1" x14ac:dyDescent="0.2">
      <c r="A200" s="30" t="s">
        <v>10319</v>
      </c>
      <c r="B200" s="19" t="s">
        <v>10320</v>
      </c>
      <c r="C200" s="19" t="s">
        <v>10321</v>
      </c>
      <c r="D200" s="8" t="s">
        <v>10322</v>
      </c>
      <c r="E200" s="20" t="s">
        <v>9155</v>
      </c>
      <c r="F200" s="20" t="s">
        <v>9036</v>
      </c>
      <c r="G200" s="20" t="s">
        <v>8951</v>
      </c>
      <c r="H200" s="20">
        <v>1359</v>
      </c>
      <c r="I200" s="20" t="s">
        <v>8952</v>
      </c>
      <c r="J200" s="20" t="s">
        <v>8953</v>
      </c>
      <c r="K200" s="20" t="s">
        <v>8954</v>
      </c>
      <c r="L200" s="21" t="s">
        <v>8955</v>
      </c>
      <c r="M200" s="20" t="s">
        <v>8956</v>
      </c>
      <c r="N200" s="20" t="s">
        <v>8974</v>
      </c>
      <c r="O200" s="20">
        <f t="shared" si="3"/>
        <v>11</v>
      </c>
      <c r="P200" s="22" t="s">
        <v>8975</v>
      </c>
      <c r="Q200" s="21" t="s">
        <v>8959</v>
      </c>
      <c r="R200" s="23" t="s">
        <v>9113</v>
      </c>
      <c r="S200" s="18" t="s">
        <v>8961</v>
      </c>
      <c r="T200" s="24" t="str">
        <f>VLOOKUP(R200,[1]Sheet3!$A$2:$A$47,1,0)</f>
        <v>UK</v>
      </c>
      <c r="U200" s="18" t="s">
        <v>10323</v>
      </c>
      <c r="V200" s="18" t="s">
        <v>10324</v>
      </c>
      <c r="W200" s="18" t="s">
        <v>8964</v>
      </c>
      <c r="X200" s="18" t="s">
        <v>126</v>
      </c>
      <c r="Y200" s="18" t="s">
        <v>8966</v>
      </c>
      <c r="Z200" s="18" t="s">
        <v>17</v>
      </c>
    </row>
    <row r="201" spans="1:26" ht="20.100000000000001" customHeight="1" x14ac:dyDescent="0.2">
      <c r="A201" s="30" t="s">
        <v>10325</v>
      </c>
      <c r="B201" s="19" t="s">
        <v>10326</v>
      </c>
      <c r="C201" s="19" t="s">
        <v>10327</v>
      </c>
      <c r="D201" s="8" t="s">
        <v>9173</v>
      </c>
      <c r="E201" s="33" t="s">
        <v>9174</v>
      </c>
      <c r="F201" s="27" t="s">
        <v>10328</v>
      </c>
      <c r="G201" s="20" t="s">
        <v>8973</v>
      </c>
      <c r="H201" s="20">
        <v>61280</v>
      </c>
      <c r="I201" s="20" t="s">
        <v>9019</v>
      </c>
      <c r="J201" s="20" t="s">
        <v>8953</v>
      </c>
      <c r="K201" s="20" t="s">
        <v>8954</v>
      </c>
      <c r="L201" s="21" t="s">
        <v>8955</v>
      </c>
      <c r="M201" s="20" t="s">
        <v>8956</v>
      </c>
      <c r="N201" s="20" t="s">
        <v>9060</v>
      </c>
      <c r="O201" s="20">
        <f t="shared" si="3"/>
        <v>5</v>
      </c>
      <c r="P201" s="22" t="s">
        <v>8958</v>
      </c>
      <c r="Q201" s="21" t="s">
        <v>8959</v>
      </c>
      <c r="R201" s="23" t="s">
        <v>9852</v>
      </c>
      <c r="S201" s="18" t="s">
        <v>9651</v>
      </c>
      <c r="T201" s="24" t="str">
        <f>VLOOKUP(R201,[1]Sheet3!$A$2:$A$47,1,0)</f>
        <v>Pakistan</v>
      </c>
      <c r="U201" s="18" t="s">
        <v>10329</v>
      </c>
      <c r="V201" s="18" t="s">
        <v>10330</v>
      </c>
      <c r="W201" s="18" t="s">
        <v>8964</v>
      </c>
      <c r="X201" s="18" t="s">
        <v>200</v>
      </c>
      <c r="Y201" s="18" t="s">
        <v>9654</v>
      </c>
      <c r="Z201" s="18" t="s">
        <v>17</v>
      </c>
    </row>
    <row r="202" spans="1:26" ht="20.100000000000001" customHeight="1" x14ac:dyDescent="0.2">
      <c r="A202" s="30" t="s">
        <v>10331</v>
      </c>
      <c r="B202" s="19" t="s">
        <v>10332</v>
      </c>
      <c r="C202" s="19" t="s">
        <v>10333</v>
      </c>
      <c r="D202" s="8" t="s">
        <v>9075</v>
      </c>
      <c r="E202" s="20" t="s">
        <v>9101</v>
      </c>
      <c r="F202" s="20" t="s">
        <v>8972</v>
      </c>
      <c r="G202" s="20" t="s">
        <v>8951</v>
      </c>
      <c r="H202" s="20">
        <v>3500</v>
      </c>
      <c r="I202" s="20" t="s">
        <v>9019</v>
      </c>
      <c r="J202" s="20" t="s">
        <v>8953</v>
      </c>
      <c r="K202" s="20" t="s">
        <v>8954</v>
      </c>
      <c r="L202" s="21" t="s">
        <v>8955</v>
      </c>
      <c r="M202" s="20" t="s">
        <v>8956</v>
      </c>
      <c r="N202" s="20" t="s">
        <v>8957</v>
      </c>
      <c r="O202" s="20">
        <f t="shared" si="3"/>
        <v>4</v>
      </c>
      <c r="P202" s="22" t="s">
        <v>8958</v>
      </c>
      <c r="Q202" s="21" t="s">
        <v>8959</v>
      </c>
      <c r="R202" s="23" t="s">
        <v>8991</v>
      </c>
      <c r="S202" s="18" t="s">
        <v>10334</v>
      </c>
      <c r="T202" s="24" t="str">
        <f>VLOOKUP(R202,[1]Sheet3!$A$2:$A$47,1,0)</f>
        <v>China</v>
      </c>
      <c r="U202" s="18" t="s">
        <v>10335</v>
      </c>
      <c r="V202" s="18" t="s">
        <v>10336</v>
      </c>
      <c r="W202" s="18" t="s">
        <v>8964</v>
      </c>
      <c r="X202" s="18" t="s">
        <v>7763</v>
      </c>
      <c r="Y202" s="18" t="s">
        <v>10337</v>
      </c>
      <c r="Z202" s="18" t="s">
        <v>17</v>
      </c>
    </row>
    <row r="203" spans="1:26" ht="20.100000000000001" customHeight="1" x14ac:dyDescent="0.2">
      <c r="A203" s="30" t="s">
        <v>10338</v>
      </c>
      <c r="B203" s="19" t="s">
        <v>10339</v>
      </c>
      <c r="C203" s="19" t="s">
        <v>10340</v>
      </c>
      <c r="D203" s="8" t="s">
        <v>9075</v>
      </c>
      <c r="E203" s="20" t="s">
        <v>8998</v>
      </c>
      <c r="F203" s="20" t="s">
        <v>9112</v>
      </c>
      <c r="G203" s="20" t="s">
        <v>8987</v>
      </c>
      <c r="H203" s="20">
        <v>179</v>
      </c>
      <c r="I203" s="20" t="s">
        <v>9158</v>
      </c>
      <c r="J203" s="20" t="s">
        <v>8953</v>
      </c>
      <c r="K203" s="20" t="s">
        <v>8989</v>
      </c>
      <c r="L203" s="21" t="s">
        <v>8955</v>
      </c>
      <c r="M203" s="20" t="s">
        <v>8956</v>
      </c>
      <c r="N203" s="20" t="s">
        <v>8959</v>
      </c>
      <c r="O203" s="20">
        <f t="shared" si="3"/>
        <v>9</v>
      </c>
      <c r="P203" s="22" t="s">
        <v>8975</v>
      </c>
      <c r="Q203" s="21" t="s">
        <v>9061</v>
      </c>
      <c r="R203" s="23" t="s">
        <v>9010</v>
      </c>
      <c r="S203" s="18" t="s">
        <v>10341</v>
      </c>
      <c r="T203" s="24" t="str">
        <f>VLOOKUP(R203,[1]Sheet3!$A$2:$A$47,1,0)</f>
        <v>the United States of America</v>
      </c>
      <c r="U203" s="18" t="s">
        <v>10342</v>
      </c>
      <c r="V203" s="18" t="s">
        <v>10343</v>
      </c>
      <c r="W203" s="18" t="s">
        <v>8964</v>
      </c>
      <c r="X203" s="18" t="s">
        <v>891</v>
      </c>
      <c r="Y203" s="18" t="s">
        <v>10344</v>
      </c>
      <c r="Z203" s="18" t="s">
        <v>17</v>
      </c>
    </row>
    <row r="204" spans="1:26" ht="20.100000000000001" customHeight="1" x14ac:dyDescent="0.2">
      <c r="A204" s="30" t="s">
        <v>10345</v>
      </c>
      <c r="B204" s="19" t="s">
        <v>10346</v>
      </c>
      <c r="C204" s="19" t="s">
        <v>10347</v>
      </c>
      <c r="D204" s="8" t="s">
        <v>9252</v>
      </c>
      <c r="E204" s="20" t="s">
        <v>9253</v>
      </c>
      <c r="F204" s="20" t="s">
        <v>9036</v>
      </c>
      <c r="G204" s="20" t="s">
        <v>9292</v>
      </c>
      <c r="H204" s="20">
        <v>1024</v>
      </c>
      <c r="I204" s="20" t="s">
        <v>8952</v>
      </c>
      <c r="J204" s="20" t="s">
        <v>8953</v>
      </c>
      <c r="K204" s="20" t="s">
        <v>8954</v>
      </c>
      <c r="L204" s="21" t="s">
        <v>8955</v>
      </c>
      <c r="M204" s="20" t="s">
        <v>8956</v>
      </c>
      <c r="N204" s="20" t="s">
        <v>8957</v>
      </c>
      <c r="O204" s="20">
        <f t="shared" si="3"/>
        <v>7</v>
      </c>
      <c r="P204" s="22" t="s">
        <v>8958</v>
      </c>
      <c r="Q204" s="21" t="s">
        <v>9061</v>
      </c>
      <c r="R204" s="23" t="s">
        <v>9010</v>
      </c>
      <c r="S204" s="18" t="s">
        <v>9011</v>
      </c>
      <c r="T204" s="24" t="str">
        <f>VLOOKUP(R204,[1]Sheet3!$A$2:$A$47,1,0)</f>
        <v>the United States of America</v>
      </c>
      <c r="U204" s="18" t="s">
        <v>10348</v>
      </c>
      <c r="V204" s="18" t="s">
        <v>10349</v>
      </c>
      <c r="W204" s="18" t="s">
        <v>8964</v>
      </c>
      <c r="X204" s="18" t="s">
        <v>93</v>
      </c>
      <c r="Y204" s="18" t="s">
        <v>9014</v>
      </c>
      <c r="Z204" s="18" t="s">
        <v>17</v>
      </c>
    </row>
    <row r="205" spans="1:26" ht="20.100000000000001" customHeight="1" x14ac:dyDescent="0.2">
      <c r="A205" s="30" t="s">
        <v>10350</v>
      </c>
      <c r="B205" s="19" t="s">
        <v>10351</v>
      </c>
      <c r="C205" s="19" t="s">
        <v>10352</v>
      </c>
      <c r="D205" s="8" t="s">
        <v>9252</v>
      </c>
      <c r="E205" s="20" t="s">
        <v>9155</v>
      </c>
      <c r="F205" s="27" t="s">
        <v>10353</v>
      </c>
      <c r="G205" s="20" t="s">
        <v>8987</v>
      </c>
      <c r="H205" s="20">
        <v>8158</v>
      </c>
      <c r="I205" s="20" t="s">
        <v>9019</v>
      </c>
      <c r="J205" s="20" t="s">
        <v>8953</v>
      </c>
      <c r="K205" s="20" t="s">
        <v>8954</v>
      </c>
      <c r="L205" s="21" t="s">
        <v>8955</v>
      </c>
      <c r="M205" s="20" t="s">
        <v>8990</v>
      </c>
      <c r="N205" s="20" t="s">
        <v>8959</v>
      </c>
      <c r="O205" s="20">
        <f t="shared" si="3"/>
        <v>5</v>
      </c>
      <c r="P205" s="22" t="s">
        <v>8958</v>
      </c>
      <c r="Q205" s="21" t="s">
        <v>8959</v>
      </c>
      <c r="R205" s="23" t="s">
        <v>9010</v>
      </c>
      <c r="S205" s="18" t="s">
        <v>9020</v>
      </c>
      <c r="T205" s="24" t="str">
        <f>VLOOKUP(R205,[1]Sheet3!$A$2:$A$47,1,0)</f>
        <v>the United States of America</v>
      </c>
      <c r="U205" s="18" t="s">
        <v>10354</v>
      </c>
      <c r="V205" s="18" t="s">
        <v>10355</v>
      </c>
      <c r="W205" s="18" t="s">
        <v>8964</v>
      </c>
      <c r="X205" s="18" t="s">
        <v>87</v>
      </c>
      <c r="Y205" s="18" t="s">
        <v>9023</v>
      </c>
      <c r="Z205" s="18" t="s">
        <v>17</v>
      </c>
    </row>
    <row r="206" spans="1:26" ht="20.100000000000001" customHeight="1" x14ac:dyDescent="0.2">
      <c r="A206" s="30" t="s">
        <v>10356</v>
      </c>
      <c r="B206" s="19" t="s">
        <v>10357</v>
      </c>
      <c r="C206" s="19" t="s">
        <v>10358</v>
      </c>
      <c r="D206" s="8" t="s">
        <v>9075</v>
      </c>
      <c r="E206" s="20" t="s">
        <v>8998</v>
      </c>
      <c r="F206" s="20" t="s">
        <v>8972</v>
      </c>
      <c r="G206" s="20" t="s">
        <v>8973</v>
      </c>
      <c r="H206" s="20">
        <v>173</v>
      </c>
      <c r="I206" s="20" t="s">
        <v>9158</v>
      </c>
      <c r="J206" s="20" t="s">
        <v>9059</v>
      </c>
      <c r="K206" s="20" t="s">
        <v>8989</v>
      </c>
      <c r="L206" s="21" t="s">
        <v>8955</v>
      </c>
      <c r="M206" s="20" t="s">
        <v>8956</v>
      </c>
      <c r="N206" s="20" t="s">
        <v>8957</v>
      </c>
      <c r="O206" s="20">
        <f t="shared" si="3"/>
        <v>10</v>
      </c>
      <c r="P206" s="22" t="s">
        <v>8975</v>
      </c>
      <c r="Q206" s="21" t="s">
        <v>9061</v>
      </c>
      <c r="R206" s="23" t="s">
        <v>9010</v>
      </c>
      <c r="S206" s="18" t="s">
        <v>9011</v>
      </c>
      <c r="T206" s="24" t="str">
        <f>VLOOKUP(R206,[1]Sheet3!$A$2:$A$47,1,0)</f>
        <v>the United States of America</v>
      </c>
      <c r="U206" s="18" t="s">
        <v>10359</v>
      </c>
      <c r="V206" s="18" t="s">
        <v>10360</v>
      </c>
      <c r="W206" s="18" t="s">
        <v>8964</v>
      </c>
      <c r="X206" s="18" t="s">
        <v>93</v>
      </c>
      <c r="Y206" s="18" t="s">
        <v>9014</v>
      </c>
      <c r="Z206" s="18" t="s">
        <v>17</v>
      </c>
    </row>
    <row r="207" spans="1:26" ht="20.100000000000001" customHeight="1" x14ac:dyDescent="0.2">
      <c r="A207" s="30" t="s">
        <v>10361</v>
      </c>
      <c r="B207" s="19" t="s">
        <v>10362</v>
      </c>
      <c r="C207" s="19" t="s">
        <v>10363</v>
      </c>
      <c r="D207" s="8" t="s">
        <v>9035</v>
      </c>
      <c r="E207" s="20" t="s">
        <v>8998</v>
      </c>
      <c r="F207" s="20" t="s">
        <v>8950</v>
      </c>
      <c r="G207" s="20" t="s">
        <v>9076</v>
      </c>
      <c r="H207" s="20">
        <v>82</v>
      </c>
      <c r="I207" s="20" t="s">
        <v>9008</v>
      </c>
      <c r="J207" s="20" t="s">
        <v>9059</v>
      </c>
      <c r="K207" s="31" t="s">
        <v>8989</v>
      </c>
      <c r="L207" s="21" t="s">
        <v>8955</v>
      </c>
      <c r="M207" s="20" t="s">
        <v>8990</v>
      </c>
      <c r="N207" s="20" t="s">
        <v>8957</v>
      </c>
      <c r="O207" s="20">
        <f t="shared" si="3"/>
        <v>9</v>
      </c>
      <c r="P207" s="22" t="s">
        <v>8975</v>
      </c>
      <c r="Q207" s="21" t="s">
        <v>9061</v>
      </c>
      <c r="R207" s="23" t="s">
        <v>9010</v>
      </c>
      <c r="S207" s="18" t="s">
        <v>9011</v>
      </c>
      <c r="T207" s="24" t="str">
        <f>VLOOKUP(R207,[1]Sheet3!$A$2:$A$47,1,0)</f>
        <v>the United States of America</v>
      </c>
      <c r="U207" s="18" t="s">
        <v>10364</v>
      </c>
      <c r="V207" s="18" t="s">
        <v>10365</v>
      </c>
      <c r="W207" s="18" t="s">
        <v>8964</v>
      </c>
      <c r="X207" s="18" t="s">
        <v>93</v>
      </c>
      <c r="Y207" s="18" t="s">
        <v>9014</v>
      </c>
      <c r="Z207" s="18" t="s">
        <v>17</v>
      </c>
    </row>
    <row r="208" spans="1:26" ht="20.100000000000001" customHeight="1" x14ac:dyDescent="0.2">
      <c r="A208" s="30" t="s">
        <v>10366</v>
      </c>
      <c r="B208" s="19" t="s">
        <v>10367</v>
      </c>
      <c r="C208" s="19" t="s">
        <v>10368</v>
      </c>
      <c r="D208" s="8" t="s">
        <v>9075</v>
      </c>
      <c r="E208" s="20" t="s">
        <v>8949</v>
      </c>
      <c r="F208" s="27" t="s">
        <v>10369</v>
      </c>
      <c r="G208" s="20" t="s">
        <v>8973</v>
      </c>
      <c r="H208" s="20">
        <v>50</v>
      </c>
      <c r="I208" s="20" t="s">
        <v>9008</v>
      </c>
      <c r="J208" s="20" t="s">
        <v>9479</v>
      </c>
      <c r="K208" s="20" t="s">
        <v>8989</v>
      </c>
      <c r="L208" s="21" t="s">
        <v>8955</v>
      </c>
      <c r="M208" s="20" t="s">
        <v>8956</v>
      </c>
      <c r="N208" s="20" t="s">
        <v>8959</v>
      </c>
      <c r="O208" s="20">
        <f t="shared" si="3"/>
        <v>6</v>
      </c>
      <c r="P208" s="22" t="s">
        <v>8958</v>
      </c>
      <c r="Q208" s="21" t="s">
        <v>8959</v>
      </c>
      <c r="R208" s="23" t="s">
        <v>9176</v>
      </c>
      <c r="S208" s="18" t="s">
        <v>9085</v>
      </c>
      <c r="T208" s="24" t="str">
        <f>VLOOKUP(R208,[1]Sheet3!$A$2:$A$47,1,0)</f>
        <v>Australia</v>
      </c>
      <c r="U208" s="18" t="s">
        <v>10370</v>
      </c>
      <c r="V208" s="18" t="s">
        <v>10371</v>
      </c>
      <c r="W208" s="18" t="s">
        <v>8964</v>
      </c>
      <c r="X208" s="18" t="s">
        <v>184</v>
      </c>
      <c r="Y208" s="18" t="s">
        <v>9088</v>
      </c>
      <c r="Z208" s="18" t="s">
        <v>17</v>
      </c>
    </row>
    <row r="209" spans="1:26" ht="20.100000000000001" customHeight="1" x14ac:dyDescent="0.2">
      <c r="A209" s="30" t="s">
        <v>10372</v>
      </c>
      <c r="B209" s="19" t="s">
        <v>10373</v>
      </c>
      <c r="C209" s="19" t="s">
        <v>10374</v>
      </c>
      <c r="D209" s="8" t="s">
        <v>8948</v>
      </c>
      <c r="E209" s="20" t="s">
        <v>8949</v>
      </c>
      <c r="F209" s="20" t="s">
        <v>10375</v>
      </c>
      <c r="G209" s="20" t="s">
        <v>8973</v>
      </c>
      <c r="H209" s="20">
        <v>50</v>
      </c>
      <c r="I209" s="20" t="s">
        <v>9008</v>
      </c>
      <c r="J209" s="20" t="s">
        <v>9059</v>
      </c>
      <c r="K209" s="20" t="s">
        <v>8989</v>
      </c>
      <c r="L209" s="21" t="s">
        <v>8955</v>
      </c>
      <c r="M209" s="20" t="s">
        <v>8956</v>
      </c>
      <c r="N209" s="20" t="s">
        <v>8957</v>
      </c>
      <c r="O209" s="20">
        <f t="shared" si="3"/>
        <v>9</v>
      </c>
      <c r="P209" s="22" t="s">
        <v>8975</v>
      </c>
      <c r="Q209" s="21" t="s">
        <v>9009</v>
      </c>
      <c r="R209" s="23" t="s">
        <v>9113</v>
      </c>
      <c r="S209" s="18" t="s">
        <v>9052</v>
      </c>
      <c r="T209" s="24" t="str">
        <f>VLOOKUP(R209,[1]Sheet3!$A$2:$A$47,1,0)</f>
        <v>UK</v>
      </c>
      <c r="U209" s="18" t="s">
        <v>10376</v>
      </c>
      <c r="V209" s="18" t="s">
        <v>10377</v>
      </c>
      <c r="W209" s="18" t="s">
        <v>8964</v>
      </c>
      <c r="X209" s="18" t="s">
        <v>74</v>
      </c>
      <c r="Y209" s="18" t="s">
        <v>9055</v>
      </c>
      <c r="Z209" s="18" t="s">
        <v>17</v>
      </c>
    </row>
    <row r="210" spans="1:26" ht="20.100000000000001" customHeight="1" x14ac:dyDescent="0.2">
      <c r="A210" s="30" t="s">
        <v>10378</v>
      </c>
      <c r="B210" s="46" t="s">
        <v>10379</v>
      </c>
      <c r="C210" s="46" t="s">
        <v>10380</v>
      </c>
      <c r="D210" s="8" t="s">
        <v>8984</v>
      </c>
      <c r="E210" s="31" t="s">
        <v>8949</v>
      </c>
      <c r="F210" s="43" t="s">
        <v>10381</v>
      </c>
      <c r="G210" s="31" t="s">
        <v>9133</v>
      </c>
      <c r="H210" s="31">
        <v>19276</v>
      </c>
      <c r="I210" s="31" t="s">
        <v>9019</v>
      </c>
      <c r="J210" s="31" t="s">
        <v>8953</v>
      </c>
      <c r="K210" s="31" t="s">
        <v>8989</v>
      </c>
      <c r="L210" s="32" t="s">
        <v>8955</v>
      </c>
      <c r="M210" s="31" t="s">
        <v>8956</v>
      </c>
      <c r="N210" s="31" t="s">
        <v>8957</v>
      </c>
      <c r="O210" s="31">
        <f t="shared" si="3"/>
        <v>7</v>
      </c>
      <c r="P210" s="47" t="s">
        <v>8958</v>
      </c>
      <c r="Q210" s="32" t="s">
        <v>9183</v>
      </c>
      <c r="R210" s="23" t="s">
        <v>9310</v>
      </c>
      <c r="S210" s="30" t="s">
        <v>10382</v>
      </c>
      <c r="T210" s="24" t="str">
        <f>VLOOKUP(R210,[1]Sheet3!$A$2:$A$47,1,0)</f>
        <v>China</v>
      </c>
      <c r="U210" s="30" t="s">
        <v>10383</v>
      </c>
      <c r="V210" s="30" t="s">
        <v>10384</v>
      </c>
      <c r="W210" s="30" t="s">
        <v>4457</v>
      </c>
      <c r="X210" s="30" t="s">
        <v>2003</v>
      </c>
      <c r="Y210" s="30" t="s">
        <v>10385</v>
      </c>
      <c r="Z210" s="30" t="s">
        <v>17</v>
      </c>
    </row>
    <row r="211" spans="1:26" ht="20.100000000000001" customHeight="1" x14ac:dyDescent="0.2">
      <c r="A211" s="30" t="s">
        <v>10386</v>
      </c>
      <c r="B211" s="19" t="s">
        <v>10387</v>
      </c>
      <c r="C211" s="19" t="s">
        <v>10388</v>
      </c>
      <c r="D211" s="8" t="s">
        <v>9075</v>
      </c>
      <c r="E211" s="20" t="s">
        <v>8949</v>
      </c>
      <c r="F211" s="20" t="s">
        <v>9349</v>
      </c>
      <c r="G211" s="20" t="s">
        <v>8973</v>
      </c>
      <c r="H211" s="20">
        <v>90</v>
      </c>
      <c r="I211" s="20" t="s">
        <v>9008</v>
      </c>
      <c r="J211" s="20" t="s">
        <v>8953</v>
      </c>
      <c r="K211" s="20" t="s">
        <v>8954</v>
      </c>
      <c r="L211" s="21" t="s">
        <v>8955</v>
      </c>
      <c r="M211" s="20" t="s">
        <v>8956</v>
      </c>
      <c r="N211" s="20" t="s">
        <v>9060</v>
      </c>
      <c r="O211" s="20">
        <f t="shared" si="3"/>
        <v>11</v>
      </c>
      <c r="P211" s="22" t="s">
        <v>8975</v>
      </c>
      <c r="Q211" s="21" t="s">
        <v>9061</v>
      </c>
      <c r="R211" s="23" t="s">
        <v>9010</v>
      </c>
      <c r="S211" s="18" t="s">
        <v>9011</v>
      </c>
      <c r="T211" s="24" t="str">
        <f>VLOOKUP(R211,[1]Sheet3!$A$2:$A$47,1,0)</f>
        <v>the United States of America</v>
      </c>
      <c r="U211" s="18" t="s">
        <v>10270</v>
      </c>
      <c r="V211" s="18" t="s">
        <v>10389</v>
      </c>
      <c r="W211" s="18" t="s">
        <v>8964</v>
      </c>
      <c r="X211" s="18" t="s">
        <v>93</v>
      </c>
      <c r="Y211" s="18" t="s">
        <v>9014</v>
      </c>
      <c r="Z211" s="18" t="s">
        <v>17</v>
      </c>
    </row>
    <row r="212" spans="1:26" ht="20.100000000000001" customHeight="1" x14ac:dyDescent="0.2">
      <c r="A212" s="30" t="s">
        <v>10390</v>
      </c>
      <c r="B212" s="19" t="s">
        <v>10391</v>
      </c>
      <c r="C212" s="19" t="s">
        <v>10392</v>
      </c>
      <c r="D212" s="8" t="s">
        <v>8948</v>
      </c>
      <c r="E212" s="20" t="s">
        <v>8998</v>
      </c>
      <c r="F212" s="20" t="s">
        <v>9386</v>
      </c>
      <c r="G212" s="20" t="s">
        <v>9464</v>
      </c>
      <c r="H212" s="20">
        <v>300</v>
      </c>
      <c r="I212" s="20" t="s">
        <v>8988</v>
      </c>
      <c r="J212" s="20" t="s">
        <v>8953</v>
      </c>
      <c r="K212" s="20" t="s">
        <v>8954</v>
      </c>
      <c r="L212" s="21" t="s">
        <v>8955</v>
      </c>
      <c r="M212" s="20" t="s">
        <v>8956</v>
      </c>
      <c r="N212" s="20" t="s">
        <v>8957</v>
      </c>
      <c r="O212" s="20">
        <f t="shared" si="3"/>
        <v>9</v>
      </c>
      <c r="P212" s="22" t="s">
        <v>8975</v>
      </c>
      <c r="Q212" s="21" t="s">
        <v>8959</v>
      </c>
      <c r="R212" s="23" t="s">
        <v>9310</v>
      </c>
      <c r="S212" s="18" t="s">
        <v>9011</v>
      </c>
      <c r="T212" s="24" t="str">
        <f>VLOOKUP(R212,[1]Sheet3!$A$2:$A$47,1,0)</f>
        <v>China</v>
      </c>
      <c r="U212" s="18" t="s">
        <v>10393</v>
      </c>
      <c r="V212" s="18" t="s">
        <v>10394</v>
      </c>
      <c r="W212" s="18" t="s">
        <v>8964</v>
      </c>
      <c r="X212" s="18" t="s">
        <v>93</v>
      </c>
      <c r="Y212" s="18" t="s">
        <v>9014</v>
      </c>
      <c r="Z212" s="18" t="s">
        <v>17</v>
      </c>
    </row>
    <row r="213" spans="1:26" ht="20.100000000000001" customHeight="1" x14ac:dyDescent="0.2">
      <c r="A213" s="30" t="s">
        <v>10395</v>
      </c>
      <c r="B213" s="19" t="s">
        <v>10396</v>
      </c>
      <c r="C213" s="19" t="s">
        <v>10397</v>
      </c>
      <c r="D213" s="8" t="s">
        <v>9252</v>
      </c>
      <c r="E213" s="20" t="s">
        <v>8985</v>
      </c>
      <c r="F213" s="20" t="s">
        <v>9036</v>
      </c>
      <c r="G213" s="20" t="s">
        <v>8973</v>
      </c>
      <c r="H213" s="20">
        <v>400</v>
      </c>
      <c r="I213" s="20" t="s">
        <v>8988</v>
      </c>
      <c r="J213" s="20" t="s">
        <v>8953</v>
      </c>
      <c r="K213" s="20" t="s">
        <v>8954</v>
      </c>
      <c r="L213" s="21" t="s">
        <v>8955</v>
      </c>
      <c r="M213" s="20" t="s">
        <v>8990</v>
      </c>
      <c r="N213" s="20" t="s">
        <v>8957</v>
      </c>
      <c r="O213" s="20">
        <f t="shared" si="3"/>
        <v>9</v>
      </c>
      <c r="P213" s="22" t="s">
        <v>8975</v>
      </c>
      <c r="Q213" s="21" t="s">
        <v>8959</v>
      </c>
      <c r="R213" s="23" t="s">
        <v>9310</v>
      </c>
      <c r="S213" s="18" t="s">
        <v>9255</v>
      </c>
      <c r="T213" s="24" t="str">
        <f>VLOOKUP(R213,[1]Sheet3!$A$2:$A$47,1,0)</f>
        <v>China</v>
      </c>
      <c r="U213" s="18" t="s">
        <v>10398</v>
      </c>
      <c r="V213" s="18" t="s">
        <v>10399</v>
      </c>
      <c r="W213" s="18" t="s">
        <v>8964</v>
      </c>
      <c r="X213" s="18" t="s">
        <v>24</v>
      </c>
      <c r="Y213" s="18" t="s">
        <v>9258</v>
      </c>
      <c r="Z213" s="18" t="s">
        <v>17</v>
      </c>
    </row>
    <row r="214" spans="1:26" ht="20.100000000000001" customHeight="1" x14ac:dyDescent="0.2">
      <c r="A214" s="30" t="s">
        <v>10400</v>
      </c>
      <c r="B214" s="19" t="s">
        <v>10401</v>
      </c>
      <c r="C214" s="19" t="s">
        <v>10402</v>
      </c>
      <c r="D214" s="8" t="s">
        <v>9252</v>
      </c>
      <c r="E214" s="20" t="s">
        <v>9253</v>
      </c>
      <c r="F214" s="20" t="s">
        <v>10403</v>
      </c>
      <c r="G214" s="20" t="s">
        <v>8987</v>
      </c>
      <c r="H214" s="20">
        <v>212</v>
      </c>
      <c r="I214" s="20" t="s">
        <v>9158</v>
      </c>
      <c r="J214" s="20" t="s">
        <v>8953</v>
      </c>
      <c r="K214" s="20" t="s">
        <v>8989</v>
      </c>
      <c r="L214" s="21" t="s">
        <v>8955</v>
      </c>
      <c r="M214" s="20" t="s">
        <v>8956</v>
      </c>
      <c r="N214" s="20" t="s">
        <v>8957</v>
      </c>
      <c r="O214" s="20">
        <f t="shared" si="3"/>
        <v>6</v>
      </c>
      <c r="P214" s="22" t="s">
        <v>8958</v>
      </c>
      <c r="Q214" s="21" t="s">
        <v>8959</v>
      </c>
      <c r="R214" s="23" t="s">
        <v>9310</v>
      </c>
      <c r="S214" s="18" t="s">
        <v>10404</v>
      </c>
      <c r="T214" s="24" t="str">
        <f>VLOOKUP(R214,[1]Sheet3!$A$2:$A$47,1,0)</f>
        <v>China</v>
      </c>
      <c r="U214" s="18" t="s">
        <v>10405</v>
      </c>
      <c r="V214" s="18" t="s">
        <v>10406</v>
      </c>
      <c r="W214" s="18" t="s">
        <v>4457</v>
      </c>
      <c r="X214" s="18" t="s">
        <v>4458</v>
      </c>
      <c r="Y214" s="18" t="s">
        <v>10407</v>
      </c>
      <c r="Z214" s="18" t="s">
        <v>17</v>
      </c>
    </row>
    <row r="215" spans="1:26" ht="20.100000000000001" customHeight="1" x14ac:dyDescent="0.2">
      <c r="A215" s="30" t="s">
        <v>10408</v>
      </c>
      <c r="B215" s="19" t="s">
        <v>10409</v>
      </c>
      <c r="C215" s="19" t="s">
        <v>10410</v>
      </c>
      <c r="D215" s="8" t="s">
        <v>8984</v>
      </c>
      <c r="E215" s="20" t="s">
        <v>9269</v>
      </c>
      <c r="F215" s="20" t="s">
        <v>9018</v>
      </c>
      <c r="G215" s="31" t="s">
        <v>9157</v>
      </c>
      <c r="H215" s="31">
        <v>948</v>
      </c>
      <c r="I215" s="20" t="s">
        <v>9077</v>
      </c>
      <c r="J215" s="20" t="s">
        <v>8953</v>
      </c>
      <c r="K215" s="20" t="s">
        <v>8954</v>
      </c>
      <c r="L215" s="21" t="s">
        <v>8955</v>
      </c>
      <c r="M215" s="20" t="s">
        <v>8956</v>
      </c>
      <c r="N215" s="20" t="s">
        <v>8957</v>
      </c>
      <c r="O215" s="20">
        <f t="shared" si="3"/>
        <v>18</v>
      </c>
      <c r="P215" s="22" t="s">
        <v>8975</v>
      </c>
      <c r="Q215" s="21" t="s">
        <v>9009</v>
      </c>
      <c r="R215" s="23" t="s">
        <v>9317</v>
      </c>
      <c r="S215" s="18" t="s">
        <v>10411</v>
      </c>
      <c r="T215" s="24" t="str">
        <f>VLOOKUP(R215,[1]Sheet3!$A$2:$A$47,1,0)</f>
        <v>Germany</v>
      </c>
      <c r="U215" s="18" t="s">
        <v>10412</v>
      </c>
      <c r="V215" s="18" t="s">
        <v>10413</v>
      </c>
      <c r="W215" s="18" t="s">
        <v>8964</v>
      </c>
      <c r="X215" s="18" t="s">
        <v>771</v>
      </c>
      <c r="Y215" s="18" t="s">
        <v>10414</v>
      </c>
      <c r="Z215" s="18" t="s">
        <v>17</v>
      </c>
    </row>
    <row r="216" spans="1:26" ht="20.100000000000001" customHeight="1" x14ac:dyDescent="0.2">
      <c r="A216" s="30" t="s">
        <v>10415</v>
      </c>
      <c r="B216" s="19" t="s">
        <v>10416</v>
      </c>
      <c r="C216" s="19" t="s">
        <v>10417</v>
      </c>
      <c r="D216" s="8" t="s">
        <v>9278</v>
      </c>
      <c r="E216" s="20" t="s">
        <v>9155</v>
      </c>
      <c r="F216" s="20" t="s">
        <v>9036</v>
      </c>
      <c r="G216" s="20" t="s">
        <v>8987</v>
      </c>
      <c r="H216" s="20">
        <v>1189</v>
      </c>
      <c r="I216" s="20" t="s">
        <v>8952</v>
      </c>
      <c r="J216" s="20" t="s">
        <v>8953</v>
      </c>
      <c r="K216" s="20" t="s">
        <v>8954</v>
      </c>
      <c r="L216" s="21" t="s">
        <v>8955</v>
      </c>
      <c r="M216" s="20" t="s">
        <v>8990</v>
      </c>
      <c r="N216" s="20" t="s">
        <v>8959</v>
      </c>
      <c r="O216" s="20">
        <f t="shared" si="3"/>
        <v>5</v>
      </c>
      <c r="P216" s="22" t="s">
        <v>8958</v>
      </c>
      <c r="Q216" s="21" t="s">
        <v>9009</v>
      </c>
      <c r="R216" s="23" t="s">
        <v>9317</v>
      </c>
      <c r="S216" s="18" t="s">
        <v>9159</v>
      </c>
      <c r="T216" s="24" t="str">
        <f>VLOOKUP(R216,[1]Sheet3!$A$2:$A$47,1,0)</f>
        <v>Germany</v>
      </c>
      <c r="U216" s="19" t="s">
        <v>10418</v>
      </c>
      <c r="V216" s="18" t="s">
        <v>10419</v>
      </c>
      <c r="W216" s="18" t="s">
        <v>8964</v>
      </c>
      <c r="X216" s="18" t="s">
        <v>61</v>
      </c>
      <c r="Y216" s="18" t="s">
        <v>9162</v>
      </c>
      <c r="Z216" s="18" t="s">
        <v>17</v>
      </c>
    </row>
    <row r="217" spans="1:26" ht="20.100000000000001" customHeight="1" x14ac:dyDescent="0.2">
      <c r="A217" s="30" t="s">
        <v>10420</v>
      </c>
      <c r="B217" s="19" t="s">
        <v>10421</v>
      </c>
      <c r="C217" s="19" t="s">
        <v>10422</v>
      </c>
      <c r="D217" s="8" t="s">
        <v>9173</v>
      </c>
      <c r="E217" s="20" t="s">
        <v>9174</v>
      </c>
      <c r="F217" s="20" t="s">
        <v>9112</v>
      </c>
      <c r="G217" s="20" t="s">
        <v>9133</v>
      </c>
      <c r="H217" s="20">
        <v>5161</v>
      </c>
      <c r="I217" s="20" t="s">
        <v>9019</v>
      </c>
      <c r="J217" s="20" t="s">
        <v>8953</v>
      </c>
      <c r="K217" s="20" t="s">
        <v>8954</v>
      </c>
      <c r="L217" s="21" t="s">
        <v>9182</v>
      </c>
      <c r="M217" s="20" t="s">
        <v>8956</v>
      </c>
      <c r="N217" s="20" t="s">
        <v>8959</v>
      </c>
      <c r="O217" s="20">
        <f t="shared" si="3"/>
        <v>8</v>
      </c>
      <c r="P217" s="22" t="s">
        <v>8975</v>
      </c>
      <c r="Q217" s="21" t="s">
        <v>8959</v>
      </c>
      <c r="R217" s="23" t="s">
        <v>9010</v>
      </c>
      <c r="S217" s="18" t="s">
        <v>1421</v>
      </c>
      <c r="T217" s="24" t="str">
        <f>VLOOKUP(R217,[1]Sheet3!$A$2:$A$47,1,0)</f>
        <v>the United States of America</v>
      </c>
      <c r="U217" s="18" t="s">
        <v>10423</v>
      </c>
      <c r="V217" s="18" t="s">
        <v>10424</v>
      </c>
      <c r="W217" s="18" t="s">
        <v>8964</v>
      </c>
      <c r="X217" s="18" t="s">
        <v>1421</v>
      </c>
      <c r="Y217" s="18" t="s">
        <v>9707</v>
      </c>
      <c r="Z217" s="18" t="s">
        <v>17</v>
      </c>
    </row>
    <row r="218" spans="1:26" ht="20.100000000000001" customHeight="1" x14ac:dyDescent="0.2">
      <c r="A218" s="30" t="s">
        <v>10425</v>
      </c>
      <c r="B218" s="19" t="s">
        <v>10426</v>
      </c>
      <c r="C218" s="19" t="s">
        <v>10427</v>
      </c>
      <c r="D218" s="8" t="s">
        <v>9035</v>
      </c>
      <c r="E218" s="20" t="s">
        <v>8998</v>
      </c>
      <c r="F218" s="20" t="s">
        <v>10428</v>
      </c>
      <c r="G218" s="20" t="s">
        <v>8951</v>
      </c>
      <c r="H218" s="20">
        <v>1228</v>
      </c>
      <c r="I218" s="20" t="s">
        <v>8952</v>
      </c>
      <c r="J218" s="20" t="s">
        <v>8953</v>
      </c>
      <c r="K218" s="20" t="s">
        <v>8954</v>
      </c>
      <c r="L218" s="21" t="s">
        <v>8955</v>
      </c>
      <c r="M218" s="20" t="s">
        <v>8956</v>
      </c>
      <c r="N218" s="20" t="s">
        <v>8957</v>
      </c>
      <c r="O218" s="20">
        <f t="shared" si="3"/>
        <v>10</v>
      </c>
      <c r="P218" s="22" t="s">
        <v>8975</v>
      </c>
      <c r="Q218" s="21" t="s">
        <v>9009</v>
      </c>
      <c r="R218" s="23" t="s">
        <v>9310</v>
      </c>
      <c r="S218" s="18" t="s">
        <v>10429</v>
      </c>
      <c r="T218" s="24" t="str">
        <f>VLOOKUP(R218,[1]Sheet3!$A$2:$A$47,1,0)</f>
        <v>China</v>
      </c>
      <c r="U218" s="18" t="s">
        <v>10430</v>
      </c>
      <c r="V218" s="18" t="s">
        <v>10431</v>
      </c>
      <c r="W218" s="18" t="s">
        <v>8964</v>
      </c>
      <c r="X218" s="18" t="s">
        <v>1598</v>
      </c>
      <c r="Y218" s="18" t="s">
        <v>10432</v>
      </c>
      <c r="Z218" s="18" t="s">
        <v>17</v>
      </c>
    </row>
    <row r="219" spans="1:26" ht="20.100000000000001" customHeight="1" x14ac:dyDescent="0.2">
      <c r="A219" s="30" t="s">
        <v>10433</v>
      </c>
      <c r="B219" s="19" t="s">
        <v>10434</v>
      </c>
      <c r="C219" s="19" t="s">
        <v>10435</v>
      </c>
      <c r="D219" s="8" t="s">
        <v>10436</v>
      </c>
      <c r="E219" s="20" t="s">
        <v>8998</v>
      </c>
      <c r="F219" s="20" t="s">
        <v>10437</v>
      </c>
      <c r="G219" s="20" t="s">
        <v>8973</v>
      </c>
      <c r="H219" s="20">
        <v>11084</v>
      </c>
      <c r="I219" s="20" t="s">
        <v>9019</v>
      </c>
      <c r="J219" s="20" t="s">
        <v>8953</v>
      </c>
      <c r="K219" s="31" t="s">
        <v>8954</v>
      </c>
      <c r="L219" s="21" t="s">
        <v>9182</v>
      </c>
      <c r="M219" s="20" t="s">
        <v>8956</v>
      </c>
      <c r="N219" s="20" t="s">
        <v>8957</v>
      </c>
      <c r="O219" s="20">
        <f t="shared" si="3"/>
        <v>4</v>
      </c>
      <c r="P219" s="22" t="s">
        <v>8958</v>
      </c>
      <c r="Q219" s="21" t="s">
        <v>8959</v>
      </c>
      <c r="R219" s="23" t="s">
        <v>10032</v>
      </c>
      <c r="S219" s="18" t="s">
        <v>10438</v>
      </c>
      <c r="T219" s="24" t="str">
        <f>VLOOKUP(R219,[1]Sheet3!$A$2:$A$47,1,0)</f>
        <v>France</v>
      </c>
      <c r="U219" s="18" t="s">
        <v>10439</v>
      </c>
      <c r="V219" s="18" t="s">
        <v>10440</v>
      </c>
      <c r="W219" s="18" t="s">
        <v>8964</v>
      </c>
      <c r="X219" s="18" t="s">
        <v>286</v>
      </c>
      <c r="Y219" s="18" t="s">
        <v>10441</v>
      </c>
      <c r="Z219" s="18" t="s">
        <v>17</v>
      </c>
    </row>
    <row r="220" spans="1:26" ht="20.100000000000001" customHeight="1" x14ac:dyDescent="0.2">
      <c r="A220" s="30" t="s">
        <v>10442</v>
      </c>
      <c r="B220" s="19" t="s">
        <v>10443</v>
      </c>
      <c r="C220" s="19" t="s">
        <v>10444</v>
      </c>
      <c r="D220" s="8" t="s">
        <v>8948</v>
      </c>
      <c r="E220" s="31" t="s">
        <v>9325</v>
      </c>
      <c r="F220" s="20" t="s">
        <v>10445</v>
      </c>
      <c r="G220" s="20" t="s">
        <v>9133</v>
      </c>
      <c r="H220" s="20">
        <v>3872</v>
      </c>
      <c r="I220" s="20" t="s">
        <v>9019</v>
      </c>
      <c r="J220" s="20" t="s">
        <v>8953</v>
      </c>
      <c r="K220" s="20" t="s">
        <v>8989</v>
      </c>
      <c r="L220" s="21" t="s">
        <v>8955</v>
      </c>
      <c r="M220" s="20" t="s">
        <v>8956</v>
      </c>
      <c r="N220" s="20" t="s">
        <v>8957</v>
      </c>
      <c r="O220" s="20">
        <f t="shared" si="3"/>
        <v>17</v>
      </c>
      <c r="P220" s="22" t="s">
        <v>8975</v>
      </c>
      <c r="Q220" s="21" t="s">
        <v>9183</v>
      </c>
      <c r="R220" s="23" t="s">
        <v>10446</v>
      </c>
      <c r="S220" s="18" t="s">
        <v>3111</v>
      </c>
      <c r="T220" s="24" t="str">
        <f>VLOOKUP(R220,[1]Sheet3!$A$2:$A$47,1,0)</f>
        <v>Taiwan</v>
      </c>
      <c r="U220" s="18" t="s">
        <v>10447</v>
      </c>
      <c r="V220" s="18" t="s">
        <v>10448</v>
      </c>
      <c r="W220" s="18" t="s">
        <v>8964</v>
      </c>
      <c r="X220" s="18" t="s">
        <v>3111</v>
      </c>
      <c r="Y220" s="18" t="s">
        <v>10449</v>
      </c>
      <c r="Z220" s="18" t="s">
        <v>17</v>
      </c>
    </row>
    <row r="221" spans="1:26" ht="20.100000000000001" customHeight="1" x14ac:dyDescent="0.2">
      <c r="A221" s="30" t="s">
        <v>10450</v>
      </c>
      <c r="B221" s="19" t="s">
        <v>10451</v>
      </c>
      <c r="C221" s="19" t="s">
        <v>10452</v>
      </c>
      <c r="D221" s="8" t="s">
        <v>9035</v>
      </c>
      <c r="E221" s="20" t="s">
        <v>9308</v>
      </c>
      <c r="F221" s="20" t="s">
        <v>10453</v>
      </c>
      <c r="G221" s="20" t="s">
        <v>8951</v>
      </c>
      <c r="H221" s="20">
        <v>39677</v>
      </c>
      <c r="I221" s="20" t="s">
        <v>9019</v>
      </c>
      <c r="J221" s="20" t="s">
        <v>9059</v>
      </c>
      <c r="K221" s="20" t="s">
        <v>8989</v>
      </c>
      <c r="L221" s="21" t="s">
        <v>8955</v>
      </c>
      <c r="M221" s="20" t="s">
        <v>8956</v>
      </c>
      <c r="N221" s="20" t="s">
        <v>8957</v>
      </c>
      <c r="O221" s="20">
        <f t="shared" si="3"/>
        <v>9</v>
      </c>
      <c r="P221" s="22" t="s">
        <v>8975</v>
      </c>
      <c r="Q221" s="21" t="s">
        <v>8959</v>
      </c>
      <c r="R221" s="23" t="s">
        <v>9213</v>
      </c>
      <c r="S221" s="18" t="s">
        <v>9685</v>
      </c>
      <c r="T221" s="24" t="str">
        <f>VLOOKUP(R221,[1]Sheet3!$A$2:$A$47,1,0)</f>
        <v>South Korea</v>
      </c>
      <c r="U221" s="18" t="s">
        <v>10454</v>
      </c>
      <c r="V221" s="18" t="s">
        <v>10455</v>
      </c>
      <c r="W221" s="18" t="s">
        <v>8964</v>
      </c>
      <c r="X221" s="18" t="s">
        <v>1381</v>
      </c>
      <c r="Y221" s="18" t="s">
        <v>9688</v>
      </c>
      <c r="Z221" s="18" t="s">
        <v>17</v>
      </c>
    </row>
    <row r="222" spans="1:26" ht="20.100000000000001" customHeight="1" x14ac:dyDescent="0.2">
      <c r="A222" s="30" t="s">
        <v>10456</v>
      </c>
      <c r="B222" s="19" t="s">
        <v>10457</v>
      </c>
      <c r="C222" s="19" t="s">
        <v>10458</v>
      </c>
      <c r="D222" s="8" t="s">
        <v>8948</v>
      </c>
      <c r="E222" s="20" t="s">
        <v>8949</v>
      </c>
      <c r="F222" s="20" t="s">
        <v>10459</v>
      </c>
      <c r="G222" s="20" t="s">
        <v>9076</v>
      </c>
      <c r="H222" s="20">
        <v>6025</v>
      </c>
      <c r="I222" s="20" t="s">
        <v>9019</v>
      </c>
      <c r="J222" s="20" t="s">
        <v>8953</v>
      </c>
      <c r="K222" s="20" t="s">
        <v>8954</v>
      </c>
      <c r="L222" s="21" t="s">
        <v>8955</v>
      </c>
      <c r="M222" s="20" t="s">
        <v>8956</v>
      </c>
      <c r="N222" s="20" t="s">
        <v>8957</v>
      </c>
      <c r="O222" s="20">
        <f t="shared" si="3"/>
        <v>4</v>
      </c>
      <c r="P222" s="22" t="s">
        <v>8958</v>
      </c>
      <c r="Q222" s="21" t="s">
        <v>8959</v>
      </c>
      <c r="R222" s="23" t="s">
        <v>9333</v>
      </c>
      <c r="S222" s="18" t="s">
        <v>10050</v>
      </c>
      <c r="T222" s="24" t="str">
        <f>VLOOKUP(R222,[1]Sheet3!$A$2:$A$47,1,0)</f>
        <v>Japan</v>
      </c>
      <c r="U222" s="18" t="s">
        <v>10460</v>
      </c>
      <c r="V222" s="18" t="s">
        <v>10461</v>
      </c>
      <c r="W222" s="18" t="s">
        <v>8964</v>
      </c>
      <c r="X222" s="18" t="s">
        <v>808</v>
      </c>
      <c r="Y222" s="18" t="s">
        <v>10053</v>
      </c>
      <c r="Z222" s="18" t="s">
        <v>17</v>
      </c>
    </row>
    <row r="223" spans="1:26" ht="20.100000000000001" customHeight="1" x14ac:dyDescent="0.2">
      <c r="A223" s="30" t="s">
        <v>10462</v>
      </c>
      <c r="B223" s="19" t="s">
        <v>10463</v>
      </c>
      <c r="C223" s="19" t="s">
        <v>10464</v>
      </c>
      <c r="D223" s="8" t="s">
        <v>8948</v>
      </c>
      <c r="E223" s="20" t="s">
        <v>8998</v>
      </c>
      <c r="F223" s="20" t="s">
        <v>10135</v>
      </c>
      <c r="G223" s="20" t="s">
        <v>9292</v>
      </c>
      <c r="H223" s="20">
        <v>1000</v>
      </c>
      <c r="I223" s="20" t="s">
        <v>9077</v>
      </c>
      <c r="J223" s="20" t="s">
        <v>8953</v>
      </c>
      <c r="K223" s="20" t="s">
        <v>8989</v>
      </c>
      <c r="L223" s="21" t="s">
        <v>8955</v>
      </c>
      <c r="M223" s="20" t="s">
        <v>8956</v>
      </c>
      <c r="N223" s="20" t="s">
        <v>8959</v>
      </c>
      <c r="O223" s="20">
        <f t="shared" si="3"/>
        <v>5</v>
      </c>
      <c r="P223" s="22" t="s">
        <v>8958</v>
      </c>
      <c r="Q223" s="21" t="s">
        <v>9061</v>
      </c>
      <c r="R223" s="23" t="s">
        <v>9536</v>
      </c>
      <c r="S223" s="18" t="s">
        <v>10465</v>
      </c>
      <c r="T223" s="24" t="str">
        <f>VLOOKUP(R223,[1]Sheet3!$A$2:$A$47,1,0)</f>
        <v>Australia</v>
      </c>
      <c r="U223" s="18" t="s">
        <v>10466</v>
      </c>
      <c r="V223" s="18" t="s">
        <v>10467</v>
      </c>
      <c r="W223" s="18" t="s">
        <v>8964</v>
      </c>
      <c r="X223" s="18" t="s">
        <v>740</v>
      </c>
      <c r="Y223" s="18" t="s">
        <v>10468</v>
      </c>
      <c r="Z223" s="18" t="s">
        <v>17</v>
      </c>
    </row>
    <row r="224" spans="1:26" ht="20.100000000000001" customHeight="1" x14ac:dyDescent="0.2">
      <c r="A224" s="30" t="s">
        <v>10469</v>
      </c>
      <c r="B224" s="19" t="s">
        <v>10470</v>
      </c>
      <c r="C224" s="19" t="s">
        <v>10471</v>
      </c>
      <c r="D224" s="8" t="s">
        <v>9154</v>
      </c>
      <c r="E224" s="20" t="s">
        <v>8949</v>
      </c>
      <c r="F224" s="20" t="s">
        <v>8972</v>
      </c>
      <c r="G224" s="20" t="s">
        <v>8951</v>
      </c>
      <c r="H224" s="20">
        <v>140</v>
      </c>
      <c r="I224" s="20" t="s">
        <v>9158</v>
      </c>
      <c r="J224" s="20" t="s">
        <v>9059</v>
      </c>
      <c r="K224" s="20" t="s">
        <v>8954</v>
      </c>
      <c r="L224" s="21" t="s">
        <v>8955</v>
      </c>
      <c r="M224" s="20" t="s">
        <v>8956</v>
      </c>
      <c r="N224" s="20" t="s">
        <v>8957</v>
      </c>
      <c r="O224" s="20">
        <f t="shared" si="3"/>
        <v>3</v>
      </c>
      <c r="P224" s="22" t="s">
        <v>9103</v>
      </c>
      <c r="Q224" s="21" t="s">
        <v>8959</v>
      </c>
      <c r="R224" s="23" t="s">
        <v>10472</v>
      </c>
      <c r="S224" s="18" t="s">
        <v>9085</v>
      </c>
      <c r="T224" s="24" t="str">
        <f>VLOOKUP(R224,[1]Sheet3!$A$2:$A$47,1,0)</f>
        <v>Argentina</v>
      </c>
      <c r="U224" s="18" t="s">
        <v>10473</v>
      </c>
      <c r="V224" s="18" t="s">
        <v>10474</v>
      </c>
      <c r="W224" s="18" t="s">
        <v>8964</v>
      </c>
      <c r="X224" s="18" t="s">
        <v>184</v>
      </c>
      <c r="Y224" s="18" t="s">
        <v>9088</v>
      </c>
      <c r="Z224" s="18" t="s">
        <v>17</v>
      </c>
    </row>
    <row r="225" spans="1:26" ht="20.100000000000001" customHeight="1" x14ac:dyDescent="0.2">
      <c r="A225" s="30" t="s">
        <v>10475</v>
      </c>
      <c r="B225" s="19" t="s">
        <v>10476</v>
      </c>
      <c r="C225" s="19" t="s">
        <v>10477</v>
      </c>
      <c r="D225" s="8" t="s">
        <v>9092</v>
      </c>
      <c r="E225" s="20" t="s">
        <v>8949</v>
      </c>
      <c r="F225" s="20" t="s">
        <v>8972</v>
      </c>
      <c r="G225" s="20" t="s">
        <v>8973</v>
      </c>
      <c r="H225" s="20">
        <v>500</v>
      </c>
      <c r="I225" s="20" t="s">
        <v>8988</v>
      </c>
      <c r="J225" s="20" t="s">
        <v>8953</v>
      </c>
      <c r="K225" s="20" t="s">
        <v>8989</v>
      </c>
      <c r="L225" s="21" t="s">
        <v>8955</v>
      </c>
      <c r="M225" s="20" t="s">
        <v>8956</v>
      </c>
      <c r="N225" s="20" t="s">
        <v>8957</v>
      </c>
      <c r="O225" s="20">
        <f t="shared" si="3"/>
        <v>5</v>
      </c>
      <c r="P225" s="22" t="s">
        <v>8958</v>
      </c>
      <c r="Q225" s="21" t="s">
        <v>8959</v>
      </c>
      <c r="R225" s="23" t="s">
        <v>9213</v>
      </c>
      <c r="S225" s="18" t="s">
        <v>10478</v>
      </c>
      <c r="T225" s="24" t="str">
        <f>VLOOKUP(R225,[1]Sheet3!$A$2:$A$47,1,0)</f>
        <v>South Korea</v>
      </c>
      <c r="U225" s="18" t="s">
        <v>10479</v>
      </c>
      <c r="V225" s="18" t="s">
        <v>10480</v>
      </c>
      <c r="W225" s="18" t="s">
        <v>8964</v>
      </c>
      <c r="X225" s="18" t="s">
        <v>3736</v>
      </c>
      <c r="Y225" s="18" t="s">
        <v>10481</v>
      </c>
      <c r="Z225" s="18" t="s">
        <v>11</v>
      </c>
    </row>
    <row r="226" spans="1:26" ht="20.100000000000001" customHeight="1" x14ac:dyDescent="0.2">
      <c r="A226" s="30" t="s">
        <v>10482</v>
      </c>
      <c r="B226" s="19" t="s">
        <v>10483</v>
      </c>
      <c r="C226" s="19" t="s">
        <v>10484</v>
      </c>
      <c r="D226" s="8" t="s">
        <v>8984</v>
      </c>
      <c r="E226" s="20" t="s">
        <v>9131</v>
      </c>
      <c r="F226" s="20" t="s">
        <v>8950</v>
      </c>
      <c r="G226" s="20" t="s">
        <v>9133</v>
      </c>
      <c r="H226" s="20">
        <v>44416</v>
      </c>
      <c r="I226" s="20" t="s">
        <v>9019</v>
      </c>
      <c r="J226" s="20" t="s">
        <v>8953</v>
      </c>
      <c r="K226" s="31" t="s">
        <v>8954</v>
      </c>
      <c r="L226" s="21" t="s">
        <v>8955</v>
      </c>
      <c r="M226" s="20" t="s">
        <v>8990</v>
      </c>
      <c r="N226" s="20" t="s">
        <v>8957</v>
      </c>
      <c r="O226" s="20">
        <f t="shared" si="3"/>
        <v>3</v>
      </c>
      <c r="P226" s="22" t="s">
        <v>9103</v>
      </c>
      <c r="Q226" s="21" t="s">
        <v>9009</v>
      </c>
      <c r="R226" s="23" t="s">
        <v>9213</v>
      </c>
      <c r="S226" s="18" t="s">
        <v>10485</v>
      </c>
      <c r="T226" s="24" t="str">
        <f>VLOOKUP(R226,[1]Sheet3!$A$2:$A$47,1,0)</f>
        <v>South Korea</v>
      </c>
      <c r="U226" s="18" t="s">
        <v>10486</v>
      </c>
      <c r="V226" s="18" t="s">
        <v>10487</v>
      </c>
      <c r="W226" s="18" t="s">
        <v>8964</v>
      </c>
      <c r="X226" s="18" t="s">
        <v>5167</v>
      </c>
      <c r="Y226" s="18" t="s">
        <v>10488</v>
      </c>
      <c r="Z226" s="18" t="s">
        <v>17</v>
      </c>
    </row>
    <row r="227" spans="1:26" ht="20.100000000000001" customHeight="1" x14ac:dyDescent="0.2">
      <c r="A227" s="30" t="s">
        <v>10489</v>
      </c>
      <c r="B227" s="19" t="s">
        <v>10490</v>
      </c>
      <c r="C227" s="19" t="s">
        <v>10491</v>
      </c>
      <c r="D227" s="8" t="s">
        <v>8948</v>
      </c>
      <c r="E227" s="20" t="s">
        <v>8949</v>
      </c>
      <c r="F227" s="20" t="s">
        <v>10492</v>
      </c>
      <c r="G227" s="20" t="s">
        <v>9464</v>
      </c>
      <c r="H227" s="20">
        <v>40</v>
      </c>
      <c r="I227" s="20" t="s">
        <v>9008</v>
      </c>
      <c r="J227" s="20" t="s">
        <v>8953</v>
      </c>
      <c r="K227" s="20" t="s">
        <v>8989</v>
      </c>
      <c r="L227" s="21" t="s">
        <v>8955</v>
      </c>
      <c r="M227" s="20" t="s">
        <v>8990</v>
      </c>
      <c r="N227" s="20" t="s">
        <v>8957</v>
      </c>
      <c r="O227" s="20">
        <f t="shared" si="3"/>
        <v>5</v>
      </c>
      <c r="P227" s="22" t="s">
        <v>8958</v>
      </c>
      <c r="Q227" s="21" t="s">
        <v>9061</v>
      </c>
      <c r="R227" s="23" t="s">
        <v>9010</v>
      </c>
      <c r="S227" s="18" t="s">
        <v>9741</v>
      </c>
      <c r="T227" s="24" t="str">
        <f>VLOOKUP(R227,[1]Sheet3!$A$2:$A$47,1,0)</f>
        <v>the United States of America</v>
      </c>
      <c r="U227" s="18" t="s">
        <v>10493</v>
      </c>
      <c r="V227" s="18" t="s">
        <v>10494</v>
      </c>
      <c r="W227" s="18" t="s">
        <v>8964</v>
      </c>
      <c r="X227" s="18" t="s">
        <v>921</v>
      </c>
      <c r="Y227" s="18" t="s">
        <v>9744</v>
      </c>
      <c r="Z227" s="18" t="s">
        <v>11</v>
      </c>
    </row>
    <row r="228" spans="1:26" ht="20.100000000000001" customHeight="1" x14ac:dyDescent="0.2">
      <c r="A228" s="30" t="s">
        <v>10495</v>
      </c>
      <c r="B228" s="19" t="s">
        <v>10496</v>
      </c>
      <c r="C228" s="19" t="s">
        <v>10497</v>
      </c>
      <c r="D228" s="8" t="s">
        <v>9605</v>
      </c>
      <c r="E228" s="20" t="s">
        <v>9269</v>
      </c>
      <c r="F228" s="20" t="s">
        <v>9349</v>
      </c>
      <c r="G228" s="20" t="s">
        <v>8951</v>
      </c>
      <c r="H228" s="20">
        <v>400</v>
      </c>
      <c r="I228" s="20" t="s">
        <v>8988</v>
      </c>
      <c r="J228" s="20" t="s">
        <v>8953</v>
      </c>
      <c r="K228" s="20" t="s">
        <v>8954</v>
      </c>
      <c r="L228" s="21" t="s">
        <v>8955</v>
      </c>
      <c r="M228" s="20" t="s">
        <v>8990</v>
      </c>
      <c r="N228" s="20" t="s">
        <v>8957</v>
      </c>
      <c r="O228" s="20">
        <f t="shared" si="3"/>
        <v>6</v>
      </c>
      <c r="P228" s="22" t="s">
        <v>8958</v>
      </c>
      <c r="Q228" s="21" t="s">
        <v>8959</v>
      </c>
      <c r="R228" s="23" t="s">
        <v>9310</v>
      </c>
      <c r="S228" s="18" t="s">
        <v>9159</v>
      </c>
      <c r="T228" s="24" t="str">
        <f>VLOOKUP(R228,[1]Sheet3!$A$2:$A$47,1,0)</f>
        <v>China</v>
      </c>
      <c r="U228" s="19" t="s">
        <v>10498</v>
      </c>
      <c r="V228" s="18" t="s">
        <v>10499</v>
      </c>
      <c r="W228" s="18" t="s">
        <v>8964</v>
      </c>
      <c r="X228" s="18" t="s">
        <v>61</v>
      </c>
      <c r="Y228" s="18" t="s">
        <v>9162</v>
      </c>
      <c r="Z228" s="18" t="s">
        <v>17</v>
      </c>
    </row>
    <row r="229" spans="1:26" ht="20.100000000000001" customHeight="1" x14ac:dyDescent="0.2">
      <c r="A229" s="30" t="s">
        <v>10500</v>
      </c>
      <c r="B229" s="19" t="s">
        <v>10501</v>
      </c>
      <c r="C229" s="19" t="s">
        <v>10502</v>
      </c>
      <c r="D229" s="8" t="s">
        <v>9943</v>
      </c>
      <c r="E229" s="20" t="s">
        <v>8971</v>
      </c>
      <c r="F229" s="20" t="s">
        <v>10503</v>
      </c>
      <c r="G229" s="20" t="s">
        <v>9133</v>
      </c>
      <c r="H229" s="20">
        <v>564</v>
      </c>
      <c r="I229" s="20" t="s">
        <v>9077</v>
      </c>
      <c r="J229" s="20" t="s">
        <v>8953</v>
      </c>
      <c r="K229" s="20" t="s">
        <v>8989</v>
      </c>
      <c r="L229" s="21" t="s">
        <v>8955</v>
      </c>
      <c r="M229" s="20" t="s">
        <v>8990</v>
      </c>
      <c r="N229" s="20" t="s">
        <v>8959</v>
      </c>
      <c r="O229" s="20">
        <f t="shared" si="3"/>
        <v>8</v>
      </c>
      <c r="P229" s="22" t="s">
        <v>8975</v>
      </c>
      <c r="Q229" s="21" t="s">
        <v>9183</v>
      </c>
      <c r="R229" s="23" t="s">
        <v>9310</v>
      </c>
      <c r="S229" s="18" t="s">
        <v>10504</v>
      </c>
      <c r="T229" s="24" t="str">
        <f>VLOOKUP(R229,[1]Sheet3!$A$2:$A$47,1,0)</f>
        <v>China</v>
      </c>
      <c r="U229" s="18" t="s">
        <v>10505</v>
      </c>
      <c r="V229" s="18" t="s">
        <v>10506</v>
      </c>
      <c r="W229" s="18" t="s">
        <v>8964</v>
      </c>
      <c r="X229" s="18" t="s">
        <v>7681</v>
      </c>
      <c r="Y229" s="18" t="s">
        <v>10507</v>
      </c>
      <c r="Z229" s="18" t="s">
        <v>17</v>
      </c>
    </row>
    <row r="230" spans="1:26" ht="20.100000000000001" customHeight="1" x14ac:dyDescent="0.2">
      <c r="A230" s="30" t="s">
        <v>10508</v>
      </c>
      <c r="B230" s="19" t="s">
        <v>10509</v>
      </c>
      <c r="C230" s="19" t="s">
        <v>10510</v>
      </c>
      <c r="D230" s="8" t="s">
        <v>9035</v>
      </c>
      <c r="E230" s="20" t="s">
        <v>8998</v>
      </c>
      <c r="F230" s="31" t="s">
        <v>10511</v>
      </c>
      <c r="G230" s="20" t="s">
        <v>8987</v>
      </c>
      <c r="H230" s="20">
        <v>41613</v>
      </c>
      <c r="I230" s="20" t="s">
        <v>9019</v>
      </c>
      <c r="J230" s="20" t="s">
        <v>8953</v>
      </c>
      <c r="K230" s="20" t="s">
        <v>8954</v>
      </c>
      <c r="L230" s="21" t="s">
        <v>8955</v>
      </c>
      <c r="M230" s="20" t="s">
        <v>8956</v>
      </c>
      <c r="N230" s="20" t="s">
        <v>8957</v>
      </c>
      <c r="O230" s="20">
        <f t="shared" si="3"/>
        <v>6</v>
      </c>
      <c r="P230" s="22" t="s">
        <v>8958</v>
      </c>
      <c r="Q230" s="21" t="s">
        <v>8959</v>
      </c>
      <c r="R230" s="23" t="s">
        <v>8991</v>
      </c>
      <c r="S230" s="18" t="s">
        <v>10073</v>
      </c>
      <c r="T230" s="24" t="str">
        <f>VLOOKUP(R230,[1]Sheet3!$A$2:$A$47,1,0)</f>
        <v>China</v>
      </c>
      <c r="U230" s="18" t="s">
        <v>10512</v>
      </c>
      <c r="V230" s="18" t="s">
        <v>10513</v>
      </c>
      <c r="W230" s="18" t="s">
        <v>8964</v>
      </c>
      <c r="X230" s="18" t="s">
        <v>210</v>
      </c>
      <c r="Y230" s="18" t="s">
        <v>10076</v>
      </c>
      <c r="Z230" s="18" t="s">
        <v>17</v>
      </c>
    </row>
    <row r="231" spans="1:26" ht="20.100000000000001" customHeight="1" x14ac:dyDescent="0.2">
      <c r="A231" s="30" t="s">
        <v>10514</v>
      </c>
      <c r="B231" s="19" t="s">
        <v>10515</v>
      </c>
      <c r="C231" s="19" t="s">
        <v>10516</v>
      </c>
      <c r="D231" s="8" t="s">
        <v>9605</v>
      </c>
      <c r="E231" s="20" t="s">
        <v>9101</v>
      </c>
      <c r="F231" s="20" t="s">
        <v>10517</v>
      </c>
      <c r="G231" s="20" t="s">
        <v>8987</v>
      </c>
      <c r="H231" s="20">
        <v>90000</v>
      </c>
      <c r="I231" s="20" t="s">
        <v>9019</v>
      </c>
      <c r="J231" s="20" t="s">
        <v>8953</v>
      </c>
      <c r="K231" s="20" t="s">
        <v>8989</v>
      </c>
      <c r="L231" s="21" t="s">
        <v>8955</v>
      </c>
      <c r="M231" s="20" t="s">
        <v>8956</v>
      </c>
      <c r="N231" s="20" t="s">
        <v>8957</v>
      </c>
      <c r="O231" s="20">
        <f t="shared" si="3"/>
        <v>3</v>
      </c>
      <c r="P231" s="22" t="s">
        <v>9103</v>
      </c>
      <c r="Q231" s="21" t="s">
        <v>8959</v>
      </c>
      <c r="R231" s="23" t="s">
        <v>9010</v>
      </c>
      <c r="S231" s="18" t="s">
        <v>10518</v>
      </c>
      <c r="T231" s="24" t="str">
        <f>VLOOKUP(R231,[1]Sheet3!$A$2:$A$47,1,0)</f>
        <v>the United States of America</v>
      </c>
      <c r="U231" s="18" t="s">
        <v>10519</v>
      </c>
      <c r="V231" s="18" t="s">
        <v>10520</v>
      </c>
      <c r="W231" s="18" t="s">
        <v>8964</v>
      </c>
      <c r="X231" s="18" t="s">
        <v>7984</v>
      </c>
      <c r="Y231" s="18" t="s">
        <v>10521</v>
      </c>
      <c r="Z231" s="18" t="s">
        <v>17</v>
      </c>
    </row>
    <row r="232" spans="1:26" ht="20.100000000000001" customHeight="1" x14ac:dyDescent="0.2">
      <c r="A232" s="30" t="s">
        <v>10522</v>
      </c>
      <c r="B232" s="19" t="s">
        <v>10523</v>
      </c>
      <c r="C232" s="19" t="s">
        <v>10524</v>
      </c>
      <c r="D232" s="8" t="s">
        <v>9049</v>
      </c>
      <c r="E232" s="20" t="s">
        <v>9325</v>
      </c>
      <c r="F232" s="20" t="s">
        <v>10525</v>
      </c>
      <c r="G232" s="20" t="s">
        <v>8951</v>
      </c>
      <c r="H232" s="20">
        <v>109312</v>
      </c>
      <c r="I232" s="20" t="s">
        <v>9019</v>
      </c>
      <c r="J232" s="20" t="s">
        <v>8953</v>
      </c>
      <c r="K232" s="20" t="s">
        <v>8954</v>
      </c>
      <c r="L232" s="21" t="s">
        <v>8955</v>
      </c>
      <c r="M232" s="20" t="s">
        <v>8956</v>
      </c>
      <c r="N232" s="20" t="s">
        <v>8957</v>
      </c>
      <c r="O232" s="20">
        <f t="shared" si="3"/>
        <v>5</v>
      </c>
      <c r="P232" s="22" t="s">
        <v>8958</v>
      </c>
      <c r="Q232" s="21" t="s">
        <v>8959</v>
      </c>
      <c r="R232" s="23" t="s">
        <v>9310</v>
      </c>
      <c r="S232" s="18" t="s">
        <v>9718</v>
      </c>
      <c r="T232" s="24" t="str">
        <f>VLOOKUP(R232,[1]Sheet3!$A$2:$A$47,1,0)</f>
        <v>China</v>
      </c>
      <c r="U232" s="18" t="s">
        <v>10526</v>
      </c>
      <c r="V232" s="18" t="s">
        <v>10527</v>
      </c>
      <c r="W232" s="18" t="s">
        <v>8964</v>
      </c>
      <c r="X232" s="18" t="s">
        <v>4060</v>
      </c>
      <c r="Y232" s="18" t="s">
        <v>9721</v>
      </c>
      <c r="Z232" s="18" t="s">
        <v>17</v>
      </c>
    </row>
    <row r="233" spans="1:26" ht="20.100000000000001" customHeight="1" x14ac:dyDescent="0.2">
      <c r="A233" s="30" t="s">
        <v>10528</v>
      </c>
      <c r="B233" s="19" t="s">
        <v>10529</v>
      </c>
      <c r="C233" s="19" t="s">
        <v>10530</v>
      </c>
      <c r="D233" s="8" t="s">
        <v>8948</v>
      </c>
      <c r="E233" s="20" t="s">
        <v>9121</v>
      </c>
      <c r="F233" s="20" t="s">
        <v>10531</v>
      </c>
      <c r="G233" s="20" t="s">
        <v>8987</v>
      </c>
      <c r="H233" s="20">
        <v>100</v>
      </c>
      <c r="I233" s="20" t="s">
        <v>9008</v>
      </c>
      <c r="J233" s="20" t="s">
        <v>8953</v>
      </c>
      <c r="K233" s="20" t="s">
        <v>8989</v>
      </c>
      <c r="L233" s="21" t="s">
        <v>8955</v>
      </c>
      <c r="M233" s="20" t="s">
        <v>8990</v>
      </c>
      <c r="N233" s="20" t="s">
        <v>8959</v>
      </c>
      <c r="O233" s="20">
        <f t="shared" si="3"/>
        <v>2</v>
      </c>
      <c r="P233" s="22" t="s">
        <v>9103</v>
      </c>
      <c r="Q233" s="21" t="s">
        <v>8959</v>
      </c>
      <c r="R233" s="23" t="s">
        <v>9981</v>
      </c>
      <c r="S233" s="18" t="s">
        <v>10532</v>
      </c>
      <c r="T233" s="24" t="str">
        <f>VLOOKUP(R233,[1]Sheet3!$A$2:$A$47,1,0)</f>
        <v>India</v>
      </c>
      <c r="U233" s="18" t="s">
        <v>10533</v>
      </c>
      <c r="V233" s="18" t="s">
        <v>10534</v>
      </c>
      <c r="W233" s="18" t="s">
        <v>8964</v>
      </c>
      <c r="X233" s="18" t="s">
        <v>3294</v>
      </c>
      <c r="Y233" s="18" t="s">
        <v>10535</v>
      </c>
      <c r="Z233" s="18" t="s">
        <v>17</v>
      </c>
    </row>
    <row r="234" spans="1:26" ht="20.100000000000001" customHeight="1" x14ac:dyDescent="0.2">
      <c r="A234" s="30" t="s">
        <v>10536</v>
      </c>
      <c r="B234" s="19" t="s">
        <v>10537</v>
      </c>
      <c r="C234" s="19" t="s">
        <v>10538</v>
      </c>
      <c r="D234" s="8" t="s">
        <v>9605</v>
      </c>
      <c r="E234" s="20" t="s">
        <v>9155</v>
      </c>
      <c r="F234" s="20" t="s">
        <v>9245</v>
      </c>
      <c r="G234" s="20" t="s">
        <v>9292</v>
      </c>
      <c r="H234" s="20">
        <v>1000</v>
      </c>
      <c r="I234" s="20" t="s">
        <v>9077</v>
      </c>
      <c r="J234" s="31" t="s">
        <v>8953</v>
      </c>
      <c r="K234" s="20" t="s">
        <v>8954</v>
      </c>
      <c r="L234" s="21" t="s">
        <v>8955</v>
      </c>
      <c r="M234" s="20" t="s">
        <v>8990</v>
      </c>
      <c r="N234" s="20" t="s">
        <v>8957</v>
      </c>
      <c r="O234" s="20">
        <f t="shared" si="3"/>
        <v>4</v>
      </c>
      <c r="P234" s="22" t="s">
        <v>8958</v>
      </c>
      <c r="Q234" s="21" t="s">
        <v>9061</v>
      </c>
      <c r="R234" s="23" t="s">
        <v>9010</v>
      </c>
      <c r="S234" s="18" t="s">
        <v>10539</v>
      </c>
      <c r="T234" s="24" t="str">
        <f>VLOOKUP(R234,[1]Sheet3!$A$2:$A$47,1,0)</f>
        <v>the United States of America</v>
      </c>
      <c r="U234" s="18" t="s">
        <v>10540</v>
      </c>
      <c r="V234" s="18" t="s">
        <v>10541</v>
      </c>
      <c r="W234" s="18" t="s">
        <v>8964</v>
      </c>
      <c r="X234" s="18" t="s">
        <v>174</v>
      </c>
      <c r="Y234" s="18" t="s">
        <v>10542</v>
      </c>
      <c r="Z234" s="18" t="s">
        <v>17</v>
      </c>
    </row>
    <row r="235" spans="1:26" ht="20.100000000000001" customHeight="1" x14ac:dyDescent="0.2">
      <c r="A235" s="30" t="s">
        <v>10543</v>
      </c>
      <c r="B235" s="19" t="s">
        <v>10544</v>
      </c>
      <c r="C235" s="19" t="s">
        <v>10545</v>
      </c>
      <c r="D235" s="8" t="s">
        <v>8948</v>
      </c>
      <c r="E235" s="20" t="s">
        <v>9308</v>
      </c>
      <c r="F235" s="20" t="s">
        <v>8950</v>
      </c>
      <c r="G235" s="20" t="s">
        <v>8951</v>
      </c>
      <c r="H235" s="20">
        <v>753</v>
      </c>
      <c r="I235" s="20" t="s">
        <v>9077</v>
      </c>
      <c r="J235" s="20" t="s">
        <v>8953</v>
      </c>
      <c r="K235" s="20" t="s">
        <v>8954</v>
      </c>
      <c r="L235" s="21" t="s">
        <v>8955</v>
      </c>
      <c r="M235" s="20" t="s">
        <v>8956</v>
      </c>
      <c r="N235" s="20" t="s">
        <v>8957</v>
      </c>
      <c r="O235" s="20">
        <f t="shared" si="3"/>
        <v>10</v>
      </c>
      <c r="P235" s="22" t="s">
        <v>8975</v>
      </c>
      <c r="Q235" s="21" t="s">
        <v>9183</v>
      </c>
      <c r="R235" s="23" t="s">
        <v>9213</v>
      </c>
      <c r="S235" s="18" t="s">
        <v>1421</v>
      </c>
      <c r="T235" s="24" t="str">
        <f>VLOOKUP(R235,[1]Sheet3!$A$2:$A$47,1,0)</f>
        <v>South Korea</v>
      </c>
      <c r="U235" s="18" t="s">
        <v>10546</v>
      </c>
      <c r="V235" s="18" t="s">
        <v>10547</v>
      </c>
      <c r="W235" s="18" t="s">
        <v>8964</v>
      </c>
      <c r="X235" s="18" t="s">
        <v>1421</v>
      </c>
      <c r="Y235" s="18" t="s">
        <v>9707</v>
      </c>
      <c r="Z235" s="18" t="s">
        <v>17</v>
      </c>
    </row>
    <row r="236" spans="1:26" ht="20.100000000000001" customHeight="1" x14ac:dyDescent="0.2">
      <c r="A236" s="30" t="s">
        <v>10548</v>
      </c>
      <c r="B236" s="19" t="s">
        <v>10549</v>
      </c>
      <c r="C236" s="19" t="s">
        <v>10550</v>
      </c>
      <c r="D236" s="8" t="s">
        <v>9075</v>
      </c>
      <c r="E236" s="20" t="s">
        <v>8949</v>
      </c>
      <c r="F236" s="33" t="s">
        <v>9658</v>
      </c>
      <c r="G236" s="20" t="s">
        <v>8987</v>
      </c>
      <c r="H236" s="20">
        <v>353</v>
      </c>
      <c r="I236" s="20" t="s">
        <v>8988</v>
      </c>
      <c r="J236" s="20" t="s">
        <v>9059</v>
      </c>
      <c r="K236" s="20" t="s">
        <v>8954</v>
      </c>
      <c r="L236" s="21" t="s">
        <v>8955</v>
      </c>
      <c r="M236" s="20" t="s">
        <v>8956</v>
      </c>
      <c r="N236" s="20" t="s">
        <v>8959</v>
      </c>
      <c r="O236" s="20">
        <f t="shared" si="3"/>
        <v>7</v>
      </c>
      <c r="P236" s="22" t="s">
        <v>8958</v>
      </c>
      <c r="Q236" s="21" t="s">
        <v>8959</v>
      </c>
      <c r="R236" s="23" t="s">
        <v>8991</v>
      </c>
      <c r="S236" s="18" t="s">
        <v>9011</v>
      </c>
      <c r="T236" s="24" t="str">
        <f>VLOOKUP(R236,[1]Sheet3!$A$2:$A$47,1,0)</f>
        <v>China</v>
      </c>
      <c r="U236" s="18" t="s">
        <v>10551</v>
      </c>
      <c r="V236" s="18" t="s">
        <v>10552</v>
      </c>
      <c r="W236" s="18" t="s">
        <v>8964</v>
      </c>
      <c r="X236" s="18" t="s">
        <v>93</v>
      </c>
      <c r="Y236" s="18" t="s">
        <v>9014</v>
      </c>
      <c r="Z236" s="18" t="s">
        <v>17</v>
      </c>
    </row>
    <row r="237" spans="1:26" ht="20.100000000000001" customHeight="1" x14ac:dyDescent="0.2">
      <c r="A237" s="30" t="s">
        <v>10553</v>
      </c>
      <c r="B237" s="19" t="s">
        <v>10554</v>
      </c>
      <c r="C237" s="19" t="s">
        <v>10555</v>
      </c>
      <c r="D237" s="8" t="s">
        <v>9252</v>
      </c>
      <c r="E237" s="20" t="s">
        <v>8971</v>
      </c>
      <c r="F237" s="20" t="s">
        <v>9018</v>
      </c>
      <c r="G237" s="20" t="s">
        <v>8987</v>
      </c>
      <c r="H237" s="20">
        <v>1145</v>
      </c>
      <c r="I237" s="20" t="s">
        <v>8952</v>
      </c>
      <c r="J237" s="20" t="s">
        <v>8953</v>
      </c>
      <c r="K237" s="31" t="s">
        <v>8954</v>
      </c>
      <c r="L237" s="21" t="s">
        <v>8955</v>
      </c>
      <c r="M237" s="20" t="s">
        <v>8956</v>
      </c>
      <c r="N237" s="20" t="s">
        <v>8957</v>
      </c>
      <c r="O237" s="20">
        <f t="shared" si="3"/>
        <v>7</v>
      </c>
      <c r="P237" s="22" t="s">
        <v>8958</v>
      </c>
      <c r="Q237" s="21" t="s">
        <v>9061</v>
      </c>
      <c r="R237" s="23" t="s">
        <v>9010</v>
      </c>
      <c r="S237" s="18" t="s">
        <v>9011</v>
      </c>
      <c r="T237" s="24" t="str">
        <f>VLOOKUP(R237,[1]Sheet3!$A$2:$A$47,1,0)</f>
        <v>the United States of America</v>
      </c>
      <c r="U237" s="18" t="s">
        <v>10556</v>
      </c>
      <c r="V237" s="18" t="s">
        <v>10557</v>
      </c>
      <c r="W237" s="18" t="s">
        <v>8964</v>
      </c>
      <c r="X237" s="18" t="s">
        <v>93</v>
      </c>
      <c r="Y237" s="18" t="s">
        <v>9014</v>
      </c>
      <c r="Z237" s="18" t="s">
        <v>17</v>
      </c>
    </row>
    <row r="238" spans="1:26" ht="20.100000000000001" customHeight="1" x14ac:dyDescent="0.2">
      <c r="A238" s="30" t="s">
        <v>10558</v>
      </c>
      <c r="B238" s="19" t="s">
        <v>10559</v>
      </c>
      <c r="C238" s="19" t="s">
        <v>10560</v>
      </c>
      <c r="D238" s="8" t="s">
        <v>8948</v>
      </c>
      <c r="E238" s="20" t="s">
        <v>8949</v>
      </c>
      <c r="F238" s="20" t="s">
        <v>8950</v>
      </c>
      <c r="G238" s="20" t="s">
        <v>8973</v>
      </c>
      <c r="H238" s="20">
        <v>218</v>
      </c>
      <c r="I238" s="20" t="s">
        <v>9158</v>
      </c>
      <c r="J238" s="31" t="s">
        <v>8953</v>
      </c>
      <c r="K238" s="20" t="s">
        <v>8954</v>
      </c>
      <c r="L238" s="21" t="s">
        <v>8955</v>
      </c>
      <c r="M238" s="20" t="s">
        <v>8956</v>
      </c>
      <c r="N238" s="20" t="s">
        <v>8957</v>
      </c>
      <c r="O238" s="20">
        <f t="shared" si="3"/>
        <v>6</v>
      </c>
      <c r="P238" s="22" t="s">
        <v>8958</v>
      </c>
      <c r="Q238" s="21" t="s">
        <v>9061</v>
      </c>
      <c r="R238" s="23" t="s">
        <v>9317</v>
      </c>
      <c r="S238" s="18" t="s">
        <v>10561</v>
      </c>
      <c r="T238" s="24" t="str">
        <f>VLOOKUP(R238,[1]Sheet3!$A$2:$A$47,1,0)</f>
        <v>Germany</v>
      </c>
      <c r="U238" s="18" t="s">
        <v>10562</v>
      </c>
      <c r="V238" s="18" t="s">
        <v>10563</v>
      </c>
      <c r="W238" s="18" t="s">
        <v>8964</v>
      </c>
      <c r="X238" s="18" t="s">
        <v>857</v>
      </c>
      <c r="Y238" s="18" t="s">
        <v>10564</v>
      </c>
      <c r="Z238" s="18" t="s">
        <v>17</v>
      </c>
    </row>
    <row r="239" spans="1:26" ht="20.100000000000001" customHeight="1" x14ac:dyDescent="0.2">
      <c r="A239" s="30" t="s">
        <v>10565</v>
      </c>
      <c r="B239" s="19" t="s">
        <v>10566</v>
      </c>
      <c r="C239" s="19" t="s">
        <v>10567</v>
      </c>
      <c r="D239" s="8" t="s">
        <v>9605</v>
      </c>
      <c r="E239" s="20" t="s">
        <v>9155</v>
      </c>
      <c r="F239" s="33" t="s">
        <v>8950</v>
      </c>
      <c r="G239" s="20" t="s">
        <v>9464</v>
      </c>
      <c r="H239" s="20">
        <v>2060</v>
      </c>
      <c r="I239" s="20" t="s">
        <v>8952</v>
      </c>
      <c r="J239" s="20" t="s">
        <v>8953</v>
      </c>
      <c r="K239" s="20" t="s">
        <v>8954</v>
      </c>
      <c r="L239" s="21" t="s">
        <v>8955</v>
      </c>
      <c r="M239" s="20" t="s">
        <v>8956</v>
      </c>
      <c r="N239" s="20" t="s">
        <v>8957</v>
      </c>
      <c r="O239" s="20">
        <f t="shared" si="3"/>
        <v>6</v>
      </c>
      <c r="P239" s="22" t="s">
        <v>8958</v>
      </c>
      <c r="Q239" s="21" t="s">
        <v>9009</v>
      </c>
      <c r="R239" s="23" t="s">
        <v>10568</v>
      </c>
      <c r="S239" s="18" t="s">
        <v>8961</v>
      </c>
      <c r="T239" s="24" t="str">
        <f>VLOOKUP(R239,[1]Sheet3!$A$2:$A$47,1,0)</f>
        <v>Netherlands</v>
      </c>
      <c r="U239" s="18" t="s">
        <v>10569</v>
      </c>
      <c r="V239" s="18" t="s">
        <v>10570</v>
      </c>
      <c r="W239" s="18" t="s">
        <v>8964</v>
      </c>
      <c r="X239" s="18" t="s">
        <v>126</v>
      </c>
      <c r="Y239" s="18" t="s">
        <v>8966</v>
      </c>
      <c r="Z239" s="18" t="s">
        <v>17</v>
      </c>
    </row>
    <row r="240" spans="1:26" ht="20.100000000000001" customHeight="1" x14ac:dyDescent="0.2">
      <c r="A240" s="30" t="s">
        <v>10571</v>
      </c>
      <c r="B240" s="19" t="s">
        <v>10572</v>
      </c>
      <c r="C240" s="19" t="s">
        <v>10573</v>
      </c>
      <c r="D240" s="8" t="s">
        <v>8948</v>
      </c>
      <c r="E240" s="20" t="s">
        <v>8949</v>
      </c>
      <c r="F240" s="20" t="s">
        <v>8950</v>
      </c>
      <c r="G240" s="20" t="s">
        <v>8951</v>
      </c>
      <c r="H240" s="20">
        <v>72</v>
      </c>
      <c r="I240" s="20" t="s">
        <v>9008</v>
      </c>
      <c r="J240" s="20" t="s">
        <v>8953</v>
      </c>
      <c r="K240" s="20" t="s">
        <v>8989</v>
      </c>
      <c r="L240" s="21" t="s">
        <v>8955</v>
      </c>
      <c r="M240" s="20" t="s">
        <v>8956</v>
      </c>
      <c r="N240" s="20" t="s">
        <v>8974</v>
      </c>
      <c r="O240" s="20">
        <f t="shared" si="3"/>
        <v>6</v>
      </c>
      <c r="P240" s="22" t="s">
        <v>8958</v>
      </c>
      <c r="Q240" s="21" t="s">
        <v>9061</v>
      </c>
      <c r="R240" s="23" t="s">
        <v>9062</v>
      </c>
      <c r="S240" s="18" t="s">
        <v>10574</v>
      </c>
      <c r="T240" s="24" t="str">
        <f>VLOOKUP(R240,[1]Sheet3!$A$2:$A$47,1,0)</f>
        <v>Germany</v>
      </c>
      <c r="U240" s="18" t="s">
        <v>10575</v>
      </c>
      <c r="V240" s="18" t="s">
        <v>10576</v>
      </c>
      <c r="W240" s="18" t="s">
        <v>8964</v>
      </c>
      <c r="X240" s="18" t="s">
        <v>1202</v>
      </c>
      <c r="Y240" s="18" t="s">
        <v>10577</v>
      </c>
      <c r="Z240" s="18" t="s">
        <v>17</v>
      </c>
    </row>
    <row r="241" spans="1:26" ht="20.100000000000001" customHeight="1" x14ac:dyDescent="0.2">
      <c r="A241" s="30" t="s">
        <v>10578</v>
      </c>
      <c r="B241" s="19" t="s">
        <v>10579</v>
      </c>
      <c r="C241" s="19" t="s">
        <v>10580</v>
      </c>
      <c r="D241" s="8" t="s">
        <v>8984</v>
      </c>
      <c r="E241" s="20" t="s">
        <v>8949</v>
      </c>
      <c r="F241" s="20" t="s">
        <v>8950</v>
      </c>
      <c r="G241" s="20" t="s">
        <v>8987</v>
      </c>
      <c r="H241" s="20">
        <f>134*30</f>
        <v>4020</v>
      </c>
      <c r="I241" s="20" t="s">
        <v>9019</v>
      </c>
      <c r="J241" s="20" t="s">
        <v>8953</v>
      </c>
      <c r="K241" s="20" t="s">
        <v>8989</v>
      </c>
      <c r="L241" s="21" t="s">
        <v>9182</v>
      </c>
      <c r="M241" s="20" t="s">
        <v>8956</v>
      </c>
      <c r="N241" s="20" t="s">
        <v>8959</v>
      </c>
      <c r="O241" s="20">
        <f t="shared" si="3"/>
        <v>7</v>
      </c>
      <c r="P241" s="22" t="s">
        <v>8958</v>
      </c>
      <c r="Q241" s="21" t="s">
        <v>8959</v>
      </c>
      <c r="R241" s="23" t="s">
        <v>10008</v>
      </c>
      <c r="S241" s="18" t="s">
        <v>8992</v>
      </c>
      <c r="T241" s="24" t="str">
        <f>VLOOKUP(R241,[1]Sheet3!$A$2:$A$47,1,0)</f>
        <v>Greece</v>
      </c>
      <c r="U241" s="19" t="s">
        <v>10581</v>
      </c>
      <c r="V241" s="18" t="s">
        <v>10582</v>
      </c>
      <c r="W241" s="18" t="s">
        <v>8964</v>
      </c>
      <c r="X241" s="18" t="s">
        <v>27</v>
      </c>
      <c r="Y241" s="18" t="s">
        <v>8994</v>
      </c>
      <c r="Z241" s="18" t="s">
        <v>17</v>
      </c>
    </row>
    <row r="242" spans="1:26" ht="20.100000000000001" customHeight="1" x14ac:dyDescent="0.2">
      <c r="A242" s="30" t="s">
        <v>10583</v>
      </c>
      <c r="B242" s="19" t="s">
        <v>10584</v>
      </c>
      <c r="C242" s="19" t="s">
        <v>10585</v>
      </c>
      <c r="D242" s="8" t="s">
        <v>9035</v>
      </c>
      <c r="E242" s="20" t="s">
        <v>9101</v>
      </c>
      <c r="F242" s="20" t="s">
        <v>9175</v>
      </c>
      <c r="G242" s="20" t="s">
        <v>9464</v>
      </c>
      <c r="H242" s="20">
        <v>2625</v>
      </c>
      <c r="I242" s="20" t="s">
        <v>8952</v>
      </c>
      <c r="J242" s="20" t="s">
        <v>8953</v>
      </c>
      <c r="K242" s="45" t="s">
        <v>8954</v>
      </c>
      <c r="L242" s="21" t="s">
        <v>8955</v>
      </c>
      <c r="M242" s="20" t="s">
        <v>8956</v>
      </c>
      <c r="N242" s="20" t="s">
        <v>8957</v>
      </c>
      <c r="O242" s="20">
        <f t="shared" si="3"/>
        <v>9</v>
      </c>
      <c r="P242" s="22" t="s">
        <v>8975</v>
      </c>
      <c r="Q242" s="21" t="s">
        <v>8959</v>
      </c>
      <c r="R242" s="23" t="s">
        <v>9010</v>
      </c>
      <c r="S242" s="18" t="s">
        <v>10148</v>
      </c>
      <c r="T242" s="24" t="str">
        <f>VLOOKUP(R242,[1]Sheet3!$A$2:$A$47,1,0)</f>
        <v>the United States of America</v>
      </c>
      <c r="U242" s="18" t="s">
        <v>10586</v>
      </c>
      <c r="V242" s="18" t="s">
        <v>10587</v>
      </c>
      <c r="W242" s="18" t="s">
        <v>8964</v>
      </c>
      <c r="X242" s="18" t="s">
        <v>700</v>
      </c>
      <c r="Y242" s="18" t="s">
        <v>10151</v>
      </c>
      <c r="Z242" s="18" t="s">
        <v>17</v>
      </c>
    </row>
    <row r="243" spans="1:26" ht="20.100000000000001" customHeight="1" x14ac:dyDescent="0.2">
      <c r="A243" s="30" t="s">
        <v>10588</v>
      </c>
      <c r="B243" s="19" t="s">
        <v>10589</v>
      </c>
      <c r="C243" s="19" t="s">
        <v>10590</v>
      </c>
      <c r="D243" s="8" t="s">
        <v>9605</v>
      </c>
      <c r="E243" s="20" t="s">
        <v>9121</v>
      </c>
      <c r="F243" s="20" t="s">
        <v>8950</v>
      </c>
      <c r="G243" s="20" t="s">
        <v>9292</v>
      </c>
      <c r="H243" s="20">
        <v>558</v>
      </c>
      <c r="I243" s="20" t="s">
        <v>9077</v>
      </c>
      <c r="J243" s="20" t="s">
        <v>8953</v>
      </c>
      <c r="K243" s="20" t="s">
        <v>8954</v>
      </c>
      <c r="L243" s="21" t="s">
        <v>8955</v>
      </c>
      <c r="M243" s="20" t="s">
        <v>8956</v>
      </c>
      <c r="N243" s="20" t="s">
        <v>8957</v>
      </c>
      <c r="O243" s="20">
        <f t="shared" si="3"/>
        <v>5</v>
      </c>
      <c r="P243" s="22" t="s">
        <v>8958</v>
      </c>
      <c r="Q243" s="21" t="s">
        <v>9061</v>
      </c>
      <c r="R243" s="23" t="s">
        <v>9010</v>
      </c>
      <c r="S243" s="18" t="s">
        <v>9011</v>
      </c>
      <c r="T243" s="24" t="str">
        <f>VLOOKUP(R243,[1]Sheet3!$A$2:$A$47,1,0)</f>
        <v>the United States of America</v>
      </c>
      <c r="U243" s="18" t="s">
        <v>10591</v>
      </c>
      <c r="V243" s="18" t="s">
        <v>10592</v>
      </c>
      <c r="W243" s="18" t="s">
        <v>8964</v>
      </c>
      <c r="X243" s="18" t="s">
        <v>93</v>
      </c>
      <c r="Y243" s="18" t="s">
        <v>9014</v>
      </c>
      <c r="Z243" s="18" t="s">
        <v>17</v>
      </c>
    </row>
    <row r="244" spans="1:26" ht="20.100000000000001" customHeight="1" x14ac:dyDescent="0.2">
      <c r="A244" s="30" t="s">
        <v>10593</v>
      </c>
      <c r="B244" s="19" t="s">
        <v>10594</v>
      </c>
      <c r="C244" s="19" t="s">
        <v>10595</v>
      </c>
      <c r="D244" s="8" t="s">
        <v>9035</v>
      </c>
      <c r="E244" s="20" t="s">
        <v>8998</v>
      </c>
      <c r="F244" s="20" t="s">
        <v>10031</v>
      </c>
      <c r="G244" s="20" t="s">
        <v>8987</v>
      </c>
      <c r="H244" s="20">
        <v>1018</v>
      </c>
      <c r="I244" s="20" t="s">
        <v>8952</v>
      </c>
      <c r="J244" s="20" t="s">
        <v>8953</v>
      </c>
      <c r="K244" s="20" t="s">
        <v>8989</v>
      </c>
      <c r="L244" s="21" t="s">
        <v>8955</v>
      </c>
      <c r="M244" s="20" t="s">
        <v>8990</v>
      </c>
      <c r="N244" s="20" t="s">
        <v>8959</v>
      </c>
      <c r="O244" s="20">
        <f t="shared" si="3"/>
        <v>4</v>
      </c>
      <c r="P244" s="22" t="s">
        <v>8958</v>
      </c>
      <c r="Q244" s="21" t="s">
        <v>8959</v>
      </c>
      <c r="R244" s="23" t="s">
        <v>9310</v>
      </c>
      <c r="S244" s="18" t="s">
        <v>9093</v>
      </c>
      <c r="T244" s="24" t="str">
        <f>VLOOKUP(R244,[1]Sheet3!$A$2:$A$47,1,0)</f>
        <v>China</v>
      </c>
      <c r="U244" s="18" t="s">
        <v>10596</v>
      </c>
      <c r="V244" s="18" t="s">
        <v>10597</v>
      </c>
      <c r="W244" s="18" t="s">
        <v>8964</v>
      </c>
      <c r="X244" s="18" t="s">
        <v>378</v>
      </c>
      <c r="Y244" s="18" t="s">
        <v>9096</v>
      </c>
      <c r="Z244" s="18" t="s">
        <v>11</v>
      </c>
    </row>
    <row r="245" spans="1:26" ht="20.100000000000001" customHeight="1" x14ac:dyDescent="0.2">
      <c r="A245" s="30" t="s">
        <v>10598</v>
      </c>
      <c r="B245" s="19" t="s">
        <v>10599</v>
      </c>
      <c r="C245" s="19" t="s">
        <v>10600</v>
      </c>
      <c r="D245" s="8" t="s">
        <v>9092</v>
      </c>
      <c r="E245" s="20" t="s">
        <v>8998</v>
      </c>
      <c r="F245" s="27" t="s">
        <v>10601</v>
      </c>
      <c r="G245" s="20" t="s">
        <v>8973</v>
      </c>
      <c r="H245" s="20">
        <v>136</v>
      </c>
      <c r="I245" s="20" t="s">
        <v>9158</v>
      </c>
      <c r="J245" s="20" t="s">
        <v>8953</v>
      </c>
      <c r="K245" s="20" t="s">
        <v>8954</v>
      </c>
      <c r="L245" s="21" t="s">
        <v>8955</v>
      </c>
      <c r="M245" s="20" t="s">
        <v>8956</v>
      </c>
      <c r="N245" s="20" t="s">
        <v>8957</v>
      </c>
      <c r="O245" s="20">
        <f t="shared" si="3"/>
        <v>7</v>
      </c>
      <c r="P245" s="22" t="s">
        <v>8958</v>
      </c>
      <c r="Q245" s="21" t="s">
        <v>9061</v>
      </c>
      <c r="R245" s="23" t="s">
        <v>9010</v>
      </c>
      <c r="S245" s="18" t="s">
        <v>9093</v>
      </c>
      <c r="T245" s="24" t="str">
        <f>VLOOKUP(R245,[1]Sheet3!$A$2:$A$47,1,0)</f>
        <v>the United States of America</v>
      </c>
      <c r="U245" s="18" t="s">
        <v>10602</v>
      </c>
      <c r="V245" s="18" t="s">
        <v>10603</v>
      </c>
      <c r="W245" s="18" t="s">
        <v>8964</v>
      </c>
      <c r="X245" s="18" t="s">
        <v>378</v>
      </c>
      <c r="Y245" s="18" t="s">
        <v>9096</v>
      </c>
      <c r="Z245" s="18" t="s">
        <v>11</v>
      </c>
    </row>
    <row r="246" spans="1:26" ht="20.100000000000001" customHeight="1" x14ac:dyDescent="0.2">
      <c r="A246" s="30" t="s">
        <v>10604</v>
      </c>
      <c r="B246" s="19" t="s">
        <v>10605</v>
      </c>
      <c r="C246" s="19" t="s">
        <v>10606</v>
      </c>
      <c r="D246" s="8" t="s">
        <v>9035</v>
      </c>
      <c r="E246" s="20" t="s">
        <v>9155</v>
      </c>
      <c r="F246" s="20" t="s">
        <v>10607</v>
      </c>
      <c r="G246" s="20" t="s">
        <v>8973</v>
      </c>
      <c r="H246" s="20">
        <v>3</v>
      </c>
      <c r="I246" s="20" t="s">
        <v>9008</v>
      </c>
      <c r="J246" s="20" t="s">
        <v>9059</v>
      </c>
      <c r="K246" s="20" t="s">
        <v>8989</v>
      </c>
      <c r="L246" s="21" t="s">
        <v>8955</v>
      </c>
      <c r="M246" s="20" t="s">
        <v>8956</v>
      </c>
      <c r="N246" s="20" t="s">
        <v>8957</v>
      </c>
      <c r="O246" s="20">
        <f t="shared" si="3"/>
        <v>4</v>
      </c>
      <c r="P246" s="22" t="s">
        <v>8958</v>
      </c>
      <c r="Q246" s="21" t="s">
        <v>8959</v>
      </c>
      <c r="R246" s="23" t="s">
        <v>9310</v>
      </c>
      <c r="S246" s="18" t="s">
        <v>9093</v>
      </c>
      <c r="T246" s="24" t="str">
        <f>VLOOKUP(R246,[1]Sheet3!$A$2:$A$47,1,0)</f>
        <v>China</v>
      </c>
      <c r="U246" s="18" t="s">
        <v>10608</v>
      </c>
      <c r="V246" s="18" t="s">
        <v>10609</v>
      </c>
      <c r="W246" s="18" t="s">
        <v>8964</v>
      </c>
      <c r="X246" s="18" t="s">
        <v>378</v>
      </c>
      <c r="Y246" s="18" t="s">
        <v>9096</v>
      </c>
      <c r="Z246" s="18" t="s">
        <v>11</v>
      </c>
    </row>
    <row r="247" spans="1:26" ht="20.100000000000001" customHeight="1" x14ac:dyDescent="0.2">
      <c r="A247" s="30" t="s">
        <v>10610</v>
      </c>
      <c r="B247" s="19" t="s">
        <v>10611</v>
      </c>
      <c r="C247" s="19" t="s">
        <v>10612</v>
      </c>
      <c r="D247" s="8" t="s">
        <v>9252</v>
      </c>
      <c r="E247" s="20" t="s">
        <v>8949</v>
      </c>
      <c r="F247" s="20" t="s">
        <v>10613</v>
      </c>
      <c r="G247" s="31" t="s">
        <v>9157</v>
      </c>
      <c r="H247" s="27">
        <v>172</v>
      </c>
      <c r="I247" s="20" t="s">
        <v>9158</v>
      </c>
      <c r="J247" s="20" t="s">
        <v>9059</v>
      </c>
      <c r="K247" s="20" t="s">
        <v>8989</v>
      </c>
      <c r="L247" s="21" t="s">
        <v>8955</v>
      </c>
      <c r="M247" s="20" t="s">
        <v>8990</v>
      </c>
      <c r="N247" s="20" t="s">
        <v>8957</v>
      </c>
      <c r="O247" s="20">
        <f t="shared" si="3"/>
        <v>5</v>
      </c>
      <c r="P247" s="22" t="s">
        <v>8958</v>
      </c>
      <c r="Q247" s="21" t="s">
        <v>8959</v>
      </c>
      <c r="R247" s="23" t="s">
        <v>9310</v>
      </c>
      <c r="S247" s="18" t="s">
        <v>9093</v>
      </c>
      <c r="T247" s="24" t="str">
        <f>VLOOKUP(R247,[1]Sheet3!$A$2:$A$47,1,0)</f>
        <v>China</v>
      </c>
      <c r="U247" s="18" t="s">
        <v>10614</v>
      </c>
      <c r="V247" s="18" t="s">
        <v>10615</v>
      </c>
      <c r="W247" s="18" t="s">
        <v>8964</v>
      </c>
      <c r="X247" s="18" t="s">
        <v>378</v>
      </c>
      <c r="Y247" s="18" t="s">
        <v>9096</v>
      </c>
      <c r="Z247" s="18" t="s">
        <v>11</v>
      </c>
    </row>
    <row r="248" spans="1:26" ht="20.100000000000001" customHeight="1" x14ac:dyDescent="0.2">
      <c r="A248" s="30" t="s">
        <v>10616</v>
      </c>
      <c r="B248" s="19" t="s">
        <v>10617</v>
      </c>
      <c r="C248" s="19" t="s">
        <v>10618</v>
      </c>
      <c r="D248" s="8" t="s">
        <v>9035</v>
      </c>
      <c r="E248" s="20" t="s">
        <v>8998</v>
      </c>
      <c r="F248" s="20" t="s">
        <v>9036</v>
      </c>
      <c r="G248" s="20" t="s">
        <v>8987</v>
      </c>
      <c r="H248" s="20">
        <v>106</v>
      </c>
      <c r="I248" s="20" t="s">
        <v>9158</v>
      </c>
      <c r="J248" s="20" t="s">
        <v>8953</v>
      </c>
      <c r="K248" s="20" t="s">
        <v>8989</v>
      </c>
      <c r="L248" s="21" t="s">
        <v>8955</v>
      </c>
      <c r="M248" s="20" t="s">
        <v>8956</v>
      </c>
      <c r="N248" s="20" t="s">
        <v>9060</v>
      </c>
      <c r="O248" s="20">
        <f t="shared" si="3"/>
        <v>7</v>
      </c>
      <c r="P248" s="22" t="s">
        <v>8958</v>
      </c>
      <c r="Q248" s="21" t="s">
        <v>9009</v>
      </c>
      <c r="R248" s="23" t="s">
        <v>9213</v>
      </c>
      <c r="S248" s="18" t="s">
        <v>9255</v>
      </c>
      <c r="T248" s="24" t="str">
        <f>VLOOKUP(R248,[1]Sheet3!$A$2:$A$47,1,0)</f>
        <v>South Korea</v>
      </c>
      <c r="U248" s="18" t="s">
        <v>10619</v>
      </c>
      <c r="V248" s="18" t="s">
        <v>10620</v>
      </c>
      <c r="W248" s="18" t="s">
        <v>8964</v>
      </c>
      <c r="X248" s="18" t="s">
        <v>24</v>
      </c>
      <c r="Y248" s="18" t="s">
        <v>9258</v>
      </c>
      <c r="Z248" s="18" t="s">
        <v>11</v>
      </c>
    </row>
    <row r="249" spans="1:26" ht="20.100000000000001" customHeight="1" x14ac:dyDescent="0.2">
      <c r="A249" s="30" t="s">
        <v>10621</v>
      </c>
      <c r="B249" s="19" t="s">
        <v>10622</v>
      </c>
      <c r="C249" s="19" t="s">
        <v>10623</v>
      </c>
      <c r="D249" s="8" t="s">
        <v>9035</v>
      </c>
      <c r="E249" s="20" t="s">
        <v>9155</v>
      </c>
      <c r="F249" s="20" t="s">
        <v>10492</v>
      </c>
      <c r="G249" s="20" t="s">
        <v>8973</v>
      </c>
      <c r="H249" s="20">
        <v>60</v>
      </c>
      <c r="I249" s="20" t="s">
        <v>9008</v>
      </c>
      <c r="J249" s="20" t="s">
        <v>9059</v>
      </c>
      <c r="K249" s="20" t="s">
        <v>8954</v>
      </c>
      <c r="L249" s="21" t="s">
        <v>8955</v>
      </c>
      <c r="M249" s="20" t="s">
        <v>8956</v>
      </c>
      <c r="N249" s="20" t="s">
        <v>8957</v>
      </c>
      <c r="O249" s="20">
        <f t="shared" si="3"/>
        <v>7</v>
      </c>
      <c r="P249" s="22" t="s">
        <v>8958</v>
      </c>
      <c r="Q249" s="21" t="s">
        <v>8959</v>
      </c>
      <c r="R249" s="23" t="s">
        <v>9010</v>
      </c>
      <c r="S249" s="18" t="s">
        <v>9011</v>
      </c>
      <c r="T249" s="24" t="str">
        <f>VLOOKUP(R249,[1]Sheet3!$A$2:$A$47,1,0)</f>
        <v>the United States of America</v>
      </c>
      <c r="U249" s="18" t="s">
        <v>10624</v>
      </c>
      <c r="V249" s="18" t="s">
        <v>10625</v>
      </c>
      <c r="W249" s="18" t="s">
        <v>8964</v>
      </c>
      <c r="X249" s="18" t="s">
        <v>93</v>
      </c>
      <c r="Y249" s="18" t="s">
        <v>9014</v>
      </c>
      <c r="Z249" s="18" t="s">
        <v>17</v>
      </c>
    </row>
    <row r="250" spans="1:26" ht="20.100000000000001" customHeight="1" x14ac:dyDescent="0.2">
      <c r="A250" s="30" t="s">
        <v>10626</v>
      </c>
      <c r="B250" s="19" t="s">
        <v>10627</v>
      </c>
      <c r="C250" s="19" t="s">
        <v>10628</v>
      </c>
      <c r="D250" s="8" t="s">
        <v>9092</v>
      </c>
      <c r="E250" s="20" t="s">
        <v>8949</v>
      </c>
      <c r="F250" s="20" t="s">
        <v>10629</v>
      </c>
      <c r="G250" s="20" t="s">
        <v>8973</v>
      </c>
      <c r="H250" s="20">
        <v>120</v>
      </c>
      <c r="I250" s="20" t="s">
        <v>9158</v>
      </c>
      <c r="J250" s="20" t="s">
        <v>8953</v>
      </c>
      <c r="K250" s="20" t="s">
        <v>8954</v>
      </c>
      <c r="L250" s="21" t="s">
        <v>8955</v>
      </c>
      <c r="M250" s="20" t="s">
        <v>8956</v>
      </c>
      <c r="N250" s="20" t="s">
        <v>8957</v>
      </c>
      <c r="O250" s="20">
        <f t="shared" si="3"/>
        <v>1</v>
      </c>
      <c r="P250" s="22" t="s">
        <v>9103</v>
      </c>
      <c r="Q250" s="21" t="s">
        <v>9061</v>
      </c>
      <c r="R250" s="23" t="s">
        <v>9010</v>
      </c>
      <c r="S250" s="18" t="s">
        <v>10630</v>
      </c>
      <c r="T250" s="24" t="str">
        <f>VLOOKUP(R250,[1]Sheet3!$A$2:$A$47,1,0)</f>
        <v>the United States of America</v>
      </c>
      <c r="U250" s="18" t="s">
        <v>10631</v>
      </c>
      <c r="V250" s="18" t="s">
        <v>10632</v>
      </c>
      <c r="W250" s="18" t="s">
        <v>8964</v>
      </c>
      <c r="X250" s="18" t="s">
        <v>161</v>
      </c>
      <c r="Y250" s="18" t="s">
        <v>10633</v>
      </c>
      <c r="Z250" s="18" t="s">
        <v>17</v>
      </c>
    </row>
    <row r="251" spans="1:26" ht="20.100000000000001" customHeight="1" x14ac:dyDescent="0.2">
      <c r="A251" s="30" t="s">
        <v>10634</v>
      </c>
      <c r="B251" s="19" t="s">
        <v>10635</v>
      </c>
      <c r="C251" s="19" t="s">
        <v>10636</v>
      </c>
      <c r="D251" s="8" t="s">
        <v>9605</v>
      </c>
      <c r="E251" s="20" t="s">
        <v>9155</v>
      </c>
      <c r="F251" s="48" t="s">
        <v>10637</v>
      </c>
      <c r="G251" s="20" t="s">
        <v>8973</v>
      </c>
      <c r="H251" s="20">
        <v>45</v>
      </c>
      <c r="I251" s="20" t="s">
        <v>9008</v>
      </c>
      <c r="J251" s="20" t="s">
        <v>9059</v>
      </c>
      <c r="K251" s="20" t="s">
        <v>8954</v>
      </c>
      <c r="L251" s="21" t="s">
        <v>8955</v>
      </c>
      <c r="M251" s="20" t="s">
        <v>8990</v>
      </c>
      <c r="N251" s="20" t="s">
        <v>8957</v>
      </c>
      <c r="O251" s="20">
        <f t="shared" si="3"/>
        <v>5</v>
      </c>
      <c r="P251" s="22" t="s">
        <v>8958</v>
      </c>
      <c r="Q251" s="21" t="s">
        <v>8959</v>
      </c>
      <c r="R251" s="23" t="s">
        <v>9010</v>
      </c>
      <c r="S251" s="18" t="s">
        <v>8992</v>
      </c>
      <c r="T251" s="24" t="str">
        <f>VLOOKUP(R251,[1]Sheet3!$A$2:$A$47,1,0)</f>
        <v>the United States of America</v>
      </c>
      <c r="U251" s="19" t="s">
        <v>10638</v>
      </c>
      <c r="V251" s="18" t="s">
        <v>10639</v>
      </c>
      <c r="W251" s="18" t="s">
        <v>8964</v>
      </c>
      <c r="X251" s="18" t="s">
        <v>27</v>
      </c>
      <c r="Y251" s="18" t="s">
        <v>8994</v>
      </c>
      <c r="Z251" s="18" t="s">
        <v>17</v>
      </c>
    </row>
    <row r="252" spans="1:26" ht="20.100000000000001" customHeight="1" x14ac:dyDescent="0.2">
      <c r="A252" s="30" t="s">
        <v>10640</v>
      </c>
      <c r="B252" s="19" t="s">
        <v>10641</v>
      </c>
      <c r="C252" s="19" t="s">
        <v>10642</v>
      </c>
      <c r="D252" s="8" t="s">
        <v>9092</v>
      </c>
      <c r="E252" s="20" t="s">
        <v>8949</v>
      </c>
      <c r="F252" s="20" t="s">
        <v>8950</v>
      </c>
      <c r="G252" s="20" t="s">
        <v>8973</v>
      </c>
      <c r="H252" s="20">
        <v>595</v>
      </c>
      <c r="I252" s="20" t="s">
        <v>9077</v>
      </c>
      <c r="J252" s="20" t="s">
        <v>8953</v>
      </c>
      <c r="K252" s="20" t="s">
        <v>8954</v>
      </c>
      <c r="L252" s="21" t="s">
        <v>8955</v>
      </c>
      <c r="M252" s="20" t="s">
        <v>8956</v>
      </c>
      <c r="N252" s="20" t="s">
        <v>9060</v>
      </c>
      <c r="O252" s="20">
        <f t="shared" si="3"/>
        <v>4</v>
      </c>
      <c r="P252" s="22" t="s">
        <v>8958</v>
      </c>
      <c r="Q252" s="21" t="s">
        <v>9009</v>
      </c>
      <c r="R252" s="23" t="s">
        <v>9317</v>
      </c>
      <c r="S252" s="18" t="s">
        <v>8961</v>
      </c>
      <c r="T252" s="24" t="str">
        <f>VLOOKUP(R252,[1]Sheet3!$A$2:$A$47,1,0)</f>
        <v>Germany</v>
      </c>
      <c r="U252" s="18" t="s">
        <v>10643</v>
      </c>
      <c r="V252" s="18" t="s">
        <v>10644</v>
      </c>
      <c r="W252" s="18" t="s">
        <v>8964</v>
      </c>
      <c r="X252" s="18" t="s">
        <v>126</v>
      </c>
      <c r="Y252" s="18" t="s">
        <v>8966</v>
      </c>
      <c r="Z252" s="18" t="s">
        <v>17</v>
      </c>
    </row>
    <row r="253" spans="1:26" ht="20.100000000000001" customHeight="1" x14ac:dyDescent="0.2">
      <c r="A253" s="30" t="s">
        <v>10645</v>
      </c>
      <c r="B253" s="19" t="s">
        <v>10646</v>
      </c>
      <c r="C253" s="19" t="s">
        <v>10647</v>
      </c>
      <c r="D253" s="8" t="s">
        <v>9035</v>
      </c>
      <c r="E253" s="20" t="s">
        <v>9155</v>
      </c>
      <c r="F253" s="20" t="s">
        <v>9051</v>
      </c>
      <c r="G253" s="20" t="s">
        <v>8951</v>
      </c>
      <c r="H253" s="20">
        <v>3936</v>
      </c>
      <c r="I253" s="20" t="s">
        <v>9019</v>
      </c>
      <c r="J253" s="20" t="s">
        <v>8953</v>
      </c>
      <c r="K253" s="20" t="s">
        <v>8954</v>
      </c>
      <c r="L253" s="21" t="s">
        <v>8955</v>
      </c>
      <c r="M253" s="20" t="s">
        <v>8956</v>
      </c>
      <c r="N253" s="20" t="s">
        <v>8957</v>
      </c>
      <c r="O253" s="20">
        <f t="shared" si="3"/>
        <v>9</v>
      </c>
      <c r="P253" s="22" t="s">
        <v>8975</v>
      </c>
      <c r="Q253" s="21" t="s">
        <v>9009</v>
      </c>
      <c r="R253" s="23" t="s">
        <v>9465</v>
      </c>
      <c r="S253" s="18" t="s">
        <v>10648</v>
      </c>
      <c r="T253" s="24" t="str">
        <f>VLOOKUP(R253,[1]Sheet3!$A$2:$A$47,1,0)</f>
        <v>Switzerland</v>
      </c>
      <c r="U253" s="18" t="s">
        <v>10649</v>
      </c>
      <c r="V253" s="18" t="s">
        <v>10650</v>
      </c>
      <c r="W253" s="18" t="s">
        <v>8964</v>
      </c>
      <c r="X253" s="18" t="s">
        <v>424</v>
      </c>
      <c r="Y253" s="18" t="s">
        <v>10651</v>
      </c>
      <c r="Z253" s="18" t="s">
        <v>11</v>
      </c>
    </row>
    <row r="254" spans="1:26" ht="20.100000000000001" customHeight="1" x14ac:dyDescent="0.2">
      <c r="A254" s="30" t="s">
        <v>10652</v>
      </c>
      <c r="B254" s="19" t="s">
        <v>10653</v>
      </c>
      <c r="C254" s="19" t="s">
        <v>10654</v>
      </c>
      <c r="D254" s="8" t="s">
        <v>9075</v>
      </c>
      <c r="E254" s="20" t="s">
        <v>8998</v>
      </c>
      <c r="F254" s="20" t="s">
        <v>9036</v>
      </c>
      <c r="G254" s="20" t="s">
        <v>8973</v>
      </c>
      <c r="H254" s="20">
        <v>16000</v>
      </c>
      <c r="I254" s="20" t="s">
        <v>9019</v>
      </c>
      <c r="J254" s="20" t="s">
        <v>8953</v>
      </c>
      <c r="K254" s="20" t="s">
        <v>8989</v>
      </c>
      <c r="L254" s="21" t="s">
        <v>8955</v>
      </c>
      <c r="M254" s="20" t="s">
        <v>8990</v>
      </c>
      <c r="N254" s="20" t="s">
        <v>8957</v>
      </c>
      <c r="O254" s="20">
        <f t="shared" si="3"/>
        <v>7</v>
      </c>
      <c r="P254" s="22" t="s">
        <v>8958</v>
      </c>
      <c r="Q254" s="21" t="s">
        <v>9061</v>
      </c>
      <c r="R254" s="23" t="s">
        <v>9010</v>
      </c>
      <c r="S254" s="18" t="s">
        <v>9011</v>
      </c>
      <c r="T254" s="24" t="str">
        <f>VLOOKUP(R254,[1]Sheet3!$A$2:$A$47,1,0)</f>
        <v>the United States of America</v>
      </c>
      <c r="U254" s="18" t="s">
        <v>10655</v>
      </c>
      <c r="V254" s="18" t="s">
        <v>10656</v>
      </c>
      <c r="W254" s="18" t="s">
        <v>8964</v>
      </c>
      <c r="X254" s="18" t="s">
        <v>93</v>
      </c>
      <c r="Y254" s="18" t="s">
        <v>9014</v>
      </c>
      <c r="Z254" s="18" t="s">
        <v>17</v>
      </c>
    </row>
    <row r="255" spans="1:26" ht="20.100000000000001" customHeight="1" x14ac:dyDescent="0.2">
      <c r="A255" s="30" t="s">
        <v>10657</v>
      </c>
      <c r="B255" s="19" t="s">
        <v>10658</v>
      </c>
      <c r="C255" s="19" t="s">
        <v>10659</v>
      </c>
      <c r="D255" s="8" t="s">
        <v>9605</v>
      </c>
      <c r="E255" s="20" t="s">
        <v>9308</v>
      </c>
      <c r="F255" s="20" t="s">
        <v>10660</v>
      </c>
      <c r="G255" s="20" t="s">
        <v>8973</v>
      </c>
      <c r="H255" s="27">
        <v>3</v>
      </c>
      <c r="I255" s="20" t="s">
        <v>9008</v>
      </c>
      <c r="J255" s="20" t="s">
        <v>9059</v>
      </c>
      <c r="K255" s="31" t="s">
        <v>8989</v>
      </c>
      <c r="L255" s="21" t="s">
        <v>8955</v>
      </c>
      <c r="M255" s="20" t="s">
        <v>8990</v>
      </c>
      <c r="N255" s="20" t="s">
        <v>8957</v>
      </c>
      <c r="O255" s="20">
        <f t="shared" si="3"/>
        <v>11</v>
      </c>
      <c r="P255" s="22" t="s">
        <v>8975</v>
      </c>
      <c r="Q255" s="21" t="s">
        <v>8959</v>
      </c>
      <c r="R255" s="23" t="s">
        <v>9317</v>
      </c>
      <c r="S255" s="18" t="s">
        <v>9011</v>
      </c>
      <c r="T255" s="24" t="str">
        <f>VLOOKUP(R255,[1]Sheet3!$A$2:$A$47,1,0)</f>
        <v>Germany</v>
      </c>
      <c r="U255" s="18" t="s">
        <v>10661</v>
      </c>
      <c r="V255" s="18" t="s">
        <v>10662</v>
      </c>
      <c r="W255" s="18" t="s">
        <v>8964</v>
      </c>
      <c r="X255" s="18" t="s">
        <v>93</v>
      </c>
      <c r="Y255" s="18" t="s">
        <v>9014</v>
      </c>
      <c r="Z255" s="18" t="s">
        <v>17</v>
      </c>
    </row>
    <row r="256" spans="1:26" ht="20.100000000000001" customHeight="1" x14ac:dyDescent="0.2">
      <c r="A256" s="30" t="s">
        <v>10663</v>
      </c>
      <c r="B256" s="19" t="s">
        <v>10664</v>
      </c>
      <c r="C256" s="19" t="s">
        <v>10665</v>
      </c>
      <c r="D256" s="8" t="s">
        <v>9605</v>
      </c>
      <c r="E256" s="20" t="s">
        <v>8949</v>
      </c>
      <c r="F256" s="20" t="s">
        <v>9036</v>
      </c>
      <c r="G256" s="33" t="s">
        <v>9076</v>
      </c>
      <c r="H256" s="20">
        <v>300</v>
      </c>
      <c r="I256" s="20" t="s">
        <v>8988</v>
      </c>
      <c r="J256" s="20" t="s">
        <v>8953</v>
      </c>
      <c r="K256" s="20" t="s">
        <v>8954</v>
      </c>
      <c r="L256" s="21" t="s">
        <v>8955</v>
      </c>
      <c r="M256" s="20" t="s">
        <v>8956</v>
      </c>
      <c r="N256" s="20" t="s">
        <v>8959</v>
      </c>
      <c r="O256" s="20">
        <f t="shared" si="3"/>
        <v>4</v>
      </c>
      <c r="P256" s="22" t="s">
        <v>8958</v>
      </c>
      <c r="Q256" s="21" t="s">
        <v>8959</v>
      </c>
      <c r="R256" s="23" t="s">
        <v>9317</v>
      </c>
      <c r="S256" s="18" t="s">
        <v>10666</v>
      </c>
      <c r="T256" s="24" t="str">
        <f>VLOOKUP(R256,[1]Sheet3!$A$2:$A$47,1,0)</f>
        <v>Germany</v>
      </c>
      <c r="U256" s="19" t="s">
        <v>10667</v>
      </c>
      <c r="V256" s="18" t="s">
        <v>10668</v>
      </c>
      <c r="W256" s="18" t="s">
        <v>8964</v>
      </c>
      <c r="X256" s="18" t="s">
        <v>1110</v>
      </c>
      <c r="Y256" s="18" t="s">
        <v>10669</v>
      </c>
      <c r="Z256" s="18" t="s">
        <v>11</v>
      </c>
    </row>
    <row r="257" spans="1:26" ht="20.100000000000001" customHeight="1" x14ac:dyDescent="0.2">
      <c r="A257" s="30" t="s">
        <v>10670</v>
      </c>
      <c r="B257" s="19" t="s">
        <v>10671</v>
      </c>
      <c r="C257" s="19" t="s">
        <v>10672</v>
      </c>
      <c r="D257" s="8" t="s">
        <v>8948</v>
      </c>
      <c r="E257" s="20" t="s">
        <v>8949</v>
      </c>
      <c r="F257" s="20" t="s">
        <v>10673</v>
      </c>
      <c r="G257" s="20" t="s">
        <v>8973</v>
      </c>
      <c r="H257" s="20">
        <v>943</v>
      </c>
      <c r="I257" s="20" t="s">
        <v>9077</v>
      </c>
      <c r="J257" s="20" t="s">
        <v>8953</v>
      </c>
      <c r="K257" s="20" t="s">
        <v>8954</v>
      </c>
      <c r="L257" s="21" t="s">
        <v>8955</v>
      </c>
      <c r="M257" s="20" t="s">
        <v>8956</v>
      </c>
      <c r="N257" s="20" t="s">
        <v>9060</v>
      </c>
      <c r="O257" s="20">
        <f t="shared" si="3"/>
        <v>5</v>
      </c>
      <c r="P257" s="22" t="s">
        <v>8958</v>
      </c>
      <c r="Q257" s="21" t="s">
        <v>8959</v>
      </c>
      <c r="R257" s="23" t="s">
        <v>9062</v>
      </c>
      <c r="S257" s="18" t="s">
        <v>9711</v>
      </c>
      <c r="T257" s="24" t="str">
        <f>VLOOKUP(R257,[1]Sheet3!$A$2:$A$47,1,0)</f>
        <v>Germany</v>
      </c>
      <c r="U257" s="18" t="s">
        <v>10674</v>
      </c>
      <c r="V257" s="18" t="s">
        <v>10675</v>
      </c>
      <c r="W257" s="18" t="s">
        <v>8964</v>
      </c>
      <c r="X257" s="18" t="s">
        <v>392</v>
      </c>
      <c r="Y257" s="18" t="s">
        <v>9714</v>
      </c>
      <c r="Z257" s="18" t="s">
        <v>17</v>
      </c>
    </row>
    <row r="258" spans="1:26" ht="20.100000000000001" customHeight="1" x14ac:dyDescent="0.2">
      <c r="A258" s="30" t="s">
        <v>10676</v>
      </c>
      <c r="B258" s="19" t="s">
        <v>10677</v>
      </c>
      <c r="C258" s="19" t="s">
        <v>10678</v>
      </c>
      <c r="D258" s="8" t="s">
        <v>9154</v>
      </c>
      <c r="E258" s="20" t="s">
        <v>8971</v>
      </c>
      <c r="F258" s="27" t="s">
        <v>10679</v>
      </c>
      <c r="G258" s="31" t="s">
        <v>9157</v>
      </c>
      <c r="H258" s="27">
        <v>25776</v>
      </c>
      <c r="I258" s="20" t="s">
        <v>9019</v>
      </c>
      <c r="J258" s="20" t="s">
        <v>8953</v>
      </c>
      <c r="K258" s="20" t="s">
        <v>8954</v>
      </c>
      <c r="L258" s="21" t="s">
        <v>8955</v>
      </c>
      <c r="M258" s="20" t="s">
        <v>8956</v>
      </c>
      <c r="N258" s="20" t="s">
        <v>8959</v>
      </c>
      <c r="O258" s="20">
        <f t="shared" ref="O258:O321" si="4">1+LEN(V258)-LEN(SUBSTITUTE(V258,";",))</f>
        <v>4</v>
      </c>
      <c r="P258" s="22" t="s">
        <v>8958</v>
      </c>
      <c r="Q258" s="21" t="s">
        <v>9009</v>
      </c>
      <c r="R258" s="23" t="s">
        <v>9213</v>
      </c>
      <c r="S258" s="18" t="s">
        <v>10680</v>
      </c>
      <c r="T258" s="24" t="str">
        <f>VLOOKUP(R258,[1]Sheet3!$A$2:$A$47,1,0)</f>
        <v>South Korea</v>
      </c>
      <c r="U258" s="18" t="s">
        <v>10681</v>
      </c>
      <c r="V258" s="18" t="s">
        <v>10682</v>
      </c>
      <c r="W258" s="18" t="s">
        <v>8964</v>
      </c>
      <c r="X258" s="18" t="s">
        <v>2232</v>
      </c>
      <c r="Y258" s="18" t="s">
        <v>10683</v>
      </c>
      <c r="Z258" s="18" t="s">
        <v>17</v>
      </c>
    </row>
    <row r="259" spans="1:26" ht="20.100000000000001" customHeight="1" x14ac:dyDescent="0.2">
      <c r="A259" s="30" t="s">
        <v>10684</v>
      </c>
      <c r="B259" s="19" t="s">
        <v>10685</v>
      </c>
      <c r="C259" s="19" t="s">
        <v>10686</v>
      </c>
      <c r="D259" s="8" t="s">
        <v>9173</v>
      </c>
      <c r="E259" s="20" t="s">
        <v>9174</v>
      </c>
      <c r="F259" s="20" t="s">
        <v>8972</v>
      </c>
      <c r="G259" s="20" t="s">
        <v>8973</v>
      </c>
      <c r="H259" s="20">
        <v>146590</v>
      </c>
      <c r="I259" s="20" t="s">
        <v>9019</v>
      </c>
      <c r="J259" s="20" t="s">
        <v>8953</v>
      </c>
      <c r="K259" s="20" t="s">
        <v>8954</v>
      </c>
      <c r="L259" s="21" t="s">
        <v>8955</v>
      </c>
      <c r="M259" s="20" t="s">
        <v>8956</v>
      </c>
      <c r="N259" s="20" t="s">
        <v>8957</v>
      </c>
      <c r="O259" s="20">
        <f t="shared" si="4"/>
        <v>1</v>
      </c>
      <c r="P259" s="22" t="s">
        <v>9103</v>
      </c>
      <c r="Q259" s="21" t="s">
        <v>8959</v>
      </c>
      <c r="R259" s="23" t="s">
        <v>10687</v>
      </c>
      <c r="S259" s="18" t="s">
        <v>10688</v>
      </c>
      <c r="T259" s="24" t="str">
        <f>VLOOKUP(R259,[1]Sheet3!$A$2:$A$47,1,0)</f>
        <v>Poland</v>
      </c>
      <c r="U259" s="18" t="s">
        <v>10689</v>
      </c>
      <c r="V259" s="18" t="s">
        <v>10690</v>
      </c>
      <c r="W259" s="18" t="s">
        <v>8964</v>
      </c>
      <c r="X259" s="18" t="s">
        <v>1343</v>
      </c>
      <c r="Y259" s="18" t="s">
        <v>10691</v>
      </c>
      <c r="Z259" s="18" t="s">
        <v>11</v>
      </c>
    </row>
    <row r="260" spans="1:26" ht="20.100000000000001" customHeight="1" x14ac:dyDescent="0.2">
      <c r="A260" s="30" t="s">
        <v>10692</v>
      </c>
      <c r="B260" s="19" t="s">
        <v>10693</v>
      </c>
      <c r="C260" s="19" t="s">
        <v>10694</v>
      </c>
      <c r="D260" s="8" t="s">
        <v>9252</v>
      </c>
      <c r="E260" s="20" t="s">
        <v>9253</v>
      </c>
      <c r="F260" s="20" t="s">
        <v>9510</v>
      </c>
      <c r="G260" s="20" t="s">
        <v>9076</v>
      </c>
      <c r="H260" s="20">
        <v>8</v>
      </c>
      <c r="I260" s="20" t="s">
        <v>9008</v>
      </c>
      <c r="J260" s="20" t="s">
        <v>8953</v>
      </c>
      <c r="K260" s="20" t="s">
        <v>8954</v>
      </c>
      <c r="L260" s="21" t="s">
        <v>8955</v>
      </c>
      <c r="M260" s="20" t="s">
        <v>8956</v>
      </c>
      <c r="N260" s="20" t="s">
        <v>8957</v>
      </c>
      <c r="O260" s="20">
        <f t="shared" si="4"/>
        <v>2</v>
      </c>
      <c r="P260" s="22" t="s">
        <v>9103</v>
      </c>
      <c r="Q260" s="21" t="s">
        <v>8959</v>
      </c>
      <c r="R260" s="23" t="s">
        <v>9010</v>
      </c>
      <c r="S260" s="18" t="s">
        <v>9616</v>
      </c>
      <c r="T260" s="24" t="str">
        <f>VLOOKUP(R260,[1]Sheet3!$A$2:$A$47,1,0)</f>
        <v>the United States of America</v>
      </c>
      <c r="U260" s="18" t="s">
        <v>10695</v>
      </c>
      <c r="V260" s="18" t="s">
        <v>10696</v>
      </c>
      <c r="W260" s="18" t="s">
        <v>8964</v>
      </c>
      <c r="X260" s="18" t="s">
        <v>631</v>
      </c>
      <c r="Y260" s="18" t="s">
        <v>9619</v>
      </c>
      <c r="Z260" s="18" t="s">
        <v>11</v>
      </c>
    </row>
    <row r="261" spans="1:26" ht="20.100000000000001" customHeight="1" x14ac:dyDescent="0.2">
      <c r="A261" s="30" t="s">
        <v>10697</v>
      </c>
      <c r="B261" s="19" t="s">
        <v>10698</v>
      </c>
      <c r="C261" s="19" t="s">
        <v>10699</v>
      </c>
      <c r="D261" s="8" t="s">
        <v>9252</v>
      </c>
      <c r="E261" s="20" t="s">
        <v>9253</v>
      </c>
      <c r="F261" s="33" t="s">
        <v>9018</v>
      </c>
      <c r="G261" s="20" t="s">
        <v>9133</v>
      </c>
      <c r="H261" s="20">
        <v>340</v>
      </c>
      <c r="I261" s="20" t="s">
        <v>8988</v>
      </c>
      <c r="J261" s="20" t="s">
        <v>8953</v>
      </c>
      <c r="K261" s="20" t="s">
        <v>8989</v>
      </c>
      <c r="L261" s="21" t="s">
        <v>8955</v>
      </c>
      <c r="M261" s="20" t="s">
        <v>8956</v>
      </c>
      <c r="N261" s="20" t="s">
        <v>8957</v>
      </c>
      <c r="O261" s="20">
        <f t="shared" si="4"/>
        <v>4</v>
      </c>
      <c r="P261" s="22" t="s">
        <v>8958</v>
      </c>
      <c r="Q261" s="21" t="s">
        <v>8959</v>
      </c>
      <c r="R261" s="23" t="s">
        <v>9213</v>
      </c>
      <c r="S261" s="18" t="s">
        <v>9093</v>
      </c>
      <c r="T261" s="24" t="str">
        <f>VLOOKUP(R261,[1]Sheet3!$A$2:$A$47,1,0)</f>
        <v>South Korea</v>
      </c>
      <c r="U261" s="18" t="s">
        <v>10700</v>
      </c>
      <c r="V261" s="18" t="s">
        <v>10701</v>
      </c>
      <c r="W261" s="18" t="s">
        <v>8964</v>
      </c>
      <c r="X261" s="18" t="s">
        <v>378</v>
      </c>
      <c r="Y261" s="18" t="s">
        <v>9096</v>
      </c>
      <c r="Z261" s="18" t="s">
        <v>11</v>
      </c>
    </row>
    <row r="262" spans="1:26" ht="20.100000000000001" customHeight="1" x14ac:dyDescent="0.2">
      <c r="A262" s="30" t="s">
        <v>10702</v>
      </c>
      <c r="B262" s="19" t="s">
        <v>10703</v>
      </c>
      <c r="C262" s="19" t="s">
        <v>10704</v>
      </c>
      <c r="D262" s="8" t="s">
        <v>9035</v>
      </c>
      <c r="E262" s="20" t="s">
        <v>9155</v>
      </c>
      <c r="F262" s="20" t="s">
        <v>8950</v>
      </c>
      <c r="G262" s="20" t="s">
        <v>8987</v>
      </c>
      <c r="H262" s="20">
        <v>472</v>
      </c>
      <c r="I262" s="20" t="s">
        <v>8988</v>
      </c>
      <c r="J262" s="20" t="s">
        <v>9059</v>
      </c>
      <c r="K262" s="20" t="s">
        <v>8989</v>
      </c>
      <c r="L262" s="21" t="s">
        <v>8955</v>
      </c>
      <c r="M262" s="20" t="s">
        <v>8990</v>
      </c>
      <c r="N262" s="20" t="s">
        <v>8957</v>
      </c>
      <c r="O262" s="20">
        <f t="shared" si="4"/>
        <v>9</v>
      </c>
      <c r="P262" s="22" t="s">
        <v>8975</v>
      </c>
      <c r="Q262" s="21" t="s">
        <v>8959</v>
      </c>
      <c r="R262" s="23" t="s">
        <v>10049</v>
      </c>
      <c r="S262" s="18" t="s">
        <v>10705</v>
      </c>
      <c r="T262" s="24" t="str">
        <f>VLOOKUP(R262,[1]Sheet3!$A$2:$A$47,1,0)</f>
        <v>Italy</v>
      </c>
      <c r="U262" s="18" t="s">
        <v>10706</v>
      </c>
      <c r="V262" s="18" t="s">
        <v>10707</v>
      </c>
      <c r="W262" s="18" t="s">
        <v>8964</v>
      </c>
      <c r="X262" s="18" t="s">
        <v>1848</v>
      </c>
      <c r="Y262" s="18" t="s">
        <v>10708</v>
      </c>
      <c r="Z262" s="18" t="s">
        <v>11</v>
      </c>
    </row>
    <row r="263" spans="1:26" ht="20.100000000000001" customHeight="1" x14ac:dyDescent="0.2">
      <c r="A263" s="30" t="s">
        <v>10709</v>
      </c>
      <c r="B263" s="19" t="s">
        <v>10710</v>
      </c>
      <c r="C263" s="19" t="s">
        <v>10711</v>
      </c>
      <c r="D263" s="8" t="s">
        <v>9035</v>
      </c>
      <c r="E263" s="20" t="s">
        <v>8998</v>
      </c>
      <c r="F263" s="20" t="s">
        <v>9036</v>
      </c>
      <c r="G263" s="20" t="s">
        <v>8987</v>
      </c>
      <c r="H263" s="20">
        <v>1906</v>
      </c>
      <c r="I263" s="20" t="s">
        <v>8952</v>
      </c>
      <c r="J263" s="20" t="s">
        <v>8953</v>
      </c>
      <c r="K263" s="20" t="s">
        <v>8954</v>
      </c>
      <c r="L263" s="21" t="s">
        <v>8955</v>
      </c>
      <c r="M263" s="20" t="s">
        <v>8990</v>
      </c>
      <c r="N263" s="20" t="s">
        <v>8957</v>
      </c>
      <c r="O263" s="20">
        <f t="shared" si="4"/>
        <v>5</v>
      </c>
      <c r="P263" s="22" t="s">
        <v>8958</v>
      </c>
      <c r="Q263" s="21" t="s">
        <v>8959</v>
      </c>
      <c r="R263" s="23" t="s">
        <v>9213</v>
      </c>
      <c r="S263" s="18" t="s">
        <v>10712</v>
      </c>
      <c r="T263" s="24" t="str">
        <f>VLOOKUP(R263,[1]Sheet3!$A$2:$A$47,1,0)</f>
        <v>South Korea</v>
      </c>
      <c r="U263" s="18" t="s">
        <v>10713</v>
      </c>
      <c r="V263" s="18" t="s">
        <v>10714</v>
      </c>
      <c r="W263" s="18" t="s">
        <v>8964</v>
      </c>
      <c r="X263" s="18" t="s">
        <v>1017</v>
      </c>
      <c r="Y263" s="18" t="s">
        <v>10715</v>
      </c>
      <c r="Z263" s="18" t="s">
        <v>11</v>
      </c>
    </row>
    <row r="264" spans="1:26" ht="20.100000000000001" customHeight="1" x14ac:dyDescent="0.2">
      <c r="A264" s="30" t="s">
        <v>10716</v>
      </c>
      <c r="B264" s="19" t="s">
        <v>10717</v>
      </c>
      <c r="C264" s="19" t="s">
        <v>10718</v>
      </c>
      <c r="D264" s="8" t="s">
        <v>9605</v>
      </c>
      <c r="E264" s="20" t="s">
        <v>9121</v>
      </c>
      <c r="F264" s="20" t="s">
        <v>9018</v>
      </c>
      <c r="G264" s="31" t="s">
        <v>9157</v>
      </c>
      <c r="H264" s="20">
        <v>33342</v>
      </c>
      <c r="I264" s="20" t="s">
        <v>9019</v>
      </c>
      <c r="J264" s="20" t="s">
        <v>8953</v>
      </c>
      <c r="K264" s="31" t="s">
        <v>8954</v>
      </c>
      <c r="L264" s="21" t="s">
        <v>8955</v>
      </c>
      <c r="M264" s="20" t="s">
        <v>8956</v>
      </c>
      <c r="N264" s="20" t="s">
        <v>8957</v>
      </c>
      <c r="O264" s="20">
        <f t="shared" si="4"/>
        <v>8</v>
      </c>
      <c r="P264" s="22" t="s">
        <v>8975</v>
      </c>
      <c r="Q264" s="21" t="s">
        <v>8959</v>
      </c>
      <c r="R264" s="23" t="s">
        <v>9650</v>
      </c>
      <c r="S264" s="18" t="s">
        <v>10050</v>
      </c>
      <c r="T264" s="24" t="str">
        <f>VLOOKUP(R264,[1]Sheet3!$A$2:$A$47,1,0)</f>
        <v>Spain</v>
      </c>
      <c r="U264" s="18" t="s">
        <v>10719</v>
      </c>
      <c r="V264" s="18" t="s">
        <v>10720</v>
      </c>
      <c r="W264" s="18" t="s">
        <v>8964</v>
      </c>
      <c r="X264" s="18" t="s">
        <v>808</v>
      </c>
      <c r="Y264" s="18" t="s">
        <v>10053</v>
      </c>
      <c r="Z264" s="18" t="s">
        <v>11</v>
      </c>
    </row>
    <row r="265" spans="1:26" ht="20.100000000000001" customHeight="1" x14ac:dyDescent="0.2">
      <c r="A265" s="30" t="s">
        <v>10721</v>
      </c>
      <c r="B265" s="19" t="s">
        <v>10722</v>
      </c>
      <c r="C265" s="19" t="s">
        <v>10723</v>
      </c>
      <c r="D265" s="8" t="s">
        <v>9035</v>
      </c>
      <c r="E265" s="20" t="s">
        <v>8998</v>
      </c>
      <c r="F265" s="20" t="s">
        <v>8950</v>
      </c>
      <c r="G265" s="31" t="s">
        <v>9157</v>
      </c>
      <c r="H265" s="27">
        <v>1194</v>
      </c>
      <c r="I265" s="20" t="s">
        <v>8952</v>
      </c>
      <c r="J265" s="20" t="s">
        <v>9059</v>
      </c>
      <c r="K265" s="20" t="s">
        <v>8954</v>
      </c>
      <c r="L265" s="21" t="s">
        <v>8955</v>
      </c>
      <c r="M265" s="20" t="s">
        <v>8956</v>
      </c>
      <c r="N265" s="20" t="s">
        <v>8957</v>
      </c>
      <c r="O265" s="20">
        <f t="shared" si="4"/>
        <v>10</v>
      </c>
      <c r="P265" s="22" t="s">
        <v>8975</v>
      </c>
      <c r="Q265" s="21" t="s">
        <v>9061</v>
      </c>
      <c r="R265" s="23" t="s">
        <v>9010</v>
      </c>
      <c r="S265" s="18" t="s">
        <v>10411</v>
      </c>
      <c r="T265" s="24" t="str">
        <f>VLOOKUP(R265,[1]Sheet3!$A$2:$A$47,1,0)</f>
        <v>the United States of America</v>
      </c>
      <c r="U265" s="18" t="s">
        <v>10724</v>
      </c>
      <c r="V265" s="18" t="s">
        <v>10725</v>
      </c>
      <c r="W265" s="18" t="s">
        <v>8964</v>
      </c>
      <c r="X265" s="18" t="s">
        <v>771</v>
      </c>
      <c r="Y265" s="18" t="s">
        <v>10414</v>
      </c>
      <c r="Z265" s="18" t="s">
        <v>11</v>
      </c>
    </row>
    <row r="266" spans="1:26" ht="20.100000000000001" customHeight="1" x14ac:dyDescent="0.2">
      <c r="A266" s="30" t="s">
        <v>10726</v>
      </c>
      <c r="B266" s="19" t="s">
        <v>10727</v>
      </c>
      <c r="C266" s="19" t="s">
        <v>10728</v>
      </c>
      <c r="D266" s="8" t="s">
        <v>10729</v>
      </c>
      <c r="E266" s="20" t="s">
        <v>9155</v>
      </c>
      <c r="F266" s="20" t="s">
        <v>9036</v>
      </c>
      <c r="G266" s="20" t="s">
        <v>9076</v>
      </c>
      <c r="H266" s="20">
        <v>200</v>
      </c>
      <c r="I266" s="20" t="s">
        <v>9158</v>
      </c>
      <c r="J266" s="20" t="s">
        <v>8953</v>
      </c>
      <c r="K266" s="20" t="s">
        <v>8954</v>
      </c>
      <c r="L266" s="21" t="s">
        <v>8955</v>
      </c>
      <c r="M266" s="20" t="s">
        <v>8990</v>
      </c>
      <c r="N266" s="20" t="s">
        <v>9060</v>
      </c>
      <c r="O266" s="20">
        <f t="shared" si="4"/>
        <v>5</v>
      </c>
      <c r="P266" s="22" t="s">
        <v>8958</v>
      </c>
      <c r="Q266" s="21" t="s">
        <v>9061</v>
      </c>
      <c r="R266" s="23" t="s">
        <v>9356</v>
      </c>
      <c r="S266" s="18" t="s">
        <v>10136</v>
      </c>
      <c r="T266" s="24" t="str">
        <f>VLOOKUP(R266,[1]Sheet3!$A$2:$A$47,1,0)</f>
        <v>Japan</v>
      </c>
      <c r="U266" s="18" t="s">
        <v>10730</v>
      </c>
      <c r="V266" s="18" t="s">
        <v>10731</v>
      </c>
      <c r="W266" s="18" t="s">
        <v>8964</v>
      </c>
      <c r="X266" s="18" t="s">
        <v>2172</v>
      </c>
      <c r="Y266" s="18" t="s">
        <v>10139</v>
      </c>
      <c r="Z266" s="18" t="s">
        <v>17</v>
      </c>
    </row>
    <row r="267" spans="1:26" ht="20.100000000000001" customHeight="1" x14ac:dyDescent="0.2">
      <c r="A267" s="30" t="s">
        <v>10732</v>
      </c>
      <c r="B267" s="19" t="s">
        <v>10733</v>
      </c>
      <c r="C267" s="19" t="s">
        <v>10734</v>
      </c>
      <c r="D267" s="8" t="s">
        <v>8948</v>
      </c>
      <c r="E267" s="20" t="s">
        <v>8998</v>
      </c>
      <c r="F267" s="20" t="s">
        <v>9658</v>
      </c>
      <c r="G267" s="20" t="s">
        <v>9133</v>
      </c>
      <c r="H267" s="20">
        <v>441</v>
      </c>
      <c r="I267" s="20" t="s">
        <v>8988</v>
      </c>
      <c r="J267" s="20" t="s">
        <v>8953</v>
      </c>
      <c r="K267" s="20" t="s">
        <v>8954</v>
      </c>
      <c r="L267" s="21" t="s">
        <v>8955</v>
      </c>
      <c r="M267" s="20" t="s">
        <v>8956</v>
      </c>
      <c r="N267" s="20" t="s">
        <v>8959</v>
      </c>
      <c r="O267" s="20">
        <f t="shared" si="4"/>
        <v>8</v>
      </c>
      <c r="P267" s="22" t="s">
        <v>8975</v>
      </c>
      <c r="Q267" s="21" t="s">
        <v>9061</v>
      </c>
      <c r="R267" s="23" t="s">
        <v>9333</v>
      </c>
      <c r="S267" s="18" t="s">
        <v>10735</v>
      </c>
      <c r="T267" s="24" t="str">
        <f>VLOOKUP(R267,[1]Sheet3!$A$2:$A$47,1,0)</f>
        <v>Japan</v>
      </c>
      <c r="U267" s="18" t="s">
        <v>10736</v>
      </c>
      <c r="V267" s="18" t="s">
        <v>10737</v>
      </c>
      <c r="W267" s="18" t="s">
        <v>8964</v>
      </c>
      <c r="X267" s="18" t="s">
        <v>413</v>
      </c>
      <c r="Y267" s="18" t="s">
        <v>10738</v>
      </c>
      <c r="Z267" s="18" t="s">
        <v>17</v>
      </c>
    </row>
    <row r="268" spans="1:26" ht="20.100000000000001" customHeight="1" x14ac:dyDescent="0.2">
      <c r="A268" s="30" t="s">
        <v>10739</v>
      </c>
      <c r="B268" s="19" t="s">
        <v>10740</v>
      </c>
      <c r="C268" s="19" t="s">
        <v>10741</v>
      </c>
      <c r="D268" s="8" t="s">
        <v>9154</v>
      </c>
      <c r="E268" s="20" t="s">
        <v>8998</v>
      </c>
      <c r="F268" s="33" t="s">
        <v>10742</v>
      </c>
      <c r="G268" s="20" t="s">
        <v>8987</v>
      </c>
      <c r="H268" s="20">
        <v>436</v>
      </c>
      <c r="I268" s="20" t="s">
        <v>8988</v>
      </c>
      <c r="J268" s="20" t="s">
        <v>8953</v>
      </c>
      <c r="K268" s="20" t="s">
        <v>8989</v>
      </c>
      <c r="L268" s="21" t="s">
        <v>8955</v>
      </c>
      <c r="M268" s="20" t="s">
        <v>8956</v>
      </c>
      <c r="N268" s="20" t="s">
        <v>8957</v>
      </c>
      <c r="O268" s="20">
        <f t="shared" si="4"/>
        <v>10</v>
      </c>
      <c r="P268" s="22" t="s">
        <v>8975</v>
      </c>
      <c r="Q268" s="21" t="s">
        <v>8959</v>
      </c>
      <c r="R268" s="23" t="s">
        <v>9010</v>
      </c>
      <c r="S268" s="18" t="s">
        <v>9342</v>
      </c>
      <c r="T268" s="24" t="str">
        <f>VLOOKUP(R268,[1]Sheet3!$A$2:$A$47,1,0)</f>
        <v>the United States of America</v>
      </c>
      <c r="U268" s="18" t="s">
        <v>10743</v>
      </c>
      <c r="V268" s="18" t="s">
        <v>10744</v>
      </c>
      <c r="W268" s="18" t="s">
        <v>8964</v>
      </c>
      <c r="X268" s="18" t="s">
        <v>64</v>
      </c>
      <c r="Y268" s="18" t="s">
        <v>9345</v>
      </c>
      <c r="Z268" s="18" t="s">
        <v>17</v>
      </c>
    </row>
    <row r="269" spans="1:26" ht="20.100000000000001" customHeight="1" x14ac:dyDescent="0.2">
      <c r="A269" s="30" t="s">
        <v>10745</v>
      </c>
      <c r="B269" s="19" t="s">
        <v>10746</v>
      </c>
      <c r="C269" s="19" t="s">
        <v>10747</v>
      </c>
      <c r="D269" s="8" t="s">
        <v>9075</v>
      </c>
      <c r="E269" s="20" t="s">
        <v>8998</v>
      </c>
      <c r="F269" s="20" t="s">
        <v>8950</v>
      </c>
      <c r="G269" s="20" t="s">
        <v>9464</v>
      </c>
      <c r="H269" s="20">
        <v>600</v>
      </c>
      <c r="I269" s="20" t="s">
        <v>9077</v>
      </c>
      <c r="J269" s="20" t="s">
        <v>8953</v>
      </c>
      <c r="K269" s="20" t="s">
        <v>8989</v>
      </c>
      <c r="L269" s="21" t="s">
        <v>8955</v>
      </c>
      <c r="M269" s="20" t="s">
        <v>8956</v>
      </c>
      <c r="N269" s="20" t="s">
        <v>8957</v>
      </c>
      <c r="O269" s="20">
        <f t="shared" si="4"/>
        <v>5</v>
      </c>
      <c r="P269" s="22" t="s">
        <v>8958</v>
      </c>
      <c r="Q269" s="21" t="s">
        <v>8959</v>
      </c>
      <c r="R269" s="23" t="s">
        <v>9310</v>
      </c>
      <c r="S269" s="18" t="s">
        <v>10429</v>
      </c>
      <c r="T269" s="24" t="str">
        <f>VLOOKUP(R269,[1]Sheet3!$A$2:$A$47,1,0)</f>
        <v>China</v>
      </c>
      <c r="U269" s="18" t="s">
        <v>10748</v>
      </c>
      <c r="V269" s="18" t="s">
        <v>10749</v>
      </c>
      <c r="W269" s="18" t="s">
        <v>8964</v>
      </c>
      <c r="X269" s="18" t="s">
        <v>1598</v>
      </c>
      <c r="Y269" s="18" t="s">
        <v>10432</v>
      </c>
      <c r="Z269" s="18" t="s">
        <v>11</v>
      </c>
    </row>
    <row r="270" spans="1:26" ht="20.100000000000001" customHeight="1" x14ac:dyDescent="0.2">
      <c r="A270" s="30" t="s">
        <v>10750</v>
      </c>
      <c r="B270" s="19" t="s">
        <v>10751</v>
      </c>
      <c r="C270" s="19" t="s">
        <v>10752</v>
      </c>
      <c r="D270" s="8" t="s">
        <v>9049</v>
      </c>
      <c r="E270" s="20" t="s">
        <v>9050</v>
      </c>
      <c r="F270" s="20" t="s">
        <v>10531</v>
      </c>
      <c r="G270" s="20" t="s">
        <v>8951</v>
      </c>
      <c r="H270" s="20">
        <v>1542</v>
      </c>
      <c r="I270" s="20" t="s">
        <v>8952</v>
      </c>
      <c r="J270" s="20" t="s">
        <v>8953</v>
      </c>
      <c r="K270" s="20" t="s">
        <v>8989</v>
      </c>
      <c r="L270" s="21" t="s">
        <v>8955</v>
      </c>
      <c r="M270" s="20" t="s">
        <v>8990</v>
      </c>
      <c r="N270" s="20" t="s">
        <v>8974</v>
      </c>
      <c r="O270" s="20">
        <f t="shared" si="4"/>
        <v>6</v>
      </c>
      <c r="P270" s="22" t="s">
        <v>8958</v>
      </c>
      <c r="Q270" s="21" t="s">
        <v>8959</v>
      </c>
      <c r="R270" s="23" t="s">
        <v>9213</v>
      </c>
      <c r="S270" s="18" t="s">
        <v>9228</v>
      </c>
      <c r="T270" s="24" t="str">
        <f>VLOOKUP(R270,[1]Sheet3!$A$2:$A$47,1,0)</f>
        <v>South Korea</v>
      </c>
      <c r="U270" s="18" t="s">
        <v>10753</v>
      </c>
      <c r="V270" s="18" t="s">
        <v>10754</v>
      </c>
      <c r="W270" s="18" t="s">
        <v>8964</v>
      </c>
      <c r="X270" s="18" t="s">
        <v>110</v>
      </c>
      <c r="Y270" s="18" t="s">
        <v>9231</v>
      </c>
      <c r="Z270" s="18" t="s">
        <v>11</v>
      </c>
    </row>
    <row r="271" spans="1:26" ht="20.100000000000001" customHeight="1" x14ac:dyDescent="0.2">
      <c r="A271" s="30" t="s">
        <v>10755</v>
      </c>
      <c r="B271" s="19" t="s">
        <v>10756</v>
      </c>
      <c r="C271" s="19" t="s">
        <v>10757</v>
      </c>
      <c r="D271" s="8" t="s">
        <v>9092</v>
      </c>
      <c r="E271" s="20" t="s">
        <v>8949</v>
      </c>
      <c r="F271" s="20" t="s">
        <v>9658</v>
      </c>
      <c r="G271" s="20" t="s">
        <v>9133</v>
      </c>
      <c r="H271" s="20">
        <v>1370</v>
      </c>
      <c r="I271" s="20" t="s">
        <v>8952</v>
      </c>
      <c r="J271" s="20" t="s">
        <v>8953</v>
      </c>
      <c r="K271" s="20" t="s">
        <v>8989</v>
      </c>
      <c r="L271" s="21" t="s">
        <v>8955</v>
      </c>
      <c r="M271" s="20" t="s">
        <v>8956</v>
      </c>
      <c r="N271" s="20" t="s">
        <v>8959</v>
      </c>
      <c r="O271" s="20">
        <f t="shared" si="4"/>
        <v>23</v>
      </c>
      <c r="P271" s="22" t="s">
        <v>8975</v>
      </c>
      <c r="Q271" s="21" t="s">
        <v>8959</v>
      </c>
      <c r="R271" s="23" t="s">
        <v>9010</v>
      </c>
      <c r="S271" s="18" t="s">
        <v>10411</v>
      </c>
      <c r="T271" s="24" t="str">
        <f>VLOOKUP(R271,[1]Sheet3!$A$2:$A$47,1,0)</f>
        <v>the United States of America</v>
      </c>
      <c r="U271" s="18" t="s">
        <v>10758</v>
      </c>
      <c r="V271" s="18" t="s">
        <v>10759</v>
      </c>
      <c r="W271" s="18" t="s">
        <v>8964</v>
      </c>
      <c r="X271" s="18" t="s">
        <v>771</v>
      </c>
      <c r="Y271" s="18" t="s">
        <v>10414</v>
      </c>
      <c r="Z271" s="18" t="s">
        <v>11</v>
      </c>
    </row>
    <row r="272" spans="1:26" ht="20.100000000000001" customHeight="1" x14ac:dyDescent="0.2">
      <c r="A272" s="30" t="s">
        <v>10760</v>
      </c>
      <c r="B272" s="19" t="s">
        <v>10761</v>
      </c>
      <c r="C272" s="19" t="s">
        <v>10762</v>
      </c>
      <c r="D272" s="8" t="s">
        <v>8948</v>
      </c>
      <c r="E272" s="20" t="s">
        <v>8998</v>
      </c>
      <c r="F272" s="20" t="s">
        <v>8972</v>
      </c>
      <c r="G272" s="20" t="s">
        <v>8973</v>
      </c>
      <c r="H272" s="20">
        <v>271</v>
      </c>
      <c r="I272" s="20" t="s">
        <v>8988</v>
      </c>
      <c r="J272" s="20" t="s">
        <v>8953</v>
      </c>
      <c r="K272" s="20" t="s">
        <v>8954</v>
      </c>
      <c r="L272" s="21" t="s">
        <v>8955</v>
      </c>
      <c r="M272" s="20" t="s">
        <v>8956</v>
      </c>
      <c r="N272" s="20" t="s">
        <v>8974</v>
      </c>
      <c r="O272" s="20">
        <f t="shared" si="4"/>
        <v>9</v>
      </c>
      <c r="P272" s="22" t="s">
        <v>8975</v>
      </c>
      <c r="Q272" s="21" t="s">
        <v>8959</v>
      </c>
      <c r="R272" s="23" t="s">
        <v>9010</v>
      </c>
      <c r="S272" s="18" t="s">
        <v>9011</v>
      </c>
      <c r="T272" s="24" t="str">
        <f>VLOOKUP(R272,[1]Sheet3!$A$2:$A$47,1,0)</f>
        <v>the United States of America</v>
      </c>
      <c r="U272" s="18" t="s">
        <v>10763</v>
      </c>
      <c r="V272" s="18" t="s">
        <v>10764</v>
      </c>
      <c r="W272" s="18" t="s">
        <v>8964</v>
      </c>
      <c r="X272" s="18" t="s">
        <v>93</v>
      </c>
      <c r="Y272" s="18" t="s">
        <v>9014</v>
      </c>
      <c r="Z272" s="18" t="s">
        <v>17</v>
      </c>
    </row>
    <row r="273" spans="1:26" ht="20.100000000000001" customHeight="1" x14ac:dyDescent="0.2">
      <c r="A273" s="30" t="s">
        <v>10765</v>
      </c>
      <c r="B273" s="19" t="s">
        <v>10766</v>
      </c>
      <c r="C273" s="19" t="s">
        <v>10767</v>
      </c>
      <c r="D273" s="8" t="s">
        <v>9605</v>
      </c>
      <c r="E273" s="20" t="s">
        <v>9101</v>
      </c>
      <c r="F273" s="20" t="s">
        <v>8972</v>
      </c>
      <c r="G273" s="31" t="s">
        <v>9464</v>
      </c>
      <c r="H273" s="31">
        <v>1700</v>
      </c>
      <c r="I273" s="20" t="s">
        <v>8952</v>
      </c>
      <c r="J273" s="20" t="s">
        <v>8953</v>
      </c>
      <c r="K273" s="31" t="s">
        <v>8954</v>
      </c>
      <c r="L273" s="21" t="s">
        <v>8955</v>
      </c>
      <c r="M273" s="20" t="s">
        <v>8956</v>
      </c>
      <c r="N273" s="20" t="s">
        <v>9060</v>
      </c>
      <c r="O273" s="20">
        <f t="shared" si="4"/>
        <v>21</v>
      </c>
      <c r="P273" s="22" t="s">
        <v>8975</v>
      </c>
      <c r="Q273" s="21" t="s">
        <v>8959</v>
      </c>
      <c r="R273" s="23" t="s">
        <v>9317</v>
      </c>
      <c r="S273" s="18" t="s">
        <v>10148</v>
      </c>
      <c r="T273" s="24" t="str">
        <f>VLOOKUP(R273,[1]Sheet3!$A$2:$A$47,1,0)</f>
        <v>Germany</v>
      </c>
      <c r="U273" s="18" t="s">
        <v>10768</v>
      </c>
      <c r="V273" s="18" t="s">
        <v>10769</v>
      </c>
      <c r="W273" s="18" t="s">
        <v>8964</v>
      </c>
      <c r="X273" s="18" t="s">
        <v>700</v>
      </c>
      <c r="Y273" s="18" t="s">
        <v>10151</v>
      </c>
      <c r="Z273" s="18" t="s">
        <v>11</v>
      </c>
    </row>
    <row r="274" spans="1:26" ht="20.100000000000001" customHeight="1" x14ac:dyDescent="0.2">
      <c r="A274" s="30" t="s">
        <v>10770</v>
      </c>
      <c r="B274" s="19" t="s">
        <v>10771</v>
      </c>
      <c r="C274" s="19" t="s">
        <v>10772</v>
      </c>
      <c r="D274" s="8" t="s">
        <v>9035</v>
      </c>
      <c r="E274" s="20" t="s">
        <v>8998</v>
      </c>
      <c r="F274" s="48" t="s">
        <v>10773</v>
      </c>
      <c r="G274" s="20" t="s">
        <v>8987</v>
      </c>
      <c r="H274" s="20">
        <v>369714</v>
      </c>
      <c r="I274" s="20" t="s">
        <v>9019</v>
      </c>
      <c r="J274" s="20" t="s">
        <v>8953</v>
      </c>
      <c r="K274" s="20" t="s">
        <v>8954</v>
      </c>
      <c r="L274" s="21" t="s">
        <v>8955</v>
      </c>
      <c r="M274" s="20" t="s">
        <v>8956</v>
      </c>
      <c r="N274" s="20" t="s">
        <v>8957</v>
      </c>
      <c r="O274" s="20">
        <f t="shared" si="4"/>
        <v>12</v>
      </c>
      <c r="P274" s="22" t="s">
        <v>8975</v>
      </c>
      <c r="Q274" s="21" t="s">
        <v>8959</v>
      </c>
      <c r="R274" s="23" t="s">
        <v>9010</v>
      </c>
      <c r="S274" s="18" t="s">
        <v>9205</v>
      </c>
      <c r="T274" s="24" t="str">
        <f>VLOOKUP(R274,[1]Sheet3!$A$2:$A$47,1,0)</f>
        <v>the United States of America</v>
      </c>
      <c r="U274" s="18" t="s">
        <v>10774</v>
      </c>
      <c r="V274" s="18" t="s">
        <v>10775</v>
      </c>
      <c r="W274" s="18" t="s">
        <v>8964</v>
      </c>
      <c r="X274" s="18" t="s">
        <v>8</v>
      </c>
      <c r="Y274" s="18" t="s">
        <v>9208</v>
      </c>
      <c r="Z274" s="18" t="s">
        <v>17</v>
      </c>
    </row>
    <row r="275" spans="1:26" ht="20.100000000000001" customHeight="1" x14ac:dyDescent="0.2">
      <c r="A275" s="30" t="s">
        <v>10776</v>
      </c>
      <c r="B275" s="19" t="s">
        <v>10777</v>
      </c>
      <c r="C275" s="19" t="s">
        <v>10778</v>
      </c>
      <c r="D275" s="8" t="s">
        <v>8948</v>
      </c>
      <c r="E275" s="20" t="s">
        <v>9155</v>
      </c>
      <c r="F275" s="20" t="s">
        <v>9036</v>
      </c>
      <c r="G275" s="31" t="s">
        <v>9076</v>
      </c>
      <c r="H275" s="31">
        <v>22</v>
      </c>
      <c r="I275" s="20" t="s">
        <v>9008</v>
      </c>
      <c r="J275" s="20" t="s">
        <v>8953</v>
      </c>
      <c r="K275" s="20" t="s">
        <v>8954</v>
      </c>
      <c r="L275" s="21" t="s">
        <v>8955</v>
      </c>
      <c r="M275" s="20" t="s">
        <v>8990</v>
      </c>
      <c r="N275" s="20" t="s">
        <v>8957</v>
      </c>
      <c r="O275" s="20">
        <f t="shared" si="4"/>
        <v>11</v>
      </c>
      <c r="P275" s="22" t="s">
        <v>8975</v>
      </c>
      <c r="Q275" s="21" t="s">
        <v>8959</v>
      </c>
      <c r="R275" s="23" t="s">
        <v>9310</v>
      </c>
      <c r="S275" s="18" t="s">
        <v>10705</v>
      </c>
      <c r="T275" s="24" t="str">
        <f>VLOOKUP(R275,[1]Sheet3!$A$2:$A$47,1,0)</f>
        <v>China</v>
      </c>
      <c r="U275" s="18" t="s">
        <v>10779</v>
      </c>
      <c r="V275" s="18" t="s">
        <v>10780</v>
      </c>
      <c r="W275" s="18" t="s">
        <v>8964</v>
      </c>
      <c r="X275" s="18" t="s">
        <v>1848</v>
      </c>
      <c r="Y275" s="18" t="s">
        <v>10708</v>
      </c>
      <c r="Z275" s="18" t="s">
        <v>11</v>
      </c>
    </row>
    <row r="276" spans="1:26" ht="20.100000000000001" customHeight="1" x14ac:dyDescent="0.2">
      <c r="A276" s="30" t="s">
        <v>10781</v>
      </c>
      <c r="B276" s="19" t="s">
        <v>10782</v>
      </c>
      <c r="C276" s="19" t="s">
        <v>10783</v>
      </c>
      <c r="D276" s="8" t="s">
        <v>9035</v>
      </c>
      <c r="E276" s="20" t="s">
        <v>8971</v>
      </c>
      <c r="F276" s="20" t="s">
        <v>10784</v>
      </c>
      <c r="G276" s="20" t="s">
        <v>8987</v>
      </c>
      <c r="H276" s="20">
        <v>7500</v>
      </c>
      <c r="I276" s="20" t="s">
        <v>9019</v>
      </c>
      <c r="J276" s="20" t="s">
        <v>8953</v>
      </c>
      <c r="K276" s="20" t="s">
        <v>8954</v>
      </c>
      <c r="L276" s="21" t="s">
        <v>8955</v>
      </c>
      <c r="M276" s="20" t="s">
        <v>8990</v>
      </c>
      <c r="N276" s="20" t="s">
        <v>8957</v>
      </c>
      <c r="O276" s="20">
        <f t="shared" si="4"/>
        <v>5</v>
      </c>
      <c r="P276" s="22" t="s">
        <v>8958</v>
      </c>
      <c r="Q276" s="21" t="s">
        <v>9009</v>
      </c>
      <c r="R276" s="23" t="s">
        <v>9630</v>
      </c>
      <c r="S276" s="18" t="s">
        <v>10785</v>
      </c>
      <c r="T276" s="24" t="str">
        <f>VLOOKUP(R276,[1]Sheet3!$A$2:$A$47,1,0)</f>
        <v>Norway</v>
      </c>
      <c r="U276" s="18" t="s">
        <v>10786</v>
      </c>
      <c r="V276" s="18" t="s">
        <v>10787</v>
      </c>
      <c r="W276" s="18" t="s">
        <v>8964</v>
      </c>
      <c r="X276" s="18" t="s">
        <v>1524</v>
      </c>
      <c r="Y276" s="18" t="s">
        <v>10788</v>
      </c>
      <c r="Z276" s="18" t="s">
        <v>17</v>
      </c>
    </row>
    <row r="277" spans="1:26" ht="20.100000000000001" customHeight="1" x14ac:dyDescent="0.2">
      <c r="A277" s="30" t="s">
        <v>10789</v>
      </c>
      <c r="B277" s="19" t="s">
        <v>10790</v>
      </c>
      <c r="C277" s="19" t="s">
        <v>10791</v>
      </c>
      <c r="D277" s="8" t="s">
        <v>9154</v>
      </c>
      <c r="E277" s="20" t="s">
        <v>8949</v>
      </c>
      <c r="F277" s="20" t="s">
        <v>9212</v>
      </c>
      <c r="G277" s="20" t="s">
        <v>8973</v>
      </c>
      <c r="H277" s="20">
        <v>250</v>
      </c>
      <c r="I277" s="20" t="s">
        <v>9158</v>
      </c>
      <c r="J277" s="20" t="s">
        <v>8953</v>
      </c>
      <c r="K277" s="20" t="s">
        <v>8954</v>
      </c>
      <c r="L277" s="21" t="s">
        <v>8955</v>
      </c>
      <c r="M277" s="20" t="s">
        <v>8956</v>
      </c>
      <c r="N277" s="20" t="s">
        <v>8959</v>
      </c>
      <c r="O277" s="20">
        <f t="shared" si="4"/>
        <v>7</v>
      </c>
      <c r="P277" s="22" t="s">
        <v>8958</v>
      </c>
      <c r="Q277" s="21" t="s">
        <v>8959</v>
      </c>
      <c r="R277" s="23" t="s">
        <v>10049</v>
      </c>
      <c r="S277" s="18" t="s">
        <v>10792</v>
      </c>
      <c r="T277" s="24" t="str">
        <f>VLOOKUP(R277,[1]Sheet3!$A$2:$A$47,1,0)</f>
        <v>Italy</v>
      </c>
      <c r="U277" s="18" t="s">
        <v>10793</v>
      </c>
      <c r="V277" s="18" t="s">
        <v>10794</v>
      </c>
      <c r="W277" s="18" t="s">
        <v>8964</v>
      </c>
      <c r="X277" s="18" t="s">
        <v>10795</v>
      </c>
      <c r="Y277" s="18" t="s">
        <v>10796</v>
      </c>
      <c r="Z277" s="18" t="s">
        <v>17</v>
      </c>
    </row>
    <row r="278" spans="1:26" ht="20.100000000000001" customHeight="1" x14ac:dyDescent="0.2">
      <c r="A278" s="30" t="s">
        <v>10797</v>
      </c>
      <c r="B278" s="19" t="s">
        <v>10798</v>
      </c>
      <c r="C278" s="19" t="s">
        <v>10799</v>
      </c>
      <c r="D278" s="8" t="s">
        <v>9173</v>
      </c>
      <c r="E278" s="33" t="s">
        <v>9174</v>
      </c>
      <c r="F278" s="20" t="s">
        <v>10800</v>
      </c>
      <c r="G278" s="20" t="s">
        <v>8987</v>
      </c>
      <c r="H278" s="20">
        <v>2787</v>
      </c>
      <c r="I278" s="20" t="s">
        <v>8952</v>
      </c>
      <c r="J278" s="20" t="s">
        <v>8953</v>
      </c>
      <c r="K278" s="20" t="s">
        <v>8954</v>
      </c>
      <c r="L278" s="21" t="s">
        <v>8955</v>
      </c>
      <c r="M278" s="20" t="s">
        <v>8956</v>
      </c>
      <c r="N278" s="20" t="s">
        <v>8957</v>
      </c>
      <c r="O278" s="20">
        <f t="shared" si="4"/>
        <v>6</v>
      </c>
      <c r="P278" s="22" t="s">
        <v>8958</v>
      </c>
      <c r="Q278" s="21" t="s">
        <v>9009</v>
      </c>
      <c r="R278" s="23" t="s">
        <v>9636</v>
      </c>
      <c r="S278" s="18" t="s">
        <v>9028</v>
      </c>
      <c r="T278" s="24" t="str">
        <f>VLOOKUP(R278,[1]Sheet3!$A$2:$A$47,1,0)</f>
        <v>Austria</v>
      </c>
      <c r="U278" s="18" t="s">
        <v>10801</v>
      </c>
      <c r="V278" s="18" t="s">
        <v>10802</v>
      </c>
      <c r="W278" s="18" t="s">
        <v>8964</v>
      </c>
      <c r="X278" s="18" t="s">
        <v>43</v>
      </c>
      <c r="Y278" s="18" t="s">
        <v>9031</v>
      </c>
      <c r="Z278" s="18" t="s">
        <v>17</v>
      </c>
    </row>
    <row r="279" spans="1:26" ht="20.100000000000001" customHeight="1" x14ac:dyDescent="0.2">
      <c r="A279" s="30" t="s">
        <v>10803</v>
      </c>
      <c r="B279" s="19" t="s">
        <v>10804</v>
      </c>
      <c r="C279" s="19" t="s">
        <v>10805</v>
      </c>
      <c r="D279" s="8" t="s">
        <v>9035</v>
      </c>
      <c r="E279" s="20" t="s">
        <v>9308</v>
      </c>
      <c r="F279" s="20" t="s">
        <v>8950</v>
      </c>
      <c r="G279" s="20" t="s">
        <v>8951</v>
      </c>
      <c r="H279" s="20">
        <v>13292</v>
      </c>
      <c r="I279" s="20" t="s">
        <v>9019</v>
      </c>
      <c r="J279" s="20" t="s">
        <v>8953</v>
      </c>
      <c r="K279" s="20" t="s">
        <v>8954</v>
      </c>
      <c r="L279" s="21" t="s">
        <v>8955</v>
      </c>
      <c r="M279" s="20" t="s">
        <v>8956</v>
      </c>
      <c r="N279" s="20" t="s">
        <v>8974</v>
      </c>
      <c r="O279" s="20">
        <f t="shared" si="4"/>
        <v>3</v>
      </c>
      <c r="P279" s="22" t="s">
        <v>9103</v>
      </c>
      <c r="Q279" s="21" t="s">
        <v>9061</v>
      </c>
      <c r="R279" s="23" t="s">
        <v>9010</v>
      </c>
      <c r="S279" s="18" t="s">
        <v>10411</v>
      </c>
      <c r="T279" s="24" t="str">
        <f>VLOOKUP(R279,[1]Sheet3!$A$2:$A$47,1,0)</f>
        <v>the United States of America</v>
      </c>
      <c r="U279" s="18" t="s">
        <v>10806</v>
      </c>
      <c r="V279" s="18" t="s">
        <v>10807</v>
      </c>
      <c r="W279" s="18" t="s">
        <v>8964</v>
      </c>
      <c r="X279" s="18" t="s">
        <v>771</v>
      </c>
      <c r="Y279" s="18" t="s">
        <v>10414</v>
      </c>
      <c r="Z279" s="18" t="s">
        <v>11</v>
      </c>
    </row>
    <row r="280" spans="1:26" ht="20.100000000000001" customHeight="1" x14ac:dyDescent="0.2">
      <c r="A280" s="30" t="s">
        <v>10808</v>
      </c>
      <c r="B280" s="19" t="s">
        <v>10809</v>
      </c>
      <c r="C280" s="19" t="s">
        <v>10810</v>
      </c>
      <c r="D280" s="8" t="s">
        <v>9035</v>
      </c>
      <c r="E280" s="20" t="s">
        <v>9308</v>
      </c>
      <c r="F280" s="20" t="s">
        <v>9270</v>
      </c>
      <c r="G280" s="20" t="s">
        <v>9133</v>
      </c>
      <c r="H280" s="20">
        <v>112120</v>
      </c>
      <c r="I280" s="20" t="s">
        <v>9019</v>
      </c>
      <c r="J280" s="20" t="s">
        <v>8953</v>
      </c>
      <c r="K280" s="20" t="s">
        <v>8989</v>
      </c>
      <c r="L280" s="21" t="s">
        <v>8955</v>
      </c>
      <c r="M280" s="20" t="s">
        <v>8956</v>
      </c>
      <c r="N280" s="20" t="s">
        <v>8957</v>
      </c>
      <c r="O280" s="20">
        <f t="shared" si="4"/>
        <v>21</v>
      </c>
      <c r="P280" s="22" t="s">
        <v>8975</v>
      </c>
      <c r="Q280" s="21" t="s">
        <v>8959</v>
      </c>
      <c r="R280" s="23" t="s">
        <v>9010</v>
      </c>
      <c r="S280" s="18" t="s">
        <v>10411</v>
      </c>
      <c r="T280" s="24" t="str">
        <f>VLOOKUP(R280,[1]Sheet3!$A$2:$A$47,1,0)</f>
        <v>the United States of America</v>
      </c>
      <c r="U280" s="18" t="s">
        <v>10758</v>
      </c>
      <c r="V280" s="18" t="s">
        <v>10811</v>
      </c>
      <c r="W280" s="18" t="s">
        <v>8964</v>
      </c>
      <c r="X280" s="18" t="s">
        <v>771</v>
      </c>
      <c r="Y280" s="18" t="s">
        <v>10414</v>
      </c>
      <c r="Z280" s="18" t="s">
        <v>11</v>
      </c>
    </row>
    <row r="281" spans="1:26" ht="20.100000000000001" customHeight="1" x14ac:dyDescent="0.2">
      <c r="A281" s="30" t="s">
        <v>10812</v>
      </c>
      <c r="B281" s="19" t="s">
        <v>10813</v>
      </c>
      <c r="C281" s="19" t="s">
        <v>10814</v>
      </c>
      <c r="D281" s="8" t="s">
        <v>8984</v>
      </c>
      <c r="E281" s="20" t="s">
        <v>8998</v>
      </c>
      <c r="F281" s="20" t="s">
        <v>10258</v>
      </c>
      <c r="G281" s="20" t="s">
        <v>8973</v>
      </c>
      <c r="H281" s="20">
        <v>15500</v>
      </c>
      <c r="I281" s="20" t="s">
        <v>9019</v>
      </c>
      <c r="J281" s="20" t="s">
        <v>8953</v>
      </c>
      <c r="K281" s="20" t="s">
        <v>8954</v>
      </c>
      <c r="L281" s="21" t="s">
        <v>8955</v>
      </c>
      <c r="M281" s="20" t="s">
        <v>8990</v>
      </c>
      <c r="N281" s="20" t="s">
        <v>8957</v>
      </c>
      <c r="O281" s="20">
        <f t="shared" si="4"/>
        <v>3</v>
      </c>
      <c r="P281" s="22" t="s">
        <v>9103</v>
      </c>
      <c r="Q281" s="21" t="s">
        <v>8959</v>
      </c>
      <c r="R281" s="23" t="s">
        <v>9310</v>
      </c>
      <c r="S281" s="18" t="s">
        <v>9496</v>
      </c>
      <c r="T281" s="24" t="str">
        <f>VLOOKUP(R281,[1]Sheet3!$A$2:$A$47,1,0)</f>
        <v>China</v>
      </c>
      <c r="U281" s="18" t="s">
        <v>10815</v>
      </c>
      <c r="V281" s="18" t="s">
        <v>10816</v>
      </c>
      <c r="W281" s="18" t="s">
        <v>8964</v>
      </c>
      <c r="X281" s="18" t="s">
        <v>97</v>
      </c>
      <c r="Y281" s="18" t="s">
        <v>9499</v>
      </c>
      <c r="Z281" s="18" t="s">
        <v>11</v>
      </c>
    </row>
    <row r="282" spans="1:26" ht="20.100000000000001" customHeight="1" x14ac:dyDescent="0.2">
      <c r="A282" s="30" t="s">
        <v>10817</v>
      </c>
      <c r="B282" s="19" t="s">
        <v>10818</v>
      </c>
      <c r="C282" s="19" t="s">
        <v>10819</v>
      </c>
      <c r="D282" s="8" t="s">
        <v>9605</v>
      </c>
      <c r="E282" s="20" t="s">
        <v>9101</v>
      </c>
      <c r="F282" s="20" t="s">
        <v>10820</v>
      </c>
      <c r="G282" s="20" t="s">
        <v>9076</v>
      </c>
      <c r="H282" s="20">
        <v>31</v>
      </c>
      <c r="I282" s="20" t="s">
        <v>9008</v>
      </c>
      <c r="J282" s="20" t="s">
        <v>8953</v>
      </c>
      <c r="K282" s="31" t="s">
        <v>8989</v>
      </c>
      <c r="L282" s="21" t="s">
        <v>8955</v>
      </c>
      <c r="M282" s="20" t="s">
        <v>8956</v>
      </c>
      <c r="N282" s="20" t="s">
        <v>9060</v>
      </c>
      <c r="O282" s="20">
        <f t="shared" si="4"/>
        <v>12</v>
      </c>
      <c r="P282" s="22" t="s">
        <v>8975</v>
      </c>
      <c r="Q282" s="21" t="s">
        <v>8959</v>
      </c>
      <c r="R282" s="23" t="s">
        <v>9010</v>
      </c>
      <c r="S282" s="18" t="s">
        <v>9255</v>
      </c>
      <c r="T282" s="24" t="str">
        <f>VLOOKUP(R282,[1]Sheet3!$A$2:$A$47,1,0)</f>
        <v>the United States of America</v>
      </c>
      <c r="U282" s="18" t="s">
        <v>10821</v>
      </c>
      <c r="V282" s="18" t="s">
        <v>10822</v>
      </c>
      <c r="W282" s="18" t="s">
        <v>8964</v>
      </c>
      <c r="X282" s="18" t="s">
        <v>24</v>
      </c>
      <c r="Y282" s="18" t="s">
        <v>9258</v>
      </c>
      <c r="Z282" s="18" t="s">
        <v>11</v>
      </c>
    </row>
    <row r="283" spans="1:26" ht="20.100000000000001" customHeight="1" x14ac:dyDescent="0.2">
      <c r="A283" s="30" t="s">
        <v>10823</v>
      </c>
      <c r="B283" s="19" t="s">
        <v>10824</v>
      </c>
      <c r="C283" s="19" t="s">
        <v>10825</v>
      </c>
      <c r="D283" s="8" t="s">
        <v>8948</v>
      </c>
      <c r="E283" s="20" t="s">
        <v>9121</v>
      </c>
      <c r="F283" s="20" t="s">
        <v>8950</v>
      </c>
      <c r="G283" s="20" t="s">
        <v>8973</v>
      </c>
      <c r="H283" s="20">
        <v>14651</v>
      </c>
      <c r="I283" s="20" t="s">
        <v>9019</v>
      </c>
      <c r="J283" s="20" t="s">
        <v>8953</v>
      </c>
      <c r="K283" s="20" t="s">
        <v>8989</v>
      </c>
      <c r="L283" s="21" t="s">
        <v>8955</v>
      </c>
      <c r="M283" s="20" t="s">
        <v>8956</v>
      </c>
      <c r="N283" s="20" t="s">
        <v>8957</v>
      </c>
      <c r="O283" s="20">
        <f t="shared" si="4"/>
        <v>9</v>
      </c>
      <c r="P283" s="22" t="s">
        <v>8975</v>
      </c>
      <c r="Q283" s="21" t="s">
        <v>8959</v>
      </c>
      <c r="R283" s="23" t="s">
        <v>9010</v>
      </c>
      <c r="S283" s="18" t="s">
        <v>9011</v>
      </c>
      <c r="T283" s="24" t="str">
        <f>VLOOKUP(R283,[1]Sheet3!$A$2:$A$47,1,0)</f>
        <v>the United States of America</v>
      </c>
      <c r="U283" s="18" t="s">
        <v>10826</v>
      </c>
      <c r="V283" s="18" t="s">
        <v>10827</v>
      </c>
      <c r="W283" s="18" t="s">
        <v>8964</v>
      </c>
      <c r="X283" s="18" t="s">
        <v>93</v>
      </c>
      <c r="Y283" s="18" t="s">
        <v>9014</v>
      </c>
      <c r="Z283" s="18" t="s">
        <v>17</v>
      </c>
    </row>
    <row r="284" spans="1:26" ht="20.100000000000001" customHeight="1" x14ac:dyDescent="0.2">
      <c r="A284" s="30" t="s">
        <v>10828</v>
      </c>
      <c r="B284" s="19" t="s">
        <v>10829</v>
      </c>
      <c r="C284" s="19" t="s">
        <v>10830</v>
      </c>
      <c r="D284" s="8" t="s">
        <v>9154</v>
      </c>
      <c r="E284" s="20" t="s">
        <v>8998</v>
      </c>
      <c r="F284" s="20" t="s">
        <v>9051</v>
      </c>
      <c r="G284" s="20" t="s">
        <v>9464</v>
      </c>
      <c r="H284" s="20">
        <v>100</v>
      </c>
      <c r="I284" s="20" t="s">
        <v>9008</v>
      </c>
      <c r="J284" s="20" t="s">
        <v>8953</v>
      </c>
      <c r="K284" s="20" t="s">
        <v>8954</v>
      </c>
      <c r="L284" s="21" t="s">
        <v>8955</v>
      </c>
      <c r="M284" s="20" t="s">
        <v>8956</v>
      </c>
      <c r="N284" s="20" t="s">
        <v>8957</v>
      </c>
      <c r="O284" s="20">
        <f t="shared" si="4"/>
        <v>5</v>
      </c>
      <c r="P284" s="22" t="s">
        <v>8958</v>
      </c>
      <c r="Q284" s="21" t="s">
        <v>8959</v>
      </c>
      <c r="R284" s="23" t="s">
        <v>9213</v>
      </c>
      <c r="S284" s="18" t="s">
        <v>9011</v>
      </c>
      <c r="T284" s="24" t="str">
        <f>VLOOKUP(R284,[1]Sheet3!$A$2:$A$47,1,0)</f>
        <v>South Korea</v>
      </c>
      <c r="U284" s="18" t="s">
        <v>10831</v>
      </c>
      <c r="V284" s="18" t="s">
        <v>10832</v>
      </c>
      <c r="W284" s="18" t="s">
        <v>8964</v>
      </c>
      <c r="X284" s="18" t="s">
        <v>93</v>
      </c>
      <c r="Y284" s="18" t="s">
        <v>9014</v>
      </c>
      <c r="Z284" s="18" t="s">
        <v>17</v>
      </c>
    </row>
    <row r="285" spans="1:26" ht="20.100000000000001" customHeight="1" x14ac:dyDescent="0.2">
      <c r="A285" s="30" t="s">
        <v>10833</v>
      </c>
      <c r="B285" s="19" t="s">
        <v>10834</v>
      </c>
      <c r="C285" s="19" t="s">
        <v>10835</v>
      </c>
      <c r="D285" s="8" t="s">
        <v>8948</v>
      </c>
      <c r="E285" s="20" t="s">
        <v>9155</v>
      </c>
      <c r="F285" s="20" t="s">
        <v>9036</v>
      </c>
      <c r="G285" s="20" t="s">
        <v>8987</v>
      </c>
      <c r="H285" s="20">
        <v>1140</v>
      </c>
      <c r="I285" s="20" t="s">
        <v>8952</v>
      </c>
      <c r="J285" s="20" t="s">
        <v>8953</v>
      </c>
      <c r="K285" s="20" t="s">
        <v>8954</v>
      </c>
      <c r="L285" s="21" t="s">
        <v>8955</v>
      </c>
      <c r="M285" s="20" t="s">
        <v>8956</v>
      </c>
      <c r="N285" s="20" t="s">
        <v>8957</v>
      </c>
      <c r="O285" s="20">
        <f t="shared" si="4"/>
        <v>4</v>
      </c>
      <c r="P285" s="22" t="s">
        <v>8958</v>
      </c>
      <c r="Q285" s="21" t="s">
        <v>8959</v>
      </c>
      <c r="R285" s="23" t="s">
        <v>10020</v>
      </c>
      <c r="S285" s="18" t="s">
        <v>10836</v>
      </c>
      <c r="T285" s="24" t="str">
        <f>VLOOKUP(R285,[1]Sheet3!$A$2:$A$47,1,0)</f>
        <v>Sweden</v>
      </c>
      <c r="U285" s="19" t="s">
        <v>10837</v>
      </c>
      <c r="V285" s="18" t="s">
        <v>10838</v>
      </c>
      <c r="W285" s="18" t="s">
        <v>8964</v>
      </c>
      <c r="X285" s="18" t="s">
        <v>10839</v>
      </c>
      <c r="Y285" s="18" t="s">
        <v>10840</v>
      </c>
      <c r="Z285" s="18" t="s">
        <v>11</v>
      </c>
    </row>
    <row r="286" spans="1:26" ht="20.100000000000001" customHeight="1" x14ac:dyDescent="0.2">
      <c r="A286" s="30" t="s">
        <v>10841</v>
      </c>
      <c r="B286" s="19" t="s">
        <v>10842</v>
      </c>
      <c r="C286" s="19" t="s">
        <v>10843</v>
      </c>
      <c r="D286" s="8" t="s">
        <v>9035</v>
      </c>
      <c r="E286" s="20" t="s">
        <v>9308</v>
      </c>
      <c r="F286" s="20" t="s">
        <v>10844</v>
      </c>
      <c r="G286" s="20" t="s">
        <v>8973</v>
      </c>
      <c r="H286" s="20">
        <v>247</v>
      </c>
      <c r="I286" s="20" t="s">
        <v>9158</v>
      </c>
      <c r="J286" s="20" t="s">
        <v>8953</v>
      </c>
      <c r="K286" s="20" t="s">
        <v>8989</v>
      </c>
      <c r="L286" s="21" t="s">
        <v>8955</v>
      </c>
      <c r="M286" s="20" t="s">
        <v>8956</v>
      </c>
      <c r="N286" s="20" t="s">
        <v>8957</v>
      </c>
      <c r="O286" s="20">
        <f t="shared" si="4"/>
        <v>6</v>
      </c>
      <c r="P286" s="22" t="s">
        <v>8958</v>
      </c>
      <c r="Q286" s="21" t="s">
        <v>9009</v>
      </c>
      <c r="R286" s="23" t="s">
        <v>9010</v>
      </c>
      <c r="S286" s="18" t="s">
        <v>10836</v>
      </c>
      <c r="T286" s="24" t="str">
        <f>VLOOKUP(R286,[1]Sheet3!$A$2:$A$47,1,0)</f>
        <v>the United States of America</v>
      </c>
      <c r="U286" s="19" t="s">
        <v>10845</v>
      </c>
      <c r="V286" s="18" t="s">
        <v>10846</v>
      </c>
      <c r="W286" s="18" t="s">
        <v>8964</v>
      </c>
      <c r="X286" s="18" t="s">
        <v>10839</v>
      </c>
      <c r="Y286" s="18" t="s">
        <v>10840</v>
      </c>
      <c r="Z286" s="18" t="s">
        <v>11</v>
      </c>
    </row>
    <row r="287" spans="1:26" ht="20.100000000000001" customHeight="1" x14ac:dyDescent="0.2">
      <c r="A287" s="30" t="s">
        <v>10847</v>
      </c>
      <c r="B287" s="19" t="s">
        <v>10848</v>
      </c>
      <c r="C287" s="19" t="s">
        <v>10849</v>
      </c>
      <c r="D287" s="8" t="s">
        <v>9154</v>
      </c>
      <c r="E287" s="20" t="s">
        <v>8949</v>
      </c>
      <c r="F287" s="20" t="s">
        <v>9918</v>
      </c>
      <c r="G287" s="20" t="s">
        <v>8973</v>
      </c>
      <c r="H287" s="20">
        <v>4800</v>
      </c>
      <c r="I287" s="20" t="s">
        <v>9019</v>
      </c>
      <c r="J287" s="20" t="s">
        <v>8953</v>
      </c>
      <c r="K287" s="31" t="s">
        <v>8954</v>
      </c>
      <c r="L287" s="21" t="s">
        <v>8955</v>
      </c>
      <c r="M287" s="20" t="s">
        <v>8990</v>
      </c>
      <c r="N287" s="20" t="s">
        <v>8957</v>
      </c>
      <c r="O287" s="20">
        <f t="shared" si="4"/>
        <v>10</v>
      </c>
      <c r="P287" s="22" t="s">
        <v>8975</v>
      </c>
      <c r="Q287" s="21" t="s">
        <v>9009</v>
      </c>
      <c r="R287" s="23" t="s">
        <v>10850</v>
      </c>
      <c r="S287" s="18" t="s">
        <v>10836</v>
      </c>
      <c r="T287" s="24" t="str">
        <f>VLOOKUP(R287,[1]Sheet3!$A$2:$A$47,1,0)</f>
        <v>Singapore</v>
      </c>
      <c r="U287" s="19" t="s">
        <v>10851</v>
      </c>
      <c r="V287" s="18" t="s">
        <v>10852</v>
      </c>
      <c r="W287" s="18" t="s">
        <v>8964</v>
      </c>
      <c r="X287" s="18" t="s">
        <v>10839</v>
      </c>
      <c r="Y287" s="18" t="s">
        <v>10840</v>
      </c>
      <c r="Z287" s="18" t="s">
        <v>11</v>
      </c>
    </row>
    <row r="288" spans="1:26" ht="20.100000000000001" customHeight="1" x14ac:dyDescent="0.2">
      <c r="A288" s="30" t="s">
        <v>10853</v>
      </c>
      <c r="B288" s="19" t="s">
        <v>10854</v>
      </c>
      <c r="C288" s="19" t="s">
        <v>10855</v>
      </c>
      <c r="D288" s="8" t="s">
        <v>9154</v>
      </c>
      <c r="E288" s="20" t="s">
        <v>8971</v>
      </c>
      <c r="F288" s="20" t="s">
        <v>9036</v>
      </c>
      <c r="G288" s="20" t="s">
        <v>8987</v>
      </c>
      <c r="H288" s="20">
        <v>90</v>
      </c>
      <c r="I288" s="20" t="s">
        <v>9008</v>
      </c>
      <c r="J288" s="20" t="s">
        <v>8953</v>
      </c>
      <c r="K288" s="20" t="s">
        <v>8954</v>
      </c>
      <c r="L288" s="21" t="s">
        <v>8955</v>
      </c>
      <c r="M288" s="20" t="s">
        <v>8990</v>
      </c>
      <c r="N288" s="20" t="s">
        <v>8957</v>
      </c>
      <c r="O288" s="20">
        <f t="shared" si="4"/>
        <v>5</v>
      </c>
      <c r="P288" s="22" t="s">
        <v>8958</v>
      </c>
      <c r="Q288" s="21" t="s">
        <v>8959</v>
      </c>
      <c r="R288" s="23" t="s">
        <v>9113</v>
      </c>
      <c r="S288" s="18" t="s">
        <v>10836</v>
      </c>
      <c r="T288" s="24" t="str">
        <f>VLOOKUP(R288,[1]Sheet3!$A$2:$A$47,1,0)</f>
        <v>UK</v>
      </c>
      <c r="U288" s="19" t="s">
        <v>10856</v>
      </c>
      <c r="V288" s="18" t="s">
        <v>10857</v>
      </c>
      <c r="W288" s="18" t="s">
        <v>8964</v>
      </c>
      <c r="X288" s="18" t="s">
        <v>10839</v>
      </c>
      <c r="Y288" s="18" t="s">
        <v>10840</v>
      </c>
      <c r="Z288" s="18" t="s">
        <v>11</v>
      </c>
    </row>
    <row r="289" spans="1:26" ht="20.100000000000001" customHeight="1" x14ac:dyDescent="0.2">
      <c r="A289" s="30" t="s">
        <v>10858</v>
      </c>
      <c r="B289" s="19" t="s">
        <v>10859</v>
      </c>
      <c r="C289" s="19" t="s">
        <v>10860</v>
      </c>
      <c r="D289" s="8" t="s">
        <v>9035</v>
      </c>
      <c r="E289" s="20" t="s">
        <v>8998</v>
      </c>
      <c r="F289" s="31" t="s">
        <v>10861</v>
      </c>
      <c r="G289" s="31" t="s">
        <v>9157</v>
      </c>
      <c r="H289" s="31">
        <v>274</v>
      </c>
      <c r="I289" s="20" t="s">
        <v>8988</v>
      </c>
      <c r="J289" s="20" t="s">
        <v>8953</v>
      </c>
      <c r="K289" s="20" t="s">
        <v>8954</v>
      </c>
      <c r="L289" s="21" t="s">
        <v>8955</v>
      </c>
      <c r="M289" s="20" t="s">
        <v>8956</v>
      </c>
      <c r="N289" s="20" t="s">
        <v>8957</v>
      </c>
      <c r="O289" s="20">
        <f t="shared" si="4"/>
        <v>10</v>
      </c>
      <c r="P289" s="22" t="s">
        <v>8975</v>
      </c>
      <c r="Q289" s="21" t="s">
        <v>8959</v>
      </c>
      <c r="R289" s="23" t="s">
        <v>8991</v>
      </c>
      <c r="S289" s="18" t="s">
        <v>10836</v>
      </c>
      <c r="T289" s="24" t="str">
        <f>VLOOKUP(R289,[1]Sheet3!$A$2:$A$47,1,0)</f>
        <v>China</v>
      </c>
      <c r="U289" s="19" t="s">
        <v>10862</v>
      </c>
      <c r="V289" s="18" t="s">
        <v>10863</v>
      </c>
      <c r="W289" s="18" t="s">
        <v>8964</v>
      </c>
      <c r="X289" s="18" t="s">
        <v>10839</v>
      </c>
      <c r="Y289" s="18" t="s">
        <v>10840</v>
      </c>
      <c r="Z289" s="18" t="s">
        <v>11</v>
      </c>
    </row>
    <row r="290" spans="1:26" ht="20.100000000000001" customHeight="1" x14ac:dyDescent="0.2">
      <c r="A290" s="30" t="s">
        <v>10864</v>
      </c>
      <c r="B290" s="19" t="s">
        <v>10865</v>
      </c>
      <c r="C290" s="19" t="s">
        <v>10866</v>
      </c>
      <c r="D290" s="8" t="s">
        <v>8948</v>
      </c>
      <c r="E290" s="20" t="s">
        <v>8949</v>
      </c>
      <c r="F290" s="20" t="s">
        <v>10867</v>
      </c>
      <c r="G290" s="20" t="s">
        <v>9292</v>
      </c>
      <c r="H290" s="20">
        <v>114</v>
      </c>
      <c r="I290" s="20" t="s">
        <v>9158</v>
      </c>
      <c r="J290" s="20" t="s">
        <v>9059</v>
      </c>
      <c r="K290" s="20" t="s">
        <v>8989</v>
      </c>
      <c r="L290" s="21" t="s">
        <v>8955</v>
      </c>
      <c r="M290" s="20" t="s">
        <v>8990</v>
      </c>
      <c r="N290" s="20" t="s">
        <v>8957</v>
      </c>
      <c r="O290" s="20">
        <f t="shared" si="4"/>
        <v>9</v>
      </c>
      <c r="P290" s="22" t="s">
        <v>8975</v>
      </c>
      <c r="Q290" s="21" t="s">
        <v>8959</v>
      </c>
      <c r="R290" s="23" t="s">
        <v>9010</v>
      </c>
      <c r="S290" s="18" t="s">
        <v>10836</v>
      </c>
      <c r="T290" s="24" t="str">
        <f>VLOOKUP(R290,[1]Sheet3!$A$2:$A$47,1,0)</f>
        <v>the United States of America</v>
      </c>
      <c r="U290" s="18" t="s">
        <v>10868</v>
      </c>
      <c r="V290" s="18" t="s">
        <v>10869</v>
      </c>
      <c r="W290" s="18" t="s">
        <v>8964</v>
      </c>
      <c r="X290" s="18" t="s">
        <v>10839</v>
      </c>
      <c r="Y290" s="18" t="s">
        <v>10840</v>
      </c>
      <c r="Z290" s="18" t="s">
        <v>11</v>
      </c>
    </row>
    <row r="291" spans="1:26" ht="20.100000000000001" customHeight="1" x14ac:dyDescent="0.2">
      <c r="A291" s="30" t="s">
        <v>10870</v>
      </c>
      <c r="B291" s="34" t="s">
        <v>10871</v>
      </c>
      <c r="C291" s="34" t="s">
        <v>10872</v>
      </c>
      <c r="D291" s="8" t="s">
        <v>9154</v>
      </c>
      <c r="E291" s="20" t="s">
        <v>8949</v>
      </c>
      <c r="F291" s="20" t="s">
        <v>9413</v>
      </c>
      <c r="G291" s="20" t="s">
        <v>8973</v>
      </c>
      <c r="H291" s="20">
        <v>100</v>
      </c>
      <c r="I291" s="20" t="s">
        <v>9008</v>
      </c>
      <c r="J291" s="20" t="s">
        <v>8953</v>
      </c>
      <c r="K291" s="20" t="s">
        <v>8954</v>
      </c>
      <c r="L291" s="21" t="s">
        <v>8955</v>
      </c>
      <c r="M291" s="20" t="s">
        <v>8956</v>
      </c>
      <c r="N291" s="20" t="s">
        <v>8957</v>
      </c>
      <c r="O291" s="20">
        <f t="shared" si="4"/>
        <v>10</v>
      </c>
      <c r="P291" s="22" t="s">
        <v>8975</v>
      </c>
      <c r="Q291" s="21" t="s">
        <v>9009</v>
      </c>
      <c r="R291" s="23" t="s">
        <v>10873</v>
      </c>
      <c r="S291" s="18" t="s">
        <v>10836</v>
      </c>
      <c r="T291" s="24" t="str">
        <f>VLOOKUP(R291,[1]Sheet3!$A$2:$A$47,1,0)</f>
        <v>UK</v>
      </c>
      <c r="U291" s="19" t="s">
        <v>10874</v>
      </c>
      <c r="V291" s="18" t="s">
        <v>10875</v>
      </c>
      <c r="W291" s="18" t="s">
        <v>8964</v>
      </c>
      <c r="X291" s="18" t="s">
        <v>10839</v>
      </c>
      <c r="Y291" s="18" t="s">
        <v>10840</v>
      </c>
      <c r="Z291" s="18" t="s">
        <v>11</v>
      </c>
    </row>
    <row r="292" spans="1:26" ht="20.100000000000001" customHeight="1" x14ac:dyDescent="0.2">
      <c r="A292" s="30" t="s">
        <v>10876</v>
      </c>
      <c r="B292" s="19" t="s">
        <v>10877</v>
      </c>
      <c r="C292" s="19" t="s">
        <v>10878</v>
      </c>
      <c r="D292" s="8" t="s">
        <v>9049</v>
      </c>
      <c r="E292" s="20" t="s">
        <v>9050</v>
      </c>
      <c r="F292" s="33" t="s">
        <v>10879</v>
      </c>
      <c r="G292" s="20" t="s">
        <v>8973</v>
      </c>
      <c r="H292" s="20">
        <v>650</v>
      </c>
      <c r="I292" s="20" t="s">
        <v>9077</v>
      </c>
      <c r="J292" s="20" t="s">
        <v>8953</v>
      </c>
      <c r="K292" s="20" t="s">
        <v>8989</v>
      </c>
      <c r="L292" s="21" t="s">
        <v>8955</v>
      </c>
      <c r="M292" s="20" t="s">
        <v>8990</v>
      </c>
      <c r="N292" s="20" t="s">
        <v>8959</v>
      </c>
      <c r="O292" s="20">
        <f t="shared" si="4"/>
        <v>8</v>
      </c>
      <c r="P292" s="22" t="s">
        <v>8975</v>
      </c>
      <c r="Q292" s="21" t="s">
        <v>8959</v>
      </c>
      <c r="R292" s="23" t="s">
        <v>9310</v>
      </c>
      <c r="S292" s="18" t="s">
        <v>10836</v>
      </c>
      <c r="T292" s="24" t="str">
        <f>VLOOKUP(R292,[1]Sheet3!$A$2:$A$47,1,0)</f>
        <v>China</v>
      </c>
      <c r="U292" s="19" t="s">
        <v>10880</v>
      </c>
      <c r="V292" s="18" t="s">
        <v>10881</v>
      </c>
      <c r="W292" s="18" t="s">
        <v>8964</v>
      </c>
      <c r="X292" s="18" t="s">
        <v>10839</v>
      </c>
      <c r="Y292" s="18" t="s">
        <v>10840</v>
      </c>
      <c r="Z292" s="18" t="s">
        <v>11</v>
      </c>
    </row>
    <row r="293" spans="1:26" ht="20.100000000000001" customHeight="1" x14ac:dyDescent="0.2">
      <c r="A293" s="30" t="s">
        <v>10882</v>
      </c>
      <c r="B293" s="19" t="s">
        <v>10883</v>
      </c>
      <c r="C293" s="19" t="s">
        <v>10884</v>
      </c>
      <c r="D293" s="8" t="s">
        <v>8948</v>
      </c>
      <c r="E293" s="20" t="s">
        <v>8949</v>
      </c>
      <c r="F293" s="20" t="s">
        <v>8950</v>
      </c>
      <c r="G293" s="20" t="s">
        <v>8987</v>
      </c>
      <c r="H293" s="20">
        <v>210</v>
      </c>
      <c r="I293" s="20" t="s">
        <v>9158</v>
      </c>
      <c r="J293" s="20" t="s">
        <v>8953</v>
      </c>
      <c r="K293" s="20" t="s">
        <v>8989</v>
      </c>
      <c r="L293" s="21" t="s">
        <v>8955</v>
      </c>
      <c r="M293" s="20" t="s">
        <v>8990</v>
      </c>
      <c r="N293" s="20" t="s">
        <v>8957</v>
      </c>
      <c r="O293" s="20">
        <f t="shared" si="4"/>
        <v>7</v>
      </c>
      <c r="P293" s="22" t="s">
        <v>8958</v>
      </c>
      <c r="Q293" s="21" t="s">
        <v>8959</v>
      </c>
      <c r="R293" s="23" t="s">
        <v>9310</v>
      </c>
      <c r="S293" s="24" t="s">
        <v>10836</v>
      </c>
      <c r="T293" s="24" t="str">
        <f>VLOOKUP(R293,[1]Sheet3!$A$2:$A$47,1,0)</f>
        <v>China</v>
      </c>
      <c r="U293" s="25" t="s">
        <v>10885</v>
      </c>
      <c r="V293" s="24" t="s">
        <v>10886</v>
      </c>
      <c r="W293" s="18" t="s">
        <v>8964</v>
      </c>
      <c r="X293" s="26" t="s">
        <v>10839</v>
      </c>
      <c r="Y293" s="18" t="s">
        <v>10840</v>
      </c>
      <c r="Z293" s="24" t="s">
        <v>11</v>
      </c>
    </row>
    <row r="294" spans="1:26" ht="20.100000000000001" customHeight="1" x14ac:dyDescent="0.2">
      <c r="A294" s="18" t="s">
        <v>10887</v>
      </c>
      <c r="B294" s="19" t="s">
        <v>10888</v>
      </c>
      <c r="C294" s="19" t="s">
        <v>10889</v>
      </c>
      <c r="D294" s="8" t="s">
        <v>9100</v>
      </c>
      <c r="E294" s="20" t="s">
        <v>10890</v>
      </c>
      <c r="F294" s="20" t="s">
        <v>10178</v>
      </c>
      <c r="G294" s="31" t="s">
        <v>10891</v>
      </c>
      <c r="H294" s="31">
        <v>165</v>
      </c>
      <c r="I294" s="20" t="s">
        <v>9158</v>
      </c>
      <c r="J294" s="20" t="s">
        <v>8953</v>
      </c>
      <c r="K294" s="20" t="s">
        <v>8989</v>
      </c>
      <c r="L294" s="21" t="s">
        <v>8955</v>
      </c>
      <c r="M294" s="20" t="s">
        <v>8956</v>
      </c>
      <c r="N294" s="20" t="s">
        <v>8957</v>
      </c>
      <c r="O294" s="20">
        <f t="shared" si="4"/>
        <v>6</v>
      </c>
      <c r="P294" s="22" t="s">
        <v>8958</v>
      </c>
      <c r="Q294" s="21" t="s">
        <v>9183</v>
      </c>
      <c r="R294" s="23" t="s">
        <v>9310</v>
      </c>
      <c r="S294" s="24" t="s">
        <v>10836</v>
      </c>
      <c r="T294" s="24" t="str">
        <f>VLOOKUP(R294,[1]Sheet3!$A$2:$A$47,1,0)</f>
        <v>China</v>
      </c>
      <c r="U294" s="24" t="s">
        <v>10892</v>
      </c>
      <c r="V294" s="24" t="s">
        <v>10893</v>
      </c>
      <c r="W294" s="18" t="s">
        <v>8964</v>
      </c>
      <c r="X294" s="26" t="s">
        <v>10839</v>
      </c>
      <c r="Y294" s="18" t="s">
        <v>10840</v>
      </c>
      <c r="Z294" s="24" t="s">
        <v>11</v>
      </c>
    </row>
    <row r="295" spans="1:26" ht="20.100000000000001" customHeight="1" x14ac:dyDescent="0.2">
      <c r="A295" s="18" t="s">
        <v>10894</v>
      </c>
      <c r="B295" s="19" t="s">
        <v>10895</v>
      </c>
      <c r="C295" s="19" t="s">
        <v>10896</v>
      </c>
      <c r="D295" s="8" t="s">
        <v>10897</v>
      </c>
      <c r="E295" s="20" t="s">
        <v>10898</v>
      </c>
      <c r="F295" s="20" t="s">
        <v>10899</v>
      </c>
      <c r="G295" s="20" t="s">
        <v>10891</v>
      </c>
      <c r="H295" s="31">
        <v>116875</v>
      </c>
      <c r="I295" s="20" t="s">
        <v>9019</v>
      </c>
      <c r="J295" s="20" t="s">
        <v>8953</v>
      </c>
      <c r="K295" s="20" t="s">
        <v>8989</v>
      </c>
      <c r="L295" s="21" t="s">
        <v>8955</v>
      </c>
      <c r="M295" s="31" t="s">
        <v>10900</v>
      </c>
      <c r="N295" s="20" t="s">
        <v>8957</v>
      </c>
      <c r="O295" s="20">
        <f t="shared" si="4"/>
        <v>3</v>
      </c>
      <c r="P295" s="22" t="s">
        <v>9103</v>
      </c>
      <c r="Q295" s="32" t="s">
        <v>10901</v>
      </c>
      <c r="R295" s="23" t="s">
        <v>9010</v>
      </c>
      <c r="S295" s="24" t="s">
        <v>10836</v>
      </c>
      <c r="T295" s="24" t="str">
        <f>VLOOKUP(R295,[1]Sheet3!$A$2:$A$47,1,0)</f>
        <v>the United States of America</v>
      </c>
      <c r="U295" s="24" t="s">
        <v>10902</v>
      </c>
      <c r="V295" s="24" t="s">
        <v>10903</v>
      </c>
      <c r="W295" s="18" t="s">
        <v>8964</v>
      </c>
      <c r="X295" s="26" t="s">
        <v>10839</v>
      </c>
      <c r="Y295" s="18" t="s">
        <v>10840</v>
      </c>
      <c r="Z295" s="24" t="s">
        <v>11</v>
      </c>
    </row>
    <row r="296" spans="1:26" ht="20.100000000000001" customHeight="1" x14ac:dyDescent="0.2">
      <c r="A296" s="18" t="s">
        <v>10904</v>
      </c>
      <c r="B296" s="19" t="s">
        <v>10905</v>
      </c>
      <c r="C296" s="19" t="s">
        <v>10906</v>
      </c>
      <c r="D296" s="8" t="s">
        <v>10907</v>
      </c>
      <c r="E296" s="31" t="s">
        <v>9308</v>
      </c>
      <c r="F296" s="20" t="s">
        <v>9018</v>
      </c>
      <c r="G296" s="20" t="s">
        <v>8951</v>
      </c>
      <c r="H296" s="31">
        <v>12611</v>
      </c>
      <c r="I296" s="20" t="s">
        <v>9019</v>
      </c>
      <c r="J296" s="31" t="s">
        <v>10908</v>
      </c>
      <c r="K296" s="20" t="s">
        <v>8954</v>
      </c>
      <c r="L296" s="21" t="s">
        <v>8955</v>
      </c>
      <c r="M296" s="20" t="s">
        <v>8956</v>
      </c>
      <c r="N296" s="31" t="s">
        <v>10909</v>
      </c>
      <c r="O296" s="20">
        <f t="shared" si="4"/>
        <v>10</v>
      </c>
      <c r="P296" s="22" t="s">
        <v>8975</v>
      </c>
      <c r="Q296" s="21" t="s">
        <v>10901</v>
      </c>
      <c r="R296" s="23" t="s">
        <v>10910</v>
      </c>
      <c r="S296" s="24" t="s">
        <v>10836</v>
      </c>
      <c r="T296" s="24" t="str">
        <f>VLOOKUP(R296,[1]Sheet3!$A$2:$A$47,1,0)</f>
        <v>Belgium</v>
      </c>
      <c r="U296" s="24" t="s">
        <v>10911</v>
      </c>
      <c r="V296" s="24" t="s">
        <v>10912</v>
      </c>
      <c r="W296" s="18" t="s">
        <v>8964</v>
      </c>
      <c r="X296" s="26" t="s">
        <v>10839</v>
      </c>
      <c r="Y296" s="18" t="s">
        <v>10840</v>
      </c>
      <c r="Z296" s="24" t="s">
        <v>11</v>
      </c>
    </row>
    <row r="297" spans="1:26" ht="20.100000000000001" customHeight="1" x14ac:dyDescent="0.2">
      <c r="A297" s="18" t="s">
        <v>10913</v>
      </c>
      <c r="B297" s="19" t="s">
        <v>10914</v>
      </c>
      <c r="C297" s="19" t="s">
        <v>10915</v>
      </c>
      <c r="D297" s="8" t="s">
        <v>9049</v>
      </c>
      <c r="E297" s="20" t="s">
        <v>9325</v>
      </c>
      <c r="F297" s="20" t="s">
        <v>10916</v>
      </c>
      <c r="G297" s="20" t="s">
        <v>8987</v>
      </c>
      <c r="H297" s="31">
        <v>14720</v>
      </c>
      <c r="I297" s="20" t="s">
        <v>9019</v>
      </c>
      <c r="J297" s="20" t="s">
        <v>8953</v>
      </c>
      <c r="K297" s="20" t="s">
        <v>8954</v>
      </c>
      <c r="L297" s="21" t="s">
        <v>8955</v>
      </c>
      <c r="M297" s="20" t="s">
        <v>8956</v>
      </c>
      <c r="N297" s="20" t="s">
        <v>8957</v>
      </c>
      <c r="O297" s="20">
        <f t="shared" si="4"/>
        <v>6</v>
      </c>
      <c r="P297" s="22" t="s">
        <v>8958</v>
      </c>
      <c r="Q297" s="21" t="s">
        <v>10901</v>
      </c>
      <c r="R297" s="23" t="s">
        <v>10917</v>
      </c>
      <c r="S297" s="24" t="s">
        <v>10836</v>
      </c>
      <c r="T297" s="24" t="str">
        <f>VLOOKUP(R297,[1]Sheet3!$A$2:$A$47,1,0)</f>
        <v>Malaysia</v>
      </c>
      <c r="U297" s="24" t="s">
        <v>10918</v>
      </c>
      <c r="V297" s="24" t="s">
        <v>10919</v>
      </c>
      <c r="W297" s="18" t="s">
        <v>8964</v>
      </c>
      <c r="X297" s="26" t="s">
        <v>10839</v>
      </c>
      <c r="Y297" s="18" t="s">
        <v>10840</v>
      </c>
      <c r="Z297" s="24" t="s">
        <v>11</v>
      </c>
    </row>
    <row r="298" spans="1:26" ht="20.100000000000001" customHeight="1" x14ac:dyDescent="0.2">
      <c r="A298" s="18" t="s">
        <v>10920</v>
      </c>
      <c r="B298" s="19" t="s">
        <v>10921</v>
      </c>
      <c r="C298" s="19" t="s">
        <v>10922</v>
      </c>
      <c r="D298" s="8" t="s">
        <v>9154</v>
      </c>
      <c r="E298" s="33" t="s">
        <v>9101</v>
      </c>
      <c r="F298" s="20" t="s">
        <v>10923</v>
      </c>
      <c r="G298" s="20" t="s">
        <v>10924</v>
      </c>
      <c r="H298" s="31">
        <v>8</v>
      </c>
      <c r="I298" s="20" t="s">
        <v>9008</v>
      </c>
      <c r="J298" s="20" t="s">
        <v>8953</v>
      </c>
      <c r="K298" s="20" t="s">
        <v>9122</v>
      </c>
      <c r="L298" s="21" t="s">
        <v>8955</v>
      </c>
      <c r="M298" s="20" t="s">
        <v>8956</v>
      </c>
      <c r="N298" s="20" t="s">
        <v>8957</v>
      </c>
      <c r="O298" s="20">
        <f t="shared" si="4"/>
        <v>3</v>
      </c>
      <c r="P298" s="22" t="s">
        <v>9103</v>
      </c>
      <c r="Q298" s="21" t="s">
        <v>9503</v>
      </c>
      <c r="R298" s="23" t="s">
        <v>8960</v>
      </c>
      <c r="S298" s="24" t="s">
        <v>10836</v>
      </c>
      <c r="T298" s="24" t="str">
        <f>VLOOKUP(R298,[1]Sheet3!$A$2:$A$47,1,0)</f>
        <v>Canada</v>
      </c>
      <c r="U298" s="24" t="s">
        <v>10925</v>
      </c>
      <c r="V298" s="24" t="s">
        <v>10926</v>
      </c>
      <c r="W298" s="18" t="s">
        <v>8964</v>
      </c>
      <c r="X298" s="26" t="s">
        <v>10839</v>
      </c>
      <c r="Y298" s="18" t="s">
        <v>10840</v>
      </c>
      <c r="Z298" s="24" t="s">
        <v>11</v>
      </c>
    </row>
    <row r="299" spans="1:26" ht="20.100000000000001" customHeight="1" x14ac:dyDescent="0.2">
      <c r="A299" s="18" t="s">
        <v>10927</v>
      </c>
      <c r="B299" s="19" t="s">
        <v>10928</v>
      </c>
      <c r="C299" s="19" t="s">
        <v>10929</v>
      </c>
      <c r="D299" s="8" t="s">
        <v>9092</v>
      </c>
      <c r="E299" s="20" t="s">
        <v>8998</v>
      </c>
      <c r="F299" s="20" t="s">
        <v>10930</v>
      </c>
      <c r="G299" s="20" t="s">
        <v>8973</v>
      </c>
      <c r="H299" s="31">
        <v>45</v>
      </c>
      <c r="I299" s="20" t="s">
        <v>9008</v>
      </c>
      <c r="J299" s="20" t="s">
        <v>8953</v>
      </c>
      <c r="K299" s="20" t="s">
        <v>8989</v>
      </c>
      <c r="L299" s="21" t="s">
        <v>8955</v>
      </c>
      <c r="M299" s="20" t="s">
        <v>8956</v>
      </c>
      <c r="N299" s="20" t="s">
        <v>9060</v>
      </c>
      <c r="O299" s="20">
        <f t="shared" si="4"/>
        <v>6</v>
      </c>
      <c r="P299" s="22" t="s">
        <v>8958</v>
      </c>
      <c r="Q299" s="21" t="s">
        <v>9183</v>
      </c>
      <c r="R299" s="23" t="s">
        <v>9069</v>
      </c>
      <c r="S299" s="24" t="s">
        <v>10836</v>
      </c>
      <c r="T299" s="24" t="str">
        <f>VLOOKUP(R299,[1]Sheet3!$A$2:$A$47,1,0)</f>
        <v>Austria</v>
      </c>
      <c r="U299" s="24" t="s">
        <v>10931</v>
      </c>
      <c r="V299" s="24" t="s">
        <v>10932</v>
      </c>
      <c r="W299" s="18" t="s">
        <v>8964</v>
      </c>
      <c r="X299" s="26" t="s">
        <v>10839</v>
      </c>
      <c r="Y299" s="18" t="s">
        <v>10840</v>
      </c>
      <c r="Z299" s="24" t="s">
        <v>11</v>
      </c>
    </row>
    <row r="300" spans="1:26" ht="20.100000000000001" customHeight="1" x14ac:dyDescent="0.2">
      <c r="A300" s="18" t="s">
        <v>10933</v>
      </c>
      <c r="B300" s="19" t="s">
        <v>10934</v>
      </c>
      <c r="C300" s="19" t="s">
        <v>10935</v>
      </c>
      <c r="D300" s="8" t="s">
        <v>9605</v>
      </c>
      <c r="E300" s="20" t="s">
        <v>8985</v>
      </c>
      <c r="F300" s="20" t="s">
        <v>10936</v>
      </c>
      <c r="G300" s="20" t="s">
        <v>8987</v>
      </c>
      <c r="H300" s="31">
        <v>126</v>
      </c>
      <c r="I300" s="20" t="s">
        <v>9158</v>
      </c>
      <c r="J300" s="20" t="s">
        <v>8953</v>
      </c>
      <c r="K300" s="20" t="s">
        <v>8954</v>
      </c>
      <c r="L300" s="21" t="s">
        <v>8955</v>
      </c>
      <c r="M300" s="20" t="s">
        <v>8956</v>
      </c>
      <c r="N300" s="20" t="s">
        <v>8974</v>
      </c>
      <c r="O300" s="20">
        <f t="shared" si="4"/>
        <v>4</v>
      </c>
      <c r="P300" s="22" t="s">
        <v>8958</v>
      </c>
      <c r="Q300" s="21" t="s">
        <v>9009</v>
      </c>
      <c r="R300" s="23" t="s">
        <v>9176</v>
      </c>
      <c r="S300" s="24" t="s">
        <v>10836</v>
      </c>
      <c r="T300" s="24" t="str">
        <f>VLOOKUP(R300,[1]Sheet3!$A$2:$A$47,1,0)</f>
        <v>Australia</v>
      </c>
      <c r="U300" s="24" t="s">
        <v>10937</v>
      </c>
      <c r="V300" s="24" t="s">
        <v>10938</v>
      </c>
      <c r="W300" s="18" t="s">
        <v>8964</v>
      </c>
      <c r="X300" s="26" t="s">
        <v>10839</v>
      </c>
      <c r="Y300" s="18" t="s">
        <v>10840</v>
      </c>
      <c r="Z300" s="24" t="s">
        <v>11</v>
      </c>
    </row>
    <row r="301" spans="1:26" ht="20.100000000000001" customHeight="1" x14ac:dyDescent="0.2">
      <c r="A301" s="18" t="s">
        <v>10939</v>
      </c>
      <c r="B301" s="19" t="s">
        <v>10940</v>
      </c>
      <c r="C301" s="19" t="s">
        <v>10941</v>
      </c>
      <c r="D301" s="8" t="s">
        <v>9154</v>
      </c>
      <c r="E301" s="20" t="s">
        <v>9308</v>
      </c>
      <c r="F301" s="20" t="s">
        <v>10942</v>
      </c>
      <c r="G301" s="20" t="s">
        <v>8951</v>
      </c>
      <c r="H301" s="31">
        <v>103</v>
      </c>
      <c r="I301" s="20" t="s">
        <v>9158</v>
      </c>
      <c r="J301" s="20" t="s">
        <v>8953</v>
      </c>
      <c r="K301" s="20" t="s">
        <v>8989</v>
      </c>
      <c r="L301" s="21" t="s">
        <v>8955</v>
      </c>
      <c r="M301" s="20" t="s">
        <v>8956</v>
      </c>
      <c r="N301" s="20" t="s">
        <v>8957</v>
      </c>
      <c r="O301" s="20">
        <f t="shared" si="4"/>
        <v>9</v>
      </c>
      <c r="P301" s="22" t="s">
        <v>8975</v>
      </c>
      <c r="Q301" s="21" t="s">
        <v>9183</v>
      </c>
      <c r="R301" s="23" t="s">
        <v>10850</v>
      </c>
      <c r="S301" s="24" t="s">
        <v>10836</v>
      </c>
      <c r="T301" s="24" t="str">
        <f>VLOOKUP(R301,[1]Sheet3!$A$2:$A$47,1,0)</f>
        <v>Singapore</v>
      </c>
      <c r="U301" s="24" t="s">
        <v>10943</v>
      </c>
      <c r="V301" s="24" t="s">
        <v>10944</v>
      </c>
      <c r="W301" s="18" t="s">
        <v>8964</v>
      </c>
      <c r="X301" s="26" t="s">
        <v>10839</v>
      </c>
      <c r="Y301" s="18" t="s">
        <v>10840</v>
      </c>
      <c r="Z301" s="24" t="s">
        <v>11</v>
      </c>
    </row>
    <row r="302" spans="1:26" ht="20.100000000000001" customHeight="1" x14ac:dyDescent="0.2">
      <c r="A302" s="18" t="s">
        <v>10945</v>
      </c>
      <c r="B302" s="19" t="s">
        <v>10946</v>
      </c>
      <c r="C302" s="19" t="s">
        <v>10947</v>
      </c>
      <c r="D302" s="8" t="s">
        <v>9154</v>
      </c>
      <c r="E302" s="33" t="s">
        <v>8998</v>
      </c>
      <c r="F302" s="20" t="s">
        <v>8950</v>
      </c>
      <c r="G302" s="20" t="s">
        <v>8973</v>
      </c>
      <c r="H302" s="31">
        <v>78</v>
      </c>
      <c r="I302" s="20" t="s">
        <v>9008</v>
      </c>
      <c r="J302" s="20" t="s">
        <v>8953</v>
      </c>
      <c r="K302" s="20" t="s">
        <v>8989</v>
      </c>
      <c r="L302" s="21" t="s">
        <v>8955</v>
      </c>
      <c r="M302" s="20" t="s">
        <v>8956</v>
      </c>
      <c r="N302" s="20" t="s">
        <v>8959</v>
      </c>
      <c r="O302" s="20">
        <f t="shared" si="4"/>
        <v>9</v>
      </c>
      <c r="P302" s="22" t="s">
        <v>8975</v>
      </c>
      <c r="Q302" s="21" t="s">
        <v>8959</v>
      </c>
      <c r="R302" s="23" t="s">
        <v>9815</v>
      </c>
      <c r="S302" s="24" t="s">
        <v>10836</v>
      </c>
      <c r="T302" s="24" t="str">
        <f>VLOOKUP(R302,[1]Sheet3!$A$2:$A$47,1,0)</f>
        <v>India</v>
      </c>
      <c r="U302" s="24" t="s">
        <v>10948</v>
      </c>
      <c r="V302" s="24" t="s">
        <v>10949</v>
      </c>
      <c r="W302" s="18" t="s">
        <v>8964</v>
      </c>
      <c r="X302" s="26" t="s">
        <v>10839</v>
      </c>
      <c r="Y302" s="18" t="s">
        <v>10840</v>
      </c>
      <c r="Z302" s="24" t="s">
        <v>11</v>
      </c>
    </row>
    <row r="303" spans="1:26" ht="20.100000000000001" customHeight="1" x14ac:dyDescent="0.2">
      <c r="A303" s="18" t="s">
        <v>10950</v>
      </c>
      <c r="B303" s="19" t="s">
        <v>10951</v>
      </c>
      <c r="C303" s="19" t="s">
        <v>10952</v>
      </c>
      <c r="D303" s="8" t="s">
        <v>9100</v>
      </c>
      <c r="E303" s="20" t="s">
        <v>8949</v>
      </c>
      <c r="F303" s="20" t="s">
        <v>10953</v>
      </c>
      <c r="G303" s="20" t="s">
        <v>10954</v>
      </c>
      <c r="H303" s="31" t="s">
        <v>9479</v>
      </c>
      <c r="I303" s="20" t="s">
        <v>9479</v>
      </c>
      <c r="J303" s="20" t="s">
        <v>8953</v>
      </c>
      <c r="K303" s="20" t="s">
        <v>8989</v>
      </c>
      <c r="L303" s="21" t="s">
        <v>8955</v>
      </c>
      <c r="M303" s="20" t="s">
        <v>8956</v>
      </c>
      <c r="N303" s="20" t="s">
        <v>8957</v>
      </c>
      <c r="O303" s="20">
        <f t="shared" si="4"/>
        <v>3</v>
      </c>
      <c r="P303" s="22" t="s">
        <v>9103</v>
      </c>
      <c r="Q303" s="21" t="s">
        <v>9061</v>
      </c>
      <c r="R303" s="23" t="s">
        <v>9010</v>
      </c>
      <c r="S303" s="24" t="s">
        <v>10836</v>
      </c>
      <c r="T303" s="24" t="str">
        <f>VLOOKUP(R303,[1]Sheet3!$A$2:$A$47,1,0)</f>
        <v>the United States of America</v>
      </c>
      <c r="U303" s="24" t="s">
        <v>10955</v>
      </c>
      <c r="V303" s="24" t="s">
        <v>10956</v>
      </c>
      <c r="W303" s="18" t="s">
        <v>8964</v>
      </c>
      <c r="X303" s="26" t="s">
        <v>10839</v>
      </c>
      <c r="Y303" s="18" t="s">
        <v>10840</v>
      </c>
      <c r="Z303" s="24" t="s">
        <v>11</v>
      </c>
    </row>
    <row r="304" spans="1:26" ht="20.100000000000001" customHeight="1" x14ac:dyDescent="0.2">
      <c r="A304" s="18" t="s">
        <v>10957</v>
      </c>
      <c r="B304" s="19" t="s">
        <v>10958</v>
      </c>
      <c r="C304" s="19" t="s">
        <v>10959</v>
      </c>
      <c r="D304" s="8" t="s">
        <v>8948</v>
      </c>
      <c r="E304" s="20" t="s">
        <v>9155</v>
      </c>
      <c r="F304" s="20" t="s">
        <v>8950</v>
      </c>
      <c r="G304" s="20" t="s">
        <v>9157</v>
      </c>
      <c r="H304" s="31">
        <v>31</v>
      </c>
      <c r="I304" s="20" t="s">
        <v>9008</v>
      </c>
      <c r="J304" s="20" t="s">
        <v>9059</v>
      </c>
      <c r="K304" s="20" t="s">
        <v>8989</v>
      </c>
      <c r="L304" s="21" t="s">
        <v>9182</v>
      </c>
      <c r="M304" s="20" t="s">
        <v>8956</v>
      </c>
      <c r="N304" s="20" t="s">
        <v>8957</v>
      </c>
      <c r="O304" s="20">
        <f t="shared" si="4"/>
        <v>8</v>
      </c>
      <c r="P304" s="22" t="s">
        <v>8975</v>
      </c>
      <c r="Q304" s="21" t="s">
        <v>9183</v>
      </c>
      <c r="R304" s="23" t="s">
        <v>9010</v>
      </c>
      <c r="S304" s="24" t="s">
        <v>10836</v>
      </c>
      <c r="T304" s="24" t="str">
        <f>VLOOKUP(R304,[1]Sheet3!$A$2:$A$47,1,0)</f>
        <v>the United States of America</v>
      </c>
      <c r="U304" s="24" t="s">
        <v>10960</v>
      </c>
      <c r="V304" s="24" t="s">
        <v>10961</v>
      </c>
      <c r="W304" s="18" t="s">
        <v>8964</v>
      </c>
      <c r="X304" s="26" t="s">
        <v>10839</v>
      </c>
      <c r="Y304" s="18" t="s">
        <v>10840</v>
      </c>
      <c r="Z304" s="24" t="s">
        <v>11</v>
      </c>
    </row>
    <row r="305" spans="1:26" ht="20.100000000000001" customHeight="1" x14ac:dyDescent="0.2">
      <c r="A305" s="18" t="s">
        <v>10962</v>
      </c>
      <c r="B305" s="19" t="s">
        <v>10963</v>
      </c>
      <c r="C305" s="19" t="s">
        <v>10964</v>
      </c>
      <c r="D305" s="8" t="s">
        <v>9605</v>
      </c>
      <c r="E305" s="20" t="s">
        <v>9121</v>
      </c>
      <c r="F305" s="20" t="s">
        <v>9510</v>
      </c>
      <c r="G305" s="20" t="s">
        <v>9133</v>
      </c>
      <c r="H305" s="31">
        <v>10000</v>
      </c>
      <c r="I305" s="20" t="s">
        <v>9019</v>
      </c>
      <c r="J305" s="20" t="s">
        <v>8953</v>
      </c>
      <c r="K305" s="20" t="s">
        <v>8989</v>
      </c>
      <c r="L305" s="21" t="s">
        <v>8955</v>
      </c>
      <c r="M305" s="20" t="s">
        <v>8956</v>
      </c>
      <c r="N305" s="20" t="s">
        <v>8957</v>
      </c>
      <c r="O305" s="20">
        <f t="shared" si="4"/>
        <v>6</v>
      </c>
      <c r="P305" s="22" t="s">
        <v>8958</v>
      </c>
      <c r="Q305" s="21" t="s">
        <v>8959</v>
      </c>
      <c r="R305" s="23" t="s">
        <v>9010</v>
      </c>
      <c r="S305" s="24" t="s">
        <v>10965</v>
      </c>
      <c r="T305" s="24" t="str">
        <f>VLOOKUP(R305,[1]Sheet3!$A$2:$A$47,1,0)</f>
        <v>the United States of America</v>
      </c>
      <c r="U305" s="24" t="s">
        <v>10966</v>
      </c>
      <c r="V305" s="24" t="s">
        <v>10967</v>
      </c>
      <c r="W305" s="18" t="s">
        <v>8964</v>
      </c>
      <c r="X305" s="26" t="s">
        <v>8703</v>
      </c>
      <c r="Y305" s="18" t="s">
        <v>10968</v>
      </c>
      <c r="Z305" s="24" t="s">
        <v>11</v>
      </c>
    </row>
    <row r="306" spans="1:26" ht="20.100000000000001" customHeight="1" x14ac:dyDescent="0.2">
      <c r="A306" s="18" t="s">
        <v>10969</v>
      </c>
      <c r="B306" s="19" t="s">
        <v>10970</v>
      </c>
      <c r="C306" s="19" t="s">
        <v>10971</v>
      </c>
      <c r="D306" s="8" t="s">
        <v>8948</v>
      </c>
      <c r="E306" s="31" t="s">
        <v>9308</v>
      </c>
      <c r="F306" s="20" t="s">
        <v>8950</v>
      </c>
      <c r="G306" s="20" t="s">
        <v>10891</v>
      </c>
      <c r="H306" s="31">
        <v>219</v>
      </c>
      <c r="I306" s="20" t="s">
        <v>9158</v>
      </c>
      <c r="J306" s="20" t="s">
        <v>8953</v>
      </c>
      <c r="K306" s="20" t="s">
        <v>8954</v>
      </c>
      <c r="L306" s="21" t="s">
        <v>8955</v>
      </c>
      <c r="M306" s="20" t="s">
        <v>8956</v>
      </c>
      <c r="N306" s="20" t="s">
        <v>8959</v>
      </c>
      <c r="O306" s="20">
        <f t="shared" si="4"/>
        <v>5</v>
      </c>
      <c r="P306" s="22" t="s">
        <v>8958</v>
      </c>
      <c r="Q306" s="21" t="s">
        <v>9183</v>
      </c>
      <c r="R306" s="23" t="s">
        <v>9333</v>
      </c>
      <c r="S306" s="24" t="s">
        <v>10972</v>
      </c>
      <c r="T306" s="24" t="str">
        <f>VLOOKUP(R306,[1]Sheet3!$A$2:$A$47,1,0)</f>
        <v>Japan</v>
      </c>
      <c r="U306" s="24" t="s">
        <v>10973</v>
      </c>
      <c r="V306" s="24" t="s">
        <v>10974</v>
      </c>
      <c r="W306" s="18" t="s">
        <v>8964</v>
      </c>
      <c r="X306" s="26" t="s">
        <v>4316</v>
      </c>
      <c r="Y306" s="18" t="s">
        <v>10975</v>
      </c>
      <c r="Z306" s="24" t="s">
        <v>17</v>
      </c>
    </row>
    <row r="307" spans="1:26" ht="20.100000000000001" customHeight="1" x14ac:dyDescent="0.2">
      <c r="A307" s="18" t="s">
        <v>10976</v>
      </c>
      <c r="B307" s="19" t="s">
        <v>10977</v>
      </c>
      <c r="C307" s="19" t="s">
        <v>10978</v>
      </c>
      <c r="D307" s="8" t="s">
        <v>9035</v>
      </c>
      <c r="E307" s="20" t="s">
        <v>8998</v>
      </c>
      <c r="F307" s="20" t="s">
        <v>10979</v>
      </c>
      <c r="G307" s="20" t="s">
        <v>10891</v>
      </c>
      <c r="H307" s="31">
        <v>220000</v>
      </c>
      <c r="I307" s="20" t="s">
        <v>10980</v>
      </c>
      <c r="J307" s="20" t="s">
        <v>8953</v>
      </c>
      <c r="K307" s="20" t="s">
        <v>8989</v>
      </c>
      <c r="L307" s="21" t="s">
        <v>8955</v>
      </c>
      <c r="M307" s="20" t="s">
        <v>8956</v>
      </c>
      <c r="N307" s="20" t="s">
        <v>8957</v>
      </c>
      <c r="O307" s="20">
        <f t="shared" si="4"/>
        <v>2</v>
      </c>
      <c r="P307" s="22" t="s">
        <v>9103</v>
      </c>
      <c r="Q307" s="21" t="s">
        <v>9183</v>
      </c>
      <c r="R307" s="23" t="s">
        <v>9062</v>
      </c>
      <c r="S307" s="24" t="s">
        <v>9342</v>
      </c>
      <c r="T307" s="24" t="str">
        <f>VLOOKUP(R307,[1]Sheet3!$A$2:$A$47,1,0)</f>
        <v>Germany</v>
      </c>
      <c r="U307" s="24" t="s">
        <v>10981</v>
      </c>
      <c r="V307" s="24" t="s">
        <v>10982</v>
      </c>
      <c r="W307" s="18" t="s">
        <v>8964</v>
      </c>
      <c r="X307" s="26" t="s">
        <v>64</v>
      </c>
      <c r="Y307" s="18" t="s">
        <v>9345</v>
      </c>
      <c r="Z307" s="24" t="s">
        <v>17</v>
      </c>
    </row>
    <row r="308" spans="1:26" ht="20.100000000000001" customHeight="1" x14ac:dyDescent="0.2">
      <c r="A308" s="49" t="s">
        <v>10983</v>
      </c>
      <c r="B308" s="19" t="s">
        <v>10984</v>
      </c>
      <c r="C308" s="19" t="s">
        <v>10985</v>
      </c>
      <c r="D308" s="8" t="s">
        <v>9049</v>
      </c>
      <c r="E308" s="20" t="s">
        <v>8949</v>
      </c>
      <c r="F308" s="20" t="s">
        <v>10986</v>
      </c>
      <c r="G308" s="20" t="s">
        <v>9133</v>
      </c>
      <c r="H308" s="31">
        <v>1513</v>
      </c>
      <c r="I308" s="20" t="s">
        <v>8952</v>
      </c>
      <c r="J308" s="20" t="s">
        <v>8953</v>
      </c>
      <c r="K308" s="20" t="s">
        <v>8989</v>
      </c>
      <c r="L308" s="21" t="s">
        <v>8955</v>
      </c>
      <c r="M308" s="20" t="s">
        <v>8956</v>
      </c>
      <c r="N308" s="20" t="s">
        <v>8957</v>
      </c>
      <c r="O308" s="20">
        <f t="shared" si="4"/>
        <v>12</v>
      </c>
      <c r="P308" s="22" t="s">
        <v>8975</v>
      </c>
      <c r="Q308" s="21" t="s">
        <v>9183</v>
      </c>
      <c r="R308" s="23" t="s">
        <v>9310</v>
      </c>
      <c r="S308" s="24" t="s">
        <v>10987</v>
      </c>
      <c r="T308" s="24" t="str">
        <f>VLOOKUP(R308,[1]Sheet3!$A$2:$A$47,1,0)</f>
        <v>China</v>
      </c>
      <c r="U308" s="24" t="s">
        <v>10988</v>
      </c>
      <c r="V308" s="24" t="s">
        <v>10989</v>
      </c>
      <c r="W308" s="18" t="s">
        <v>8964</v>
      </c>
      <c r="X308" s="26" t="s">
        <v>2284</v>
      </c>
      <c r="Y308" s="18" t="s">
        <v>10990</v>
      </c>
      <c r="Z308" s="24" t="s">
        <v>11</v>
      </c>
    </row>
    <row r="309" spans="1:26" ht="20.100000000000001" customHeight="1" x14ac:dyDescent="0.2">
      <c r="A309" s="18" t="s">
        <v>10991</v>
      </c>
      <c r="B309" s="19" t="s">
        <v>10992</v>
      </c>
      <c r="C309" s="19" t="s">
        <v>10993</v>
      </c>
      <c r="D309" s="8" t="s">
        <v>9605</v>
      </c>
      <c r="E309" s="33" t="s">
        <v>8971</v>
      </c>
      <c r="F309" s="20" t="s">
        <v>8950</v>
      </c>
      <c r="G309" s="20" t="s">
        <v>9133</v>
      </c>
      <c r="H309" s="31" t="s">
        <v>9479</v>
      </c>
      <c r="I309" s="20" t="s">
        <v>9479</v>
      </c>
      <c r="J309" s="20" t="s">
        <v>8953</v>
      </c>
      <c r="K309" s="20" t="s">
        <v>8954</v>
      </c>
      <c r="L309" s="21" t="s">
        <v>8955</v>
      </c>
      <c r="M309" s="20" t="s">
        <v>8956</v>
      </c>
      <c r="N309" s="20" t="s">
        <v>8959</v>
      </c>
      <c r="O309" s="20">
        <f t="shared" si="4"/>
        <v>6</v>
      </c>
      <c r="P309" s="22" t="s">
        <v>8958</v>
      </c>
      <c r="Q309" s="21" t="s">
        <v>9061</v>
      </c>
      <c r="R309" s="23" t="s">
        <v>9010</v>
      </c>
      <c r="S309" s="24" t="s">
        <v>10994</v>
      </c>
      <c r="T309" s="24" t="str">
        <f>VLOOKUP(R309,[1]Sheet3!$A$2:$A$47,1,0)</f>
        <v>the United States of America</v>
      </c>
      <c r="U309" s="24" t="s">
        <v>10995</v>
      </c>
      <c r="V309" s="24" t="s">
        <v>10996</v>
      </c>
      <c r="W309" s="18" t="s">
        <v>8964</v>
      </c>
      <c r="X309" s="26" t="s">
        <v>813</v>
      </c>
      <c r="Y309" s="18" t="s">
        <v>10997</v>
      </c>
      <c r="Z309" s="24" t="s">
        <v>17</v>
      </c>
    </row>
    <row r="310" spans="1:26" ht="20.100000000000001" customHeight="1" x14ac:dyDescent="0.2">
      <c r="A310" s="18" t="s">
        <v>10998</v>
      </c>
      <c r="B310" s="19" t="s">
        <v>10999</v>
      </c>
      <c r="C310" s="19" t="s">
        <v>11000</v>
      </c>
      <c r="D310" s="8" t="s">
        <v>9092</v>
      </c>
      <c r="E310" s="20" t="s">
        <v>8998</v>
      </c>
      <c r="F310" s="20" t="s">
        <v>8972</v>
      </c>
      <c r="G310" s="20" t="s">
        <v>8973</v>
      </c>
      <c r="H310" s="31">
        <v>6800</v>
      </c>
      <c r="I310" s="20" t="s">
        <v>9019</v>
      </c>
      <c r="J310" s="20" t="s">
        <v>8953</v>
      </c>
      <c r="K310" s="20" t="s">
        <v>8954</v>
      </c>
      <c r="L310" s="21" t="s">
        <v>8955</v>
      </c>
      <c r="M310" s="20" t="s">
        <v>8956</v>
      </c>
      <c r="N310" s="20" t="s">
        <v>8957</v>
      </c>
      <c r="O310" s="20">
        <f t="shared" si="4"/>
        <v>4</v>
      </c>
      <c r="P310" s="22" t="s">
        <v>9103</v>
      </c>
      <c r="Q310" s="21" t="s">
        <v>9183</v>
      </c>
      <c r="R310" s="23" t="s">
        <v>9062</v>
      </c>
      <c r="S310" s="24" t="s">
        <v>9342</v>
      </c>
      <c r="T310" s="24" t="str">
        <f>VLOOKUP(R310,[1]Sheet3!$A$2:$A$47,1,0)</f>
        <v>Germany</v>
      </c>
      <c r="U310" s="24" t="s">
        <v>11001</v>
      </c>
      <c r="V310" s="24" t="s">
        <v>11002</v>
      </c>
      <c r="W310" s="18" t="s">
        <v>8964</v>
      </c>
      <c r="X310" s="26" t="s">
        <v>64</v>
      </c>
      <c r="Y310" s="18" t="s">
        <v>9345</v>
      </c>
      <c r="Z310" s="24" t="s">
        <v>17</v>
      </c>
    </row>
    <row r="311" spans="1:26" ht="20.100000000000001" customHeight="1" x14ac:dyDescent="0.2">
      <c r="A311" s="18" t="s">
        <v>11003</v>
      </c>
      <c r="B311" s="19" t="s">
        <v>11004</v>
      </c>
      <c r="C311" s="19" t="s">
        <v>11005</v>
      </c>
      <c r="D311" s="8" t="s">
        <v>9154</v>
      </c>
      <c r="E311" s="20" t="s">
        <v>8971</v>
      </c>
      <c r="F311" s="20" t="s">
        <v>11006</v>
      </c>
      <c r="G311" s="20" t="s">
        <v>8951</v>
      </c>
      <c r="H311" s="31">
        <v>12325</v>
      </c>
      <c r="I311" s="20" t="s">
        <v>9019</v>
      </c>
      <c r="J311" s="20" t="s">
        <v>8953</v>
      </c>
      <c r="K311" s="20" t="s">
        <v>8954</v>
      </c>
      <c r="L311" s="21" t="s">
        <v>8955</v>
      </c>
      <c r="M311" s="20" t="s">
        <v>8956</v>
      </c>
      <c r="N311" s="20" t="s">
        <v>8957</v>
      </c>
      <c r="O311" s="20">
        <f t="shared" si="4"/>
        <v>9</v>
      </c>
      <c r="P311" s="22" t="s">
        <v>8975</v>
      </c>
      <c r="Q311" s="21" t="s">
        <v>9183</v>
      </c>
      <c r="R311" s="23" t="s">
        <v>9213</v>
      </c>
      <c r="S311" s="24" t="s">
        <v>11007</v>
      </c>
      <c r="T311" s="24" t="str">
        <f>VLOOKUP(R311,[1]Sheet3!$A$2:$A$47,1,0)</f>
        <v>South Korea</v>
      </c>
      <c r="U311" s="24" t="s">
        <v>11008</v>
      </c>
      <c r="V311" s="24" t="s">
        <v>11009</v>
      </c>
      <c r="W311" s="18" t="s">
        <v>8964</v>
      </c>
      <c r="X311" s="26" t="s">
        <v>5</v>
      </c>
      <c r="Y311" s="18" t="s">
        <v>11010</v>
      </c>
      <c r="Z311" s="24" t="s">
        <v>17</v>
      </c>
    </row>
    <row r="312" spans="1:26" ht="20.100000000000001" customHeight="1" x14ac:dyDescent="0.2">
      <c r="A312" s="18" t="s">
        <v>11011</v>
      </c>
      <c r="B312" s="19" t="s">
        <v>11012</v>
      </c>
      <c r="C312" s="19" t="s">
        <v>11013</v>
      </c>
      <c r="D312" s="8" t="s">
        <v>11014</v>
      </c>
      <c r="E312" s="20" t="s">
        <v>8998</v>
      </c>
      <c r="F312" s="20" t="s">
        <v>8950</v>
      </c>
      <c r="G312" s="20" t="s">
        <v>8951</v>
      </c>
      <c r="H312" s="31">
        <v>1300000</v>
      </c>
      <c r="I312" s="20" t="s">
        <v>9019</v>
      </c>
      <c r="J312" s="20" t="s">
        <v>8953</v>
      </c>
      <c r="K312" s="20" t="s">
        <v>8954</v>
      </c>
      <c r="L312" s="21" t="s">
        <v>8955</v>
      </c>
      <c r="M312" s="20" t="s">
        <v>8956</v>
      </c>
      <c r="N312" s="20" t="s">
        <v>8957</v>
      </c>
      <c r="O312" s="20">
        <f t="shared" si="4"/>
        <v>8</v>
      </c>
      <c r="P312" s="22" t="s">
        <v>8975</v>
      </c>
      <c r="Q312" s="21" t="s">
        <v>9183</v>
      </c>
      <c r="R312" s="23" t="s">
        <v>9356</v>
      </c>
      <c r="S312" s="24" t="s">
        <v>11015</v>
      </c>
      <c r="T312" s="24" t="str">
        <f>VLOOKUP(R312,[1]Sheet3!$A$2:$A$47,1,0)</f>
        <v>Japan</v>
      </c>
      <c r="U312" s="24" t="s">
        <v>11016</v>
      </c>
      <c r="V312" s="24" t="s">
        <v>11017</v>
      </c>
      <c r="W312" s="18" t="s">
        <v>8964</v>
      </c>
      <c r="X312" s="26" t="s">
        <v>1223</v>
      </c>
      <c r="Y312" s="18" t="s">
        <v>11018</v>
      </c>
      <c r="Z312" s="24">
        <v>2019</v>
      </c>
    </row>
    <row r="313" spans="1:26" ht="20.100000000000001" customHeight="1" x14ac:dyDescent="0.2">
      <c r="A313" s="18" t="s">
        <v>11019</v>
      </c>
      <c r="B313" s="19" t="s">
        <v>11020</v>
      </c>
      <c r="C313" s="19" t="s">
        <v>11021</v>
      </c>
      <c r="D313" s="8" t="s">
        <v>9035</v>
      </c>
      <c r="E313" s="20" t="s">
        <v>9155</v>
      </c>
      <c r="F313" s="20" t="s">
        <v>11022</v>
      </c>
      <c r="G313" s="20" t="s">
        <v>9464</v>
      </c>
      <c r="H313" s="31">
        <v>108948</v>
      </c>
      <c r="I313" s="20" t="s">
        <v>9019</v>
      </c>
      <c r="J313" s="20" t="s">
        <v>8953</v>
      </c>
      <c r="K313" s="20" t="s">
        <v>8954</v>
      </c>
      <c r="L313" s="21" t="s">
        <v>8955</v>
      </c>
      <c r="M313" s="20" t="s">
        <v>8956</v>
      </c>
      <c r="N313" s="20" t="s">
        <v>8959</v>
      </c>
      <c r="O313" s="20">
        <f t="shared" si="4"/>
        <v>2</v>
      </c>
      <c r="P313" s="22" t="s">
        <v>9103</v>
      </c>
      <c r="Q313" s="21" t="s">
        <v>9061</v>
      </c>
      <c r="R313" s="23" t="s">
        <v>9010</v>
      </c>
      <c r="S313" s="24" t="s">
        <v>11023</v>
      </c>
      <c r="T313" s="24" t="str">
        <f>VLOOKUP(R313,[1]Sheet3!$A$2:$A$47,1,0)</f>
        <v>the United States of America</v>
      </c>
      <c r="U313" s="24" t="s">
        <v>11024</v>
      </c>
      <c r="V313" s="24" t="s">
        <v>11025</v>
      </c>
      <c r="W313" s="18" t="s">
        <v>8964</v>
      </c>
      <c r="X313" s="26" t="s">
        <v>496</v>
      </c>
      <c r="Y313" s="18" t="s">
        <v>11026</v>
      </c>
      <c r="Z313" s="24" t="s">
        <v>17</v>
      </c>
    </row>
    <row r="314" spans="1:26" ht="20.100000000000001" customHeight="1" x14ac:dyDescent="0.2">
      <c r="A314" s="18" t="s">
        <v>11027</v>
      </c>
      <c r="B314" s="19" t="s">
        <v>11028</v>
      </c>
      <c r="C314" s="19" t="s">
        <v>11029</v>
      </c>
      <c r="D314" s="8" t="s">
        <v>9605</v>
      </c>
      <c r="E314" s="20" t="s">
        <v>9155</v>
      </c>
      <c r="F314" s="20" t="s">
        <v>8950</v>
      </c>
      <c r="G314" s="20" t="s">
        <v>9133</v>
      </c>
      <c r="H314" s="31">
        <v>78</v>
      </c>
      <c r="I314" s="20" t="s">
        <v>9479</v>
      </c>
      <c r="J314" s="20" t="s">
        <v>9059</v>
      </c>
      <c r="K314" s="20" t="s">
        <v>8954</v>
      </c>
      <c r="L314" s="21" t="s">
        <v>8955</v>
      </c>
      <c r="M314" s="20" t="s">
        <v>8956</v>
      </c>
      <c r="N314" s="20" t="s">
        <v>8959</v>
      </c>
      <c r="O314" s="20">
        <f t="shared" si="4"/>
        <v>3</v>
      </c>
      <c r="P314" s="22" t="s">
        <v>9103</v>
      </c>
      <c r="Q314" s="21" t="s">
        <v>9061</v>
      </c>
      <c r="R314" s="23" t="s">
        <v>9246</v>
      </c>
      <c r="S314" s="24" t="s">
        <v>11030</v>
      </c>
      <c r="T314" s="24" t="str">
        <f>VLOOKUP(R314,[1]Sheet3!$A$2:$A$47,1,0)</f>
        <v>Netherlands</v>
      </c>
      <c r="U314" s="24" t="s">
        <v>11031</v>
      </c>
      <c r="V314" s="24" t="s">
        <v>11032</v>
      </c>
      <c r="W314" s="18" t="s">
        <v>8964</v>
      </c>
      <c r="X314" s="26" t="s">
        <v>835</v>
      </c>
      <c r="Y314" s="18" t="s">
        <v>11033</v>
      </c>
      <c r="Z314" s="24" t="s">
        <v>11</v>
      </c>
    </row>
    <row r="315" spans="1:26" ht="20.100000000000001" customHeight="1" x14ac:dyDescent="0.2">
      <c r="A315" s="18" t="s">
        <v>11034</v>
      </c>
      <c r="B315" s="19" t="s">
        <v>11035</v>
      </c>
      <c r="C315" s="19" t="s">
        <v>11036</v>
      </c>
      <c r="D315" s="8" t="s">
        <v>9154</v>
      </c>
      <c r="E315" s="20" t="s">
        <v>8998</v>
      </c>
      <c r="F315" s="20" t="s">
        <v>9036</v>
      </c>
      <c r="G315" s="20" t="s">
        <v>9430</v>
      </c>
      <c r="H315" s="31">
        <v>126</v>
      </c>
      <c r="I315" s="20" t="s">
        <v>9158</v>
      </c>
      <c r="J315" s="20" t="s">
        <v>9059</v>
      </c>
      <c r="K315" s="20" t="s">
        <v>8989</v>
      </c>
      <c r="L315" s="21" t="s">
        <v>8955</v>
      </c>
      <c r="M315" s="20" t="s">
        <v>8956</v>
      </c>
      <c r="N315" s="20" t="s">
        <v>9060</v>
      </c>
      <c r="O315" s="20">
        <f t="shared" si="4"/>
        <v>6</v>
      </c>
      <c r="P315" s="22" t="s">
        <v>8958</v>
      </c>
      <c r="Q315" s="21" t="s">
        <v>9503</v>
      </c>
      <c r="R315" s="23" t="s">
        <v>10568</v>
      </c>
      <c r="S315" s="24" t="s">
        <v>9768</v>
      </c>
      <c r="T315" s="24" t="str">
        <f>VLOOKUP(R315,[1]Sheet3!$A$2:$A$47,1,0)</f>
        <v>Netherlands</v>
      </c>
      <c r="U315" s="24" t="s">
        <v>11037</v>
      </c>
      <c r="V315" s="24" t="s">
        <v>11038</v>
      </c>
      <c r="W315" s="18" t="s">
        <v>8964</v>
      </c>
      <c r="X315" s="26" t="s">
        <v>147</v>
      </c>
      <c r="Y315" s="18" t="s">
        <v>9771</v>
      </c>
      <c r="Z315" s="24" t="s">
        <v>17</v>
      </c>
    </row>
    <row r="316" spans="1:26" ht="20.100000000000001" customHeight="1" x14ac:dyDescent="0.2">
      <c r="A316" s="18" t="s">
        <v>11039</v>
      </c>
      <c r="B316" s="19" t="s">
        <v>11040</v>
      </c>
      <c r="C316" s="19" t="s">
        <v>11041</v>
      </c>
      <c r="D316" s="8" t="s">
        <v>8984</v>
      </c>
      <c r="E316" s="20" t="s">
        <v>8998</v>
      </c>
      <c r="F316" s="20" t="s">
        <v>10258</v>
      </c>
      <c r="G316" s="20" t="s">
        <v>8973</v>
      </c>
      <c r="H316" s="31">
        <v>100</v>
      </c>
      <c r="I316" s="20" t="s">
        <v>9008</v>
      </c>
      <c r="J316" s="20" t="s">
        <v>9059</v>
      </c>
      <c r="K316" s="20" t="s">
        <v>8954</v>
      </c>
      <c r="L316" s="21" t="s">
        <v>8955</v>
      </c>
      <c r="M316" s="20" t="s">
        <v>8956</v>
      </c>
      <c r="N316" s="20" t="s">
        <v>8957</v>
      </c>
      <c r="O316" s="20">
        <f t="shared" si="4"/>
        <v>11</v>
      </c>
      <c r="P316" s="22" t="s">
        <v>8975</v>
      </c>
      <c r="Q316" s="21" t="s">
        <v>9183</v>
      </c>
      <c r="R316" s="23" t="s">
        <v>9010</v>
      </c>
      <c r="S316" s="24" t="s">
        <v>10190</v>
      </c>
      <c r="T316" s="24" t="str">
        <f>VLOOKUP(R316,[1]Sheet3!$A$2:$A$47,1,0)</f>
        <v>the United States of America</v>
      </c>
      <c r="U316" s="24" t="s">
        <v>11042</v>
      </c>
      <c r="V316" s="24" t="s">
        <v>11043</v>
      </c>
      <c r="W316" s="18" t="s">
        <v>8964</v>
      </c>
      <c r="X316" s="26" t="s">
        <v>4602</v>
      </c>
      <c r="Y316" s="18" t="s">
        <v>10193</v>
      </c>
      <c r="Z316" s="24" t="s">
        <v>17</v>
      </c>
    </row>
    <row r="317" spans="1:26" ht="20.100000000000001" customHeight="1" x14ac:dyDescent="0.2">
      <c r="A317" s="18" t="s">
        <v>11044</v>
      </c>
      <c r="B317" s="19" t="s">
        <v>11045</v>
      </c>
      <c r="C317" s="19" t="s">
        <v>11046</v>
      </c>
      <c r="D317" s="8" t="s">
        <v>8948</v>
      </c>
      <c r="E317" s="20" t="s">
        <v>8949</v>
      </c>
      <c r="F317" s="20" t="s">
        <v>9036</v>
      </c>
      <c r="G317" s="20" t="s">
        <v>8973</v>
      </c>
      <c r="H317" s="31">
        <v>87</v>
      </c>
      <c r="I317" s="20" t="s">
        <v>9008</v>
      </c>
      <c r="J317" s="20" t="s">
        <v>8953</v>
      </c>
      <c r="K317" s="20" t="s">
        <v>8954</v>
      </c>
      <c r="L317" s="21" t="s">
        <v>8955</v>
      </c>
      <c r="M317" s="20" t="s">
        <v>8956</v>
      </c>
      <c r="N317" s="20" t="s">
        <v>8957</v>
      </c>
      <c r="O317" s="20">
        <f t="shared" si="4"/>
        <v>8</v>
      </c>
      <c r="P317" s="22" t="s">
        <v>8975</v>
      </c>
      <c r="Q317" s="21" t="s">
        <v>9183</v>
      </c>
      <c r="R317" s="23" t="s">
        <v>8991</v>
      </c>
      <c r="S317" s="24" t="s">
        <v>10688</v>
      </c>
      <c r="T317" s="24" t="str">
        <f>VLOOKUP(R317,[1]Sheet3!$A$2:$A$47,1,0)</f>
        <v>China</v>
      </c>
      <c r="U317" s="24" t="s">
        <v>11047</v>
      </c>
      <c r="V317" s="24" t="s">
        <v>11048</v>
      </c>
      <c r="W317" s="18" t="s">
        <v>8964</v>
      </c>
      <c r="X317" s="26" t="s">
        <v>1343</v>
      </c>
      <c r="Y317" s="18" t="s">
        <v>10691</v>
      </c>
      <c r="Z317" s="24" t="s">
        <v>11</v>
      </c>
    </row>
    <row r="318" spans="1:26" ht="20.100000000000001" customHeight="1" x14ac:dyDescent="0.2">
      <c r="A318" s="18" t="s">
        <v>11049</v>
      </c>
      <c r="B318" s="19" t="s">
        <v>11050</v>
      </c>
      <c r="C318" s="19" t="s">
        <v>11051</v>
      </c>
      <c r="D318" s="8" t="s">
        <v>8948</v>
      </c>
      <c r="E318" s="20" t="s">
        <v>8949</v>
      </c>
      <c r="F318" s="20" t="s">
        <v>9036</v>
      </c>
      <c r="G318" s="20" t="s">
        <v>8973</v>
      </c>
      <c r="H318" s="31">
        <v>285</v>
      </c>
      <c r="I318" s="20" t="s">
        <v>11052</v>
      </c>
      <c r="J318" s="20" t="s">
        <v>8953</v>
      </c>
      <c r="K318" s="20" t="s">
        <v>8989</v>
      </c>
      <c r="L318" s="21" t="s">
        <v>8955</v>
      </c>
      <c r="M318" s="20" t="s">
        <v>8956</v>
      </c>
      <c r="N318" s="20" t="s">
        <v>8959</v>
      </c>
      <c r="O318" s="20">
        <f t="shared" si="4"/>
        <v>4</v>
      </c>
      <c r="P318" s="22" t="s">
        <v>9103</v>
      </c>
      <c r="Q318" s="21" t="s">
        <v>9183</v>
      </c>
      <c r="R318" s="23" t="s">
        <v>10032</v>
      </c>
      <c r="S318" s="24" t="s">
        <v>9085</v>
      </c>
      <c r="T318" s="24" t="str">
        <f>VLOOKUP(R318,[1]Sheet3!$A$2:$A$47,1,0)</f>
        <v>France</v>
      </c>
      <c r="U318" s="24" t="s">
        <v>11053</v>
      </c>
      <c r="V318" s="24" t="s">
        <v>11054</v>
      </c>
      <c r="W318" s="18" t="s">
        <v>8964</v>
      </c>
      <c r="X318" s="26" t="s">
        <v>184</v>
      </c>
      <c r="Y318" s="18" t="s">
        <v>9088</v>
      </c>
      <c r="Z318" s="24" t="s">
        <v>11</v>
      </c>
    </row>
    <row r="319" spans="1:26" ht="20.100000000000001" customHeight="1" x14ac:dyDescent="0.2">
      <c r="A319" s="18" t="s">
        <v>11055</v>
      </c>
      <c r="B319" s="19" t="s">
        <v>11056</v>
      </c>
      <c r="C319" s="19" t="s">
        <v>11057</v>
      </c>
      <c r="D319" s="8" t="s">
        <v>11058</v>
      </c>
      <c r="E319" s="20" t="s">
        <v>11059</v>
      </c>
      <c r="F319" s="20" t="s">
        <v>8950</v>
      </c>
      <c r="G319" s="20" t="s">
        <v>9133</v>
      </c>
      <c r="H319" s="31">
        <v>72</v>
      </c>
      <c r="I319" s="20" t="s">
        <v>9479</v>
      </c>
      <c r="J319" s="20" t="s">
        <v>8953</v>
      </c>
      <c r="K319" s="20" t="s">
        <v>8989</v>
      </c>
      <c r="L319" s="21" t="s">
        <v>8955</v>
      </c>
      <c r="M319" s="20" t="s">
        <v>8956</v>
      </c>
      <c r="N319" s="20" t="s">
        <v>8959</v>
      </c>
      <c r="O319" s="20">
        <f t="shared" si="4"/>
        <v>5</v>
      </c>
      <c r="P319" s="22" t="s">
        <v>8958</v>
      </c>
      <c r="Q319" s="21" t="s">
        <v>9061</v>
      </c>
      <c r="R319" s="23" t="s">
        <v>9815</v>
      </c>
      <c r="S319" s="24" t="s">
        <v>11060</v>
      </c>
      <c r="T319" s="24" t="str">
        <f>VLOOKUP(R319,[1]Sheet3!$A$2:$A$47,1,0)</f>
        <v>India</v>
      </c>
      <c r="U319" s="24" t="s">
        <v>11061</v>
      </c>
      <c r="V319" s="24" t="s">
        <v>11062</v>
      </c>
      <c r="W319" s="18" t="s">
        <v>8964</v>
      </c>
      <c r="X319" s="26" t="s">
        <v>7355</v>
      </c>
      <c r="Y319" s="18" t="s">
        <v>11063</v>
      </c>
      <c r="Z319" s="24" t="s">
        <v>17</v>
      </c>
    </row>
    <row r="320" spans="1:26" ht="20.100000000000001" customHeight="1" x14ac:dyDescent="0.2">
      <c r="A320" s="18" t="s">
        <v>11064</v>
      </c>
      <c r="B320" s="19" t="s">
        <v>11065</v>
      </c>
      <c r="C320" s="19" t="s">
        <v>11066</v>
      </c>
      <c r="D320" s="8" t="s">
        <v>9035</v>
      </c>
      <c r="E320" s="20" t="s">
        <v>8998</v>
      </c>
      <c r="F320" s="20" t="s">
        <v>11067</v>
      </c>
      <c r="G320" s="20" t="s">
        <v>11068</v>
      </c>
      <c r="H320" s="31">
        <v>3253</v>
      </c>
      <c r="I320" s="20" t="s">
        <v>9019</v>
      </c>
      <c r="J320" s="20" t="s">
        <v>8953</v>
      </c>
      <c r="K320" s="20" t="s">
        <v>8989</v>
      </c>
      <c r="L320" s="21" t="s">
        <v>8955</v>
      </c>
      <c r="M320" s="20" t="s">
        <v>8956</v>
      </c>
      <c r="N320" s="20" t="s">
        <v>8959</v>
      </c>
      <c r="O320" s="20">
        <f t="shared" si="4"/>
        <v>9</v>
      </c>
      <c r="P320" s="22" t="s">
        <v>8975</v>
      </c>
      <c r="Q320" s="21" t="s">
        <v>9061</v>
      </c>
      <c r="R320" s="23" t="s">
        <v>9010</v>
      </c>
      <c r="S320" s="24" t="s">
        <v>11023</v>
      </c>
      <c r="T320" s="24" t="str">
        <f>VLOOKUP(R320,[1]Sheet3!$A$2:$A$47,1,0)</f>
        <v>the United States of America</v>
      </c>
      <c r="U320" s="24" t="s">
        <v>11069</v>
      </c>
      <c r="V320" s="24" t="s">
        <v>11070</v>
      </c>
      <c r="W320" s="18" t="s">
        <v>8964</v>
      </c>
      <c r="X320" s="26" t="s">
        <v>496</v>
      </c>
      <c r="Y320" s="18" t="s">
        <v>11026</v>
      </c>
      <c r="Z320" s="24" t="s">
        <v>11</v>
      </c>
    </row>
    <row r="321" spans="1:26" ht="20.100000000000001" customHeight="1" x14ac:dyDescent="0.2">
      <c r="A321" s="18" t="s">
        <v>11071</v>
      </c>
      <c r="B321" s="19" t="s">
        <v>11072</v>
      </c>
      <c r="C321" s="19" t="s">
        <v>11073</v>
      </c>
      <c r="D321" s="8" t="s">
        <v>10907</v>
      </c>
      <c r="E321" s="20" t="s">
        <v>9308</v>
      </c>
      <c r="F321" s="20" t="s">
        <v>9658</v>
      </c>
      <c r="G321" s="20" t="s">
        <v>9430</v>
      </c>
      <c r="H321" s="31">
        <v>1875</v>
      </c>
      <c r="I321" s="20" t="s">
        <v>8952</v>
      </c>
      <c r="J321" s="20" t="s">
        <v>8953</v>
      </c>
      <c r="K321" s="20" t="s">
        <v>8989</v>
      </c>
      <c r="L321" s="21" t="s">
        <v>8955</v>
      </c>
      <c r="M321" s="20" t="s">
        <v>8956</v>
      </c>
      <c r="N321" s="20" t="s">
        <v>8959</v>
      </c>
      <c r="O321" s="20">
        <f t="shared" si="4"/>
        <v>8</v>
      </c>
      <c r="P321" s="22" t="s">
        <v>8975</v>
      </c>
      <c r="Q321" s="21" t="s">
        <v>9183</v>
      </c>
      <c r="R321" s="23" t="s">
        <v>9310</v>
      </c>
      <c r="S321" s="24" t="s">
        <v>9768</v>
      </c>
      <c r="T321" s="24" t="str">
        <f>VLOOKUP(R321,[1]Sheet3!$A$2:$A$47,1,0)</f>
        <v>China</v>
      </c>
      <c r="U321" s="24" t="s">
        <v>11074</v>
      </c>
      <c r="V321" s="24" t="s">
        <v>11075</v>
      </c>
      <c r="W321" s="18" t="s">
        <v>8964</v>
      </c>
      <c r="X321" s="26" t="s">
        <v>147</v>
      </c>
      <c r="Y321" s="18" t="s">
        <v>9771</v>
      </c>
      <c r="Z321" s="24" t="s">
        <v>17</v>
      </c>
    </row>
    <row r="322" spans="1:26" ht="20.100000000000001" customHeight="1" x14ac:dyDescent="0.2">
      <c r="A322" s="26" t="s">
        <v>11076</v>
      </c>
      <c r="B322" s="28" t="s">
        <v>11077</v>
      </c>
      <c r="C322" s="28" t="s">
        <v>11078</v>
      </c>
      <c r="D322" s="8" t="s">
        <v>9049</v>
      </c>
      <c r="E322" s="35" t="s">
        <v>9050</v>
      </c>
      <c r="F322" s="35" t="s">
        <v>8950</v>
      </c>
      <c r="G322" s="35" t="s">
        <v>8951</v>
      </c>
      <c r="H322" s="50">
        <v>900</v>
      </c>
      <c r="I322" s="35" t="s">
        <v>9077</v>
      </c>
      <c r="J322" s="35" t="s">
        <v>9059</v>
      </c>
      <c r="K322" s="35" t="s">
        <v>8989</v>
      </c>
      <c r="L322" s="37" t="s">
        <v>8955</v>
      </c>
      <c r="M322" s="35" t="s">
        <v>8956</v>
      </c>
      <c r="N322" s="35" t="s">
        <v>8957</v>
      </c>
      <c r="O322" s="35">
        <f t="shared" ref="O322:O385" si="5">1+LEN(V322)-LEN(SUBSTITUTE(V322,";",))</f>
        <v>6</v>
      </c>
      <c r="P322" s="38" t="s">
        <v>8958</v>
      </c>
      <c r="Q322" s="37" t="s">
        <v>9183</v>
      </c>
      <c r="R322" s="39" t="s">
        <v>9113</v>
      </c>
      <c r="S322" s="26" t="s">
        <v>11079</v>
      </c>
      <c r="T322" s="24" t="str">
        <f>VLOOKUP(R322,[1]Sheet3!$A$2:$A$47,1,0)</f>
        <v>UK</v>
      </c>
      <c r="U322" s="26" t="s">
        <v>11080</v>
      </c>
      <c r="V322" s="26" t="s">
        <v>11081</v>
      </c>
      <c r="W322" s="26" t="s">
        <v>8964</v>
      </c>
      <c r="X322" s="26" t="s">
        <v>6084</v>
      </c>
      <c r="Y322" s="26" t="s">
        <v>11082</v>
      </c>
      <c r="Z322" s="26" t="s">
        <v>17</v>
      </c>
    </row>
    <row r="323" spans="1:26" ht="20.100000000000001" customHeight="1" x14ac:dyDescent="0.2">
      <c r="A323" s="18" t="s">
        <v>11083</v>
      </c>
      <c r="B323" s="19" t="s">
        <v>11084</v>
      </c>
      <c r="C323" s="19" t="s">
        <v>11085</v>
      </c>
      <c r="D323" s="8" t="s">
        <v>9049</v>
      </c>
      <c r="E323" s="20" t="s">
        <v>9050</v>
      </c>
      <c r="F323" s="20" t="s">
        <v>8950</v>
      </c>
      <c r="G323" s="20" t="s">
        <v>8951</v>
      </c>
      <c r="H323" s="31">
        <v>209</v>
      </c>
      <c r="I323" s="20" t="s">
        <v>9158</v>
      </c>
      <c r="J323" s="20" t="s">
        <v>8953</v>
      </c>
      <c r="K323" s="20" t="s">
        <v>8954</v>
      </c>
      <c r="L323" s="21" t="s">
        <v>8955</v>
      </c>
      <c r="M323" s="20" t="s">
        <v>8956</v>
      </c>
      <c r="N323" s="20" t="s">
        <v>8957</v>
      </c>
      <c r="O323" s="20">
        <f t="shared" si="5"/>
        <v>3</v>
      </c>
      <c r="P323" s="22" t="s">
        <v>9103</v>
      </c>
      <c r="Q323" s="21" t="s">
        <v>9183</v>
      </c>
      <c r="R323" s="23" t="s">
        <v>9176</v>
      </c>
      <c r="S323" s="24" t="s">
        <v>11086</v>
      </c>
      <c r="T323" s="24" t="str">
        <f>VLOOKUP(R323,[1]Sheet3!$A$2:$A$47,1,0)</f>
        <v>Australia</v>
      </c>
      <c r="U323" s="24" t="s">
        <v>11087</v>
      </c>
      <c r="V323" s="24" t="s">
        <v>11088</v>
      </c>
      <c r="W323" s="18" t="s">
        <v>8964</v>
      </c>
      <c r="X323" s="26" t="s">
        <v>3641</v>
      </c>
      <c r="Y323" s="18" t="s">
        <v>11089</v>
      </c>
      <c r="Z323" s="24" t="s">
        <v>11</v>
      </c>
    </row>
    <row r="324" spans="1:26" ht="20.100000000000001" customHeight="1" x14ac:dyDescent="0.2">
      <c r="A324" s="18" t="s">
        <v>11090</v>
      </c>
      <c r="B324" s="19" t="s">
        <v>11091</v>
      </c>
      <c r="C324" s="19" t="s">
        <v>11092</v>
      </c>
      <c r="D324" s="8" t="s">
        <v>9035</v>
      </c>
      <c r="E324" s="20" t="s">
        <v>11093</v>
      </c>
      <c r="F324" s="20" t="s">
        <v>11094</v>
      </c>
      <c r="G324" s="20" t="s">
        <v>8951</v>
      </c>
      <c r="H324" s="31">
        <v>158323</v>
      </c>
      <c r="I324" s="20" t="s">
        <v>9019</v>
      </c>
      <c r="J324" s="20" t="s">
        <v>8953</v>
      </c>
      <c r="K324" s="20" t="s">
        <v>8989</v>
      </c>
      <c r="L324" s="21" t="s">
        <v>8955</v>
      </c>
      <c r="M324" s="20" t="s">
        <v>8956</v>
      </c>
      <c r="N324" s="20" t="s">
        <v>8957</v>
      </c>
      <c r="O324" s="20">
        <f t="shared" si="5"/>
        <v>6</v>
      </c>
      <c r="P324" s="22" t="s">
        <v>8958</v>
      </c>
      <c r="Q324" s="21" t="s">
        <v>9061</v>
      </c>
      <c r="R324" s="23" t="s">
        <v>9010</v>
      </c>
      <c r="S324" s="24" t="s">
        <v>10411</v>
      </c>
      <c r="T324" s="24" t="str">
        <f>VLOOKUP(R324,[1]Sheet3!$A$2:$A$47,1,0)</f>
        <v>the United States of America</v>
      </c>
      <c r="U324" s="24" t="s">
        <v>11095</v>
      </c>
      <c r="V324" s="24" t="s">
        <v>11096</v>
      </c>
      <c r="W324" s="18" t="s">
        <v>8964</v>
      </c>
      <c r="X324" s="26" t="s">
        <v>771</v>
      </c>
      <c r="Y324" s="18" t="s">
        <v>10414</v>
      </c>
      <c r="Z324" s="24" t="s">
        <v>11</v>
      </c>
    </row>
    <row r="325" spans="1:26" ht="20.100000000000001" customHeight="1" x14ac:dyDescent="0.2">
      <c r="A325" s="18" t="s">
        <v>11097</v>
      </c>
      <c r="B325" s="19" t="s">
        <v>11098</v>
      </c>
      <c r="C325" s="19" t="s">
        <v>11099</v>
      </c>
      <c r="D325" s="8" t="s">
        <v>8948</v>
      </c>
      <c r="E325" s="20" t="s">
        <v>8949</v>
      </c>
      <c r="F325" s="20" t="s">
        <v>8950</v>
      </c>
      <c r="G325" s="20" t="s">
        <v>9292</v>
      </c>
      <c r="H325" s="31">
        <v>368</v>
      </c>
      <c r="I325" s="20" t="s">
        <v>8988</v>
      </c>
      <c r="J325" s="20" t="s">
        <v>8953</v>
      </c>
      <c r="K325" s="20" t="s">
        <v>8954</v>
      </c>
      <c r="L325" s="21" t="s">
        <v>8955</v>
      </c>
      <c r="M325" s="20" t="s">
        <v>8956</v>
      </c>
      <c r="N325" s="20" t="s">
        <v>8957</v>
      </c>
      <c r="O325" s="20">
        <f t="shared" si="5"/>
        <v>4</v>
      </c>
      <c r="P325" s="22" t="s">
        <v>8958</v>
      </c>
      <c r="Q325" s="21" t="s">
        <v>9183</v>
      </c>
      <c r="R325" s="23" t="s">
        <v>11100</v>
      </c>
      <c r="S325" s="24" t="s">
        <v>11101</v>
      </c>
      <c r="T325" s="24" t="str">
        <f>VLOOKUP(R325,[1]Sheet3!$A$2:$A$47,1,0)</f>
        <v>Hungary</v>
      </c>
      <c r="U325" s="24" t="s">
        <v>11102</v>
      </c>
      <c r="V325" s="24" t="s">
        <v>11103</v>
      </c>
      <c r="W325" s="18" t="s">
        <v>8964</v>
      </c>
      <c r="X325" s="26" t="s">
        <v>727</v>
      </c>
      <c r="Y325" s="18" t="s">
        <v>11104</v>
      </c>
      <c r="Z325" s="24" t="s">
        <v>11</v>
      </c>
    </row>
    <row r="326" spans="1:26" ht="20.100000000000001" customHeight="1" x14ac:dyDescent="0.2">
      <c r="A326" s="18" t="s">
        <v>11105</v>
      </c>
      <c r="B326" s="19" t="s">
        <v>11106</v>
      </c>
      <c r="C326" s="19" t="s">
        <v>11107</v>
      </c>
      <c r="D326" s="8" t="s">
        <v>11108</v>
      </c>
      <c r="E326" s="20" t="s">
        <v>8998</v>
      </c>
      <c r="F326" s="20" t="s">
        <v>8972</v>
      </c>
      <c r="G326" s="20" t="s">
        <v>8951</v>
      </c>
      <c r="H326" s="31">
        <v>888</v>
      </c>
      <c r="I326" s="20" t="s">
        <v>9077</v>
      </c>
      <c r="J326" s="20" t="s">
        <v>8953</v>
      </c>
      <c r="K326" s="20" t="s">
        <v>8989</v>
      </c>
      <c r="L326" s="21" t="s">
        <v>8955</v>
      </c>
      <c r="M326" s="20" t="s">
        <v>8956</v>
      </c>
      <c r="N326" s="20" t="s">
        <v>8957</v>
      </c>
      <c r="O326" s="20">
        <f t="shared" si="5"/>
        <v>9</v>
      </c>
      <c r="P326" s="22" t="s">
        <v>8975</v>
      </c>
      <c r="Q326" s="21" t="s">
        <v>9183</v>
      </c>
      <c r="R326" s="23" t="s">
        <v>9310</v>
      </c>
      <c r="S326" s="24" t="s">
        <v>9052</v>
      </c>
      <c r="T326" s="24" t="str">
        <f>VLOOKUP(R326,[1]Sheet3!$A$2:$A$47,1,0)</f>
        <v>China</v>
      </c>
      <c r="U326" s="24" t="s">
        <v>11109</v>
      </c>
      <c r="V326" s="24" t="s">
        <v>11110</v>
      </c>
      <c r="W326" s="18" t="s">
        <v>8964</v>
      </c>
      <c r="X326" s="26" t="s">
        <v>74</v>
      </c>
      <c r="Y326" s="18" t="s">
        <v>9055</v>
      </c>
      <c r="Z326" s="24" t="s">
        <v>11</v>
      </c>
    </row>
    <row r="327" spans="1:26" ht="20.100000000000001" customHeight="1" x14ac:dyDescent="0.2">
      <c r="A327" s="18" t="s">
        <v>11111</v>
      </c>
      <c r="B327" s="19" t="s">
        <v>11112</v>
      </c>
      <c r="C327" s="19" t="s">
        <v>11113</v>
      </c>
      <c r="D327" s="8" t="s">
        <v>9154</v>
      </c>
      <c r="E327" s="20" t="s">
        <v>8949</v>
      </c>
      <c r="F327" s="20" t="s">
        <v>11114</v>
      </c>
      <c r="G327" s="20" t="s">
        <v>9430</v>
      </c>
      <c r="H327" s="31">
        <v>850</v>
      </c>
      <c r="I327" s="20" t="s">
        <v>9077</v>
      </c>
      <c r="J327" s="20" t="s">
        <v>9059</v>
      </c>
      <c r="K327" s="20" t="s">
        <v>8954</v>
      </c>
      <c r="L327" s="21" t="s">
        <v>8955</v>
      </c>
      <c r="M327" s="20" t="s">
        <v>8956</v>
      </c>
      <c r="N327" s="20" t="s">
        <v>8959</v>
      </c>
      <c r="O327" s="20">
        <f t="shared" si="5"/>
        <v>3</v>
      </c>
      <c r="P327" s="22" t="s">
        <v>9103</v>
      </c>
      <c r="Q327" s="21" t="s">
        <v>9183</v>
      </c>
      <c r="R327" s="23" t="s">
        <v>9815</v>
      </c>
      <c r="S327" s="24" t="s">
        <v>8961</v>
      </c>
      <c r="T327" s="24" t="str">
        <f>VLOOKUP(R327,[1]Sheet3!$A$2:$A$47,1,0)</f>
        <v>India</v>
      </c>
      <c r="U327" s="24" t="s">
        <v>11115</v>
      </c>
      <c r="V327" s="24" t="s">
        <v>11116</v>
      </c>
      <c r="W327" s="18" t="s">
        <v>8964</v>
      </c>
      <c r="X327" s="26" t="s">
        <v>126</v>
      </c>
      <c r="Y327" s="18" t="s">
        <v>8966</v>
      </c>
      <c r="Z327" s="24" t="s">
        <v>17</v>
      </c>
    </row>
    <row r="328" spans="1:26" ht="20.100000000000001" customHeight="1" x14ac:dyDescent="0.2">
      <c r="A328" s="18" t="s">
        <v>11117</v>
      </c>
      <c r="B328" s="19" t="s">
        <v>11118</v>
      </c>
      <c r="C328" s="19" t="s">
        <v>11119</v>
      </c>
      <c r="D328" s="8" t="s">
        <v>8984</v>
      </c>
      <c r="E328" s="20" t="s">
        <v>9155</v>
      </c>
      <c r="F328" s="20" t="s">
        <v>8950</v>
      </c>
      <c r="G328" s="20" t="s">
        <v>8973</v>
      </c>
      <c r="H328" s="31">
        <v>69</v>
      </c>
      <c r="I328" s="20" t="s">
        <v>9008</v>
      </c>
      <c r="J328" s="20" t="s">
        <v>9059</v>
      </c>
      <c r="K328" s="20" t="s">
        <v>8989</v>
      </c>
      <c r="L328" s="21" t="s">
        <v>8955</v>
      </c>
      <c r="M328" s="20" t="s">
        <v>8956</v>
      </c>
      <c r="N328" s="20" t="s">
        <v>8957</v>
      </c>
      <c r="O328" s="20">
        <f t="shared" si="5"/>
        <v>4</v>
      </c>
      <c r="P328" s="22" t="s">
        <v>8958</v>
      </c>
      <c r="Q328" s="21" t="s">
        <v>9183</v>
      </c>
      <c r="R328" s="23" t="s">
        <v>9310</v>
      </c>
      <c r="S328" s="24" t="s">
        <v>9342</v>
      </c>
      <c r="T328" s="24" t="str">
        <f>VLOOKUP(R328,[1]Sheet3!$A$2:$A$47,1,0)</f>
        <v>China</v>
      </c>
      <c r="U328" s="24" t="s">
        <v>11120</v>
      </c>
      <c r="V328" s="24" t="s">
        <v>11121</v>
      </c>
      <c r="W328" s="18" t="s">
        <v>8964</v>
      </c>
      <c r="X328" s="26" t="s">
        <v>64</v>
      </c>
      <c r="Y328" s="18" t="s">
        <v>9345</v>
      </c>
      <c r="Z328" s="24" t="s">
        <v>17</v>
      </c>
    </row>
    <row r="329" spans="1:26" ht="20.100000000000001" customHeight="1" x14ac:dyDescent="0.2">
      <c r="A329" s="18" t="s">
        <v>11122</v>
      </c>
      <c r="B329" s="19" t="s">
        <v>11123</v>
      </c>
      <c r="C329" s="19" t="s">
        <v>11124</v>
      </c>
      <c r="D329" s="8" t="s">
        <v>9092</v>
      </c>
      <c r="E329" s="20" t="s">
        <v>11093</v>
      </c>
      <c r="F329" s="20" t="s">
        <v>9018</v>
      </c>
      <c r="G329" s="20" t="s">
        <v>9430</v>
      </c>
      <c r="H329" s="31">
        <v>21391</v>
      </c>
      <c r="I329" s="20" t="s">
        <v>9019</v>
      </c>
      <c r="J329" s="20" t="s">
        <v>8953</v>
      </c>
      <c r="K329" s="20" t="s">
        <v>8954</v>
      </c>
      <c r="L329" s="21" t="s">
        <v>8955</v>
      </c>
      <c r="M329" s="20" t="s">
        <v>8956</v>
      </c>
      <c r="N329" s="20" t="s">
        <v>8957</v>
      </c>
      <c r="O329" s="20">
        <f t="shared" si="5"/>
        <v>4</v>
      </c>
      <c r="P329" s="22" t="s">
        <v>8958</v>
      </c>
      <c r="Q329" s="21" t="s">
        <v>9183</v>
      </c>
      <c r="R329" s="23" t="s">
        <v>9310</v>
      </c>
      <c r="S329" s="24" t="s">
        <v>9496</v>
      </c>
      <c r="T329" s="24" t="str">
        <f>VLOOKUP(R329,[1]Sheet3!$A$2:$A$47,1,0)</f>
        <v>China</v>
      </c>
      <c r="U329" s="24" t="s">
        <v>11125</v>
      </c>
      <c r="V329" s="24" t="s">
        <v>11126</v>
      </c>
      <c r="W329" s="18" t="s">
        <v>8964</v>
      </c>
      <c r="X329" s="26" t="s">
        <v>97</v>
      </c>
      <c r="Y329" s="18" t="s">
        <v>9499</v>
      </c>
      <c r="Z329" s="24" t="s">
        <v>11</v>
      </c>
    </row>
    <row r="330" spans="1:26" ht="20.100000000000001" customHeight="1" x14ac:dyDescent="0.2">
      <c r="A330" s="18" t="s">
        <v>11127</v>
      </c>
      <c r="B330" s="19" t="s">
        <v>11128</v>
      </c>
      <c r="C330" s="19" t="s">
        <v>11129</v>
      </c>
      <c r="D330" s="8" t="s">
        <v>11130</v>
      </c>
      <c r="E330" s="20" t="s">
        <v>8949</v>
      </c>
      <c r="F330" s="20" t="s">
        <v>8950</v>
      </c>
      <c r="G330" s="20" t="s">
        <v>9292</v>
      </c>
      <c r="H330" s="31">
        <v>679</v>
      </c>
      <c r="I330" s="20" t="s">
        <v>9077</v>
      </c>
      <c r="J330" s="20" t="s">
        <v>8953</v>
      </c>
      <c r="K330" s="20" t="s">
        <v>8989</v>
      </c>
      <c r="L330" s="21" t="s">
        <v>8955</v>
      </c>
      <c r="M330" s="20" t="s">
        <v>8956</v>
      </c>
      <c r="N330" s="20" t="s">
        <v>8957</v>
      </c>
      <c r="O330" s="20">
        <f t="shared" si="5"/>
        <v>7</v>
      </c>
      <c r="P330" s="22" t="s">
        <v>8975</v>
      </c>
      <c r="Q330" s="21" t="s">
        <v>9183</v>
      </c>
      <c r="R330" s="23" t="s">
        <v>9010</v>
      </c>
      <c r="S330" s="24" t="s">
        <v>9342</v>
      </c>
      <c r="T330" s="24" t="str">
        <f>VLOOKUP(R330,[1]Sheet3!$A$2:$A$47,1,0)</f>
        <v>the United States of America</v>
      </c>
      <c r="U330" s="24" t="s">
        <v>11131</v>
      </c>
      <c r="V330" s="24" t="s">
        <v>11132</v>
      </c>
      <c r="W330" s="18" t="s">
        <v>8964</v>
      </c>
      <c r="X330" s="26" t="s">
        <v>64</v>
      </c>
      <c r="Y330" s="18" t="s">
        <v>9345</v>
      </c>
      <c r="Z330" s="24" t="s">
        <v>17</v>
      </c>
    </row>
    <row r="331" spans="1:26" ht="20.100000000000001" customHeight="1" x14ac:dyDescent="0.2">
      <c r="A331" s="18" t="s">
        <v>11133</v>
      </c>
      <c r="B331" s="19" t="s">
        <v>11134</v>
      </c>
      <c r="C331" s="19" t="s">
        <v>11135</v>
      </c>
      <c r="D331" s="8" t="s">
        <v>9092</v>
      </c>
      <c r="E331" s="20" t="s">
        <v>9308</v>
      </c>
      <c r="F331" s="20" t="s">
        <v>11136</v>
      </c>
      <c r="G331" s="20" t="s">
        <v>11137</v>
      </c>
      <c r="H331" s="31">
        <v>760</v>
      </c>
      <c r="I331" s="20" t="s">
        <v>9077</v>
      </c>
      <c r="J331" s="20" t="s">
        <v>8953</v>
      </c>
      <c r="K331" s="20" t="s">
        <v>8989</v>
      </c>
      <c r="L331" s="21" t="s">
        <v>8955</v>
      </c>
      <c r="M331" s="20" t="s">
        <v>8956</v>
      </c>
      <c r="N331" s="20" t="s">
        <v>8959</v>
      </c>
      <c r="O331" s="20">
        <f t="shared" si="5"/>
        <v>8</v>
      </c>
      <c r="P331" s="22" t="s">
        <v>8975</v>
      </c>
      <c r="Q331" s="21" t="s">
        <v>9061</v>
      </c>
      <c r="R331" s="23" t="s">
        <v>9333</v>
      </c>
      <c r="S331" s="24" t="s">
        <v>9796</v>
      </c>
      <c r="T331" s="24" t="str">
        <f>VLOOKUP(R331,[1]Sheet3!$A$2:$A$47,1,0)</f>
        <v>Japan</v>
      </c>
      <c r="U331" s="24" t="s">
        <v>11138</v>
      </c>
      <c r="V331" s="24" t="s">
        <v>11139</v>
      </c>
      <c r="W331" s="18" t="s">
        <v>8964</v>
      </c>
      <c r="X331" s="26" t="s">
        <v>2895</v>
      </c>
      <c r="Y331" s="18" t="s">
        <v>9799</v>
      </c>
      <c r="Z331" s="24" t="s">
        <v>17</v>
      </c>
    </row>
    <row r="332" spans="1:26" ht="20.100000000000001" customHeight="1" x14ac:dyDescent="0.2">
      <c r="A332" s="18" t="s">
        <v>11140</v>
      </c>
      <c r="B332" s="19" t="s">
        <v>11141</v>
      </c>
      <c r="C332" s="19" t="s">
        <v>11142</v>
      </c>
      <c r="D332" s="8" t="s">
        <v>8984</v>
      </c>
      <c r="E332" s="33" t="s">
        <v>9422</v>
      </c>
      <c r="F332" s="20" t="s">
        <v>11143</v>
      </c>
      <c r="G332" s="20" t="s">
        <v>9292</v>
      </c>
      <c r="H332" s="31">
        <v>100</v>
      </c>
      <c r="I332" s="20" t="s">
        <v>9008</v>
      </c>
      <c r="J332" s="20" t="s">
        <v>8953</v>
      </c>
      <c r="K332" s="20" t="s">
        <v>8989</v>
      </c>
      <c r="L332" s="21" t="s">
        <v>8955</v>
      </c>
      <c r="M332" s="20" t="s">
        <v>8956</v>
      </c>
      <c r="N332" s="20" t="s">
        <v>9060</v>
      </c>
      <c r="O332" s="20">
        <f t="shared" si="5"/>
        <v>14</v>
      </c>
      <c r="P332" s="22" t="s">
        <v>8975</v>
      </c>
      <c r="Q332" s="21" t="s">
        <v>9061</v>
      </c>
      <c r="R332" s="23" t="s">
        <v>10850</v>
      </c>
      <c r="S332" s="24" t="s">
        <v>9255</v>
      </c>
      <c r="T332" s="24" t="str">
        <f>VLOOKUP(R332,[1]Sheet3!$A$2:$A$47,1,0)</f>
        <v>Singapore</v>
      </c>
      <c r="U332" s="24" t="s">
        <v>11144</v>
      </c>
      <c r="V332" s="24" t="s">
        <v>11145</v>
      </c>
      <c r="W332" s="18" t="s">
        <v>8964</v>
      </c>
      <c r="X332" s="26" t="s">
        <v>24</v>
      </c>
      <c r="Y332" s="18" t="s">
        <v>9258</v>
      </c>
      <c r="Z332" s="24" t="s">
        <v>11</v>
      </c>
    </row>
    <row r="333" spans="1:26" ht="20.100000000000001" customHeight="1" x14ac:dyDescent="0.2">
      <c r="A333" s="18" t="s">
        <v>11146</v>
      </c>
      <c r="B333" s="19" t="s">
        <v>11147</v>
      </c>
      <c r="C333" s="19" t="s">
        <v>11148</v>
      </c>
      <c r="D333" s="8" t="s">
        <v>9252</v>
      </c>
      <c r="E333" s="20" t="s">
        <v>8971</v>
      </c>
      <c r="F333" s="20" t="s">
        <v>9918</v>
      </c>
      <c r="G333" s="20" t="s">
        <v>8973</v>
      </c>
      <c r="H333" s="31">
        <v>1570</v>
      </c>
      <c r="I333" s="20" t="s">
        <v>8952</v>
      </c>
      <c r="J333" s="20" t="s">
        <v>8953</v>
      </c>
      <c r="K333" s="20" t="s">
        <v>8989</v>
      </c>
      <c r="L333" s="21" t="s">
        <v>11149</v>
      </c>
      <c r="M333" s="20" t="s">
        <v>8956</v>
      </c>
      <c r="N333" s="20" t="s">
        <v>8957</v>
      </c>
      <c r="O333" s="20">
        <f t="shared" si="5"/>
        <v>7</v>
      </c>
      <c r="P333" s="22" t="s">
        <v>8958</v>
      </c>
      <c r="Q333" s="21" t="s">
        <v>9183</v>
      </c>
      <c r="R333" s="23" t="s">
        <v>9310</v>
      </c>
      <c r="S333" s="24" t="s">
        <v>9011</v>
      </c>
      <c r="T333" s="24" t="str">
        <f>VLOOKUP(R333,[1]Sheet3!$A$2:$A$47,1,0)</f>
        <v>China</v>
      </c>
      <c r="U333" s="24" t="s">
        <v>11150</v>
      </c>
      <c r="V333" s="24" t="s">
        <v>11151</v>
      </c>
      <c r="W333" s="18" t="s">
        <v>8964</v>
      </c>
      <c r="X333" s="26" t="s">
        <v>93</v>
      </c>
      <c r="Y333" s="18" t="s">
        <v>9014</v>
      </c>
      <c r="Z333" s="24" t="s">
        <v>17</v>
      </c>
    </row>
    <row r="334" spans="1:26" ht="20.100000000000001" customHeight="1" x14ac:dyDescent="0.2">
      <c r="B334" s="19" t="s">
        <v>11152</v>
      </c>
      <c r="C334" s="19" t="s">
        <v>11153</v>
      </c>
      <c r="D334" s="8" t="s">
        <v>8984</v>
      </c>
      <c r="E334" s="20" t="s">
        <v>8998</v>
      </c>
      <c r="F334" s="20" t="s">
        <v>8950</v>
      </c>
      <c r="G334" s="20" t="s">
        <v>9133</v>
      </c>
      <c r="H334" s="31">
        <v>200000</v>
      </c>
      <c r="I334" s="20" t="s">
        <v>9019</v>
      </c>
      <c r="J334" s="20" t="s">
        <v>8953</v>
      </c>
      <c r="K334" s="20" t="s">
        <v>8989</v>
      </c>
      <c r="L334" s="21" t="s">
        <v>8955</v>
      </c>
      <c r="M334" s="20" t="s">
        <v>8956</v>
      </c>
      <c r="N334" s="20" t="s">
        <v>8957</v>
      </c>
      <c r="O334" s="20">
        <f t="shared" si="5"/>
        <v>1</v>
      </c>
      <c r="P334" s="22" t="s">
        <v>9103</v>
      </c>
      <c r="Q334" s="21" t="s">
        <v>9061</v>
      </c>
      <c r="R334" s="23" t="s">
        <v>8991</v>
      </c>
      <c r="S334" s="24" t="s">
        <v>11154</v>
      </c>
      <c r="T334" s="24" t="str">
        <f>VLOOKUP(R334,[1]Sheet3!$A$2:$A$47,1,0)</f>
        <v>China</v>
      </c>
      <c r="U334" s="24" t="s">
        <v>11155</v>
      </c>
      <c r="V334" s="24" t="s">
        <v>11156</v>
      </c>
      <c r="W334" s="18" t="s">
        <v>4457</v>
      </c>
      <c r="X334" s="26" t="s">
        <v>4304</v>
      </c>
      <c r="Y334" s="18" t="s">
        <v>11157</v>
      </c>
      <c r="Z334" s="24" t="s">
        <v>11</v>
      </c>
    </row>
    <row r="335" spans="1:26" ht="20.100000000000001" customHeight="1" x14ac:dyDescent="0.2">
      <c r="A335" s="18" t="s">
        <v>11158</v>
      </c>
      <c r="B335" s="19" t="s">
        <v>11159</v>
      </c>
      <c r="C335" s="19" t="s">
        <v>11160</v>
      </c>
      <c r="D335" s="8" t="s">
        <v>9252</v>
      </c>
      <c r="E335" s="20" t="s">
        <v>9253</v>
      </c>
      <c r="F335" s="20" t="s">
        <v>9658</v>
      </c>
      <c r="G335" s="20" t="s">
        <v>8987</v>
      </c>
      <c r="H335" s="31">
        <v>129</v>
      </c>
      <c r="I335" s="20" t="s">
        <v>9158</v>
      </c>
      <c r="J335" s="20" t="s">
        <v>8953</v>
      </c>
      <c r="K335" s="20" t="s">
        <v>8989</v>
      </c>
      <c r="L335" s="21" t="s">
        <v>8955</v>
      </c>
      <c r="M335" s="20" t="s">
        <v>8956</v>
      </c>
      <c r="N335" s="20" t="s">
        <v>8959</v>
      </c>
      <c r="O335" s="20">
        <f t="shared" si="5"/>
        <v>6</v>
      </c>
      <c r="P335" s="22" t="s">
        <v>8958</v>
      </c>
      <c r="Q335" s="21" t="s">
        <v>11161</v>
      </c>
      <c r="R335" s="23" t="s">
        <v>11162</v>
      </c>
      <c r="S335" s="24" t="s">
        <v>9342</v>
      </c>
      <c r="T335" s="24" t="str">
        <f>VLOOKUP(R335,[1]Sheet3!$A$2:$A$47,1,0)</f>
        <v>Israel</v>
      </c>
      <c r="U335" s="24" t="s">
        <v>11163</v>
      </c>
      <c r="V335" s="24" t="s">
        <v>11164</v>
      </c>
      <c r="W335" s="18" t="s">
        <v>8964</v>
      </c>
      <c r="X335" s="26" t="s">
        <v>64</v>
      </c>
      <c r="Y335" s="18" t="s">
        <v>9345</v>
      </c>
      <c r="Z335" s="24" t="s">
        <v>17</v>
      </c>
    </row>
    <row r="336" spans="1:26" ht="20.100000000000001" customHeight="1" x14ac:dyDescent="0.2">
      <c r="A336" s="18" t="s">
        <v>11165</v>
      </c>
      <c r="B336" s="19" t="s">
        <v>11166</v>
      </c>
      <c r="C336" s="19" t="s">
        <v>11167</v>
      </c>
      <c r="D336" s="8" t="s">
        <v>8948</v>
      </c>
      <c r="E336" s="20" t="s">
        <v>8949</v>
      </c>
      <c r="F336" s="20" t="s">
        <v>9510</v>
      </c>
      <c r="G336" s="20" t="s">
        <v>9464</v>
      </c>
      <c r="H336" s="31">
        <v>10</v>
      </c>
      <c r="I336" s="20" t="s">
        <v>9008</v>
      </c>
      <c r="J336" s="20" t="s">
        <v>9059</v>
      </c>
      <c r="K336" s="20" t="s">
        <v>8989</v>
      </c>
      <c r="L336" s="21" t="s">
        <v>8955</v>
      </c>
      <c r="M336" s="20" t="s">
        <v>8956</v>
      </c>
      <c r="N336" s="20" t="s">
        <v>8957</v>
      </c>
      <c r="O336" s="20">
        <f t="shared" si="5"/>
        <v>3</v>
      </c>
      <c r="P336" s="22" t="s">
        <v>9103</v>
      </c>
      <c r="Q336" s="21" t="s">
        <v>9061</v>
      </c>
      <c r="R336" s="23" t="s">
        <v>9213</v>
      </c>
      <c r="S336" s="24" t="s">
        <v>9711</v>
      </c>
      <c r="T336" s="24" t="str">
        <f>VLOOKUP(R336,[1]Sheet3!$A$2:$A$47,1,0)</f>
        <v>South Korea</v>
      </c>
      <c r="U336" s="24" t="s">
        <v>11168</v>
      </c>
      <c r="V336" s="24" t="s">
        <v>11169</v>
      </c>
      <c r="W336" s="18" t="s">
        <v>8964</v>
      </c>
      <c r="X336" s="26" t="s">
        <v>392</v>
      </c>
      <c r="Y336" s="18" t="s">
        <v>9714</v>
      </c>
      <c r="Z336" s="24" t="s">
        <v>17</v>
      </c>
    </row>
    <row r="337" spans="1:26" ht="20.100000000000001" customHeight="1" x14ac:dyDescent="0.2">
      <c r="A337" s="18" t="s">
        <v>11170</v>
      </c>
      <c r="B337" s="19" t="s">
        <v>11171</v>
      </c>
      <c r="C337" s="19" t="s">
        <v>11172</v>
      </c>
      <c r="D337" s="8" t="s">
        <v>9100</v>
      </c>
      <c r="E337" s="20" t="s">
        <v>8998</v>
      </c>
      <c r="F337" s="20" t="s">
        <v>11173</v>
      </c>
      <c r="G337" s="20" t="s">
        <v>9076</v>
      </c>
      <c r="H337" s="31">
        <v>4682</v>
      </c>
      <c r="I337" s="20" t="s">
        <v>9019</v>
      </c>
      <c r="J337" s="20" t="s">
        <v>8953</v>
      </c>
      <c r="K337" s="20" t="s">
        <v>8989</v>
      </c>
      <c r="L337" s="21" t="s">
        <v>8955</v>
      </c>
      <c r="M337" s="20" t="s">
        <v>8956</v>
      </c>
      <c r="N337" s="20" t="s">
        <v>8957</v>
      </c>
      <c r="O337" s="20">
        <f t="shared" si="5"/>
        <v>3</v>
      </c>
      <c r="P337" s="22" t="s">
        <v>9103</v>
      </c>
      <c r="Q337" s="21" t="s">
        <v>9061</v>
      </c>
      <c r="R337" s="23" t="s">
        <v>9213</v>
      </c>
      <c r="S337" s="24" t="s">
        <v>9011</v>
      </c>
      <c r="T337" s="24" t="str">
        <f>VLOOKUP(R337,[1]Sheet3!$A$2:$A$47,1,0)</f>
        <v>South Korea</v>
      </c>
      <c r="U337" s="24" t="s">
        <v>11174</v>
      </c>
      <c r="V337" s="24" t="s">
        <v>11175</v>
      </c>
      <c r="W337" s="18" t="s">
        <v>8964</v>
      </c>
      <c r="X337" s="26" t="s">
        <v>93</v>
      </c>
      <c r="Y337" s="18" t="s">
        <v>9014</v>
      </c>
      <c r="Z337" s="24" t="s">
        <v>17</v>
      </c>
    </row>
    <row r="338" spans="1:26" ht="20.100000000000001" customHeight="1" x14ac:dyDescent="0.2">
      <c r="A338" s="18" t="s">
        <v>11176</v>
      </c>
      <c r="B338" s="19" t="s">
        <v>11177</v>
      </c>
      <c r="C338" s="19" t="s">
        <v>11178</v>
      </c>
      <c r="D338" s="8" t="s">
        <v>9154</v>
      </c>
      <c r="E338" s="33" t="s">
        <v>8971</v>
      </c>
      <c r="F338" s="20" t="s">
        <v>8950</v>
      </c>
      <c r="G338" s="20" t="s">
        <v>9133</v>
      </c>
      <c r="H338" s="31">
        <v>7168</v>
      </c>
      <c r="I338" s="20" t="s">
        <v>9019</v>
      </c>
      <c r="J338" s="20" t="s">
        <v>8953</v>
      </c>
      <c r="K338" s="20" t="s">
        <v>8954</v>
      </c>
      <c r="L338" s="21" t="s">
        <v>8955</v>
      </c>
      <c r="M338" s="20" t="s">
        <v>8956</v>
      </c>
      <c r="N338" s="20" t="s">
        <v>8957</v>
      </c>
      <c r="O338" s="20">
        <f t="shared" si="5"/>
        <v>16</v>
      </c>
      <c r="P338" s="22" t="s">
        <v>8975</v>
      </c>
      <c r="Q338" s="21" t="s">
        <v>9183</v>
      </c>
      <c r="R338" s="23" t="s">
        <v>9010</v>
      </c>
      <c r="S338" s="24" t="s">
        <v>8515</v>
      </c>
      <c r="T338" s="24" t="str">
        <f>VLOOKUP(R338,[1]Sheet3!$A$2:$A$47,1,0)</f>
        <v>the United States of America</v>
      </c>
      <c r="U338" s="24" t="s">
        <v>11179</v>
      </c>
      <c r="V338" s="24" t="s">
        <v>11180</v>
      </c>
      <c r="W338" s="18" t="s">
        <v>8964</v>
      </c>
      <c r="X338" s="26" t="s">
        <v>8515</v>
      </c>
      <c r="Y338" s="18" t="s">
        <v>11181</v>
      </c>
      <c r="Z338" s="24" t="s">
        <v>11</v>
      </c>
    </row>
    <row r="339" spans="1:26" ht="20.100000000000001" customHeight="1" x14ac:dyDescent="0.2">
      <c r="A339" s="18" t="s">
        <v>11182</v>
      </c>
      <c r="B339" s="19" t="s">
        <v>11183</v>
      </c>
      <c r="C339" s="19" t="s">
        <v>11184</v>
      </c>
      <c r="D339" s="8" t="s">
        <v>9605</v>
      </c>
      <c r="E339" s="20" t="s">
        <v>8949</v>
      </c>
      <c r="F339" s="20" t="s">
        <v>8950</v>
      </c>
      <c r="G339" s="20" t="s">
        <v>8951</v>
      </c>
      <c r="H339" s="31">
        <v>950</v>
      </c>
      <c r="I339" s="20" t="s">
        <v>9077</v>
      </c>
      <c r="J339" s="20" t="s">
        <v>8953</v>
      </c>
      <c r="K339" s="20" t="s">
        <v>8954</v>
      </c>
      <c r="L339" s="21" t="s">
        <v>8955</v>
      </c>
      <c r="M339" s="20" t="s">
        <v>8956</v>
      </c>
      <c r="N339" s="20" t="s">
        <v>8957</v>
      </c>
      <c r="O339" s="20">
        <f t="shared" si="5"/>
        <v>3</v>
      </c>
      <c r="P339" s="22" t="s">
        <v>9103</v>
      </c>
      <c r="Q339" s="21" t="s">
        <v>9061</v>
      </c>
      <c r="R339" s="23" t="s">
        <v>10049</v>
      </c>
      <c r="S339" s="24" t="s">
        <v>11185</v>
      </c>
      <c r="T339" s="24" t="str">
        <f>VLOOKUP(R339,[1]Sheet3!$A$2:$A$47,1,0)</f>
        <v>Italy</v>
      </c>
      <c r="U339" s="24" t="s">
        <v>11186</v>
      </c>
      <c r="V339" s="24" t="s">
        <v>11187</v>
      </c>
      <c r="W339" s="18" t="s">
        <v>8964</v>
      </c>
      <c r="X339" s="26" t="s">
        <v>640</v>
      </c>
      <c r="Y339" s="18" t="s">
        <v>11188</v>
      </c>
      <c r="Z339" s="24" t="s">
        <v>11</v>
      </c>
    </row>
    <row r="340" spans="1:26" ht="20.100000000000001" customHeight="1" x14ac:dyDescent="0.2">
      <c r="A340" s="18" t="s">
        <v>11189</v>
      </c>
      <c r="B340" s="19" t="s">
        <v>11190</v>
      </c>
      <c r="C340" s="19" t="s">
        <v>11191</v>
      </c>
      <c r="D340" s="8" t="s">
        <v>9100</v>
      </c>
      <c r="E340" s="20" t="s">
        <v>11093</v>
      </c>
      <c r="F340" s="20" t="s">
        <v>8950</v>
      </c>
      <c r="G340" s="20" t="s">
        <v>8987</v>
      </c>
      <c r="H340" s="31">
        <v>342</v>
      </c>
      <c r="I340" s="20" t="s">
        <v>8988</v>
      </c>
      <c r="J340" s="20" t="s">
        <v>8953</v>
      </c>
      <c r="K340" s="20" t="s">
        <v>8989</v>
      </c>
      <c r="L340" s="21" t="s">
        <v>8955</v>
      </c>
      <c r="M340" s="20" t="s">
        <v>8956</v>
      </c>
      <c r="N340" s="20" t="s">
        <v>8957</v>
      </c>
      <c r="O340" s="20">
        <f t="shared" si="5"/>
        <v>6</v>
      </c>
      <c r="P340" s="22" t="s">
        <v>8958</v>
      </c>
      <c r="Q340" s="21" t="s">
        <v>9009</v>
      </c>
      <c r="R340" s="23" t="s">
        <v>10166</v>
      </c>
      <c r="S340" s="24" t="s">
        <v>9853</v>
      </c>
      <c r="T340" s="24" t="str">
        <f>VLOOKUP(R340,[1]Sheet3!$A$2:$A$47,1,0)</f>
        <v>SaudiArabia</v>
      </c>
      <c r="U340" s="24" t="s">
        <v>11192</v>
      </c>
      <c r="V340" s="24" t="s">
        <v>11193</v>
      </c>
      <c r="W340" s="18" t="s">
        <v>8964</v>
      </c>
      <c r="X340" s="26" t="s">
        <v>3167</v>
      </c>
      <c r="Y340" s="18" t="s">
        <v>9856</v>
      </c>
      <c r="Z340" s="24" t="s">
        <v>11</v>
      </c>
    </row>
    <row r="341" spans="1:26" ht="20.100000000000001" customHeight="1" x14ac:dyDescent="0.2">
      <c r="A341" s="18" t="s">
        <v>11194</v>
      </c>
      <c r="B341" s="19" t="s">
        <v>11195</v>
      </c>
      <c r="C341" s="19" t="s">
        <v>11196</v>
      </c>
      <c r="D341" s="8" t="s">
        <v>8948</v>
      </c>
      <c r="E341" s="20" t="s">
        <v>8949</v>
      </c>
      <c r="F341" s="20" t="s">
        <v>8950</v>
      </c>
      <c r="G341" s="20" t="s">
        <v>8987</v>
      </c>
      <c r="H341" s="31">
        <v>748</v>
      </c>
      <c r="I341" s="20" t="s">
        <v>9077</v>
      </c>
      <c r="J341" s="20" t="s">
        <v>9059</v>
      </c>
      <c r="K341" s="20" t="s">
        <v>8954</v>
      </c>
      <c r="L341" s="21" t="s">
        <v>8955</v>
      </c>
      <c r="M341" s="20" t="s">
        <v>8956</v>
      </c>
      <c r="N341" s="20" t="s">
        <v>9060</v>
      </c>
      <c r="O341" s="20">
        <f t="shared" si="5"/>
        <v>11</v>
      </c>
      <c r="P341" s="22" t="s">
        <v>8975</v>
      </c>
      <c r="Q341" s="21" t="s">
        <v>9183</v>
      </c>
      <c r="R341" s="23" t="s">
        <v>9356</v>
      </c>
      <c r="S341" s="24" t="s">
        <v>180</v>
      </c>
      <c r="T341" s="24" t="str">
        <f>VLOOKUP(R341,[1]Sheet3!$A$2:$A$47,1,0)</f>
        <v>Japan</v>
      </c>
      <c r="U341" s="24" t="s">
        <v>11197</v>
      </c>
      <c r="V341" s="24" t="s">
        <v>11198</v>
      </c>
      <c r="W341" s="18" t="s">
        <v>8964</v>
      </c>
      <c r="X341" s="26" t="s">
        <v>180</v>
      </c>
      <c r="Y341" s="18" t="s">
        <v>11199</v>
      </c>
      <c r="Z341" s="24" t="s">
        <v>17</v>
      </c>
    </row>
    <row r="342" spans="1:26" ht="20.100000000000001" customHeight="1" x14ac:dyDescent="0.2">
      <c r="A342" s="18" t="s">
        <v>11200</v>
      </c>
      <c r="B342" s="19" t="s">
        <v>11201</v>
      </c>
      <c r="C342" s="19" t="s">
        <v>11202</v>
      </c>
      <c r="D342" s="8" t="s">
        <v>9049</v>
      </c>
      <c r="E342" s="20" t="s">
        <v>9325</v>
      </c>
      <c r="F342" s="20" t="s">
        <v>11203</v>
      </c>
      <c r="G342" s="20" t="s">
        <v>9133</v>
      </c>
      <c r="H342" s="31">
        <v>3000</v>
      </c>
      <c r="I342" s="20" t="s">
        <v>8952</v>
      </c>
      <c r="J342" s="20" t="s">
        <v>8953</v>
      </c>
      <c r="K342" s="20" t="s">
        <v>8989</v>
      </c>
      <c r="L342" s="21" t="s">
        <v>9182</v>
      </c>
      <c r="M342" s="20" t="s">
        <v>8956</v>
      </c>
      <c r="N342" s="20" t="s">
        <v>8959</v>
      </c>
      <c r="O342" s="20">
        <f t="shared" si="5"/>
        <v>6</v>
      </c>
      <c r="P342" s="22" t="s">
        <v>8958</v>
      </c>
      <c r="Q342" s="21" t="s">
        <v>9183</v>
      </c>
      <c r="R342" s="23" t="s">
        <v>9213</v>
      </c>
      <c r="S342" s="24" t="s">
        <v>11007</v>
      </c>
      <c r="T342" s="24" t="str">
        <f>VLOOKUP(R342,[1]Sheet3!$A$2:$A$47,1,0)</f>
        <v>South Korea</v>
      </c>
      <c r="U342" s="24" t="s">
        <v>11204</v>
      </c>
      <c r="V342" s="24" t="s">
        <v>11205</v>
      </c>
      <c r="W342" s="18" t="s">
        <v>8964</v>
      </c>
      <c r="X342" s="26" t="s">
        <v>5</v>
      </c>
      <c r="Y342" s="18" t="s">
        <v>11010</v>
      </c>
      <c r="Z342" s="24" t="s">
        <v>17</v>
      </c>
    </row>
    <row r="343" spans="1:26" ht="20.100000000000001" customHeight="1" x14ac:dyDescent="0.2">
      <c r="A343" s="18" t="s">
        <v>11206</v>
      </c>
      <c r="B343" s="19" t="s">
        <v>11207</v>
      </c>
      <c r="C343" s="19" t="s">
        <v>11208</v>
      </c>
      <c r="D343" s="8" t="s">
        <v>9092</v>
      </c>
      <c r="E343" s="20" t="s">
        <v>11093</v>
      </c>
      <c r="F343" s="20" t="s">
        <v>8950</v>
      </c>
      <c r="G343" s="20" t="s">
        <v>8951</v>
      </c>
      <c r="H343" s="31">
        <v>135409</v>
      </c>
      <c r="I343" s="20" t="s">
        <v>9019</v>
      </c>
      <c r="J343" s="20" t="s">
        <v>8953</v>
      </c>
      <c r="K343" s="20" t="s">
        <v>8954</v>
      </c>
      <c r="L343" s="21" t="s">
        <v>8955</v>
      </c>
      <c r="M343" s="20" t="s">
        <v>8956</v>
      </c>
      <c r="N343" s="20" t="s">
        <v>8974</v>
      </c>
      <c r="O343" s="20">
        <f t="shared" si="5"/>
        <v>11</v>
      </c>
      <c r="P343" s="22" t="s">
        <v>8975</v>
      </c>
      <c r="Q343" s="21" t="s">
        <v>9183</v>
      </c>
      <c r="R343" s="23" t="s">
        <v>9010</v>
      </c>
      <c r="S343" s="24" t="s">
        <v>11209</v>
      </c>
      <c r="T343" s="24" t="str">
        <f>VLOOKUP(R343,[1]Sheet3!$A$2:$A$47,1,0)</f>
        <v>the United States of America</v>
      </c>
      <c r="U343" s="24" t="s">
        <v>11210</v>
      </c>
      <c r="V343" s="24" t="s">
        <v>11211</v>
      </c>
      <c r="W343" s="18" t="s">
        <v>8964</v>
      </c>
      <c r="X343" s="26" t="s">
        <v>2121</v>
      </c>
      <c r="Y343" s="18" t="s">
        <v>11212</v>
      </c>
      <c r="Z343" s="24" t="s">
        <v>11</v>
      </c>
    </row>
    <row r="344" spans="1:26" ht="20.100000000000001" customHeight="1" x14ac:dyDescent="0.2">
      <c r="A344" s="18" t="s">
        <v>11213</v>
      </c>
      <c r="B344" s="19" t="s">
        <v>11214</v>
      </c>
      <c r="C344" s="19" t="s">
        <v>11215</v>
      </c>
      <c r="D344" s="8" t="s">
        <v>9100</v>
      </c>
      <c r="E344" s="20" t="s">
        <v>8949</v>
      </c>
      <c r="F344" s="20" t="s">
        <v>11216</v>
      </c>
      <c r="G344" s="20" t="s">
        <v>8987</v>
      </c>
      <c r="H344" s="31">
        <v>80</v>
      </c>
      <c r="I344" s="20" t="s">
        <v>9008</v>
      </c>
      <c r="J344" s="20" t="s">
        <v>9059</v>
      </c>
      <c r="K344" s="20" t="s">
        <v>8954</v>
      </c>
      <c r="L344" s="21" t="s">
        <v>8955</v>
      </c>
      <c r="M344" s="20" t="s">
        <v>8956</v>
      </c>
      <c r="N344" s="20" t="s">
        <v>8957</v>
      </c>
      <c r="O344" s="20">
        <f t="shared" si="5"/>
        <v>4</v>
      </c>
      <c r="P344" s="22" t="s">
        <v>8958</v>
      </c>
      <c r="Q344" s="21" t="s">
        <v>9183</v>
      </c>
      <c r="R344" s="23" t="s">
        <v>10049</v>
      </c>
      <c r="S344" s="24" t="s">
        <v>11217</v>
      </c>
      <c r="T344" s="24" t="str">
        <f>VLOOKUP(R344,[1]Sheet3!$A$2:$A$47,1,0)</f>
        <v>Italy</v>
      </c>
      <c r="U344" s="24" t="s">
        <v>11218</v>
      </c>
      <c r="V344" s="24" t="s">
        <v>11219</v>
      </c>
      <c r="W344" s="18" t="s">
        <v>8964</v>
      </c>
      <c r="X344" s="26" t="s">
        <v>616</v>
      </c>
      <c r="Y344" s="18" t="s">
        <v>11220</v>
      </c>
      <c r="Z344" s="24" t="s">
        <v>11</v>
      </c>
    </row>
    <row r="345" spans="1:26" ht="20.100000000000001" customHeight="1" x14ac:dyDescent="0.2">
      <c r="A345" s="18" t="s">
        <v>11221</v>
      </c>
      <c r="B345" s="19" t="s">
        <v>11222</v>
      </c>
      <c r="C345" s="19" t="s">
        <v>11223</v>
      </c>
      <c r="D345" s="8" t="s">
        <v>9075</v>
      </c>
      <c r="E345" s="20" t="s">
        <v>8949</v>
      </c>
      <c r="F345" s="20" t="s">
        <v>9436</v>
      </c>
      <c r="G345" s="20" t="s">
        <v>8973</v>
      </c>
      <c r="H345" s="31">
        <v>70</v>
      </c>
      <c r="I345" s="20" t="s">
        <v>9008</v>
      </c>
      <c r="J345" s="20" t="s">
        <v>9059</v>
      </c>
      <c r="K345" s="20" t="s">
        <v>8989</v>
      </c>
      <c r="L345" s="21" t="s">
        <v>8955</v>
      </c>
      <c r="M345" s="20" t="s">
        <v>8990</v>
      </c>
      <c r="N345" s="20" t="s">
        <v>8959</v>
      </c>
      <c r="O345" s="20">
        <f t="shared" si="5"/>
        <v>4</v>
      </c>
      <c r="P345" s="22" t="s">
        <v>8958</v>
      </c>
      <c r="Q345" s="21" t="s">
        <v>9183</v>
      </c>
      <c r="R345" s="23" t="s">
        <v>8991</v>
      </c>
      <c r="S345" s="24" t="s">
        <v>11224</v>
      </c>
      <c r="T345" s="24" t="str">
        <f>VLOOKUP(R345,[1]Sheet3!$A$2:$A$47,1,0)</f>
        <v>China</v>
      </c>
      <c r="U345" s="24" t="s">
        <v>11225</v>
      </c>
      <c r="V345" s="24" t="s">
        <v>11226</v>
      </c>
      <c r="W345" s="18" t="s">
        <v>8964</v>
      </c>
      <c r="X345" s="26" t="s">
        <v>1050</v>
      </c>
      <c r="Y345" s="18" t="s">
        <v>11227</v>
      </c>
      <c r="Z345" s="24" t="s">
        <v>11</v>
      </c>
    </row>
    <row r="346" spans="1:26" ht="20.100000000000001" customHeight="1" x14ac:dyDescent="0.2">
      <c r="A346" s="18" t="s">
        <v>11228</v>
      </c>
      <c r="B346" s="19" t="s">
        <v>11229</v>
      </c>
      <c r="C346" s="19" t="s">
        <v>11230</v>
      </c>
      <c r="D346" s="8" t="s">
        <v>9154</v>
      </c>
      <c r="E346" s="20" t="s">
        <v>11231</v>
      </c>
      <c r="F346" s="20" t="s">
        <v>11232</v>
      </c>
      <c r="G346" s="20" t="s">
        <v>8987</v>
      </c>
      <c r="H346" s="31">
        <v>1598</v>
      </c>
      <c r="I346" s="20" t="s">
        <v>8952</v>
      </c>
      <c r="J346" s="20" t="s">
        <v>8953</v>
      </c>
      <c r="K346" s="20" t="s">
        <v>8989</v>
      </c>
      <c r="L346" s="21" t="s">
        <v>8955</v>
      </c>
      <c r="M346" s="20" t="s">
        <v>8956</v>
      </c>
      <c r="N346" s="20" t="s">
        <v>8957</v>
      </c>
      <c r="O346" s="20">
        <f t="shared" si="5"/>
        <v>4</v>
      </c>
      <c r="P346" s="22" t="s">
        <v>8958</v>
      </c>
      <c r="Q346" s="21" t="s">
        <v>9009</v>
      </c>
      <c r="R346" s="23" t="s">
        <v>9356</v>
      </c>
      <c r="S346" s="24" t="s">
        <v>11233</v>
      </c>
      <c r="T346" s="24" t="str">
        <f>VLOOKUP(R346,[1]Sheet3!$A$2:$A$47,1,0)</f>
        <v>Japan</v>
      </c>
      <c r="U346" s="24" t="s">
        <v>11234</v>
      </c>
      <c r="V346" s="24" t="s">
        <v>11235</v>
      </c>
      <c r="W346" s="18" t="s">
        <v>11236</v>
      </c>
      <c r="X346" s="26" t="s">
        <v>1945</v>
      </c>
      <c r="Y346" s="18" t="s">
        <v>11237</v>
      </c>
      <c r="Z346" s="24" t="s">
        <v>11</v>
      </c>
    </row>
    <row r="347" spans="1:26" ht="20.100000000000001" customHeight="1" x14ac:dyDescent="0.2">
      <c r="A347" s="18" t="s">
        <v>11238</v>
      </c>
      <c r="B347" s="19" t="s">
        <v>11239</v>
      </c>
      <c r="C347" s="19" t="s">
        <v>11240</v>
      </c>
      <c r="D347" s="8" t="s">
        <v>9252</v>
      </c>
      <c r="E347" s="20" t="s">
        <v>8971</v>
      </c>
      <c r="F347" s="20" t="s">
        <v>11241</v>
      </c>
      <c r="G347" s="20" t="s">
        <v>8951</v>
      </c>
      <c r="H347" s="31">
        <v>540</v>
      </c>
      <c r="I347" s="20" t="s">
        <v>9077</v>
      </c>
      <c r="J347" s="20" t="s">
        <v>8953</v>
      </c>
      <c r="K347" s="20" t="s">
        <v>8989</v>
      </c>
      <c r="L347" s="21" t="s">
        <v>8955</v>
      </c>
      <c r="M347" s="20" t="s">
        <v>8956</v>
      </c>
      <c r="N347" s="20" t="s">
        <v>8957</v>
      </c>
      <c r="O347" s="20">
        <f t="shared" si="5"/>
        <v>15</v>
      </c>
      <c r="P347" s="22" t="s">
        <v>8975</v>
      </c>
      <c r="Q347" s="21" t="s">
        <v>9061</v>
      </c>
      <c r="R347" s="23" t="s">
        <v>9310</v>
      </c>
      <c r="S347" s="24" t="s">
        <v>9651</v>
      </c>
      <c r="T347" s="24" t="str">
        <f>VLOOKUP(R347,[1]Sheet3!$A$2:$A$47,1,0)</f>
        <v>China</v>
      </c>
      <c r="U347" s="24" t="s">
        <v>11242</v>
      </c>
      <c r="V347" s="24" t="s">
        <v>11243</v>
      </c>
      <c r="W347" s="18" t="s">
        <v>8964</v>
      </c>
      <c r="X347" s="26" t="s">
        <v>200</v>
      </c>
      <c r="Y347" s="18" t="s">
        <v>9654</v>
      </c>
      <c r="Z347" s="24" t="s">
        <v>11</v>
      </c>
    </row>
    <row r="348" spans="1:26" ht="20.100000000000001" customHeight="1" x14ac:dyDescent="0.2">
      <c r="A348" s="18" t="s">
        <v>11244</v>
      </c>
      <c r="B348" s="19" t="s">
        <v>11245</v>
      </c>
      <c r="C348" s="19" t="s">
        <v>11246</v>
      </c>
      <c r="D348" s="8" t="s">
        <v>9075</v>
      </c>
      <c r="E348" s="20" t="s">
        <v>8998</v>
      </c>
      <c r="F348" s="20" t="s">
        <v>8972</v>
      </c>
      <c r="G348" s="20" t="s">
        <v>9430</v>
      </c>
      <c r="H348" s="31">
        <v>51</v>
      </c>
      <c r="I348" s="20" t="s">
        <v>9008</v>
      </c>
      <c r="J348" s="20" t="s">
        <v>9059</v>
      </c>
      <c r="K348" s="20" t="s">
        <v>8989</v>
      </c>
      <c r="L348" s="21" t="s">
        <v>8955</v>
      </c>
      <c r="M348" s="20" t="s">
        <v>8956</v>
      </c>
      <c r="N348" s="20" t="s">
        <v>9060</v>
      </c>
      <c r="O348" s="20">
        <f t="shared" si="5"/>
        <v>4</v>
      </c>
      <c r="P348" s="22" t="s">
        <v>8958</v>
      </c>
      <c r="Q348" s="21" t="s">
        <v>9183</v>
      </c>
      <c r="R348" s="23" t="s">
        <v>9010</v>
      </c>
      <c r="S348" s="24" t="s">
        <v>9011</v>
      </c>
      <c r="T348" s="24" t="str">
        <f>VLOOKUP(R348,[1]Sheet3!$A$2:$A$47,1,0)</f>
        <v>the United States of America</v>
      </c>
      <c r="U348" s="24" t="s">
        <v>11247</v>
      </c>
      <c r="V348" s="24" t="s">
        <v>11248</v>
      </c>
      <c r="W348" s="18" t="s">
        <v>8964</v>
      </c>
      <c r="X348" s="26" t="s">
        <v>93</v>
      </c>
      <c r="Y348" s="18" t="s">
        <v>9014</v>
      </c>
      <c r="Z348" s="24" t="s">
        <v>11</v>
      </c>
    </row>
    <row r="349" spans="1:26" ht="20.100000000000001" customHeight="1" x14ac:dyDescent="0.2">
      <c r="A349" s="18" t="s">
        <v>11249</v>
      </c>
      <c r="B349" s="19" t="s">
        <v>11250</v>
      </c>
      <c r="C349" s="19" t="s">
        <v>11251</v>
      </c>
      <c r="D349" s="8" t="s">
        <v>9049</v>
      </c>
      <c r="E349" s="20" t="s">
        <v>9050</v>
      </c>
      <c r="F349" s="20" t="s">
        <v>8950</v>
      </c>
      <c r="G349" s="20" t="s">
        <v>8951</v>
      </c>
      <c r="H349" s="31">
        <v>216</v>
      </c>
      <c r="I349" s="20" t="s">
        <v>9158</v>
      </c>
      <c r="J349" s="20" t="s">
        <v>8953</v>
      </c>
      <c r="K349" s="20" t="s">
        <v>8954</v>
      </c>
      <c r="L349" s="21" t="s">
        <v>8955</v>
      </c>
      <c r="M349" s="20" t="s">
        <v>8956</v>
      </c>
      <c r="N349" s="20" t="s">
        <v>9060</v>
      </c>
      <c r="O349" s="20">
        <f t="shared" si="5"/>
        <v>4</v>
      </c>
      <c r="P349" s="22" t="s">
        <v>8958</v>
      </c>
      <c r="Q349" s="21" t="s">
        <v>9183</v>
      </c>
      <c r="R349" s="23" t="s">
        <v>11252</v>
      </c>
      <c r="S349" s="24" t="s">
        <v>9052</v>
      </c>
      <c r="T349" s="24" t="str">
        <f>VLOOKUP(R349,[1]Sheet3!$A$2:$A$47,1,0)</f>
        <v>Spain</v>
      </c>
      <c r="U349" s="24" t="s">
        <v>11253</v>
      </c>
      <c r="V349" s="24" t="s">
        <v>11254</v>
      </c>
      <c r="W349" s="18" t="s">
        <v>8964</v>
      </c>
      <c r="X349" s="26" t="s">
        <v>74</v>
      </c>
      <c r="Y349" s="18" t="s">
        <v>9055</v>
      </c>
      <c r="Z349" s="24" t="s">
        <v>11</v>
      </c>
    </row>
    <row r="350" spans="1:26" ht="20.100000000000001" customHeight="1" x14ac:dyDescent="0.2">
      <c r="A350" s="18" t="s">
        <v>11255</v>
      </c>
      <c r="B350" s="19" t="s">
        <v>11256</v>
      </c>
      <c r="C350" s="19" t="s">
        <v>11257</v>
      </c>
      <c r="D350" s="8" t="s">
        <v>11258</v>
      </c>
      <c r="E350" s="20" t="s">
        <v>9725</v>
      </c>
      <c r="F350" s="20" t="s">
        <v>8950</v>
      </c>
      <c r="G350" s="20" t="s">
        <v>8951</v>
      </c>
      <c r="H350" s="31">
        <v>156</v>
      </c>
      <c r="I350" s="20" t="s">
        <v>9158</v>
      </c>
      <c r="J350" s="20" t="s">
        <v>9059</v>
      </c>
      <c r="K350" s="20" t="s">
        <v>8989</v>
      </c>
      <c r="L350" s="21" t="s">
        <v>8955</v>
      </c>
      <c r="M350" s="20" t="s">
        <v>8956</v>
      </c>
      <c r="N350" s="20" t="s">
        <v>8959</v>
      </c>
      <c r="O350" s="20">
        <f t="shared" si="5"/>
        <v>3</v>
      </c>
      <c r="P350" s="22" t="s">
        <v>9103</v>
      </c>
      <c r="Q350" s="21" t="s">
        <v>9183</v>
      </c>
      <c r="R350" s="23" t="s">
        <v>8960</v>
      </c>
      <c r="S350" s="24" t="s">
        <v>9028</v>
      </c>
      <c r="T350" s="24" t="str">
        <f>VLOOKUP(R350,[1]Sheet3!$A$2:$A$47,1,0)</f>
        <v>Canada</v>
      </c>
      <c r="U350" s="24" t="s">
        <v>11259</v>
      </c>
      <c r="V350" s="24" t="s">
        <v>11260</v>
      </c>
      <c r="W350" s="18" t="s">
        <v>8964</v>
      </c>
      <c r="X350" s="26" t="s">
        <v>43</v>
      </c>
      <c r="Y350" s="18" t="s">
        <v>9031</v>
      </c>
      <c r="Z350" s="24" t="s">
        <v>11</v>
      </c>
    </row>
    <row r="351" spans="1:26" ht="20.100000000000001" customHeight="1" x14ac:dyDescent="0.2">
      <c r="A351" s="18" t="s">
        <v>11261</v>
      </c>
      <c r="B351" s="19" t="s">
        <v>11262</v>
      </c>
      <c r="C351" s="19" t="s">
        <v>11263</v>
      </c>
      <c r="D351" s="8" t="s">
        <v>9049</v>
      </c>
      <c r="E351" s="33" t="s">
        <v>9050</v>
      </c>
      <c r="F351" s="20" t="s">
        <v>9036</v>
      </c>
      <c r="G351" s="20" t="s">
        <v>9133</v>
      </c>
      <c r="H351" s="31">
        <v>11200</v>
      </c>
      <c r="I351" s="20" t="s">
        <v>9019</v>
      </c>
      <c r="J351" s="20" t="s">
        <v>8953</v>
      </c>
      <c r="K351" s="20" t="s">
        <v>8954</v>
      </c>
      <c r="L351" s="21" t="s">
        <v>8955</v>
      </c>
      <c r="M351" s="20" t="s">
        <v>8956</v>
      </c>
      <c r="N351" s="20" t="s">
        <v>8959</v>
      </c>
      <c r="O351" s="20">
        <f t="shared" si="5"/>
        <v>5</v>
      </c>
      <c r="P351" s="22" t="s">
        <v>8958</v>
      </c>
      <c r="Q351" s="21" t="s">
        <v>9183</v>
      </c>
      <c r="R351" s="23" t="s">
        <v>9815</v>
      </c>
      <c r="S351" s="24" t="s">
        <v>9085</v>
      </c>
      <c r="T351" s="24" t="str">
        <f>VLOOKUP(R351,[1]Sheet3!$A$2:$A$47,1,0)</f>
        <v>India</v>
      </c>
      <c r="U351" s="24" t="s">
        <v>11264</v>
      </c>
      <c r="V351" s="24" t="s">
        <v>11265</v>
      </c>
      <c r="W351" s="18" t="s">
        <v>8964</v>
      </c>
      <c r="X351" s="26" t="s">
        <v>184</v>
      </c>
      <c r="Y351" s="18" t="s">
        <v>9088</v>
      </c>
      <c r="Z351" s="24" t="s">
        <v>11</v>
      </c>
    </row>
    <row r="352" spans="1:26" ht="20.100000000000001" customHeight="1" x14ac:dyDescent="0.2">
      <c r="A352" s="18" t="s">
        <v>11266</v>
      </c>
      <c r="B352" s="19" t="s">
        <v>11267</v>
      </c>
      <c r="C352" s="19" t="s">
        <v>11268</v>
      </c>
      <c r="D352" s="8" t="s">
        <v>9035</v>
      </c>
      <c r="E352" s="20" t="s">
        <v>8998</v>
      </c>
      <c r="F352" s="20" t="s">
        <v>8950</v>
      </c>
      <c r="G352" s="20" t="s">
        <v>8951</v>
      </c>
      <c r="H352" s="31">
        <v>888</v>
      </c>
      <c r="I352" s="20" t="s">
        <v>9077</v>
      </c>
      <c r="J352" s="20" t="s">
        <v>8953</v>
      </c>
      <c r="K352" s="20" t="s">
        <v>8989</v>
      </c>
      <c r="L352" s="21" t="s">
        <v>8955</v>
      </c>
      <c r="M352" s="20" t="s">
        <v>8956</v>
      </c>
      <c r="N352" s="20" t="s">
        <v>8957</v>
      </c>
      <c r="O352" s="20">
        <f t="shared" si="5"/>
        <v>4</v>
      </c>
      <c r="P352" s="22" t="s">
        <v>8958</v>
      </c>
      <c r="Q352" s="21" t="s">
        <v>9183</v>
      </c>
      <c r="R352" s="23" t="s">
        <v>9213</v>
      </c>
      <c r="S352" s="24" t="s">
        <v>9085</v>
      </c>
      <c r="T352" s="24" t="str">
        <f>VLOOKUP(R352,[1]Sheet3!$A$2:$A$47,1,0)</f>
        <v>South Korea</v>
      </c>
      <c r="U352" s="24" t="s">
        <v>11269</v>
      </c>
      <c r="V352" s="24" t="s">
        <v>11270</v>
      </c>
      <c r="W352" s="18" t="s">
        <v>8964</v>
      </c>
      <c r="X352" s="26" t="s">
        <v>184</v>
      </c>
      <c r="Y352" s="18" t="s">
        <v>9088</v>
      </c>
      <c r="Z352" s="24" t="s">
        <v>11</v>
      </c>
    </row>
    <row r="353" spans="1:26" ht="20.100000000000001" customHeight="1" x14ac:dyDescent="0.2">
      <c r="A353" s="18" t="s">
        <v>11271</v>
      </c>
      <c r="B353" s="19" t="s">
        <v>11272</v>
      </c>
      <c r="C353" s="19" t="s">
        <v>11273</v>
      </c>
      <c r="D353" s="8" t="s">
        <v>9154</v>
      </c>
      <c r="E353" s="20" t="s">
        <v>9121</v>
      </c>
      <c r="F353" s="20" t="s">
        <v>8950</v>
      </c>
      <c r="G353" s="20" t="s">
        <v>9133</v>
      </c>
      <c r="H353" s="31">
        <v>682</v>
      </c>
      <c r="I353" s="20" t="s">
        <v>9077</v>
      </c>
      <c r="J353" s="20" t="s">
        <v>9059</v>
      </c>
      <c r="K353" s="20" t="s">
        <v>8954</v>
      </c>
      <c r="L353" s="21" t="s">
        <v>8955</v>
      </c>
      <c r="M353" s="20" t="s">
        <v>8956</v>
      </c>
      <c r="N353" s="20" t="s">
        <v>8959</v>
      </c>
      <c r="O353" s="20">
        <f t="shared" si="5"/>
        <v>2</v>
      </c>
      <c r="P353" s="22" t="s">
        <v>9103</v>
      </c>
      <c r="Q353" s="21" t="s">
        <v>9183</v>
      </c>
      <c r="R353" s="23" t="s">
        <v>9010</v>
      </c>
      <c r="S353" s="24" t="s">
        <v>11274</v>
      </c>
      <c r="T353" s="24" t="str">
        <f>VLOOKUP(R353,[1]Sheet3!$A$2:$A$47,1,0)</f>
        <v>the United States of America</v>
      </c>
      <c r="U353" s="24" t="s">
        <v>11275</v>
      </c>
      <c r="V353" s="24" t="s">
        <v>11276</v>
      </c>
      <c r="W353" s="18" t="s">
        <v>8964</v>
      </c>
      <c r="X353" s="26" t="s">
        <v>1726</v>
      </c>
      <c r="Y353" s="18" t="s">
        <v>11277</v>
      </c>
      <c r="Z353" s="24" t="s">
        <v>11</v>
      </c>
    </row>
    <row r="354" spans="1:26" ht="20.100000000000001" customHeight="1" x14ac:dyDescent="0.2">
      <c r="A354" s="18" t="s">
        <v>11278</v>
      </c>
      <c r="B354" s="19" t="s">
        <v>11279</v>
      </c>
      <c r="C354" s="19" t="s">
        <v>11280</v>
      </c>
      <c r="D354" s="8" t="s">
        <v>9100</v>
      </c>
      <c r="E354" s="20" t="s">
        <v>8949</v>
      </c>
      <c r="F354" s="20" t="s">
        <v>8950</v>
      </c>
      <c r="G354" s="20" t="s">
        <v>8973</v>
      </c>
      <c r="H354" s="31">
        <v>285</v>
      </c>
      <c r="I354" s="20" t="s">
        <v>8988</v>
      </c>
      <c r="J354" s="20" t="s">
        <v>8953</v>
      </c>
      <c r="K354" s="20" t="s">
        <v>8954</v>
      </c>
      <c r="L354" s="21" t="s">
        <v>8955</v>
      </c>
      <c r="M354" s="20" t="s">
        <v>8956</v>
      </c>
      <c r="N354" s="20" t="s">
        <v>8959</v>
      </c>
      <c r="O354" s="20">
        <f t="shared" si="5"/>
        <v>5</v>
      </c>
      <c r="P354" s="22" t="s">
        <v>8958</v>
      </c>
      <c r="Q354" s="21" t="s">
        <v>9183</v>
      </c>
      <c r="R354" s="23" t="s">
        <v>9010</v>
      </c>
      <c r="S354" s="24" t="s">
        <v>11023</v>
      </c>
      <c r="T354" s="24" t="str">
        <f>VLOOKUP(R354,[1]Sheet3!$A$2:$A$47,1,0)</f>
        <v>the United States of America</v>
      </c>
      <c r="U354" s="24" t="s">
        <v>11281</v>
      </c>
      <c r="V354" s="24" t="s">
        <v>11282</v>
      </c>
      <c r="W354" s="18" t="s">
        <v>8964</v>
      </c>
      <c r="X354" s="26" t="s">
        <v>496</v>
      </c>
      <c r="Y354" s="18" t="s">
        <v>11026</v>
      </c>
      <c r="Z354" s="24" t="s">
        <v>17</v>
      </c>
    </row>
    <row r="355" spans="1:26" ht="20.100000000000001" customHeight="1" x14ac:dyDescent="0.2">
      <c r="A355" s="18" t="s">
        <v>11283</v>
      </c>
      <c r="B355" s="19" t="s">
        <v>11284</v>
      </c>
      <c r="C355" s="19" t="s">
        <v>11285</v>
      </c>
      <c r="D355" s="8" t="s">
        <v>9075</v>
      </c>
      <c r="E355" s="20" t="s">
        <v>8949</v>
      </c>
      <c r="F355" s="20" t="s">
        <v>9918</v>
      </c>
      <c r="G355" s="20" t="s">
        <v>8973</v>
      </c>
      <c r="H355" s="31">
        <v>60</v>
      </c>
      <c r="I355" s="20" t="s">
        <v>9008</v>
      </c>
      <c r="J355" s="20" t="s">
        <v>9059</v>
      </c>
      <c r="K355" s="20" t="s">
        <v>8989</v>
      </c>
      <c r="L355" s="21" t="s">
        <v>8955</v>
      </c>
      <c r="M355" s="20" t="s">
        <v>8956</v>
      </c>
      <c r="N355" s="20" t="s">
        <v>8957</v>
      </c>
      <c r="O355" s="20">
        <f t="shared" si="5"/>
        <v>10</v>
      </c>
      <c r="P355" s="22" t="s">
        <v>8975</v>
      </c>
      <c r="Q355" s="21" t="s">
        <v>9183</v>
      </c>
      <c r="R355" s="23" t="s">
        <v>9380</v>
      </c>
      <c r="S355" s="24" t="s">
        <v>9011</v>
      </c>
      <c r="T355" s="24" t="str">
        <f>VLOOKUP(R355,[1]Sheet3!$A$2:$A$47,1,0)</f>
        <v>Canada</v>
      </c>
      <c r="U355" s="24" t="s">
        <v>11286</v>
      </c>
      <c r="V355" s="24" t="s">
        <v>11287</v>
      </c>
      <c r="W355" s="18" t="s">
        <v>8964</v>
      </c>
      <c r="X355" s="26" t="s">
        <v>93</v>
      </c>
      <c r="Y355" s="18" t="s">
        <v>9014</v>
      </c>
      <c r="Z355" s="24" t="s">
        <v>11</v>
      </c>
    </row>
    <row r="356" spans="1:26" ht="20.100000000000001" customHeight="1" x14ac:dyDescent="0.2">
      <c r="A356" s="18" t="s">
        <v>11288</v>
      </c>
      <c r="B356" s="19" t="s">
        <v>11289</v>
      </c>
      <c r="C356" s="19" t="s">
        <v>11290</v>
      </c>
      <c r="D356" s="8" t="s">
        <v>9092</v>
      </c>
      <c r="E356" s="20" t="s">
        <v>8949</v>
      </c>
      <c r="F356" s="20" t="s">
        <v>8950</v>
      </c>
      <c r="G356" s="20" t="s">
        <v>9430</v>
      </c>
      <c r="H356" s="31">
        <v>24</v>
      </c>
      <c r="I356" s="20" t="s">
        <v>9008</v>
      </c>
      <c r="J356" s="20" t="s">
        <v>8953</v>
      </c>
      <c r="K356" s="20" t="s">
        <v>8989</v>
      </c>
      <c r="L356" s="21" t="s">
        <v>8955</v>
      </c>
      <c r="M356" s="20" t="s">
        <v>8956</v>
      </c>
      <c r="N356" s="20" t="s">
        <v>8959</v>
      </c>
      <c r="O356" s="20">
        <f t="shared" si="5"/>
        <v>7</v>
      </c>
      <c r="P356" s="22" t="s">
        <v>8958</v>
      </c>
      <c r="Q356" s="21" t="s">
        <v>9183</v>
      </c>
      <c r="R356" s="23" t="s">
        <v>9380</v>
      </c>
      <c r="S356" s="24" t="s">
        <v>9711</v>
      </c>
      <c r="T356" s="24" t="str">
        <f>VLOOKUP(R356,[1]Sheet3!$A$2:$A$47,1,0)</f>
        <v>Canada</v>
      </c>
      <c r="U356" s="24" t="s">
        <v>11291</v>
      </c>
      <c r="V356" s="24" t="s">
        <v>11292</v>
      </c>
      <c r="W356" s="18" t="s">
        <v>8964</v>
      </c>
      <c r="X356" s="26" t="s">
        <v>392</v>
      </c>
      <c r="Y356" s="18" t="s">
        <v>9714</v>
      </c>
      <c r="Z356" s="24" t="s">
        <v>17</v>
      </c>
    </row>
    <row r="357" spans="1:26" ht="20.100000000000001" customHeight="1" x14ac:dyDescent="0.2">
      <c r="A357" s="18" t="s">
        <v>11293</v>
      </c>
      <c r="B357" s="19" t="s">
        <v>11294</v>
      </c>
      <c r="C357" s="19" t="s">
        <v>11295</v>
      </c>
      <c r="D357" s="8" t="s">
        <v>8948</v>
      </c>
      <c r="E357" s="20" t="s">
        <v>8949</v>
      </c>
      <c r="F357" s="20" t="s">
        <v>10258</v>
      </c>
      <c r="G357" s="20" t="s">
        <v>9430</v>
      </c>
      <c r="H357" s="31">
        <v>2115</v>
      </c>
      <c r="I357" s="20" t="s">
        <v>8952</v>
      </c>
      <c r="J357" s="20" t="s">
        <v>9059</v>
      </c>
      <c r="K357" s="20" t="s">
        <v>8989</v>
      </c>
      <c r="L357" s="21" t="s">
        <v>8955</v>
      </c>
      <c r="M357" s="20" t="s">
        <v>8956</v>
      </c>
      <c r="N357" s="20" t="s">
        <v>8957</v>
      </c>
      <c r="O357" s="20">
        <f t="shared" si="5"/>
        <v>8</v>
      </c>
      <c r="P357" s="22" t="s">
        <v>8975</v>
      </c>
      <c r="Q357" s="21" t="s">
        <v>9183</v>
      </c>
      <c r="R357" s="23" t="s">
        <v>10568</v>
      </c>
      <c r="S357" s="24" t="s">
        <v>9711</v>
      </c>
      <c r="T357" s="24" t="str">
        <f>VLOOKUP(R357,[1]Sheet3!$A$2:$A$47,1,0)</f>
        <v>Netherlands</v>
      </c>
      <c r="U357" s="24" t="s">
        <v>11296</v>
      </c>
      <c r="V357" s="24" t="s">
        <v>11297</v>
      </c>
      <c r="W357" s="18" t="s">
        <v>8964</v>
      </c>
      <c r="X357" s="26" t="s">
        <v>392</v>
      </c>
      <c r="Y357" s="18" t="s">
        <v>9714</v>
      </c>
      <c r="Z357" s="24" t="s">
        <v>17</v>
      </c>
    </row>
    <row r="358" spans="1:26" ht="20.100000000000001" customHeight="1" x14ac:dyDescent="0.2">
      <c r="A358" s="18" t="s">
        <v>11298</v>
      </c>
      <c r="B358" s="19" t="s">
        <v>11299</v>
      </c>
      <c r="C358" s="19" t="s">
        <v>11300</v>
      </c>
      <c r="D358" s="8" t="s">
        <v>9154</v>
      </c>
      <c r="E358" s="20" t="s">
        <v>9325</v>
      </c>
      <c r="F358" s="20" t="s">
        <v>8950</v>
      </c>
      <c r="G358" s="20" t="s">
        <v>8951</v>
      </c>
      <c r="H358" s="31">
        <v>200000</v>
      </c>
      <c r="I358" s="20" t="s">
        <v>9019</v>
      </c>
      <c r="J358" s="20" t="s">
        <v>8953</v>
      </c>
      <c r="K358" s="20" t="s">
        <v>8989</v>
      </c>
      <c r="L358" s="21" t="s">
        <v>8955</v>
      </c>
      <c r="M358" s="20" t="s">
        <v>8956</v>
      </c>
      <c r="N358" s="20" t="s">
        <v>8957</v>
      </c>
      <c r="O358" s="20">
        <f t="shared" si="5"/>
        <v>4</v>
      </c>
      <c r="P358" s="22" t="s">
        <v>8958</v>
      </c>
      <c r="Q358" s="21" t="s">
        <v>8959</v>
      </c>
      <c r="R358" s="23" t="s">
        <v>9317</v>
      </c>
      <c r="S358" s="24" t="s">
        <v>6442</v>
      </c>
      <c r="T358" s="24" t="str">
        <f>VLOOKUP(R358,[1]Sheet3!$A$2:$A$47,1,0)</f>
        <v>Germany</v>
      </c>
      <c r="U358" s="24" t="s">
        <v>11301</v>
      </c>
      <c r="V358" s="24" t="s">
        <v>11302</v>
      </c>
      <c r="W358" s="18" t="s">
        <v>8964</v>
      </c>
      <c r="X358" s="26" t="s">
        <v>6442</v>
      </c>
      <c r="Y358" s="18" t="s">
        <v>11303</v>
      </c>
      <c r="Z358" s="24" t="s">
        <v>17</v>
      </c>
    </row>
    <row r="359" spans="1:26" ht="20.100000000000001" customHeight="1" x14ac:dyDescent="0.2">
      <c r="A359" s="18" t="s">
        <v>11304</v>
      </c>
      <c r="B359" s="19" t="s">
        <v>11305</v>
      </c>
      <c r="C359" s="19" t="s">
        <v>11306</v>
      </c>
      <c r="D359" s="8" t="s">
        <v>9252</v>
      </c>
      <c r="E359" s="20" t="s">
        <v>9253</v>
      </c>
      <c r="F359" s="20" t="s">
        <v>10258</v>
      </c>
      <c r="G359" s="20" t="s">
        <v>9133</v>
      </c>
      <c r="H359" s="31">
        <v>8677</v>
      </c>
      <c r="I359" s="20" t="s">
        <v>9019</v>
      </c>
      <c r="J359" s="20" t="s">
        <v>8953</v>
      </c>
      <c r="K359" s="20" t="s">
        <v>8989</v>
      </c>
      <c r="L359" s="21" t="s">
        <v>8955</v>
      </c>
      <c r="M359" s="20" t="s">
        <v>8956</v>
      </c>
      <c r="N359" s="20" t="s">
        <v>8959</v>
      </c>
      <c r="O359" s="20">
        <f t="shared" si="5"/>
        <v>7</v>
      </c>
      <c r="P359" s="22" t="s">
        <v>8958</v>
      </c>
      <c r="Q359" s="21" t="s">
        <v>9183</v>
      </c>
      <c r="R359" s="23" t="s">
        <v>9010</v>
      </c>
      <c r="S359" s="24" t="s">
        <v>180</v>
      </c>
      <c r="T359" s="24" t="str">
        <f>VLOOKUP(R359,[1]Sheet3!$A$2:$A$47,1,0)</f>
        <v>the United States of America</v>
      </c>
      <c r="U359" s="24" t="s">
        <v>11307</v>
      </c>
      <c r="V359" s="24" t="s">
        <v>11308</v>
      </c>
      <c r="W359" s="18" t="s">
        <v>8964</v>
      </c>
      <c r="X359" s="26" t="s">
        <v>180</v>
      </c>
      <c r="Y359" s="18" t="s">
        <v>11199</v>
      </c>
      <c r="Z359" s="24" t="s">
        <v>17</v>
      </c>
    </row>
    <row r="360" spans="1:26" ht="20.100000000000001" customHeight="1" x14ac:dyDescent="0.2">
      <c r="A360" s="18" t="s">
        <v>11309</v>
      </c>
      <c r="B360" s="19" t="s">
        <v>11310</v>
      </c>
      <c r="C360" s="19" t="s">
        <v>11311</v>
      </c>
      <c r="D360" s="8" t="s">
        <v>9100</v>
      </c>
      <c r="E360" s="20" t="s">
        <v>9269</v>
      </c>
      <c r="F360" s="20" t="s">
        <v>8950</v>
      </c>
      <c r="G360" s="20" t="s">
        <v>8951</v>
      </c>
      <c r="H360" s="31">
        <v>400</v>
      </c>
      <c r="I360" s="20" t="s">
        <v>9479</v>
      </c>
      <c r="J360" s="20" t="s">
        <v>8953</v>
      </c>
      <c r="K360" s="27" t="s">
        <v>9122</v>
      </c>
      <c r="L360" s="21" t="s">
        <v>8955</v>
      </c>
      <c r="M360" s="20" t="s">
        <v>8990</v>
      </c>
      <c r="N360" s="20" t="s">
        <v>8959</v>
      </c>
      <c r="O360" s="20">
        <f t="shared" si="5"/>
        <v>7</v>
      </c>
      <c r="P360" s="22" t="s">
        <v>8958</v>
      </c>
      <c r="Q360" s="21" t="s">
        <v>9061</v>
      </c>
      <c r="R360" s="23" t="s">
        <v>9213</v>
      </c>
      <c r="S360" s="24" t="s">
        <v>6076</v>
      </c>
      <c r="T360" s="24" t="str">
        <f>VLOOKUP(R360,[1]Sheet3!$A$2:$A$47,1,0)</f>
        <v>South Korea</v>
      </c>
      <c r="U360" s="24" t="s">
        <v>11312</v>
      </c>
      <c r="V360" s="24" t="s">
        <v>11313</v>
      </c>
      <c r="W360" s="18" t="s">
        <v>8964</v>
      </c>
      <c r="X360" s="26" t="s">
        <v>6076</v>
      </c>
      <c r="Y360" s="18" t="s">
        <v>11314</v>
      </c>
      <c r="Z360" s="24" t="s">
        <v>11</v>
      </c>
    </row>
    <row r="361" spans="1:26" ht="20.100000000000001" customHeight="1" x14ac:dyDescent="0.2">
      <c r="A361" s="18" t="s">
        <v>11315</v>
      </c>
      <c r="B361" s="19" t="s">
        <v>11316</v>
      </c>
      <c r="C361" s="19" t="s">
        <v>11317</v>
      </c>
      <c r="D361" s="8" t="s">
        <v>11318</v>
      </c>
      <c r="E361" s="20" t="s">
        <v>9725</v>
      </c>
      <c r="F361" s="20" t="s">
        <v>8950</v>
      </c>
      <c r="G361" s="20" t="s">
        <v>9430</v>
      </c>
      <c r="H361" s="31" t="s">
        <v>9479</v>
      </c>
      <c r="I361" s="20" t="s">
        <v>9479</v>
      </c>
      <c r="J361" s="20" t="s">
        <v>8953</v>
      </c>
      <c r="K361" s="20" t="s">
        <v>8954</v>
      </c>
      <c r="L361" s="21" t="s">
        <v>8955</v>
      </c>
      <c r="M361" s="20" t="s">
        <v>8956</v>
      </c>
      <c r="N361" s="20" t="s">
        <v>8957</v>
      </c>
      <c r="O361" s="20">
        <f t="shared" si="5"/>
        <v>3</v>
      </c>
      <c r="P361" s="22" t="s">
        <v>9103</v>
      </c>
      <c r="Q361" s="21" t="s">
        <v>9183</v>
      </c>
      <c r="R361" s="23" t="s">
        <v>9333</v>
      </c>
      <c r="S361" s="24" t="s">
        <v>11319</v>
      </c>
      <c r="T361" s="24" t="str">
        <f>VLOOKUP(R361,[1]Sheet3!$A$2:$A$47,1,0)</f>
        <v>Japan</v>
      </c>
      <c r="U361" s="24" t="s">
        <v>11320</v>
      </c>
      <c r="V361" s="24" t="s">
        <v>11321</v>
      </c>
      <c r="W361" s="18" t="s">
        <v>8964</v>
      </c>
      <c r="X361" s="26" t="s">
        <v>1519</v>
      </c>
      <c r="Y361" s="18" t="s">
        <v>11322</v>
      </c>
      <c r="Z361" s="24" t="s">
        <v>11</v>
      </c>
    </row>
    <row r="362" spans="1:26" ht="20.100000000000001" customHeight="1" x14ac:dyDescent="0.2">
      <c r="A362" s="18" t="s">
        <v>11323</v>
      </c>
      <c r="B362" s="19" t="s">
        <v>11324</v>
      </c>
      <c r="C362" s="19" t="s">
        <v>11325</v>
      </c>
      <c r="D362" s="8" t="s">
        <v>8948</v>
      </c>
      <c r="E362" s="20" t="s">
        <v>8998</v>
      </c>
      <c r="F362" s="20" t="s">
        <v>8950</v>
      </c>
      <c r="G362" s="20" t="s">
        <v>8951</v>
      </c>
      <c r="H362" s="31">
        <v>313318</v>
      </c>
      <c r="I362" s="20" t="s">
        <v>9019</v>
      </c>
      <c r="J362" s="20" t="s">
        <v>8953</v>
      </c>
      <c r="K362" s="20" t="s">
        <v>8954</v>
      </c>
      <c r="L362" s="21" t="s">
        <v>8955</v>
      </c>
      <c r="M362" s="20" t="s">
        <v>8956</v>
      </c>
      <c r="N362" s="20" t="s">
        <v>8974</v>
      </c>
      <c r="O362" s="20">
        <f t="shared" si="5"/>
        <v>9</v>
      </c>
      <c r="P362" s="22" t="s">
        <v>8975</v>
      </c>
      <c r="Q362" s="21" t="s">
        <v>9061</v>
      </c>
      <c r="R362" s="23" t="s">
        <v>9981</v>
      </c>
      <c r="S362" s="24" t="s">
        <v>11326</v>
      </c>
      <c r="T362" s="24" t="str">
        <f>VLOOKUP(R362,[1]Sheet3!$A$2:$A$47,1,0)</f>
        <v>India</v>
      </c>
      <c r="U362" s="24" t="s">
        <v>11327</v>
      </c>
      <c r="V362" s="24" t="s">
        <v>11328</v>
      </c>
      <c r="W362" s="18" t="s">
        <v>8964</v>
      </c>
      <c r="X362" s="26" t="s">
        <v>1401</v>
      </c>
      <c r="Y362" s="18" t="s">
        <v>11329</v>
      </c>
      <c r="Z362" s="24" t="s">
        <v>11</v>
      </c>
    </row>
    <row r="363" spans="1:26" ht="20.100000000000001" customHeight="1" x14ac:dyDescent="0.2">
      <c r="A363" s="18" t="s">
        <v>11330</v>
      </c>
      <c r="B363" s="19" t="s">
        <v>11331</v>
      </c>
      <c r="C363" s="19" t="s">
        <v>11332</v>
      </c>
      <c r="D363" s="8" t="s">
        <v>9049</v>
      </c>
      <c r="E363" s="20" t="s">
        <v>8949</v>
      </c>
      <c r="F363" s="20" t="s">
        <v>9175</v>
      </c>
      <c r="G363" s="20" t="s">
        <v>8973</v>
      </c>
      <c r="H363" s="31">
        <v>30</v>
      </c>
      <c r="I363" s="20" t="s">
        <v>9008</v>
      </c>
      <c r="J363" s="20" t="s">
        <v>8953</v>
      </c>
      <c r="K363" s="20" t="s">
        <v>8954</v>
      </c>
      <c r="L363" s="21" t="s">
        <v>8955</v>
      </c>
      <c r="M363" s="20" t="s">
        <v>8956</v>
      </c>
      <c r="N363" s="20" t="s">
        <v>8959</v>
      </c>
      <c r="O363" s="20">
        <f t="shared" si="5"/>
        <v>2</v>
      </c>
      <c r="P363" s="22" t="s">
        <v>9103</v>
      </c>
      <c r="Q363" s="21" t="s">
        <v>9183</v>
      </c>
      <c r="R363" s="23" t="s">
        <v>9852</v>
      </c>
      <c r="S363" s="24" t="s">
        <v>9496</v>
      </c>
      <c r="T363" s="24" t="str">
        <f>VLOOKUP(R363,[1]Sheet3!$A$2:$A$47,1,0)</f>
        <v>Pakistan</v>
      </c>
      <c r="U363" s="24" t="s">
        <v>11333</v>
      </c>
      <c r="V363" s="24" t="s">
        <v>11334</v>
      </c>
      <c r="W363" s="18" t="s">
        <v>8964</v>
      </c>
      <c r="X363" s="26" t="s">
        <v>97</v>
      </c>
      <c r="Y363" s="18" t="s">
        <v>9499</v>
      </c>
      <c r="Z363" s="24" t="s">
        <v>11</v>
      </c>
    </row>
    <row r="364" spans="1:26" ht="20.100000000000001" customHeight="1" x14ac:dyDescent="0.2">
      <c r="A364" s="18" t="s">
        <v>11335</v>
      </c>
      <c r="B364" s="19" t="s">
        <v>11336</v>
      </c>
      <c r="C364" s="19" t="s">
        <v>11337</v>
      </c>
      <c r="D364" s="8" t="s">
        <v>8948</v>
      </c>
      <c r="E364" s="20" t="s">
        <v>8949</v>
      </c>
      <c r="F364" s="20" t="s">
        <v>8950</v>
      </c>
      <c r="G364" s="20" t="s">
        <v>8987</v>
      </c>
      <c r="H364" s="31">
        <v>64</v>
      </c>
      <c r="I364" s="20" t="s">
        <v>9008</v>
      </c>
      <c r="J364" s="20" t="s">
        <v>9059</v>
      </c>
      <c r="K364" s="20" t="s">
        <v>8989</v>
      </c>
      <c r="L364" s="21" t="s">
        <v>8955</v>
      </c>
      <c r="M364" s="20" t="s">
        <v>8956</v>
      </c>
      <c r="N364" s="20" t="s">
        <v>8957</v>
      </c>
      <c r="O364" s="20">
        <f t="shared" si="5"/>
        <v>4</v>
      </c>
      <c r="P364" s="22" t="s">
        <v>8958</v>
      </c>
      <c r="Q364" s="21" t="s">
        <v>9183</v>
      </c>
      <c r="R364" s="23" t="s">
        <v>9310</v>
      </c>
      <c r="S364" s="24" t="s">
        <v>10429</v>
      </c>
      <c r="T364" s="24" t="str">
        <f>VLOOKUP(R364,[1]Sheet3!$A$2:$A$47,1,0)</f>
        <v>China</v>
      </c>
      <c r="U364" s="24" t="s">
        <v>11338</v>
      </c>
      <c r="V364" s="24" t="s">
        <v>11339</v>
      </c>
      <c r="W364" s="18" t="s">
        <v>8964</v>
      </c>
      <c r="X364" s="26" t="s">
        <v>1598</v>
      </c>
      <c r="Y364" s="18" t="s">
        <v>10432</v>
      </c>
      <c r="Z364" s="24" t="s">
        <v>11</v>
      </c>
    </row>
    <row r="365" spans="1:26" ht="20.100000000000001" customHeight="1" x14ac:dyDescent="0.2">
      <c r="A365" s="18" t="s">
        <v>11340</v>
      </c>
      <c r="B365" s="19" t="s">
        <v>11341</v>
      </c>
      <c r="C365" s="19" t="s">
        <v>11342</v>
      </c>
      <c r="D365" s="8" t="s">
        <v>9605</v>
      </c>
      <c r="E365" s="20" t="s">
        <v>8971</v>
      </c>
      <c r="F365" s="20" t="s">
        <v>11343</v>
      </c>
      <c r="G365" s="20" t="s">
        <v>9157</v>
      </c>
      <c r="H365" s="31">
        <v>200</v>
      </c>
      <c r="I365" s="20" t="s">
        <v>9158</v>
      </c>
      <c r="J365" s="20" t="s">
        <v>8953</v>
      </c>
      <c r="K365" s="20" t="s">
        <v>8954</v>
      </c>
      <c r="L365" s="21" t="s">
        <v>8955</v>
      </c>
      <c r="M365" s="20" t="s">
        <v>8956</v>
      </c>
      <c r="N365" s="20" t="s">
        <v>8957</v>
      </c>
      <c r="O365" s="20">
        <f t="shared" si="5"/>
        <v>4</v>
      </c>
      <c r="P365" s="22" t="s">
        <v>8958</v>
      </c>
      <c r="Q365" s="21" t="s">
        <v>9061</v>
      </c>
      <c r="R365" s="23" t="s">
        <v>9310</v>
      </c>
      <c r="S365" s="24" t="s">
        <v>9228</v>
      </c>
      <c r="T365" s="24" t="str">
        <f>VLOOKUP(R365,[1]Sheet3!$A$2:$A$47,1,0)</f>
        <v>China</v>
      </c>
      <c r="U365" s="24" t="s">
        <v>11344</v>
      </c>
      <c r="V365" s="24" t="s">
        <v>11345</v>
      </c>
      <c r="W365" s="18" t="s">
        <v>8964</v>
      </c>
      <c r="X365" s="26" t="s">
        <v>110</v>
      </c>
      <c r="Y365" s="18" t="s">
        <v>9231</v>
      </c>
      <c r="Z365" s="24" t="s">
        <v>11</v>
      </c>
    </row>
    <row r="366" spans="1:26" ht="20.100000000000001" customHeight="1" x14ac:dyDescent="0.2">
      <c r="A366" s="18" t="s">
        <v>11346</v>
      </c>
      <c r="B366" s="19" t="s">
        <v>11347</v>
      </c>
      <c r="C366" s="19" t="s">
        <v>11348</v>
      </c>
      <c r="D366" s="8" t="s">
        <v>9252</v>
      </c>
      <c r="E366" s="20" t="s">
        <v>9422</v>
      </c>
      <c r="F366" s="20" t="s">
        <v>8950</v>
      </c>
      <c r="G366" s="20" t="s">
        <v>8951</v>
      </c>
      <c r="H366" s="31">
        <v>70</v>
      </c>
      <c r="I366" s="20" t="s">
        <v>9008</v>
      </c>
      <c r="J366" s="20" t="s">
        <v>8953</v>
      </c>
      <c r="K366" s="20" t="s">
        <v>8989</v>
      </c>
      <c r="L366" s="21" t="s">
        <v>8955</v>
      </c>
      <c r="M366" s="20" t="s">
        <v>8956</v>
      </c>
      <c r="N366" s="20" t="s">
        <v>8974</v>
      </c>
      <c r="O366" s="20">
        <f t="shared" si="5"/>
        <v>9</v>
      </c>
      <c r="P366" s="22" t="s">
        <v>8975</v>
      </c>
      <c r="Q366" s="21" t="s">
        <v>9183</v>
      </c>
      <c r="R366" s="23" t="s">
        <v>9010</v>
      </c>
      <c r="S366" s="24" t="s">
        <v>11349</v>
      </c>
      <c r="T366" s="24" t="str">
        <f>VLOOKUP(R366,[1]Sheet3!$A$2:$A$47,1,0)</f>
        <v>the United States of America</v>
      </c>
      <c r="U366" s="24" t="s">
        <v>11350</v>
      </c>
      <c r="V366" s="24" t="s">
        <v>11351</v>
      </c>
      <c r="W366" s="18" t="s">
        <v>8964</v>
      </c>
      <c r="X366" s="26" t="s">
        <v>6863</v>
      </c>
      <c r="Y366" s="18" t="s">
        <v>11352</v>
      </c>
      <c r="Z366" s="24" t="s">
        <v>11</v>
      </c>
    </row>
    <row r="367" spans="1:26" ht="20.100000000000001" customHeight="1" x14ac:dyDescent="0.2">
      <c r="A367" s="18" t="s">
        <v>11353</v>
      </c>
      <c r="B367" s="19" t="s">
        <v>11354</v>
      </c>
      <c r="C367" s="19" t="s">
        <v>11355</v>
      </c>
      <c r="D367" s="8" t="s">
        <v>9092</v>
      </c>
      <c r="E367" s="20" t="s">
        <v>8998</v>
      </c>
      <c r="F367" s="20" t="s">
        <v>9436</v>
      </c>
      <c r="G367" s="20" t="s">
        <v>8973</v>
      </c>
      <c r="H367" s="31">
        <v>10</v>
      </c>
      <c r="I367" s="20" t="s">
        <v>9008</v>
      </c>
      <c r="J367" s="20" t="s">
        <v>8953</v>
      </c>
      <c r="K367" s="20" t="s">
        <v>8989</v>
      </c>
      <c r="L367" s="21" t="s">
        <v>8955</v>
      </c>
      <c r="M367" s="20" t="s">
        <v>8956</v>
      </c>
      <c r="N367" s="20" t="s">
        <v>8957</v>
      </c>
      <c r="O367" s="20">
        <f t="shared" si="5"/>
        <v>1</v>
      </c>
      <c r="P367" s="22" t="s">
        <v>9103</v>
      </c>
      <c r="Q367" s="21" t="s">
        <v>9183</v>
      </c>
      <c r="R367" s="23" t="s">
        <v>9333</v>
      </c>
      <c r="S367" s="24" t="s">
        <v>11356</v>
      </c>
      <c r="T367" s="24" t="str">
        <f>VLOOKUP(R367,[1]Sheet3!$A$2:$A$47,1,0)</f>
        <v>Japan</v>
      </c>
      <c r="U367" s="24" t="s">
        <v>11357</v>
      </c>
      <c r="V367" s="24" t="s">
        <v>11358</v>
      </c>
      <c r="W367" s="18" t="s">
        <v>8964</v>
      </c>
      <c r="X367" s="26" t="s">
        <v>204</v>
      </c>
      <c r="Y367" s="18" t="s">
        <v>11359</v>
      </c>
      <c r="Z367" s="24" t="s">
        <v>17</v>
      </c>
    </row>
    <row r="368" spans="1:26" ht="20.100000000000001" customHeight="1" x14ac:dyDescent="0.2">
      <c r="A368" s="18" t="s">
        <v>11360</v>
      </c>
      <c r="B368" s="19" t="s">
        <v>11361</v>
      </c>
      <c r="C368" s="19" t="s">
        <v>11362</v>
      </c>
      <c r="D368" s="8" t="s">
        <v>9092</v>
      </c>
      <c r="E368" s="20" t="s">
        <v>8949</v>
      </c>
      <c r="F368" s="20" t="s">
        <v>9436</v>
      </c>
      <c r="G368" s="20" t="s">
        <v>8973</v>
      </c>
      <c r="H368" s="31">
        <v>20</v>
      </c>
      <c r="I368" s="20" t="s">
        <v>9008</v>
      </c>
      <c r="J368" s="20" t="s">
        <v>9059</v>
      </c>
      <c r="K368" s="20" t="s">
        <v>8989</v>
      </c>
      <c r="L368" s="21" t="s">
        <v>8955</v>
      </c>
      <c r="M368" s="20" t="s">
        <v>8956</v>
      </c>
      <c r="N368" s="20" t="s">
        <v>8957</v>
      </c>
      <c r="O368" s="20">
        <f t="shared" si="5"/>
        <v>2</v>
      </c>
      <c r="P368" s="22" t="s">
        <v>9103</v>
      </c>
      <c r="Q368" s="21" t="s">
        <v>9183</v>
      </c>
      <c r="R368" s="23" t="s">
        <v>9465</v>
      </c>
      <c r="S368" s="24" t="s">
        <v>11356</v>
      </c>
      <c r="T368" s="24" t="str">
        <f>VLOOKUP(R368,[1]Sheet3!$A$2:$A$47,1,0)</f>
        <v>Switzerland</v>
      </c>
      <c r="U368" s="24" t="s">
        <v>11363</v>
      </c>
      <c r="V368" s="24" t="s">
        <v>9438</v>
      </c>
      <c r="W368" s="18" t="s">
        <v>8964</v>
      </c>
      <c r="X368" s="26" t="s">
        <v>204</v>
      </c>
      <c r="Y368" s="18" t="s">
        <v>11359</v>
      </c>
      <c r="Z368" s="24" t="s">
        <v>17</v>
      </c>
    </row>
    <row r="369" spans="1:26" ht="20.100000000000001" customHeight="1" x14ac:dyDescent="0.2">
      <c r="A369" s="18" t="s">
        <v>11364</v>
      </c>
      <c r="B369" s="19" t="s">
        <v>11365</v>
      </c>
      <c r="C369" s="19" t="s">
        <v>11366</v>
      </c>
      <c r="D369" s="8" t="s">
        <v>8948</v>
      </c>
      <c r="E369" s="20" t="s">
        <v>8998</v>
      </c>
      <c r="F369" s="20" t="s">
        <v>9018</v>
      </c>
      <c r="G369" s="20" t="s">
        <v>11367</v>
      </c>
      <c r="H369" s="31">
        <v>28</v>
      </c>
      <c r="I369" s="20" t="s">
        <v>9008</v>
      </c>
      <c r="J369" s="20" t="s">
        <v>9059</v>
      </c>
      <c r="K369" s="20" t="s">
        <v>8989</v>
      </c>
      <c r="L369" s="21" t="s">
        <v>9182</v>
      </c>
      <c r="M369" s="20" t="s">
        <v>8956</v>
      </c>
      <c r="N369" s="20" t="s">
        <v>8957</v>
      </c>
      <c r="O369" s="20">
        <f t="shared" si="5"/>
        <v>9</v>
      </c>
      <c r="P369" s="22" t="s">
        <v>8975</v>
      </c>
      <c r="Q369" s="21" t="s">
        <v>9183</v>
      </c>
      <c r="R369" s="23" t="s">
        <v>9310</v>
      </c>
      <c r="S369" s="24" t="s">
        <v>9768</v>
      </c>
      <c r="T369" s="24" t="str">
        <f>VLOOKUP(R369,[1]Sheet3!$A$2:$A$47,1,0)</f>
        <v>China</v>
      </c>
      <c r="U369" s="24" t="s">
        <v>11368</v>
      </c>
      <c r="V369" s="24" t="s">
        <v>11369</v>
      </c>
      <c r="W369" s="18" t="s">
        <v>8964</v>
      </c>
      <c r="X369" s="26" t="s">
        <v>147</v>
      </c>
      <c r="Y369" s="18" t="s">
        <v>9771</v>
      </c>
      <c r="Z369" s="24" t="s">
        <v>17</v>
      </c>
    </row>
    <row r="370" spans="1:26" ht="20.100000000000001" customHeight="1" x14ac:dyDescent="0.2">
      <c r="A370" s="18" t="s">
        <v>11370</v>
      </c>
      <c r="B370" s="19" t="s">
        <v>11371</v>
      </c>
      <c r="C370" s="19" t="s">
        <v>11372</v>
      </c>
      <c r="D370" s="8" t="s">
        <v>9092</v>
      </c>
      <c r="E370" s="20" t="s">
        <v>11093</v>
      </c>
      <c r="F370" s="20" t="s">
        <v>8950</v>
      </c>
      <c r="G370" s="20" t="s">
        <v>8951</v>
      </c>
      <c r="H370" s="31">
        <v>901</v>
      </c>
      <c r="I370" s="20" t="s">
        <v>9077</v>
      </c>
      <c r="J370" s="20" t="s">
        <v>8953</v>
      </c>
      <c r="K370" s="20" t="s">
        <v>8954</v>
      </c>
      <c r="L370" s="21" t="s">
        <v>8955</v>
      </c>
      <c r="M370" s="20" t="s">
        <v>8956</v>
      </c>
      <c r="N370" s="20" t="s">
        <v>8959</v>
      </c>
      <c r="O370" s="20">
        <f t="shared" si="5"/>
        <v>6</v>
      </c>
      <c r="P370" s="22" t="s">
        <v>8958</v>
      </c>
      <c r="Q370" s="21" t="s">
        <v>9183</v>
      </c>
      <c r="R370" s="23" t="s">
        <v>9010</v>
      </c>
      <c r="S370" s="24" t="s">
        <v>11023</v>
      </c>
      <c r="T370" s="24" t="str">
        <f>VLOOKUP(R370,[1]Sheet3!$A$2:$A$47,1,0)</f>
        <v>the United States of America</v>
      </c>
      <c r="U370" s="24" t="s">
        <v>11373</v>
      </c>
      <c r="V370" s="24" t="s">
        <v>11374</v>
      </c>
      <c r="W370" s="18" t="s">
        <v>8964</v>
      </c>
      <c r="X370" s="26" t="s">
        <v>496</v>
      </c>
      <c r="Y370" s="18" t="s">
        <v>11026</v>
      </c>
      <c r="Z370" s="24" t="s">
        <v>11</v>
      </c>
    </row>
    <row r="371" spans="1:26" ht="20.100000000000001" customHeight="1" x14ac:dyDescent="0.2">
      <c r="A371" s="18" t="s">
        <v>11375</v>
      </c>
      <c r="B371" s="19" t="s">
        <v>11376</v>
      </c>
      <c r="C371" s="19" t="s">
        <v>11377</v>
      </c>
      <c r="D371" s="8" t="s">
        <v>9154</v>
      </c>
      <c r="E371" s="20" t="s">
        <v>8949</v>
      </c>
      <c r="F371" s="20" t="s">
        <v>8972</v>
      </c>
      <c r="G371" s="20" t="s">
        <v>9133</v>
      </c>
      <c r="H371" s="31">
        <v>596</v>
      </c>
      <c r="I371" s="20" t="s">
        <v>9077</v>
      </c>
      <c r="J371" s="20" t="s">
        <v>8953</v>
      </c>
      <c r="K371" s="20" t="s">
        <v>8954</v>
      </c>
      <c r="L371" s="21" t="s">
        <v>8955</v>
      </c>
      <c r="M371" s="20" t="s">
        <v>8956</v>
      </c>
      <c r="N371" s="20" t="s">
        <v>8957</v>
      </c>
      <c r="O371" s="20">
        <f t="shared" si="5"/>
        <v>14</v>
      </c>
      <c r="P371" s="22" t="s">
        <v>8975</v>
      </c>
      <c r="Q371" s="21" t="s">
        <v>9183</v>
      </c>
      <c r="R371" s="23" t="s">
        <v>10568</v>
      </c>
      <c r="S371" s="24" t="s">
        <v>180</v>
      </c>
      <c r="T371" s="24" t="str">
        <f>VLOOKUP(R371,[1]Sheet3!$A$2:$A$47,1,0)</f>
        <v>Netherlands</v>
      </c>
      <c r="U371" s="24" t="s">
        <v>11378</v>
      </c>
      <c r="V371" s="24" t="s">
        <v>11379</v>
      </c>
      <c r="W371" s="18" t="s">
        <v>8964</v>
      </c>
      <c r="X371" s="26" t="s">
        <v>180</v>
      </c>
      <c r="Y371" s="18" t="s">
        <v>11199</v>
      </c>
      <c r="Z371" s="24" t="s">
        <v>17</v>
      </c>
    </row>
    <row r="372" spans="1:26" ht="20.100000000000001" customHeight="1" x14ac:dyDescent="0.2">
      <c r="A372" s="18" t="s">
        <v>11380</v>
      </c>
      <c r="B372" s="19" t="s">
        <v>11381</v>
      </c>
      <c r="C372" s="19" t="s">
        <v>11382</v>
      </c>
      <c r="D372" s="8" t="s">
        <v>9173</v>
      </c>
      <c r="E372" s="20" t="s">
        <v>9155</v>
      </c>
      <c r="F372" s="20" t="s">
        <v>8950</v>
      </c>
      <c r="G372" s="20" t="s">
        <v>8987</v>
      </c>
      <c r="H372" s="31">
        <v>809</v>
      </c>
      <c r="I372" s="20" t="s">
        <v>9077</v>
      </c>
      <c r="J372" s="20" t="s">
        <v>8953</v>
      </c>
      <c r="K372" s="20" t="s">
        <v>8954</v>
      </c>
      <c r="L372" s="21" t="s">
        <v>8955</v>
      </c>
      <c r="M372" s="20" t="s">
        <v>8956</v>
      </c>
      <c r="N372" s="20" t="s">
        <v>8959</v>
      </c>
      <c r="O372" s="20">
        <f t="shared" si="5"/>
        <v>2</v>
      </c>
      <c r="P372" s="22" t="s">
        <v>9103</v>
      </c>
      <c r="Q372" s="21" t="s">
        <v>9183</v>
      </c>
      <c r="R372" s="23" t="s">
        <v>9310</v>
      </c>
      <c r="S372" s="24" t="s">
        <v>9457</v>
      </c>
      <c r="T372" s="24" t="str">
        <f>VLOOKUP(R372,[1]Sheet3!$A$2:$A$47,1,0)</f>
        <v>China</v>
      </c>
      <c r="U372" s="24" t="s">
        <v>11383</v>
      </c>
      <c r="V372" s="24" t="s">
        <v>11384</v>
      </c>
      <c r="W372" s="18" t="s">
        <v>8964</v>
      </c>
      <c r="X372" s="26" t="s">
        <v>1651</v>
      </c>
      <c r="Y372" s="18" t="s">
        <v>9460</v>
      </c>
      <c r="Z372" s="24" t="s">
        <v>11</v>
      </c>
    </row>
    <row r="373" spans="1:26" ht="20.100000000000001" customHeight="1" x14ac:dyDescent="0.2">
      <c r="A373" s="18" t="s">
        <v>11385</v>
      </c>
      <c r="B373" s="19" t="s">
        <v>11386</v>
      </c>
      <c r="C373" s="19" t="s">
        <v>11387</v>
      </c>
      <c r="D373" s="8" t="s">
        <v>9252</v>
      </c>
      <c r="E373" s="20" t="s">
        <v>9155</v>
      </c>
      <c r="F373" s="20" t="s">
        <v>8950</v>
      </c>
      <c r="G373" s="20" t="s">
        <v>9133</v>
      </c>
      <c r="H373" s="31">
        <v>138</v>
      </c>
      <c r="I373" s="20" t="s">
        <v>9158</v>
      </c>
      <c r="J373" s="20" t="s">
        <v>8953</v>
      </c>
      <c r="K373" s="20" t="s">
        <v>8954</v>
      </c>
      <c r="L373" s="21" t="s">
        <v>8955</v>
      </c>
      <c r="M373" s="20" t="s">
        <v>8956</v>
      </c>
      <c r="N373" s="20" t="s">
        <v>8959</v>
      </c>
      <c r="O373" s="20">
        <f t="shared" si="5"/>
        <v>7</v>
      </c>
      <c r="P373" s="22" t="s">
        <v>8975</v>
      </c>
      <c r="Q373" s="21" t="s">
        <v>9183</v>
      </c>
      <c r="R373" s="23" t="s">
        <v>9010</v>
      </c>
      <c r="S373" s="24" t="s">
        <v>9028</v>
      </c>
      <c r="T373" s="24" t="str">
        <f>VLOOKUP(R373,[1]Sheet3!$A$2:$A$47,1,0)</f>
        <v>the United States of America</v>
      </c>
      <c r="U373" s="24" t="s">
        <v>11388</v>
      </c>
      <c r="V373" s="24" t="s">
        <v>11389</v>
      </c>
      <c r="W373" s="18" t="s">
        <v>8964</v>
      </c>
      <c r="X373" s="26" t="s">
        <v>43</v>
      </c>
      <c r="Y373" s="18" t="s">
        <v>9031</v>
      </c>
      <c r="Z373" s="24" t="s">
        <v>11</v>
      </c>
    </row>
    <row r="374" spans="1:26" ht="20.100000000000001" customHeight="1" x14ac:dyDescent="0.2">
      <c r="A374" s="18" t="s">
        <v>11390</v>
      </c>
      <c r="B374" s="19" t="s">
        <v>11391</v>
      </c>
      <c r="C374" s="19" t="s">
        <v>11392</v>
      </c>
      <c r="D374" s="8" t="s">
        <v>9605</v>
      </c>
      <c r="E374" s="20" t="s">
        <v>9050</v>
      </c>
      <c r="F374" s="20" t="s">
        <v>11393</v>
      </c>
      <c r="G374" s="33" t="s">
        <v>9292</v>
      </c>
      <c r="H374" s="31">
        <v>7174</v>
      </c>
      <c r="I374" s="20" t="s">
        <v>9019</v>
      </c>
      <c r="J374" s="20" t="s">
        <v>8953</v>
      </c>
      <c r="K374" s="20" t="s">
        <v>8989</v>
      </c>
      <c r="L374" s="21" t="s">
        <v>8955</v>
      </c>
      <c r="M374" s="20" t="s">
        <v>8956</v>
      </c>
      <c r="N374" s="20" t="s">
        <v>8957</v>
      </c>
      <c r="O374" s="20">
        <f t="shared" si="5"/>
        <v>3</v>
      </c>
      <c r="P374" s="22" t="s">
        <v>9103</v>
      </c>
      <c r="Q374" s="21" t="s">
        <v>8959</v>
      </c>
      <c r="R374" s="23" t="s">
        <v>9010</v>
      </c>
      <c r="S374" s="24" t="s">
        <v>11394</v>
      </c>
      <c r="T374" s="24" t="str">
        <f>VLOOKUP(R374,[1]Sheet3!$A$2:$A$47,1,0)</f>
        <v>the United States of America</v>
      </c>
      <c r="U374" s="24" t="s">
        <v>11395</v>
      </c>
      <c r="V374" s="24" t="s">
        <v>11396</v>
      </c>
      <c r="W374" s="18" t="s">
        <v>8964</v>
      </c>
      <c r="X374" s="26" t="s">
        <v>5305</v>
      </c>
      <c r="Y374" s="18" t="s">
        <v>11397</v>
      </c>
      <c r="Z374" s="24" t="s">
        <v>11</v>
      </c>
    </row>
    <row r="375" spans="1:26" ht="20.100000000000001" customHeight="1" x14ac:dyDescent="0.2">
      <c r="A375" s="18" t="s">
        <v>11398</v>
      </c>
      <c r="B375" s="19" t="s">
        <v>11399</v>
      </c>
      <c r="C375" s="19" t="s">
        <v>11400</v>
      </c>
      <c r="D375" s="8" t="s">
        <v>9100</v>
      </c>
      <c r="E375" s="20" t="s">
        <v>8949</v>
      </c>
      <c r="F375" s="20" t="s">
        <v>9036</v>
      </c>
      <c r="G375" s="20" t="s">
        <v>9133</v>
      </c>
      <c r="H375" s="31">
        <f>912+894</f>
        <v>1806</v>
      </c>
      <c r="I375" s="20" t="s">
        <v>8952</v>
      </c>
      <c r="J375" s="20" t="s">
        <v>9059</v>
      </c>
      <c r="K375" s="20" t="s">
        <v>8954</v>
      </c>
      <c r="L375" s="21" t="s">
        <v>8955</v>
      </c>
      <c r="M375" s="20" t="s">
        <v>8956</v>
      </c>
      <c r="N375" s="20" t="s">
        <v>8957</v>
      </c>
      <c r="O375" s="20">
        <f t="shared" si="5"/>
        <v>12</v>
      </c>
      <c r="P375" s="22" t="s">
        <v>8975</v>
      </c>
      <c r="Q375" s="21" t="s">
        <v>9183</v>
      </c>
      <c r="R375" s="23" t="s">
        <v>9062</v>
      </c>
      <c r="S375" s="24" t="s">
        <v>11401</v>
      </c>
      <c r="T375" s="24" t="str">
        <f>VLOOKUP(R375,[1]Sheet3!$A$2:$A$47,1,0)</f>
        <v>Germany</v>
      </c>
      <c r="U375" s="24" t="s">
        <v>11402</v>
      </c>
      <c r="V375" s="24" t="s">
        <v>11403</v>
      </c>
      <c r="W375" s="18" t="s">
        <v>8964</v>
      </c>
      <c r="X375" s="26" t="s">
        <v>7565</v>
      </c>
      <c r="Y375" s="18" t="s">
        <v>11404</v>
      </c>
      <c r="Z375" s="24" t="s">
        <v>17</v>
      </c>
    </row>
    <row r="376" spans="1:26" ht="20.100000000000001" customHeight="1" x14ac:dyDescent="0.2">
      <c r="A376" s="18" t="s">
        <v>11405</v>
      </c>
      <c r="B376" s="19" t="s">
        <v>11406</v>
      </c>
      <c r="C376" s="19" t="s">
        <v>11407</v>
      </c>
      <c r="D376" s="8" t="s">
        <v>9605</v>
      </c>
      <c r="E376" s="33" t="s">
        <v>9269</v>
      </c>
      <c r="F376" s="20" t="s">
        <v>9436</v>
      </c>
      <c r="G376" s="20" t="s">
        <v>8951</v>
      </c>
      <c r="H376" s="31">
        <v>148</v>
      </c>
      <c r="I376" s="20" t="s">
        <v>9158</v>
      </c>
      <c r="J376" s="20" t="s">
        <v>8953</v>
      </c>
      <c r="K376" s="20" t="s">
        <v>8954</v>
      </c>
      <c r="L376" s="21" t="s">
        <v>8955</v>
      </c>
      <c r="M376" s="20" t="s">
        <v>8956</v>
      </c>
      <c r="N376" s="20" t="s">
        <v>8957</v>
      </c>
      <c r="O376" s="20">
        <f t="shared" si="5"/>
        <v>6</v>
      </c>
      <c r="P376" s="22" t="s">
        <v>8958</v>
      </c>
      <c r="Q376" s="21" t="s">
        <v>8959</v>
      </c>
      <c r="R376" s="23" t="s">
        <v>9062</v>
      </c>
      <c r="S376" s="24" t="s">
        <v>9028</v>
      </c>
      <c r="T376" s="24" t="str">
        <f>VLOOKUP(R376,[1]Sheet3!$A$2:$A$47,1,0)</f>
        <v>Germany</v>
      </c>
      <c r="U376" s="24" t="s">
        <v>11408</v>
      </c>
      <c r="V376" s="24" t="s">
        <v>11409</v>
      </c>
      <c r="W376" s="18" t="s">
        <v>8964</v>
      </c>
      <c r="X376" s="26" t="s">
        <v>43</v>
      </c>
      <c r="Y376" s="18" t="s">
        <v>9031</v>
      </c>
      <c r="Z376" s="24" t="s">
        <v>11</v>
      </c>
    </row>
    <row r="377" spans="1:26" ht="20.100000000000001" customHeight="1" x14ac:dyDescent="0.2">
      <c r="A377" s="18" t="s">
        <v>11410</v>
      </c>
      <c r="B377" s="19" t="s">
        <v>11411</v>
      </c>
      <c r="C377" s="19" t="s">
        <v>11412</v>
      </c>
      <c r="D377" s="8" t="s">
        <v>11108</v>
      </c>
      <c r="E377" s="33" t="s">
        <v>9308</v>
      </c>
      <c r="F377" s="20" t="s">
        <v>10031</v>
      </c>
      <c r="G377" s="20" t="s">
        <v>8951</v>
      </c>
      <c r="H377" s="31">
        <v>874</v>
      </c>
      <c r="I377" s="20" t="s">
        <v>9077</v>
      </c>
      <c r="J377" s="20" t="s">
        <v>8953</v>
      </c>
      <c r="K377" s="20" t="s">
        <v>8989</v>
      </c>
      <c r="L377" s="21" t="s">
        <v>8955</v>
      </c>
      <c r="M377" s="20" t="s">
        <v>8956</v>
      </c>
      <c r="N377" s="20" t="s">
        <v>8959</v>
      </c>
      <c r="O377" s="20">
        <f t="shared" si="5"/>
        <v>11</v>
      </c>
      <c r="P377" s="22" t="s">
        <v>8975</v>
      </c>
      <c r="Q377" s="21" t="s">
        <v>9183</v>
      </c>
      <c r="R377" s="23" t="s">
        <v>9010</v>
      </c>
      <c r="S377" s="24" t="s">
        <v>9228</v>
      </c>
      <c r="T377" s="24" t="str">
        <f>VLOOKUP(R377,[1]Sheet3!$A$2:$A$47,1,0)</f>
        <v>the United States of America</v>
      </c>
      <c r="U377" s="24" t="s">
        <v>11413</v>
      </c>
      <c r="V377" s="24" t="s">
        <v>11414</v>
      </c>
      <c r="W377" s="18" t="s">
        <v>8964</v>
      </c>
      <c r="X377" s="26" t="s">
        <v>110</v>
      </c>
      <c r="Y377" s="18" t="s">
        <v>9231</v>
      </c>
      <c r="Z377" s="24" t="s">
        <v>11</v>
      </c>
    </row>
    <row r="378" spans="1:26" ht="20.100000000000001" customHeight="1" x14ac:dyDescent="0.2">
      <c r="A378" s="18" t="s">
        <v>11415</v>
      </c>
      <c r="B378" s="19" t="s">
        <v>11416</v>
      </c>
      <c r="C378" s="19" t="s">
        <v>11417</v>
      </c>
      <c r="D378" s="8" t="s">
        <v>9605</v>
      </c>
      <c r="E378" s="33" t="s">
        <v>9101</v>
      </c>
      <c r="F378" s="20" t="s">
        <v>8972</v>
      </c>
      <c r="G378" s="20" t="s">
        <v>8973</v>
      </c>
      <c r="H378" s="31">
        <v>108</v>
      </c>
      <c r="I378" s="20" t="s">
        <v>9158</v>
      </c>
      <c r="J378" s="20" t="s">
        <v>8953</v>
      </c>
      <c r="K378" s="20" t="s">
        <v>8989</v>
      </c>
      <c r="L378" s="21" t="s">
        <v>8955</v>
      </c>
      <c r="M378" s="20" t="s">
        <v>8956</v>
      </c>
      <c r="N378" s="20" t="s">
        <v>8959</v>
      </c>
      <c r="O378" s="20">
        <f t="shared" si="5"/>
        <v>5</v>
      </c>
      <c r="P378" s="22" t="s">
        <v>8958</v>
      </c>
      <c r="Q378" s="21" t="s">
        <v>9183</v>
      </c>
      <c r="R378" s="23" t="s">
        <v>9010</v>
      </c>
      <c r="S378" s="24" t="s">
        <v>9271</v>
      </c>
      <c r="T378" s="24" t="str">
        <f>VLOOKUP(R378,[1]Sheet3!$A$2:$A$47,1,0)</f>
        <v>the United States of America</v>
      </c>
      <c r="U378" s="24" t="s">
        <v>11418</v>
      </c>
      <c r="V378" s="24" t="s">
        <v>11419</v>
      </c>
      <c r="W378" s="18" t="s">
        <v>8964</v>
      </c>
      <c r="X378" s="26" t="s">
        <v>15</v>
      </c>
      <c r="Y378" s="18" t="s">
        <v>9274</v>
      </c>
      <c r="Z378" s="24" t="s">
        <v>11</v>
      </c>
    </row>
    <row r="379" spans="1:26" ht="20.100000000000001" customHeight="1" x14ac:dyDescent="0.2">
      <c r="A379" s="18" t="s">
        <v>11420</v>
      </c>
      <c r="B379" s="19" t="s">
        <v>11421</v>
      </c>
      <c r="C379" s="19" t="s">
        <v>11422</v>
      </c>
      <c r="D379" s="8" t="s">
        <v>9035</v>
      </c>
      <c r="E379" s="20" t="s">
        <v>8998</v>
      </c>
      <c r="F379" s="20" t="s">
        <v>9270</v>
      </c>
      <c r="G379" s="20" t="s">
        <v>11068</v>
      </c>
      <c r="H379" s="31">
        <v>651</v>
      </c>
      <c r="I379" s="20" t="s">
        <v>9077</v>
      </c>
      <c r="J379" s="20" t="s">
        <v>8953</v>
      </c>
      <c r="K379" s="20" t="s">
        <v>8989</v>
      </c>
      <c r="L379" s="21" t="s">
        <v>9182</v>
      </c>
      <c r="M379" s="20" t="s">
        <v>8956</v>
      </c>
      <c r="N379" s="20" t="s">
        <v>8957</v>
      </c>
      <c r="O379" s="20">
        <f t="shared" si="5"/>
        <v>12</v>
      </c>
      <c r="P379" s="22" t="s">
        <v>8975</v>
      </c>
      <c r="Q379" s="21" t="s">
        <v>9183</v>
      </c>
      <c r="R379" s="23" t="s">
        <v>9310</v>
      </c>
      <c r="S379" s="24" t="s">
        <v>11423</v>
      </c>
      <c r="T379" s="24" t="str">
        <f>VLOOKUP(R379,[1]Sheet3!$A$2:$A$47,1,0)</f>
        <v>China</v>
      </c>
      <c r="U379" s="24" t="s">
        <v>11424</v>
      </c>
      <c r="V379" s="24" t="s">
        <v>11425</v>
      </c>
      <c r="W379" s="18" t="s">
        <v>8964</v>
      </c>
      <c r="X379" s="26" t="s">
        <v>1979</v>
      </c>
      <c r="Y379" s="18" t="s">
        <v>11426</v>
      </c>
      <c r="Z379" s="24" t="s">
        <v>11</v>
      </c>
    </row>
    <row r="380" spans="1:26" ht="20.100000000000001" customHeight="1" x14ac:dyDescent="0.2">
      <c r="A380" s="18" t="s">
        <v>11427</v>
      </c>
      <c r="B380" s="19" t="s">
        <v>11428</v>
      </c>
      <c r="C380" s="19" t="s">
        <v>11429</v>
      </c>
      <c r="D380" s="8" t="s">
        <v>9049</v>
      </c>
      <c r="E380" s="33" t="s">
        <v>9050</v>
      </c>
      <c r="F380" s="20" t="s">
        <v>8950</v>
      </c>
      <c r="G380" s="20" t="s">
        <v>8951</v>
      </c>
      <c r="H380" s="31">
        <v>71043</v>
      </c>
      <c r="I380" s="20" t="s">
        <v>9019</v>
      </c>
      <c r="J380" s="20" t="s">
        <v>8953</v>
      </c>
      <c r="K380" s="20" t="s">
        <v>8989</v>
      </c>
      <c r="L380" s="21" t="s">
        <v>8955</v>
      </c>
      <c r="M380" s="20" t="s">
        <v>8956</v>
      </c>
      <c r="N380" s="20" t="s">
        <v>8957</v>
      </c>
      <c r="O380" s="20">
        <f t="shared" si="5"/>
        <v>13</v>
      </c>
      <c r="P380" s="22" t="s">
        <v>8975</v>
      </c>
      <c r="Q380" s="21" t="s">
        <v>9183</v>
      </c>
      <c r="R380" s="23" t="s">
        <v>9310</v>
      </c>
      <c r="S380" s="24" t="s">
        <v>11430</v>
      </c>
      <c r="T380" s="24" t="str">
        <f>VLOOKUP(R380,[1]Sheet3!$A$2:$A$47,1,0)</f>
        <v>China</v>
      </c>
      <c r="U380" s="24" t="s">
        <v>11431</v>
      </c>
      <c r="V380" s="24" t="s">
        <v>11432</v>
      </c>
      <c r="W380" s="18" t="s">
        <v>8964</v>
      </c>
      <c r="X380" s="26" t="s">
        <v>4444</v>
      </c>
      <c r="Y380" s="18" t="s">
        <v>11433</v>
      </c>
      <c r="Z380" s="24" t="s">
        <v>11</v>
      </c>
    </row>
    <row r="381" spans="1:26" ht="20.100000000000001" customHeight="1" x14ac:dyDescent="0.2">
      <c r="A381" s="18" t="s">
        <v>11434</v>
      </c>
      <c r="B381" s="19" t="s">
        <v>11435</v>
      </c>
      <c r="C381" s="19" t="s">
        <v>11436</v>
      </c>
      <c r="D381" s="8" t="s">
        <v>9092</v>
      </c>
      <c r="E381" s="20" t="s">
        <v>9155</v>
      </c>
      <c r="F381" s="20" t="s">
        <v>8950</v>
      </c>
      <c r="G381" s="20" t="s">
        <v>9133</v>
      </c>
      <c r="H381" s="51">
        <v>39593</v>
      </c>
      <c r="I381" s="20" t="s">
        <v>9019</v>
      </c>
      <c r="J381" s="20" t="s">
        <v>8953</v>
      </c>
      <c r="K381" s="20" t="s">
        <v>8989</v>
      </c>
      <c r="L381" s="21" t="s">
        <v>8955</v>
      </c>
      <c r="M381" s="20" t="s">
        <v>8956</v>
      </c>
      <c r="N381" s="20" t="s">
        <v>8957</v>
      </c>
      <c r="O381" s="20">
        <f t="shared" si="5"/>
        <v>2</v>
      </c>
      <c r="P381" s="22" t="s">
        <v>9103</v>
      </c>
      <c r="Q381" s="21" t="s">
        <v>9183</v>
      </c>
      <c r="R381" s="23" t="s">
        <v>9010</v>
      </c>
      <c r="S381" s="24" t="s">
        <v>11437</v>
      </c>
      <c r="T381" s="24" t="str">
        <f>VLOOKUP(R381,[1]Sheet3!$A$2:$A$47,1,0)</f>
        <v>the United States of America</v>
      </c>
      <c r="U381" s="24" t="s">
        <v>11438</v>
      </c>
      <c r="V381" s="24" t="s">
        <v>11439</v>
      </c>
      <c r="W381" s="18" t="s">
        <v>8964</v>
      </c>
      <c r="X381" s="26" t="s">
        <v>863</v>
      </c>
      <c r="Y381" s="18" t="s">
        <v>11440</v>
      </c>
      <c r="Z381" s="24" t="s">
        <v>17</v>
      </c>
    </row>
    <row r="382" spans="1:26" ht="20.100000000000001" customHeight="1" x14ac:dyDescent="0.2">
      <c r="A382" s="18" t="s">
        <v>11441</v>
      </c>
      <c r="B382" s="19" t="s">
        <v>11442</v>
      </c>
      <c r="C382" s="19" t="s">
        <v>11443</v>
      </c>
      <c r="D382" s="8" t="s">
        <v>9100</v>
      </c>
      <c r="E382" s="20" t="s">
        <v>8949</v>
      </c>
      <c r="F382" s="20" t="s">
        <v>8950</v>
      </c>
      <c r="G382" s="20" t="s">
        <v>8973</v>
      </c>
      <c r="H382" s="31">
        <v>120</v>
      </c>
      <c r="I382" s="20" t="s">
        <v>9158</v>
      </c>
      <c r="J382" s="20" t="s">
        <v>8953</v>
      </c>
      <c r="K382" s="20" t="s">
        <v>8954</v>
      </c>
      <c r="L382" s="21" t="s">
        <v>8955</v>
      </c>
      <c r="M382" s="20" t="s">
        <v>8956</v>
      </c>
      <c r="N382" s="20" t="s">
        <v>8957</v>
      </c>
      <c r="O382" s="20">
        <f t="shared" si="5"/>
        <v>11</v>
      </c>
      <c r="P382" s="22" t="s">
        <v>8975</v>
      </c>
      <c r="Q382" s="21" t="s">
        <v>9061</v>
      </c>
      <c r="R382" s="23" t="s">
        <v>9010</v>
      </c>
      <c r="S382" s="24" t="s">
        <v>9011</v>
      </c>
      <c r="T382" s="24" t="str">
        <f>VLOOKUP(R382,[1]Sheet3!$A$2:$A$47,1,0)</f>
        <v>the United States of America</v>
      </c>
      <c r="U382" s="24" t="s">
        <v>11444</v>
      </c>
      <c r="V382" s="24" t="s">
        <v>11445</v>
      </c>
      <c r="W382" s="18" t="s">
        <v>8964</v>
      </c>
      <c r="X382" s="26" t="s">
        <v>93</v>
      </c>
      <c r="Y382" s="18" t="s">
        <v>9014</v>
      </c>
      <c r="Z382" s="24" t="s">
        <v>11</v>
      </c>
    </row>
    <row r="383" spans="1:26" ht="20.100000000000001" customHeight="1" x14ac:dyDescent="0.2">
      <c r="A383" s="18" t="s">
        <v>11446</v>
      </c>
      <c r="B383" s="19" t="s">
        <v>11447</v>
      </c>
      <c r="C383" s="19" t="s">
        <v>11448</v>
      </c>
      <c r="D383" s="8" t="s">
        <v>8948</v>
      </c>
      <c r="E383" s="20" t="s">
        <v>8971</v>
      </c>
      <c r="F383" s="20" t="s">
        <v>9436</v>
      </c>
      <c r="G383" s="20" t="s">
        <v>9430</v>
      </c>
      <c r="H383" s="31">
        <v>407</v>
      </c>
      <c r="I383" s="20" t="s">
        <v>8988</v>
      </c>
      <c r="J383" s="20" t="s">
        <v>8953</v>
      </c>
      <c r="K383" s="20" t="s">
        <v>8989</v>
      </c>
      <c r="L383" s="21" t="s">
        <v>8955</v>
      </c>
      <c r="M383" s="20" t="s">
        <v>8956</v>
      </c>
      <c r="N383" s="20" t="s">
        <v>8957</v>
      </c>
      <c r="O383" s="20">
        <f t="shared" si="5"/>
        <v>10</v>
      </c>
      <c r="P383" s="22" t="s">
        <v>8975</v>
      </c>
      <c r="Q383" s="21" t="s">
        <v>9183</v>
      </c>
      <c r="R383" s="23" t="s">
        <v>9815</v>
      </c>
      <c r="S383" s="24" t="s">
        <v>11007</v>
      </c>
      <c r="T383" s="24" t="str">
        <f>VLOOKUP(R383,[1]Sheet3!$A$2:$A$47,1,0)</f>
        <v>India</v>
      </c>
      <c r="U383" s="24" t="s">
        <v>11449</v>
      </c>
      <c r="V383" s="24" t="s">
        <v>11450</v>
      </c>
      <c r="W383" s="18" t="s">
        <v>8964</v>
      </c>
      <c r="X383" s="26" t="s">
        <v>5</v>
      </c>
      <c r="Y383" s="18" t="s">
        <v>11010</v>
      </c>
      <c r="Z383" s="24" t="s">
        <v>17</v>
      </c>
    </row>
    <row r="384" spans="1:26" ht="20.100000000000001" customHeight="1" x14ac:dyDescent="0.2">
      <c r="A384" s="18" t="s">
        <v>11451</v>
      </c>
      <c r="B384" s="19" t="s">
        <v>11452</v>
      </c>
      <c r="C384" s="19" t="s">
        <v>11453</v>
      </c>
      <c r="D384" s="8" t="s">
        <v>9605</v>
      </c>
      <c r="E384" s="20" t="s">
        <v>8998</v>
      </c>
      <c r="F384" s="20" t="s">
        <v>9436</v>
      </c>
      <c r="G384" s="20" t="s">
        <v>8987</v>
      </c>
      <c r="H384" s="31">
        <v>5987</v>
      </c>
      <c r="I384" s="20" t="s">
        <v>9019</v>
      </c>
      <c r="J384" s="20" t="s">
        <v>8953</v>
      </c>
      <c r="K384" s="20" t="s">
        <v>8989</v>
      </c>
      <c r="L384" s="21" t="s">
        <v>8955</v>
      </c>
      <c r="M384" s="20" t="s">
        <v>8956</v>
      </c>
      <c r="N384" s="20" t="s">
        <v>8957</v>
      </c>
      <c r="O384" s="20">
        <f t="shared" si="5"/>
        <v>6</v>
      </c>
      <c r="P384" s="22" t="s">
        <v>8958</v>
      </c>
      <c r="Q384" s="21" t="s">
        <v>9061</v>
      </c>
      <c r="R384" s="23" t="s">
        <v>9310</v>
      </c>
      <c r="S384" s="24" t="s">
        <v>9996</v>
      </c>
      <c r="T384" s="24" t="str">
        <f>VLOOKUP(R384,[1]Sheet3!$A$2:$A$47,1,0)</f>
        <v>China</v>
      </c>
      <c r="U384" s="24" t="s">
        <v>11454</v>
      </c>
      <c r="V384" s="24" t="s">
        <v>11455</v>
      </c>
      <c r="W384" s="18" t="s">
        <v>8964</v>
      </c>
      <c r="X384" s="26" t="s">
        <v>1010</v>
      </c>
      <c r="Y384" s="18" t="s">
        <v>9999</v>
      </c>
      <c r="Z384" s="24" t="s">
        <v>11</v>
      </c>
    </row>
    <row r="385" spans="1:26" ht="20.100000000000001" customHeight="1" x14ac:dyDescent="0.2">
      <c r="A385" s="18" t="s">
        <v>11456</v>
      </c>
      <c r="B385" s="19" t="s">
        <v>11457</v>
      </c>
      <c r="C385" s="19" t="s">
        <v>11458</v>
      </c>
      <c r="D385" s="8" t="s">
        <v>9035</v>
      </c>
      <c r="E385" s="20" t="s">
        <v>11231</v>
      </c>
      <c r="F385" s="20" t="s">
        <v>9036</v>
      </c>
      <c r="G385" s="20" t="s">
        <v>8951</v>
      </c>
      <c r="H385" s="31">
        <v>34676</v>
      </c>
      <c r="I385" s="20" t="s">
        <v>9019</v>
      </c>
      <c r="J385" s="20" t="s">
        <v>8953</v>
      </c>
      <c r="K385" s="20" t="s">
        <v>8954</v>
      </c>
      <c r="L385" s="21" t="s">
        <v>8955</v>
      </c>
      <c r="M385" s="20" t="s">
        <v>8956</v>
      </c>
      <c r="N385" s="20" t="s">
        <v>8957</v>
      </c>
      <c r="O385" s="20">
        <f t="shared" si="5"/>
        <v>11</v>
      </c>
      <c r="P385" s="22" t="s">
        <v>8975</v>
      </c>
      <c r="Q385" s="21" t="s">
        <v>9061</v>
      </c>
      <c r="R385" s="23" t="s">
        <v>9213</v>
      </c>
      <c r="S385" s="24" t="s">
        <v>180</v>
      </c>
      <c r="T385" s="24" t="str">
        <f>VLOOKUP(R385,[1]Sheet3!$A$2:$A$47,1,0)</f>
        <v>South Korea</v>
      </c>
      <c r="U385" s="24" t="s">
        <v>11459</v>
      </c>
      <c r="V385" s="24" t="s">
        <v>11460</v>
      </c>
      <c r="W385" s="18" t="s">
        <v>8964</v>
      </c>
      <c r="X385" s="26" t="s">
        <v>180</v>
      </c>
      <c r="Y385" s="18" t="s">
        <v>11199</v>
      </c>
      <c r="Z385" s="24" t="s">
        <v>17</v>
      </c>
    </row>
    <row r="386" spans="1:26" ht="20.100000000000001" customHeight="1" x14ac:dyDescent="0.2">
      <c r="A386" s="18" t="s">
        <v>11461</v>
      </c>
      <c r="B386" s="19" t="s">
        <v>11462</v>
      </c>
      <c r="C386" s="19" t="s">
        <v>11463</v>
      </c>
      <c r="D386" s="8" t="s">
        <v>9100</v>
      </c>
      <c r="E386" s="20" t="s">
        <v>8998</v>
      </c>
      <c r="F386" s="20" t="s">
        <v>8950</v>
      </c>
      <c r="G386" s="20" t="s">
        <v>8987</v>
      </c>
      <c r="H386" s="31">
        <v>1018</v>
      </c>
      <c r="I386" s="20" t="s">
        <v>8952</v>
      </c>
      <c r="J386" s="20" t="s">
        <v>8953</v>
      </c>
      <c r="K386" s="20" t="s">
        <v>8954</v>
      </c>
      <c r="L386" s="21" t="s">
        <v>8955</v>
      </c>
      <c r="M386" s="20" t="s">
        <v>8956</v>
      </c>
      <c r="N386" s="20" t="s">
        <v>8957</v>
      </c>
      <c r="O386" s="20">
        <f t="shared" ref="O386:O449" si="6">1+LEN(V386)-LEN(SUBSTITUTE(V386,";",))</f>
        <v>3</v>
      </c>
      <c r="P386" s="22" t="s">
        <v>9103</v>
      </c>
      <c r="Q386" s="21" t="s">
        <v>9061</v>
      </c>
      <c r="R386" s="23" t="s">
        <v>9010</v>
      </c>
      <c r="S386" s="24" t="s">
        <v>9011</v>
      </c>
      <c r="T386" s="24" t="str">
        <f>VLOOKUP(R386,[1]Sheet3!$A$2:$A$47,1,0)</f>
        <v>the United States of America</v>
      </c>
      <c r="U386" s="24" t="s">
        <v>11464</v>
      </c>
      <c r="V386" s="24" t="s">
        <v>11465</v>
      </c>
      <c r="W386" s="18" t="s">
        <v>8964</v>
      </c>
      <c r="X386" s="26" t="s">
        <v>93</v>
      </c>
      <c r="Y386" s="18" t="s">
        <v>9014</v>
      </c>
      <c r="Z386" s="24" t="s">
        <v>11</v>
      </c>
    </row>
    <row r="387" spans="1:26" ht="20.100000000000001" customHeight="1" x14ac:dyDescent="0.2">
      <c r="A387" s="18" t="s">
        <v>11466</v>
      </c>
      <c r="B387" s="19" t="s">
        <v>11467</v>
      </c>
      <c r="C387" s="19" t="s">
        <v>11468</v>
      </c>
      <c r="D387" s="8" t="s">
        <v>9035</v>
      </c>
      <c r="E387" s="20" t="s">
        <v>8998</v>
      </c>
      <c r="F387" s="20" t="s">
        <v>8950</v>
      </c>
      <c r="G387" s="20" t="s">
        <v>9133</v>
      </c>
      <c r="H387" s="31">
        <v>727</v>
      </c>
      <c r="I387" s="20" t="s">
        <v>9077</v>
      </c>
      <c r="J387" s="20" t="s">
        <v>8953</v>
      </c>
      <c r="K387" s="20" t="s">
        <v>8989</v>
      </c>
      <c r="L387" s="21" t="s">
        <v>8955</v>
      </c>
      <c r="M387" s="20" t="s">
        <v>8956</v>
      </c>
      <c r="N387" s="20" t="s">
        <v>8959</v>
      </c>
      <c r="O387" s="20">
        <f t="shared" si="6"/>
        <v>11</v>
      </c>
      <c r="P387" s="22" t="s">
        <v>8975</v>
      </c>
      <c r="Q387" s="21" t="s">
        <v>9183</v>
      </c>
      <c r="R387" s="23" t="s">
        <v>9010</v>
      </c>
      <c r="S387" s="24" t="s">
        <v>9558</v>
      </c>
      <c r="T387" s="24" t="str">
        <f>VLOOKUP(R387,[1]Sheet3!$A$2:$A$47,1,0)</f>
        <v>the United States of America</v>
      </c>
      <c r="U387" s="24" t="s">
        <v>11469</v>
      </c>
      <c r="V387" s="24" t="s">
        <v>11470</v>
      </c>
      <c r="W387" s="18" t="s">
        <v>8964</v>
      </c>
      <c r="X387" s="26" t="s">
        <v>1322</v>
      </c>
      <c r="Y387" s="18" t="s">
        <v>9561</v>
      </c>
      <c r="Z387" s="24" t="s">
        <v>11</v>
      </c>
    </row>
    <row r="388" spans="1:26" ht="20.100000000000001" customHeight="1" x14ac:dyDescent="0.2">
      <c r="A388" s="18" t="s">
        <v>11471</v>
      </c>
      <c r="B388" s="19" t="s">
        <v>11472</v>
      </c>
      <c r="C388" s="19" t="s">
        <v>11473</v>
      </c>
      <c r="D388" s="8" t="s">
        <v>9100</v>
      </c>
      <c r="E388" s="20" t="s">
        <v>9121</v>
      </c>
      <c r="F388" s="20" t="s">
        <v>11474</v>
      </c>
      <c r="G388" s="20" t="s">
        <v>9292</v>
      </c>
      <c r="H388" s="31">
        <v>1000</v>
      </c>
      <c r="I388" s="20" t="s">
        <v>8952</v>
      </c>
      <c r="J388" s="20" t="s">
        <v>8953</v>
      </c>
      <c r="K388" s="20" t="s">
        <v>8989</v>
      </c>
      <c r="L388" s="21" t="s">
        <v>8955</v>
      </c>
      <c r="M388" s="20" t="s">
        <v>8956</v>
      </c>
      <c r="N388" s="20" t="s">
        <v>8957</v>
      </c>
      <c r="O388" s="20">
        <f t="shared" si="6"/>
        <v>2</v>
      </c>
      <c r="P388" s="22" t="s">
        <v>9103</v>
      </c>
      <c r="Q388" s="21" t="s">
        <v>9061</v>
      </c>
      <c r="R388" s="23" t="s">
        <v>9010</v>
      </c>
      <c r="S388" s="24" t="s">
        <v>9853</v>
      </c>
      <c r="T388" s="24" t="str">
        <f>VLOOKUP(R388,[1]Sheet3!$A$2:$A$47,1,0)</f>
        <v>the United States of America</v>
      </c>
      <c r="U388" s="24" t="s">
        <v>11475</v>
      </c>
      <c r="V388" s="24" t="s">
        <v>11476</v>
      </c>
      <c r="W388" s="18" t="s">
        <v>8964</v>
      </c>
      <c r="X388" s="26" t="s">
        <v>3167</v>
      </c>
      <c r="Y388" s="18" t="s">
        <v>9856</v>
      </c>
      <c r="Z388" s="24" t="s">
        <v>11</v>
      </c>
    </row>
    <row r="389" spans="1:26" ht="20.100000000000001" customHeight="1" x14ac:dyDescent="0.2">
      <c r="A389" s="18" t="s">
        <v>11477</v>
      </c>
      <c r="B389" s="19" t="s">
        <v>11478</v>
      </c>
      <c r="C389" s="19" t="s">
        <v>11479</v>
      </c>
      <c r="D389" s="8" t="s">
        <v>9092</v>
      </c>
      <c r="E389" s="20" t="s">
        <v>8998</v>
      </c>
      <c r="F389" s="20" t="s">
        <v>8972</v>
      </c>
      <c r="G389" s="20" t="s">
        <v>9464</v>
      </c>
      <c r="H389" s="31">
        <v>3500</v>
      </c>
      <c r="I389" s="20" t="s">
        <v>9019</v>
      </c>
      <c r="J389" s="20" t="s">
        <v>8953</v>
      </c>
      <c r="K389" s="20" t="s">
        <v>8989</v>
      </c>
      <c r="L389" s="21" t="s">
        <v>8955</v>
      </c>
      <c r="M389" s="20" t="s">
        <v>8956</v>
      </c>
      <c r="N389" s="20" t="s">
        <v>9060</v>
      </c>
      <c r="O389" s="20">
        <f t="shared" si="6"/>
        <v>5</v>
      </c>
      <c r="P389" s="22" t="s">
        <v>8958</v>
      </c>
      <c r="Q389" s="21" t="s">
        <v>9183</v>
      </c>
      <c r="R389" s="23" t="s">
        <v>9213</v>
      </c>
      <c r="S389" s="24" t="s">
        <v>9011</v>
      </c>
      <c r="T389" s="24" t="str">
        <f>VLOOKUP(R389,[1]Sheet3!$A$2:$A$47,1,0)</f>
        <v>South Korea</v>
      </c>
      <c r="U389" s="24" t="s">
        <v>11480</v>
      </c>
      <c r="V389" s="24" t="s">
        <v>11481</v>
      </c>
      <c r="W389" s="18" t="s">
        <v>8964</v>
      </c>
      <c r="X389" s="26" t="s">
        <v>93</v>
      </c>
      <c r="Y389" s="18" t="s">
        <v>9014</v>
      </c>
      <c r="Z389" s="24" t="s">
        <v>11</v>
      </c>
    </row>
    <row r="390" spans="1:26" ht="20.100000000000001" customHeight="1" x14ac:dyDescent="0.2">
      <c r="A390" s="18" t="s">
        <v>11482</v>
      </c>
      <c r="B390" s="19" t="s">
        <v>11483</v>
      </c>
      <c r="C390" s="19" t="s">
        <v>11484</v>
      </c>
      <c r="D390" s="8" t="s">
        <v>9035</v>
      </c>
      <c r="E390" s="20" t="s">
        <v>8998</v>
      </c>
      <c r="F390" s="20" t="s">
        <v>8972</v>
      </c>
      <c r="G390" s="20" t="s">
        <v>9076</v>
      </c>
      <c r="H390" s="31">
        <v>40</v>
      </c>
      <c r="I390" s="20" t="s">
        <v>9008</v>
      </c>
      <c r="J390" s="20" t="s">
        <v>9059</v>
      </c>
      <c r="K390" s="20" t="s">
        <v>8989</v>
      </c>
      <c r="L390" s="21" t="s">
        <v>8955</v>
      </c>
      <c r="M390" s="20" t="s">
        <v>8956</v>
      </c>
      <c r="N390" s="20" t="s">
        <v>8957</v>
      </c>
      <c r="O390" s="20">
        <f t="shared" si="6"/>
        <v>2</v>
      </c>
      <c r="P390" s="22" t="s">
        <v>9103</v>
      </c>
      <c r="Q390" s="21" t="s">
        <v>10901</v>
      </c>
      <c r="R390" s="23" t="s">
        <v>9213</v>
      </c>
      <c r="S390" s="24" t="s">
        <v>9020</v>
      </c>
      <c r="T390" s="24" t="str">
        <f>VLOOKUP(R390,[1]Sheet3!$A$2:$A$47,1,0)</f>
        <v>South Korea</v>
      </c>
      <c r="U390" s="24" t="s">
        <v>11485</v>
      </c>
      <c r="V390" s="24" t="s">
        <v>11486</v>
      </c>
      <c r="W390" s="18" t="s">
        <v>8964</v>
      </c>
      <c r="X390" s="26" t="s">
        <v>87</v>
      </c>
      <c r="Y390" s="18" t="s">
        <v>9023</v>
      </c>
      <c r="Z390" s="24" t="s">
        <v>17</v>
      </c>
    </row>
    <row r="391" spans="1:26" ht="20.100000000000001" customHeight="1" x14ac:dyDescent="0.2">
      <c r="A391" s="18" t="s">
        <v>11487</v>
      </c>
      <c r="B391" s="19" t="s">
        <v>11488</v>
      </c>
      <c r="C391" s="19" t="s">
        <v>11489</v>
      </c>
      <c r="D391" s="8" t="s">
        <v>8984</v>
      </c>
      <c r="E391" s="20" t="s">
        <v>8949</v>
      </c>
      <c r="F391" s="20" t="s">
        <v>8972</v>
      </c>
      <c r="G391" s="20" t="s">
        <v>10891</v>
      </c>
      <c r="H391" s="31">
        <v>98568</v>
      </c>
      <c r="I391" s="20" t="s">
        <v>9019</v>
      </c>
      <c r="J391" s="20" t="s">
        <v>8953</v>
      </c>
      <c r="K391" s="20" t="s">
        <v>8989</v>
      </c>
      <c r="L391" s="21" t="s">
        <v>8955</v>
      </c>
      <c r="M391" s="20" t="s">
        <v>8956</v>
      </c>
      <c r="N391" s="20" t="s">
        <v>8974</v>
      </c>
      <c r="O391" s="20">
        <f t="shared" si="6"/>
        <v>6</v>
      </c>
      <c r="P391" s="22" t="s">
        <v>8958</v>
      </c>
      <c r="Q391" s="21" t="s">
        <v>9183</v>
      </c>
      <c r="R391" s="23" t="s">
        <v>9010</v>
      </c>
      <c r="S391" s="24" t="s">
        <v>9228</v>
      </c>
      <c r="T391" s="24" t="str">
        <f>VLOOKUP(R391,[1]Sheet3!$A$2:$A$47,1,0)</f>
        <v>the United States of America</v>
      </c>
      <c r="U391" s="24" t="s">
        <v>11490</v>
      </c>
      <c r="V391" s="24" t="s">
        <v>11491</v>
      </c>
      <c r="W391" s="18" t="s">
        <v>8964</v>
      </c>
      <c r="X391" s="26" t="s">
        <v>110</v>
      </c>
      <c r="Y391" s="18" t="s">
        <v>9231</v>
      </c>
      <c r="Z391" s="24" t="s">
        <v>11</v>
      </c>
    </row>
    <row r="392" spans="1:26" ht="20.100000000000001" customHeight="1" x14ac:dyDescent="0.2">
      <c r="A392" s="18" t="s">
        <v>11492</v>
      </c>
      <c r="B392" s="19" t="s">
        <v>11493</v>
      </c>
      <c r="C392" s="19" t="s">
        <v>11494</v>
      </c>
      <c r="D392" s="8" t="s">
        <v>8948</v>
      </c>
      <c r="E392" s="20" t="s">
        <v>8949</v>
      </c>
      <c r="F392" s="20" t="s">
        <v>11495</v>
      </c>
      <c r="G392" s="20" t="s">
        <v>8987</v>
      </c>
      <c r="H392" s="31">
        <v>78</v>
      </c>
      <c r="I392" s="20" t="s">
        <v>9008</v>
      </c>
      <c r="J392" s="20" t="s">
        <v>9059</v>
      </c>
      <c r="K392" s="20" t="s">
        <v>8989</v>
      </c>
      <c r="L392" s="21" t="s">
        <v>8955</v>
      </c>
      <c r="M392" s="20" t="s">
        <v>8956</v>
      </c>
      <c r="N392" s="20" t="s">
        <v>8957</v>
      </c>
      <c r="O392" s="20">
        <f t="shared" si="6"/>
        <v>10</v>
      </c>
      <c r="P392" s="22" t="s">
        <v>8975</v>
      </c>
      <c r="Q392" s="21" t="s">
        <v>9061</v>
      </c>
      <c r="R392" s="23" t="s">
        <v>9333</v>
      </c>
      <c r="S392" s="24" t="s">
        <v>10136</v>
      </c>
      <c r="T392" s="24" t="str">
        <f>VLOOKUP(R392,[1]Sheet3!$A$2:$A$47,1,0)</f>
        <v>Japan</v>
      </c>
      <c r="U392" s="24" t="s">
        <v>11496</v>
      </c>
      <c r="V392" s="24" t="s">
        <v>11497</v>
      </c>
      <c r="W392" s="18" t="s">
        <v>8964</v>
      </c>
      <c r="X392" s="26" t="s">
        <v>2172</v>
      </c>
      <c r="Y392" s="18" t="s">
        <v>10139</v>
      </c>
      <c r="Z392" s="24" t="s">
        <v>11</v>
      </c>
    </row>
    <row r="393" spans="1:26" ht="20.100000000000001" customHeight="1" x14ac:dyDescent="0.2">
      <c r="A393" s="18" t="s">
        <v>11498</v>
      </c>
      <c r="B393" s="19" t="s">
        <v>11499</v>
      </c>
      <c r="C393" s="19" t="s">
        <v>11500</v>
      </c>
      <c r="D393" s="8" t="s">
        <v>8948</v>
      </c>
      <c r="E393" s="20" t="s">
        <v>8998</v>
      </c>
      <c r="F393" s="20" t="s">
        <v>9036</v>
      </c>
      <c r="G393" s="20" t="s">
        <v>9292</v>
      </c>
      <c r="H393" s="31">
        <v>2875</v>
      </c>
      <c r="I393" s="20" t="s">
        <v>8952</v>
      </c>
      <c r="J393" s="20" t="s">
        <v>8953</v>
      </c>
      <c r="K393" s="20" t="s">
        <v>8989</v>
      </c>
      <c r="L393" s="21" t="s">
        <v>8955</v>
      </c>
      <c r="M393" s="20" t="s">
        <v>8956</v>
      </c>
      <c r="N393" s="20" t="s">
        <v>8959</v>
      </c>
      <c r="O393" s="20">
        <f t="shared" si="6"/>
        <v>12</v>
      </c>
      <c r="P393" s="22" t="s">
        <v>8975</v>
      </c>
      <c r="Q393" s="21" t="s">
        <v>9183</v>
      </c>
      <c r="R393" s="23" t="s">
        <v>9010</v>
      </c>
      <c r="S393" s="24" t="s">
        <v>9255</v>
      </c>
      <c r="T393" s="24" t="str">
        <f>VLOOKUP(R393,[1]Sheet3!$A$2:$A$47,1,0)</f>
        <v>the United States of America</v>
      </c>
      <c r="U393" s="24" t="s">
        <v>11501</v>
      </c>
      <c r="V393" s="24" t="s">
        <v>11502</v>
      </c>
      <c r="W393" s="18" t="s">
        <v>8964</v>
      </c>
      <c r="X393" s="26" t="s">
        <v>24</v>
      </c>
      <c r="Y393" s="18" t="s">
        <v>9258</v>
      </c>
      <c r="Z393" s="24" t="s">
        <v>11</v>
      </c>
    </row>
    <row r="394" spans="1:26" ht="20.100000000000001" customHeight="1" x14ac:dyDescent="0.2">
      <c r="A394" s="18" t="s">
        <v>11503</v>
      </c>
      <c r="B394" s="19" t="s">
        <v>11504</v>
      </c>
      <c r="C394" s="19" t="s">
        <v>11505</v>
      </c>
      <c r="D394" s="8" t="s">
        <v>11108</v>
      </c>
      <c r="E394" s="20" t="s">
        <v>8998</v>
      </c>
      <c r="F394" s="20" t="s">
        <v>10258</v>
      </c>
      <c r="G394" s="20" t="s">
        <v>8987</v>
      </c>
      <c r="H394" s="31">
        <v>1157</v>
      </c>
      <c r="I394" s="20" t="s">
        <v>8952</v>
      </c>
      <c r="J394" s="20" t="s">
        <v>8953</v>
      </c>
      <c r="K394" s="20" t="s">
        <v>8954</v>
      </c>
      <c r="L394" s="21" t="s">
        <v>8955</v>
      </c>
      <c r="M394" s="20" t="s">
        <v>8956</v>
      </c>
      <c r="N394" s="20" t="s">
        <v>8959</v>
      </c>
      <c r="O394" s="20">
        <f t="shared" si="6"/>
        <v>4</v>
      </c>
      <c r="P394" s="22" t="s">
        <v>8958</v>
      </c>
      <c r="Q394" s="21" t="s">
        <v>9183</v>
      </c>
      <c r="R394" s="23" t="s">
        <v>11506</v>
      </c>
      <c r="S394" s="24" t="s">
        <v>11507</v>
      </c>
      <c r="T394" s="24" t="str">
        <f>VLOOKUP(R394,[1]Sheet3!$A$2:$A$47,1,0)</f>
        <v>Italy</v>
      </c>
      <c r="U394" s="24" t="s">
        <v>11508</v>
      </c>
      <c r="V394" s="24" t="s">
        <v>11509</v>
      </c>
      <c r="W394" s="18" t="s">
        <v>8964</v>
      </c>
      <c r="X394" s="26" t="s">
        <v>2196</v>
      </c>
      <c r="Y394" s="18" t="s">
        <v>11510</v>
      </c>
      <c r="Z394" s="24" t="s">
        <v>11</v>
      </c>
    </row>
    <row r="395" spans="1:26" ht="20.100000000000001" customHeight="1" x14ac:dyDescent="0.2">
      <c r="A395" s="18" t="s">
        <v>11511</v>
      </c>
      <c r="B395" s="19" t="s">
        <v>11512</v>
      </c>
      <c r="D395" s="8" t="s">
        <v>11108</v>
      </c>
      <c r="E395" s="20" t="s">
        <v>8998</v>
      </c>
      <c r="F395" s="20" t="s">
        <v>8950</v>
      </c>
      <c r="G395" s="20" t="s">
        <v>8987</v>
      </c>
      <c r="H395" s="31">
        <v>150</v>
      </c>
      <c r="I395" s="20" t="s">
        <v>9158</v>
      </c>
      <c r="J395" s="20" t="s">
        <v>8953</v>
      </c>
      <c r="K395" s="20" t="s">
        <v>8989</v>
      </c>
      <c r="L395" s="21" t="s">
        <v>8955</v>
      </c>
      <c r="M395" s="20" t="s">
        <v>8990</v>
      </c>
      <c r="N395" s="20" t="s">
        <v>8959</v>
      </c>
      <c r="O395" s="20">
        <f t="shared" si="6"/>
        <v>1</v>
      </c>
      <c r="P395" s="22" t="s">
        <v>9103</v>
      </c>
      <c r="Q395" s="21" t="s">
        <v>9183</v>
      </c>
      <c r="R395" s="23" t="s">
        <v>9010</v>
      </c>
      <c r="S395" s="24" t="s">
        <v>11507</v>
      </c>
      <c r="T395" s="24" t="str">
        <f>VLOOKUP(R395,[1]Sheet3!$A$2:$A$47,1,0)</f>
        <v>the United States of America</v>
      </c>
      <c r="U395" s="24" t="s">
        <v>11513</v>
      </c>
      <c r="V395" s="24" t="s">
        <v>11514</v>
      </c>
      <c r="W395" s="18" t="s">
        <v>8964</v>
      </c>
      <c r="X395" s="26" t="s">
        <v>2196</v>
      </c>
      <c r="Y395" s="18" t="s">
        <v>11510</v>
      </c>
      <c r="Z395" s="24" t="s">
        <v>11</v>
      </c>
    </row>
    <row r="396" spans="1:26" ht="20.100000000000001" customHeight="1" x14ac:dyDescent="0.2">
      <c r="A396" s="18" t="s">
        <v>11515</v>
      </c>
      <c r="B396" s="19" t="s">
        <v>11516</v>
      </c>
      <c r="C396" s="19" t="s">
        <v>11517</v>
      </c>
      <c r="D396" s="8" t="s">
        <v>9154</v>
      </c>
      <c r="E396" s="20" t="s">
        <v>8949</v>
      </c>
      <c r="F396" s="20" t="s">
        <v>11518</v>
      </c>
      <c r="G396" s="20" t="s">
        <v>9133</v>
      </c>
      <c r="H396" s="31">
        <v>165</v>
      </c>
      <c r="I396" s="20" t="s">
        <v>9158</v>
      </c>
      <c r="J396" s="20" t="s">
        <v>8953</v>
      </c>
      <c r="K396" s="20" t="s">
        <v>8989</v>
      </c>
      <c r="L396" s="21" t="s">
        <v>8955</v>
      </c>
      <c r="M396" s="20" t="s">
        <v>8956</v>
      </c>
      <c r="N396" s="20" t="s">
        <v>8957</v>
      </c>
      <c r="O396" s="20">
        <f t="shared" si="6"/>
        <v>11</v>
      </c>
      <c r="P396" s="22" t="s">
        <v>8975</v>
      </c>
      <c r="Q396" s="21" t="s">
        <v>9183</v>
      </c>
      <c r="R396" s="23" t="s">
        <v>9310</v>
      </c>
      <c r="S396" s="24" t="s">
        <v>8961</v>
      </c>
      <c r="T396" s="24" t="str">
        <f>VLOOKUP(R396,[1]Sheet3!$A$2:$A$47,1,0)</f>
        <v>China</v>
      </c>
      <c r="U396" s="24" t="s">
        <v>11519</v>
      </c>
      <c r="V396" s="24" t="s">
        <v>11520</v>
      </c>
      <c r="W396" s="18" t="s">
        <v>8964</v>
      </c>
      <c r="X396" s="26" t="s">
        <v>126</v>
      </c>
      <c r="Y396" s="18" t="s">
        <v>8966</v>
      </c>
      <c r="Z396" s="24" t="s">
        <v>11</v>
      </c>
    </row>
    <row r="397" spans="1:26" ht="20.100000000000001" customHeight="1" x14ac:dyDescent="0.2">
      <c r="A397" s="18" t="s">
        <v>11521</v>
      </c>
      <c r="B397" s="19" t="s">
        <v>11522</v>
      </c>
      <c r="C397" s="19" t="s">
        <v>11523</v>
      </c>
      <c r="D397" s="8" t="s">
        <v>9252</v>
      </c>
      <c r="E397" s="20" t="s">
        <v>9253</v>
      </c>
      <c r="F397" s="20" t="s">
        <v>11524</v>
      </c>
      <c r="G397" s="20" t="s">
        <v>8951</v>
      </c>
      <c r="H397" s="31">
        <v>632</v>
      </c>
      <c r="I397" s="20" t="s">
        <v>9077</v>
      </c>
      <c r="J397" s="20" t="s">
        <v>8953</v>
      </c>
      <c r="K397" s="20" t="s">
        <v>8989</v>
      </c>
      <c r="L397" s="21" t="s">
        <v>8955</v>
      </c>
      <c r="M397" s="20" t="s">
        <v>8956</v>
      </c>
      <c r="N397" s="20" t="s">
        <v>8957</v>
      </c>
      <c r="O397" s="20">
        <f t="shared" si="6"/>
        <v>8</v>
      </c>
      <c r="P397" s="22" t="s">
        <v>8975</v>
      </c>
      <c r="Q397" s="21" t="s">
        <v>9183</v>
      </c>
      <c r="R397" s="23" t="s">
        <v>9213</v>
      </c>
      <c r="S397" s="24" t="s">
        <v>9228</v>
      </c>
      <c r="T397" s="24" t="str">
        <f>VLOOKUP(R397,[1]Sheet3!$A$2:$A$47,1,0)</f>
        <v>South Korea</v>
      </c>
      <c r="U397" s="24" t="s">
        <v>10713</v>
      </c>
      <c r="V397" s="24" t="s">
        <v>11525</v>
      </c>
      <c r="W397" s="18" t="s">
        <v>8964</v>
      </c>
      <c r="X397" s="26" t="s">
        <v>110</v>
      </c>
      <c r="Y397" s="18" t="s">
        <v>9231</v>
      </c>
      <c r="Z397" s="24" t="s">
        <v>11</v>
      </c>
    </row>
    <row r="398" spans="1:26" ht="20.100000000000001" customHeight="1" x14ac:dyDescent="0.2">
      <c r="A398" s="18" t="s">
        <v>11526</v>
      </c>
      <c r="B398" s="19" t="s">
        <v>11527</v>
      </c>
      <c r="C398" s="19" t="s">
        <v>11528</v>
      </c>
      <c r="D398" s="8" t="s">
        <v>9100</v>
      </c>
      <c r="E398" s="20" t="s">
        <v>9155</v>
      </c>
      <c r="F398" s="33" t="s">
        <v>9658</v>
      </c>
      <c r="G398" s="20" t="s">
        <v>8987</v>
      </c>
      <c r="H398" s="31">
        <v>240</v>
      </c>
      <c r="I398" s="20" t="s">
        <v>9158</v>
      </c>
      <c r="J398" s="20" t="s">
        <v>8953</v>
      </c>
      <c r="K398" s="20" t="s">
        <v>8989</v>
      </c>
      <c r="L398" s="21" t="s">
        <v>8955</v>
      </c>
      <c r="M398" s="20" t="s">
        <v>8956</v>
      </c>
      <c r="N398" s="20" t="s">
        <v>8959</v>
      </c>
      <c r="O398" s="20">
        <f t="shared" si="6"/>
        <v>8</v>
      </c>
      <c r="P398" s="22" t="s">
        <v>8975</v>
      </c>
      <c r="Q398" s="21" t="s">
        <v>9061</v>
      </c>
      <c r="R398" s="23" t="s">
        <v>9333</v>
      </c>
      <c r="S398" s="24" t="s">
        <v>9550</v>
      </c>
      <c r="T398" s="24" t="str">
        <f>VLOOKUP(R398,[1]Sheet3!$A$2:$A$47,1,0)</f>
        <v>Japan</v>
      </c>
      <c r="U398" s="24" t="s">
        <v>11529</v>
      </c>
      <c r="V398" s="24" t="s">
        <v>11530</v>
      </c>
      <c r="W398" s="18" t="s">
        <v>8964</v>
      </c>
      <c r="X398" s="26" t="s">
        <v>234</v>
      </c>
      <c r="Y398" s="18" t="s">
        <v>9553</v>
      </c>
      <c r="Z398" s="24" t="s">
        <v>11</v>
      </c>
    </row>
    <row r="399" spans="1:26" ht="20.100000000000001" customHeight="1" x14ac:dyDescent="0.2">
      <c r="A399" s="18" t="s">
        <v>11531</v>
      </c>
      <c r="B399" s="19" t="s">
        <v>11532</v>
      </c>
      <c r="C399" s="19" t="s">
        <v>11533</v>
      </c>
      <c r="D399" s="8" t="s">
        <v>9049</v>
      </c>
      <c r="E399" s="20" t="s">
        <v>9325</v>
      </c>
      <c r="F399" s="33" t="s">
        <v>9041</v>
      </c>
      <c r="G399" s="20" t="s">
        <v>8987</v>
      </c>
      <c r="H399" s="31">
        <v>529</v>
      </c>
      <c r="I399" s="20" t="s">
        <v>9077</v>
      </c>
      <c r="J399" s="20" t="s">
        <v>8953</v>
      </c>
      <c r="K399" s="20" t="s">
        <v>8989</v>
      </c>
      <c r="L399" s="21" t="s">
        <v>8955</v>
      </c>
      <c r="M399" s="20" t="s">
        <v>8956</v>
      </c>
      <c r="N399" s="20" t="s">
        <v>8959</v>
      </c>
      <c r="O399" s="20">
        <f t="shared" si="6"/>
        <v>8</v>
      </c>
      <c r="P399" s="22" t="s">
        <v>8975</v>
      </c>
      <c r="Q399" s="21" t="s">
        <v>9183</v>
      </c>
      <c r="R399" s="23" t="s">
        <v>9356</v>
      </c>
      <c r="S399" s="24" t="s">
        <v>11534</v>
      </c>
      <c r="T399" s="24" t="str">
        <f>VLOOKUP(R399,[1]Sheet3!$A$2:$A$47,1,0)</f>
        <v>Japan</v>
      </c>
      <c r="U399" s="24" t="s">
        <v>11535</v>
      </c>
      <c r="V399" s="24" t="s">
        <v>11536</v>
      </c>
      <c r="W399" s="18" t="s">
        <v>8964</v>
      </c>
      <c r="X399" s="26" t="s">
        <v>6821</v>
      </c>
      <c r="Y399" s="18" t="s">
        <v>11537</v>
      </c>
      <c r="Z399" s="24" t="s">
        <v>17</v>
      </c>
    </row>
    <row r="400" spans="1:26" ht="20.100000000000001" customHeight="1" x14ac:dyDescent="0.2">
      <c r="A400" s="18" t="s">
        <v>11538</v>
      </c>
      <c r="B400" s="19" t="s">
        <v>11539</v>
      </c>
      <c r="C400" s="19" t="s">
        <v>11540</v>
      </c>
      <c r="D400" s="8" t="s">
        <v>9154</v>
      </c>
      <c r="E400" s="33" t="s">
        <v>8949</v>
      </c>
      <c r="F400" s="20" t="s">
        <v>9436</v>
      </c>
      <c r="G400" s="20" t="s">
        <v>9430</v>
      </c>
      <c r="H400" s="31">
        <v>600</v>
      </c>
      <c r="I400" s="20" t="s">
        <v>9077</v>
      </c>
      <c r="J400" s="20" t="s">
        <v>9059</v>
      </c>
      <c r="K400" s="20" t="s">
        <v>8989</v>
      </c>
      <c r="L400" s="21" t="s">
        <v>8955</v>
      </c>
      <c r="M400" s="20" t="s">
        <v>8956</v>
      </c>
      <c r="N400" s="20" t="s">
        <v>8957</v>
      </c>
      <c r="O400" s="20">
        <f t="shared" si="6"/>
        <v>23</v>
      </c>
      <c r="P400" s="22" t="s">
        <v>8975</v>
      </c>
      <c r="Q400" s="21" t="s">
        <v>9009</v>
      </c>
      <c r="R400" s="23" t="s">
        <v>10873</v>
      </c>
      <c r="S400" s="24" t="s">
        <v>11541</v>
      </c>
      <c r="T400" s="24" t="str">
        <f>VLOOKUP(R400,[1]Sheet3!$A$2:$A$47,1,0)</f>
        <v>UK</v>
      </c>
      <c r="U400" s="24" t="s">
        <v>11542</v>
      </c>
      <c r="V400" s="24" t="s">
        <v>11543</v>
      </c>
      <c r="W400" s="18" t="s">
        <v>8964</v>
      </c>
      <c r="X400" s="26" t="s">
        <v>571</v>
      </c>
      <c r="Y400" s="18" t="s">
        <v>11544</v>
      </c>
      <c r="Z400" s="24" t="s">
        <v>11</v>
      </c>
    </row>
    <row r="401" spans="1:26" ht="20.100000000000001" customHeight="1" x14ac:dyDescent="0.2">
      <c r="A401" s="18" t="s">
        <v>11545</v>
      </c>
      <c r="B401" s="19" t="s">
        <v>11546</v>
      </c>
      <c r="C401" s="19" t="s">
        <v>11547</v>
      </c>
      <c r="D401" s="8" t="s">
        <v>9100</v>
      </c>
      <c r="E401" s="20" t="s">
        <v>8949</v>
      </c>
      <c r="F401" s="20" t="s">
        <v>8950</v>
      </c>
      <c r="G401" s="20" t="s">
        <v>11068</v>
      </c>
      <c r="H401" s="31">
        <v>642</v>
      </c>
      <c r="I401" s="20" t="s">
        <v>9077</v>
      </c>
      <c r="J401" s="20" t="s">
        <v>8953</v>
      </c>
      <c r="K401" s="20" t="s">
        <v>8989</v>
      </c>
      <c r="L401" s="21" t="s">
        <v>11548</v>
      </c>
      <c r="M401" s="20" t="s">
        <v>8956</v>
      </c>
      <c r="N401" s="20" t="s">
        <v>8957</v>
      </c>
      <c r="O401" s="20">
        <f t="shared" si="6"/>
        <v>4</v>
      </c>
      <c r="P401" s="22" t="s">
        <v>8958</v>
      </c>
      <c r="Q401" s="21" t="s">
        <v>9183</v>
      </c>
      <c r="R401" s="23" t="s">
        <v>9650</v>
      </c>
      <c r="S401" s="24" t="s">
        <v>11549</v>
      </c>
      <c r="T401" s="24" t="str">
        <f>VLOOKUP(R401,[1]Sheet3!$A$2:$A$47,1,0)</f>
        <v>Spain</v>
      </c>
      <c r="U401" s="24" t="s">
        <v>11550</v>
      </c>
      <c r="V401" s="24" t="s">
        <v>11551</v>
      </c>
      <c r="W401" s="18" t="s">
        <v>8964</v>
      </c>
      <c r="X401" s="26" t="s">
        <v>359</v>
      </c>
      <c r="Y401" s="18" t="s">
        <v>11552</v>
      </c>
      <c r="Z401" s="24" t="s">
        <v>11</v>
      </c>
    </row>
    <row r="402" spans="1:26" ht="20.100000000000001" customHeight="1" x14ac:dyDescent="0.2">
      <c r="A402" s="18" t="s">
        <v>11553</v>
      </c>
      <c r="B402" s="19" t="s">
        <v>11554</v>
      </c>
      <c r="C402" s="19" t="s">
        <v>11555</v>
      </c>
      <c r="D402" s="8" t="s">
        <v>9100</v>
      </c>
      <c r="E402" s="20" t="s">
        <v>8949</v>
      </c>
      <c r="F402" s="20" t="s">
        <v>8950</v>
      </c>
      <c r="G402" s="20" t="s">
        <v>8973</v>
      </c>
      <c r="H402" s="31">
        <v>53</v>
      </c>
      <c r="I402" s="20" t="s">
        <v>9008</v>
      </c>
      <c r="J402" s="20" t="s">
        <v>8953</v>
      </c>
      <c r="K402" s="20" t="s">
        <v>8954</v>
      </c>
      <c r="L402" s="21" t="s">
        <v>8955</v>
      </c>
      <c r="M402" s="20" t="s">
        <v>8956</v>
      </c>
      <c r="N402" s="20" t="s">
        <v>9060</v>
      </c>
      <c r="O402" s="20">
        <f t="shared" si="6"/>
        <v>45</v>
      </c>
      <c r="P402" s="22" t="s">
        <v>8975</v>
      </c>
      <c r="Q402" s="21" t="s">
        <v>9183</v>
      </c>
      <c r="R402" s="23" t="s">
        <v>10032</v>
      </c>
      <c r="S402" s="24" t="s">
        <v>9255</v>
      </c>
      <c r="T402" s="24" t="str">
        <f>VLOOKUP(R402,[1]Sheet3!$A$2:$A$47,1,0)</f>
        <v>France</v>
      </c>
      <c r="U402" s="24" t="s">
        <v>11556</v>
      </c>
      <c r="V402" s="24" t="s">
        <v>11557</v>
      </c>
      <c r="W402" s="18" t="s">
        <v>8964</v>
      </c>
      <c r="X402" s="26" t="s">
        <v>24</v>
      </c>
      <c r="Y402" s="18" t="s">
        <v>9258</v>
      </c>
      <c r="Z402" s="24" t="s">
        <v>11</v>
      </c>
    </row>
    <row r="403" spans="1:26" ht="20.100000000000001" customHeight="1" x14ac:dyDescent="0.2">
      <c r="A403" s="18" t="s">
        <v>11558</v>
      </c>
      <c r="B403" s="19" t="s">
        <v>11559</v>
      </c>
      <c r="C403" s="19" t="s">
        <v>11560</v>
      </c>
      <c r="D403" s="8" t="s">
        <v>9075</v>
      </c>
      <c r="E403" s="20" t="s">
        <v>8949</v>
      </c>
      <c r="F403" s="20" t="s">
        <v>9018</v>
      </c>
      <c r="G403" s="20" t="s">
        <v>8987</v>
      </c>
      <c r="H403" s="31">
        <v>182</v>
      </c>
      <c r="I403" s="20" t="s">
        <v>9158</v>
      </c>
      <c r="J403" s="20" t="s">
        <v>8953</v>
      </c>
      <c r="K403" s="20" t="s">
        <v>8989</v>
      </c>
      <c r="L403" s="21" t="s">
        <v>8955</v>
      </c>
      <c r="M403" s="20" t="s">
        <v>8956</v>
      </c>
      <c r="N403" s="20" t="s">
        <v>8957</v>
      </c>
      <c r="O403" s="20">
        <f t="shared" si="6"/>
        <v>2</v>
      </c>
      <c r="P403" s="22" t="s">
        <v>9103</v>
      </c>
      <c r="Q403" s="21" t="s">
        <v>9061</v>
      </c>
      <c r="R403" s="23" t="s">
        <v>9981</v>
      </c>
      <c r="S403" s="24" t="s">
        <v>9028</v>
      </c>
      <c r="T403" s="24" t="str">
        <f>VLOOKUP(R403,[1]Sheet3!$A$2:$A$47,1,0)</f>
        <v>India</v>
      </c>
      <c r="U403" s="24" t="s">
        <v>11561</v>
      </c>
      <c r="V403" s="24" t="s">
        <v>11562</v>
      </c>
      <c r="W403" s="18" t="s">
        <v>8964</v>
      </c>
      <c r="X403" s="26" t="s">
        <v>43</v>
      </c>
      <c r="Y403" s="18" t="s">
        <v>9031</v>
      </c>
      <c r="Z403" s="24" t="s">
        <v>11</v>
      </c>
    </row>
    <row r="404" spans="1:26" ht="20.100000000000001" customHeight="1" x14ac:dyDescent="0.2">
      <c r="A404" s="18" t="s">
        <v>11563</v>
      </c>
      <c r="B404" s="19" t="s">
        <v>11564</v>
      </c>
      <c r="C404" s="19" t="s">
        <v>11565</v>
      </c>
      <c r="D404" s="8" t="s">
        <v>11130</v>
      </c>
      <c r="E404" s="20" t="s">
        <v>8998</v>
      </c>
      <c r="F404" s="20" t="s">
        <v>8950</v>
      </c>
      <c r="G404" s="20" t="s">
        <v>9133</v>
      </c>
      <c r="H404" s="31">
        <v>100</v>
      </c>
      <c r="I404" s="20" t="s">
        <v>9008</v>
      </c>
      <c r="J404" s="20" t="s">
        <v>9059</v>
      </c>
      <c r="K404" s="20" t="s">
        <v>8989</v>
      </c>
      <c r="L404" s="21" t="s">
        <v>8955</v>
      </c>
      <c r="M404" s="20" t="s">
        <v>8956</v>
      </c>
      <c r="N404" s="20" t="s">
        <v>8957</v>
      </c>
      <c r="O404" s="20">
        <f t="shared" si="6"/>
        <v>5</v>
      </c>
      <c r="P404" s="22" t="s">
        <v>8958</v>
      </c>
      <c r="Q404" s="21" t="s">
        <v>9183</v>
      </c>
      <c r="R404" s="23" t="s">
        <v>9465</v>
      </c>
      <c r="S404" s="24" t="s">
        <v>11566</v>
      </c>
      <c r="T404" s="24" t="str">
        <f>VLOOKUP(R404,[1]Sheet3!$A$2:$A$47,1,0)</f>
        <v>Switzerland</v>
      </c>
      <c r="U404" s="24" t="s">
        <v>11567</v>
      </c>
      <c r="V404" s="24" t="s">
        <v>11568</v>
      </c>
      <c r="W404" s="18" t="s">
        <v>8964</v>
      </c>
      <c r="X404" s="26" t="s">
        <v>666</v>
      </c>
      <c r="Y404" s="18" t="s">
        <v>11569</v>
      </c>
      <c r="Z404" s="24" t="s">
        <v>17</v>
      </c>
    </row>
    <row r="405" spans="1:26" ht="20.100000000000001" customHeight="1" x14ac:dyDescent="0.2">
      <c r="A405" s="18" t="s">
        <v>11570</v>
      </c>
      <c r="B405" s="19" t="s">
        <v>11571</v>
      </c>
      <c r="C405" s="19" t="s">
        <v>11572</v>
      </c>
      <c r="D405" s="8" t="s">
        <v>9092</v>
      </c>
      <c r="E405" s="20" t="s">
        <v>8998</v>
      </c>
      <c r="F405" s="20" t="s">
        <v>8950</v>
      </c>
      <c r="G405" s="20" t="s">
        <v>9464</v>
      </c>
      <c r="H405" s="31">
        <v>30</v>
      </c>
      <c r="I405" s="20" t="s">
        <v>9008</v>
      </c>
      <c r="J405" s="20" t="s">
        <v>9059</v>
      </c>
      <c r="K405" s="20" t="s">
        <v>8989</v>
      </c>
      <c r="L405" s="21" t="s">
        <v>8955</v>
      </c>
      <c r="M405" s="20" t="s">
        <v>8956</v>
      </c>
      <c r="N405" s="20" t="s">
        <v>8957</v>
      </c>
      <c r="O405" s="20">
        <f t="shared" si="6"/>
        <v>7</v>
      </c>
      <c r="P405" s="22" t="s">
        <v>8958</v>
      </c>
      <c r="Q405" s="21" t="s">
        <v>9061</v>
      </c>
      <c r="R405" s="23" t="s">
        <v>9062</v>
      </c>
      <c r="S405" s="24" t="s">
        <v>9011</v>
      </c>
      <c r="T405" s="24" t="str">
        <f>VLOOKUP(R405,[1]Sheet3!$A$2:$A$47,1,0)</f>
        <v>Germany</v>
      </c>
      <c r="U405" s="24" t="s">
        <v>11573</v>
      </c>
      <c r="V405" s="24" t="s">
        <v>11574</v>
      </c>
      <c r="W405" s="18" t="s">
        <v>8964</v>
      </c>
      <c r="X405" s="26" t="s">
        <v>93</v>
      </c>
      <c r="Y405" s="18" t="s">
        <v>9014</v>
      </c>
      <c r="Z405" s="24" t="s">
        <v>11</v>
      </c>
    </row>
    <row r="406" spans="1:26" ht="20.100000000000001" customHeight="1" x14ac:dyDescent="0.2">
      <c r="A406" s="18" t="s">
        <v>11575</v>
      </c>
      <c r="B406" s="19" t="s">
        <v>11576</v>
      </c>
      <c r="C406" s="19" t="s">
        <v>11577</v>
      </c>
      <c r="D406" s="8" t="s">
        <v>9173</v>
      </c>
      <c r="E406" s="33" t="s">
        <v>9174</v>
      </c>
      <c r="F406" s="20" t="s">
        <v>10258</v>
      </c>
      <c r="G406" s="20" t="s">
        <v>8987</v>
      </c>
      <c r="H406" s="31">
        <v>2917</v>
      </c>
      <c r="I406" s="20" t="s">
        <v>8952</v>
      </c>
      <c r="J406" s="20" t="s">
        <v>8953</v>
      </c>
      <c r="K406" s="20" t="s">
        <v>8989</v>
      </c>
      <c r="L406" s="21" t="s">
        <v>8955</v>
      </c>
      <c r="M406" s="20" t="s">
        <v>8956</v>
      </c>
      <c r="N406" s="20" t="s">
        <v>8974</v>
      </c>
      <c r="O406" s="20">
        <f t="shared" si="6"/>
        <v>3</v>
      </c>
      <c r="P406" s="22" t="s">
        <v>9103</v>
      </c>
      <c r="Q406" s="21" t="s">
        <v>9183</v>
      </c>
      <c r="R406" s="23" t="s">
        <v>9380</v>
      </c>
      <c r="S406" s="24" t="s">
        <v>11578</v>
      </c>
      <c r="T406" s="24" t="str">
        <f>VLOOKUP(R406,[1]Sheet3!$A$2:$A$47,1,0)</f>
        <v>Canada</v>
      </c>
      <c r="U406" s="24" t="s">
        <v>11579</v>
      </c>
      <c r="V406" s="24" t="s">
        <v>11580</v>
      </c>
      <c r="W406" s="18" t="s">
        <v>8964</v>
      </c>
      <c r="X406" s="26" t="s">
        <v>8230</v>
      </c>
      <c r="Y406" s="18" t="s">
        <v>11581</v>
      </c>
      <c r="Z406" s="24" t="s">
        <v>11</v>
      </c>
    </row>
    <row r="407" spans="1:26" ht="20.100000000000001" customHeight="1" x14ac:dyDescent="0.2">
      <c r="A407" s="18" t="s">
        <v>11582</v>
      </c>
      <c r="B407" s="19" t="s">
        <v>11583</v>
      </c>
      <c r="C407" s="19" t="s">
        <v>11584</v>
      </c>
      <c r="D407" s="8" t="s">
        <v>9035</v>
      </c>
      <c r="E407" s="20" t="s">
        <v>8998</v>
      </c>
      <c r="F407" s="33" t="s">
        <v>9036</v>
      </c>
      <c r="G407" s="20" t="s">
        <v>9133</v>
      </c>
      <c r="H407" s="31">
        <v>7461</v>
      </c>
      <c r="I407" s="20" t="s">
        <v>9019</v>
      </c>
      <c r="J407" s="20" t="s">
        <v>8953</v>
      </c>
      <c r="K407" s="20" t="s">
        <v>8989</v>
      </c>
      <c r="L407" s="21" t="s">
        <v>8955</v>
      </c>
      <c r="M407" s="20" t="s">
        <v>8956</v>
      </c>
      <c r="N407" s="20" t="s">
        <v>8957</v>
      </c>
      <c r="O407" s="20">
        <f t="shared" si="6"/>
        <v>13</v>
      </c>
      <c r="P407" s="22" t="s">
        <v>8975</v>
      </c>
      <c r="Q407" s="21" t="s">
        <v>9183</v>
      </c>
      <c r="R407" s="23" t="s">
        <v>9213</v>
      </c>
      <c r="S407" s="24" t="s">
        <v>180</v>
      </c>
      <c r="T407" s="24" t="str">
        <f>VLOOKUP(R407,[1]Sheet3!$A$2:$A$47,1,0)</f>
        <v>South Korea</v>
      </c>
      <c r="U407" s="24" t="s">
        <v>11585</v>
      </c>
      <c r="V407" s="24" t="s">
        <v>11586</v>
      </c>
      <c r="W407" s="18" t="s">
        <v>8964</v>
      </c>
      <c r="X407" s="26" t="s">
        <v>180</v>
      </c>
      <c r="Y407" s="18" t="s">
        <v>11199</v>
      </c>
      <c r="Z407" s="24" t="s">
        <v>11</v>
      </c>
    </row>
    <row r="408" spans="1:26" ht="20.100000000000001" customHeight="1" x14ac:dyDescent="0.2">
      <c r="A408" s="18" t="s">
        <v>11587</v>
      </c>
      <c r="B408" s="19" t="s">
        <v>11588</v>
      </c>
      <c r="C408" s="19" t="s">
        <v>11589</v>
      </c>
      <c r="D408" s="8" t="s">
        <v>9092</v>
      </c>
      <c r="E408" s="20" t="s">
        <v>8949</v>
      </c>
      <c r="F408" s="20" t="s">
        <v>8950</v>
      </c>
      <c r="G408" s="20" t="s">
        <v>9133</v>
      </c>
      <c r="H408" s="31">
        <v>161</v>
      </c>
      <c r="I408" s="20" t="s">
        <v>9158</v>
      </c>
      <c r="J408" s="20" t="s">
        <v>8953</v>
      </c>
      <c r="K408" s="20" t="s">
        <v>8954</v>
      </c>
      <c r="L408" s="21" t="s">
        <v>8955</v>
      </c>
      <c r="M408" s="20" t="s">
        <v>8956</v>
      </c>
      <c r="N408" s="20" t="s">
        <v>8957</v>
      </c>
      <c r="O408" s="20">
        <f t="shared" si="6"/>
        <v>6</v>
      </c>
      <c r="P408" s="22" t="s">
        <v>8958</v>
      </c>
      <c r="Q408" s="21" t="s">
        <v>9183</v>
      </c>
      <c r="R408" s="23" t="s">
        <v>9213</v>
      </c>
      <c r="S408" s="24" t="s">
        <v>9255</v>
      </c>
      <c r="T408" s="24" t="str">
        <f>VLOOKUP(R408,[1]Sheet3!$A$2:$A$47,1,0)</f>
        <v>South Korea</v>
      </c>
      <c r="U408" s="24" t="s">
        <v>11590</v>
      </c>
      <c r="V408" s="24" t="s">
        <v>11591</v>
      </c>
      <c r="W408" s="18" t="s">
        <v>8964</v>
      </c>
      <c r="X408" s="26" t="s">
        <v>24</v>
      </c>
      <c r="Y408" s="18" t="s">
        <v>9258</v>
      </c>
      <c r="Z408" s="24" t="s">
        <v>11</v>
      </c>
    </row>
    <row r="409" spans="1:26" ht="20.100000000000001" customHeight="1" x14ac:dyDescent="0.2">
      <c r="A409" s="18" t="s">
        <v>11592</v>
      </c>
      <c r="B409" s="19" t="s">
        <v>11593</v>
      </c>
      <c r="C409" s="19" t="s">
        <v>11594</v>
      </c>
      <c r="D409" s="8" t="s">
        <v>8984</v>
      </c>
      <c r="E409" s="20" t="s">
        <v>9121</v>
      </c>
      <c r="F409" s="20" t="s">
        <v>9036</v>
      </c>
      <c r="G409" s="20" t="s">
        <v>8951</v>
      </c>
      <c r="H409" s="31">
        <v>366</v>
      </c>
      <c r="I409" s="20" t="s">
        <v>8988</v>
      </c>
      <c r="J409" s="20" t="s">
        <v>8953</v>
      </c>
      <c r="K409" s="20" t="s">
        <v>8954</v>
      </c>
      <c r="L409" s="21" t="s">
        <v>8955</v>
      </c>
      <c r="M409" s="20" t="s">
        <v>8956</v>
      </c>
      <c r="N409" s="20" t="s">
        <v>8957</v>
      </c>
      <c r="O409" s="20">
        <f t="shared" si="6"/>
        <v>2</v>
      </c>
      <c r="P409" s="22" t="s">
        <v>9103</v>
      </c>
      <c r="Q409" s="21" t="s">
        <v>9183</v>
      </c>
      <c r="R409" s="23" t="s">
        <v>9630</v>
      </c>
      <c r="S409" s="24" t="s">
        <v>9028</v>
      </c>
      <c r="T409" s="24" t="str">
        <f>VLOOKUP(R409,[1]Sheet3!$A$2:$A$47,1,0)</f>
        <v>Norway</v>
      </c>
      <c r="U409" s="24" t="s">
        <v>11595</v>
      </c>
      <c r="V409" s="24" t="s">
        <v>11596</v>
      </c>
      <c r="W409" s="18" t="s">
        <v>8964</v>
      </c>
      <c r="X409" s="26" t="s">
        <v>43</v>
      </c>
      <c r="Y409" s="18" t="s">
        <v>9031</v>
      </c>
      <c r="Z409" s="24" t="s">
        <v>11</v>
      </c>
    </row>
    <row r="410" spans="1:26" ht="20.100000000000001" customHeight="1" x14ac:dyDescent="0.2">
      <c r="A410" s="18" t="s">
        <v>11597</v>
      </c>
      <c r="B410" s="19" t="s">
        <v>11598</v>
      </c>
      <c r="C410" s="19" t="s">
        <v>11599</v>
      </c>
      <c r="D410" s="8" t="s">
        <v>9092</v>
      </c>
      <c r="E410" s="20" t="s">
        <v>9155</v>
      </c>
      <c r="F410" s="33" t="s">
        <v>9036</v>
      </c>
      <c r="G410" s="20" t="s">
        <v>9133</v>
      </c>
      <c r="H410" s="31">
        <v>19</v>
      </c>
      <c r="I410" s="20" t="s">
        <v>9008</v>
      </c>
      <c r="J410" s="20" t="s">
        <v>9059</v>
      </c>
      <c r="K410" s="20" t="s">
        <v>8954</v>
      </c>
      <c r="L410" s="21" t="s">
        <v>8955</v>
      </c>
      <c r="M410" s="20" t="s">
        <v>8956</v>
      </c>
      <c r="N410" s="20" t="s">
        <v>9060</v>
      </c>
      <c r="O410" s="20">
        <f t="shared" si="6"/>
        <v>10</v>
      </c>
      <c r="P410" s="22" t="s">
        <v>8975</v>
      </c>
      <c r="Q410" s="21" t="s">
        <v>9183</v>
      </c>
      <c r="R410" s="23" t="s">
        <v>9010</v>
      </c>
      <c r="S410" s="24" t="s">
        <v>11600</v>
      </c>
      <c r="T410" s="24" t="str">
        <f>VLOOKUP(R410,[1]Sheet3!$A$2:$A$47,1,0)</f>
        <v>the United States of America</v>
      </c>
      <c r="U410" s="24" t="s">
        <v>11601</v>
      </c>
      <c r="V410" s="24" t="s">
        <v>11602</v>
      </c>
      <c r="W410" s="18" t="s">
        <v>8964</v>
      </c>
      <c r="X410" s="26" t="s">
        <v>733</v>
      </c>
      <c r="Y410" s="18" t="s">
        <v>11603</v>
      </c>
      <c r="Z410" s="24" t="s">
        <v>17</v>
      </c>
    </row>
    <row r="411" spans="1:26" ht="20.100000000000001" customHeight="1" x14ac:dyDescent="0.2">
      <c r="A411" s="18" t="s">
        <v>11604</v>
      </c>
      <c r="B411" s="19" t="s">
        <v>11605</v>
      </c>
      <c r="C411" s="19" t="s">
        <v>11606</v>
      </c>
      <c r="D411" s="8" t="s">
        <v>9154</v>
      </c>
      <c r="E411" s="20" t="s">
        <v>11607</v>
      </c>
      <c r="F411" s="20" t="s">
        <v>11608</v>
      </c>
      <c r="G411" s="20" t="s">
        <v>9133</v>
      </c>
      <c r="H411" s="31">
        <v>36</v>
      </c>
      <c r="I411" s="20" t="s">
        <v>9008</v>
      </c>
      <c r="J411" s="20" t="s">
        <v>8953</v>
      </c>
      <c r="K411" s="20" t="s">
        <v>8954</v>
      </c>
      <c r="L411" s="21" t="s">
        <v>8955</v>
      </c>
      <c r="M411" s="20" t="s">
        <v>8956</v>
      </c>
      <c r="N411" s="20" t="s">
        <v>8959</v>
      </c>
      <c r="O411" s="20">
        <f t="shared" si="6"/>
        <v>3</v>
      </c>
      <c r="P411" s="22" t="s">
        <v>9103</v>
      </c>
      <c r="Q411" s="21" t="s">
        <v>9183</v>
      </c>
      <c r="R411" s="23" t="s">
        <v>9317</v>
      </c>
      <c r="S411" s="24" t="s">
        <v>11609</v>
      </c>
      <c r="T411" s="24" t="str">
        <f>VLOOKUP(R411,[1]Sheet3!$A$2:$A$47,1,0)</f>
        <v>Germany</v>
      </c>
      <c r="U411" s="24" t="s">
        <v>11610</v>
      </c>
      <c r="V411" s="24" t="s">
        <v>11611</v>
      </c>
      <c r="W411" s="18" t="s">
        <v>8964</v>
      </c>
      <c r="X411" s="26" t="s">
        <v>355</v>
      </c>
      <c r="Y411" s="18" t="s">
        <v>11612</v>
      </c>
      <c r="Z411" s="24" t="s">
        <v>11</v>
      </c>
    </row>
    <row r="412" spans="1:26" ht="20.100000000000001" customHeight="1" x14ac:dyDescent="0.2">
      <c r="A412" s="18" t="s">
        <v>11613</v>
      </c>
      <c r="B412" s="19" t="s">
        <v>11614</v>
      </c>
      <c r="C412" s="19" t="s">
        <v>11615</v>
      </c>
      <c r="D412" s="8" t="s">
        <v>9252</v>
      </c>
      <c r="E412" s="20" t="s">
        <v>11093</v>
      </c>
      <c r="F412" s="20" t="s">
        <v>11616</v>
      </c>
      <c r="G412" s="20" t="s">
        <v>8951</v>
      </c>
      <c r="H412" s="31">
        <v>20</v>
      </c>
      <c r="I412" s="20" t="s">
        <v>9008</v>
      </c>
      <c r="J412" s="20" t="s">
        <v>8953</v>
      </c>
      <c r="K412" s="20" t="s">
        <v>8989</v>
      </c>
      <c r="L412" s="21" t="s">
        <v>8955</v>
      </c>
      <c r="M412" s="20" t="s">
        <v>8956</v>
      </c>
      <c r="N412" s="20" t="s">
        <v>8957</v>
      </c>
      <c r="O412" s="20">
        <f t="shared" si="6"/>
        <v>5</v>
      </c>
      <c r="P412" s="22" t="s">
        <v>8958</v>
      </c>
      <c r="Q412" s="21" t="s">
        <v>9183</v>
      </c>
      <c r="R412" s="23" t="s">
        <v>11617</v>
      </c>
      <c r="S412" s="24" t="s">
        <v>10073</v>
      </c>
      <c r="T412" s="24" t="str">
        <f>VLOOKUP(R412,[1]Sheet3!$A$2:$A$47,1,0)</f>
        <v>The Czech republic</v>
      </c>
      <c r="U412" s="24" t="s">
        <v>11618</v>
      </c>
      <c r="V412" s="24" t="s">
        <v>11619</v>
      </c>
      <c r="W412" s="18" t="s">
        <v>8964</v>
      </c>
      <c r="X412" s="26" t="s">
        <v>210</v>
      </c>
      <c r="Y412" s="18" t="s">
        <v>10076</v>
      </c>
      <c r="Z412" s="24" t="s">
        <v>11</v>
      </c>
    </row>
    <row r="413" spans="1:26" ht="20.100000000000001" customHeight="1" x14ac:dyDescent="0.2">
      <c r="A413" s="18" t="s">
        <v>11620</v>
      </c>
      <c r="B413" s="19" t="s">
        <v>11621</v>
      </c>
      <c r="C413" s="19" t="s">
        <v>11622</v>
      </c>
      <c r="D413" s="8" t="s">
        <v>9035</v>
      </c>
      <c r="E413" s="20" t="s">
        <v>8998</v>
      </c>
      <c r="F413" s="20" t="s">
        <v>11623</v>
      </c>
      <c r="G413" s="20" t="s">
        <v>8973</v>
      </c>
      <c r="H413" s="31">
        <v>60</v>
      </c>
      <c r="I413" s="20" t="s">
        <v>9008</v>
      </c>
      <c r="J413" s="20" t="s">
        <v>8953</v>
      </c>
      <c r="K413" s="20" t="s">
        <v>8954</v>
      </c>
      <c r="L413" s="21" t="s">
        <v>8955</v>
      </c>
      <c r="M413" s="20" t="s">
        <v>8956</v>
      </c>
      <c r="N413" s="20" t="s">
        <v>9060</v>
      </c>
      <c r="O413" s="20">
        <f t="shared" si="6"/>
        <v>17</v>
      </c>
      <c r="P413" s="22" t="s">
        <v>8975</v>
      </c>
      <c r="Q413" s="21" t="s">
        <v>9183</v>
      </c>
      <c r="R413" s="23" t="s">
        <v>9010</v>
      </c>
      <c r="S413" s="24" t="s">
        <v>9011</v>
      </c>
      <c r="T413" s="24" t="str">
        <f>VLOOKUP(R413,[1]Sheet3!$A$2:$A$47,1,0)</f>
        <v>the United States of America</v>
      </c>
      <c r="U413" s="24" t="s">
        <v>11624</v>
      </c>
      <c r="V413" s="24" t="s">
        <v>11625</v>
      </c>
      <c r="W413" s="18" t="s">
        <v>8964</v>
      </c>
      <c r="X413" s="26" t="s">
        <v>93</v>
      </c>
      <c r="Y413" s="18" t="s">
        <v>9014</v>
      </c>
      <c r="Z413" s="24" t="s">
        <v>11</v>
      </c>
    </row>
    <row r="414" spans="1:26" ht="20.100000000000001" customHeight="1" x14ac:dyDescent="0.2">
      <c r="A414" s="18" t="s">
        <v>11626</v>
      </c>
      <c r="B414" s="19" t="s">
        <v>11627</v>
      </c>
      <c r="C414" s="19" t="s">
        <v>11628</v>
      </c>
      <c r="D414" s="8" t="s">
        <v>8948</v>
      </c>
      <c r="E414" s="20" t="s">
        <v>8949</v>
      </c>
      <c r="F414" s="20" t="s">
        <v>8950</v>
      </c>
      <c r="G414" s="20" t="s">
        <v>9133</v>
      </c>
      <c r="H414" s="31">
        <v>134</v>
      </c>
      <c r="I414" s="20" t="s">
        <v>9158</v>
      </c>
      <c r="J414" s="20" t="s">
        <v>8953</v>
      </c>
      <c r="K414" s="20" t="s">
        <v>8989</v>
      </c>
      <c r="L414" s="21" t="s">
        <v>8955</v>
      </c>
      <c r="M414" s="20" t="s">
        <v>8956</v>
      </c>
      <c r="N414" s="20" t="s">
        <v>8957</v>
      </c>
      <c r="O414" s="20">
        <f t="shared" si="6"/>
        <v>4</v>
      </c>
      <c r="P414" s="22" t="s">
        <v>8958</v>
      </c>
      <c r="Q414" s="21" t="s">
        <v>9183</v>
      </c>
      <c r="R414" s="23" t="s">
        <v>9010</v>
      </c>
      <c r="S414" s="24" t="s">
        <v>9159</v>
      </c>
      <c r="T414" s="24" t="str">
        <f>VLOOKUP(R414,[1]Sheet3!$A$2:$A$47,1,0)</f>
        <v>the United States of America</v>
      </c>
      <c r="U414" s="24" t="s">
        <v>11629</v>
      </c>
      <c r="V414" s="24" t="s">
        <v>11630</v>
      </c>
      <c r="W414" s="18" t="s">
        <v>8964</v>
      </c>
      <c r="X414" s="26" t="s">
        <v>61</v>
      </c>
      <c r="Y414" s="18" t="s">
        <v>9162</v>
      </c>
      <c r="Z414" s="24" t="s">
        <v>17</v>
      </c>
    </row>
    <row r="415" spans="1:26" ht="20.100000000000001" customHeight="1" x14ac:dyDescent="0.2">
      <c r="A415" s="18" t="s">
        <v>11631</v>
      </c>
      <c r="B415" s="19" t="s">
        <v>11632</v>
      </c>
      <c r="C415" s="19" t="s">
        <v>11633</v>
      </c>
      <c r="D415" s="8" t="s">
        <v>9035</v>
      </c>
      <c r="E415" s="20" t="s">
        <v>8998</v>
      </c>
      <c r="F415" s="20" t="s">
        <v>8950</v>
      </c>
      <c r="G415" s="20" t="s">
        <v>8951</v>
      </c>
      <c r="H415" s="31">
        <v>3500</v>
      </c>
      <c r="I415" s="20" t="s">
        <v>9019</v>
      </c>
      <c r="J415" s="20" t="s">
        <v>8953</v>
      </c>
      <c r="K415" s="20" t="s">
        <v>8954</v>
      </c>
      <c r="L415" s="21" t="s">
        <v>8955</v>
      </c>
      <c r="M415" s="20" t="s">
        <v>8956</v>
      </c>
      <c r="N415" s="20" t="s">
        <v>8957</v>
      </c>
      <c r="O415" s="20">
        <f t="shared" si="6"/>
        <v>4</v>
      </c>
      <c r="P415" s="22" t="s">
        <v>8958</v>
      </c>
      <c r="Q415" s="21" t="s">
        <v>9183</v>
      </c>
      <c r="R415" s="23" t="s">
        <v>9317</v>
      </c>
      <c r="S415" s="24" t="s">
        <v>9228</v>
      </c>
      <c r="T415" s="24" t="str">
        <f>VLOOKUP(R415,[1]Sheet3!$A$2:$A$47,1,0)</f>
        <v>Germany</v>
      </c>
      <c r="U415" s="24" t="s">
        <v>11634</v>
      </c>
      <c r="V415" s="24" t="s">
        <v>11635</v>
      </c>
      <c r="W415" s="18" t="s">
        <v>8964</v>
      </c>
      <c r="X415" s="26" t="s">
        <v>110</v>
      </c>
      <c r="Y415" s="18" t="s">
        <v>9231</v>
      </c>
      <c r="Z415" s="24" t="s">
        <v>11</v>
      </c>
    </row>
    <row r="416" spans="1:26" ht="20.100000000000001" customHeight="1" x14ac:dyDescent="0.2">
      <c r="A416" s="18" t="s">
        <v>11636</v>
      </c>
      <c r="B416" s="19" t="s">
        <v>11637</v>
      </c>
      <c r="C416" s="19" t="s">
        <v>11638</v>
      </c>
      <c r="D416" s="8" t="s">
        <v>8948</v>
      </c>
      <c r="E416" s="20" t="s">
        <v>8998</v>
      </c>
      <c r="F416" s="20" t="s">
        <v>11639</v>
      </c>
      <c r="G416" s="20" t="s">
        <v>8973</v>
      </c>
      <c r="H416" s="31">
        <v>32</v>
      </c>
      <c r="I416" s="20" t="s">
        <v>9008</v>
      </c>
      <c r="J416" s="20" t="s">
        <v>8953</v>
      </c>
      <c r="K416" s="20" t="s">
        <v>8989</v>
      </c>
      <c r="L416" s="21" t="s">
        <v>8955</v>
      </c>
      <c r="M416" s="20" t="s">
        <v>8956</v>
      </c>
      <c r="N416" s="20" t="s">
        <v>8957</v>
      </c>
      <c r="O416" s="20">
        <f t="shared" si="6"/>
        <v>5</v>
      </c>
      <c r="P416" s="22" t="s">
        <v>8958</v>
      </c>
      <c r="Q416" s="21" t="s">
        <v>9183</v>
      </c>
      <c r="R416" s="23" t="s">
        <v>9310</v>
      </c>
      <c r="S416" s="24" t="s">
        <v>9011</v>
      </c>
      <c r="T416" s="24" t="str">
        <f>VLOOKUP(R416,[1]Sheet3!$A$2:$A$47,1,0)</f>
        <v>China</v>
      </c>
      <c r="U416" s="24" t="s">
        <v>11640</v>
      </c>
      <c r="V416" s="24" t="s">
        <v>11641</v>
      </c>
      <c r="W416" s="18" t="s">
        <v>8964</v>
      </c>
      <c r="X416" s="26" t="s">
        <v>93</v>
      </c>
      <c r="Y416" s="18" t="s">
        <v>9014</v>
      </c>
      <c r="Z416" s="24" t="s">
        <v>11</v>
      </c>
    </row>
    <row r="417" spans="1:26" ht="20.100000000000001" customHeight="1" x14ac:dyDescent="0.2">
      <c r="A417" s="18" t="s">
        <v>11642</v>
      </c>
      <c r="B417" s="19" t="s">
        <v>11643</v>
      </c>
      <c r="C417" s="19" t="s">
        <v>11644</v>
      </c>
      <c r="D417" s="8" t="s">
        <v>9943</v>
      </c>
      <c r="E417" s="33" t="s">
        <v>8971</v>
      </c>
      <c r="F417" s="20" t="s">
        <v>8950</v>
      </c>
      <c r="G417" s="20" t="s">
        <v>9133</v>
      </c>
      <c r="H417" s="31">
        <v>804</v>
      </c>
      <c r="I417" s="20" t="s">
        <v>9077</v>
      </c>
      <c r="J417" s="20" t="s">
        <v>8953</v>
      </c>
      <c r="K417" s="20" t="s">
        <v>8954</v>
      </c>
      <c r="L417" s="21" t="s">
        <v>8955</v>
      </c>
      <c r="M417" s="20" t="s">
        <v>8956</v>
      </c>
      <c r="N417" s="20" t="s">
        <v>8959</v>
      </c>
      <c r="O417" s="20">
        <f t="shared" si="6"/>
        <v>7</v>
      </c>
      <c r="P417" s="22" t="s">
        <v>8958</v>
      </c>
      <c r="Q417" s="21" t="s">
        <v>9183</v>
      </c>
      <c r="R417" s="23" t="s">
        <v>9213</v>
      </c>
      <c r="S417" s="24" t="s">
        <v>11645</v>
      </c>
      <c r="T417" s="24" t="str">
        <f>VLOOKUP(R417,[1]Sheet3!$A$2:$A$47,1,0)</f>
        <v>South Korea</v>
      </c>
      <c r="U417" s="24" t="s">
        <v>11646</v>
      </c>
      <c r="V417" s="24" t="s">
        <v>11647</v>
      </c>
      <c r="W417" s="18" t="s">
        <v>8964</v>
      </c>
      <c r="X417" s="26" t="s">
        <v>4142</v>
      </c>
      <c r="Y417" s="18" t="s">
        <v>11648</v>
      </c>
      <c r="Z417" s="24" t="s">
        <v>11</v>
      </c>
    </row>
    <row r="418" spans="1:26" ht="20.100000000000001" customHeight="1" x14ac:dyDescent="0.2">
      <c r="A418" s="18" t="s">
        <v>11649</v>
      </c>
      <c r="B418" s="19" t="s">
        <v>11650</v>
      </c>
      <c r="C418" s="19" t="s">
        <v>11651</v>
      </c>
      <c r="D418" s="8" t="s">
        <v>8948</v>
      </c>
      <c r="E418" s="33" t="s">
        <v>9101</v>
      </c>
      <c r="F418" s="20" t="s">
        <v>9436</v>
      </c>
      <c r="G418" s="20" t="s">
        <v>8951</v>
      </c>
      <c r="H418" s="31">
        <v>962</v>
      </c>
      <c r="I418" s="20" t="s">
        <v>9077</v>
      </c>
      <c r="J418" s="20" t="s">
        <v>9059</v>
      </c>
      <c r="K418" s="20" t="s">
        <v>8989</v>
      </c>
      <c r="L418" s="21" t="s">
        <v>8955</v>
      </c>
      <c r="M418" s="20" t="s">
        <v>8956</v>
      </c>
      <c r="N418" s="20" t="s">
        <v>8957</v>
      </c>
      <c r="O418" s="20">
        <f t="shared" si="6"/>
        <v>6</v>
      </c>
      <c r="P418" s="22" t="s">
        <v>8958</v>
      </c>
      <c r="Q418" s="21" t="s">
        <v>9183</v>
      </c>
      <c r="R418" s="23" t="s">
        <v>9010</v>
      </c>
      <c r="S418" s="24" t="s">
        <v>9042</v>
      </c>
      <c r="T418" s="24" t="str">
        <f>VLOOKUP(R418,[1]Sheet3!$A$2:$A$47,1,0)</f>
        <v>the United States of America</v>
      </c>
      <c r="U418" s="24" t="s">
        <v>11652</v>
      </c>
      <c r="V418" s="24" t="s">
        <v>11653</v>
      </c>
      <c r="W418" s="18" t="s">
        <v>8964</v>
      </c>
      <c r="X418" s="26" t="s">
        <v>322</v>
      </c>
      <c r="Y418" s="18" t="s">
        <v>9045</v>
      </c>
      <c r="Z418" s="24" t="s">
        <v>11</v>
      </c>
    </row>
    <row r="419" spans="1:26" ht="20.100000000000001" customHeight="1" x14ac:dyDescent="0.2">
      <c r="A419" s="18" t="s">
        <v>11654</v>
      </c>
      <c r="B419" s="19" t="s">
        <v>11655</v>
      </c>
      <c r="C419" s="19" t="s">
        <v>11656</v>
      </c>
      <c r="D419" s="8" t="s">
        <v>9605</v>
      </c>
      <c r="E419" s="20" t="s">
        <v>9121</v>
      </c>
      <c r="F419" s="20" t="s">
        <v>11657</v>
      </c>
      <c r="G419" s="33" t="s">
        <v>9464</v>
      </c>
      <c r="H419" s="31">
        <v>34</v>
      </c>
      <c r="I419" s="20" t="s">
        <v>9008</v>
      </c>
      <c r="J419" s="20" t="s">
        <v>11658</v>
      </c>
      <c r="K419" s="20" t="s">
        <v>8954</v>
      </c>
      <c r="L419" s="21" t="s">
        <v>8955</v>
      </c>
      <c r="M419" s="20" t="s">
        <v>8956</v>
      </c>
      <c r="N419" s="20" t="s">
        <v>8957</v>
      </c>
      <c r="O419" s="20">
        <f t="shared" si="6"/>
        <v>3</v>
      </c>
      <c r="P419" s="22" t="s">
        <v>9103</v>
      </c>
      <c r="Q419" s="21" t="s">
        <v>8959</v>
      </c>
      <c r="R419" s="23" t="s">
        <v>9010</v>
      </c>
      <c r="S419" s="24" t="s">
        <v>11659</v>
      </c>
      <c r="T419" s="24" t="str">
        <f>VLOOKUP(R419,[1]Sheet3!$A$2:$A$47,1,0)</f>
        <v>the United States of America</v>
      </c>
      <c r="V419" s="24" t="s">
        <v>11660</v>
      </c>
      <c r="W419" s="18" t="s">
        <v>8964</v>
      </c>
      <c r="X419" s="26" t="s">
        <v>625</v>
      </c>
      <c r="Y419" s="18" t="s">
        <v>11661</v>
      </c>
      <c r="Z419" s="24" t="s">
        <v>17</v>
      </c>
    </row>
    <row r="420" spans="1:26" ht="20.100000000000001" customHeight="1" x14ac:dyDescent="0.2">
      <c r="A420" s="18" t="s">
        <v>11662</v>
      </c>
      <c r="B420" s="19" t="s">
        <v>11663</v>
      </c>
      <c r="C420" s="19" t="s">
        <v>11664</v>
      </c>
      <c r="D420" s="8" t="s">
        <v>8948</v>
      </c>
      <c r="E420" s="20" t="s">
        <v>8949</v>
      </c>
      <c r="F420" s="20" t="s">
        <v>8950</v>
      </c>
      <c r="G420" s="20" t="s">
        <v>8973</v>
      </c>
      <c r="H420" s="31">
        <v>60</v>
      </c>
      <c r="I420" s="20" t="s">
        <v>9008</v>
      </c>
      <c r="J420" s="20" t="s">
        <v>9059</v>
      </c>
      <c r="K420" s="20" t="s">
        <v>8954</v>
      </c>
      <c r="L420" s="21" t="s">
        <v>8955</v>
      </c>
      <c r="M420" s="20" t="s">
        <v>8956</v>
      </c>
      <c r="N420" s="20" t="s">
        <v>8957</v>
      </c>
      <c r="O420" s="20">
        <f t="shared" si="6"/>
        <v>7</v>
      </c>
      <c r="P420" s="22" t="s">
        <v>8958</v>
      </c>
      <c r="Q420" s="21" t="s">
        <v>9183</v>
      </c>
      <c r="R420" s="23" t="s">
        <v>9317</v>
      </c>
      <c r="S420" s="24" t="s">
        <v>9711</v>
      </c>
      <c r="T420" s="24" t="str">
        <f>VLOOKUP(R420,[1]Sheet3!$A$2:$A$47,1,0)</f>
        <v>Germany</v>
      </c>
      <c r="U420" s="24" t="s">
        <v>11665</v>
      </c>
      <c r="V420" s="24" t="s">
        <v>11666</v>
      </c>
      <c r="W420" s="18" t="s">
        <v>8964</v>
      </c>
      <c r="X420" s="26" t="s">
        <v>392</v>
      </c>
      <c r="Y420" s="18" t="s">
        <v>9714</v>
      </c>
      <c r="Z420" s="24" t="s">
        <v>11</v>
      </c>
    </row>
    <row r="421" spans="1:26" ht="20.100000000000001" customHeight="1" x14ac:dyDescent="0.2">
      <c r="A421" s="18" t="s">
        <v>11667</v>
      </c>
      <c r="B421" s="19" t="s">
        <v>11668</v>
      </c>
      <c r="C421" s="19" t="s">
        <v>11669</v>
      </c>
      <c r="D421" s="8" t="s">
        <v>9605</v>
      </c>
      <c r="E421" s="20" t="s">
        <v>11670</v>
      </c>
      <c r="F421" s="20" t="s">
        <v>9036</v>
      </c>
      <c r="G421" s="20" t="s">
        <v>8987</v>
      </c>
      <c r="H421" s="31">
        <v>33000000</v>
      </c>
      <c r="I421" s="20" t="s">
        <v>9019</v>
      </c>
      <c r="J421" s="20" t="s">
        <v>8953</v>
      </c>
      <c r="K421" s="20" t="s">
        <v>8989</v>
      </c>
      <c r="L421" s="21" t="s">
        <v>8955</v>
      </c>
      <c r="M421" s="20" t="s">
        <v>8956</v>
      </c>
      <c r="N421" s="20" t="s">
        <v>8957</v>
      </c>
      <c r="O421" s="20">
        <f t="shared" si="6"/>
        <v>15</v>
      </c>
      <c r="P421" s="22" t="s">
        <v>8975</v>
      </c>
      <c r="Q421" s="21" t="s">
        <v>8959</v>
      </c>
      <c r="R421" s="23" t="s">
        <v>11671</v>
      </c>
      <c r="S421" s="24" t="s">
        <v>11672</v>
      </c>
      <c r="T421" s="24" t="str">
        <f>VLOOKUP(R421,[1]Sheet3!$A$2:$A$47,1,0)</f>
        <v>Sweden</v>
      </c>
      <c r="U421" s="24" t="s">
        <v>11673</v>
      </c>
      <c r="V421" s="24" t="s">
        <v>11674</v>
      </c>
      <c r="W421" s="18" t="s">
        <v>8964</v>
      </c>
      <c r="X421" s="26" t="s">
        <v>2540</v>
      </c>
      <c r="Y421" s="18" t="s">
        <v>11675</v>
      </c>
      <c r="Z421" s="24" t="s">
        <v>11</v>
      </c>
    </row>
    <row r="422" spans="1:26" ht="20.100000000000001" customHeight="1" x14ac:dyDescent="0.2">
      <c r="A422" s="18" t="s">
        <v>11676</v>
      </c>
      <c r="B422" s="19" t="s">
        <v>11677</v>
      </c>
      <c r="C422" s="19" t="s">
        <v>11678</v>
      </c>
      <c r="D422" s="8" t="s">
        <v>8984</v>
      </c>
      <c r="E422" s="20" t="s">
        <v>8998</v>
      </c>
      <c r="F422" s="20" t="s">
        <v>8950</v>
      </c>
      <c r="G422" s="20" t="s">
        <v>8951</v>
      </c>
      <c r="H422" s="31">
        <v>504</v>
      </c>
      <c r="I422" s="20" t="s">
        <v>9077</v>
      </c>
      <c r="J422" s="20" t="s">
        <v>8953</v>
      </c>
      <c r="K422" s="20" t="s">
        <v>8989</v>
      </c>
      <c r="L422" s="21" t="s">
        <v>8955</v>
      </c>
      <c r="M422" s="20" t="s">
        <v>8956</v>
      </c>
      <c r="N422" s="20" t="s">
        <v>8957</v>
      </c>
      <c r="O422" s="20">
        <f t="shared" si="6"/>
        <v>6</v>
      </c>
      <c r="P422" s="22" t="s">
        <v>8958</v>
      </c>
      <c r="Q422" s="21" t="s">
        <v>8959</v>
      </c>
      <c r="R422" s="23" t="s">
        <v>9010</v>
      </c>
      <c r="S422" s="24" t="s">
        <v>9114</v>
      </c>
      <c r="T422" s="24" t="str">
        <f>VLOOKUP(R422,[1]Sheet3!$A$2:$A$47,1,0)</f>
        <v>the United States of America</v>
      </c>
      <c r="U422" s="24" t="s">
        <v>11679</v>
      </c>
      <c r="V422" s="24" t="s">
        <v>11680</v>
      </c>
      <c r="W422" s="18" t="s">
        <v>8964</v>
      </c>
      <c r="X422" s="26" t="s">
        <v>53</v>
      </c>
      <c r="Y422" s="18" t="s">
        <v>9117</v>
      </c>
      <c r="Z422" s="24" t="s">
        <v>11</v>
      </c>
    </row>
    <row r="423" spans="1:26" ht="20.100000000000001" customHeight="1" x14ac:dyDescent="0.2">
      <c r="A423" s="18" t="s">
        <v>11681</v>
      </c>
      <c r="B423" s="19" t="s">
        <v>11682</v>
      </c>
      <c r="C423" s="19" t="s">
        <v>11683</v>
      </c>
      <c r="D423" s="8" t="s">
        <v>9092</v>
      </c>
      <c r="E423" s="20" t="s">
        <v>9121</v>
      </c>
      <c r="F423" s="20" t="s">
        <v>11684</v>
      </c>
      <c r="G423" s="20" t="s">
        <v>8951</v>
      </c>
      <c r="H423" s="31">
        <v>265</v>
      </c>
      <c r="I423" s="20" t="s">
        <v>8988</v>
      </c>
      <c r="J423" s="20" t="s">
        <v>9059</v>
      </c>
      <c r="K423" s="20" t="s">
        <v>8989</v>
      </c>
      <c r="L423" s="21" t="s">
        <v>8955</v>
      </c>
      <c r="M423" s="20" t="s">
        <v>8956</v>
      </c>
      <c r="N423" s="20" t="s">
        <v>8957</v>
      </c>
      <c r="O423" s="20">
        <f t="shared" si="6"/>
        <v>3</v>
      </c>
      <c r="P423" s="22" t="s">
        <v>9103</v>
      </c>
      <c r="Q423" s="21" t="s">
        <v>9183</v>
      </c>
      <c r="R423" s="23" t="s">
        <v>9010</v>
      </c>
      <c r="S423" s="24" t="s">
        <v>9255</v>
      </c>
      <c r="T423" s="24" t="str">
        <f>VLOOKUP(R423,[1]Sheet3!$A$2:$A$47,1,0)</f>
        <v>the United States of America</v>
      </c>
      <c r="U423" s="24" t="s">
        <v>11685</v>
      </c>
      <c r="V423" s="24" t="s">
        <v>11686</v>
      </c>
      <c r="W423" s="18" t="s">
        <v>8964</v>
      </c>
      <c r="X423" s="26" t="s">
        <v>24</v>
      </c>
      <c r="Y423" s="18" t="s">
        <v>9258</v>
      </c>
      <c r="Z423" s="24" t="s">
        <v>11</v>
      </c>
    </row>
    <row r="424" spans="1:26" ht="20.100000000000001" customHeight="1" x14ac:dyDescent="0.2">
      <c r="A424" s="18" t="s">
        <v>11687</v>
      </c>
      <c r="B424" s="19" t="s">
        <v>11688</v>
      </c>
      <c r="C424" s="19" t="s">
        <v>11689</v>
      </c>
      <c r="D424" s="8" t="s">
        <v>8948</v>
      </c>
      <c r="E424" s="20" t="s">
        <v>8998</v>
      </c>
      <c r="F424" s="20" t="s">
        <v>11690</v>
      </c>
      <c r="G424" s="20" t="s">
        <v>8987</v>
      </c>
      <c r="H424" s="31">
        <v>108</v>
      </c>
      <c r="I424" s="20" t="s">
        <v>9158</v>
      </c>
      <c r="J424" s="20" t="s">
        <v>8953</v>
      </c>
      <c r="K424" s="20" t="s">
        <v>8954</v>
      </c>
      <c r="L424" s="21" t="s">
        <v>8955</v>
      </c>
      <c r="M424" s="20" t="s">
        <v>8956</v>
      </c>
      <c r="N424" s="20" t="s">
        <v>8959</v>
      </c>
      <c r="O424" s="20">
        <f t="shared" si="6"/>
        <v>3</v>
      </c>
      <c r="P424" s="22" t="s">
        <v>9103</v>
      </c>
      <c r="Q424" s="21" t="s">
        <v>9183</v>
      </c>
      <c r="R424" s="23" t="s">
        <v>9010</v>
      </c>
      <c r="S424" s="24" t="s">
        <v>8961</v>
      </c>
      <c r="T424" s="24" t="str">
        <f>VLOOKUP(R424,[1]Sheet3!$A$2:$A$47,1,0)</f>
        <v>the United States of America</v>
      </c>
      <c r="U424" s="24" t="s">
        <v>11691</v>
      </c>
      <c r="V424" s="24" t="s">
        <v>11692</v>
      </c>
      <c r="W424" s="18" t="s">
        <v>8964</v>
      </c>
      <c r="X424" s="26" t="s">
        <v>126</v>
      </c>
      <c r="Y424" s="18" t="s">
        <v>8966</v>
      </c>
      <c r="Z424" s="24" t="s">
        <v>11</v>
      </c>
    </row>
    <row r="425" spans="1:26" ht="20.100000000000001" customHeight="1" x14ac:dyDescent="0.2">
      <c r="A425" s="18" t="s">
        <v>11693</v>
      </c>
      <c r="B425" s="19" t="s">
        <v>11694</v>
      </c>
      <c r="C425" s="19" t="s">
        <v>11695</v>
      </c>
      <c r="D425" s="8" t="s">
        <v>9100</v>
      </c>
      <c r="E425" s="20" t="s">
        <v>9131</v>
      </c>
      <c r="F425" s="20" t="s">
        <v>9051</v>
      </c>
      <c r="G425" s="20" t="s">
        <v>10891</v>
      </c>
      <c r="H425" s="31">
        <v>200000</v>
      </c>
      <c r="I425" s="20" t="s">
        <v>9019</v>
      </c>
      <c r="J425" s="20" t="s">
        <v>8953</v>
      </c>
      <c r="K425" s="20" t="s">
        <v>8989</v>
      </c>
      <c r="L425" s="21" t="s">
        <v>8955</v>
      </c>
      <c r="M425" s="20" t="s">
        <v>8956</v>
      </c>
      <c r="N425" s="20" t="s">
        <v>8959</v>
      </c>
      <c r="O425" s="20">
        <f t="shared" si="6"/>
        <v>5</v>
      </c>
      <c r="P425" s="22" t="s">
        <v>8958</v>
      </c>
      <c r="Q425" s="21" t="s">
        <v>8959</v>
      </c>
      <c r="R425" s="23" t="s">
        <v>9010</v>
      </c>
      <c r="S425" s="24" t="s">
        <v>9093</v>
      </c>
      <c r="T425" s="24" t="str">
        <f>VLOOKUP(R425,[1]Sheet3!$A$2:$A$47,1,0)</f>
        <v>the United States of America</v>
      </c>
      <c r="U425" s="24" t="s">
        <v>11696</v>
      </c>
      <c r="V425" s="24" t="s">
        <v>11697</v>
      </c>
      <c r="W425" s="18" t="s">
        <v>8964</v>
      </c>
      <c r="X425" s="26" t="s">
        <v>378</v>
      </c>
      <c r="Y425" s="18" t="s">
        <v>9096</v>
      </c>
      <c r="Z425" s="24" t="s">
        <v>11</v>
      </c>
    </row>
    <row r="426" spans="1:26" ht="20.100000000000001" customHeight="1" x14ac:dyDescent="0.2">
      <c r="A426" s="18" t="s">
        <v>11698</v>
      </c>
      <c r="B426" s="19" t="s">
        <v>11699</v>
      </c>
      <c r="C426" s="19" t="s">
        <v>11700</v>
      </c>
      <c r="D426" s="8" t="s">
        <v>10907</v>
      </c>
      <c r="E426" s="20" t="s">
        <v>8998</v>
      </c>
      <c r="F426" s="20" t="s">
        <v>9051</v>
      </c>
      <c r="G426" s="20" t="s">
        <v>9133</v>
      </c>
      <c r="H426" s="31">
        <v>91</v>
      </c>
      <c r="I426" s="20" t="s">
        <v>9008</v>
      </c>
      <c r="J426" s="20" t="s">
        <v>9059</v>
      </c>
      <c r="K426" s="20" t="s">
        <v>8989</v>
      </c>
      <c r="L426" s="21" t="s">
        <v>8955</v>
      </c>
      <c r="M426" s="20" t="s">
        <v>8956</v>
      </c>
      <c r="N426" s="20" t="s">
        <v>8974</v>
      </c>
      <c r="O426" s="20">
        <f t="shared" si="6"/>
        <v>8</v>
      </c>
      <c r="P426" s="22" t="s">
        <v>8975</v>
      </c>
      <c r="Q426" s="21" t="s">
        <v>9183</v>
      </c>
      <c r="R426" s="23" t="s">
        <v>10568</v>
      </c>
      <c r="S426" s="24" t="s">
        <v>9093</v>
      </c>
      <c r="T426" s="24" t="str">
        <f>VLOOKUP(R426,[1]Sheet3!$A$2:$A$47,1,0)</f>
        <v>Netherlands</v>
      </c>
      <c r="U426" s="24" t="s">
        <v>11701</v>
      </c>
      <c r="V426" s="24" t="s">
        <v>11702</v>
      </c>
      <c r="W426" s="18" t="s">
        <v>8964</v>
      </c>
      <c r="X426" s="26" t="s">
        <v>378</v>
      </c>
      <c r="Y426" s="18" t="s">
        <v>9096</v>
      </c>
      <c r="Z426" s="24" t="s">
        <v>11</v>
      </c>
    </row>
    <row r="427" spans="1:26" ht="20.100000000000001" customHeight="1" x14ac:dyDescent="0.2">
      <c r="A427" s="18" t="s">
        <v>11703</v>
      </c>
      <c r="B427" s="19" t="s">
        <v>11704</v>
      </c>
      <c r="C427" s="19" t="s">
        <v>11705</v>
      </c>
      <c r="D427" s="8" t="s">
        <v>9075</v>
      </c>
      <c r="E427" s="20" t="s">
        <v>8998</v>
      </c>
      <c r="F427" s="20" t="s">
        <v>8950</v>
      </c>
      <c r="G427" s="20" t="s">
        <v>8951</v>
      </c>
      <c r="H427" s="31">
        <v>60</v>
      </c>
      <c r="I427" s="20" t="s">
        <v>9008</v>
      </c>
      <c r="J427" s="20" t="s">
        <v>9059</v>
      </c>
      <c r="K427" s="20" t="s">
        <v>8954</v>
      </c>
      <c r="L427" s="21" t="s">
        <v>8955</v>
      </c>
      <c r="M427" s="20" t="s">
        <v>8956</v>
      </c>
      <c r="N427" s="20" t="s">
        <v>8957</v>
      </c>
      <c r="O427" s="20">
        <f t="shared" si="6"/>
        <v>8</v>
      </c>
      <c r="P427" s="22" t="s">
        <v>8975</v>
      </c>
      <c r="Q427" s="21" t="s">
        <v>9183</v>
      </c>
      <c r="R427" s="23" t="s">
        <v>9333</v>
      </c>
      <c r="S427" s="24" t="s">
        <v>11706</v>
      </c>
      <c r="T427" s="24" t="str">
        <f>VLOOKUP(R427,[1]Sheet3!$A$2:$A$47,1,0)</f>
        <v>Japan</v>
      </c>
      <c r="U427" s="24" t="s">
        <v>11707</v>
      </c>
      <c r="V427" s="24" t="s">
        <v>11708</v>
      </c>
      <c r="W427" s="18" t="s">
        <v>8964</v>
      </c>
      <c r="X427" s="26" t="s">
        <v>2183</v>
      </c>
      <c r="Y427" s="18" t="s">
        <v>11709</v>
      </c>
      <c r="Z427" s="24" t="s">
        <v>11</v>
      </c>
    </row>
    <row r="428" spans="1:26" ht="20.100000000000001" customHeight="1" x14ac:dyDescent="0.2">
      <c r="A428" s="18" t="s">
        <v>11710</v>
      </c>
      <c r="B428" s="19" t="s">
        <v>11711</v>
      </c>
      <c r="C428" s="19" t="s">
        <v>11712</v>
      </c>
      <c r="D428" s="8" t="s">
        <v>9092</v>
      </c>
      <c r="E428" s="20" t="s">
        <v>9121</v>
      </c>
      <c r="F428" s="20" t="s">
        <v>8950</v>
      </c>
      <c r="G428" s="20" t="s">
        <v>10891</v>
      </c>
      <c r="H428" s="31">
        <v>230</v>
      </c>
      <c r="I428" s="20" t="s">
        <v>9158</v>
      </c>
      <c r="J428" s="20" t="s">
        <v>9059</v>
      </c>
      <c r="K428" s="20" t="s">
        <v>8989</v>
      </c>
      <c r="L428" s="21" t="s">
        <v>8955</v>
      </c>
      <c r="M428" s="20" t="s">
        <v>8956</v>
      </c>
      <c r="N428" s="20" t="s">
        <v>8957</v>
      </c>
      <c r="O428" s="20">
        <f t="shared" si="6"/>
        <v>3</v>
      </c>
      <c r="P428" s="22" t="s">
        <v>9103</v>
      </c>
      <c r="Q428" s="21" t="s">
        <v>8959</v>
      </c>
      <c r="R428" s="23" t="s">
        <v>11713</v>
      </c>
      <c r="S428" s="24" t="s">
        <v>11714</v>
      </c>
      <c r="T428" s="24" t="str">
        <f>VLOOKUP(R428,[1]Sheet3!$A$2:$A$47,1,0)</f>
        <v>Africa</v>
      </c>
      <c r="U428" s="24" t="s">
        <v>11715</v>
      </c>
      <c r="V428" s="24" t="s">
        <v>11716</v>
      </c>
      <c r="W428" s="18" t="s">
        <v>8964</v>
      </c>
      <c r="X428" s="26" t="s">
        <v>6169</v>
      </c>
      <c r="Y428" s="18" t="s">
        <v>11717</v>
      </c>
      <c r="Z428" s="24" t="s">
        <v>17</v>
      </c>
    </row>
    <row r="429" spans="1:26" ht="20.100000000000001" customHeight="1" x14ac:dyDescent="0.2">
      <c r="A429" s="18" t="s">
        <v>11718</v>
      </c>
      <c r="B429" s="19" t="s">
        <v>11719</v>
      </c>
      <c r="C429" s="19" t="s">
        <v>11720</v>
      </c>
      <c r="D429" s="8" t="s">
        <v>9049</v>
      </c>
      <c r="E429" s="20" t="s">
        <v>9325</v>
      </c>
      <c r="F429" s="20" t="s">
        <v>8950</v>
      </c>
      <c r="G429" s="20" t="s">
        <v>9133</v>
      </c>
      <c r="H429" s="31">
        <v>14884</v>
      </c>
      <c r="I429" s="20" t="s">
        <v>9019</v>
      </c>
      <c r="J429" s="20" t="s">
        <v>8953</v>
      </c>
      <c r="K429" s="20" t="s">
        <v>8954</v>
      </c>
      <c r="L429" s="21" t="s">
        <v>8955</v>
      </c>
      <c r="M429" s="20" t="s">
        <v>8956</v>
      </c>
      <c r="N429" s="20" t="s">
        <v>8957</v>
      </c>
      <c r="O429" s="20">
        <f t="shared" si="6"/>
        <v>34</v>
      </c>
      <c r="P429" s="22" t="s">
        <v>8975</v>
      </c>
      <c r="Q429" s="21" t="s">
        <v>9183</v>
      </c>
      <c r="R429" s="23" t="s">
        <v>10873</v>
      </c>
      <c r="S429" s="24" t="s">
        <v>9734</v>
      </c>
      <c r="T429" s="24" t="str">
        <f>VLOOKUP(R429,[1]Sheet3!$A$2:$A$47,1,0)</f>
        <v>UK</v>
      </c>
      <c r="U429" s="24" t="s">
        <v>11721</v>
      </c>
      <c r="V429" s="24" t="s">
        <v>11722</v>
      </c>
      <c r="W429" s="18" t="s">
        <v>8964</v>
      </c>
      <c r="X429" s="26" t="s">
        <v>402</v>
      </c>
      <c r="Y429" s="18" t="s">
        <v>9737</v>
      </c>
      <c r="Z429" s="24" t="s">
        <v>11</v>
      </c>
    </row>
    <row r="430" spans="1:26" ht="20.100000000000001" customHeight="1" x14ac:dyDescent="0.2">
      <c r="A430" s="18" t="s">
        <v>11723</v>
      </c>
      <c r="B430" s="19" t="s">
        <v>11724</v>
      </c>
      <c r="C430" s="19" t="s">
        <v>11725</v>
      </c>
      <c r="D430" s="8" t="s">
        <v>9154</v>
      </c>
      <c r="E430" s="33" t="s">
        <v>8949</v>
      </c>
      <c r="F430" s="20" t="s">
        <v>8950</v>
      </c>
      <c r="G430" s="20" t="s">
        <v>8951</v>
      </c>
      <c r="H430" s="31">
        <v>138</v>
      </c>
      <c r="I430" s="20" t="s">
        <v>9158</v>
      </c>
      <c r="J430" s="20" t="s">
        <v>8953</v>
      </c>
      <c r="K430" s="20" t="s">
        <v>8954</v>
      </c>
      <c r="L430" s="21" t="s">
        <v>8955</v>
      </c>
      <c r="M430" s="20" t="s">
        <v>8956</v>
      </c>
      <c r="N430" s="20" t="s">
        <v>8957</v>
      </c>
      <c r="O430" s="20">
        <f t="shared" si="6"/>
        <v>5</v>
      </c>
      <c r="P430" s="22" t="s">
        <v>8958</v>
      </c>
      <c r="Q430" s="21" t="s">
        <v>8959</v>
      </c>
      <c r="R430" s="23" t="s">
        <v>9310</v>
      </c>
      <c r="S430" s="24" t="s">
        <v>8961</v>
      </c>
      <c r="T430" s="24" t="str">
        <f>VLOOKUP(R430,[1]Sheet3!$A$2:$A$47,1,0)</f>
        <v>China</v>
      </c>
      <c r="U430" s="24" t="s">
        <v>11726</v>
      </c>
      <c r="V430" s="24" t="s">
        <v>11727</v>
      </c>
      <c r="W430" s="18" t="s">
        <v>8964</v>
      </c>
      <c r="X430" s="26" t="s">
        <v>126</v>
      </c>
      <c r="Y430" s="18" t="s">
        <v>8966</v>
      </c>
      <c r="Z430" s="24" t="s">
        <v>11</v>
      </c>
    </row>
    <row r="431" spans="1:26" ht="20.100000000000001" customHeight="1" x14ac:dyDescent="0.2">
      <c r="A431" s="18" t="s">
        <v>11728</v>
      </c>
      <c r="B431" s="19" t="s">
        <v>11729</v>
      </c>
      <c r="C431" s="19" t="s">
        <v>11730</v>
      </c>
      <c r="D431" s="8" t="s">
        <v>8948</v>
      </c>
      <c r="E431" s="20" t="s">
        <v>8949</v>
      </c>
      <c r="F431" s="20" t="s">
        <v>8950</v>
      </c>
      <c r="G431" s="20" t="s">
        <v>9133</v>
      </c>
      <c r="H431" s="31">
        <v>50</v>
      </c>
      <c r="I431" s="20" t="s">
        <v>9008</v>
      </c>
      <c r="J431" s="20" t="s">
        <v>9059</v>
      </c>
      <c r="K431" s="20" t="s">
        <v>8989</v>
      </c>
      <c r="L431" s="21" t="s">
        <v>8955</v>
      </c>
      <c r="M431" s="20" t="s">
        <v>8956</v>
      </c>
      <c r="N431" s="20" t="s">
        <v>8959</v>
      </c>
      <c r="O431" s="20">
        <f t="shared" si="6"/>
        <v>9</v>
      </c>
      <c r="P431" s="22" t="s">
        <v>8975</v>
      </c>
      <c r="Q431" s="21" t="s">
        <v>9183</v>
      </c>
      <c r="R431" s="39" t="s">
        <v>9010</v>
      </c>
      <c r="S431" s="24" t="s">
        <v>122</v>
      </c>
      <c r="T431" s="24" t="str">
        <f>VLOOKUP(R431,[1]Sheet3!$A$2:$A$47,1,0)</f>
        <v>the United States of America</v>
      </c>
      <c r="U431" s="24" t="s">
        <v>11731</v>
      </c>
      <c r="V431" s="24" t="s">
        <v>11732</v>
      </c>
      <c r="W431" s="18" t="s">
        <v>8964</v>
      </c>
      <c r="X431" s="26" t="s">
        <v>122</v>
      </c>
      <c r="Y431" s="18" t="s">
        <v>11733</v>
      </c>
      <c r="Z431" s="24" t="s">
        <v>11</v>
      </c>
    </row>
    <row r="432" spans="1:26" ht="20.100000000000001" customHeight="1" x14ac:dyDescent="0.2">
      <c r="A432" s="18" t="s">
        <v>11734</v>
      </c>
      <c r="B432" s="19" t="s">
        <v>11735</v>
      </c>
      <c r="C432" s="19" t="s">
        <v>11736</v>
      </c>
      <c r="D432" s="8" t="s">
        <v>9049</v>
      </c>
      <c r="E432" s="20" t="s">
        <v>10898</v>
      </c>
      <c r="F432" s="20" t="s">
        <v>9018</v>
      </c>
      <c r="G432" s="20" t="s">
        <v>10891</v>
      </c>
      <c r="H432" s="31">
        <v>1200</v>
      </c>
      <c r="I432" s="20" t="s">
        <v>8952</v>
      </c>
      <c r="J432" s="20" t="s">
        <v>8953</v>
      </c>
      <c r="K432" s="20" t="s">
        <v>8954</v>
      </c>
      <c r="L432" s="21" t="s">
        <v>8955</v>
      </c>
      <c r="M432" s="20" t="s">
        <v>8956</v>
      </c>
      <c r="N432" s="20" t="s">
        <v>8957</v>
      </c>
      <c r="O432" s="20">
        <f t="shared" si="6"/>
        <v>4</v>
      </c>
      <c r="P432" s="22" t="s">
        <v>8958</v>
      </c>
      <c r="Q432" s="21" t="s">
        <v>9183</v>
      </c>
      <c r="R432" s="23" t="s">
        <v>9213</v>
      </c>
      <c r="S432" s="24" t="s">
        <v>10073</v>
      </c>
      <c r="T432" s="24" t="str">
        <f>VLOOKUP(R432,[1]Sheet3!$A$2:$A$47,1,0)</f>
        <v>South Korea</v>
      </c>
      <c r="U432" s="24" t="s">
        <v>11737</v>
      </c>
      <c r="V432" s="24" t="s">
        <v>11738</v>
      </c>
      <c r="W432" s="18" t="s">
        <v>8964</v>
      </c>
      <c r="X432" s="26" t="s">
        <v>210</v>
      </c>
      <c r="Y432" s="18" t="s">
        <v>10076</v>
      </c>
      <c r="Z432" s="24" t="s">
        <v>11</v>
      </c>
    </row>
    <row r="433" spans="1:26" ht="20.100000000000001" customHeight="1" x14ac:dyDescent="0.2">
      <c r="A433" s="18" t="s">
        <v>11739</v>
      </c>
      <c r="B433" s="19" t="s">
        <v>11740</v>
      </c>
      <c r="C433" s="19" t="s">
        <v>11741</v>
      </c>
      <c r="D433" s="8" t="s">
        <v>8984</v>
      </c>
      <c r="E433" s="33" t="s">
        <v>8971</v>
      </c>
      <c r="F433" s="20" t="s">
        <v>9374</v>
      </c>
      <c r="G433" s="20" t="s">
        <v>9133</v>
      </c>
      <c r="H433" s="31">
        <v>550</v>
      </c>
      <c r="I433" s="20" t="s">
        <v>9077</v>
      </c>
      <c r="J433" s="20" t="s">
        <v>8953</v>
      </c>
      <c r="K433" s="20" t="s">
        <v>8989</v>
      </c>
      <c r="L433" s="21" t="s">
        <v>8955</v>
      </c>
      <c r="M433" s="20" t="s">
        <v>8956</v>
      </c>
      <c r="N433" s="20" t="s">
        <v>8959</v>
      </c>
      <c r="O433" s="20">
        <f t="shared" si="6"/>
        <v>10</v>
      </c>
      <c r="P433" s="22" t="s">
        <v>8975</v>
      </c>
      <c r="Q433" s="21" t="s">
        <v>9183</v>
      </c>
      <c r="R433" s="23" t="s">
        <v>10687</v>
      </c>
      <c r="S433" s="24" t="s">
        <v>9342</v>
      </c>
      <c r="T433" s="24" t="str">
        <f>VLOOKUP(R433,[1]Sheet3!$A$2:$A$47,1,0)</f>
        <v>Poland</v>
      </c>
      <c r="U433" s="24" t="s">
        <v>11742</v>
      </c>
      <c r="V433" s="24" t="s">
        <v>11743</v>
      </c>
      <c r="W433" s="18" t="s">
        <v>8964</v>
      </c>
      <c r="X433" s="26" t="s">
        <v>64</v>
      </c>
      <c r="Y433" s="18" t="s">
        <v>9345</v>
      </c>
      <c r="Z433" s="24" t="s">
        <v>11</v>
      </c>
    </row>
    <row r="434" spans="1:26" ht="20.100000000000001" customHeight="1" x14ac:dyDescent="0.2">
      <c r="A434" s="18" t="s">
        <v>11744</v>
      </c>
      <c r="B434" s="19" t="s">
        <v>11745</v>
      </c>
      <c r="C434" s="19" t="s">
        <v>11746</v>
      </c>
      <c r="D434" s="8" t="s">
        <v>9049</v>
      </c>
      <c r="E434" s="20" t="s">
        <v>9121</v>
      </c>
      <c r="F434" s="20" t="s">
        <v>8950</v>
      </c>
      <c r="G434" s="20" t="s">
        <v>11747</v>
      </c>
      <c r="H434" s="31">
        <v>400</v>
      </c>
      <c r="I434" s="20" t="s">
        <v>8988</v>
      </c>
      <c r="J434" s="20" t="s">
        <v>8953</v>
      </c>
      <c r="K434" s="20" t="s">
        <v>8989</v>
      </c>
      <c r="L434" s="21" t="s">
        <v>8955</v>
      </c>
      <c r="M434" s="20" t="s">
        <v>8956</v>
      </c>
      <c r="N434" s="20" t="s">
        <v>8959</v>
      </c>
      <c r="O434" s="20">
        <f t="shared" si="6"/>
        <v>3</v>
      </c>
      <c r="P434" s="22" t="s">
        <v>9103</v>
      </c>
      <c r="Q434" s="21" t="s">
        <v>9183</v>
      </c>
      <c r="R434" s="23" t="s">
        <v>9062</v>
      </c>
      <c r="S434" s="24" t="s">
        <v>9718</v>
      </c>
      <c r="T434" s="24" t="str">
        <f>VLOOKUP(R434,[1]Sheet3!$A$2:$A$47,1,0)</f>
        <v>Germany</v>
      </c>
      <c r="U434" s="24" t="s">
        <v>11748</v>
      </c>
      <c r="V434" s="24" t="s">
        <v>11749</v>
      </c>
      <c r="W434" s="18" t="s">
        <v>8964</v>
      </c>
      <c r="X434" s="26" t="s">
        <v>4060</v>
      </c>
      <c r="Y434" s="18" t="s">
        <v>9721</v>
      </c>
      <c r="Z434" s="24" t="s">
        <v>11</v>
      </c>
    </row>
    <row r="435" spans="1:26" ht="20.100000000000001" customHeight="1" x14ac:dyDescent="0.2">
      <c r="A435" s="18" t="s">
        <v>11750</v>
      </c>
      <c r="B435" s="19" t="s">
        <v>11751</v>
      </c>
      <c r="C435" s="19" t="s">
        <v>11752</v>
      </c>
      <c r="D435" s="8" t="s">
        <v>9075</v>
      </c>
      <c r="E435" s="20" t="s">
        <v>8949</v>
      </c>
      <c r="F435" s="20" t="s">
        <v>8972</v>
      </c>
      <c r="G435" s="20" t="s">
        <v>8973</v>
      </c>
      <c r="H435" s="31">
        <v>280</v>
      </c>
      <c r="I435" s="20" t="s">
        <v>8988</v>
      </c>
      <c r="J435" s="20" t="s">
        <v>10908</v>
      </c>
      <c r="K435" s="20" t="s">
        <v>8954</v>
      </c>
      <c r="L435" s="21" t="s">
        <v>8955</v>
      </c>
      <c r="M435" s="20" t="s">
        <v>8956</v>
      </c>
      <c r="N435" s="20" t="s">
        <v>8957</v>
      </c>
      <c r="O435" s="20">
        <f t="shared" si="6"/>
        <v>5</v>
      </c>
      <c r="P435" s="22" t="s">
        <v>8958</v>
      </c>
      <c r="Q435" s="21" t="s">
        <v>9183</v>
      </c>
      <c r="R435" s="23" t="s">
        <v>9213</v>
      </c>
      <c r="S435" s="24" t="s">
        <v>9342</v>
      </c>
      <c r="T435" s="24" t="str">
        <f>VLOOKUP(R435,[1]Sheet3!$A$2:$A$47,1,0)</f>
        <v>South Korea</v>
      </c>
      <c r="U435" s="24" t="s">
        <v>11753</v>
      </c>
      <c r="V435" s="24" t="s">
        <v>11754</v>
      </c>
      <c r="W435" s="18" t="s">
        <v>8964</v>
      </c>
      <c r="X435" s="26" t="s">
        <v>64</v>
      </c>
      <c r="Y435" s="18" t="s">
        <v>9345</v>
      </c>
      <c r="Z435" s="24" t="s">
        <v>11</v>
      </c>
    </row>
    <row r="436" spans="1:26" ht="20.100000000000001" customHeight="1" x14ac:dyDescent="0.2">
      <c r="A436" s="18" t="s">
        <v>11755</v>
      </c>
      <c r="B436" s="19" t="s">
        <v>11756</v>
      </c>
      <c r="C436" s="19" t="s">
        <v>11757</v>
      </c>
      <c r="D436" s="8" t="s">
        <v>8948</v>
      </c>
      <c r="E436" s="20" t="s">
        <v>8949</v>
      </c>
      <c r="F436" s="20" t="s">
        <v>8972</v>
      </c>
      <c r="G436" s="20" t="s">
        <v>8973</v>
      </c>
      <c r="H436" s="31">
        <v>105</v>
      </c>
      <c r="I436" s="20" t="s">
        <v>9158</v>
      </c>
      <c r="J436" s="20" t="s">
        <v>9059</v>
      </c>
      <c r="K436" s="20" t="s">
        <v>8989</v>
      </c>
      <c r="L436" s="21" t="s">
        <v>8955</v>
      </c>
      <c r="M436" s="20" t="s">
        <v>8956</v>
      </c>
      <c r="N436" s="20" t="s">
        <v>8957</v>
      </c>
      <c r="O436" s="20">
        <f t="shared" si="6"/>
        <v>3</v>
      </c>
      <c r="P436" s="22" t="s">
        <v>9103</v>
      </c>
      <c r="Q436" s="21" t="s">
        <v>9183</v>
      </c>
      <c r="R436" s="23" t="s">
        <v>9062</v>
      </c>
      <c r="S436" s="24" t="s">
        <v>9711</v>
      </c>
      <c r="T436" s="24" t="str">
        <f>VLOOKUP(R436,[1]Sheet3!$A$2:$A$47,1,0)</f>
        <v>Germany</v>
      </c>
      <c r="U436" s="24" t="s">
        <v>11758</v>
      </c>
      <c r="V436" s="24" t="s">
        <v>11759</v>
      </c>
      <c r="W436" s="18" t="s">
        <v>8964</v>
      </c>
      <c r="X436" s="26" t="s">
        <v>392</v>
      </c>
      <c r="Y436" s="18" t="s">
        <v>9714</v>
      </c>
      <c r="Z436" s="24" t="s">
        <v>11</v>
      </c>
    </row>
    <row r="437" spans="1:26" ht="20.100000000000001" customHeight="1" x14ac:dyDescent="0.2">
      <c r="A437" s="18" t="s">
        <v>11760</v>
      </c>
      <c r="B437" s="19" t="s">
        <v>11761</v>
      </c>
      <c r="C437" s="19" t="s">
        <v>11762</v>
      </c>
      <c r="D437" s="8" t="s">
        <v>8984</v>
      </c>
      <c r="E437" s="20" t="s">
        <v>9269</v>
      </c>
      <c r="F437" s="20" t="s">
        <v>10218</v>
      </c>
      <c r="G437" s="20" t="s">
        <v>8973</v>
      </c>
      <c r="H437" s="31">
        <v>4000</v>
      </c>
      <c r="I437" s="20" t="s">
        <v>9019</v>
      </c>
      <c r="J437" s="20" t="s">
        <v>8953</v>
      </c>
      <c r="K437" s="20" t="s">
        <v>8954</v>
      </c>
      <c r="L437" s="21" t="s">
        <v>8955</v>
      </c>
      <c r="M437" s="20" t="s">
        <v>8956</v>
      </c>
      <c r="N437" s="20" t="s">
        <v>8957</v>
      </c>
      <c r="O437" s="20">
        <f t="shared" si="6"/>
        <v>6</v>
      </c>
      <c r="P437" s="22" t="s">
        <v>8958</v>
      </c>
      <c r="Q437" s="21" t="s">
        <v>9183</v>
      </c>
      <c r="R437" s="23" t="s">
        <v>10910</v>
      </c>
      <c r="S437" s="24" t="s">
        <v>8961</v>
      </c>
      <c r="T437" s="24" t="str">
        <f>VLOOKUP(R437,[1]Sheet3!$A$2:$A$47,1,0)</f>
        <v>Belgium</v>
      </c>
      <c r="U437" s="24" t="s">
        <v>11763</v>
      </c>
      <c r="V437" s="24" t="s">
        <v>11764</v>
      </c>
      <c r="W437" s="18" t="s">
        <v>8964</v>
      </c>
      <c r="X437" s="26" t="s">
        <v>126</v>
      </c>
      <c r="Y437" s="18" t="s">
        <v>8966</v>
      </c>
      <c r="Z437" s="24" t="s">
        <v>11</v>
      </c>
    </row>
    <row r="438" spans="1:26" ht="20.100000000000001" customHeight="1" x14ac:dyDescent="0.2">
      <c r="A438" s="18" t="s">
        <v>11765</v>
      </c>
      <c r="B438" s="19" t="s">
        <v>11766</v>
      </c>
      <c r="C438" s="19" t="s">
        <v>11767</v>
      </c>
      <c r="D438" s="8" t="s">
        <v>9173</v>
      </c>
      <c r="E438" s="20" t="s">
        <v>9101</v>
      </c>
      <c r="F438" s="20" t="s">
        <v>9112</v>
      </c>
      <c r="G438" s="20" t="s">
        <v>8951</v>
      </c>
      <c r="H438" s="31">
        <v>22</v>
      </c>
      <c r="I438" s="20" t="s">
        <v>9008</v>
      </c>
      <c r="J438" s="20" t="s">
        <v>9059</v>
      </c>
      <c r="K438" s="20" t="s">
        <v>8954</v>
      </c>
      <c r="L438" s="21" t="s">
        <v>8955</v>
      </c>
      <c r="M438" s="20" t="s">
        <v>8956</v>
      </c>
      <c r="N438" s="20" t="s">
        <v>8959</v>
      </c>
      <c r="O438" s="20">
        <f t="shared" si="6"/>
        <v>9</v>
      </c>
      <c r="P438" s="22" t="s">
        <v>8975</v>
      </c>
      <c r="Q438" s="21" t="s">
        <v>9009</v>
      </c>
      <c r="R438" s="23" t="s">
        <v>9062</v>
      </c>
      <c r="S438" s="24" t="s">
        <v>9342</v>
      </c>
      <c r="T438" s="24" t="str">
        <f>VLOOKUP(R438,[1]Sheet3!$A$2:$A$47,1,0)</f>
        <v>Germany</v>
      </c>
      <c r="U438" s="24" t="s">
        <v>11768</v>
      </c>
      <c r="V438" s="24" t="s">
        <v>11769</v>
      </c>
      <c r="W438" s="18" t="s">
        <v>8964</v>
      </c>
      <c r="X438" s="26" t="s">
        <v>64</v>
      </c>
      <c r="Y438" s="18" t="s">
        <v>9345</v>
      </c>
      <c r="Z438" s="24" t="s">
        <v>17</v>
      </c>
    </row>
    <row r="439" spans="1:26" ht="20.100000000000001" customHeight="1" x14ac:dyDescent="0.2">
      <c r="A439" s="18" t="s">
        <v>11770</v>
      </c>
      <c r="B439" s="19" t="s">
        <v>11771</v>
      </c>
      <c r="C439" s="19" t="s">
        <v>11772</v>
      </c>
      <c r="D439" s="8" t="s">
        <v>9605</v>
      </c>
      <c r="E439" s="20" t="s">
        <v>9101</v>
      </c>
      <c r="F439" s="20" t="s">
        <v>8950</v>
      </c>
      <c r="G439" s="20" t="s">
        <v>10891</v>
      </c>
      <c r="H439" s="31">
        <v>36</v>
      </c>
      <c r="I439" s="20" t="s">
        <v>9008</v>
      </c>
      <c r="J439" s="20" t="s">
        <v>8953</v>
      </c>
      <c r="K439" s="20" t="s">
        <v>8954</v>
      </c>
      <c r="L439" s="21" t="s">
        <v>8955</v>
      </c>
      <c r="M439" s="20" t="s">
        <v>8956</v>
      </c>
      <c r="N439" s="20" t="s">
        <v>8957</v>
      </c>
      <c r="O439" s="20">
        <f t="shared" si="6"/>
        <v>12</v>
      </c>
      <c r="P439" s="22" t="s">
        <v>8975</v>
      </c>
      <c r="Q439" s="21" t="s">
        <v>8959</v>
      </c>
      <c r="R439" s="23" t="s">
        <v>9317</v>
      </c>
      <c r="S439" s="24" t="s">
        <v>11773</v>
      </c>
      <c r="T439" s="24" t="str">
        <f>VLOOKUP(R439,[1]Sheet3!$A$2:$A$47,1,0)</f>
        <v>Germany</v>
      </c>
      <c r="U439" s="24" t="s">
        <v>11774</v>
      </c>
      <c r="V439" s="24" t="s">
        <v>11775</v>
      </c>
      <c r="W439" s="18" t="s">
        <v>8964</v>
      </c>
      <c r="X439" s="26" t="s">
        <v>690</v>
      </c>
      <c r="Y439" s="18" t="s">
        <v>11776</v>
      </c>
      <c r="Z439" s="24" t="s">
        <v>11</v>
      </c>
    </row>
    <row r="440" spans="1:26" ht="20.100000000000001" customHeight="1" x14ac:dyDescent="0.2">
      <c r="A440" s="18" t="s">
        <v>11777</v>
      </c>
      <c r="B440" s="19" t="s">
        <v>11778</v>
      </c>
      <c r="C440" s="19" t="s">
        <v>11779</v>
      </c>
      <c r="D440" s="8" t="s">
        <v>9092</v>
      </c>
      <c r="E440" s="20" t="s">
        <v>8998</v>
      </c>
      <c r="F440" s="33" t="s">
        <v>11780</v>
      </c>
      <c r="G440" s="20" t="s">
        <v>9076</v>
      </c>
      <c r="H440" s="31">
        <v>720</v>
      </c>
      <c r="I440" s="20" t="s">
        <v>9077</v>
      </c>
      <c r="J440" s="20" t="s">
        <v>8953</v>
      </c>
      <c r="K440" s="20" t="s">
        <v>8954</v>
      </c>
      <c r="L440" s="21" t="s">
        <v>8955</v>
      </c>
      <c r="M440" s="20" t="s">
        <v>8956</v>
      </c>
      <c r="N440" s="20" t="s">
        <v>8959</v>
      </c>
      <c r="O440" s="20">
        <f t="shared" si="6"/>
        <v>4</v>
      </c>
      <c r="P440" s="22" t="s">
        <v>8958</v>
      </c>
      <c r="Q440" s="21" t="s">
        <v>9183</v>
      </c>
      <c r="R440" s="23" t="s">
        <v>10049</v>
      </c>
      <c r="S440" s="24" t="s">
        <v>11781</v>
      </c>
      <c r="T440" s="24" t="str">
        <f>VLOOKUP(R440,[1]Sheet3!$A$2:$A$47,1,0)</f>
        <v>Italy</v>
      </c>
      <c r="U440" s="24" t="s">
        <v>11782</v>
      </c>
      <c r="V440" s="24" t="s">
        <v>11783</v>
      </c>
      <c r="W440" s="18" t="s">
        <v>8964</v>
      </c>
      <c r="X440" s="26" t="s">
        <v>1146</v>
      </c>
      <c r="Y440" s="18" t="s">
        <v>11784</v>
      </c>
      <c r="Z440" s="24" t="s">
        <v>11</v>
      </c>
    </row>
    <row r="441" spans="1:26" ht="20.100000000000001" customHeight="1" x14ac:dyDescent="0.2">
      <c r="A441" s="18" t="s">
        <v>11785</v>
      </c>
      <c r="B441" s="19" t="s">
        <v>11786</v>
      </c>
      <c r="C441" s="19" t="s">
        <v>11787</v>
      </c>
      <c r="D441" s="8" t="s">
        <v>9092</v>
      </c>
      <c r="E441" s="20" t="s">
        <v>9121</v>
      </c>
      <c r="F441" s="33" t="s">
        <v>11788</v>
      </c>
      <c r="G441" s="20" t="s">
        <v>11137</v>
      </c>
      <c r="H441" s="31">
        <v>8325</v>
      </c>
      <c r="I441" s="20" t="s">
        <v>9019</v>
      </c>
      <c r="J441" s="20" t="s">
        <v>8953</v>
      </c>
      <c r="K441" s="20" t="s">
        <v>8989</v>
      </c>
      <c r="L441" s="21" t="s">
        <v>9182</v>
      </c>
      <c r="M441" s="20" t="s">
        <v>8956</v>
      </c>
      <c r="N441" s="20" t="s">
        <v>9060</v>
      </c>
      <c r="O441" s="20">
        <f t="shared" si="6"/>
        <v>10</v>
      </c>
      <c r="P441" s="22" t="s">
        <v>8975</v>
      </c>
      <c r="Q441" s="21" t="s">
        <v>8959</v>
      </c>
      <c r="R441" s="23" t="s">
        <v>9010</v>
      </c>
      <c r="S441" s="24" t="s">
        <v>11789</v>
      </c>
      <c r="T441" s="24" t="str">
        <f>VLOOKUP(R441,[1]Sheet3!$A$2:$A$47,1,0)</f>
        <v>the United States of America</v>
      </c>
      <c r="U441" s="24" t="s">
        <v>11790</v>
      </c>
      <c r="V441" s="24" t="s">
        <v>11791</v>
      </c>
      <c r="W441" s="18" t="s">
        <v>8964</v>
      </c>
      <c r="X441" s="26" t="s">
        <v>1238</v>
      </c>
      <c r="Y441" s="18" t="s">
        <v>11792</v>
      </c>
      <c r="Z441" s="24" t="s">
        <v>17</v>
      </c>
    </row>
    <row r="442" spans="1:26" ht="20.100000000000001" customHeight="1" x14ac:dyDescent="0.2">
      <c r="A442" s="18" t="s">
        <v>11793</v>
      </c>
      <c r="B442" s="19" t="s">
        <v>11794</v>
      </c>
      <c r="C442" s="19" t="s">
        <v>11795</v>
      </c>
      <c r="D442" s="8" t="s">
        <v>8948</v>
      </c>
      <c r="E442" s="20" t="s">
        <v>11093</v>
      </c>
      <c r="F442" s="20" t="s">
        <v>8950</v>
      </c>
      <c r="G442" s="20" t="s">
        <v>9133</v>
      </c>
      <c r="H442" s="31">
        <v>9000</v>
      </c>
      <c r="I442" s="20" t="s">
        <v>9019</v>
      </c>
      <c r="J442" s="20" t="s">
        <v>9059</v>
      </c>
      <c r="K442" s="20" t="s">
        <v>8954</v>
      </c>
      <c r="L442" s="21" t="s">
        <v>8955</v>
      </c>
      <c r="M442" s="20" t="s">
        <v>8956</v>
      </c>
      <c r="N442" s="20" t="s">
        <v>8957</v>
      </c>
      <c r="O442" s="20">
        <f t="shared" si="6"/>
        <v>12</v>
      </c>
      <c r="P442" s="22" t="s">
        <v>8975</v>
      </c>
      <c r="Q442" s="21" t="s">
        <v>9183</v>
      </c>
      <c r="R442" s="23" t="s">
        <v>9213</v>
      </c>
      <c r="S442" s="24" t="s">
        <v>11566</v>
      </c>
      <c r="T442" s="24" t="str">
        <f>VLOOKUP(R442,[1]Sheet3!$A$2:$A$47,1,0)</f>
        <v>South Korea</v>
      </c>
      <c r="U442" s="24" t="s">
        <v>11796</v>
      </c>
      <c r="V442" s="24" t="s">
        <v>11797</v>
      </c>
      <c r="W442" s="18" t="s">
        <v>8964</v>
      </c>
      <c r="X442" s="26" t="s">
        <v>666</v>
      </c>
      <c r="Y442" s="18" t="s">
        <v>11569</v>
      </c>
      <c r="Z442" s="24" t="s">
        <v>17</v>
      </c>
    </row>
    <row r="443" spans="1:26" ht="20.100000000000001" customHeight="1" x14ac:dyDescent="0.2">
      <c r="A443" s="18" t="s">
        <v>11798</v>
      </c>
      <c r="B443" s="19" t="s">
        <v>11799</v>
      </c>
      <c r="C443" s="19" t="s">
        <v>11800</v>
      </c>
      <c r="D443" s="8" t="s">
        <v>11318</v>
      </c>
      <c r="E443" s="33" t="s">
        <v>9155</v>
      </c>
      <c r="F443" s="20" t="s">
        <v>8950</v>
      </c>
      <c r="G443" s="20" t="s">
        <v>9430</v>
      </c>
      <c r="H443" s="31">
        <v>20</v>
      </c>
      <c r="I443" s="20" t="s">
        <v>9008</v>
      </c>
      <c r="J443" s="20" t="s">
        <v>8953</v>
      </c>
      <c r="K443" s="20" t="s">
        <v>8954</v>
      </c>
      <c r="L443" s="21" t="s">
        <v>8955</v>
      </c>
      <c r="M443" s="20" t="s">
        <v>8990</v>
      </c>
      <c r="N443" s="20" t="s">
        <v>8957</v>
      </c>
      <c r="O443" s="20">
        <f t="shared" si="6"/>
        <v>8</v>
      </c>
      <c r="P443" s="22" t="s">
        <v>8975</v>
      </c>
      <c r="Q443" s="21" t="s">
        <v>8959</v>
      </c>
      <c r="R443" s="23" t="s">
        <v>9010</v>
      </c>
      <c r="S443" s="24" t="s">
        <v>10148</v>
      </c>
      <c r="T443" s="24" t="str">
        <f>VLOOKUP(R443,[1]Sheet3!$A$2:$A$47,1,0)</f>
        <v>the United States of America</v>
      </c>
      <c r="U443" s="24" t="s">
        <v>10149</v>
      </c>
      <c r="V443" s="24" t="s">
        <v>11801</v>
      </c>
      <c r="W443" s="18" t="s">
        <v>8964</v>
      </c>
      <c r="X443" s="26" t="s">
        <v>700</v>
      </c>
      <c r="Y443" s="18" t="s">
        <v>10151</v>
      </c>
      <c r="Z443" s="24" t="s">
        <v>11</v>
      </c>
    </row>
    <row r="444" spans="1:26" ht="20.100000000000001" customHeight="1" x14ac:dyDescent="0.2">
      <c r="A444" s="18" t="s">
        <v>11802</v>
      </c>
      <c r="B444" s="19" t="s">
        <v>11803</v>
      </c>
      <c r="C444" s="19" t="s">
        <v>11804</v>
      </c>
      <c r="D444" s="8" t="s">
        <v>9173</v>
      </c>
      <c r="E444" s="20" t="s">
        <v>9174</v>
      </c>
      <c r="F444" s="20" t="s">
        <v>8950</v>
      </c>
      <c r="G444" s="20" t="s">
        <v>8951</v>
      </c>
      <c r="H444" s="31">
        <v>8</v>
      </c>
      <c r="I444" s="20" t="s">
        <v>9008</v>
      </c>
      <c r="J444" s="20" t="s">
        <v>9059</v>
      </c>
      <c r="K444" s="20" t="s">
        <v>8989</v>
      </c>
      <c r="L444" s="21" t="s">
        <v>8955</v>
      </c>
      <c r="M444" s="20" t="s">
        <v>8956</v>
      </c>
      <c r="N444" s="20" t="s">
        <v>8957</v>
      </c>
      <c r="O444" s="20">
        <f t="shared" si="6"/>
        <v>5</v>
      </c>
      <c r="P444" s="22" t="s">
        <v>8958</v>
      </c>
      <c r="Q444" s="21" t="s">
        <v>9183</v>
      </c>
      <c r="R444" s="23" t="s">
        <v>9380</v>
      </c>
      <c r="S444" s="24" t="s">
        <v>11805</v>
      </c>
      <c r="T444" s="24" t="str">
        <f>VLOOKUP(R444,[1]Sheet3!$A$2:$A$47,1,0)</f>
        <v>Canada</v>
      </c>
      <c r="U444" s="24" t="s">
        <v>11806</v>
      </c>
      <c r="V444" s="24" t="s">
        <v>11807</v>
      </c>
      <c r="W444" s="18" t="s">
        <v>8964</v>
      </c>
      <c r="X444" s="26" t="s">
        <v>3637</v>
      </c>
      <c r="Y444" s="18" t="s">
        <v>11808</v>
      </c>
      <c r="Z444" s="24">
        <v>2019</v>
      </c>
    </row>
    <row r="445" spans="1:26" ht="20.100000000000001" customHeight="1" x14ac:dyDescent="0.2">
      <c r="A445" s="18" t="s">
        <v>11809</v>
      </c>
      <c r="B445" s="19" t="s">
        <v>11810</v>
      </c>
      <c r="C445" s="19" t="s">
        <v>11811</v>
      </c>
      <c r="D445" s="8" t="s">
        <v>10907</v>
      </c>
      <c r="E445" s="20" t="s">
        <v>8949</v>
      </c>
      <c r="F445" s="20" t="s">
        <v>9018</v>
      </c>
      <c r="G445" s="20" t="s">
        <v>8951</v>
      </c>
      <c r="H445" s="31">
        <v>175</v>
      </c>
      <c r="I445" s="20" t="s">
        <v>9158</v>
      </c>
      <c r="J445" s="20" t="s">
        <v>9059</v>
      </c>
      <c r="K445" s="20" t="s">
        <v>8989</v>
      </c>
      <c r="L445" s="21" t="s">
        <v>8955</v>
      </c>
      <c r="M445" s="20" t="s">
        <v>8956</v>
      </c>
      <c r="N445" s="20" t="s">
        <v>8957</v>
      </c>
      <c r="O445" s="20">
        <f t="shared" si="6"/>
        <v>9</v>
      </c>
      <c r="P445" s="22" t="s">
        <v>8975</v>
      </c>
      <c r="Q445" s="21" t="s">
        <v>9183</v>
      </c>
      <c r="R445" s="23" t="s">
        <v>8991</v>
      </c>
      <c r="S445" s="24" t="s">
        <v>180</v>
      </c>
      <c r="T445" s="24" t="str">
        <f>VLOOKUP(R445,[1]Sheet3!$A$2:$A$47,1,0)</f>
        <v>China</v>
      </c>
      <c r="U445" s="24" t="s">
        <v>11812</v>
      </c>
      <c r="V445" s="24" t="s">
        <v>11813</v>
      </c>
      <c r="W445" s="18" t="s">
        <v>8964</v>
      </c>
      <c r="X445" s="26" t="s">
        <v>180</v>
      </c>
      <c r="Y445" s="18" t="s">
        <v>11199</v>
      </c>
      <c r="Z445" s="24" t="s">
        <v>11</v>
      </c>
    </row>
    <row r="446" spans="1:26" ht="20.100000000000001" customHeight="1" x14ac:dyDescent="0.2">
      <c r="A446" s="18" t="s">
        <v>11814</v>
      </c>
      <c r="B446" s="19" t="s">
        <v>11815</v>
      </c>
      <c r="C446" s="19" t="s">
        <v>11816</v>
      </c>
      <c r="D446" s="8" t="s">
        <v>9100</v>
      </c>
      <c r="E446" s="20" t="s">
        <v>8949</v>
      </c>
      <c r="F446" s="20" t="s">
        <v>9270</v>
      </c>
      <c r="G446" s="20" t="s">
        <v>9133</v>
      </c>
      <c r="H446" s="31">
        <v>200</v>
      </c>
      <c r="I446" s="20" t="s">
        <v>9158</v>
      </c>
      <c r="J446" s="20" t="s">
        <v>9059</v>
      </c>
      <c r="K446" s="20" t="s">
        <v>8989</v>
      </c>
      <c r="L446" s="21" t="s">
        <v>8955</v>
      </c>
      <c r="M446" s="20" t="s">
        <v>8956</v>
      </c>
      <c r="N446" s="20" t="s">
        <v>8959</v>
      </c>
      <c r="O446" s="20">
        <f t="shared" si="6"/>
        <v>8</v>
      </c>
      <c r="P446" s="22" t="s">
        <v>8975</v>
      </c>
      <c r="Q446" s="21" t="s">
        <v>9183</v>
      </c>
      <c r="R446" s="23" t="s">
        <v>8991</v>
      </c>
      <c r="S446" s="24" t="s">
        <v>11817</v>
      </c>
      <c r="T446" s="24" t="str">
        <f>VLOOKUP(R446,[1]Sheet3!$A$2:$A$47,1,0)</f>
        <v>China</v>
      </c>
      <c r="U446" s="24" t="s">
        <v>11818</v>
      </c>
      <c r="V446" s="24" t="s">
        <v>11819</v>
      </c>
      <c r="W446" s="18" t="s">
        <v>8964</v>
      </c>
      <c r="X446" s="26" t="s">
        <v>783</v>
      </c>
      <c r="Y446" s="18" t="s">
        <v>11820</v>
      </c>
      <c r="Z446" s="24" t="s">
        <v>11</v>
      </c>
    </row>
    <row r="447" spans="1:26" ht="20.100000000000001" customHeight="1" x14ac:dyDescent="0.2">
      <c r="A447" s="18" t="s">
        <v>11821</v>
      </c>
      <c r="B447" s="19" t="s">
        <v>11822</v>
      </c>
      <c r="C447" s="19" t="s">
        <v>11823</v>
      </c>
      <c r="D447" s="8" t="s">
        <v>9092</v>
      </c>
      <c r="E447" s="20" t="s">
        <v>10890</v>
      </c>
      <c r="F447" s="20" t="s">
        <v>9270</v>
      </c>
      <c r="G447" s="20" t="s">
        <v>8973</v>
      </c>
      <c r="H447" s="31">
        <v>167</v>
      </c>
      <c r="I447" s="20" t="s">
        <v>9158</v>
      </c>
      <c r="J447" s="20" t="s">
        <v>9059</v>
      </c>
      <c r="K447" s="20" t="s">
        <v>8989</v>
      </c>
      <c r="L447" s="21" t="s">
        <v>8955</v>
      </c>
      <c r="M447" s="20" t="s">
        <v>8956</v>
      </c>
      <c r="N447" s="20" t="s">
        <v>8957</v>
      </c>
      <c r="O447" s="20">
        <f t="shared" si="6"/>
        <v>4</v>
      </c>
      <c r="P447" s="22" t="s">
        <v>8958</v>
      </c>
      <c r="Q447" s="21" t="s">
        <v>9183</v>
      </c>
      <c r="R447" s="23" t="s">
        <v>8991</v>
      </c>
      <c r="S447" s="24" t="s">
        <v>9028</v>
      </c>
      <c r="T447" s="24" t="str">
        <f>VLOOKUP(R447,[1]Sheet3!$A$2:$A$47,1,0)</f>
        <v>China</v>
      </c>
      <c r="U447" s="24" t="s">
        <v>11824</v>
      </c>
      <c r="V447" s="24" t="s">
        <v>11825</v>
      </c>
      <c r="W447" s="18" t="s">
        <v>8964</v>
      </c>
      <c r="X447" s="26" t="s">
        <v>43</v>
      </c>
      <c r="Y447" s="18" t="s">
        <v>9031</v>
      </c>
      <c r="Z447" s="24" t="s">
        <v>11</v>
      </c>
    </row>
    <row r="448" spans="1:26" ht="20.100000000000001" customHeight="1" x14ac:dyDescent="0.2">
      <c r="A448" s="18" t="s">
        <v>11826</v>
      </c>
      <c r="B448" s="19" t="s">
        <v>11827</v>
      </c>
      <c r="C448" s="19" t="s">
        <v>11828</v>
      </c>
      <c r="D448" s="8" t="s">
        <v>9049</v>
      </c>
      <c r="E448" s="20" t="s">
        <v>8949</v>
      </c>
      <c r="F448" s="20" t="s">
        <v>9510</v>
      </c>
      <c r="G448" s="20" t="s">
        <v>10891</v>
      </c>
      <c r="H448" s="31">
        <v>298</v>
      </c>
      <c r="I448" s="20" t="s">
        <v>8988</v>
      </c>
      <c r="J448" s="20" t="s">
        <v>9059</v>
      </c>
      <c r="K448" s="20" t="s">
        <v>8989</v>
      </c>
      <c r="L448" s="21" t="s">
        <v>8955</v>
      </c>
      <c r="M448" s="20" t="s">
        <v>8956</v>
      </c>
      <c r="N448" s="20" t="s">
        <v>8957</v>
      </c>
      <c r="O448" s="20">
        <f t="shared" si="6"/>
        <v>10</v>
      </c>
      <c r="P448" s="22" t="s">
        <v>8975</v>
      </c>
      <c r="Q448" s="21" t="s">
        <v>9183</v>
      </c>
      <c r="R448" s="23" t="s">
        <v>9010</v>
      </c>
      <c r="S448" s="24" t="s">
        <v>9711</v>
      </c>
      <c r="T448" s="24" t="str">
        <f>VLOOKUP(R448,[1]Sheet3!$A$2:$A$47,1,0)</f>
        <v>the United States of America</v>
      </c>
      <c r="U448" s="24" t="s">
        <v>11829</v>
      </c>
      <c r="V448" s="24" t="s">
        <v>11830</v>
      </c>
      <c r="W448" s="18" t="s">
        <v>8964</v>
      </c>
      <c r="X448" s="26" t="s">
        <v>392</v>
      </c>
      <c r="Y448" s="18" t="s">
        <v>9714</v>
      </c>
      <c r="Z448" s="24" t="s">
        <v>11</v>
      </c>
    </row>
    <row r="449" spans="1:26" ht="20.100000000000001" customHeight="1" x14ac:dyDescent="0.2">
      <c r="A449" s="18" t="s">
        <v>11831</v>
      </c>
      <c r="B449" s="19" t="s">
        <v>11832</v>
      </c>
      <c r="C449" s="19" t="s">
        <v>11833</v>
      </c>
      <c r="D449" s="8" t="s">
        <v>8948</v>
      </c>
      <c r="E449" s="20" t="s">
        <v>8998</v>
      </c>
      <c r="F449" s="20" t="s">
        <v>8950</v>
      </c>
      <c r="G449" s="20" t="s">
        <v>9133</v>
      </c>
      <c r="H449" s="31">
        <v>10159</v>
      </c>
      <c r="I449" s="20" t="s">
        <v>9019</v>
      </c>
      <c r="J449" s="20" t="s">
        <v>8953</v>
      </c>
      <c r="K449" s="20" t="s">
        <v>8989</v>
      </c>
      <c r="L449" s="21" t="s">
        <v>8955</v>
      </c>
      <c r="M449" s="20" t="s">
        <v>8956</v>
      </c>
      <c r="N449" s="20" t="s">
        <v>9060</v>
      </c>
      <c r="O449" s="20">
        <f t="shared" si="6"/>
        <v>15</v>
      </c>
      <c r="P449" s="22" t="s">
        <v>8975</v>
      </c>
      <c r="Q449" s="21" t="s">
        <v>9183</v>
      </c>
      <c r="R449" s="23" t="s">
        <v>9010</v>
      </c>
      <c r="S449" s="24" t="s">
        <v>10574</v>
      </c>
      <c r="T449" s="24" t="str">
        <f>VLOOKUP(R449,[1]Sheet3!$A$2:$A$47,1,0)</f>
        <v>the United States of America</v>
      </c>
      <c r="U449" s="24" t="s">
        <v>11834</v>
      </c>
      <c r="V449" s="24" t="s">
        <v>11835</v>
      </c>
      <c r="W449" s="18" t="s">
        <v>8964</v>
      </c>
      <c r="X449" s="26" t="s">
        <v>1202</v>
      </c>
      <c r="Y449" s="18" t="s">
        <v>10577</v>
      </c>
      <c r="Z449" s="24" t="s">
        <v>11</v>
      </c>
    </row>
    <row r="450" spans="1:26" ht="20.100000000000001" customHeight="1" x14ac:dyDescent="0.2">
      <c r="A450" s="18" t="s">
        <v>11836</v>
      </c>
      <c r="B450" s="19" t="s">
        <v>11837</v>
      </c>
      <c r="C450" s="19" t="s">
        <v>11838</v>
      </c>
      <c r="D450" s="8" t="s">
        <v>8984</v>
      </c>
      <c r="E450" s="20" t="s">
        <v>8949</v>
      </c>
      <c r="F450" s="20" t="s">
        <v>11839</v>
      </c>
      <c r="G450" s="20" t="s">
        <v>9076</v>
      </c>
      <c r="H450" s="31">
        <v>157</v>
      </c>
      <c r="I450" s="20" t="s">
        <v>9158</v>
      </c>
      <c r="J450" s="20" t="s">
        <v>9059</v>
      </c>
      <c r="K450" s="20" t="s">
        <v>8989</v>
      </c>
      <c r="L450" s="21" t="s">
        <v>8955</v>
      </c>
      <c r="M450" s="20" t="s">
        <v>8956</v>
      </c>
      <c r="N450" s="20" t="s">
        <v>8974</v>
      </c>
      <c r="O450" s="20">
        <f t="shared" ref="O450:O513" si="7">1+LEN(V450)-LEN(SUBSTITUTE(V450,";",))</f>
        <v>10</v>
      </c>
      <c r="P450" s="22" t="s">
        <v>8975</v>
      </c>
      <c r="Q450" s="21" t="s">
        <v>9061</v>
      </c>
      <c r="R450" s="23" t="s">
        <v>9010</v>
      </c>
      <c r="S450" s="24" t="s">
        <v>180</v>
      </c>
      <c r="T450" s="24" t="str">
        <f>VLOOKUP(R450,[1]Sheet3!$A$2:$A$47,1,0)</f>
        <v>the United States of America</v>
      </c>
      <c r="U450" s="24" t="s">
        <v>11840</v>
      </c>
      <c r="V450" s="24" t="s">
        <v>11841</v>
      </c>
      <c r="W450" s="18" t="s">
        <v>8964</v>
      </c>
      <c r="X450" s="26" t="s">
        <v>180</v>
      </c>
      <c r="Y450" s="18" t="s">
        <v>11199</v>
      </c>
      <c r="Z450" s="24" t="s">
        <v>11</v>
      </c>
    </row>
    <row r="451" spans="1:26" ht="20.100000000000001" customHeight="1" x14ac:dyDescent="0.2">
      <c r="A451" s="18" t="s">
        <v>11842</v>
      </c>
      <c r="B451" s="19" t="s">
        <v>11843</v>
      </c>
      <c r="C451" s="19" t="s">
        <v>11844</v>
      </c>
      <c r="D451" s="8" t="s">
        <v>9605</v>
      </c>
      <c r="E451" s="20" t="s">
        <v>8949</v>
      </c>
      <c r="F451" s="20" t="s">
        <v>8950</v>
      </c>
      <c r="G451" s="20" t="s">
        <v>9133</v>
      </c>
      <c r="H451" s="31">
        <v>250</v>
      </c>
      <c r="I451" s="20" t="s">
        <v>9158</v>
      </c>
      <c r="J451" s="20" t="s">
        <v>9059</v>
      </c>
      <c r="K451" s="20" t="s">
        <v>8954</v>
      </c>
      <c r="L451" s="21" t="s">
        <v>8955</v>
      </c>
      <c r="M451" s="20" t="s">
        <v>8956</v>
      </c>
      <c r="N451" s="20" t="s">
        <v>8957</v>
      </c>
      <c r="O451" s="20">
        <f t="shared" si="7"/>
        <v>12</v>
      </c>
      <c r="P451" s="22" t="s">
        <v>8975</v>
      </c>
      <c r="Q451" s="21" t="s">
        <v>9183</v>
      </c>
      <c r="R451" s="23" t="s">
        <v>9062</v>
      </c>
      <c r="S451" s="24" t="s">
        <v>9442</v>
      </c>
      <c r="T451" s="24" t="str">
        <f>VLOOKUP(R451,[1]Sheet3!$A$2:$A$47,1,0)</f>
        <v>Germany</v>
      </c>
      <c r="U451" s="24" t="s">
        <v>11845</v>
      </c>
      <c r="V451" s="24" t="s">
        <v>11846</v>
      </c>
      <c r="W451" s="18" t="s">
        <v>8964</v>
      </c>
      <c r="X451" s="26" t="s">
        <v>21</v>
      </c>
      <c r="Y451" s="18" t="s">
        <v>9445</v>
      </c>
      <c r="Z451" s="24" t="s">
        <v>11</v>
      </c>
    </row>
    <row r="452" spans="1:26" ht="20.100000000000001" customHeight="1" x14ac:dyDescent="0.2">
      <c r="A452" s="18" t="s">
        <v>11847</v>
      </c>
      <c r="B452" s="19" t="s">
        <v>11848</v>
      </c>
      <c r="C452" s="19" t="s">
        <v>11849</v>
      </c>
      <c r="D452" s="8" t="s">
        <v>11850</v>
      </c>
      <c r="E452" s="20" t="s">
        <v>8998</v>
      </c>
      <c r="F452" s="27" t="s">
        <v>8950</v>
      </c>
      <c r="G452" s="20" t="s">
        <v>8951</v>
      </c>
      <c r="H452" s="31">
        <v>32120</v>
      </c>
      <c r="I452" s="20" t="s">
        <v>9019</v>
      </c>
      <c r="J452" s="20" t="s">
        <v>8953</v>
      </c>
      <c r="K452" s="20" t="s">
        <v>8989</v>
      </c>
      <c r="L452" s="21" t="s">
        <v>8955</v>
      </c>
      <c r="M452" s="20" t="s">
        <v>8956</v>
      </c>
      <c r="N452" s="20" t="s">
        <v>8959</v>
      </c>
      <c r="O452" s="20">
        <f t="shared" si="7"/>
        <v>4</v>
      </c>
      <c r="P452" s="22" t="s">
        <v>8958</v>
      </c>
      <c r="Q452" s="21" t="s">
        <v>9061</v>
      </c>
      <c r="R452" s="23" t="s">
        <v>9010</v>
      </c>
      <c r="S452" s="24" t="s">
        <v>10438</v>
      </c>
      <c r="T452" s="24" t="str">
        <f>VLOOKUP(R452,[1]Sheet3!$A$2:$A$47,1,0)</f>
        <v>the United States of America</v>
      </c>
      <c r="U452" s="24" t="s">
        <v>11851</v>
      </c>
      <c r="V452" s="24" t="s">
        <v>11852</v>
      </c>
      <c r="W452" s="18" t="s">
        <v>8964</v>
      </c>
      <c r="X452" s="26" t="s">
        <v>286</v>
      </c>
      <c r="Y452" s="18" t="s">
        <v>10441</v>
      </c>
      <c r="Z452" s="24" t="s">
        <v>11</v>
      </c>
    </row>
    <row r="453" spans="1:26" ht="20.100000000000001" customHeight="1" x14ac:dyDescent="0.2">
      <c r="A453" s="18" t="s">
        <v>11853</v>
      </c>
      <c r="B453" s="19" t="s">
        <v>11854</v>
      </c>
      <c r="C453" s="19" t="s">
        <v>11855</v>
      </c>
      <c r="D453" s="8" t="s">
        <v>9252</v>
      </c>
      <c r="E453" s="20" t="s">
        <v>9253</v>
      </c>
      <c r="F453" s="20" t="s">
        <v>11856</v>
      </c>
      <c r="G453" s="20" t="s">
        <v>9133</v>
      </c>
      <c r="H453" s="31">
        <v>896</v>
      </c>
      <c r="I453" s="20" t="s">
        <v>9077</v>
      </c>
      <c r="J453" s="20" t="s">
        <v>8953</v>
      </c>
      <c r="K453" s="20" t="s">
        <v>8989</v>
      </c>
      <c r="L453" s="21" t="s">
        <v>8955</v>
      </c>
      <c r="M453" s="20" t="s">
        <v>8956</v>
      </c>
      <c r="N453" s="20" t="s">
        <v>8957</v>
      </c>
      <c r="O453" s="20">
        <f t="shared" si="7"/>
        <v>5</v>
      </c>
      <c r="P453" s="22" t="s">
        <v>8958</v>
      </c>
      <c r="Q453" s="21" t="s">
        <v>9183</v>
      </c>
      <c r="R453" s="23" t="s">
        <v>9213</v>
      </c>
      <c r="S453" s="24" t="s">
        <v>9651</v>
      </c>
      <c r="T453" s="24" t="str">
        <f>VLOOKUP(R453,[1]Sheet3!$A$2:$A$47,1,0)</f>
        <v>South Korea</v>
      </c>
      <c r="U453" s="24" t="s">
        <v>11857</v>
      </c>
      <c r="V453" s="24" t="s">
        <v>11858</v>
      </c>
      <c r="W453" s="18" t="s">
        <v>8964</v>
      </c>
      <c r="X453" s="26" t="s">
        <v>200</v>
      </c>
      <c r="Y453" s="18" t="s">
        <v>9654</v>
      </c>
      <c r="Z453" s="24" t="s">
        <v>11</v>
      </c>
    </row>
    <row r="454" spans="1:26" ht="20.100000000000001" customHeight="1" x14ac:dyDescent="0.2">
      <c r="A454" s="18" t="s">
        <v>11859</v>
      </c>
      <c r="B454" s="19" t="s">
        <v>11860</v>
      </c>
      <c r="C454" s="19" t="s">
        <v>11861</v>
      </c>
      <c r="D454" s="8" t="s">
        <v>9049</v>
      </c>
      <c r="E454" s="20" t="s">
        <v>9325</v>
      </c>
      <c r="F454" s="20" t="s">
        <v>10258</v>
      </c>
      <c r="G454" s="20" t="s">
        <v>8951</v>
      </c>
      <c r="H454" s="31">
        <v>226870</v>
      </c>
      <c r="I454" s="20" t="s">
        <v>9019</v>
      </c>
      <c r="J454" s="20" t="s">
        <v>8953</v>
      </c>
      <c r="K454" s="20" t="s">
        <v>8954</v>
      </c>
      <c r="L454" s="21" t="s">
        <v>11548</v>
      </c>
      <c r="M454" s="20" t="s">
        <v>8956</v>
      </c>
      <c r="N454" s="20" t="s">
        <v>8957</v>
      </c>
      <c r="O454" s="20">
        <f t="shared" si="7"/>
        <v>10</v>
      </c>
      <c r="P454" s="22" t="s">
        <v>8975</v>
      </c>
      <c r="Q454" s="21" t="s">
        <v>9183</v>
      </c>
      <c r="R454" s="23" t="s">
        <v>9010</v>
      </c>
      <c r="S454" s="24" t="s">
        <v>10245</v>
      </c>
      <c r="T454" s="24" t="str">
        <f>VLOOKUP(R454,[1]Sheet3!$A$2:$A$47,1,0)</f>
        <v>the United States of America</v>
      </c>
      <c r="U454" s="24" t="s">
        <v>11862</v>
      </c>
      <c r="V454" s="24" t="s">
        <v>11863</v>
      </c>
      <c r="W454" s="18" t="s">
        <v>8964</v>
      </c>
      <c r="X454" s="26" t="s">
        <v>396</v>
      </c>
      <c r="Y454" s="18" t="s">
        <v>10248</v>
      </c>
      <c r="Z454" s="24" t="s">
        <v>11</v>
      </c>
    </row>
    <row r="455" spans="1:26" ht="20.100000000000001" customHeight="1" x14ac:dyDescent="0.2">
      <c r="A455" s="18" t="s">
        <v>11864</v>
      </c>
      <c r="B455" s="19" t="s">
        <v>11865</v>
      </c>
      <c r="C455" s="19" t="s">
        <v>11866</v>
      </c>
      <c r="D455" s="8" t="s">
        <v>9100</v>
      </c>
      <c r="E455" s="20" t="s">
        <v>8998</v>
      </c>
      <c r="F455" s="20" t="s">
        <v>8950</v>
      </c>
      <c r="G455" s="20" t="s">
        <v>8951</v>
      </c>
      <c r="H455" s="31">
        <v>3756</v>
      </c>
      <c r="I455" s="20" t="s">
        <v>9019</v>
      </c>
      <c r="J455" s="20" t="s">
        <v>8953</v>
      </c>
      <c r="K455" s="20" t="s">
        <v>8989</v>
      </c>
      <c r="L455" s="21" t="s">
        <v>8955</v>
      </c>
      <c r="M455" s="20" t="s">
        <v>8956</v>
      </c>
      <c r="N455" s="20" t="s">
        <v>8957</v>
      </c>
      <c r="O455" s="20">
        <f t="shared" si="7"/>
        <v>3</v>
      </c>
      <c r="P455" s="22" t="s">
        <v>9103</v>
      </c>
      <c r="Q455" s="21" t="s">
        <v>9061</v>
      </c>
      <c r="R455" s="23" t="s">
        <v>9062</v>
      </c>
      <c r="S455" s="24" t="s">
        <v>11867</v>
      </c>
      <c r="T455" s="24" t="str">
        <f>VLOOKUP(R455,[1]Sheet3!$A$2:$A$47,1,0)</f>
        <v>Germany</v>
      </c>
      <c r="U455" s="24" t="s">
        <v>11868</v>
      </c>
      <c r="V455" s="24" t="s">
        <v>11869</v>
      </c>
      <c r="W455" s="18" t="s">
        <v>11870</v>
      </c>
      <c r="X455" s="26" t="s">
        <v>713</v>
      </c>
      <c r="Y455" s="18" t="s">
        <v>11871</v>
      </c>
      <c r="Z455" s="24" t="s">
        <v>11</v>
      </c>
    </row>
    <row r="456" spans="1:26" ht="20.100000000000001" customHeight="1" x14ac:dyDescent="0.2">
      <c r="A456" s="18" t="s">
        <v>11872</v>
      </c>
      <c r="B456" s="19" t="s">
        <v>11873</v>
      </c>
      <c r="C456" s="19" t="s">
        <v>11874</v>
      </c>
      <c r="D456" s="8" t="s">
        <v>8948</v>
      </c>
      <c r="E456" s="20" t="s">
        <v>9155</v>
      </c>
      <c r="F456" s="20" t="s">
        <v>11875</v>
      </c>
      <c r="G456" s="20" t="s">
        <v>10924</v>
      </c>
      <c r="H456" s="31">
        <v>22</v>
      </c>
      <c r="I456" s="20" t="s">
        <v>9008</v>
      </c>
      <c r="J456" s="20" t="s">
        <v>8953</v>
      </c>
      <c r="K456" s="20" t="s">
        <v>8954</v>
      </c>
      <c r="L456" s="21" t="s">
        <v>8955</v>
      </c>
      <c r="M456" s="20" t="s">
        <v>8956</v>
      </c>
      <c r="N456" s="20" t="s">
        <v>8959</v>
      </c>
      <c r="O456" s="20">
        <f t="shared" si="7"/>
        <v>7</v>
      </c>
      <c r="P456" s="22" t="s">
        <v>8958</v>
      </c>
      <c r="Q456" s="21" t="s">
        <v>9061</v>
      </c>
      <c r="R456" s="23" t="s">
        <v>9010</v>
      </c>
      <c r="S456" s="24" t="s">
        <v>9741</v>
      </c>
      <c r="T456" s="24" t="str">
        <f>VLOOKUP(R456,[1]Sheet3!$A$2:$A$47,1,0)</f>
        <v>the United States of America</v>
      </c>
      <c r="U456" s="24" t="s">
        <v>9748</v>
      </c>
      <c r="V456" s="24" t="s">
        <v>11876</v>
      </c>
      <c r="W456" s="18" t="s">
        <v>8964</v>
      </c>
      <c r="X456" s="26" t="s">
        <v>921</v>
      </c>
      <c r="Y456" s="18" t="s">
        <v>9744</v>
      </c>
      <c r="Z456" s="24" t="s">
        <v>4</v>
      </c>
    </row>
    <row r="457" spans="1:26" ht="20.100000000000001" customHeight="1" x14ac:dyDescent="0.2">
      <c r="A457" s="18" t="s">
        <v>11877</v>
      </c>
      <c r="B457" s="19" t="s">
        <v>11878</v>
      </c>
      <c r="C457" s="19" t="s">
        <v>11879</v>
      </c>
      <c r="D457" s="8" t="s">
        <v>9049</v>
      </c>
      <c r="E457" s="20" t="s">
        <v>9155</v>
      </c>
      <c r="F457" s="20" t="s">
        <v>9051</v>
      </c>
      <c r="G457" s="20" t="s">
        <v>9133</v>
      </c>
      <c r="H457" s="31">
        <v>10</v>
      </c>
      <c r="I457" s="20" t="s">
        <v>9008</v>
      </c>
      <c r="J457" s="20" t="s">
        <v>8953</v>
      </c>
      <c r="K457" s="20" t="s">
        <v>8954</v>
      </c>
      <c r="L457" s="21" t="s">
        <v>8955</v>
      </c>
      <c r="M457" s="20" t="s">
        <v>8956</v>
      </c>
      <c r="N457" s="20" t="s">
        <v>9060</v>
      </c>
      <c r="O457" s="20">
        <f t="shared" si="7"/>
        <v>4</v>
      </c>
      <c r="P457" s="22" t="s">
        <v>8958</v>
      </c>
      <c r="Q457" s="21" t="s">
        <v>9183</v>
      </c>
      <c r="R457" s="23" t="s">
        <v>10850</v>
      </c>
      <c r="S457" s="24" t="s">
        <v>8961</v>
      </c>
      <c r="T457" s="24" t="str">
        <f>VLOOKUP(R457,[1]Sheet3!$A$2:$A$47,1,0)</f>
        <v>Singapore</v>
      </c>
      <c r="U457" s="24" t="s">
        <v>11880</v>
      </c>
      <c r="V457" s="24" t="s">
        <v>11881</v>
      </c>
      <c r="W457" s="18" t="s">
        <v>8964</v>
      </c>
      <c r="X457" s="26" t="s">
        <v>126</v>
      </c>
      <c r="Y457" s="18" t="s">
        <v>8966</v>
      </c>
      <c r="Z457" s="24" t="s">
        <v>11</v>
      </c>
    </row>
    <row r="458" spans="1:26" ht="20.100000000000001" customHeight="1" x14ac:dyDescent="0.2">
      <c r="A458" s="18" t="s">
        <v>11882</v>
      </c>
      <c r="B458" s="19" t="s">
        <v>11883</v>
      </c>
      <c r="C458" s="19" t="s">
        <v>11884</v>
      </c>
      <c r="D458" s="8" t="s">
        <v>9100</v>
      </c>
      <c r="E458" s="20" t="s">
        <v>11670</v>
      </c>
      <c r="F458" s="20" t="s">
        <v>9436</v>
      </c>
      <c r="G458" s="20" t="s">
        <v>9076</v>
      </c>
      <c r="H458" s="31">
        <v>1664</v>
      </c>
      <c r="I458" s="20" t="s">
        <v>8952</v>
      </c>
      <c r="J458" s="20" t="s">
        <v>8953</v>
      </c>
      <c r="K458" s="20" t="s">
        <v>8954</v>
      </c>
      <c r="L458" s="21" t="s">
        <v>8955</v>
      </c>
      <c r="M458" s="20" t="s">
        <v>8956</v>
      </c>
      <c r="N458" s="20" t="s">
        <v>8957</v>
      </c>
      <c r="O458" s="20">
        <f t="shared" si="7"/>
        <v>7</v>
      </c>
      <c r="P458" s="22" t="s">
        <v>8975</v>
      </c>
      <c r="Q458" s="21" t="s">
        <v>9183</v>
      </c>
      <c r="R458" s="23" t="s">
        <v>9310</v>
      </c>
      <c r="S458" s="24" t="s">
        <v>9271</v>
      </c>
      <c r="T458" s="24" t="str">
        <f>VLOOKUP(R458,[1]Sheet3!$A$2:$A$47,1,0)</f>
        <v>China</v>
      </c>
      <c r="U458" s="24" t="s">
        <v>11885</v>
      </c>
      <c r="V458" s="24" t="s">
        <v>11886</v>
      </c>
      <c r="W458" s="18" t="s">
        <v>8964</v>
      </c>
      <c r="X458" s="26" t="s">
        <v>15</v>
      </c>
      <c r="Y458" s="18" t="s">
        <v>9274</v>
      </c>
      <c r="Z458" s="24" t="s">
        <v>11</v>
      </c>
    </row>
    <row r="459" spans="1:26" ht="20.100000000000001" customHeight="1" x14ac:dyDescent="0.2">
      <c r="A459" s="18" t="s">
        <v>11887</v>
      </c>
      <c r="B459" s="19" t="s">
        <v>11888</v>
      </c>
      <c r="C459" s="19" t="s">
        <v>11889</v>
      </c>
      <c r="D459" s="8" t="s">
        <v>8948</v>
      </c>
      <c r="E459" s="20" t="s">
        <v>9155</v>
      </c>
      <c r="F459" s="20" t="s">
        <v>11890</v>
      </c>
      <c r="G459" s="20" t="s">
        <v>10924</v>
      </c>
      <c r="H459" s="31">
        <v>499</v>
      </c>
      <c r="I459" s="20" t="s">
        <v>8988</v>
      </c>
      <c r="J459" s="20" t="s">
        <v>8953</v>
      </c>
      <c r="K459" s="20" t="s">
        <v>8954</v>
      </c>
      <c r="L459" s="21" t="s">
        <v>8955</v>
      </c>
      <c r="M459" s="20" t="s">
        <v>8956</v>
      </c>
      <c r="N459" s="20" t="s">
        <v>8957</v>
      </c>
      <c r="O459" s="20">
        <f t="shared" si="7"/>
        <v>4</v>
      </c>
      <c r="P459" s="22" t="s">
        <v>8958</v>
      </c>
      <c r="Q459" s="21" t="s">
        <v>8959</v>
      </c>
      <c r="R459" s="23" t="s">
        <v>9310</v>
      </c>
      <c r="S459" s="24" t="s">
        <v>11007</v>
      </c>
      <c r="T459" s="24" t="str">
        <f>VLOOKUP(R459,[1]Sheet3!$A$2:$A$47,1,0)</f>
        <v>China</v>
      </c>
      <c r="U459" s="24" t="s">
        <v>11891</v>
      </c>
      <c r="V459" s="24" t="s">
        <v>11892</v>
      </c>
      <c r="W459" s="18" t="s">
        <v>8964</v>
      </c>
      <c r="X459" s="26" t="s">
        <v>5</v>
      </c>
      <c r="Y459" s="18" t="s">
        <v>11010</v>
      </c>
      <c r="Z459" s="24" t="s">
        <v>17</v>
      </c>
    </row>
    <row r="460" spans="1:26" ht="20.100000000000001" customHeight="1" x14ac:dyDescent="0.2">
      <c r="A460" s="18" t="s">
        <v>11893</v>
      </c>
      <c r="B460" s="19" t="s">
        <v>11894</v>
      </c>
      <c r="C460" s="19" t="s">
        <v>11895</v>
      </c>
      <c r="D460" s="8" t="s">
        <v>9049</v>
      </c>
      <c r="E460" s="20" t="s">
        <v>9050</v>
      </c>
      <c r="F460" s="20" t="s">
        <v>10218</v>
      </c>
      <c r="G460" s="20" t="s">
        <v>8987</v>
      </c>
      <c r="H460" s="31">
        <v>5783</v>
      </c>
      <c r="I460" s="20" t="s">
        <v>9019</v>
      </c>
      <c r="J460" s="20" t="s">
        <v>8953</v>
      </c>
      <c r="K460" s="20" t="s">
        <v>8954</v>
      </c>
      <c r="L460" s="21" t="s">
        <v>8955</v>
      </c>
      <c r="M460" s="20" t="s">
        <v>8956</v>
      </c>
      <c r="N460" s="20" t="s">
        <v>8957</v>
      </c>
      <c r="O460" s="20">
        <f t="shared" si="7"/>
        <v>7</v>
      </c>
      <c r="P460" s="22" t="s">
        <v>8975</v>
      </c>
      <c r="Q460" s="21" t="s">
        <v>9183</v>
      </c>
      <c r="R460" s="23" t="s">
        <v>8991</v>
      </c>
      <c r="S460" s="24" t="s">
        <v>9159</v>
      </c>
      <c r="T460" s="24" t="str">
        <f>VLOOKUP(R460,[1]Sheet3!$A$2:$A$47,1,0)</f>
        <v>China</v>
      </c>
      <c r="V460" s="24" t="s">
        <v>11896</v>
      </c>
      <c r="W460" s="18" t="s">
        <v>8964</v>
      </c>
      <c r="X460" s="26" t="s">
        <v>61</v>
      </c>
      <c r="Y460" s="18" t="s">
        <v>9162</v>
      </c>
      <c r="Z460" s="24" t="s">
        <v>11</v>
      </c>
    </row>
    <row r="461" spans="1:26" ht="20.100000000000001" customHeight="1" x14ac:dyDescent="0.2">
      <c r="A461" s="18" t="s">
        <v>11897</v>
      </c>
      <c r="B461" s="19" t="s">
        <v>11898</v>
      </c>
      <c r="C461" s="19" t="s">
        <v>11899</v>
      </c>
      <c r="D461" s="8" t="s">
        <v>8984</v>
      </c>
      <c r="E461" s="20" t="s">
        <v>9131</v>
      </c>
      <c r="F461" s="20" t="s">
        <v>8950</v>
      </c>
      <c r="G461" s="20" t="s">
        <v>8951</v>
      </c>
      <c r="H461" s="52">
        <v>10000</v>
      </c>
      <c r="I461" s="20" t="s">
        <v>9019</v>
      </c>
      <c r="J461" s="20" t="s">
        <v>8953</v>
      </c>
      <c r="K461" s="20" t="s">
        <v>8954</v>
      </c>
      <c r="L461" s="21" t="s">
        <v>8955</v>
      </c>
      <c r="M461" s="20" t="s">
        <v>8956</v>
      </c>
      <c r="N461" s="20" t="s">
        <v>8957</v>
      </c>
      <c r="O461" s="20">
        <f t="shared" si="7"/>
        <v>5</v>
      </c>
      <c r="P461" s="22" t="s">
        <v>8958</v>
      </c>
      <c r="Q461" s="21" t="s">
        <v>9183</v>
      </c>
      <c r="R461" s="23" t="s">
        <v>10008</v>
      </c>
      <c r="S461" s="24" t="s">
        <v>9159</v>
      </c>
      <c r="T461" s="24" t="str">
        <f>VLOOKUP(R461,[1]Sheet3!$A$2:$A$47,1,0)</f>
        <v>Greece</v>
      </c>
      <c r="U461" s="24" t="s">
        <v>11900</v>
      </c>
      <c r="V461" s="24" t="s">
        <v>11901</v>
      </c>
      <c r="W461" s="18" t="s">
        <v>8964</v>
      </c>
      <c r="X461" s="26" t="s">
        <v>61</v>
      </c>
      <c r="Y461" s="18" t="s">
        <v>9162</v>
      </c>
      <c r="Z461" s="24" t="s">
        <v>11</v>
      </c>
    </row>
    <row r="462" spans="1:26" ht="20.100000000000001" customHeight="1" x14ac:dyDescent="0.2">
      <c r="A462" s="18" t="s">
        <v>11902</v>
      </c>
      <c r="B462" s="19" t="s">
        <v>11903</v>
      </c>
      <c r="C462" s="19" t="s">
        <v>11904</v>
      </c>
      <c r="D462" s="8" t="s">
        <v>9100</v>
      </c>
      <c r="E462" s="20" t="s">
        <v>9121</v>
      </c>
      <c r="F462" s="20" t="s">
        <v>8950</v>
      </c>
      <c r="G462" s="20" t="s">
        <v>9292</v>
      </c>
      <c r="H462" s="31">
        <v>20</v>
      </c>
      <c r="I462" s="20" t="s">
        <v>9008</v>
      </c>
      <c r="J462" s="20" t="s">
        <v>9059</v>
      </c>
      <c r="K462" s="20" t="s">
        <v>8989</v>
      </c>
      <c r="L462" s="21" t="s">
        <v>8955</v>
      </c>
      <c r="M462" s="20" t="s">
        <v>8956</v>
      </c>
      <c r="N462" s="20" t="s">
        <v>8957</v>
      </c>
      <c r="O462" s="20">
        <f t="shared" si="7"/>
        <v>8</v>
      </c>
      <c r="P462" s="22" t="s">
        <v>8975</v>
      </c>
      <c r="Q462" s="21" t="s">
        <v>9183</v>
      </c>
      <c r="R462" s="23" t="s">
        <v>9010</v>
      </c>
      <c r="S462" s="24" t="s">
        <v>9159</v>
      </c>
      <c r="T462" s="24" t="str">
        <f>VLOOKUP(R462,[1]Sheet3!$A$2:$A$47,1,0)</f>
        <v>the United States of America</v>
      </c>
      <c r="U462" s="24" t="s">
        <v>11905</v>
      </c>
      <c r="V462" s="24" t="s">
        <v>11906</v>
      </c>
      <c r="W462" s="18" t="s">
        <v>8964</v>
      </c>
      <c r="X462" s="26" t="s">
        <v>61</v>
      </c>
      <c r="Y462" s="18" t="s">
        <v>9162</v>
      </c>
      <c r="Z462" s="24" t="s">
        <v>11</v>
      </c>
    </row>
    <row r="463" spans="1:26" ht="20.100000000000001" customHeight="1" x14ac:dyDescent="0.2">
      <c r="A463" s="18" t="s">
        <v>11907</v>
      </c>
      <c r="B463" s="19" t="s">
        <v>11908</v>
      </c>
      <c r="C463" s="19" t="s">
        <v>11909</v>
      </c>
      <c r="D463" s="8" t="s">
        <v>9075</v>
      </c>
      <c r="E463" s="20" t="s">
        <v>9121</v>
      </c>
      <c r="F463" s="20" t="s">
        <v>8950</v>
      </c>
      <c r="G463" s="20" t="s">
        <v>8973</v>
      </c>
      <c r="H463" s="31">
        <v>48</v>
      </c>
      <c r="I463" s="20" t="s">
        <v>9008</v>
      </c>
      <c r="J463" s="20" t="s">
        <v>8953</v>
      </c>
      <c r="K463" s="20" t="s">
        <v>8989</v>
      </c>
      <c r="L463" s="21" t="s">
        <v>8955</v>
      </c>
      <c r="M463" s="20" t="s">
        <v>8956</v>
      </c>
      <c r="N463" s="20" t="s">
        <v>8957</v>
      </c>
      <c r="O463" s="20">
        <f t="shared" si="7"/>
        <v>7</v>
      </c>
      <c r="P463" s="22" t="s">
        <v>8975</v>
      </c>
      <c r="Q463" s="21" t="s">
        <v>9183</v>
      </c>
      <c r="R463" s="23" t="s">
        <v>9010</v>
      </c>
      <c r="S463" s="24" t="s">
        <v>9159</v>
      </c>
      <c r="T463" s="24" t="str">
        <f>VLOOKUP(R463,[1]Sheet3!$A$2:$A$47,1,0)</f>
        <v>the United States of America</v>
      </c>
      <c r="U463" s="24" t="s">
        <v>11910</v>
      </c>
      <c r="V463" s="24" t="s">
        <v>11911</v>
      </c>
      <c r="W463" s="18" t="s">
        <v>8964</v>
      </c>
      <c r="X463" s="26" t="s">
        <v>61</v>
      </c>
      <c r="Y463" s="18" t="s">
        <v>9162</v>
      </c>
      <c r="Z463" s="24" t="s">
        <v>11</v>
      </c>
    </row>
    <row r="464" spans="1:26" ht="20.100000000000001" customHeight="1" x14ac:dyDescent="0.2">
      <c r="A464" s="18" t="s">
        <v>11912</v>
      </c>
      <c r="B464" s="19" t="s">
        <v>11913</v>
      </c>
      <c r="C464" s="19" t="s">
        <v>11914</v>
      </c>
      <c r="D464" s="8" t="s">
        <v>8984</v>
      </c>
      <c r="E464" s="20" t="s">
        <v>8998</v>
      </c>
      <c r="F464" s="20" t="s">
        <v>11915</v>
      </c>
      <c r="G464" s="20" t="s">
        <v>8973</v>
      </c>
      <c r="H464" s="31">
        <v>90</v>
      </c>
      <c r="I464" s="20" t="s">
        <v>9008</v>
      </c>
      <c r="J464" s="20" t="s">
        <v>8953</v>
      </c>
      <c r="K464" s="20" t="s">
        <v>8954</v>
      </c>
      <c r="L464" s="21" t="s">
        <v>8955</v>
      </c>
      <c r="M464" s="20" t="s">
        <v>8956</v>
      </c>
      <c r="N464" s="20" t="s">
        <v>8957</v>
      </c>
      <c r="O464" s="20">
        <f t="shared" si="7"/>
        <v>10</v>
      </c>
      <c r="P464" s="22" t="s">
        <v>8975</v>
      </c>
      <c r="Q464" s="21" t="s">
        <v>9183</v>
      </c>
      <c r="R464" s="23" t="s">
        <v>10873</v>
      </c>
      <c r="S464" s="24" t="s">
        <v>9159</v>
      </c>
      <c r="T464" s="24" t="str">
        <f>VLOOKUP(R464,[1]Sheet3!$A$2:$A$47,1,0)</f>
        <v>UK</v>
      </c>
      <c r="U464" s="24" t="s">
        <v>11916</v>
      </c>
      <c r="V464" s="24" t="s">
        <v>11917</v>
      </c>
      <c r="W464" s="18" t="s">
        <v>8964</v>
      </c>
      <c r="X464" s="26" t="s">
        <v>61</v>
      </c>
      <c r="Y464" s="18" t="s">
        <v>9162</v>
      </c>
      <c r="Z464" s="24" t="s">
        <v>11</v>
      </c>
    </row>
    <row r="465" spans="1:26" ht="20.100000000000001" customHeight="1" x14ac:dyDescent="0.2">
      <c r="A465" s="18" t="s">
        <v>11918</v>
      </c>
      <c r="B465" s="19" t="s">
        <v>11919</v>
      </c>
      <c r="C465" s="19" t="s">
        <v>11920</v>
      </c>
      <c r="D465" s="8" t="s">
        <v>9049</v>
      </c>
      <c r="E465" s="20" t="s">
        <v>9050</v>
      </c>
      <c r="F465" s="20" t="s">
        <v>8972</v>
      </c>
      <c r="G465" s="20" t="s">
        <v>8951</v>
      </c>
      <c r="H465" s="31">
        <v>650</v>
      </c>
      <c r="I465" s="20" t="s">
        <v>9077</v>
      </c>
      <c r="J465" s="20" t="s">
        <v>8953</v>
      </c>
      <c r="K465" s="20" t="s">
        <v>8989</v>
      </c>
      <c r="L465" s="21" t="s">
        <v>8955</v>
      </c>
      <c r="M465" s="20" t="s">
        <v>8956</v>
      </c>
      <c r="N465" s="20" t="s">
        <v>9060</v>
      </c>
      <c r="O465" s="20">
        <f t="shared" si="7"/>
        <v>6</v>
      </c>
      <c r="P465" s="22" t="s">
        <v>8958</v>
      </c>
      <c r="Q465" s="21" t="s">
        <v>9183</v>
      </c>
      <c r="R465" s="23" t="s">
        <v>9310</v>
      </c>
      <c r="S465" s="24" t="s">
        <v>9159</v>
      </c>
      <c r="T465" s="24" t="str">
        <f>VLOOKUP(R465,[1]Sheet3!$A$2:$A$47,1,0)</f>
        <v>China</v>
      </c>
      <c r="U465" s="24" t="s">
        <v>11921</v>
      </c>
      <c r="V465" s="24" t="s">
        <v>11922</v>
      </c>
      <c r="W465" s="18" t="s">
        <v>8964</v>
      </c>
      <c r="X465" s="26" t="s">
        <v>61</v>
      </c>
      <c r="Y465" s="18" t="s">
        <v>9162</v>
      </c>
      <c r="Z465" s="24" t="s">
        <v>11</v>
      </c>
    </row>
    <row r="466" spans="1:26" ht="20.100000000000001" customHeight="1" x14ac:dyDescent="0.2">
      <c r="A466" s="18" t="s">
        <v>11923</v>
      </c>
      <c r="B466" s="19" t="s">
        <v>11924</v>
      </c>
      <c r="C466" s="19" t="s">
        <v>11925</v>
      </c>
      <c r="D466" s="8" t="s">
        <v>9075</v>
      </c>
      <c r="E466" s="20" t="s">
        <v>9155</v>
      </c>
      <c r="F466" s="20" t="s">
        <v>11241</v>
      </c>
      <c r="G466" s="20" t="s">
        <v>8951</v>
      </c>
      <c r="H466" s="31">
        <v>157</v>
      </c>
      <c r="I466" s="20" t="s">
        <v>9158</v>
      </c>
      <c r="J466" s="20" t="s">
        <v>8953</v>
      </c>
      <c r="K466" s="20" t="s">
        <v>8989</v>
      </c>
      <c r="L466" s="21" t="s">
        <v>8955</v>
      </c>
      <c r="M466" s="20" t="s">
        <v>8956</v>
      </c>
      <c r="N466" s="20" t="s">
        <v>9060</v>
      </c>
      <c r="O466" s="20">
        <f t="shared" si="7"/>
        <v>12</v>
      </c>
      <c r="P466" s="22" t="s">
        <v>8975</v>
      </c>
      <c r="Q466" s="21" t="s">
        <v>9183</v>
      </c>
      <c r="R466" s="23" t="s">
        <v>8960</v>
      </c>
      <c r="S466" s="24" t="s">
        <v>9159</v>
      </c>
      <c r="T466" s="24" t="str">
        <f>VLOOKUP(R466,[1]Sheet3!$A$2:$A$47,1,0)</f>
        <v>Canada</v>
      </c>
      <c r="U466" s="24" t="s">
        <v>11926</v>
      </c>
      <c r="V466" s="24" t="s">
        <v>11927</v>
      </c>
      <c r="W466" s="18" t="s">
        <v>8964</v>
      </c>
      <c r="X466" s="26" t="s">
        <v>61</v>
      </c>
      <c r="Y466" s="18" t="s">
        <v>9162</v>
      </c>
      <c r="Z466" s="24" t="s">
        <v>11</v>
      </c>
    </row>
    <row r="467" spans="1:26" ht="20.100000000000001" customHeight="1" x14ac:dyDescent="0.2">
      <c r="A467" s="18" t="s">
        <v>11928</v>
      </c>
      <c r="B467" s="19" t="s">
        <v>11929</v>
      </c>
      <c r="C467" s="19" t="s">
        <v>11930</v>
      </c>
      <c r="D467" s="8" t="s">
        <v>9100</v>
      </c>
      <c r="E467" s="20" t="s">
        <v>8971</v>
      </c>
      <c r="F467" s="20" t="s">
        <v>11931</v>
      </c>
      <c r="G467" s="20" t="s">
        <v>8951</v>
      </c>
      <c r="H467" s="31">
        <v>25000</v>
      </c>
      <c r="I467" s="20" t="s">
        <v>9019</v>
      </c>
      <c r="J467" s="20" t="s">
        <v>8953</v>
      </c>
      <c r="K467" s="20" t="s">
        <v>8954</v>
      </c>
      <c r="L467" s="21" t="s">
        <v>8955</v>
      </c>
      <c r="M467" s="20" t="s">
        <v>8956</v>
      </c>
      <c r="N467" s="20" t="s">
        <v>8957</v>
      </c>
      <c r="O467" s="20">
        <f t="shared" si="7"/>
        <v>2</v>
      </c>
      <c r="P467" s="22" t="s">
        <v>9103</v>
      </c>
      <c r="Q467" s="21" t="s">
        <v>9061</v>
      </c>
      <c r="R467" s="23" t="s">
        <v>9010</v>
      </c>
      <c r="S467" s="24" t="s">
        <v>9159</v>
      </c>
      <c r="T467" s="24" t="str">
        <f>VLOOKUP(R467,[1]Sheet3!$A$2:$A$47,1,0)</f>
        <v>the United States of America</v>
      </c>
      <c r="U467" s="24" t="s">
        <v>11932</v>
      </c>
      <c r="V467" s="24" t="s">
        <v>11933</v>
      </c>
      <c r="W467" s="18" t="s">
        <v>8964</v>
      </c>
      <c r="X467" s="26" t="s">
        <v>61</v>
      </c>
      <c r="Y467" s="18" t="s">
        <v>9162</v>
      </c>
      <c r="Z467" s="24" t="s">
        <v>11</v>
      </c>
    </row>
    <row r="468" spans="1:26" ht="20.100000000000001" customHeight="1" x14ac:dyDescent="0.2">
      <c r="A468" s="18" t="s">
        <v>11934</v>
      </c>
      <c r="B468" s="19" t="s">
        <v>11935</v>
      </c>
      <c r="C468" s="19" t="s">
        <v>11936</v>
      </c>
      <c r="D468" s="8" t="s">
        <v>9154</v>
      </c>
      <c r="E468" s="20" t="s">
        <v>8998</v>
      </c>
      <c r="F468" s="20" t="s">
        <v>9436</v>
      </c>
      <c r="G468" s="20" t="s">
        <v>11937</v>
      </c>
      <c r="H468" s="31">
        <v>250</v>
      </c>
      <c r="I468" s="20" t="s">
        <v>9158</v>
      </c>
      <c r="J468" s="20" t="s">
        <v>8953</v>
      </c>
      <c r="K468" s="20" t="s">
        <v>8954</v>
      </c>
      <c r="L468" s="21" t="s">
        <v>8955</v>
      </c>
      <c r="M468" s="20" t="s">
        <v>8956</v>
      </c>
      <c r="N468" s="20" t="s">
        <v>8959</v>
      </c>
      <c r="O468" s="20">
        <f t="shared" si="7"/>
        <v>10</v>
      </c>
      <c r="P468" s="22" t="s">
        <v>8975</v>
      </c>
      <c r="Q468" s="21" t="s">
        <v>9183</v>
      </c>
      <c r="R468" s="23" t="s">
        <v>9010</v>
      </c>
      <c r="S468" s="24" t="s">
        <v>9159</v>
      </c>
      <c r="T468" s="24" t="str">
        <f>VLOOKUP(R468,[1]Sheet3!$A$2:$A$47,1,0)</f>
        <v>the United States of America</v>
      </c>
      <c r="U468" s="24" t="s">
        <v>11938</v>
      </c>
      <c r="V468" s="24" t="s">
        <v>11939</v>
      </c>
      <c r="W468" s="18" t="s">
        <v>8964</v>
      </c>
      <c r="X468" s="26" t="s">
        <v>61</v>
      </c>
      <c r="Y468" s="18" t="s">
        <v>9162</v>
      </c>
      <c r="Z468" s="24" t="s">
        <v>11</v>
      </c>
    </row>
    <row r="469" spans="1:26" ht="20.100000000000001" customHeight="1" x14ac:dyDescent="0.2">
      <c r="A469" s="18" t="s">
        <v>11940</v>
      </c>
      <c r="B469" s="19" t="s">
        <v>11941</v>
      </c>
      <c r="C469" s="19" t="s">
        <v>11942</v>
      </c>
      <c r="D469" s="8" t="s">
        <v>9049</v>
      </c>
      <c r="E469" s="20" t="s">
        <v>9050</v>
      </c>
      <c r="F469" s="33" t="s">
        <v>10679</v>
      </c>
      <c r="G469" s="20" t="s">
        <v>8951</v>
      </c>
      <c r="H469" s="31">
        <v>89</v>
      </c>
      <c r="I469" s="20" t="s">
        <v>9008</v>
      </c>
      <c r="J469" s="20" t="s">
        <v>9059</v>
      </c>
      <c r="K469" s="20" t="s">
        <v>8954</v>
      </c>
      <c r="L469" s="21" t="s">
        <v>8955</v>
      </c>
      <c r="M469" s="20" t="s">
        <v>8956</v>
      </c>
      <c r="N469" s="20" t="s">
        <v>8959</v>
      </c>
      <c r="O469" s="20">
        <f t="shared" si="7"/>
        <v>4</v>
      </c>
      <c r="P469" s="22" t="s">
        <v>8958</v>
      </c>
      <c r="Q469" s="21" t="s">
        <v>9183</v>
      </c>
      <c r="R469" s="23" t="s">
        <v>9010</v>
      </c>
      <c r="S469" s="24" t="s">
        <v>11943</v>
      </c>
      <c r="T469" s="24" t="str">
        <f>VLOOKUP(R469,[1]Sheet3!$A$2:$A$47,1,0)</f>
        <v>the United States of America</v>
      </c>
      <c r="U469" s="24" t="s">
        <v>11944</v>
      </c>
      <c r="V469" s="24" t="s">
        <v>11945</v>
      </c>
      <c r="W469" s="18" t="s">
        <v>8964</v>
      </c>
      <c r="X469" s="26" t="s">
        <v>1068</v>
      </c>
      <c r="Y469" s="18" t="s">
        <v>11946</v>
      </c>
      <c r="Z469" s="24" t="s">
        <v>11</v>
      </c>
    </row>
    <row r="470" spans="1:26" ht="20.100000000000001" customHeight="1" x14ac:dyDescent="0.2">
      <c r="A470" s="18" t="s">
        <v>11947</v>
      </c>
      <c r="B470" s="19" t="s">
        <v>11948</v>
      </c>
      <c r="C470" s="19" t="s">
        <v>11949</v>
      </c>
      <c r="D470" s="8" t="s">
        <v>9605</v>
      </c>
      <c r="E470" s="20" t="s">
        <v>9155</v>
      </c>
      <c r="F470" s="20" t="s">
        <v>8950</v>
      </c>
      <c r="G470" s="20" t="s">
        <v>8951</v>
      </c>
      <c r="H470" s="31">
        <v>29000</v>
      </c>
      <c r="I470" s="20" t="s">
        <v>9019</v>
      </c>
      <c r="J470" s="20" t="s">
        <v>8953</v>
      </c>
      <c r="K470" s="20" t="s">
        <v>8989</v>
      </c>
      <c r="L470" s="21" t="s">
        <v>8955</v>
      </c>
      <c r="M470" s="20" t="s">
        <v>8956</v>
      </c>
      <c r="N470" s="20" t="s">
        <v>8957</v>
      </c>
      <c r="O470" s="20">
        <f t="shared" si="7"/>
        <v>6</v>
      </c>
      <c r="P470" s="22" t="s">
        <v>8958</v>
      </c>
      <c r="Q470" s="21" t="s">
        <v>8959</v>
      </c>
      <c r="R470" s="23" t="s">
        <v>9062</v>
      </c>
      <c r="S470" s="24" t="s">
        <v>11943</v>
      </c>
      <c r="T470" s="24" t="str">
        <f>VLOOKUP(R470,[1]Sheet3!$A$2:$A$47,1,0)</f>
        <v>Germany</v>
      </c>
      <c r="U470" s="24" t="s">
        <v>11950</v>
      </c>
      <c r="V470" s="24" t="s">
        <v>11951</v>
      </c>
      <c r="W470" s="18" t="s">
        <v>8964</v>
      </c>
      <c r="X470" s="26" t="s">
        <v>1068</v>
      </c>
      <c r="Y470" s="18" t="s">
        <v>11946</v>
      </c>
      <c r="Z470" s="24" t="s">
        <v>11</v>
      </c>
    </row>
    <row r="471" spans="1:26" ht="20.100000000000001" customHeight="1" x14ac:dyDescent="0.2">
      <c r="A471" s="18" t="s">
        <v>11952</v>
      </c>
      <c r="B471" s="19" t="s">
        <v>11953</v>
      </c>
      <c r="C471" s="19" t="s">
        <v>11954</v>
      </c>
      <c r="D471" s="8" t="s">
        <v>9154</v>
      </c>
      <c r="E471" s="20" t="s">
        <v>8949</v>
      </c>
      <c r="F471" s="20" t="s">
        <v>11955</v>
      </c>
      <c r="G471" s="20" t="s">
        <v>11956</v>
      </c>
      <c r="H471" s="31">
        <v>45</v>
      </c>
      <c r="I471" s="20" t="s">
        <v>9008</v>
      </c>
      <c r="J471" s="20" t="s">
        <v>9059</v>
      </c>
      <c r="K471" s="20" t="s">
        <v>8989</v>
      </c>
      <c r="L471" s="21" t="s">
        <v>8955</v>
      </c>
      <c r="M471" s="20" t="s">
        <v>8956</v>
      </c>
      <c r="N471" s="20" t="s">
        <v>8957</v>
      </c>
      <c r="O471" s="20">
        <f t="shared" si="7"/>
        <v>37</v>
      </c>
      <c r="P471" s="22" t="s">
        <v>8975</v>
      </c>
      <c r="Q471" s="21" t="s">
        <v>9183</v>
      </c>
      <c r="R471" s="23" t="s">
        <v>10032</v>
      </c>
      <c r="S471" s="24" t="s">
        <v>9159</v>
      </c>
      <c r="T471" s="24" t="str">
        <f>VLOOKUP(R471,[1]Sheet3!$A$2:$A$47,1,0)</f>
        <v>France</v>
      </c>
      <c r="U471" s="24" t="s">
        <v>11957</v>
      </c>
      <c r="V471" s="24" t="s">
        <v>11958</v>
      </c>
      <c r="W471" s="18" t="s">
        <v>8964</v>
      </c>
      <c r="X471" s="26" t="s">
        <v>61</v>
      </c>
      <c r="Y471" s="18" t="s">
        <v>9162</v>
      </c>
      <c r="Z471" s="24" t="s">
        <v>11</v>
      </c>
    </row>
    <row r="472" spans="1:26" ht="20.100000000000001" customHeight="1" x14ac:dyDescent="0.2">
      <c r="A472" s="18" t="s">
        <v>11959</v>
      </c>
      <c r="B472" s="19" t="s">
        <v>11960</v>
      </c>
      <c r="C472" s="19" t="s">
        <v>11961</v>
      </c>
      <c r="D472" s="8" t="s">
        <v>8984</v>
      </c>
      <c r="E472" s="20" t="s">
        <v>8998</v>
      </c>
      <c r="F472" s="20" t="s">
        <v>11962</v>
      </c>
      <c r="G472" s="20" t="s">
        <v>8973</v>
      </c>
      <c r="H472" s="31">
        <v>201</v>
      </c>
      <c r="I472" s="20" t="s">
        <v>9158</v>
      </c>
      <c r="J472" s="20" t="s">
        <v>8953</v>
      </c>
      <c r="K472" s="20" t="s">
        <v>8954</v>
      </c>
      <c r="L472" s="21" t="s">
        <v>8955</v>
      </c>
      <c r="M472" s="20" t="s">
        <v>8956</v>
      </c>
      <c r="N472" s="20" t="s">
        <v>8957</v>
      </c>
      <c r="O472" s="20">
        <f t="shared" si="7"/>
        <v>6</v>
      </c>
      <c r="P472" s="22" t="s">
        <v>8958</v>
      </c>
      <c r="Q472" s="21" t="s">
        <v>9183</v>
      </c>
      <c r="R472" s="23" t="s">
        <v>8991</v>
      </c>
      <c r="S472" s="24" t="s">
        <v>9159</v>
      </c>
      <c r="T472" s="24" t="str">
        <f>VLOOKUP(R472,[1]Sheet3!$A$2:$A$47,1,0)</f>
        <v>China</v>
      </c>
      <c r="U472" s="24" t="s">
        <v>11963</v>
      </c>
      <c r="V472" s="24" t="s">
        <v>11964</v>
      </c>
      <c r="W472" s="18" t="s">
        <v>8964</v>
      </c>
      <c r="X472" s="26" t="s">
        <v>61</v>
      </c>
      <c r="Y472" s="18" t="s">
        <v>9162</v>
      </c>
      <c r="Z472" s="24" t="s">
        <v>11</v>
      </c>
    </row>
    <row r="473" spans="1:26" ht="20.100000000000001" customHeight="1" x14ac:dyDescent="0.2">
      <c r="A473" s="18" t="s">
        <v>11965</v>
      </c>
      <c r="B473" s="19" t="s">
        <v>11966</v>
      </c>
      <c r="C473" s="19" t="s">
        <v>11967</v>
      </c>
      <c r="D473" s="8" t="s">
        <v>9154</v>
      </c>
      <c r="E473" s="20" t="s">
        <v>8949</v>
      </c>
      <c r="F473" s="20" t="s">
        <v>9007</v>
      </c>
      <c r="G473" s="20" t="s">
        <v>8973</v>
      </c>
      <c r="H473" s="31">
        <v>3078</v>
      </c>
      <c r="I473" s="20" t="s">
        <v>9019</v>
      </c>
      <c r="J473" s="20" t="s">
        <v>8953</v>
      </c>
      <c r="K473" s="20" t="s">
        <v>8989</v>
      </c>
      <c r="L473" s="21" t="s">
        <v>8955</v>
      </c>
      <c r="M473" s="20" t="s">
        <v>8956</v>
      </c>
      <c r="N473" s="20" t="s">
        <v>8957</v>
      </c>
      <c r="O473" s="20">
        <f t="shared" si="7"/>
        <v>4</v>
      </c>
      <c r="P473" s="22" t="s">
        <v>8958</v>
      </c>
      <c r="Q473" s="21" t="s">
        <v>9183</v>
      </c>
      <c r="R473" s="23" t="s">
        <v>9123</v>
      </c>
      <c r="S473" s="24" t="s">
        <v>9159</v>
      </c>
      <c r="T473" s="24" t="str">
        <f>VLOOKUP(R473,[1]Sheet3!$A$2:$A$47,1,0)</f>
        <v>France</v>
      </c>
      <c r="U473" s="24" t="s">
        <v>11968</v>
      </c>
      <c r="V473" s="24" t="s">
        <v>11969</v>
      </c>
      <c r="W473" s="18" t="s">
        <v>8964</v>
      </c>
      <c r="X473" s="26" t="s">
        <v>61</v>
      </c>
      <c r="Y473" s="18" t="s">
        <v>9162</v>
      </c>
      <c r="Z473" s="24" t="s">
        <v>11</v>
      </c>
    </row>
    <row r="474" spans="1:26" ht="20.100000000000001" customHeight="1" x14ac:dyDescent="0.2">
      <c r="A474" s="18" t="s">
        <v>11970</v>
      </c>
      <c r="B474" s="19" t="s">
        <v>11971</v>
      </c>
      <c r="C474" s="19" t="s">
        <v>11972</v>
      </c>
      <c r="D474" s="8" t="s">
        <v>9100</v>
      </c>
      <c r="E474" s="20" t="s">
        <v>9121</v>
      </c>
      <c r="F474" s="20" t="s">
        <v>8972</v>
      </c>
      <c r="G474" s="20" t="s">
        <v>9464</v>
      </c>
      <c r="H474" s="52">
        <v>4096</v>
      </c>
      <c r="I474" s="20" t="s">
        <v>9019</v>
      </c>
      <c r="J474" s="20" t="s">
        <v>8953</v>
      </c>
      <c r="K474" s="20" t="s">
        <v>8954</v>
      </c>
      <c r="L474" s="21" t="s">
        <v>8955</v>
      </c>
      <c r="M474" s="20" t="s">
        <v>8956</v>
      </c>
      <c r="N474" s="20" t="s">
        <v>9060</v>
      </c>
      <c r="O474" s="20">
        <f t="shared" si="7"/>
        <v>2</v>
      </c>
      <c r="P474" s="22" t="s">
        <v>9103</v>
      </c>
      <c r="Q474" s="21" t="s">
        <v>9061</v>
      </c>
      <c r="R474" s="23" t="s">
        <v>9010</v>
      </c>
      <c r="S474" s="24" t="s">
        <v>9159</v>
      </c>
      <c r="T474" s="24" t="str">
        <f>VLOOKUP(R474,[1]Sheet3!$A$2:$A$47,1,0)</f>
        <v>the United States of America</v>
      </c>
      <c r="U474" s="24" t="s">
        <v>11973</v>
      </c>
      <c r="V474" s="24" t="s">
        <v>11974</v>
      </c>
      <c r="W474" s="18" t="s">
        <v>8964</v>
      </c>
      <c r="X474" s="26" t="s">
        <v>61</v>
      </c>
      <c r="Y474" s="18" t="s">
        <v>9162</v>
      </c>
      <c r="Z474" s="24" t="s">
        <v>11</v>
      </c>
    </row>
    <row r="475" spans="1:26" ht="20.100000000000001" customHeight="1" x14ac:dyDescent="0.2">
      <c r="A475" s="18" t="s">
        <v>11975</v>
      </c>
      <c r="B475" s="19" t="s">
        <v>11976</v>
      </c>
      <c r="C475" s="19" t="s">
        <v>11977</v>
      </c>
      <c r="D475" s="8" t="s">
        <v>11108</v>
      </c>
      <c r="E475" s="20" t="s">
        <v>8998</v>
      </c>
      <c r="F475" s="20" t="s">
        <v>8950</v>
      </c>
      <c r="G475" s="20" t="s">
        <v>8973</v>
      </c>
      <c r="H475" s="31">
        <v>21</v>
      </c>
      <c r="I475" s="20" t="s">
        <v>9008</v>
      </c>
      <c r="J475" s="20" t="s">
        <v>8953</v>
      </c>
      <c r="K475" s="20" t="s">
        <v>8989</v>
      </c>
      <c r="L475" s="21" t="s">
        <v>8955</v>
      </c>
      <c r="M475" s="20" t="s">
        <v>8956</v>
      </c>
      <c r="N475" s="20" t="s">
        <v>8957</v>
      </c>
      <c r="O475" s="20">
        <f t="shared" si="7"/>
        <v>7</v>
      </c>
      <c r="P475" s="22" t="s">
        <v>8975</v>
      </c>
      <c r="Q475" s="21" t="s">
        <v>9183</v>
      </c>
      <c r="R475" s="23" t="s">
        <v>9010</v>
      </c>
      <c r="S475" s="24" t="s">
        <v>9159</v>
      </c>
      <c r="T475" s="24" t="str">
        <f>VLOOKUP(R475,[1]Sheet3!$A$2:$A$47,1,0)</f>
        <v>the United States of America</v>
      </c>
      <c r="U475" s="24" t="s">
        <v>11978</v>
      </c>
      <c r="V475" s="24" t="s">
        <v>11979</v>
      </c>
      <c r="W475" s="18" t="s">
        <v>8964</v>
      </c>
      <c r="X475" s="26" t="s">
        <v>61</v>
      </c>
      <c r="Y475" s="18" t="s">
        <v>9162</v>
      </c>
      <c r="Z475" s="24" t="s">
        <v>11</v>
      </c>
    </row>
    <row r="476" spans="1:26" ht="20.100000000000001" customHeight="1" x14ac:dyDescent="0.2">
      <c r="A476" s="18" t="s">
        <v>11980</v>
      </c>
      <c r="B476" s="19" t="s">
        <v>11981</v>
      </c>
      <c r="C476" s="19" t="s">
        <v>11982</v>
      </c>
      <c r="D476" s="8" t="s">
        <v>9049</v>
      </c>
      <c r="E476" s="20" t="s">
        <v>9121</v>
      </c>
      <c r="F476" s="20" t="s">
        <v>10613</v>
      </c>
      <c r="G476" s="20" t="s">
        <v>11137</v>
      </c>
      <c r="H476" s="31">
        <v>1000</v>
      </c>
      <c r="I476" s="20" t="s">
        <v>8952</v>
      </c>
      <c r="J476" s="20" t="s">
        <v>8953</v>
      </c>
      <c r="K476" s="20" t="s">
        <v>8989</v>
      </c>
      <c r="L476" s="21" t="s">
        <v>8955</v>
      </c>
      <c r="M476" s="20" t="s">
        <v>8956</v>
      </c>
      <c r="N476" s="20" t="s">
        <v>8959</v>
      </c>
      <c r="O476" s="20">
        <f t="shared" si="7"/>
        <v>6</v>
      </c>
      <c r="P476" s="22" t="s">
        <v>8958</v>
      </c>
      <c r="Q476" s="21" t="s">
        <v>9183</v>
      </c>
      <c r="R476" s="23" t="s">
        <v>9010</v>
      </c>
      <c r="S476" s="24" t="s">
        <v>10666</v>
      </c>
      <c r="T476" s="24" t="str">
        <f>VLOOKUP(R476,[1]Sheet3!$A$2:$A$47,1,0)</f>
        <v>the United States of America</v>
      </c>
      <c r="U476" s="24" t="s">
        <v>11983</v>
      </c>
      <c r="V476" s="24" t="s">
        <v>11984</v>
      </c>
      <c r="W476" s="18" t="s">
        <v>8964</v>
      </c>
      <c r="X476" s="26" t="s">
        <v>1110</v>
      </c>
      <c r="Y476" s="18" t="s">
        <v>10669</v>
      </c>
      <c r="Z476" s="24" t="s">
        <v>11</v>
      </c>
    </row>
    <row r="477" spans="1:26" ht="20.100000000000001" customHeight="1" x14ac:dyDescent="0.2">
      <c r="A477" s="18" t="s">
        <v>11985</v>
      </c>
      <c r="B477" s="19" t="s">
        <v>11986</v>
      </c>
      <c r="C477" s="19" t="s">
        <v>11987</v>
      </c>
      <c r="D477" s="8" t="s">
        <v>9100</v>
      </c>
      <c r="E477" s="20" t="s">
        <v>9121</v>
      </c>
      <c r="F477" s="20" t="s">
        <v>8950</v>
      </c>
      <c r="G477" s="20" t="s">
        <v>9133</v>
      </c>
      <c r="H477" s="31" t="s">
        <v>9479</v>
      </c>
      <c r="I477" s="20" t="s">
        <v>9479</v>
      </c>
      <c r="J477" s="20" t="s">
        <v>8953</v>
      </c>
      <c r="K477" s="20" t="s">
        <v>8954</v>
      </c>
      <c r="L477" s="21" t="s">
        <v>8955</v>
      </c>
      <c r="M477" s="20" t="s">
        <v>8956</v>
      </c>
      <c r="N477" s="20" t="s">
        <v>8957</v>
      </c>
      <c r="O477" s="20">
        <f t="shared" si="7"/>
        <v>7</v>
      </c>
      <c r="P477" s="22" t="s">
        <v>8958</v>
      </c>
      <c r="Q477" s="21" t="s">
        <v>9061</v>
      </c>
      <c r="R477" s="23" t="s">
        <v>8991</v>
      </c>
      <c r="S477" s="24" t="s">
        <v>11659</v>
      </c>
      <c r="T477" s="24" t="str">
        <f>VLOOKUP(R477,[1]Sheet3!$A$2:$A$47,1,0)</f>
        <v>China</v>
      </c>
      <c r="U477" s="24" t="s">
        <v>11988</v>
      </c>
      <c r="V477" s="24" t="s">
        <v>11989</v>
      </c>
      <c r="W477" s="18" t="s">
        <v>8964</v>
      </c>
      <c r="X477" s="26" t="s">
        <v>625</v>
      </c>
      <c r="Y477" s="18" t="s">
        <v>11661</v>
      </c>
      <c r="Z477" s="24" t="s">
        <v>11</v>
      </c>
    </row>
    <row r="478" spans="1:26" ht="20.100000000000001" customHeight="1" x14ac:dyDescent="0.2">
      <c r="A478" s="18" t="s">
        <v>11990</v>
      </c>
      <c r="B478" s="19" t="s">
        <v>11991</v>
      </c>
      <c r="C478" s="19" t="s">
        <v>11992</v>
      </c>
      <c r="D478" s="8" t="s">
        <v>8948</v>
      </c>
      <c r="E478" s="20" t="s">
        <v>8949</v>
      </c>
      <c r="F478" s="20" t="s">
        <v>9679</v>
      </c>
      <c r="G478" s="20" t="s">
        <v>8973</v>
      </c>
      <c r="H478" s="31">
        <v>49</v>
      </c>
      <c r="I478" s="20" t="s">
        <v>9008</v>
      </c>
      <c r="J478" s="20" t="s">
        <v>8953</v>
      </c>
      <c r="K478" s="20" t="s">
        <v>8989</v>
      </c>
      <c r="L478" s="21" t="s">
        <v>8955</v>
      </c>
      <c r="M478" s="20" t="s">
        <v>8956</v>
      </c>
      <c r="N478" s="20" t="s">
        <v>8957</v>
      </c>
      <c r="O478" s="20">
        <f t="shared" si="7"/>
        <v>4</v>
      </c>
      <c r="P478" s="22" t="s">
        <v>9103</v>
      </c>
      <c r="Q478" s="21" t="s">
        <v>9183</v>
      </c>
      <c r="R478" s="23" t="s">
        <v>8991</v>
      </c>
      <c r="S478" s="24" t="s">
        <v>11659</v>
      </c>
      <c r="T478" s="24" t="str">
        <f>VLOOKUP(R478,[1]Sheet3!$A$2:$A$47,1,0)</f>
        <v>China</v>
      </c>
      <c r="U478" s="24" t="s">
        <v>11993</v>
      </c>
      <c r="V478" s="24" t="s">
        <v>11994</v>
      </c>
      <c r="W478" s="18" t="s">
        <v>8964</v>
      </c>
      <c r="X478" s="26" t="s">
        <v>625</v>
      </c>
      <c r="Y478" s="18" t="s">
        <v>11661</v>
      </c>
      <c r="Z478" s="24" t="s">
        <v>11</v>
      </c>
    </row>
    <row r="479" spans="1:26" ht="20.100000000000001" customHeight="1" x14ac:dyDescent="0.2">
      <c r="A479" s="18" t="s">
        <v>11995</v>
      </c>
      <c r="B479" s="19" t="s">
        <v>11996</v>
      </c>
      <c r="C479" s="19" t="s">
        <v>11997</v>
      </c>
      <c r="D479" s="8" t="s">
        <v>9100</v>
      </c>
      <c r="E479" s="20" t="s">
        <v>9725</v>
      </c>
      <c r="F479" s="20" t="s">
        <v>8950</v>
      </c>
      <c r="G479" s="20" t="s">
        <v>11137</v>
      </c>
      <c r="H479" s="31">
        <v>983</v>
      </c>
      <c r="I479" s="20" t="s">
        <v>9077</v>
      </c>
      <c r="J479" s="20" t="s">
        <v>8953</v>
      </c>
      <c r="K479" s="20" t="s">
        <v>8954</v>
      </c>
      <c r="L479" s="21" t="s">
        <v>8955</v>
      </c>
      <c r="M479" s="20" t="s">
        <v>8956</v>
      </c>
      <c r="N479" s="20" t="s">
        <v>8957</v>
      </c>
      <c r="O479" s="20">
        <f t="shared" si="7"/>
        <v>6</v>
      </c>
      <c r="P479" s="22" t="s">
        <v>8958</v>
      </c>
      <c r="Q479" s="21" t="s">
        <v>9183</v>
      </c>
      <c r="R479" s="23" t="s">
        <v>9310</v>
      </c>
      <c r="S479" s="24" t="s">
        <v>9159</v>
      </c>
      <c r="T479" s="24" t="str">
        <f>VLOOKUP(R479,[1]Sheet3!$A$2:$A$47,1,0)</f>
        <v>China</v>
      </c>
      <c r="U479" s="24" t="s">
        <v>11998</v>
      </c>
      <c r="V479" s="24" t="s">
        <v>11999</v>
      </c>
      <c r="W479" s="18" t="s">
        <v>8964</v>
      </c>
      <c r="X479" s="26" t="s">
        <v>61</v>
      </c>
      <c r="Y479" s="18" t="s">
        <v>9162</v>
      </c>
      <c r="Z479" s="24" t="s">
        <v>11</v>
      </c>
    </row>
    <row r="480" spans="1:26" ht="20.100000000000001" customHeight="1" x14ac:dyDescent="0.2">
      <c r="A480" s="18" t="s">
        <v>12000</v>
      </c>
      <c r="B480" s="19" t="s">
        <v>12001</v>
      </c>
      <c r="C480" s="19" t="s">
        <v>12002</v>
      </c>
      <c r="D480" s="8" t="s">
        <v>11014</v>
      </c>
      <c r="E480" s="20" t="s">
        <v>8998</v>
      </c>
      <c r="F480" s="20" t="s">
        <v>9658</v>
      </c>
      <c r="G480" s="20" t="s">
        <v>8987</v>
      </c>
      <c r="H480" s="31">
        <v>231</v>
      </c>
      <c r="I480" s="20" t="s">
        <v>9158</v>
      </c>
      <c r="J480" s="20" t="s">
        <v>8953</v>
      </c>
      <c r="K480" s="20" t="s">
        <v>8954</v>
      </c>
      <c r="L480" s="21" t="s">
        <v>8955</v>
      </c>
      <c r="M480" s="20" t="s">
        <v>8956</v>
      </c>
      <c r="N480" s="20" t="s">
        <v>8957</v>
      </c>
      <c r="O480" s="20">
        <f t="shared" si="7"/>
        <v>9</v>
      </c>
      <c r="P480" s="22" t="s">
        <v>8975</v>
      </c>
      <c r="Q480" s="21" t="s">
        <v>9183</v>
      </c>
      <c r="R480" s="23" t="s">
        <v>8991</v>
      </c>
      <c r="S480" s="24" t="s">
        <v>8992</v>
      </c>
      <c r="T480" s="24" t="str">
        <f>VLOOKUP(R480,[1]Sheet3!$A$2:$A$47,1,0)</f>
        <v>China</v>
      </c>
      <c r="U480" s="24" t="s">
        <v>12003</v>
      </c>
      <c r="V480" s="24" t="s">
        <v>12004</v>
      </c>
      <c r="W480" s="18" t="s">
        <v>8964</v>
      </c>
      <c r="X480" s="26" t="s">
        <v>27</v>
      </c>
      <c r="Y480" s="18" t="s">
        <v>8994</v>
      </c>
      <c r="Z480" s="24" t="s">
        <v>17</v>
      </c>
    </row>
    <row r="481" spans="1:26" ht="20.100000000000001" customHeight="1" x14ac:dyDescent="0.2">
      <c r="A481" s="18" t="s">
        <v>12005</v>
      </c>
      <c r="B481" s="19" t="s">
        <v>12006</v>
      </c>
      <c r="C481" s="19" t="s">
        <v>12007</v>
      </c>
      <c r="D481" s="8" t="s">
        <v>8948</v>
      </c>
      <c r="E481" s="20" t="s">
        <v>9121</v>
      </c>
      <c r="F481" s="20" t="s">
        <v>8950</v>
      </c>
      <c r="G481" s="20" t="s">
        <v>9076</v>
      </c>
      <c r="H481" s="31">
        <v>160</v>
      </c>
      <c r="I481" s="20" t="s">
        <v>9158</v>
      </c>
      <c r="J481" s="20" t="s">
        <v>8953</v>
      </c>
      <c r="K481" s="20" t="s">
        <v>8954</v>
      </c>
      <c r="L481" s="21" t="s">
        <v>8955</v>
      </c>
      <c r="M481" s="20" t="s">
        <v>8956</v>
      </c>
      <c r="N481" s="20" t="s">
        <v>8959</v>
      </c>
      <c r="O481" s="20">
        <f t="shared" si="7"/>
        <v>3</v>
      </c>
      <c r="P481" s="22" t="s">
        <v>9103</v>
      </c>
      <c r="Q481" s="21" t="s">
        <v>9183</v>
      </c>
      <c r="R481" s="23" t="s">
        <v>8991</v>
      </c>
      <c r="S481" s="24" t="s">
        <v>10666</v>
      </c>
      <c r="T481" s="24" t="str">
        <f>VLOOKUP(R481,[1]Sheet3!$A$2:$A$47,1,0)</f>
        <v>China</v>
      </c>
      <c r="U481" s="24" t="s">
        <v>12008</v>
      </c>
      <c r="V481" s="24" t="s">
        <v>12009</v>
      </c>
      <c r="W481" s="18" t="s">
        <v>8964</v>
      </c>
      <c r="X481" s="26" t="s">
        <v>1110</v>
      </c>
      <c r="Y481" s="18" t="s">
        <v>10669</v>
      </c>
      <c r="Z481" s="24" t="s">
        <v>11</v>
      </c>
    </row>
    <row r="482" spans="1:26" ht="20.100000000000001" customHeight="1" x14ac:dyDescent="0.2">
      <c r="A482" s="18" t="s">
        <v>12010</v>
      </c>
      <c r="B482" s="19" t="s">
        <v>12011</v>
      </c>
      <c r="C482" s="19" t="s">
        <v>12012</v>
      </c>
      <c r="D482" s="8" t="s">
        <v>8984</v>
      </c>
      <c r="E482" s="33" t="s">
        <v>9131</v>
      </c>
      <c r="F482" s="20" t="s">
        <v>9051</v>
      </c>
      <c r="G482" s="20" t="s">
        <v>10891</v>
      </c>
      <c r="H482" s="31">
        <v>200000</v>
      </c>
      <c r="I482" s="20" t="s">
        <v>9019</v>
      </c>
      <c r="J482" s="20" t="s">
        <v>8953</v>
      </c>
      <c r="K482" s="20" t="s">
        <v>8954</v>
      </c>
      <c r="L482" s="21" t="s">
        <v>8955</v>
      </c>
      <c r="M482" s="20" t="s">
        <v>8956</v>
      </c>
      <c r="N482" s="20" t="s">
        <v>8959</v>
      </c>
      <c r="O482" s="20">
        <f t="shared" si="7"/>
        <v>3</v>
      </c>
      <c r="P482" s="22" t="s">
        <v>9103</v>
      </c>
      <c r="Q482" s="21" t="s">
        <v>8959</v>
      </c>
      <c r="R482" s="23" t="s">
        <v>9010</v>
      </c>
      <c r="S482" s="24" t="s">
        <v>9159</v>
      </c>
      <c r="T482" s="24" t="str">
        <f>VLOOKUP(R482,[1]Sheet3!$A$2:$A$47,1,0)</f>
        <v>the United States of America</v>
      </c>
      <c r="U482" s="24" t="s">
        <v>12013</v>
      </c>
      <c r="V482" s="24" t="s">
        <v>12014</v>
      </c>
      <c r="W482" s="18" t="s">
        <v>8964</v>
      </c>
      <c r="X482" s="26" t="s">
        <v>61</v>
      </c>
      <c r="Y482" s="18" t="s">
        <v>9162</v>
      </c>
      <c r="Z482" s="24" t="s">
        <v>11</v>
      </c>
    </row>
    <row r="483" spans="1:26" ht="20.100000000000001" customHeight="1" x14ac:dyDescent="0.2">
      <c r="A483" s="18" t="s">
        <v>12015</v>
      </c>
      <c r="B483" s="19" t="s">
        <v>12016</v>
      </c>
      <c r="C483" s="19" t="s">
        <v>12017</v>
      </c>
      <c r="D483" s="8" t="s">
        <v>8948</v>
      </c>
      <c r="E483" s="20" t="s">
        <v>9155</v>
      </c>
      <c r="F483" s="20" t="s">
        <v>9018</v>
      </c>
      <c r="G483" s="20" t="s">
        <v>8973</v>
      </c>
      <c r="H483" s="31">
        <v>25</v>
      </c>
      <c r="I483" s="20" t="s">
        <v>9008</v>
      </c>
      <c r="J483" s="20" t="s">
        <v>9059</v>
      </c>
      <c r="K483" s="20" t="s">
        <v>8954</v>
      </c>
      <c r="L483" s="21" t="s">
        <v>8955</v>
      </c>
      <c r="M483" s="20" t="s">
        <v>8956</v>
      </c>
      <c r="N483" s="20" t="s">
        <v>9060</v>
      </c>
      <c r="O483" s="20">
        <f t="shared" si="7"/>
        <v>11</v>
      </c>
      <c r="P483" s="22" t="s">
        <v>8975</v>
      </c>
      <c r="Q483" s="21" t="s">
        <v>9183</v>
      </c>
      <c r="R483" s="23" t="s">
        <v>9113</v>
      </c>
      <c r="S483" s="24" t="s">
        <v>10666</v>
      </c>
      <c r="T483" s="24" t="str">
        <f>VLOOKUP(R483,[1]Sheet3!$A$2:$A$47,1,0)</f>
        <v>UK</v>
      </c>
      <c r="U483" s="24" t="s">
        <v>12018</v>
      </c>
      <c r="V483" s="24" t="s">
        <v>12019</v>
      </c>
      <c r="W483" s="18" t="s">
        <v>8964</v>
      </c>
      <c r="X483" s="26" t="s">
        <v>1110</v>
      </c>
      <c r="Y483" s="18" t="s">
        <v>10669</v>
      </c>
      <c r="Z483" s="24" t="s">
        <v>17</v>
      </c>
    </row>
    <row r="484" spans="1:26" ht="20.100000000000001" customHeight="1" x14ac:dyDescent="0.2">
      <c r="A484" s="18" t="s">
        <v>12020</v>
      </c>
      <c r="B484" s="19" t="s">
        <v>12021</v>
      </c>
      <c r="C484" s="19" t="s">
        <v>12022</v>
      </c>
      <c r="D484" s="8" t="s">
        <v>8948</v>
      </c>
      <c r="E484" s="20" t="s">
        <v>9155</v>
      </c>
      <c r="F484" s="20" t="s">
        <v>11875</v>
      </c>
      <c r="G484" s="20" t="s">
        <v>9133</v>
      </c>
      <c r="H484" s="31">
        <v>16</v>
      </c>
      <c r="I484" s="20" t="s">
        <v>9008</v>
      </c>
      <c r="J484" s="20" t="s">
        <v>9059</v>
      </c>
      <c r="K484" s="20" t="s">
        <v>8954</v>
      </c>
      <c r="L484" s="21" t="s">
        <v>8955</v>
      </c>
      <c r="M484" s="20" t="s">
        <v>8956</v>
      </c>
      <c r="N484" s="20" t="s">
        <v>8957</v>
      </c>
      <c r="O484" s="20">
        <f t="shared" si="7"/>
        <v>8</v>
      </c>
      <c r="P484" s="22" t="s">
        <v>8975</v>
      </c>
      <c r="Q484" s="21" t="s">
        <v>9183</v>
      </c>
      <c r="R484" s="23" t="s">
        <v>8991</v>
      </c>
      <c r="S484" s="24" t="s">
        <v>12023</v>
      </c>
      <c r="T484" s="24" t="str">
        <f>VLOOKUP(R484,[1]Sheet3!$A$2:$A$47,1,0)</f>
        <v>China</v>
      </c>
      <c r="U484" s="24" t="s">
        <v>12024</v>
      </c>
      <c r="V484" s="24" t="s">
        <v>12025</v>
      </c>
      <c r="W484" s="18" t="s">
        <v>8964</v>
      </c>
      <c r="X484" s="26" t="s">
        <v>1076</v>
      </c>
      <c r="Y484" s="18" t="s">
        <v>12026</v>
      </c>
      <c r="Z484" s="24" t="s">
        <v>11</v>
      </c>
    </row>
    <row r="485" spans="1:26" ht="20.100000000000001" customHeight="1" x14ac:dyDescent="0.2">
      <c r="A485" s="18" t="s">
        <v>12027</v>
      </c>
      <c r="B485" s="19" t="s">
        <v>12028</v>
      </c>
      <c r="C485" s="19" t="s">
        <v>12029</v>
      </c>
      <c r="D485" s="8" t="s">
        <v>9035</v>
      </c>
      <c r="E485" s="20" t="s">
        <v>9155</v>
      </c>
      <c r="F485" s="20" t="s">
        <v>9018</v>
      </c>
      <c r="G485" s="20" t="s">
        <v>8987</v>
      </c>
      <c r="H485" s="31">
        <v>42568</v>
      </c>
      <c r="I485" s="20" t="s">
        <v>9019</v>
      </c>
      <c r="J485" s="20" t="s">
        <v>8953</v>
      </c>
      <c r="K485" s="20" t="s">
        <v>8954</v>
      </c>
      <c r="L485" s="21" t="s">
        <v>8955</v>
      </c>
      <c r="M485" s="20" t="s">
        <v>8956</v>
      </c>
      <c r="N485" s="20" t="s">
        <v>8957</v>
      </c>
      <c r="O485" s="20">
        <f t="shared" si="7"/>
        <v>2</v>
      </c>
      <c r="P485" s="22" t="s">
        <v>9103</v>
      </c>
      <c r="Q485" s="21" t="s">
        <v>9183</v>
      </c>
      <c r="R485" s="23" t="s">
        <v>8960</v>
      </c>
      <c r="S485" s="24" t="s">
        <v>12023</v>
      </c>
      <c r="T485" s="24" t="str">
        <f>VLOOKUP(R485,[1]Sheet3!$A$2:$A$47,1,0)</f>
        <v>Canada</v>
      </c>
      <c r="U485" s="24" t="s">
        <v>12030</v>
      </c>
      <c r="V485" s="24" t="s">
        <v>12031</v>
      </c>
      <c r="W485" s="18" t="s">
        <v>8964</v>
      </c>
      <c r="X485" s="26" t="s">
        <v>1076</v>
      </c>
      <c r="Y485" s="18" t="s">
        <v>12026</v>
      </c>
      <c r="Z485" s="24" t="s">
        <v>11</v>
      </c>
    </row>
    <row r="486" spans="1:26" ht="20.100000000000001" customHeight="1" x14ac:dyDescent="0.2">
      <c r="A486" s="18" t="s">
        <v>12032</v>
      </c>
      <c r="B486" s="19" t="s">
        <v>12033</v>
      </c>
      <c r="C486" s="19" t="s">
        <v>12034</v>
      </c>
      <c r="D486" s="8" t="s">
        <v>9049</v>
      </c>
      <c r="E486" s="20" t="s">
        <v>9050</v>
      </c>
      <c r="F486" s="20" t="s">
        <v>8972</v>
      </c>
      <c r="G486" s="20" t="s">
        <v>8973</v>
      </c>
      <c r="H486" s="31">
        <v>40</v>
      </c>
      <c r="I486" s="20" t="s">
        <v>9008</v>
      </c>
      <c r="J486" s="20" t="s">
        <v>8953</v>
      </c>
      <c r="K486" s="20" t="s">
        <v>8954</v>
      </c>
      <c r="L486" s="21" t="s">
        <v>8955</v>
      </c>
      <c r="M486" s="20" t="s">
        <v>8956</v>
      </c>
      <c r="N486" s="20" t="s">
        <v>8957</v>
      </c>
      <c r="O486" s="20">
        <f t="shared" si="7"/>
        <v>3</v>
      </c>
      <c r="P486" s="22" t="s">
        <v>9103</v>
      </c>
      <c r="Q486" s="21" t="s">
        <v>9183</v>
      </c>
      <c r="R486" s="23" t="s">
        <v>8991</v>
      </c>
      <c r="S486" s="24" t="s">
        <v>12023</v>
      </c>
      <c r="T486" s="24" t="str">
        <f>VLOOKUP(R486,[1]Sheet3!$A$2:$A$47,1,0)</f>
        <v>China</v>
      </c>
      <c r="U486" s="24" t="s">
        <v>12035</v>
      </c>
      <c r="V486" s="24" t="s">
        <v>12036</v>
      </c>
      <c r="W486" s="18" t="s">
        <v>8964</v>
      </c>
      <c r="X486" s="26" t="s">
        <v>1076</v>
      </c>
      <c r="Y486" s="18" t="s">
        <v>12026</v>
      </c>
      <c r="Z486" s="24" t="s">
        <v>11</v>
      </c>
    </row>
    <row r="487" spans="1:26" ht="20.100000000000001" customHeight="1" x14ac:dyDescent="0.2">
      <c r="A487" s="18" t="s">
        <v>12037</v>
      </c>
      <c r="B487" s="19" t="s">
        <v>12038</v>
      </c>
      <c r="C487" s="19" t="s">
        <v>12039</v>
      </c>
      <c r="D487" s="8" t="s">
        <v>8948</v>
      </c>
      <c r="E487" s="20" t="s">
        <v>9155</v>
      </c>
      <c r="F487" s="20" t="s">
        <v>12040</v>
      </c>
      <c r="G487" s="20" t="s">
        <v>11137</v>
      </c>
      <c r="H487" s="31">
        <v>40</v>
      </c>
      <c r="I487" s="20" t="s">
        <v>9008</v>
      </c>
      <c r="J487" s="20" t="s">
        <v>8953</v>
      </c>
      <c r="K487" s="20" t="s">
        <v>8954</v>
      </c>
      <c r="L487" s="21" t="s">
        <v>8955</v>
      </c>
      <c r="M487" s="20" t="s">
        <v>8956</v>
      </c>
      <c r="N487" s="20" t="s">
        <v>8957</v>
      </c>
      <c r="O487" s="20">
        <f t="shared" si="7"/>
        <v>6</v>
      </c>
      <c r="P487" s="22" t="s">
        <v>8958</v>
      </c>
      <c r="Q487" s="21" t="s">
        <v>9183</v>
      </c>
      <c r="R487" s="23" t="s">
        <v>9010</v>
      </c>
      <c r="S487" s="24" t="s">
        <v>12023</v>
      </c>
      <c r="T487" s="24" t="str">
        <f>VLOOKUP(R487,[1]Sheet3!$A$2:$A$47,1,0)</f>
        <v>the United States of America</v>
      </c>
      <c r="U487" s="24" t="s">
        <v>12041</v>
      </c>
      <c r="V487" s="24" t="s">
        <v>12042</v>
      </c>
      <c r="W487" s="18" t="s">
        <v>8964</v>
      </c>
      <c r="X487" s="26" t="s">
        <v>1076</v>
      </c>
      <c r="Y487" s="18" t="s">
        <v>12026</v>
      </c>
      <c r="Z487" s="24" t="s">
        <v>11</v>
      </c>
    </row>
    <row r="488" spans="1:26" ht="20.100000000000001" customHeight="1" x14ac:dyDescent="0.2">
      <c r="A488" s="18" t="s">
        <v>12043</v>
      </c>
      <c r="B488" s="19" t="s">
        <v>12044</v>
      </c>
      <c r="C488" s="19" t="s">
        <v>12045</v>
      </c>
      <c r="D488" s="8" t="s">
        <v>9100</v>
      </c>
      <c r="E488" s="20" t="s">
        <v>8949</v>
      </c>
      <c r="F488" s="20" t="s">
        <v>8972</v>
      </c>
      <c r="G488" s="20" t="s">
        <v>9076</v>
      </c>
      <c r="H488" s="31">
        <v>1200</v>
      </c>
      <c r="I488" s="20" t="s">
        <v>8952</v>
      </c>
      <c r="J488" s="20" t="s">
        <v>8953</v>
      </c>
      <c r="K488" s="20" t="s">
        <v>8954</v>
      </c>
      <c r="L488" s="21" t="s">
        <v>8955</v>
      </c>
      <c r="M488" s="20" t="s">
        <v>8956</v>
      </c>
      <c r="N488" s="20" t="s">
        <v>8957</v>
      </c>
      <c r="O488" s="20">
        <f t="shared" si="7"/>
        <v>4</v>
      </c>
      <c r="P488" s="22" t="s">
        <v>8958</v>
      </c>
      <c r="Q488" s="21" t="s">
        <v>9061</v>
      </c>
      <c r="R488" s="23" t="s">
        <v>9213</v>
      </c>
      <c r="S488" s="24" t="s">
        <v>12023</v>
      </c>
      <c r="T488" s="24" t="str">
        <f>VLOOKUP(R488,[1]Sheet3!$A$2:$A$47,1,0)</f>
        <v>South Korea</v>
      </c>
      <c r="U488" s="24" t="s">
        <v>12046</v>
      </c>
      <c r="V488" s="24" t="s">
        <v>12047</v>
      </c>
      <c r="W488" s="18" t="s">
        <v>8964</v>
      </c>
      <c r="X488" s="26" t="s">
        <v>1076</v>
      </c>
      <c r="Y488" s="18" t="s">
        <v>12026</v>
      </c>
      <c r="Z488" s="24" t="s">
        <v>11</v>
      </c>
    </row>
    <row r="489" spans="1:26" ht="20.100000000000001" customHeight="1" x14ac:dyDescent="0.2">
      <c r="A489" s="18" t="s">
        <v>12048</v>
      </c>
      <c r="B489" s="19" t="s">
        <v>12049</v>
      </c>
      <c r="C489" s="19" t="s">
        <v>12050</v>
      </c>
      <c r="D489" s="8" t="s">
        <v>9154</v>
      </c>
      <c r="E489" s="33" t="s">
        <v>9325</v>
      </c>
      <c r="F489" s="20" t="s">
        <v>8972</v>
      </c>
      <c r="G489" s="20" t="s">
        <v>8973</v>
      </c>
      <c r="H489" s="31">
        <v>25000</v>
      </c>
      <c r="I489" s="20" t="s">
        <v>9019</v>
      </c>
      <c r="J489" s="20" t="s">
        <v>8953</v>
      </c>
      <c r="K489" s="20" t="s">
        <v>8989</v>
      </c>
      <c r="L489" s="21" t="s">
        <v>8955</v>
      </c>
      <c r="M489" s="20" t="s">
        <v>8956</v>
      </c>
      <c r="N489" s="20" t="s">
        <v>8957</v>
      </c>
      <c r="O489" s="20">
        <f t="shared" si="7"/>
        <v>11</v>
      </c>
      <c r="P489" s="22" t="s">
        <v>8975</v>
      </c>
      <c r="Q489" s="21" t="s">
        <v>9183</v>
      </c>
      <c r="R489" s="23" t="s">
        <v>9010</v>
      </c>
      <c r="S489" s="24" t="s">
        <v>12051</v>
      </c>
      <c r="T489" s="24" t="str">
        <f>VLOOKUP(R489,[1]Sheet3!$A$2:$A$47,1,0)</f>
        <v>the United States of America</v>
      </c>
      <c r="U489" s="24" t="s">
        <v>12052</v>
      </c>
      <c r="V489" s="24" t="s">
        <v>12053</v>
      </c>
      <c r="W489" s="18" t="s">
        <v>8964</v>
      </c>
      <c r="X489" s="26" t="s">
        <v>1833</v>
      </c>
      <c r="Y489" s="18" t="s">
        <v>12054</v>
      </c>
      <c r="Z489" s="24" t="s">
        <v>11</v>
      </c>
    </row>
    <row r="490" spans="1:26" ht="20.100000000000001" customHeight="1" x14ac:dyDescent="0.2">
      <c r="A490" s="18" t="s">
        <v>12055</v>
      </c>
      <c r="B490" s="19" t="s">
        <v>12056</v>
      </c>
      <c r="C490" s="19" t="s">
        <v>12057</v>
      </c>
      <c r="D490" s="8" t="s">
        <v>9075</v>
      </c>
      <c r="E490" s="20" t="s">
        <v>9131</v>
      </c>
      <c r="F490" s="33" t="s">
        <v>8950</v>
      </c>
      <c r="G490" s="20" t="s">
        <v>9076</v>
      </c>
      <c r="H490" s="31">
        <v>200000</v>
      </c>
      <c r="I490" s="20" t="s">
        <v>9019</v>
      </c>
      <c r="J490" s="20" t="s">
        <v>8953</v>
      </c>
      <c r="K490" s="20" t="s">
        <v>8989</v>
      </c>
      <c r="L490" s="21" t="s">
        <v>8955</v>
      </c>
      <c r="M490" s="20" t="s">
        <v>8956</v>
      </c>
      <c r="N490" s="20" t="s">
        <v>8957</v>
      </c>
      <c r="O490" s="20">
        <f t="shared" si="7"/>
        <v>2</v>
      </c>
      <c r="P490" s="22" t="s">
        <v>9103</v>
      </c>
      <c r="Q490" s="21" t="s">
        <v>9061</v>
      </c>
      <c r="R490" s="23" t="s">
        <v>9010</v>
      </c>
      <c r="S490" s="24" t="s">
        <v>8961</v>
      </c>
      <c r="T490" s="24" t="str">
        <f>VLOOKUP(R490,[1]Sheet3!$A$2:$A$47,1,0)</f>
        <v>the United States of America</v>
      </c>
      <c r="U490" s="24" t="s">
        <v>12058</v>
      </c>
      <c r="V490" s="24" t="s">
        <v>12059</v>
      </c>
      <c r="W490" s="18" t="s">
        <v>8964</v>
      </c>
      <c r="X490" s="26" t="s">
        <v>126</v>
      </c>
      <c r="Y490" s="18" t="s">
        <v>8966</v>
      </c>
      <c r="Z490" s="24" t="s">
        <v>11</v>
      </c>
    </row>
    <row r="491" spans="1:26" ht="20.100000000000001" customHeight="1" x14ac:dyDescent="0.2">
      <c r="A491" s="18" t="s">
        <v>12060</v>
      </c>
      <c r="B491" s="19" t="s">
        <v>12061</v>
      </c>
      <c r="C491" s="19" t="s">
        <v>12062</v>
      </c>
      <c r="D491" s="8" t="s">
        <v>8948</v>
      </c>
      <c r="E491" s="20" t="s">
        <v>9155</v>
      </c>
      <c r="F491" s="20" t="s">
        <v>12063</v>
      </c>
      <c r="G491" s="20" t="s">
        <v>8987</v>
      </c>
      <c r="H491" s="31">
        <v>10942</v>
      </c>
      <c r="I491" s="20" t="s">
        <v>9019</v>
      </c>
      <c r="J491" s="20" t="s">
        <v>8953</v>
      </c>
      <c r="K491" s="20" t="s">
        <v>8989</v>
      </c>
      <c r="L491" s="21" t="s">
        <v>8955</v>
      </c>
      <c r="M491" s="20" t="s">
        <v>8956</v>
      </c>
      <c r="N491" s="20" t="s">
        <v>8957</v>
      </c>
      <c r="O491" s="20">
        <f t="shared" si="7"/>
        <v>5</v>
      </c>
      <c r="P491" s="22" t="s">
        <v>8958</v>
      </c>
      <c r="Q491" s="21" t="s">
        <v>8959</v>
      </c>
      <c r="R491" s="23" t="s">
        <v>8991</v>
      </c>
      <c r="S491" s="24" t="s">
        <v>8992</v>
      </c>
      <c r="T491" s="24" t="str">
        <f>VLOOKUP(R491,[1]Sheet3!$A$2:$A$47,1,0)</f>
        <v>China</v>
      </c>
      <c r="V491" s="24" t="s">
        <v>12064</v>
      </c>
      <c r="W491" s="18" t="s">
        <v>8964</v>
      </c>
      <c r="X491" s="26" t="s">
        <v>27</v>
      </c>
      <c r="Y491" s="18" t="s">
        <v>8994</v>
      </c>
      <c r="Z491" s="24" t="s">
        <v>11</v>
      </c>
    </row>
    <row r="492" spans="1:26" ht="20.100000000000001" customHeight="1" x14ac:dyDescent="0.2">
      <c r="A492" s="18" t="s">
        <v>12065</v>
      </c>
      <c r="B492" s="19" t="s">
        <v>12066</v>
      </c>
      <c r="C492" s="19" t="s">
        <v>12067</v>
      </c>
      <c r="D492" s="8" t="s">
        <v>9092</v>
      </c>
      <c r="E492" s="20" t="s">
        <v>8998</v>
      </c>
      <c r="F492" s="20" t="s">
        <v>9523</v>
      </c>
      <c r="G492" s="20" t="s">
        <v>8973</v>
      </c>
      <c r="H492" s="31">
        <v>300</v>
      </c>
      <c r="I492" s="20" t="s">
        <v>8988</v>
      </c>
      <c r="J492" s="20" t="s">
        <v>8953</v>
      </c>
      <c r="K492" s="20" t="s">
        <v>8954</v>
      </c>
      <c r="L492" s="21" t="s">
        <v>8955</v>
      </c>
      <c r="M492" s="20" t="s">
        <v>8956</v>
      </c>
      <c r="N492" s="20" t="s">
        <v>8957</v>
      </c>
      <c r="O492" s="20">
        <f t="shared" si="7"/>
        <v>5</v>
      </c>
      <c r="P492" s="22" t="s">
        <v>8958</v>
      </c>
      <c r="Q492" s="21" t="s">
        <v>9183</v>
      </c>
      <c r="R492" s="23" t="s">
        <v>8991</v>
      </c>
      <c r="S492" s="24" t="s">
        <v>8992</v>
      </c>
      <c r="T492" s="24" t="str">
        <f>VLOOKUP(R492,[1]Sheet3!$A$2:$A$47,1,0)</f>
        <v>China</v>
      </c>
      <c r="U492" s="24" t="s">
        <v>12068</v>
      </c>
      <c r="V492" s="24" t="s">
        <v>12069</v>
      </c>
      <c r="W492" s="18" t="s">
        <v>8964</v>
      </c>
      <c r="X492" s="26" t="s">
        <v>27</v>
      </c>
      <c r="Y492" s="18" t="s">
        <v>8994</v>
      </c>
      <c r="Z492" s="24" t="s">
        <v>17</v>
      </c>
    </row>
    <row r="493" spans="1:26" ht="20.100000000000001" customHeight="1" x14ac:dyDescent="0.2">
      <c r="A493" s="18" t="s">
        <v>12070</v>
      </c>
      <c r="B493" s="19" t="s">
        <v>12071</v>
      </c>
      <c r="C493" s="19" t="s">
        <v>12072</v>
      </c>
      <c r="D493" s="8" t="s">
        <v>8948</v>
      </c>
      <c r="E493" s="20" t="s">
        <v>8949</v>
      </c>
      <c r="F493" s="33" t="s">
        <v>10093</v>
      </c>
      <c r="G493" s="20" t="s">
        <v>9133</v>
      </c>
      <c r="H493" s="31">
        <v>170</v>
      </c>
      <c r="I493" s="20" t="s">
        <v>9158</v>
      </c>
      <c r="J493" s="20" t="s">
        <v>8953</v>
      </c>
      <c r="K493" s="20" t="s">
        <v>8989</v>
      </c>
      <c r="L493" s="21" t="s">
        <v>8955</v>
      </c>
      <c r="M493" s="20" t="s">
        <v>8956</v>
      </c>
      <c r="N493" s="20" t="s">
        <v>8957</v>
      </c>
      <c r="O493" s="20">
        <f t="shared" si="7"/>
        <v>4</v>
      </c>
      <c r="P493" s="22" t="s">
        <v>8958</v>
      </c>
      <c r="Q493" s="21" t="s">
        <v>9183</v>
      </c>
      <c r="R493" s="23" t="s">
        <v>8991</v>
      </c>
      <c r="S493" s="24" t="s">
        <v>12073</v>
      </c>
      <c r="T493" s="24" t="str">
        <f>VLOOKUP(R493,[1]Sheet3!$A$2:$A$47,1,0)</f>
        <v>China</v>
      </c>
      <c r="U493" s="24" t="s">
        <v>12074</v>
      </c>
      <c r="V493" s="24" t="s">
        <v>12075</v>
      </c>
      <c r="W493" s="18" t="s">
        <v>8964</v>
      </c>
      <c r="X493" s="26" t="s">
        <v>2061</v>
      </c>
      <c r="Y493" s="18" t="s">
        <v>12076</v>
      </c>
      <c r="Z493" s="24">
        <v>2018</v>
      </c>
    </row>
    <row r="494" spans="1:26" ht="20.100000000000001" customHeight="1" x14ac:dyDescent="0.2">
      <c r="A494" s="18" t="s">
        <v>12077</v>
      </c>
      <c r="B494" s="19" t="s">
        <v>12078</v>
      </c>
      <c r="C494" s="19" t="s">
        <v>12079</v>
      </c>
      <c r="D494" s="8" t="s">
        <v>9154</v>
      </c>
      <c r="E494" s="20" t="s">
        <v>9121</v>
      </c>
      <c r="F494" s="20" t="s">
        <v>8950</v>
      </c>
      <c r="G494" s="20" t="s">
        <v>8973</v>
      </c>
      <c r="H494" s="31">
        <v>220</v>
      </c>
      <c r="I494" s="20" t="s">
        <v>8988</v>
      </c>
      <c r="J494" s="20" t="s">
        <v>8953</v>
      </c>
      <c r="K494" s="20" t="s">
        <v>8989</v>
      </c>
      <c r="L494" s="21" t="s">
        <v>8955</v>
      </c>
      <c r="M494" s="20" t="s">
        <v>8956</v>
      </c>
      <c r="N494" s="20" t="s">
        <v>8957</v>
      </c>
      <c r="O494" s="20">
        <f t="shared" si="7"/>
        <v>5</v>
      </c>
      <c r="P494" s="22" t="s">
        <v>8958</v>
      </c>
      <c r="Q494" s="21" t="s">
        <v>9009</v>
      </c>
      <c r="R494" s="23" t="s">
        <v>9981</v>
      </c>
      <c r="S494" s="24" t="s">
        <v>9496</v>
      </c>
      <c r="T494" s="24" t="str">
        <f>VLOOKUP(R494,[1]Sheet3!$A$2:$A$47,1,0)</f>
        <v>India</v>
      </c>
      <c r="U494" s="24" t="s">
        <v>12080</v>
      </c>
      <c r="V494" s="24" t="s">
        <v>12081</v>
      </c>
      <c r="W494" s="18" t="s">
        <v>8964</v>
      </c>
      <c r="X494" s="26" t="s">
        <v>97</v>
      </c>
      <c r="Y494" s="18" t="s">
        <v>9499</v>
      </c>
      <c r="Z494" s="24" t="s">
        <v>11</v>
      </c>
    </row>
    <row r="495" spans="1:26" ht="20.100000000000001" customHeight="1" x14ac:dyDescent="0.2">
      <c r="A495" s="18" t="s">
        <v>12082</v>
      </c>
      <c r="B495" s="19" t="s">
        <v>12083</v>
      </c>
      <c r="C495" s="19" t="s">
        <v>12084</v>
      </c>
      <c r="D495" s="8" t="s">
        <v>8948</v>
      </c>
      <c r="E495" s="20" t="s">
        <v>8949</v>
      </c>
      <c r="F495" s="20" t="s">
        <v>9018</v>
      </c>
      <c r="G495" s="20" t="s">
        <v>9430</v>
      </c>
      <c r="H495" s="31">
        <v>30</v>
      </c>
      <c r="I495" s="20" t="s">
        <v>9008</v>
      </c>
      <c r="J495" s="20" t="s">
        <v>8953</v>
      </c>
      <c r="K495" s="20" t="s">
        <v>8954</v>
      </c>
      <c r="L495" s="21" t="s">
        <v>8955</v>
      </c>
      <c r="M495" s="20" t="s">
        <v>8956</v>
      </c>
      <c r="N495" s="20" t="s">
        <v>8959</v>
      </c>
      <c r="O495" s="20">
        <f t="shared" si="7"/>
        <v>6</v>
      </c>
      <c r="P495" s="22" t="s">
        <v>8958</v>
      </c>
      <c r="Q495" s="21" t="s">
        <v>8959</v>
      </c>
      <c r="R495" s="23" t="s">
        <v>9310</v>
      </c>
      <c r="S495" s="24" t="s">
        <v>10136</v>
      </c>
      <c r="T495" s="24" t="str">
        <f>VLOOKUP(R495,[1]Sheet3!$A$2:$A$47,1,0)</f>
        <v>China</v>
      </c>
      <c r="U495" s="24" t="s">
        <v>12085</v>
      </c>
      <c r="V495" s="24" t="s">
        <v>12086</v>
      </c>
      <c r="W495" s="18" t="s">
        <v>8964</v>
      </c>
      <c r="X495" s="26" t="s">
        <v>2172</v>
      </c>
      <c r="Y495" s="18" t="s">
        <v>10139</v>
      </c>
      <c r="Z495" s="24" t="s">
        <v>11</v>
      </c>
    </row>
    <row r="496" spans="1:26" ht="20.100000000000001" customHeight="1" x14ac:dyDescent="0.2">
      <c r="A496" s="18" t="s">
        <v>12087</v>
      </c>
      <c r="B496" s="19" t="s">
        <v>12088</v>
      </c>
      <c r="C496" s="19" t="s">
        <v>12089</v>
      </c>
      <c r="D496" s="8" t="s">
        <v>9605</v>
      </c>
      <c r="E496" s="20" t="s">
        <v>9155</v>
      </c>
      <c r="F496" s="20" t="s">
        <v>8972</v>
      </c>
      <c r="G496" s="20" t="s">
        <v>10891</v>
      </c>
      <c r="H496" s="31">
        <v>3456</v>
      </c>
      <c r="I496" s="20" t="s">
        <v>9019</v>
      </c>
      <c r="J496" s="20" t="s">
        <v>8953</v>
      </c>
      <c r="K496" s="20" t="s">
        <v>8989</v>
      </c>
      <c r="L496" s="21" t="s">
        <v>8955</v>
      </c>
      <c r="M496" s="20" t="s">
        <v>8956</v>
      </c>
      <c r="N496" s="20" t="s">
        <v>8957</v>
      </c>
      <c r="O496" s="20">
        <f t="shared" si="7"/>
        <v>15</v>
      </c>
      <c r="P496" s="22" t="s">
        <v>8975</v>
      </c>
      <c r="Q496" s="21" t="s">
        <v>8959</v>
      </c>
      <c r="R496" s="23" t="s">
        <v>9010</v>
      </c>
      <c r="S496" s="24" t="s">
        <v>12090</v>
      </c>
      <c r="T496" s="24" t="str">
        <f>VLOOKUP(R496,[1]Sheet3!$A$2:$A$47,1,0)</f>
        <v>the United States of America</v>
      </c>
      <c r="U496" s="24" t="s">
        <v>12091</v>
      </c>
      <c r="V496" s="24" t="s">
        <v>12092</v>
      </c>
      <c r="W496" s="18" t="s">
        <v>8964</v>
      </c>
      <c r="X496" s="26" t="s">
        <v>5086</v>
      </c>
      <c r="Y496" s="18" t="s">
        <v>12093</v>
      </c>
      <c r="Z496" s="24" t="s">
        <v>11</v>
      </c>
    </row>
    <row r="497" spans="1:26" ht="20.100000000000001" customHeight="1" x14ac:dyDescent="0.2">
      <c r="A497" s="18" t="s">
        <v>12094</v>
      </c>
      <c r="B497" s="19" t="s">
        <v>12095</v>
      </c>
      <c r="C497" s="19" t="s">
        <v>12096</v>
      </c>
      <c r="D497" s="8" t="s">
        <v>9049</v>
      </c>
      <c r="E497" s="20" t="s">
        <v>9050</v>
      </c>
      <c r="F497" s="20" t="s">
        <v>12097</v>
      </c>
      <c r="G497" s="20" t="s">
        <v>8973</v>
      </c>
      <c r="H497" s="31">
        <v>650</v>
      </c>
      <c r="I497" s="20" t="s">
        <v>9077</v>
      </c>
      <c r="J497" s="20" t="s">
        <v>8953</v>
      </c>
      <c r="K497" s="20" t="s">
        <v>8954</v>
      </c>
      <c r="L497" s="21" t="s">
        <v>8955</v>
      </c>
      <c r="M497" s="20" t="s">
        <v>8956</v>
      </c>
      <c r="N497" s="20" t="s">
        <v>8957</v>
      </c>
      <c r="O497" s="20">
        <f t="shared" si="7"/>
        <v>6</v>
      </c>
      <c r="P497" s="22" t="s">
        <v>8958</v>
      </c>
      <c r="Q497" s="21" t="s">
        <v>9183</v>
      </c>
      <c r="R497" s="23" t="s">
        <v>10850</v>
      </c>
      <c r="S497" s="24" t="s">
        <v>9159</v>
      </c>
      <c r="T497" s="24" t="str">
        <f>VLOOKUP(R497,[1]Sheet3!$A$2:$A$47,1,0)</f>
        <v>Singapore</v>
      </c>
      <c r="U497" s="24" t="s">
        <v>12098</v>
      </c>
      <c r="V497" s="24" t="s">
        <v>12099</v>
      </c>
      <c r="W497" s="18" t="s">
        <v>8964</v>
      </c>
      <c r="X497" s="26" t="s">
        <v>61</v>
      </c>
      <c r="Y497" s="18" t="s">
        <v>9162</v>
      </c>
      <c r="Z497" s="24" t="s">
        <v>11</v>
      </c>
    </row>
    <row r="498" spans="1:26" ht="20.100000000000001" customHeight="1" x14ac:dyDescent="0.2">
      <c r="A498" s="18" t="s">
        <v>12100</v>
      </c>
      <c r="B498" s="19" t="s">
        <v>12101</v>
      </c>
      <c r="C498" s="19" t="s">
        <v>12102</v>
      </c>
      <c r="D498" s="8" t="s">
        <v>8948</v>
      </c>
      <c r="E498" s="20" t="s">
        <v>8949</v>
      </c>
      <c r="F498" s="20" t="s">
        <v>12103</v>
      </c>
      <c r="G498" s="20" t="s">
        <v>8973</v>
      </c>
      <c r="H498" s="31">
        <v>546</v>
      </c>
      <c r="I498" s="20" t="s">
        <v>9077</v>
      </c>
      <c r="J498" s="20" t="s">
        <v>8953</v>
      </c>
      <c r="K498" s="20" t="s">
        <v>8989</v>
      </c>
      <c r="L498" s="21" t="s">
        <v>8955</v>
      </c>
      <c r="M498" s="20" t="s">
        <v>8956</v>
      </c>
      <c r="N498" s="20" t="s">
        <v>9060</v>
      </c>
      <c r="O498" s="20">
        <f t="shared" si="7"/>
        <v>11</v>
      </c>
      <c r="P498" s="22" t="s">
        <v>8975</v>
      </c>
      <c r="Q498" s="21" t="s">
        <v>9183</v>
      </c>
      <c r="R498" s="23" t="s">
        <v>9113</v>
      </c>
      <c r="S498" s="24" t="s">
        <v>9159</v>
      </c>
      <c r="T498" s="24" t="str">
        <f>VLOOKUP(R498,[1]Sheet3!$A$2:$A$47,1,0)</f>
        <v>UK</v>
      </c>
      <c r="U498" s="24" t="s">
        <v>12104</v>
      </c>
      <c r="V498" s="24" t="s">
        <v>12105</v>
      </c>
      <c r="W498" s="18" t="s">
        <v>8964</v>
      </c>
      <c r="X498" s="26" t="s">
        <v>61</v>
      </c>
      <c r="Y498" s="18" t="s">
        <v>9162</v>
      </c>
      <c r="Z498" s="24" t="s">
        <v>11</v>
      </c>
    </row>
    <row r="499" spans="1:26" ht="20.100000000000001" customHeight="1" x14ac:dyDescent="0.2">
      <c r="A499" s="18" t="s">
        <v>12106</v>
      </c>
      <c r="B499" s="19" t="s">
        <v>12107</v>
      </c>
      <c r="C499" s="19" t="s">
        <v>12108</v>
      </c>
      <c r="D499" s="8" t="s">
        <v>8948</v>
      </c>
      <c r="E499" s="20" t="s">
        <v>8998</v>
      </c>
      <c r="F499" s="20" t="s">
        <v>8950</v>
      </c>
      <c r="G499" s="20" t="s">
        <v>8951</v>
      </c>
      <c r="H499" s="31">
        <v>5043</v>
      </c>
      <c r="I499" s="20" t="s">
        <v>9019</v>
      </c>
      <c r="J499" s="20" t="s">
        <v>8953</v>
      </c>
      <c r="K499" s="20" t="s">
        <v>8989</v>
      </c>
      <c r="L499" s="21" t="s">
        <v>8955</v>
      </c>
      <c r="M499" s="20" t="s">
        <v>8956</v>
      </c>
      <c r="N499" s="20" t="s">
        <v>8959</v>
      </c>
      <c r="O499" s="20">
        <f t="shared" si="7"/>
        <v>6</v>
      </c>
      <c r="P499" s="22" t="s">
        <v>8958</v>
      </c>
      <c r="Q499" s="21" t="s">
        <v>8959</v>
      </c>
      <c r="R499" s="23" t="s">
        <v>9010</v>
      </c>
      <c r="S499" s="24" t="s">
        <v>8961</v>
      </c>
      <c r="T499" s="24" t="str">
        <f>VLOOKUP(R499,[1]Sheet3!$A$2:$A$47,1,0)</f>
        <v>the United States of America</v>
      </c>
      <c r="U499" s="24" t="s">
        <v>12109</v>
      </c>
      <c r="V499" s="24" t="s">
        <v>12110</v>
      </c>
      <c r="W499" s="18" t="s">
        <v>8964</v>
      </c>
      <c r="X499" s="26" t="s">
        <v>126</v>
      </c>
      <c r="Y499" s="18" t="s">
        <v>8966</v>
      </c>
      <c r="Z499" s="24" t="s">
        <v>11</v>
      </c>
    </row>
    <row r="500" spans="1:26" ht="20.100000000000001" customHeight="1" x14ac:dyDescent="0.2">
      <c r="A500" s="18" t="s">
        <v>12111</v>
      </c>
      <c r="B500" s="19" t="s">
        <v>12112</v>
      </c>
      <c r="C500" s="19" t="s">
        <v>12113</v>
      </c>
      <c r="D500" s="8" t="s">
        <v>9075</v>
      </c>
      <c r="E500" s="20" t="s">
        <v>8998</v>
      </c>
      <c r="F500" s="20" t="s">
        <v>8972</v>
      </c>
      <c r="G500" s="20" t="s">
        <v>8973</v>
      </c>
      <c r="H500" s="31">
        <v>89</v>
      </c>
      <c r="I500" s="20" t="s">
        <v>9008</v>
      </c>
      <c r="J500" s="20" t="s">
        <v>9059</v>
      </c>
      <c r="K500" s="20" t="s">
        <v>8989</v>
      </c>
      <c r="L500" s="21" t="s">
        <v>8955</v>
      </c>
      <c r="M500" s="20" t="s">
        <v>8956</v>
      </c>
      <c r="N500" s="20" t="s">
        <v>8957</v>
      </c>
      <c r="O500" s="20">
        <f t="shared" si="7"/>
        <v>6</v>
      </c>
      <c r="P500" s="22" t="s">
        <v>8958</v>
      </c>
      <c r="Q500" s="21" t="s">
        <v>9183</v>
      </c>
      <c r="R500" s="23" t="s">
        <v>9176</v>
      </c>
      <c r="S500" s="24" t="s">
        <v>12114</v>
      </c>
      <c r="T500" s="24" t="str">
        <f>VLOOKUP(R500,[1]Sheet3!$A$2:$A$47,1,0)</f>
        <v>Australia</v>
      </c>
      <c r="U500" s="24" t="s">
        <v>12115</v>
      </c>
      <c r="V500" s="24" t="s">
        <v>12116</v>
      </c>
      <c r="W500" s="18" t="s">
        <v>8964</v>
      </c>
      <c r="X500" s="26" t="s">
        <v>2377</v>
      </c>
      <c r="Y500" s="18" t="s">
        <v>12117</v>
      </c>
      <c r="Z500" s="24" t="s">
        <v>11</v>
      </c>
    </row>
    <row r="501" spans="1:26" ht="20.100000000000001" customHeight="1" x14ac:dyDescent="0.2">
      <c r="A501" s="18" t="s">
        <v>12118</v>
      </c>
      <c r="B501" s="19" t="s">
        <v>12119</v>
      </c>
      <c r="C501" s="19" t="s">
        <v>12120</v>
      </c>
      <c r="D501" s="8" t="s">
        <v>8948</v>
      </c>
      <c r="E501" s="20" t="s">
        <v>8949</v>
      </c>
      <c r="F501" s="20" t="s">
        <v>12121</v>
      </c>
      <c r="G501" s="20" t="s">
        <v>9292</v>
      </c>
      <c r="H501" s="31">
        <v>86068</v>
      </c>
      <c r="I501" s="20" t="s">
        <v>9019</v>
      </c>
      <c r="J501" s="20" t="s">
        <v>8953</v>
      </c>
      <c r="K501" s="20" t="s">
        <v>8989</v>
      </c>
      <c r="L501" s="21" t="s">
        <v>8955</v>
      </c>
      <c r="M501" s="20" t="s">
        <v>8956</v>
      </c>
      <c r="N501" s="20" t="s">
        <v>8957</v>
      </c>
      <c r="O501" s="20">
        <f t="shared" si="7"/>
        <v>7</v>
      </c>
      <c r="P501" s="22" t="s">
        <v>8958</v>
      </c>
      <c r="Q501" s="21" t="s">
        <v>9183</v>
      </c>
      <c r="R501" s="23" t="s">
        <v>8960</v>
      </c>
      <c r="S501" s="24" t="s">
        <v>467</v>
      </c>
      <c r="T501" s="24" t="str">
        <f>VLOOKUP(R501,[1]Sheet3!$A$2:$A$47,1,0)</f>
        <v>Canada</v>
      </c>
      <c r="U501" s="24" t="s">
        <v>12122</v>
      </c>
      <c r="V501" s="24" t="s">
        <v>12123</v>
      </c>
      <c r="W501" s="18" t="s">
        <v>8964</v>
      </c>
      <c r="X501" s="26" t="s">
        <v>467</v>
      </c>
      <c r="Y501" s="18" t="s">
        <v>12124</v>
      </c>
      <c r="Z501" s="24" t="s">
        <v>17</v>
      </c>
    </row>
    <row r="502" spans="1:26" ht="20.100000000000001" customHeight="1" x14ac:dyDescent="0.2">
      <c r="A502" s="18" t="s">
        <v>12125</v>
      </c>
      <c r="B502" s="19" t="s">
        <v>12126</v>
      </c>
      <c r="C502" s="19" t="s">
        <v>12127</v>
      </c>
      <c r="D502" s="8" t="s">
        <v>9605</v>
      </c>
      <c r="E502" s="33" t="s">
        <v>9101</v>
      </c>
      <c r="F502" s="20" t="s">
        <v>9051</v>
      </c>
      <c r="G502" s="20" t="s">
        <v>9076</v>
      </c>
      <c r="H502" s="31">
        <v>12000</v>
      </c>
      <c r="I502" s="20" t="s">
        <v>9019</v>
      </c>
      <c r="J502" s="20" t="s">
        <v>8953</v>
      </c>
      <c r="K502" s="20" t="s">
        <v>8954</v>
      </c>
      <c r="L502" s="21" t="s">
        <v>8955</v>
      </c>
      <c r="M502" s="20" t="s">
        <v>8956</v>
      </c>
      <c r="N502" s="20" t="s">
        <v>8957</v>
      </c>
      <c r="O502" s="20">
        <f t="shared" si="7"/>
        <v>9</v>
      </c>
      <c r="P502" s="22" t="s">
        <v>8975</v>
      </c>
      <c r="Q502" s="21" t="s">
        <v>8959</v>
      </c>
      <c r="R502" s="23" t="s">
        <v>10166</v>
      </c>
      <c r="S502" s="24" t="s">
        <v>12128</v>
      </c>
      <c r="T502" s="24" t="str">
        <f>VLOOKUP(R502,[1]Sheet3!$A$2:$A$47,1,0)</f>
        <v>SaudiArabia</v>
      </c>
      <c r="U502" s="24" t="s">
        <v>12129</v>
      </c>
      <c r="V502" s="24" t="s">
        <v>12130</v>
      </c>
      <c r="W502" s="18" t="s">
        <v>8964</v>
      </c>
      <c r="X502" s="26" t="s">
        <v>493</v>
      </c>
      <c r="Y502" s="18" t="s">
        <v>12131</v>
      </c>
      <c r="Z502" s="24" t="s">
        <v>11</v>
      </c>
    </row>
    <row r="503" spans="1:26" ht="20.100000000000001" customHeight="1" x14ac:dyDescent="0.2">
      <c r="A503" s="18" t="s">
        <v>12132</v>
      </c>
      <c r="B503" s="19" t="s">
        <v>12133</v>
      </c>
      <c r="C503" s="19" t="s">
        <v>12134</v>
      </c>
      <c r="D503" s="8" t="s">
        <v>9173</v>
      </c>
      <c r="E503" s="20" t="s">
        <v>9121</v>
      </c>
      <c r="F503" s="20" t="s">
        <v>8950</v>
      </c>
      <c r="G503" s="20" t="s">
        <v>8987</v>
      </c>
      <c r="H503" s="31">
        <v>193</v>
      </c>
      <c r="I503" s="20" t="s">
        <v>9158</v>
      </c>
      <c r="J503" s="20" t="s">
        <v>8953</v>
      </c>
      <c r="K503" s="20" t="s">
        <v>8989</v>
      </c>
      <c r="L503" s="21" t="s">
        <v>8955</v>
      </c>
      <c r="M503" s="20" t="s">
        <v>8956</v>
      </c>
      <c r="N503" s="20" t="s">
        <v>8957</v>
      </c>
      <c r="O503" s="20">
        <f t="shared" si="7"/>
        <v>4</v>
      </c>
      <c r="P503" s="22" t="s">
        <v>9103</v>
      </c>
      <c r="Q503" s="21" t="s">
        <v>9183</v>
      </c>
      <c r="R503" s="23" t="s">
        <v>9650</v>
      </c>
      <c r="S503" s="24" t="s">
        <v>11007</v>
      </c>
      <c r="T503" s="24" t="str">
        <f>VLOOKUP(R503,[1]Sheet3!$A$2:$A$47,1,0)</f>
        <v>Spain</v>
      </c>
      <c r="U503" s="24" t="s">
        <v>12135</v>
      </c>
      <c r="V503" s="24" t="s">
        <v>12136</v>
      </c>
      <c r="W503" s="18" t="s">
        <v>8964</v>
      </c>
      <c r="X503" s="26" t="s">
        <v>5</v>
      </c>
      <c r="Y503" s="18" t="s">
        <v>11010</v>
      </c>
      <c r="Z503" s="24" t="s">
        <v>11</v>
      </c>
    </row>
    <row r="504" spans="1:26" ht="20.100000000000001" customHeight="1" x14ac:dyDescent="0.2">
      <c r="A504" s="18" t="s">
        <v>12137</v>
      </c>
      <c r="B504" s="19" t="s">
        <v>12138</v>
      </c>
      <c r="C504" s="19" t="s">
        <v>12139</v>
      </c>
      <c r="D504" s="8" t="s">
        <v>9100</v>
      </c>
      <c r="E504" s="20" t="s">
        <v>11670</v>
      </c>
      <c r="F504" s="20" t="s">
        <v>12140</v>
      </c>
      <c r="G504" s="20" t="s">
        <v>8987</v>
      </c>
      <c r="H504" s="31">
        <v>33</v>
      </c>
      <c r="I504" s="20" t="s">
        <v>9008</v>
      </c>
      <c r="J504" s="20" t="s">
        <v>8953</v>
      </c>
      <c r="K504" s="20" t="s">
        <v>8989</v>
      </c>
      <c r="L504" s="21" t="s">
        <v>8955</v>
      </c>
      <c r="M504" s="20" t="s">
        <v>8956</v>
      </c>
      <c r="N504" s="20" t="s">
        <v>8957</v>
      </c>
      <c r="O504" s="20">
        <f t="shared" si="7"/>
        <v>5</v>
      </c>
      <c r="P504" s="22" t="s">
        <v>8958</v>
      </c>
      <c r="Q504" s="21" t="s">
        <v>9183</v>
      </c>
      <c r="R504" s="23" t="s">
        <v>9310</v>
      </c>
      <c r="S504" s="24" t="s">
        <v>9342</v>
      </c>
      <c r="T504" s="24" t="str">
        <f>VLOOKUP(R504,[1]Sheet3!$A$2:$A$47,1,0)</f>
        <v>China</v>
      </c>
      <c r="U504" s="24" t="s">
        <v>12141</v>
      </c>
      <c r="V504" s="24" t="s">
        <v>12142</v>
      </c>
      <c r="W504" s="18" t="s">
        <v>8964</v>
      </c>
      <c r="X504" s="26" t="s">
        <v>64</v>
      </c>
      <c r="Y504" s="18" t="s">
        <v>9345</v>
      </c>
      <c r="Z504" s="24" t="s">
        <v>11</v>
      </c>
    </row>
    <row r="505" spans="1:26" ht="20.100000000000001" customHeight="1" x14ac:dyDescent="0.2">
      <c r="A505" s="18" t="s">
        <v>12143</v>
      </c>
      <c r="B505" s="19" t="s">
        <v>12144</v>
      </c>
      <c r="C505" s="19" t="s">
        <v>12145</v>
      </c>
      <c r="D505" s="8" t="s">
        <v>8948</v>
      </c>
      <c r="E505" s="20" t="s">
        <v>8949</v>
      </c>
      <c r="F505" s="33" t="s">
        <v>9036</v>
      </c>
      <c r="G505" s="20" t="s">
        <v>12146</v>
      </c>
      <c r="H505" s="31">
        <v>56</v>
      </c>
      <c r="I505" s="20" t="s">
        <v>9008</v>
      </c>
      <c r="J505" s="20" t="s">
        <v>8953</v>
      </c>
      <c r="K505" s="20" t="s">
        <v>8954</v>
      </c>
      <c r="L505" s="21" t="s">
        <v>8955</v>
      </c>
      <c r="M505" s="20" t="s">
        <v>8956</v>
      </c>
      <c r="N505" s="20" t="s">
        <v>8959</v>
      </c>
      <c r="O505" s="20">
        <f t="shared" si="7"/>
        <v>9</v>
      </c>
      <c r="P505" s="22" t="s">
        <v>8975</v>
      </c>
      <c r="Q505" s="21" t="s">
        <v>9183</v>
      </c>
      <c r="R505" s="23" t="s">
        <v>9317</v>
      </c>
      <c r="S505" s="24" t="s">
        <v>9768</v>
      </c>
      <c r="T505" s="24" t="str">
        <f>VLOOKUP(R505,[1]Sheet3!$A$2:$A$47,1,0)</f>
        <v>Germany</v>
      </c>
      <c r="U505" s="24" t="s">
        <v>12147</v>
      </c>
      <c r="V505" s="24" t="s">
        <v>12148</v>
      </c>
      <c r="W505" s="18" t="s">
        <v>8964</v>
      </c>
      <c r="X505" s="26" t="s">
        <v>147</v>
      </c>
      <c r="Y505" s="18" t="s">
        <v>9771</v>
      </c>
      <c r="Z505" s="24" t="s">
        <v>17</v>
      </c>
    </row>
    <row r="506" spans="1:26" ht="20.100000000000001" customHeight="1" x14ac:dyDescent="0.2">
      <c r="A506" s="18" t="s">
        <v>12149</v>
      </c>
      <c r="B506" s="19" t="s">
        <v>12150</v>
      </c>
      <c r="C506" s="19" t="s">
        <v>12151</v>
      </c>
      <c r="D506" s="8" t="s">
        <v>9154</v>
      </c>
      <c r="E506" s="20" t="s">
        <v>8949</v>
      </c>
      <c r="F506" s="20" t="s">
        <v>10517</v>
      </c>
      <c r="G506" s="20" t="s">
        <v>10891</v>
      </c>
      <c r="H506" s="31">
        <v>33</v>
      </c>
      <c r="I506" s="20" t="s">
        <v>9008</v>
      </c>
      <c r="J506" s="20" t="s">
        <v>9059</v>
      </c>
      <c r="K506" s="20" t="s">
        <v>8954</v>
      </c>
      <c r="L506" s="21" t="s">
        <v>8955</v>
      </c>
      <c r="M506" s="20" t="s">
        <v>8956</v>
      </c>
      <c r="N506" s="20" t="s">
        <v>8957</v>
      </c>
      <c r="O506" s="20">
        <f t="shared" si="7"/>
        <v>4</v>
      </c>
      <c r="P506" s="22" t="s">
        <v>9103</v>
      </c>
      <c r="Q506" s="21" t="s">
        <v>9183</v>
      </c>
      <c r="R506" s="23" t="s">
        <v>8991</v>
      </c>
      <c r="S506" s="24" t="s">
        <v>12152</v>
      </c>
      <c r="T506" s="24" t="str">
        <f>VLOOKUP(R506,[1]Sheet3!$A$2:$A$47,1,0)</f>
        <v>China</v>
      </c>
      <c r="U506" s="24" t="s">
        <v>12153</v>
      </c>
      <c r="V506" s="24" t="s">
        <v>12154</v>
      </c>
      <c r="W506" s="18" t="s">
        <v>4457</v>
      </c>
      <c r="X506" s="26" t="s">
        <v>1328</v>
      </c>
      <c r="Y506" s="18" t="s">
        <v>12155</v>
      </c>
      <c r="Z506" s="24" t="s">
        <v>11</v>
      </c>
    </row>
    <row r="507" spans="1:26" ht="20.100000000000001" customHeight="1" x14ac:dyDescent="0.2">
      <c r="A507" s="18" t="s">
        <v>12156</v>
      </c>
      <c r="B507" s="19" t="s">
        <v>12157</v>
      </c>
      <c r="C507" s="19" t="s">
        <v>12158</v>
      </c>
      <c r="D507" s="8" t="s">
        <v>9605</v>
      </c>
      <c r="E507" s="20" t="s">
        <v>8971</v>
      </c>
      <c r="F507" s="20" t="s">
        <v>8950</v>
      </c>
      <c r="G507" s="20" t="s">
        <v>8951</v>
      </c>
      <c r="H507" s="31">
        <v>800</v>
      </c>
      <c r="I507" s="20" t="s">
        <v>9077</v>
      </c>
      <c r="J507" s="20" t="s">
        <v>8953</v>
      </c>
      <c r="K507" s="20" t="s">
        <v>8954</v>
      </c>
      <c r="L507" s="21" t="s">
        <v>8955</v>
      </c>
      <c r="M507" s="20" t="s">
        <v>8956</v>
      </c>
      <c r="N507" s="20" t="s">
        <v>8957</v>
      </c>
      <c r="O507" s="20">
        <f t="shared" si="7"/>
        <v>9</v>
      </c>
      <c r="P507" s="22" t="s">
        <v>8975</v>
      </c>
      <c r="Q507" s="21" t="s">
        <v>9183</v>
      </c>
      <c r="R507" s="23" t="s">
        <v>9062</v>
      </c>
      <c r="S507" s="24" t="s">
        <v>8961</v>
      </c>
      <c r="T507" s="24" t="str">
        <f>VLOOKUP(R507,[1]Sheet3!$A$2:$A$47,1,0)</f>
        <v>Germany</v>
      </c>
      <c r="U507" s="24" t="s">
        <v>12159</v>
      </c>
      <c r="V507" s="24" t="s">
        <v>12160</v>
      </c>
      <c r="W507" s="18" t="s">
        <v>8964</v>
      </c>
      <c r="X507" s="26" t="s">
        <v>126</v>
      </c>
      <c r="Y507" s="18" t="s">
        <v>8966</v>
      </c>
      <c r="Z507" s="24" t="s">
        <v>11</v>
      </c>
    </row>
    <row r="508" spans="1:26" ht="20.100000000000001" customHeight="1" x14ac:dyDescent="0.2">
      <c r="A508" s="18" t="s">
        <v>12161</v>
      </c>
      <c r="B508" s="19" t="s">
        <v>12162</v>
      </c>
      <c r="C508" s="19" t="s">
        <v>12163</v>
      </c>
      <c r="D508" s="8" t="s">
        <v>8948</v>
      </c>
      <c r="E508" s="20" t="s">
        <v>8949</v>
      </c>
      <c r="F508" s="20" t="s">
        <v>8950</v>
      </c>
      <c r="G508" s="20" t="s">
        <v>8973</v>
      </c>
      <c r="H508" s="31">
        <v>134</v>
      </c>
      <c r="I508" s="20" t="s">
        <v>9158</v>
      </c>
      <c r="J508" s="20" t="s">
        <v>9059</v>
      </c>
      <c r="K508" s="20" t="s">
        <v>8954</v>
      </c>
      <c r="L508" s="21" t="s">
        <v>8955</v>
      </c>
      <c r="M508" s="20" t="s">
        <v>8956</v>
      </c>
      <c r="N508" s="20" t="s">
        <v>8957</v>
      </c>
      <c r="O508" s="20">
        <f t="shared" si="7"/>
        <v>7</v>
      </c>
      <c r="P508" s="22" t="s">
        <v>8958</v>
      </c>
      <c r="Q508" s="21" t="s">
        <v>9183</v>
      </c>
      <c r="R508" s="23" t="s">
        <v>11252</v>
      </c>
      <c r="S508" s="24" t="s">
        <v>8961</v>
      </c>
      <c r="T508" s="24" t="str">
        <f>VLOOKUP(R508,[1]Sheet3!$A$2:$A$47,1,0)</f>
        <v>Spain</v>
      </c>
      <c r="U508" s="24" t="s">
        <v>12164</v>
      </c>
      <c r="V508" s="24" t="s">
        <v>12165</v>
      </c>
      <c r="W508" s="18" t="s">
        <v>8964</v>
      </c>
      <c r="X508" s="26" t="s">
        <v>126</v>
      </c>
      <c r="Y508" s="18" t="s">
        <v>8966</v>
      </c>
      <c r="Z508" s="24" t="s">
        <v>11</v>
      </c>
    </row>
    <row r="509" spans="1:26" ht="20.100000000000001" customHeight="1" x14ac:dyDescent="0.2">
      <c r="A509" s="18" t="s">
        <v>12166</v>
      </c>
      <c r="B509" s="19" t="s">
        <v>12167</v>
      </c>
      <c r="C509" s="19" t="s">
        <v>12168</v>
      </c>
      <c r="D509" s="8" t="s">
        <v>9100</v>
      </c>
      <c r="E509" s="33" t="s">
        <v>9422</v>
      </c>
      <c r="F509" s="20" t="s">
        <v>9523</v>
      </c>
      <c r="G509" s="33" t="s">
        <v>9076</v>
      </c>
      <c r="H509" s="31">
        <v>243</v>
      </c>
      <c r="I509" s="20" t="s">
        <v>8988</v>
      </c>
      <c r="J509" s="20" t="s">
        <v>9059</v>
      </c>
      <c r="K509" s="20" t="s">
        <v>8954</v>
      </c>
      <c r="L509" s="21" t="s">
        <v>8955</v>
      </c>
      <c r="M509" s="20" t="s">
        <v>8956</v>
      </c>
      <c r="N509" s="20" t="s">
        <v>8957</v>
      </c>
      <c r="O509" s="20">
        <f t="shared" si="7"/>
        <v>8</v>
      </c>
      <c r="P509" s="22" t="s">
        <v>8975</v>
      </c>
      <c r="Q509" s="21" t="s">
        <v>8959</v>
      </c>
      <c r="R509" s="23" t="s">
        <v>9113</v>
      </c>
      <c r="S509" s="24" t="s">
        <v>8961</v>
      </c>
      <c r="T509" s="24" t="str">
        <f>VLOOKUP(R509,[1]Sheet3!$A$2:$A$47,1,0)</f>
        <v>UK</v>
      </c>
      <c r="U509" s="24" t="s">
        <v>12169</v>
      </c>
      <c r="V509" s="24" t="s">
        <v>12170</v>
      </c>
      <c r="W509" s="18" t="s">
        <v>8964</v>
      </c>
      <c r="X509" s="26" t="s">
        <v>126</v>
      </c>
      <c r="Y509" s="18" t="s">
        <v>8966</v>
      </c>
      <c r="Z509" s="24" t="s">
        <v>11</v>
      </c>
    </row>
    <row r="510" spans="1:26" ht="20.100000000000001" customHeight="1" x14ac:dyDescent="0.2">
      <c r="A510" s="18" t="s">
        <v>12171</v>
      </c>
      <c r="B510" s="19" t="s">
        <v>12172</v>
      </c>
      <c r="C510" s="19" t="s">
        <v>12173</v>
      </c>
      <c r="D510" s="8" t="s">
        <v>8948</v>
      </c>
      <c r="E510" s="20" t="s">
        <v>8949</v>
      </c>
      <c r="F510" s="20" t="s">
        <v>8950</v>
      </c>
      <c r="G510" s="20" t="s">
        <v>8951</v>
      </c>
      <c r="H510" s="31">
        <v>65</v>
      </c>
      <c r="I510" s="20" t="s">
        <v>9008</v>
      </c>
      <c r="J510" s="20" t="s">
        <v>9059</v>
      </c>
      <c r="K510" s="20" t="s">
        <v>8989</v>
      </c>
      <c r="L510" s="21" t="s">
        <v>8955</v>
      </c>
      <c r="M510" s="20" t="s">
        <v>8956</v>
      </c>
      <c r="N510" s="20" t="s">
        <v>8957</v>
      </c>
      <c r="O510" s="20">
        <f t="shared" si="7"/>
        <v>10</v>
      </c>
      <c r="P510" s="22" t="s">
        <v>8975</v>
      </c>
      <c r="Q510" s="21" t="s">
        <v>9183</v>
      </c>
      <c r="R510" s="23" t="s">
        <v>9213</v>
      </c>
      <c r="S510" s="24" t="s">
        <v>9255</v>
      </c>
      <c r="T510" s="24" t="str">
        <f>VLOOKUP(R510,[1]Sheet3!$A$2:$A$47,1,0)</f>
        <v>South Korea</v>
      </c>
      <c r="U510" s="24" t="s">
        <v>12174</v>
      </c>
      <c r="V510" s="24" t="s">
        <v>12175</v>
      </c>
      <c r="W510" s="18" t="s">
        <v>8964</v>
      </c>
      <c r="X510" s="26" t="s">
        <v>24</v>
      </c>
      <c r="Y510" s="18" t="s">
        <v>9258</v>
      </c>
      <c r="Z510" s="24" t="s">
        <v>11</v>
      </c>
    </row>
    <row r="511" spans="1:26" ht="20.100000000000001" customHeight="1" x14ac:dyDescent="0.2">
      <c r="A511" s="18" t="s">
        <v>12176</v>
      </c>
      <c r="B511" s="19" t="s">
        <v>12177</v>
      </c>
      <c r="C511" s="19" t="s">
        <v>12178</v>
      </c>
      <c r="D511" s="8" t="s">
        <v>8984</v>
      </c>
      <c r="E511" s="20" t="s">
        <v>9174</v>
      </c>
      <c r="F511" s="20" t="s">
        <v>10099</v>
      </c>
      <c r="G511" s="20" t="s">
        <v>9292</v>
      </c>
      <c r="H511" s="31">
        <v>8641</v>
      </c>
      <c r="I511" s="20" t="s">
        <v>9019</v>
      </c>
      <c r="J511" s="20" t="s">
        <v>8953</v>
      </c>
      <c r="K511" s="20" t="s">
        <v>8989</v>
      </c>
      <c r="L511" s="21" t="s">
        <v>8955</v>
      </c>
      <c r="M511" s="20" t="s">
        <v>8956</v>
      </c>
      <c r="N511" s="20" t="s">
        <v>8957</v>
      </c>
      <c r="O511" s="20">
        <f t="shared" si="7"/>
        <v>7</v>
      </c>
      <c r="P511" s="22" t="s">
        <v>8958</v>
      </c>
      <c r="Q511" s="21" t="s">
        <v>9183</v>
      </c>
      <c r="R511" s="39" t="s">
        <v>9010</v>
      </c>
      <c r="S511" s="24" t="s">
        <v>1318</v>
      </c>
      <c r="T511" s="24" t="str">
        <f>VLOOKUP(R511,[1]Sheet3!$A$2:$A$47,1,0)</f>
        <v>the United States of America</v>
      </c>
      <c r="U511" s="24" t="s">
        <v>12179</v>
      </c>
      <c r="V511" s="24" t="s">
        <v>12180</v>
      </c>
      <c r="W511" s="18" t="s">
        <v>8964</v>
      </c>
      <c r="X511" s="26" t="s">
        <v>1318</v>
      </c>
      <c r="Y511" s="18" t="s">
        <v>9506</v>
      </c>
      <c r="Z511" s="24" t="s">
        <v>11</v>
      </c>
    </row>
    <row r="512" spans="1:26" ht="20.100000000000001" customHeight="1" x14ac:dyDescent="0.2">
      <c r="A512" s="18" t="s">
        <v>12181</v>
      </c>
      <c r="B512" s="19" t="s">
        <v>12182</v>
      </c>
      <c r="C512" s="19" t="s">
        <v>12183</v>
      </c>
      <c r="D512" s="8" t="s">
        <v>9100</v>
      </c>
      <c r="E512" s="20" t="s">
        <v>8998</v>
      </c>
      <c r="F512" s="20" t="s">
        <v>8972</v>
      </c>
      <c r="G512" s="20" t="s">
        <v>9464</v>
      </c>
      <c r="H512" s="31">
        <v>7670</v>
      </c>
      <c r="I512" s="20" t="s">
        <v>9019</v>
      </c>
      <c r="J512" s="20" t="s">
        <v>8953</v>
      </c>
      <c r="K512" s="20" t="s">
        <v>8989</v>
      </c>
      <c r="L512" s="21" t="s">
        <v>8955</v>
      </c>
      <c r="M512" s="20" t="s">
        <v>8956</v>
      </c>
      <c r="N512" s="20" t="s">
        <v>8957</v>
      </c>
      <c r="O512" s="20">
        <f t="shared" si="7"/>
        <v>6</v>
      </c>
      <c r="P512" s="22" t="s">
        <v>8958</v>
      </c>
      <c r="Q512" s="21" t="s">
        <v>9183</v>
      </c>
      <c r="R512" s="23" t="s">
        <v>9213</v>
      </c>
      <c r="S512" s="24" t="s">
        <v>9093</v>
      </c>
      <c r="T512" s="24" t="str">
        <f>VLOOKUP(R512,[1]Sheet3!$A$2:$A$47,1,0)</f>
        <v>South Korea</v>
      </c>
      <c r="U512" s="24" t="s">
        <v>12184</v>
      </c>
      <c r="V512" s="24" t="s">
        <v>12185</v>
      </c>
      <c r="W512" s="18" t="s">
        <v>8964</v>
      </c>
      <c r="X512" s="26" t="s">
        <v>378</v>
      </c>
      <c r="Y512" s="18" t="s">
        <v>9096</v>
      </c>
      <c r="Z512" s="24" t="s">
        <v>11</v>
      </c>
    </row>
    <row r="513" spans="1:26" ht="20.100000000000001" customHeight="1" x14ac:dyDescent="0.2">
      <c r="A513" s="18" t="s">
        <v>12186</v>
      </c>
      <c r="B513" s="19" t="s">
        <v>12187</v>
      </c>
      <c r="C513" s="19" t="s">
        <v>12188</v>
      </c>
      <c r="D513" s="8" t="s">
        <v>11108</v>
      </c>
      <c r="E513" s="20" t="s">
        <v>8998</v>
      </c>
      <c r="F513" s="20" t="s">
        <v>8950</v>
      </c>
      <c r="G513" s="20" t="s">
        <v>8987</v>
      </c>
      <c r="H513" s="31">
        <v>1000</v>
      </c>
      <c r="I513" s="20" t="s">
        <v>8952</v>
      </c>
      <c r="J513" s="20" t="s">
        <v>8953</v>
      </c>
      <c r="K513" s="20" t="s">
        <v>8989</v>
      </c>
      <c r="L513" s="21" t="s">
        <v>8955</v>
      </c>
      <c r="M513" s="20" t="s">
        <v>8956</v>
      </c>
      <c r="N513" s="20" t="s">
        <v>8957</v>
      </c>
      <c r="O513" s="20">
        <f t="shared" si="7"/>
        <v>9</v>
      </c>
      <c r="P513" s="22" t="s">
        <v>8975</v>
      </c>
      <c r="Q513" s="21" t="s">
        <v>9183</v>
      </c>
      <c r="R513" s="23" t="s">
        <v>9010</v>
      </c>
      <c r="S513" s="24" t="s">
        <v>9255</v>
      </c>
      <c r="T513" s="24" t="str">
        <f>VLOOKUP(R513,[1]Sheet3!$A$2:$A$47,1,0)</f>
        <v>the United States of America</v>
      </c>
      <c r="U513" s="24" t="s">
        <v>12189</v>
      </c>
      <c r="V513" s="24" t="s">
        <v>12190</v>
      </c>
      <c r="W513" s="18" t="s">
        <v>8964</v>
      </c>
      <c r="X513" s="26" t="s">
        <v>24</v>
      </c>
      <c r="Y513" s="18" t="s">
        <v>9258</v>
      </c>
      <c r="Z513" s="24" t="s">
        <v>11</v>
      </c>
    </row>
    <row r="514" spans="1:26" ht="20.100000000000001" customHeight="1" x14ac:dyDescent="0.2">
      <c r="A514" s="18" t="s">
        <v>12191</v>
      </c>
      <c r="B514" s="19" t="s">
        <v>12192</v>
      </c>
      <c r="C514" s="19" t="s">
        <v>12193</v>
      </c>
      <c r="D514" s="8" t="s">
        <v>9154</v>
      </c>
      <c r="E514" s="20" t="s">
        <v>8998</v>
      </c>
      <c r="F514" s="33" t="s">
        <v>10679</v>
      </c>
      <c r="G514" s="20" t="s">
        <v>9133</v>
      </c>
      <c r="H514" s="31">
        <v>351</v>
      </c>
      <c r="I514" s="20" t="s">
        <v>8988</v>
      </c>
      <c r="J514" s="20" t="s">
        <v>8953</v>
      </c>
      <c r="K514" s="20" t="s">
        <v>8954</v>
      </c>
      <c r="L514" s="21" t="s">
        <v>8955</v>
      </c>
      <c r="M514" s="20" t="s">
        <v>8956</v>
      </c>
      <c r="N514" s="20" t="s">
        <v>8957</v>
      </c>
      <c r="O514" s="20">
        <f t="shared" ref="O514:O577" si="8">1+LEN(V514)-LEN(SUBSTITUTE(V514,";",))</f>
        <v>17</v>
      </c>
      <c r="P514" s="22" t="s">
        <v>8975</v>
      </c>
      <c r="Q514" s="21" t="s">
        <v>9009</v>
      </c>
      <c r="R514" s="23" t="s">
        <v>9010</v>
      </c>
      <c r="S514" s="24" t="s">
        <v>12194</v>
      </c>
      <c r="T514" s="24" t="str">
        <f>VLOOKUP(R514,[1]Sheet3!$A$2:$A$47,1,0)</f>
        <v>the United States of America</v>
      </c>
      <c r="U514" s="24" t="s">
        <v>12195</v>
      </c>
      <c r="V514" s="24" t="s">
        <v>12196</v>
      </c>
      <c r="W514" s="18" t="s">
        <v>8964</v>
      </c>
      <c r="X514" s="26" t="s">
        <v>876</v>
      </c>
      <c r="Y514" s="18" t="s">
        <v>12197</v>
      </c>
      <c r="Z514" s="24" t="s">
        <v>11</v>
      </c>
    </row>
    <row r="515" spans="1:26" ht="20.100000000000001" customHeight="1" x14ac:dyDescent="0.2">
      <c r="A515" s="18" t="s">
        <v>12198</v>
      </c>
      <c r="B515" s="19" t="s">
        <v>12199</v>
      </c>
      <c r="C515" s="19" t="s">
        <v>12200</v>
      </c>
      <c r="D515" s="8" t="s">
        <v>9605</v>
      </c>
      <c r="E515" s="20" t="s">
        <v>9101</v>
      </c>
      <c r="F515" s="20" t="s">
        <v>12201</v>
      </c>
      <c r="G515" s="20" t="s">
        <v>8987</v>
      </c>
      <c r="H515" s="31">
        <v>100000</v>
      </c>
      <c r="I515" s="20" t="s">
        <v>9019</v>
      </c>
      <c r="J515" s="20" t="s">
        <v>8953</v>
      </c>
      <c r="K515" s="20" t="s">
        <v>8954</v>
      </c>
      <c r="L515" s="21" t="s">
        <v>8955</v>
      </c>
      <c r="M515" s="20" t="s">
        <v>8956</v>
      </c>
      <c r="N515" s="20" t="s">
        <v>8957</v>
      </c>
      <c r="O515" s="20">
        <f t="shared" si="8"/>
        <v>6</v>
      </c>
      <c r="P515" s="22" t="s">
        <v>8958</v>
      </c>
      <c r="Q515" s="21" t="s">
        <v>8959</v>
      </c>
      <c r="R515" s="23" t="s">
        <v>8991</v>
      </c>
      <c r="S515" s="24" t="s">
        <v>9085</v>
      </c>
      <c r="T515" s="24" t="str">
        <f>VLOOKUP(R515,[1]Sheet3!$A$2:$A$47,1,0)</f>
        <v>China</v>
      </c>
      <c r="U515" s="24" t="s">
        <v>12202</v>
      </c>
      <c r="V515" s="24" t="s">
        <v>12203</v>
      </c>
      <c r="W515" s="18" t="s">
        <v>8964</v>
      </c>
      <c r="X515" s="26" t="s">
        <v>184</v>
      </c>
      <c r="Y515" s="18" t="s">
        <v>9088</v>
      </c>
      <c r="Z515" s="24" t="s">
        <v>11</v>
      </c>
    </row>
    <row r="516" spans="1:26" ht="20.100000000000001" customHeight="1" x14ac:dyDescent="0.2">
      <c r="A516" s="18" t="s">
        <v>12204</v>
      </c>
      <c r="B516" s="19" t="s">
        <v>12205</v>
      </c>
      <c r="C516" s="19" t="s">
        <v>12206</v>
      </c>
      <c r="D516" s="8" t="s">
        <v>9173</v>
      </c>
      <c r="E516" s="20" t="s">
        <v>9174</v>
      </c>
      <c r="F516" s="20" t="s">
        <v>12207</v>
      </c>
      <c r="G516" s="20" t="s">
        <v>8973</v>
      </c>
      <c r="H516" s="31">
        <v>2750</v>
      </c>
      <c r="I516" s="20" t="s">
        <v>8952</v>
      </c>
      <c r="J516" s="20" t="s">
        <v>9059</v>
      </c>
      <c r="K516" s="20" t="s">
        <v>8954</v>
      </c>
      <c r="L516" s="21" t="s">
        <v>8955</v>
      </c>
      <c r="M516" s="20" t="s">
        <v>8956</v>
      </c>
      <c r="N516" s="20" t="s">
        <v>8957</v>
      </c>
      <c r="O516" s="20">
        <f t="shared" si="8"/>
        <v>5</v>
      </c>
      <c r="P516" s="22" t="s">
        <v>8958</v>
      </c>
      <c r="Q516" s="21" t="s">
        <v>9183</v>
      </c>
      <c r="R516" s="23" t="s">
        <v>9213</v>
      </c>
      <c r="S516" s="24" t="s">
        <v>9085</v>
      </c>
      <c r="T516" s="24" t="str">
        <f>VLOOKUP(R516,[1]Sheet3!$A$2:$A$47,1,0)</f>
        <v>South Korea</v>
      </c>
      <c r="U516" s="24" t="s">
        <v>12208</v>
      </c>
      <c r="V516" s="24" t="s">
        <v>12209</v>
      </c>
      <c r="W516" s="18" t="s">
        <v>8964</v>
      </c>
      <c r="X516" s="26" t="s">
        <v>184</v>
      </c>
      <c r="Y516" s="18" t="s">
        <v>9088</v>
      </c>
      <c r="Z516" s="24" t="s">
        <v>11</v>
      </c>
    </row>
    <row r="517" spans="1:26" ht="20.100000000000001" customHeight="1" x14ac:dyDescent="0.2">
      <c r="A517" s="18" t="s">
        <v>12210</v>
      </c>
      <c r="B517" s="19" t="s">
        <v>12211</v>
      </c>
      <c r="C517" s="19" t="s">
        <v>12212</v>
      </c>
      <c r="D517" s="8" t="s">
        <v>9035</v>
      </c>
      <c r="E517" s="20" t="s">
        <v>8998</v>
      </c>
      <c r="F517" s="20" t="s">
        <v>10613</v>
      </c>
      <c r="G517" s="20" t="s">
        <v>10891</v>
      </c>
      <c r="H517" s="31">
        <v>12157</v>
      </c>
      <c r="I517" s="20" t="s">
        <v>9019</v>
      </c>
      <c r="J517" s="20" t="s">
        <v>8953</v>
      </c>
      <c r="K517" s="20" t="s">
        <v>8954</v>
      </c>
      <c r="L517" s="21" t="s">
        <v>8955</v>
      </c>
      <c r="M517" s="20" t="s">
        <v>8956</v>
      </c>
      <c r="N517" s="20" t="s">
        <v>8959</v>
      </c>
      <c r="O517" s="20">
        <f t="shared" si="8"/>
        <v>5</v>
      </c>
      <c r="P517" s="22" t="s">
        <v>8958</v>
      </c>
      <c r="Q517" s="21" t="s">
        <v>9183</v>
      </c>
      <c r="R517" s="23" t="s">
        <v>9010</v>
      </c>
      <c r="S517" s="24" t="s">
        <v>9085</v>
      </c>
      <c r="T517" s="24" t="str">
        <f>VLOOKUP(R517,[1]Sheet3!$A$2:$A$47,1,0)</f>
        <v>the United States of America</v>
      </c>
      <c r="U517" s="24" t="s">
        <v>12213</v>
      </c>
      <c r="V517" s="24" t="s">
        <v>12214</v>
      </c>
      <c r="W517" s="18" t="s">
        <v>8964</v>
      </c>
      <c r="X517" s="26" t="s">
        <v>184</v>
      </c>
      <c r="Y517" s="18" t="s">
        <v>9088</v>
      </c>
      <c r="Z517" s="24" t="s">
        <v>11</v>
      </c>
    </row>
    <row r="518" spans="1:26" ht="20.100000000000001" customHeight="1" x14ac:dyDescent="0.2">
      <c r="A518" s="18" t="s">
        <v>12215</v>
      </c>
      <c r="B518" s="19" t="s">
        <v>12216</v>
      </c>
      <c r="C518" s="19" t="s">
        <v>12217</v>
      </c>
      <c r="D518" s="8" t="s">
        <v>9252</v>
      </c>
      <c r="E518" s="20" t="s">
        <v>8998</v>
      </c>
      <c r="F518" s="20" t="s">
        <v>10258</v>
      </c>
      <c r="G518" s="20" t="s">
        <v>8973</v>
      </c>
      <c r="H518" s="31">
        <v>800</v>
      </c>
      <c r="I518" s="20" t="s">
        <v>9077</v>
      </c>
      <c r="J518" s="20" t="s">
        <v>9059</v>
      </c>
      <c r="K518" s="20" t="s">
        <v>8954</v>
      </c>
      <c r="L518" s="21" t="s">
        <v>8955</v>
      </c>
      <c r="M518" s="20" t="s">
        <v>8956</v>
      </c>
      <c r="N518" s="20" t="s">
        <v>8957</v>
      </c>
      <c r="O518" s="20">
        <f t="shared" si="8"/>
        <v>8</v>
      </c>
      <c r="P518" s="22" t="s">
        <v>8975</v>
      </c>
      <c r="Q518" s="21" t="s">
        <v>9183</v>
      </c>
      <c r="R518" s="23" t="s">
        <v>9310</v>
      </c>
      <c r="S518" s="24" t="s">
        <v>8977</v>
      </c>
      <c r="T518" s="24" t="str">
        <f>VLOOKUP(R518,[1]Sheet3!$A$2:$A$47,1,0)</f>
        <v>China</v>
      </c>
      <c r="U518" s="24" t="s">
        <v>12218</v>
      </c>
      <c r="V518" s="24" t="s">
        <v>12219</v>
      </c>
      <c r="W518" s="18" t="s">
        <v>8964</v>
      </c>
      <c r="X518" s="26" t="s">
        <v>2434</v>
      </c>
      <c r="Y518" s="18" t="s">
        <v>8980</v>
      </c>
      <c r="Z518" s="24" t="s">
        <v>11</v>
      </c>
    </row>
    <row r="519" spans="1:26" ht="20.100000000000001" customHeight="1" x14ac:dyDescent="0.2">
      <c r="A519" s="18" t="s">
        <v>12220</v>
      </c>
      <c r="B519" s="19" t="s">
        <v>12221</v>
      </c>
      <c r="C519" s="19" t="s">
        <v>12222</v>
      </c>
      <c r="D519" s="8" t="s">
        <v>9075</v>
      </c>
      <c r="E519" s="20" t="s">
        <v>8971</v>
      </c>
      <c r="F519" s="20" t="s">
        <v>8972</v>
      </c>
      <c r="G519" s="20" t="s">
        <v>8973</v>
      </c>
      <c r="H519" s="31">
        <v>2238</v>
      </c>
      <c r="I519" s="20" t="s">
        <v>8952</v>
      </c>
      <c r="J519" s="20" t="s">
        <v>9059</v>
      </c>
      <c r="K519" s="20" t="s">
        <v>8954</v>
      </c>
      <c r="L519" s="21" t="s">
        <v>8955</v>
      </c>
      <c r="M519" s="20" t="s">
        <v>8956</v>
      </c>
      <c r="N519" s="20" t="s">
        <v>8957</v>
      </c>
      <c r="O519" s="20">
        <f t="shared" si="8"/>
        <v>3</v>
      </c>
      <c r="P519" s="22" t="s">
        <v>9103</v>
      </c>
      <c r="Q519" s="21" t="s">
        <v>9183</v>
      </c>
      <c r="R519" s="23" t="s">
        <v>9010</v>
      </c>
      <c r="S519" s="24" t="s">
        <v>8961</v>
      </c>
      <c r="T519" s="24" t="str">
        <f>VLOOKUP(R519,[1]Sheet3!$A$2:$A$47,1,0)</f>
        <v>the United States of America</v>
      </c>
      <c r="U519" s="24" t="s">
        <v>12223</v>
      </c>
      <c r="V519" s="24" t="s">
        <v>12224</v>
      </c>
      <c r="W519" s="18" t="s">
        <v>8964</v>
      </c>
      <c r="X519" s="26" t="s">
        <v>126</v>
      </c>
      <c r="Y519" s="18" t="s">
        <v>8966</v>
      </c>
      <c r="Z519" s="24" t="s">
        <v>11</v>
      </c>
    </row>
    <row r="520" spans="1:26" ht="20.100000000000001" customHeight="1" x14ac:dyDescent="0.2">
      <c r="A520" s="18" t="s">
        <v>12225</v>
      </c>
      <c r="B520" s="19" t="s">
        <v>12226</v>
      </c>
      <c r="C520" s="19" t="s">
        <v>12227</v>
      </c>
      <c r="D520" s="8" t="s">
        <v>12228</v>
      </c>
      <c r="E520" s="20" t="s">
        <v>8949</v>
      </c>
      <c r="F520" s="20" t="s">
        <v>10613</v>
      </c>
      <c r="G520" s="20" t="s">
        <v>9133</v>
      </c>
      <c r="H520" s="31">
        <v>416</v>
      </c>
      <c r="I520" s="20" t="s">
        <v>8988</v>
      </c>
      <c r="J520" s="20" t="s">
        <v>9059</v>
      </c>
      <c r="K520" s="20" t="s">
        <v>8989</v>
      </c>
      <c r="L520" s="21" t="s">
        <v>8955</v>
      </c>
      <c r="M520" s="20" t="s">
        <v>8956</v>
      </c>
      <c r="N520" s="20" t="s">
        <v>8957</v>
      </c>
      <c r="O520" s="20">
        <f t="shared" si="8"/>
        <v>2</v>
      </c>
      <c r="P520" s="22" t="s">
        <v>9103</v>
      </c>
      <c r="Q520" s="21" t="s">
        <v>9009</v>
      </c>
      <c r="R520" s="23" t="s">
        <v>9010</v>
      </c>
      <c r="S520" s="24" t="s">
        <v>12229</v>
      </c>
      <c r="T520" s="24" t="str">
        <f>VLOOKUP(R520,[1]Sheet3!$A$2:$A$47,1,0)</f>
        <v>the United States of America</v>
      </c>
      <c r="U520" s="24" t="s">
        <v>12230</v>
      </c>
      <c r="V520" s="24" t="s">
        <v>12231</v>
      </c>
      <c r="W520" s="18" t="s">
        <v>8964</v>
      </c>
      <c r="X520" s="26" t="s">
        <v>3194</v>
      </c>
      <c r="Y520" s="18" t="s">
        <v>12232</v>
      </c>
      <c r="Z520" s="24" t="s">
        <v>11</v>
      </c>
    </row>
    <row r="521" spans="1:26" ht="20.100000000000001" customHeight="1" x14ac:dyDescent="0.2">
      <c r="A521" s="18" t="s">
        <v>12233</v>
      </c>
      <c r="B521" s="19" t="s">
        <v>12234</v>
      </c>
      <c r="C521" s="19" t="s">
        <v>12235</v>
      </c>
      <c r="D521" s="8" t="s">
        <v>9154</v>
      </c>
      <c r="E521" s="20" t="s">
        <v>9308</v>
      </c>
      <c r="F521" s="20" t="s">
        <v>8950</v>
      </c>
      <c r="G521" s="20" t="s">
        <v>8951</v>
      </c>
      <c r="H521" s="31">
        <v>300</v>
      </c>
      <c r="I521" s="20" t="s">
        <v>8988</v>
      </c>
      <c r="J521" s="20" t="s">
        <v>8953</v>
      </c>
      <c r="K521" s="20" t="s">
        <v>8954</v>
      </c>
      <c r="L521" s="21" t="s">
        <v>9182</v>
      </c>
      <c r="M521" s="20" t="s">
        <v>8956</v>
      </c>
      <c r="N521" s="20" t="s">
        <v>8957</v>
      </c>
      <c r="O521" s="20">
        <f t="shared" si="8"/>
        <v>2</v>
      </c>
      <c r="P521" s="22" t="s">
        <v>9103</v>
      </c>
      <c r="Q521" s="21" t="s">
        <v>9009</v>
      </c>
      <c r="R521" s="23" t="s">
        <v>9010</v>
      </c>
      <c r="S521" s="24" t="s">
        <v>12236</v>
      </c>
      <c r="T521" s="24" t="str">
        <f>VLOOKUP(R521,[1]Sheet3!$A$2:$A$47,1,0)</f>
        <v>the United States of America</v>
      </c>
      <c r="U521" s="24" t="s">
        <v>12237</v>
      </c>
      <c r="V521" s="24" t="s">
        <v>12238</v>
      </c>
      <c r="W521" s="18" t="s">
        <v>8964</v>
      </c>
      <c r="X521" s="26" t="s">
        <v>6341</v>
      </c>
      <c r="Y521" s="18" t="s">
        <v>12239</v>
      </c>
      <c r="Z521" s="24" t="s">
        <v>11</v>
      </c>
    </row>
    <row r="522" spans="1:26" ht="20.100000000000001" customHeight="1" x14ac:dyDescent="0.2">
      <c r="A522" s="18" t="s">
        <v>12240</v>
      </c>
      <c r="B522" s="19" t="s">
        <v>12241</v>
      </c>
      <c r="C522" s="19" t="s">
        <v>12242</v>
      </c>
      <c r="D522" s="8" t="s">
        <v>8984</v>
      </c>
      <c r="E522" s="20" t="s">
        <v>8971</v>
      </c>
      <c r="F522" s="20" t="s">
        <v>9436</v>
      </c>
      <c r="G522" s="20" t="s">
        <v>8987</v>
      </c>
      <c r="H522" s="31">
        <v>2393</v>
      </c>
      <c r="I522" s="20" t="s">
        <v>8952</v>
      </c>
      <c r="J522" s="20" t="s">
        <v>9059</v>
      </c>
      <c r="K522" s="20" t="s">
        <v>8989</v>
      </c>
      <c r="L522" s="21" t="s">
        <v>8955</v>
      </c>
      <c r="M522" s="20" t="s">
        <v>8956</v>
      </c>
      <c r="N522" s="20" t="s">
        <v>9060</v>
      </c>
      <c r="O522" s="20">
        <f t="shared" si="8"/>
        <v>7</v>
      </c>
      <c r="P522" s="22" t="s">
        <v>8958</v>
      </c>
      <c r="Q522" s="21" t="s">
        <v>9183</v>
      </c>
      <c r="R522" s="23" t="s">
        <v>10873</v>
      </c>
      <c r="S522" s="24" t="s">
        <v>12243</v>
      </c>
      <c r="T522" s="24" t="str">
        <f>VLOOKUP(R522,[1]Sheet3!$A$2:$A$47,1,0)</f>
        <v>UK</v>
      </c>
      <c r="U522" s="24" t="s">
        <v>12244</v>
      </c>
      <c r="V522" s="24" t="s">
        <v>12245</v>
      </c>
      <c r="W522" s="18" t="s">
        <v>8964</v>
      </c>
      <c r="X522" s="26" t="s">
        <v>4756</v>
      </c>
      <c r="Y522" s="18" t="s">
        <v>12246</v>
      </c>
      <c r="Z522" s="24" t="s">
        <v>11</v>
      </c>
    </row>
    <row r="523" spans="1:26" ht="20.100000000000001" customHeight="1" x14ac:dyDescent="0.2">
      <c r="A523" s="18" t="s">
        <v>12247</v>
      </c>
      <c r="B523" s="19" t="s">
        <v>12248</v>
      </c>
      <c r="C523" s="19" t="s">
        <v>12249</v>
      </c>
      <c r="D523" s="8" t="s">
        <v>9035</v>
      </c>
      <c r="E523" s="20" t="s">
        <v>8998</v>
      </c>
      <c r="F523" s="20" t="s">
        <v>8950</v>
      </c>
      <c r="G523" s="20" t="s">
        <v>8951</v>
      </c>
      <c r="H523" s="31">
        <v>8120</v>
      </c>
      <c r="I523" s="20" t="s">
        <v>9019</v>
      </c>
      <c r="J523" s="20" t="s">
        <v>9059</v>
      </c>
      <c r="K523" s="20" t="s">
        <v>8989</v>
      </c>
      <c r="L523" s="21" t="s">
        <v>8955</v>
      </c>
      <c r="M523" s="20" t="s">
        <v>8956</v>
      </c>
      <c r="N523" s="20" t="s">
        <v>8957</v>
      </c>
      <c r="O523" s="20">
        <f t="shared" si="8"/>
        <v>5</v>
      </c>
      <c r="P523" s="22" t="s">
        <v>8958</v>
      </c>
      <c r="Q523" s="21" t="s">
        <v>9183</v>
      </c>
      <c r="R523" s="23" t="s">
        <v>8991</v>
      </c>
      <c r="S523" s="24" t="s">
        <v>11007</v>
      </c>
      <c r="T523" s="24" t="str">
        <f>VLOOKUP(R523,[1]Sheet3!$A$2:$A$47,1,0)</f>
        <v>China</v>
      </c>
      <c r="U523" s="24" t="s">
        <v>12250</v>
      </c>
      <c r="V523" s="24" t="s">
        <v>12251</v>
      </c>
      <c r="W523" s="18" t="s">
        <v>8964</v>
      </c>
      <c r="X523" s="26" t="s">
        <v>5</v>
      </c>
      <c r="Y523" s="18" t="s">
        <v>11010</v>
      </c>
      <c r="Z523" s="24" t="s">
        <v>11</v>
      </c>
    </row>
    <row r="524" spans="1:26" ht="20.100000000000001" customHeight="1" x14ac:dyDescent="0.2">
      <c r="A524" s="18" t="s">
        <v>12252</v>
      </c>
      <c r="B524" s="19" t="s">
        <v>12253</v>
      </c>
      <c r="C524" s="19" t="s">
        <v>12254</v>
      </c>
      <c r="D524" s="8" t="s">
        <v>9035</v>
      </c>
      <c r="E524" s="20" t="s">
        <v>8998</v>
      </c>
      <c r="F524" s="20" t="s">
        <v>9051</v>
      </c>
      <c r="G524" s="20" t="s">
        <v>8951</v>
      </c>
      <c r="H524" s="31">
        <v>128000</v>
      </c>
      <c r="I524" s="33" t="s">
        <v>9019</v>
      </c>
      <c r="J524" s="20" t="s">
        <v>8953</v>
      </c>
      <c r="K524" s="20" t="s">
        <v>8954</v>
      </c>
      <c r="L524" s="21" t="s">
        <v>8955</v>
      </c>
      <c r="M524" s="20" t="s">
        <v>8956</v>
      </c>
      <c r="N524" s="20" t="s">
        <v>8957</v>
      </c>
      <c r="O524" s="20">
        <f t="shared" si="8"/>
        <v>8</v>
      </c>
      <c r="P524" s="22" t="s">
        <v>8975</v>
      </c>
      <c r="Q524" s="21" t="s">
        <v>9183</v>
      </c>
      <c r="R524" s="23" t="s">
        <v>8991</v>
      </c>
      <c r="S524" s="24" t="s">
        <v>9159</v>
      </c>
      <c r="T524" s="24" t="str">
        <f>VLOOKUP(R524,[1]Sheet3!$A$2:$A$47,1,0)</f>
        <v>China</v>
      </c>
      <c r="U524" s="24" t="s">
        <v>12255</v>
      </c>
      <c r="V524" s="24" t="s">
        <v>12256</v>
      </c>
      <c r="W524" s="18" t="s">
        <v>8964</v>
      </c>
      <c r="X524" s="26" t="s">
        <v>61</v>
      </c>
      <c r="Y524" s="18" t="s">
        <v>9162</v>
      </c>
      <c r="Z524" s="24" t="s">
        <v>11</v>
      </c>
    </row>
    <row r="525" spans="1:26" ht="20.100000000000001" customHeight="1" x14ac:dyDescent="0.2">
      <c r="A525" s="18" t="s">
        <v>12257</v>
      </c>
      <c r="B525" s="19" t="s">
        <v>12258</v>
      </c>
      <c r="C525" s="19" t="s">
        <v>12259</v>
      </c>
      <c r="D525" s="8" t="s">
        <v>12228</v>
      </c>
      <c r="E525" s="20" t="s">
        <v>8949</v>
      </c>
      <c r="F525" s="20" t="s">
        <v>9051</v>
      </c>
      <c r="G525" s="20" t="s">
        <v>9076</v>
      </c>
      <c r="H525" s="31">
        <v>400</v>
      </c>
      <c r="I525" s="33" t="s">
        <v>8988</v>
      </c>
      <c r="J525" s="20" t="s">
        <v>8953</v>
      </c>
      <c r="K525" s="20" t="s">
        <v>8954</v>
      </c>
      <c r="L525" s="21" t="s">
        <v>8955</v>
      </c>
      <c r="M525" s="20" t="s">
        <v>8956</v>
      </c>
      <c r="N525" s="20" t="s">
        <v>8957</v>
      </c>
      <c r="O525" s="20">
        <f t="shared" si="8"/>
        <v>3</v>
      </c>
      <c r="P525" s="22" t="s">
        <v>9103</v>
      </c>
      <c r="Q525" s="21" t="s">
        <v>9183</v>
      </c>
      <c r="R525" s="23" t="s">
        <v>9213</v>
      </c>
      <c r="S525" s="24" t="s">
        <v>9159</v>
      </c>
      <c r="T525" s="24" t="str">
        <f>VLOOKUP(R525,[1]Sheet3!$A$2:$A$47,1,0)</f>
        <v>South Korea</v>
      </c>
      <c r="U525" s="24" t="s">
        <v>12260</v>
      </c>
      <c r="V525" s="24" t="s">
        <v>12261</v>
      </c>
      <c r="W525" s="18" t="s">
        <v>8964</v>
      </c>
      <c r="X525" s="26" t="s">
        <v>61</v>
      </c>
      <c r="Y525" s="18" t="s">
        <v>9162</v>
      </c>
      <c r="Z525" s="24" t="s">
        <v>11</v>
      </c>
    </row>
    <row r="526" spans="1:26" ht="20.100000000000001" customHeight="1" x14ac:dyDescent="0.2">
      <c r="A526" s="18" t="s">
        <v>12262</v>
      </c>
      <c r="B526" s="19" t="s">
        <v>12263</v>
      </c>
      <c r="C526" s="19" t="s">
        <v>12264</v>
      </c>
      <c r="D526" s="8" t="s">
        <v>12228</v>
      </c>
      <c r="E526" s="20" t="s">
        <v>9725</v>
      </c>
      <c r="F526" s="20" t="s">
        <v>8950</v>
      </c>
      <c r="G526" s="33" t="s">
        <v>9076</v>
      </c>
      <c r="H526" s="31">
        <v>4050</v>
      </c>
      <c r="I526" s="33" t="s">
        <v>9019</v>
      </c>
      <c r="J526" s="20" t="s">
        <v>8953</v>
      </c>
      <c r="K526" s="20" t="s">
        <v>8954</v>
      </c>
      <c r="L526" s="21" t="s">
        <v>8955</v>
      </c>
      <c r="M526" s="20" t="s">
        <v>8956</v>
      </c>
      <c r="N526" s="20" t="s">
        <v>8957</v>
      </c>
      <c r="O526" s="20">
        <f t="shared" si="8"/>
        <v>9</v>
      </c>
      <c r="P526" s="22" t="s">
        <v>8975</v>
      </c>
      <c r="Q526" s="21" t="s">
        <v>9183</v>
      </c>
      <c r="R526" s="23" t="s">
        <v>9213</v>
      </c>
      <c r="S526" s="24" t="s">
        <v>9159</v>
      </c>
      <c r="T526" s="24" t="str">
        <f>VLOOKUP(R526,[1]Sheet3!$A$2:$A$47,1,0)</f>
        <v>South Korea</v>
      </c>
      <c r="U526" s="24" t="s">
        <v>12265</v>
      </c>
      <c r="V526" s="24" t="s">
        <v>12266</v>
      </c>
      <c r="W526" s="18" t="s">
        <v>8964</v>
      </c>
      <c r="X526" s="26" t="s">
        <v>61</v>
      </c>
      <c r="Y526" s="18" t="s">
        <v>9162</v>
      </c>
      <c r="Z526" s="24" t="s">
        <v>11</v>
      </c>
    </row>
    <row r="527" spans="1:26" ht="20.100000000000001" customHeight="1" x14ac:dyDescent="0.2">
      <c r="A527" s="18" t="s">
        <v>12267</v>
      </c>
      <c r="B527" s="19" t="s">
        <v>12268</v>
      </c>
      <c r="C527" s="19" t="s">
        <v>12269</v>
      </c>
      <c r="D527" s="8" t="s">
        <v>8984</v>
      </c>
      <c r="E527" s="20" t="s">
        <v>8998</v>
      </c>
      <c r="F527" s="27" t="s">
        <v>8950</v>
      </c>
      <c r="G527" s="33" t="s">
        <v>9076</v>
      </c>
      <c r="H527" s="31">
        <v>360</v>
      </c>
      <c r="I527" s="20" t="s">
        <v>8988</v>
      </c>
      <c r="J527" s="20" t="s">
        <v>8953</v>
      </c>
      <c r="K527" s="20" t="s">
        <v>8989</v>
      </c>
      <c r="L527" s="21" t="s">
        <v>8955</v>
      </c>
      <c r="M527" s="20" t="s">
        <v>8956</v>
      </c>
      <c r="N527" s="20" t="s">
        <v>8959</v>
      </c>
      <c r="O527" s="20">
        <f t="shared" si="8"/>
        <v>7</v>
      </c>
      <c r="P527" s="22" t="s">
        <v>8958</v>
      </c>
      <c r="Q527" s="21" t="s">
        <v>8959</v>
      </c>
      <c r="R527" s="23" t="s">
        <v>9010</v>
      </c>
      <c r="S527" s="24" t="s">
        <v>9159</v>
      </c>
      <c r="T527" s="24" t="str">
        <f>VLOOKUP(R527,[1]Sheet3!$A$2:$A$47,1,0)</f>
        <v>the United States of America</v>
      </c>
      <c r="U527" s="24" t="s">
        <v>12270</v>
      </c>
      <c r="V527" s="24" t="s">
        <v>12271</v>
      </c>
      <c r="W527" s="18" t="s">
        <v>8964</v>
      </c>
      <c r="X527" s="26" t="s">
        <v>61</v>
      </c>
      <c r="Y527" s="18" t="s">
        <v>9162</v>
      </c>
      <c r="Z527" s="24" t="s">
        <v>11</v>
      </c>
    </row>
    <row r="528" spans="1:26" ht="20.100000000000001" customHeight="1" x14ac:dyDescent="0.2">
      <c r="A528" s="18" t="s">
        <v>12272</v>
      </c>
      <c r="B528" s="19" t="s">
        <v>12273</v>
      </c>
      <c r="C528" s="19" t="s">
        <v>12274</v>
      </c>
      <c r="D528" s="8" t="s">
        <v>8984</v>
      </c>
      <c r="E528" s="20" t="s">
        <v>8998</v>
      </c>
      <c r="F528" s="33" t="s">
        <v>10673</v>
      </c>
      <c r="G528" s="33" t="s">
        <v>9076</v>
      </c>
      <c r="H528" s="31">
        <v>877</v>
      </c>
      <c r="I528" s="20" t="s">
        <v>8988</v>
      </c>
      <c r="J528" s="20" t="s">
        <v>8953</v>
      </c>
      <c r="K528" s="20" t="s">
        <v>8954</v>
      </c>
      <c r="L528" s="21" t="s">
        <v>8955</v>
      </c>
      <c r="M528" s="20" t="s">
        <v>8956</v>
      </c>
      <c r="N528" s="20" t="s">
        <v>8957</v>
      </c>
      <c r="O528" s="20">
        <f t="shared" si="8"/>
        <v>5</v>
      </c>
      <c r="P528" s="22" t="s">
        <v>8958</v>
      </c>
      <c r="Q528" s="21" t="s">
        <v>8959</v>
      </c>
      <c r="R528" s="23" t="s">
        <v>9465</v>
      </c>
      <c r="S528" s="24" t="s">
        <v>9159</v>
      </c>
      <c r="T528" s="24" t="str">
        <f>VLOOKUP(R528,[1]Sheet3!$A$2:$A$47,1,0)</f>
        <v>Switzerland</v>
      </c>
      <c r="U528" s="24" t="s">
        <v>12275</v>
      </c>
      <c r="V528" s="24" t="s">
        <v>12276</v>
      </c>
      <c r="W528" s="18" t="s">
        <v>8964</v>
      </c>
      <c r="X528" s="26" t="s">
        <v>61</v>
      </c>
      <c r="Y528" s="18" t="s">
        <v>9162</v>
      </c>
      <c r="Z528" s="24" t="s">
        <v>11</v>
      </c>
    </row>
    <row r="529" spans="1:26" ht="20.100000000000001" customHeight="1" x14ac:dyDescent="0.2">
      <c r="A529" s="18" t="s">
        <v>12277</v>
      </c>
      <c r="B529" s="19" t="s">
        <v>12278</v>
      </c>
      <c r="C529" s="19" t="s">
        <v>12279</v>
      </c>
      <c r="D529" s="8" t="s">
        <v>10729</v>
      </c>
      <c r="E529" s="20" t="s">
        <v>8998</v>
      </c>
      <c r="F529" s="20" t="s">
        <v>8950</v>
      </c>
      <c r="G529" s="33" t="s">
        <v>9076</v>
      </c>
      <c r="H529" s="31">
        <v>12</v>
      </c>
      <c r="I529" s="20" t="s">
        <v>9008</v>
      </c>
      <c r="J529" s="20" t="s">
        <v>8953</v>
      </c>
      <c r="K529" s="20" t="s">
        <v>8989</v>
      </c>
      <c r="L529" s="21" t="s">
        <v>8955</v>
      </c>
      <c r="M529" s="20" t="s">
        <v>8956</v>
      </c>
      <c r="N529" s="20" t="s">
        <v>8957</v>
      </c>
      <c r="O529" s="20">
        <f t="shared" si="8"/>
        <v>5</v>
      </c>
      <c r="P529" s="22" t="s">
        <v>8958</v>
      </c>
      <c r="Q529" s="21" t="s">
        <v>8959</v>
      </c>
      <c r="R529" s="23" t="s">
        <v>8991</v>
      </c>
      <c r="S529" s="24" t="s">
        <v>9159</v>
      </c>
      <c r="T529" s="24" t="str">
        <f>VLOOKUP(R529,[1]Sheet3!$A$2:$A$47,1,0)</f>
        <v>China</v>
      </c>
      <c r="U529" s="24" t="s">
        <v>12280</v>
      </c>
      <c r="V529" s="24" t="s">
        <v>12281</v>
      </c>
      <c r="W529" s="18" t="s">
        <v>8964</v>
      </c>
      <c r="X529" s="26" t="s">
        <v>61</v>
      </c>
      <c r="Y529" s="18" t="s">
        <v>9162</v>
      </c>
      <c r="Z529" s="24" t="s">
        <v>11</v>
      </c>
    </row>
    <row r="530" spans="1:26" ht="20.100000000000001" customHeight="1" x14ac:dyDescent="0.2">
      <c r="A530" s="18" t="s">
        <v>12282</v>
      </c>
      <c r="B530" s="19" t="s">
        <v>12283</v>
      </c>
      <c r="C530" s="19" t="s">
        <v>12284</v>
      </c>
      <c r="D530" s="8" t="s">
        <v>9605</v>
      </c>
      <c r="E530" s="20" t="s">
        <v>8998</v>
      </c>
      <c r="F530" s="20" t="s">
        <v>8972</v>
      </c>
      <c r="G530" s="20" t="s">
        <v>9464</v>
      </c>
      <c r="H530" s="31">
        <v>10</v>
      </c>
      <c r="I530" s="20" t="s">
        <v>9008</v>
      </c>
      <c r="J530" s="20" t="s">
        <v>9059</v>
      </c>
      <c r="K530" s="20" t="s">
        <v>8989</v>
      </c>
      <c r="L530" s="21" t="s">
        <v>8955</v>
      </c>
      <c r="M530" s="20" t="s">
        <v>8956</v>
      </c>
      <c r="N530" s="20" t="s">
        <v>8957</v>
      </c>
      <c r="O530" s="20">
        <f t="shared" si="8"/>
        <v>2</v>
      </c>
      <c r="P530" s="22" t="s">
        <v>9103</v>
      </c>
      <c r="Q530" s="21" t="s">
        <v>8959</v>
      </c>
      <c r="R530" s="23" t="s">
        <v>9213</v>
      </c>
      <c r="S530" s="24" t="s">
        <v>9159</v>
      </c>
      <c r="T530" s="24" t="str">
        <f>VLOOKUP(R530,[1]Sheet3!$A$2:$A$47,1,0)</f>
        <v>South Korea</v>
      </c>
      <c r="U530" s="25" t="s">
        <v>12285</v>
      </c>
      <c r="V530" s="24" t="s">
        <v>12286</v>
      </c>
      <c r="W530" s="18" t="s">
        <v>8964</v>
      </c>
      <c r="X530" s="26" t="s">
        <v>61</v>
      </c>
      <c r="Y530" s="18" t="s">
        <v>9162</v>
      </c>
      <c r="Z530" s="24" t="s">
        <v>11</v>
      </c>
    </row>
    <row r="531" spans="1:26" ht="20.100000000000001" customHeight="1" x14ac:dyDescent="0.2">
      <c r="A531" s="18" t="s">
        <v>12287</v>
      </c>
      <c r="B531" s="19" t="s">
        <v>12288</v>
      </c>
      <c r="C531" s="19" t="s">
        <v>12289</v>
      </c>
      <c r="D531" s="8" t="s">
        <v>9100</v>
      </c>
      <c r="E531" s="20" t="s">
        <v>8998</v>
      </c>
      <c r="F531" s="20" t="s">
        <v>10979</v>
      </c>
      <c r="G531" s="20" t="s">
        <v>9076</v>
      </c>
      <c r="H531" s="31">
        <v>3059</v>
      </c>
      <c r="I531" s="20" t="s">
        <v>9019</v>
      </c>
      <c r="J531" s="20" t="s">
        <v>8953</v>
      </c>
      <c r="K531" s="20" t="s">
        <v>12290</v>
      </c>
      <c r="L531" s="21" t="s">
        <v>8955</v>
      </c>
      <c r="M531" s="20" t="s">
        <v>8956</v>
      </c>
      <c r="N531" s="20" t="s">
        <v>8957</v>
      </c>
      <c r="O531" s="20">
        <f t="shared" si="8"/>
        <v>5</v>
      </c>
      <c r="P531" s="22" t="s">
        <v>8958</v>
      </c>
      <c r="Q531" s="21" t="s">
        <v>9061</v>
      </c>
      <c r="R531" s="23" t="s">
        <v>8991</v>
      </c>
      <c r="S531" s="24" t="s">
        <v>9159</v>
      </c>
      <c r="T531" s="24" t="str">
        <f>VLOOKUP(R531,[1]Sheet3!$A$2:$A$47,1,0)</f>
        <v>China</v>
      </c>
      <c r="U531" s="24" t="s">
        <v>12291</v>
      </c>
      <c r="V531" s="24" t="s">
        <v>12292</v>
      </c>
      <c r="W531" s="18" t="s">
        <v>8964</v>
      </c>
      <c r="X531" s="26" t="s">
        <v>61</v>
      </c>
      <c r="Y531" s="18" t="s">
        <v>9162</v>
      </c>
      <c r="Z531" s="24" t="s">
        <v>11</v>
      </c>
    </row>
    <row r="532" spans="1:26" ht="20.100000000000001" customHeight="1" x14ac:dyDescent="0.2">
      <c r="A532" s="18" t="s">
        <v>12293</v>
      </c>
      <c r="B532" s="19" t="s">
        <v>12294</v>
      </c>
      <c r="C532" s="19" t="s">
        <v>12295</v>
      </c>
      <c r="D532" s="8" t="s">
        <v>11108</v>
      </c>
      <c r="E532" s="20" t="s">
        <v>9155</v>
      </c>
      <c r="F532" s="20" t="s">
        <v>8972</v>
      </c>
      <c r="G532" s="20" t="s">
        <v>9076</v>
      </c>
      <c r="H532" s="31">
        <v>50</v>
      </c>
      <c r="I532" s="20" t="s">
        <v>9008</v>
      </c>
      <c r="J532" s="20" t="s">
        <v>8953</v>
      </c>
      <c r="K532" s="20" t="s">
        <v>8989</v>
      </c>
      <c r="L532" s="21" t="s">
        <v>8955</v>
      </c>
      <c r="M532" s="20" t="s">
        <v>8956</v>
      </c>
      <c r="N532" s="20" t="s">
        <v>9060</v>
      </c>
      <c r="O532" s="20">
        <f t="shared" si="8"/>
        <v>9</v>
      </c>
      <c r="P532" s="22" t="s">
        <v>8975</v>
      </c>
      <c r="Q532" s="21" t="s">
        <v>9183</v>
      </c>
      <c r="R532" s="23" t="s">
        <v>9113</v>
      </c>
      <c r="S532" s="24" t="s">
        <v>9159</v>
      </c>
      <c r="T532" s="24" t="str">
        <f>VLOOKUP(R532,[1]Sheet3!$A$2:$A$47,1,0)</f>
        <v>UK</v>
      </c>
      <c r="U532" s="24" t="s">
        <v>12296</v>
      </c>
      <c r="V532" s="24" t="s">
        <v>12297</v>
      </c>
      <c r="W532" s="18" t="s">
        <v>8964</v>
      </c>
      <c r="X532" s="26" t="s">
        <v>61</v>
      </c>
      <c r="Y532" s="18" t="s">
        <v>9162</v>
      </c>
      <c r="Z532" s="24" t="s">
        <v>11</v>
      </c>
    </row>
    <row r="533" spans="1:26" ht="20.100000000000001" customHeight="1" x14ac:dyDescent="0.2">
      <c r="A533" s="18" t="s">
        <v>12298</v>
      </c>
      <c r="B533" s="19" t="s">
        <v>12299</v>
      </c>
      <c r="C533" s="19" t="s">
        <v>12300</v>
      </c>
      <c r="D533" s="8" t="s">
        <v>9092</v>
      </c>
      <c r="E533" s="20" t="s">
        <v>8998</v>
      </c>
      <c r="F533" s="20" t="s">
        <v>8950</v>
      </c>
      <c r="G533" s="20" t="s">
        <v>9076</v>
      </c>
      <c r="H533" s="31">
        <v>2000</v>
      </c>
      <c r="I533" s="20" t="s">
        <v>8952</v>
      </c>
      <c r="J533" s="20" t="s">
        <v>8953</v>
      </c>
      <c r="K533" s="20" t="s">
        <v>8989</v>
      </c>
      <c r="L533" s="21" t="s">
        <v>8955</v>
      </c>
      <c r="M533" s="20" t="s">
        <v>8956</v>
      </c>
      <c r="N533" s="20" t="s">
        <v>8974</v>
      </c>
      <c r="O533" s="20">
        <f t="shared" si="8"/>
        <v>2</v>
      </c>
      <c r="P533" s="22" t="s">
        <v>9103</v>
      </c>
      <c r="Q533" s="21" t="s">
        <v>8959</v>
      </c>
      <c r="R533" s="23" t="s">
        <v>9010</v>
      </c>
      <c r="S533" s="24" t="s">
        <v>9159</v>
      </c>
      <c r="T533" s="24" t="str">
        <f>VLOOKUP(R533,[1]Sheet3!$A$2:$A$47,1,0)</f>
        <v>the United States of America</v>
      </c>
      <c r="U533" s="24" t="s">
        <v>12301</v>
      </c>
      <c r="V533" s="24" t="s">
        <v>12302</v>
      </c>
      <c r="W533" s="18" t="s">
        <v>8964</v>
      </c>
      <c r="X533" s="26" t="s">
        <v>61</v>
      </c>
      <c r="Y533" s="18" t="s">
        <v>9162</v>
      </c>
      <c r="Z533" s="24" t="s">
        <v>11</v>
      </c>
    </row>
    <row r="534" spans="1:26" ht="20.100000000000001" customHeight="1" x14ac:dyDescent="0.2">
      <c r="A534" s="18" t="s">
        <v>12303</v>
      </c>
      <c r="B534" s="19" t="s">
        <v>12304</v>
      </c>
      <c r="C534" s="19" t="s">
        <v>12305</v>
      </c>
      <c r="D534" s="8" t="s">
        <v>9092</v>
      </c>
      <c r="E534" s="20" t="s">
        <v>8998</v>
      </c>
      <c r="F534" s="20" t="s">
        <v>9679</v>
      </c>
      <c r="G534" s="20" t="s">
        <v>9464</v>
      </c>
      <c r="H534" s="31">
        <v>3236</v>
      </c>
      <c r="I534" s="20" t="s">
        <v>9019</v>
      </c>
      <c r="J534" s="20" t="s">
        <v>8953</v>
      </c>
      <c r="K534" s="20" t="s">
        <v>8989</v>
      </c>
      <c r="L534" s="21" t="s">
        <v>8955</v>
      </c>
      <c r="M534" s="20" t="s">
        <v>8956</v>
      </c>
      <c r="N534" s="20" t="s">
        <v>8957</v>
      </c>
      <c r="O534" s="20">
        <f t="shared" si="8"/>
        <v>4</v>
      </c>
      <c r="P534" s="22" t="s">
        <v>8958</v>
      </c>
      <c r="Q534" s="21" t="s">
        <v>8959</v>
      </c>
      <c r="R534" s="23" t="s">
        <v>9213</v>
      </c>
      <c r="S534" s="24" t="s">
        <v>9159</v>
      </c>
      <c r="T534" s="24" t="str">
        <f>VLOOKUP(R534,[1]Sheet3!$A$2:$A$47,1,0)</f>
        <v>South Korea</v>
      </c>
      <c r="U534" s="24" t="s">
        <v>12306</v>
      </c>
      <c r="V534" s="24" t="s">
        <v>12307</v>
      </c>
      <c r="W534" s="18" t="s">
        <v>8964</v>
      </c>
      <c r="X534" s="26" t="s">
        <v>61</v>
      </c>
      <c r="Y534" s="18" t="s">
        <v>9162</v>
      </c>
      <c r="Z534" s="24" t="s">
        <v>11</v>
      </c>
    </row>
    <row r="535" spans="1:26" ht="20.100000000000001" customHeight="1" x14ac:dyDescent="0.2">
      <c r="A535" s="18" t="s">
        <v>12308</v>
      </c>
      <c r="B535" s="19" t="s">
        <v>12309</v>
      </c>
      <c r="C535" s="19" t="s">
        <v>12310</v>
      </c>
      <c r="D535" s="8" t="s">
        <v>12228</v>
      </c>
      <c r="E535" s="20" t="s">
        <v>8998</v>
      </c>
      <c r="F535" s="20" t="s">
        <v>9781</v>
      </c>
      <c r="G535" s="20" t="s">
        <v>9464</v>
      </c>
      <c r="H535" s="31">
        <v>4000</v>
      </c>
      <c r="I535" s="20" t="s">
        <v>9019</v>
      </c>
      <c r="J535" s="20" t="s">
        <v>8953</v>
      </c>
      <c r="K535" s="20" t="s">
        <v>8989</v>
      </c>
      <c r="L535" s="21" t="s">
        <v>8955</v>
      </c>
      <c r="M535" s="20" t="s">
        <v>8956</v>
      </c>
      <c r="N535" s="20" t="s">
        <v>9060</v>
      </c>
      <c r="O535" s="20">
        <f t="shared" si="8"/>
        <v>10</v>
      </c>
      <c r="P535" s="22" t="s">
        <v>8975</v>
      </c>
      <c r="Q535" s="21" t="s">
        <v>9183</v>
      </c>
      <c r="R535" s="23" t="s">
        <v>8991</v>
      </c>
      <c r="S535" s="24" t="s">
        <v>9159</v>
      </c>
      <c r="T535" s="24" t="str">
        <f>VLOOKUP(R535,[1]Sheet3!$A$2:$A$47,1,0)</f>
        <v>China</v>
      </c>
      <c r="U535" s="24" t="s">
        <v>12311</v>
      </c>
      <c r="V535" s="24" t="s">
        <v>12312</v>
      </c>
      <c r="W535" s="18" t="s">
        <v>8964</v>
      </c>
      <c r="X535" s="26" t="s">
        <v>61</v>
      </c>
      <c r="Y535" s="18" t="s">
        <v>9162</v>
      </c>
      <c r="Z535" s="24" t="s">
        <v>11</v>
      </c>
    </row>
    <row r="536" spans="1:26" ht="20.100000000000001" customHeight="1" x14ac:dyDescent="0.2">
      <c r="A536" s="18" t="s">
        <v>12313</v>
      </c>
      <c r="B536" s="19" t="s">
        <v>12314</v>
      </c>
      <c r="C536" s="19" t="s">
        <v>12315</v>
      </c>
      <c r="D536" s="8" t="s">
        <v>9100</v>
      </c>
      <c r="E536" s="20" t="s">
        <v>8998</v>
      </c>
      <c r="F536" s="20" t="s">
        <v>8972</v>
      </c>
      <c r="G536" s="20" t="s">
        <v>9076</v>
      </c>
      <c r="H536" s="31">
        <v>5936</v>
      </c>
      <c r="I536" s="20" t="s">
        <v>9019</v>
      </c>
      <c r="J536" s="20" t="s">
        <v>8953</v>
      </c>
      <c r="K536" s="20" t="s">
        <v>8989</v>
      </c>
      <c r="L536" s="21" t="s">
        <v>8955</v>
      </c>
      <c r="M536" s="20" t="s">
        <v>8956</v>
      </c>
      <c r="N536" s="20" t="s">
        <v>8957</v>
      </c>
      <c r="O536" s="20">
        <f t="shared" si="8"/>
        <v>10</v>
      </c>
      <c r="P536" s="22" t="s">
        <v>8975</v>
      </c>
      <c r="Q536" s="21" t="s">
        <v>9183</v>
      </c>
      <c r="R536" s="23" t="s">
        <v>8991</v>
      </c>
      <c r="S536" s="24" t="s">
        <v>9159</v>
      </c>
      <c r="T536" s="24" t="str">
        <f>VLOOKUP(R536,[1]Sheet3!$A$2:$A$47,1,0)</f>
        <v>China</v>
      </c>
      <c r="U536" s="24" t="s">
        <v>12316</v>
      </c>
      <c r="V536" s="24" t="s">
        <v>12317</v>
      </c>
      <c r="W536" s="18" t="s">
        <v>8964</v>
      </c>
      <c r="X536" s="26" t="s">
        <v>61</v>
      </c>
      <c r="Y536" s="18" t="s">
        <v>9162</v>
      </c>
      <c r="Z536" s="24" t="s">
        <v>11</v>
      </c>
    </row>
    <row r="537" spans="1:26" ht="20.100000000000001" customHeight="1" x14ac:dyDescent="0.2">
      <c r="A537" s="18" t="s">
        <v>12318</v>
      </c>
      <c r="B537" s="19" t="s">
        <v>12319</v>
      </c>
      <c r="C537" s="19" t="s">
        <v>12320</v>
      </c>
      <c r="D537" s="8" t="s">
        <v>9100</v>
      </c>
      <c r="E537" s="20" t="s">
        <v>9155</v>
      </c>
      <c r="F537" s="20" t="s">
        <v>8972</v>
      </c>
      <c r="G537" s="20" t="s">
        <v>9076</v>
      </c>
      <c r="H537" s="31">
        <v>2168</v>
      </c>
      <c r="I537" s="20" t="s">
        <v>8952</v>
      </c>
      <c r="J537" s="20" t="s">
        <v>8953</v>
      </c>
      <c r="K537" s="20" t="s">
        <v>8989</v>
      </c>
      <c r="L537" s="21" t="s">
        <v>8955</v>
      </c>
      <c r="M537" s="20" t="s">
        <v>8956</v>
      </c>
      <c r="N537" s="20" t="s">
        <v>8957</v>
      </c>
      <c r="O537" s="20">
        <f t="shared" si="8"/>
        <v>2</v>
      </c>
      <c r="P537" s="22" t="s">
        <v>9103</v>
      </c>
      <c r="Q537" s="21" t="s">
        <v>9183</v>
      </c>
      <c r="R537" s="23" t="s">
        <v>8991</v>
      </c>
      <c r="S537" s="24" t="s">
        <v>9159</v>
      </c>
      <c r="T537" s="24" t="str">
        <f>VLOOKUP(R537,[1]Sheet3!$A$2:$A$47,1,0)</f>
        <v>China</v>
      </c>
      <c r="U537" s="24" t="s">
        <v>12321</v>
      </c>
      <c r="V537" s="24" t="s">
        <v>12322</v>
      </c>
      <c r="W537" s="18" t="s">
        <v>8964</v>
      </c>
      <c r="X537" s="26" t="s">
        <v>61</v>
      </c>
      <c r="Y537" s="18" t="s">
        <v>9162</v>
      </c>
      <c r="Z537" s="24" t="s">
        <v>11</v>
      </c>
    </row>
    <row r="538" spans="1:26" ht="20.100000000000001" customHeight="1" x14ac:dyDescent="0.2">
      <c r="A538" s="18" t="s">
        <v>12323</v>
      </c>
      <c r="B538" s="19" t="s">
        <v>12324</v>
      </c>
      <c r="C538" s="19" t="s">
        <v>12325</v>
      </c>
      <c r="D538" s="8" t="s">
        <v>10322</v>
      </c>
      <c r="E538" s="20" t="s">
        <v>8949</v>
      </c>
      <c r="F538" s="20" t="s">
        <v>12326</v>
      </c>
      <c r="G538" s="33" t="s">
        <v>9076</v>
      </c>
      <c r="H538" s="31">
        <v>21128</v>
      </c>
      <c r="I538" s="20" t="s">
        <v>9019</v>
      </c>
      <c r="J538" s="20" t="s">
        <v>8953</v>
      </c>
      <c r="K538" s="20" t="s">
        <v>8954</v>
      </c>
      <c r="L538" s="21" t="s">
        <v>8955</v>
      </c>
      <c r="M538" s="20" t="s">
        <v>8956</v>
      </c>
      <c r="N538" s="20" t="s">
        <v>9060</v>
      </c>
      <c r="O538" s="20">
        <f t="shared" si="8"/>
        <v>22</v>
      </c>
      <c r="P538" s="22" t="s">
        <v>8975</v>
      </c>
      <c r="Q538" s="21" t="s">
        <v>9183</v>
      </c>
      <c r="R538" s="23" t="s">
        <v>9113</v>
      </c>
      <c r="S538" s="24" t="s">
        <v>9159</v>
      </c>
      <c r="T538" s="24" t="str">
        <f>VLOOKUP(R538,[1]Sheet3!$A$2:$A$47,1,0)</f>
        <v>UK</v>
      </c>
      <c r="U538" s="24" t="s">
        <v>12327</v>
      </c>
      <c r="V538" s="24" t="s">
        <v>12328</v>
      </c>
      <c r="W538" s="18" t="s">
        <v>8964</v>
      </c>
      <c r="X538" s="26" t="s">
        <v>61</v>
      </c>
      <c r="Y538" s="18" t="s">
        <v>9162</v>
      </c>
      <c r="Z538" s="24" t="s">
        <v>11</v>
      </c>
    </row>
    <row r="539" spans="1:26" ht="20.100000000000001" customHeight="1" x14ac:dyDescent="0.2">
      <c r="A539" s="18" t="s">
        <v>12329</v>
      </c>
      <c r="B539" s="19" t="s">
        <v>12330</v>
      </c>
      <c r="C539" s="19" t="s">
        <v>12331</v>
      </c>
      <c r="D539" s="8" t="s">
        <v>9100</v>
      </c>
      <c r="E539" s="20" t="s">
        <v>8949</v>
      </c>
      <c r="F539" s="20" t="s">
        <v>8950</v>
      </c>
      <c r="G539" s="20" t="s">
        <v>8973</v>
      </c>
      <c r="H539" s="31">
        <v>64</v>
      </c>
      <c r="I539" s="20" t="s">
        <v>9008</v>
      </c>
      <c r="J539" s="20" t="s">
        <v>8953</v>
      </c>
      <c r="K539" s="20" t="s">
        <v>8954</v>
      </c>
      <c r="L539" s="21" t="s">
        <v>8955</v>
      </c>
      <c r="M539" s="20" t="s">
        <v>8956</v>
      </c>
      <c r="N539" s="20" t="s">
        <v>8959</v>
      </c>
      <c r="O539" s="20">
        <f t="shared" si="8"/>
        <v>8</v>
      </c>
      <c r="P539" s="22" t="s">
        <v>8975</v>
      </c>
      <c r="Q539" s="21" t="s">
        <v>9183</v>
      </c>
      <c r="R539" s="23" t="s">
        <v>9062</v>
      </c>
      <c r="S539" s="24" t="s">
        <v>11566</v>
      </c>
      <c r="T539" s="24" t="str">
        <f>VLOOKUP(R539,[1]Sheet3!$A$2:$A$47,1,0)</f>
        <v>Germany</v>
      </c>
      <c r="U539" s="24" t="s">
        <v>12332</v>
      </c>
      <c r="V539" s="24" t="s">
        <v>12333</v>
      </c>
      <c r="W539" s="18" t="s">
        <v>8964</v>
      </c>
      <c r="X539" s="26" t="s">
        <v>666</v>
      </c>
      <c r="Y539" s="18" t="s">
        <v>11569</v>
      </c>
      <c r="Z539" s="24" t="s">
        <v>11</v>
      </c>
    </row>
    <row r="540" spans="1:26" ht="20.100000000000001" customHeight="1" x14ac:dyDescent="0.2">
      <c r="B540" s="19" t="s">
        <v>12334</v>
      </c>
      <c r="C540" s="19" t="s">
        <v>12335</v>
      </c>
      <c r="D540" s="8" t="s">
        <v>9252</v>
      </c>
      <c r="E540" s="20" t="s">
        <v>11093</v>
      </c>
      <c r="F540" s="20" t="s">
        <v>9018</v>
      </c>
      <c r="G540" s="20" t="s">
        <v>8987</v>
      </c>
      <c r="H540" s="31">
        <v>3301</v>
      </c>
      <c r="I540" s="20" t="s">
        <v>9019</v>
      </c>
      <c r="J540" s="20" t="s">
        <v>8953</v>
      </c>
      <c r="K540" s="20" t="s">
        <v>8954</v>
      </c>
      <c r="L540" s="21" t="s">
        <v>8955</v>
      </c>
      <c r="M540" s="20" t="s">
        <v>8956</v>
      </c>
      <c r="N540" s="20" t="s">
        <v>8959</v>
      </c>
      <c r="O540" s="20">
        <f t="shared" si="8"/>
        <v>4</v>
      </c>
      <c r="P540" s="22" t="s">
        <v>8958</v>
      </c>
      <c r="Q540" s="21" t="s">
        <v>9183</v>
      </c>
      <c r="R540" s="23" t="s">
        <v>9010</v>
      </c>
      <c r="S540" s="24" t="s">
        <v>12336</v>
      </c>
      <c r="T540" s="24" t="str">
        <f>VLOOKUP(R540,[1]Sheet3!$A$2:$A$47,1,0)</f>
        <v>the United States of America</v>
      </c>
      <c r="U540" s="24" t="s">
        <v>12337</v>
      </c>
      <c r="V540" s="24" t="s">
        <v>12338</v>
      </c>
      <c r="W540" s="18" t="s">
        <v>8964</v>
      </c>
      <c r="X540" s="26" t="s">
        <v>2906</v>
      </c>
      <c r="Y540" s="18" t="s">
        <v>12339</v>
      </c>
      <c r="Z540" s="24" t="s">
        <v>4</v>
      </c>
    </row>
    <row r="541" spans="1:26" ht="20.100000000000001" customHeight="1" x14ac:dyDescent="0.2">
      <c r="B541" s="19" t="s">
        <v>12340</v>
      </c>
      <c r="C541" s="19" t="s">
        <v>12341</v>
      </c>
      <c r="D541" s="8" t="s">
        <v>8948</v>
      </c>
      <c r="E541" s="20" t="s">
        <v>8949</v>
      </c>
      <c r="F541" s="33" t="s">
        <v>10093</v>
      </c>
      <c r="G541" s="20" t="s">
        <v>8987</v>
      </c>
      <c r="H541" s="31">
        <v>1059</v>
      </c>
      <c r="I541" s="20" t="s">
        <v>8952</v>
      </c>
      <c r="J541" s="20" t="s">
        <v>9059</v>
      </c>
      <c r="K541" s="20" t="s">
        <v>8989</v>
      </c>
      <c r="L541" s="21" t="s">
        <v>8955</v>
      </c>
      <c r="M541" s="20" t="s">
        <v>8956</v>
      </c>
      <c r="N541" s="20" t="s">
        <v>8957</v>
      </c>
      <c r="O541" s="20">
        <f t="shared" si="8"/>
        <v>4</v>
      </c>
      <c r="P541" s="22" t="s">
        <v>8958</v>
      </c>
      <c r="Q541" s="21" t="s">
        <v>9183</v>
      </c>
      <c r="R541" s="23" t="s">
        <v>9010</v>
      </c>
      <c r="S541" s="24" t="s">
        <v>12336</v>
      </c>
      <c r="T541" s="24" t="str">
        <f>VLOOKUP(R541,[1]Sheet3!$A$2:$A$47,1,0)</f>
        <v>the United States of America</v>
      </c>
      <c r="U541" s="24" t="s">
        <v>12342</v>
      </c>
      <c r="V541" s="24" t="s">
        <v>12343</v>
      </c>
      <c r="W541" s="18" t="s">
        <v>8964</v>
      </c>
      <c r="X541" s="26" t="s">
        <v>2906</v>
      </c>
      <c r="Y541" s="18" t="s">
        <v>12339</v>
      </c>
      <c r="Z541" s="24" t="s">
        <v>4</v>
      </c>
    </row>
    <row r="542" spans="1:26" ht="20.100000000000001" customHeight="1" x14ac:dyDescent="0.2">
      <c r="A542" s="18" t="s">
        <v>12344</v>
      </c>
      <c r="B542" s="19" t="s">
        <v>12345</v>
      </c>
      <c r="C542" s="19" t="s">
        <v>12346</v>
      </c>
      <c r="D542" s="8" t="s">
        <v>9100</v>
      </c>
      <c r="E542" s="20" t="s">
        <v>8998</v>
      </c>
      <c r="F542" s="20" t="s">
        <v>12347</v>
      </c>
      <c r="G542" s="20" t="s">
        <v>8973</v>
      </c>
      <c r="H542" s="31">
        <v>80</v>
      </c>
      <c r="I542" s="20" t="s">
        <v>9008</v>
      </c>
      <c r="J542" s="20" t="s">
        <v>8953</v>
      </c>
      <c r="K542" s="20" t="s">
        <v>8989</v>
      </c>
      <c r="L542" s="21" t="s">
        <v>8955</v>
      </c>
      <c r="M542" s="20" t="s">
        <v>8956</v>
      </c>
      <c r="N542" s="20" t="s">
        <v>8957</v>
      </c>
      <c r="O542" s="20">
        <f t="shared" si="8"/>
        <v>3</v>
      </c>
      <c r="P542" s="22" t="s">
        <v>9103</v>
      </c>
      <c r="Q542" s="21" t="s">
        <v>8959</v>
      </c>
      <c r="R542" s="23" t="s">
        <v>9062</v>
      </c>
      <c r="S542" s="24" t="s">
        <v>9342</v>
      </c>
      <c r="T542" s="24" t="str">
        <f>VLOOKUP(R542,[1]Sheet3!$A$2:$A$47,1,0)</f>
        <v>Germany</v>
      </c>
      <c r="U542" s="24" t="s">
        <v>12348</v>
      </c>
      <c r="V542" s="24" t="s">
        <v>12349</v>
      </c>
      <c r="W542" s="18" t="s">
        <v>8964</v>
      </c>
      <c r="X542" s="26" t="s">
        <v>64</v>
      </c>
      <c r="Y542" s="18" t="s">
        <v>9345</v>
      </c>
      <c r="Z542" s="24" t="s">
        <v>11</v>
      </c>
    </row>
    <row r="543" spans="1:26" ht="20.100000000000001" customHeight="1" x14ac:dyDescent="0.2">
      <c r="A543" s="18" t="s">
        <v>12350</v>
      </c>
      <c r="B543" s="19" t="s">
        <v>12351</v>
      </c>
      <c r="C543" s="19" t="s">
        <v>12352</v>
      </c>
      <c r="D543" s="8" t="s">
        <v>9035</v>
      </c>
      <c r="E543" s="20" t="s">
        <v>9121</v>
      </c>
      <c r="F543" s="20" t="s">
        <v>8950</v>
      </c>
      <c r="G543" s="20" t="s">
        <v>8987</v>
      </c>
      <c r="H543" s="31">
        <v>6691</v>
      </c>
      <c r="I543" s="20" t="s">
        <v>9019</v>
      </c>
      <c r="J543" s="20" t="s">
        <v>8953</v>
      </c>
      <c r="K543" s="20" t="s">
        <v>8989</v>
      </c>
      <c r="L543" s="21" t="s">
        <v>8955</v>
      </c>
      <c r="M543" s="20" t="s">
        <v>8956</v>
      </c>
      <c r="N543" s="20" t="s">
        <v>8957</v>
      </c>
      <c r="O543" s="20">
        <f t="shared" si="8"/>
        <v>2</v>
      </c>
      <c r="P543" s="22" t="s">
        <v>9103</v>
      </c>
      <c r="Q543" s="21" t="s">
        <v>9183</v>
      </c>
      <c r="R543" s="23" t="s">
        <v>9062</v>
      </c>
      <c r="S543" s="24" t="s">
        <v>9342</v>
      </c>
      <c r="T543" s="24" t="str">
        <f>VLOOKUP(R543,[1]Sheet3!$A$2:$A$47,1,0)</f>
        <v>Germany</v>
      </c>
      <c r="U543" s="24" t="s">
        <v>12353</v>
      </c>
      <c r="V543" s="24" t="s">
        <v>12354</v>
      </c>
      <c r="W543" s="18" t="s">
        <v>8964</v>
      </c>
      <c r="X543" s="26" t="s">
        <v>64</v>
      </c>
      <c r="Y543" s="18" t="s">
        <v>9345</v>
      </c>
      <c r="Z543" s="24" t="s">
        <v>11</v>
      </c>
    </row>
    <row r="544" spans="1:26" ht="20.100000000000001" customHeight="1" x14ac:dyDescent="0.2">
      <c r="A544" s="18" t="s">
        <v>12355</v>
      </c>
      <c r="B544" s="19" t="s">
        <v>12356</v>
      </c>
      <c r="C544" s="19" t="s">
        <v>12357</v>
      </c>
      <c r="D544" s="8" t="s">
        <v>9092</v>
      </c>
      <c r="E544" s="20" t="s">
        <v>11093</v>
      </c>
      <c r="F544" s="20" t="s">
        <v>8950</v>
      </c>
      <c r="G544" s="20" t="s">
        <v>11367</v>
      </c>
      <c r="H544" s="31">
        <v>50000</v>
      </c>
      <c r="I544" s="20" t="s">
        <v>9019</v>
      </c>
      <c r="J544" s="20" t="s">
        <v>8953</v>
      </c>
      <c r="K544" s="20" t="s">
        <v>8989</v>
      </c>
      <c r="L544" s="21" t="s">
        <v>8955</v>
      </c>
      <c r="M544" s="20" t="s">
        <v>8956</v>
      </c>
      <c r="N544" s="20" t="s">
        <v>8959</v>
      </c>
      <c r="O544" s="20">
        <f t="shared" si="8"/>
        <v>5</v>
      </c>
      <c r="P544" s="22" t="s">
        <v>8975</v>
      </c>
      <c r="Q544" s="21" t="s">
        <v>9183</v>
      </c>
      <c r="R544" s="23" t="s">
        <v>9113</v>
      </c>
      <c r="S544" s="24" t="s">
        <v>9342</v>
      </c>
      <c r="T544" s="24" t="str">
        <f>VLOOKUP(R544,[1]Sheet3!$A$2:$A$47,1,0)</f>
        <v>UK</v>
      </c>
      <c r="U544" s="24" t="s">
        <v>12358</v>
      </c>
      <c r="V544" s="24" t="s">
        <v>12359</v>
      </c>
      <c r="W544" s="18" t="s">
        <v>8964</v>
      </c>
      <c r="X544" s="26" t="s">
        <v>64</v>
      </c>
      <c r="Y544" s="18" t="s">
        <v>9345</v>
      </c>
      <c r="Z544" s="24" t="s">
        <v>11</v>
      </c>
    </row>
    <row r="545" spans="1:26" ht="20.100000000000001" customHeight="1" x14ac:dyDescent="0.2">
      <c r="A545" s="18" t="s">
        <v>12360</v>
      </c>
      <c r="B545" s="19" t="s">
        <v>12361</v>
      </c>
      <c r="C545" s="19" t="s">
        <v>12362</v>
      </c>
      <c r="D545" s="8" t="s">
        <v>11130</v>
      </c>
      <c r="E545" s="20" t="s">
        <v>8949</v>
      </c>
      <c r="F545" s="20" t="s">
        <v>8950</v>
      </c>
      <c r="G545" s="20" t="s">
        <v>9133</v>
      </c>
      <c r="H545" s="31">
        <v>18</v>
      </c>
      <c r="I545" s="20" t="s">
        <v>9008</v>
      </c>
      <c r="J545" s="20" t="s">
        <v>9059</v>
      </c>
      <c r="K545" s="20" t="s">
        <v>8954</v>
      </c>
      <c r="L545" s="21" t="s">
        <v>8955</v>
      </c>
      <c r="M545" s="20" t="s">
        <v>8956</v>
      </c>
      <c r="N545" s="20" t="s">
        <v>8959</v>
      </c>
      <c r="O545" s="20">
        <f t="shared" si="8"/>
        <v>9</v>
      </c>
      <c r="P545" s="22" t="s">
        <v>8975</v>
      </c>
      <c r="Q545" s="21" t="s">
        <v>9183</v>
      </c>
      <c r="R545" s="23" t="s">
        <v>12363</v>
      </c>
      <c r="S545" s="24" t="s">
        <v>9558</v>
      </c>
      <c r="T545" s="24" t="str">
        <f>VLOOKUP(R545,[1]Sheet3!$A$2:$A$47,1,0)</f>
        <v>Egypt</v>
      </c>
      <c r="U545" s="24" t="s">
        <v>12364</v>
      </c>
      <c r="V545" s="24" t="s">
        <v>12365</v>
      </c>
      <c r="W545" s="18" t="s">
        <v>8964</v>
      </c>
      <c r="X545" s="26" t="s">
        <v>1322</v>
      </c>
      <c r="Y545" s="18" t="s">
        <v>9561</v>
      </c>
      <c r="Z545" s="24" t="s">
        <v>11</v>
      </c>
    </row>
    <row r="546" spans="1:26" ht="20.100000000000001" customHeight="1" x14ac:dyDescent="0.2">
      <c r="A546" s="18" t="s">
        <v>12366</v>
      </c>
      <c r="B546" s="19" t="s">
        <v>12367</v>
      </c>
      <c r="C546" s="19" t="s">
        <v>12368</v>
      </c>
      <c r="D546" s="8" t="s">
        <v>9049</v>
      </c>
      <c r="E546" s="20" t="s">
        <v>9050</v>
      </c>
      <c r="F546" s="20" t="s">
        <v>8950</v>
      </c>
      <c r="G546" s="20" t="s">
        <v>9133</v>
      </c>
      <c r="H546" s="31">
        <v>100</v>
      </c>
      <c r="I546" s="20" t="s">
        <v>9008</v>
      </c>
      <c r="J546" s="20" t="s">
        <v>8953</v>
      </c>
      <c r="K546" s="20" t="s">
        <v>8954</v>
      </c>
      <c r="L546" s="21" t="s">
        <v>8955</v>
      </c>
      <c r="M546" s="20" t="s">
        <v>8956</v>
      </c>
      <c r="N546" s="20" t="s">
        <v>8957</v>
      </c>
      <c r="O546" s="20">
        <f t="shared" si="8"/>
        <v>12</v>
      </c>
      <c r="P546" s="22" t="s">
        <v>8975</v>
      </c>
      <c r="Q546" s="21" t="s">
        <v>9183</v>
      </c>
      <c r="R546" s="39" t="s">
        <v>9010</v>
      </c>
      <c r="S546" s="24" t="s">
        <v>12369</v>
      </c>
      <c r="T546" s="24" t="str">
        <f>VLOOKUP(R546,[1]Sheet3!$A$2:$A$47,1,0)</f>
        <v>the United States of America</v>
      </c>
      <c r="U546" s="24" t="s">
        <v>12370</v>
      </c>
      <c r="V546" s="24" t="s">
        <v>12371</v>
      </c>
      <c r="W546" s="18" t="s">
        <v>8964</v>
      </c>
      <c r="X546" s="26" t="s">
        <v>933</v>
      </c>
      <c r="Y546" s="18" t="s">
        <v>12372</v>
      </c>
      <c r="Z546" s="24" t="s">
        <v>11</v>
      </c>
    </row>
    <row r="547" spans="1:26" ht="20.100000000000001" customHeight="1" x14ac:dyDescent="0.2">
      <c r="A547" s="18" t="s">
        <v>12373</v>
      </c>
      <c r="B547" s="19" t="s">
        <v>12374</v>
      </c>
      <c r="C547" s="19" t="s">
        <v>12375</v>
      </c>
      <c r="D547" s="8" t="s">
        <v>9049</v>
      </c>
      <c r="E547" s="20" t="s">
        <v>9121</v>
      </c>
      <c r="F547" s="20" t="s">
        <v>8950</v>
      </c>
      <c r="G547" s="20" t="s">
        <v>8951</v>
      </c>
      <c r="H547" s="31">
        <v>260</v>
      </c>
      <c r="I547" s="20" t="s">
        <v>8988</v>
      </c>
      <c r="J547" s="20" t="s">
        <v>8953</v>
      </c>
      <c r="K547" s="20" t="s">
        <v>8954</v>
      </c>
      <c r="L547" s="21" t="s">
        <v>8955</v>
      </c>
      <c r="M547" s="20" t="s">
        <v>8956</v>
      </c>
      <c r="N547" s="20" t="s">
        <v>8957</v>
      </c>
      <c r="O547" s="20">
        <f t="shared" si="8"/>
        <v>6</v>
      </c>
      <c r="P547" s="22" t="s">
        <v>8958</v>
      </c>
      <c r="Q547" s="21" t="s">
        <v>9183</v>
      </c>
      <c r="R547" s="23" t="s">
        <v>9213</v>
      </c>
      <c r="S547" s="24" t="s">
        <v>9873</v>
      </c>
      <c r="T547" s="24" t="str">
        <f>VLOOKUP(R547,[1]Sheet3!$A$2:$A$47,1,0)</f>
        <v>South Korea</v>
      </c>
      <c r="U547" s="24" t="s">
        <v>12376</v>
      </c>
      <c r="V547" s="24" t="s">
        <v>12377</v>
      </c>
      <c r="W547" s="18" t="s">
        <v>8964</v>
      </c>
      <c r="X547" s="26" t="s">
        <v>1385</v>
      </c>
      <c r="Y547" s="18" t="s">
        <v>9876</v>
      </c>
      <c r="Z547" s="24">
        <v>2018</v>
      </c>
    </row>
    <row r="548" spans="1:26" ht="20.100000000000001" customHeight="1" x14ac:dyDescent="0.2">
      <c r="A548" s="18" t="s">
        <v>12378</v>
      </c>
      <c r="B548" s="19" t="s">
        <v>12379</v>
      </c>
      <c r="C548" s="19" t="s">
        <v>12380</v>
      </c>
      <c r="D548" s="8" t="s">
        <v>8948</v>
      </c>
      <c r="E548" s="20" t="s">
        <v>8998</v>
      </c>
      <c r="F548" s="20" t="s">
        <v>10613</v>
      </c>
      <c r="G548" s="20" t="s">
        <v>8987</v>
      </c>
      <c r="H548" s="31">
        <v>58</v>
      </c>
      <c r="I548" s="20" t="s">
        <v>9008</v>
      </c>
      <c r="J548" s="20" t="s">
        <v>9059</v>
      </c>
      <c r="K548" s="20" t="s">
        <v>8989</v>
      </c>
      <c r="L548" s="21" t="s">
        <v>8955</v>
      </c>
      <c r="M548" s="20" t="s">
        <v>8956</v>
      </c>
      <c r="N548" s="20" t="s">
        <v>9060</v>
      </c>
      <c r="O548" s="20">
        <f t="shared" si="8"/>
        <v>6</v>
      </c>
      <c r="P548" s="22" t="s">
        <v>8958</v>
      </c>
      <c r="Q548" s="21" t="s">
        <v>9183</v>
      </c>
      <c r="R548" s="23" t="s">
        <v>9010</v>
      </c>
      <c r="S548" s="24" t="s">
        <v>9228</v>
      </c>
      <c r="T548" s="24" t="str">
        <f>VLOOKUP(R548,[1]Sheet3!$A$2:$A$47,1,0)</f>
        <v>the United States of America</v>
      </c>
      <c r="U548" s="24" t="s">
        <v>12381</v>
      </c>
      <c r="V548" s="24" t="s">
        <v>12382</v>
      </c>
      <c r="W548" s="18" t="s">
        <v>8964</v>
      </c>
      <c r="X548" s="26" t="s">
        <v>110</v>
      </c>
      <c r="Y548" s="18" t="s">
        <v>9231</v>
      </c>
      <c r="Z548" s="24" t="s">
        <v>11</v>
      </c>
    </row>
    <row r="549" spans="1:26" ht="20.100000000000001" customHeight="1" x14ac:dyDescent="0.2">
      <c r="A549" s="18" t="s">
        <v>12383</v>
      </c>
      <c r="B549" s="19" t="s">
        <v>12384</v>
      </c>
      <c r="C549" s="19" t="s">
        <v>12385</v>
      </c>
      <c r="D549" s="8" t="s">
        <v>9154</v>
      </c>
      <c r="E549" s="33" t="s">
        <v>9422</v>
      </c>
      <c r="F549" s="20" t="s">
        <v>12386</v>
      </c>
      <c r="G549" s="20" t="s">
        <v>8973</v>
      </c>
      <c r="H549" s="31">
        <v>72</v>
      </c>
      <c r="I549" s="20" t="s">
        <v>9008</v>
      </c>
      <c r="J549" s="20" t="s">
        <v>8953</v>
      </c>
      <c r="K549" s="20" t="s">
        <v>8989</v>
      </c>
      <c r="L549" s="21" t="s">
        <v>8955</v>
      </c>
      <c r="M549" s="20" t="s">
        <v>8956</v>
      </c>
      <c r="N549" s="20" t="s">
        <v>8957</v>
      </c>
      <c r="O549" s="20">
        <f t="shared" si="8"/>
        <v>6</v>
      </c>
      <c r="P549" s="22" t="s">
        <v>8958</v>
      </c>
      <c r="Q549" s="21" t="s">
        <v>9183</v>
      </c>
      <c r="R549" s="23" t="s">
        <v>12387</v>
      </c>
      <c r="S549" s="24" t="s">
        <v>9052</v>
      </c>
      <c r="T549" s="24" t="str">
        <f>VLOOKUP(R549,[1]Sheet3!$A$2:$A$47,1,0)</f>
        <v>NewZealand</v>
      </c>
      <c r="U549" s="24" t="s">
        <v>12388</v>
      </c>
      <c r="V549" s="24" t="s">
        <v>12389</v>
      </c>
      <c r="W549" s="18" t="s">
        <v>8964</v>
      </c>
      <c r="X549" s="26" t="s">
        <v>74</v>
      </c>
      <c r="Y549" s="18" t="s">
        <v>9055</v>
      </c>
      <c r="Z549" s="24" t="s">
        <v>11</v>
      </c>
    </row>
    <row r="550" spans="1:26" ht="20.100000000000001" customHeight="1" x14ac:dyDescent="0.2">
      <c r="A550" s="18" t="s">
        <v>12390</v>
      </c>
      <c r="B550" s="19" t="s">
        <v>12391</v>
      </c>
      <c r="C550" s="19" t="s">
        <v>12392</v>
      </c>
      <c r="D550" s="8" t="s">
        <v>8948</v>
      </c>
      <c r="E550" s="20" t="s">
        <v>8949</v>
      </c>
      <c r="F550" s="20" t="s">
        <v>8950</v>
      </c>
      <c r="G550" s="20" t="s">
        <v>8951</v>
      </c>
      <c r="H550" s="31">
        <v>18</v>
      </c>
      <c r="I550" s="20" t="s">
        <v>9008</v>
      </c>
      <c r="J550" s="20" t="s">
        <v>9059</v>
      </c>
      <c r="K550" s="20" t="s">
        <v>8989</v>
      </c>
      <c r="L550" s="21" t="s">
        <v>8955</v>
      </c>
      <c r="M550" s="20" t="s">
        <v>8956</v>
      </c>
      <c r="N550" s="20" t="s">
        <v>9060</v>
      </c>
      <c r="O550" s="20">
        <f t="shared" si="8"/>
        <v>8</v>
      </c>
      <c r="P550" s="22" t="s">
        <v>8975</v>
      </c>
      <c r="Q550" s="21" t="s">
        <v>9183</v>
      </c>
      <c r="R550" s="23" t="s">
        <v>9010</v>
      </c>
      <c r="S550" s="24" t="s">
        <v>9711</v>
      </c>
      <c r="T550" s="24" t="str">
        <f>VLOOKUP(R550,[1]Sheet3!$A$2:$A$47,1,0)</f>
        <v>the United States of America</v>
      </c>
      <c r="U550" s="24" t="s">
        <v>12393</v>
      </c>
      <c r="V550" s="24" t="s">
        <v>12394</v>
      </c>
      <c r="W550" s="18" t="s">
        <v>8964</v>
      </c>
      <c r="X550" s="26" t="s">
        <v>392</v>
      </c>
      <c r="Y550" s="18" t="s">
        <v>9714</v>
      </c>
      <c r="Z550" s="24" t="s">
        <v>11</v>
      </c>
    </row>
    <row r="551" spans="1:26" ht="20.100000000000001" customHeight="1" x14ac:dyDescent="0.2">
      <c r="A551" s="18" t="s">
        <v>12395</v>
      </c>
      <c r="B551" s="19" t="s">
        <v>12396</v>
      </c>
      <c r="C551" s="19" t="s">
        <v>12397</v>
      </c>
      <c r="D551" s="8" t="s">
        <v>9252</v>
      </c>
      <c r="E551" s="20" t="s">
        <v>11093</v>
      </c>
      <c r="F551" s="20" t="s">
        <v>11623</v>
      </c>
      <c r="G551" s="20" t="s">
        <v>9133</v>
      </c>
      <c r="H551" s="31">
        <v>2480</v>
      </c>
      <c r="I551" s="20" t="s">
        <v>8952</v>
      </c>
      <c r="J551" s="20" t="s">
        <v>8953</v>
      </c>
      <c r="K551" s="20" t="s">
        <v>8954</v>
      </c>
      <c r="L551" s="21" t="s">
        <v>8955</v>
      </c>
      <c r="M551" s="20" t="s">
        <v>8956</v>
      </c>
      <c r="N551" s="20" t="s">
        <v>8957</v>
      </c>
      <c r="O551" s="20">
        <f t="shared" si="8"/>
        <v>5</v>
      </c>
      <c r="P551" s="22" t="s">
        <v>8958</v>
      </c>
      <c r="Q551" s="21" t="s">
        <v>9183</v>
      </c>
      <c r="R551" s="23" t="s">
        <v>9310</v>
      </c>
      <c r="S551" s="24" t="s">
        <v>10429</v>
      </c>
      <c r="T551" s="24" t="str">
        <f>VLOOKUP(R551,[1]Sheet3!$A$2:$A$47,1,0)</f>
        <v>China</v>
      </c>
      <c r="U551" s="24" t="s">
        <v>12398</v>
      </c>
      <c r="V551" s="24" t="s">
        <v>12399</v>
      </c>
      <c r="W551" s="18" t="s">
        <v>8964</v>
      </c>
      <c r="X551" s="26" t="s">
        <v>1598</v>
      </c>
      <c r="Y551" s="18" t="s">
        <v>10432</v>
      </c>
      <c r="Z551" s="24" t="s">
        <v>11</v>
      </c>
    </row>
    <row r="552" spans="1:26" ht="20.100000000000001" customHeight="1" x14ac:dyDescent="0.2">
      <c r="A552" s="18" t="s">
        <v>12400</v>
      </c>
      <c r="B552" s="19" t="s">
        <v>12401</v>
      </c>
      <c r="C552" s="19" t="s">
        <v>12402</v>
      </c>
      <c r="D552" s="8" t="s">
        <v>9100</v>
      </c>
      <c r="E552" s="20" t="s">
        <v>8949</v>
      </c>
      <c r="F552" s="20" t="s">
        <v>8972</v>
      </c>
      <c r="G552" s="20" t="s">
        <v>9076</v>
      </c>
      <c r="H552" s="31">
        <v>1400</v>
      </c>
      <c r="I552" s="20" t="s">
        <v>8952</v>
      </c>
      <c r="J552" s="20" t="s">
        <v>8953</v>
      </c>
      <c r="K552" s="20" t="s">
        <v>8989</v>
      </c>
      <c r="L552" s="21" t="s">
        <v>8955</v>
      </c>
      <c r="M552" s="20" t="s">
        <v>8956</v>
      </c>
      <c r="N552" s="20" t="s">
        <v>9060</v>
      </c>
      <c r="O552" s="20">
        <f t="shared" si="8"/>
        <v>5</v>
      </c>
      <c r="P552" s="22" t="s">
        <v>8958</v>
      </c>
      <c r="Q552" s="21" t="s">
        <v>9061</v>
      </c>
      <c r="R552" s="23" t="s">
        <v>9213</v>
      </c>
      <c r="S552" s="24" t="s">
        <v>9093</v>
      </c>
      <c r="T552" s="24" t="str">
        <f>VLOOKUP(R552,[1]Sheet3!$A$2:$A$47,1,0)</f>
        <v>South Korea</v>
      </c>
      <c r="U552" s="24" t="s">
        <v>12403</v>
      </c>
      <c r="V552" s="24" t="s">
        <v>12404</v>
      </c>
      <c r="W552" s="18" t="s">
        <v>8964</v>
      </c>
      <c r="X552" s="26" t="s">
        <v>378</v>
      </c>
      <c r="Y552" s="18" t="s">
        <v>9096</v>
      </c>
      <c r="Z552" s="24" t="s">
        <v>11</v>
      </c>
    </row>
    <row r="553" spans="1:26" ht="20.100000000000001" customHeight="1" x14ac:dyDescent="0.2">
      <c r="A553" s="18" t="s">
        <v>12405</v>
      </c>
      <c r="B553" s="19" t="s">
        <v>12406</v>
      </c>
      <c r="C553" s="19" t="s">
        <v>12407</v>
      </c>
      <c r="D553" s="8" t="s">
        <v>9100</v>
      </c>
      <c r="E553" s="20" t="s">
        <v>8949</v>
      </c>
      <c r="F553" s="20" t="s">
        <v>12408</v>
      </c>
      <c r="G553" s="20" t="s">
        <v>9430</v>
      </c>
      <c r="H553" s="31" t="s">
        <v>9479</v>
      </c>
      <c r="I553" s="20" t="s">
        <v>9479</v>
      </c>
      <c r="J553" s="20" t="s">
        <v>8953</v>
      </c>
      <c r="K553" s="20" t="s">
        <v>8989</v>
      </c>
      <c r="L553" s="21" t="s">
        <v>8955</v>
      </c>
      <c r="M553" s="20" t="s">
        <v>8956</v>
      </c>
      <c r="N553" s="20" t="s">
        <v>8957</v>
      </c>
      <c r="O553" s="20">
        <f t="shared" si="8"/>
        <v>3</v>
      </c>
      <c r="P553" s="22" t="s">
        <v>9103</v>
      </c>
      <c r="Q553" s="21" t="s">
        <v>9061</v>
      </c>
      <c r="R553" s="23" t="s">
        <v>9010</v>
      </c>
      <c r="S553" s="24" t="s">
        <v>9711</v>
      </c>
      <c r="T553" s="24" t="str">
        <f>VLOOKUP(R553,[1]Sheet3!$A$2:$A$47,1,0)</f>
        <v>the United States of America</v>
      </c>
      <c r="U553" s="24" t="s">
        <v>12409</v>
      </c>
      <c r="V553" s="24" t="s">
        <v>10956</v>
      </c>
      <c r="W553" s="18" t="s">
        <v>8964</v>
      </c>
      <c r="X553" s="26" t="s">
        <v>392</v>
      </c>
      <c r="Y553" s="18" t="s">
        <v>9714</v>
      </c>
      <c r="Z553" s="24" t="s">
        <v>11</v>
      </c>
    </row>
    <row r="554" spans="1:26" ht="20.100000000000001" customHeight="1" x14ac:dyDescent="0.2">
      <c r="A554" s="18" t="s">
        <v>12410</v>
      </c>
      <c r="B554" s="19" t="s">
        <v>12411</v>
      </c>
      <c r="C554" s="19" t="s">
        <v>12412</v>
      </c>
      <c r="D554" s="8" t="s">
        <v>9049</v>
      </c>
      <c r="E554" s="20" t="s">
        <v>9050</v>
      </c>
      <c r="F554" s="20" t="s">
        <v>8950</v>
      </c>
      <c r="G554" s="20" t="s">
        <v>8951</v>
      </c>
      <c r="H554" s="31">
        <v>1399</v>
      </c>
      <c r="I554" s="20" t="s">
        <v>8952</v>
      </c>
      <c r="J554" s="20" t="s">
        <v>9059</v>
      </c>
      <c r="K554" s="20" t="s">
        <v>8989</v>
      </c>
      <c r="L554" s="21" t="s">
        <v>8955</v>
      </c>
      <c r="M554" s="20" t="s">
        <v>8956</v>
      </c>
      <c r="N554" s="20" t="s">
        <v>8959</v>
      </c>
      <c r="O554" s="20">
        <f t="shared" si="8"/>
        <v>6</v>
      </c>
      <c r="P554" s="22" t="s">
        <v>8958</v>
      </c>
      <c r="Q554" s="21" t="s">
        <v>9183</v>
      </c>
      <c r="R554" s="23" t="s">
        <v>9356</v>
      </c>
      <c r="S554" s="24" t="s">
        <v>12413</v>
      </c>
      <c r="T554" s="24" t="str">
        <f>VLOOKUP(R554,[1]Sheet3!$A$2:$A$47,1,0)</f>
        <v>Japan</v>
      </c>
      <c r="U554" s="24" t="s">
        <v>12414</v>
      </c>
      <c r="V554" s="24" t="s">
        <v>12415</v>
      </c>
      <c r="W554" s="18" t="s">
        <v>8964</v>
      </c>
      <c r="X554" s="26" t="s">
        <v>213</v>
      </c>
      <c r="Y554" s="18" t="s">
        <v>12416</v>
      </c>
      <c r="Z554" s="24" t="s">
        <v>11</v>
      </c>
    </row>
    <row r="555" spans="1:26" ht="20.100000000000001" customHeight="1" x14ac:dyDescent="0.2">
      <c r="A555" s="18" t="s">
        <v>12417</v>
      </c>
      <c r="B555" s="19" t="s">
        <v>12418</v>
      </c>
      <c r="C555" s="19" t="s">
        <v>12419</v>
      </c>
      <c r="D555" s="8" t="s">
        <v>12228</v>
      </c>
      <c r="E555" s="20" t="s">
        <v>11231</v>
      </c>
      <c r="F555" s="20" t="s">
        <v>9041</v>
      </c>
      <c r="G555" s="20" t="s">
        <v>8973</v>
      </c>
      <c r="H555" s="31">
        <v>32</v>
      </c>
      <c r="I555" s="20" t="s">
        <v>9008</v>
      </c>
      <c r="J555" s="20" t="s">
        <v>9059</v>
      </c>
      <c r="K555" s="20" t="s">
        <v>9122</v>
      </c>
      <c r="L555" s="21" t="s">
        <v>8955</v>
      </c>
      <c r="M555" s="20" t="s">
        <v>8956</v>
      </c>
      <c r="N555" s="20" t="s">
        <v>8957</v>
      </c>
      <c r="O555" s="20">
        <f t="shared" si="8"/>
        <v>6</v>
      </c>
      <c r="P555" s="22" t="s">
        <v>8958</v>
      </c>
      <c r="Q555" s="21" t="s">
        <v>9183</v>
      </c>
      <c r="R555" s="23" t="s">
        <v>9062</v>
      </c>
      <c r="S555" s="24" t="s">
        <v>9342</v>
      </c>
      <c r="T555" s="24" t="str">
        <f>VLOOKUP(R555,[1]Sheet3!$A$2:$A$47,1,0)</f>
        <v>Germany</v>
      </c>
      <c r="U555" s="24" t="s">
        <v>12420</v>
      </c>
      <c r="V555" s="24" t="s">
        <v>12421</v>
      </c>
      <c r="W555" s="18" t="s">
        <v>8964</v>
      </c>
      <c r="X555" s="26" t="s">
        <v>64</v>
      </c>
      <c r="Y555" s="18" t="s">
        <v>9345</v>
      </c>
      <c r="Z555" s="24" t="s">
        <v>11</v>
      </c>
    </row>
    <row r="556" spans="1:26" ht="20.100000000000001" customHeight="1" x14ac:dyDescent="0.2">
      <c r="A556" s="18" t="s">
        <v>12422</v>
      </c>
      <c r="B556" s="19" t="s">
        <v>12423</v>
      </c>
      <c r="C556" s="19" t="s">
        <v>12424</v>
      </c>
      <c r="D556" s="8" t="s">
        <v>8970</v>
      </c>
      <c r="E556" s="33" t="s">
        <v>8971</v>
      </c>
      <c r="F556" s="20" t="s">
        <v>10930</v>
      </c>
      <c r="G556" s="20" t="s">
        <v>11367</v>
      </c>
      <c r="H556" s="31">
        <v>396</v>
      </c>
      <c r="I556" s="20" t="s">
        <v>8988</v>
      </c>
      <c r="J556" s="20" t="s">
        <v>8953</v>
      </c>
      <c r="K556" s="20" t="s">
        <v>8989</v>
      </c>
      <c r="L556" s="21" t="s">
        <v>8955</v>
      </c>
      <c r="M556" s="20" t="s">
        <v>8956</v>
      </c>
      <c r="N556" s="20" t="s">
        <v>8957</v>
      </c>
      <c r="O556" s="20">
        <f t="shared" si="8"/>
        <v>12</v>
      </c>
      <c r="P556" s="22" t="s">
        <v>8975</v>
      </c>
      <c r="Q556" s="21" t="s">
        <v>9009</v>
      </c>
      <c r="R556" s="23" t="s">
        <v>9815</v>
      </c>
      <c r="S556" s="24" t="s">
        <v>9052</v>
      </c>
      <c r="T556" s="24" t="str">
        <f>VLOOKUP(R556,[1]Sheet3!$A$2:$A$47,1,0)</f>
        <v>India</v>
      </c>
      <c r="U556" s="24" t="s">
        <v>12425</v>
      </c>
      <c r="V556" s="24" t="s">
        <v>12426</v>
      </c>
      <c r="W556" s="18" t="s">
        <v>8964</v>
      </c>
      <c r="X556" s="26" t="s">
        <v>74</v>
      </c>
      <c r="Y556" s="18" t="s">
        <v>9055</v>
      </c>
      <c r="Z556" s="24" t="s">
        <v>11</v>
      </c>
    </row>
    <row r="557" spans="1:26" ht="20.100000000000001" customHeight="1" x14ac:dyDescent="0.2">
      <c r="A557" s="18" t="s">
        <v>12427</v>
      </c>
      <c r="B557" s="19" t="s">
        <v>12428</v>
      </c>
      <c r="C557" s="19" t="s">
        <v>12429</v>
      </c>
      <c r="D557" s="8" t="s">
        <v>9049</v>
      </c>
      <c r="E557" s="20" t="s">
        <v>10890</v>
      </c>
      <c r="F557" s="20" t="s">
        <v>12430</v>
      </c>
      <c r="G557" s="20" t="s">
        <v>8951</v>
      </c>
      <c r="H557" s="31">
        <v>20</v>
      </c>
      <c r="I557" s="20" t="s">
        <v>9008</v>
      </c>
      <c r="J557" s="20" t="s">
        <v>8953</v>
      </c>
      <c r="K557" s="20" t="s">
        <v>8989</v>
      </c>
      <c r="L557" s="21" t="s">
        <v>8955</v>
      </c>
      <c r="M557" s="20" t="s">
        <v>8956</v>
      </c>
      <c r="N557" s="20" t="s">
        <v>8957</v>
      </c>
      <c r="O557" s="20">
        <f t="shared" si="8"/>
        <v>4</v>
      </c>
      <c r="P557" s="22" t="s">
        <v>8958</v>
      </c>
      <c r="Q557" s="21" t="s">
        <v>9183</v>
      </c>
      <c r="R557" s="23" t="s">
        <v>9010</v>
      </c>
      <c r="S557" s="24" t="s">
        <v>9711</v>
      </c>
      <c r="T557" s="24" t="str">
        <f>VLOOKUP(R557,[1]Sheet3!$A$2:$A$47,1,0)</f>
        <v>the United States of America</v>
      </c>
      <c r="U557" s="24" t="s">
        <v>12431</v>
      </c>
      <c r="V557" s="24" t="s">
        <v>12432</v>
      </c>
      <c r="W557" s="18" t="s">
        <v>8964</v>
      </c>
      <c r="X557" s="26" t="s">
        <v>392</v>
      </c>
      <c r="Y557" s="18" t="s">
        <v>9714</v>
      </c>
      <c r="Z557" s="24" t="s">
        <v>11</v>
      </c>
    </row>
    <row r="558" spans="1:26" ht="20.100000000000001" customHeight="1" x14ac:dyDescent="0.2">
      <c r="A558" s="18" t="s">
        <v>12433</v>
      </c>
      <c r="B558" s="19" t="s">
        <v>12434</v>
      </c>
      <c r="C558" s="19" t="s">
        <v>12435</v>
      </c>
      <c r="D558" s="8" t="s">
        <v>9049</v>
      </c>
      <c r="E558" s="20" t="s">
        <v>9121</v>
      </c>
      <c r="F558" s="20" t="s">
        <v>9455</v>
      </c>
      <c r="G558" s="20" t="s">
        <v>8973</v>
      </c>
      <c r="H558" s="31">
        <v>133</v>
      </c>
      <c r="I558" s="20" t="s">
        <v>9158</v>
      </c>
      <c r="J558" s="20" t="s">
        <v>8953</v>
      </c>
      <c r="K558" s="20" t="s">
        <v>8954</v>
      </c>
      <c r="L558" s="21" t="s">
        <v>8955</v>
      </c>
      <c r="M558" s="20" t="s">
        <v>8956</v>
      </c>
      <c r="N558" s="20" t="s">
        <v>8957</v>
      </c>
      <c r="O558" s="20">
        <f t="shared" si="8"/>
        <v>4</v>
      </c>
      <c r="P558" s="22" t="s">
        <v>8958</v>
      </c>
      <c r="Q558" s="21" t="s">
        <v>9183</v>
      </c>
      <c r="R558" s="23" t="s">
        <v>8960</v>
      </c>
      <c r="S558" s="24" t="s">
        <v>9028</v>
      </c>
      <c r="T558" s="24" t="str">
        <f>VLOOKUP(R558,[1]Sheet3!$A$2:$A$47,1,0)</f>
        <v>Canada</v>
      </c>
      <c r="U558" s="24" t="s">
        <v>12436</v>
      </c>
      <c r="V558" s="24" t="s">
        <v>12437</v>
      </c>
      <c r="W558" s="18" t="s">
        <v>8964</v>
      </c>
      <c r="X558" s="26" t="s">
        <v>43</v>
      </c>
      <c r="Y558" s="18" t="s">
        <v>9031</v>
      </c>
      <c r="Z558" s="24" t="s">
        <v>11</v>
      </c>
    </row>
    <row r="559" spans="1:26" ht="20.100000000000001" customHeight="1" x14ac:dyDescent="0.2">
      <c r="A559" s="18" t="s">
        <v>12438</v>
      </c>
      <c r="B559" s="19" t="s">
        <v>12439</v>
      </c>
      <c r="C559" s="19" t="s">
        <v>12440</v>
      </c>
      <c r="D559" s="8" t="s">
        <v>9092</v>
      </c>
      <c r="E559" s="20" t="s">
        <v>8949</v>
      </c>
      <c r="F559" s="20" t="s">
        <v>9018</v>
      </c>
      <c r="G559" s="20" t="s">
        <v>8973</v>
      </c>
      <c r="H559" s="31">
        <v>20</v>
      </c>
      <c r="I559" s="20" t="s">
        <v>9008</v>
      </c>
      <c r="J559" s="20" t="s">
        <v>9059</v>
      </c>
      <c r="K559" s="20" t="s">
        <v>8989</v>
      </c>
      <c r="L559" s="21" t="s">
        <v>8955</v>
      </c>
      <c r="M559" s="20" t="s">
        <v>8956</v>
      </c>
      <c r="N559" s="20" t="s">
        <v>8959</v>
      </c>
      <c r="O559" s="20">
        <f t="shared" si="8"/>
        <v>4</v>
      </c>
      <c r="P559" s="22" t="s">
        <v>8958</v>
      </c>
      <c r="Q559" s="21" t="s">
        <v>9183</v>
      </c>
      <c r="R559" s="23" t="s">
        <v>9010</v>
      </c>
      <c r="S559" s="24" t="s">
        <v>10630</v>
      </c>
      <c r="T559" s="24" t="str">
        <f>VLOOKUP(R559,[1]Sheet3!$A$2:$A$47,1,0)</f>
        <v>the United States of America</v>
      </c>
      <c r="U559" s="24" t="s">
        <v>12441</v>
      </c>
      <c r="V559" s="24" t="s">
        <v>12442</v>
      </c>
      <c r="W559" s="18" t="s">
        <v>8964</v>
      </c>
      <c r="X559" s="26" t="s">
        <v>161</v>
      </c>
      <c r="Y559" s="18" t="s">
        <v>10633</v>
      </c>
      <c r="Z559" s="24" t="s">
        <v>11</v>
      </c>
    </row>
    <row r="560" spans="1:26" ht="20.100000000000001" customHeight="1" x14ac:dyDescent="0.2">
      <c r="A560" s="18" t="s">
        <v>12443</v>
      </c>
      <c r="B560" s="19" t="s">
        <v>12444</v>
      </c>
      <c r="C560" s="19" t="s">
        <v>12445</v>
      </c>
      <c r="D560" s="8" t="s">
        <v>9075</v>
      </c>
      <c r="E560" s="20" t="s">
        <v>8949</v>
      </c>
      <c r="F560" s="20" t="s">
        <v>8950</v>
      </c>
      <c r="G560" s="20" t="s">
        <v>8951</v>
      </c>
      <c r="H560" s="53">
        <v>4000</v>
      </c>
      <c r="I560" s="20" t="s">
        <v>9019</v>
      </c>
      <c r="J560" s="20" t="s">
        <v>8953</v>
      </c>
      <c r="K560" s="20" t="s">
        <v>8954</v>
      </c>
      <c r="L560" s="21" t="s">
        <v>8955</v>
      </c>
      <c r="M560" s="20" t="s">
        <v>8956</v>
      </c>
      <c r="N560" s="20" t="s">
        <v>8959</v>
      </c>
      <c r="O560" s="20">
        <f t="shared" si="8"/>
        <v>14</v>
      </c>
      <c r="P560" s="22" t="s">
        <v>8975</v>
      </c>
      <c r="Q560" s="21" t="s">
        <v>9009</v>
      </c>
      <c r="R560" s="23" t="s">
        <v>9333</v>
      </c>
      <c r="S560" s="24" t="s">
        <v>12446</v>
      </c>
      <c r="T560" s="24" t="str">
        <f>VLOOKUP(R560,[1]Sheet3!$A$2:$A$47,1,0)</f>
        <v>Japan</v>
      </c>
      <c r="U560" s="24" t="s">
        <v>12447</v>
      </c>
      <c r="V560" s="24" t="s">
        <v>12448</v>
      </c>
      <c r="W560" s="18" t="s">
        <v>8964</v>
      </c>
      <c r="X560" s="26" t="s">
        <v>559</v>
      </c>
      <c r="Y560" s="18" t="s">
        <v>12449</v>
      </c>
      <c r="Z560" s="24" t="s">
        <v>11</v>
      </c>
    </row>
    <row r="561" spans="1:26" ht="20.100000000000001" customHeight="1" x14ac:dyDescent="0.2">
      <c r="A561" s="18" t="s">
        <v>12450</v>
      </c>
      <c r="B561" s="19" t="s">
        <v>12451</v>
      </c>
      <c r="C561" s="19" t="s">
        <v>12452</v>
      </c>
      <c r="D561" s="8" t="s">
        <v>8948</v>
      </c>
      <c r="E561" s="33" t="s">
        <v>12453</v>
      </c>
      <c r="F561" s="33" t="s">
        <v>12454</v>
      </c>
      <c r="G561" s="20" t="s">
        <v>8951</v>
      </c>
      <c r="H561" s="53">
        <v>20</v>
      </c>
      <c r="I561" s="20" t="s">
        <v>9008</v>
      </c>
      <c r="J561" s="20" t="s">
        <v>9059</v>
      </c>
      <c r="K561" s="20" t="s">
        <v>8989</v>
      </c>
      <c r="L561" s="21" t="s">
        <v>8955</v>
      </c>
      <c r="M561" s="20" t="s">
        <v>8956</v>
      </c>
      <c r="N561" s="20" t="s">
        <v>9060</v>
      </c>
      <c r="O561" s="20">
        <f t="shared" si="8"/>
        <v>6</v>
      </c>
      <c r="P561" s="22" t="s">
        <v>8958</v>
      </c>
      <c r="Q561" s="21" t="s">
        <v>8959</v>
      </c>
      <c r="R561" s="23" t="s">
        <v>9310</v>
      </c>
      <c r="S561" s="18" t="s">
        <v>11549</v>
      </c>
      <c r="T561" s="24" t="str">
        <f>VLOOKUP(R561,[1]Sheet3!$A$2:$A$47,1,0)</f>
        <v>China</v>
      </c>
      <c r="U561" s="18" t="s">
        <v>12455</v>
      </c>
      <c r="V561" s="18" t="s">
        <v>12456</v>
      </c>
      <c r="W561" s="18" t="s">
        <v>8964</v>
      </c>
      <c r="X561" s="18" t="s">
        <v>359</v>
      </c>
      <c r="Y561" s="18" t="s">
        <v>11552</v>
      </c>
      <c r="Z561" s="18" t="s">
        <v>17</v>
      </c>
    </row>
    <row r="562" spans="1:26" ht="20.100000000000001" customHeight="1" x14ac:dyDescent="0.2">
      <c r="A562" s="18" t="s">
        <v>12457</v>
      </c>
      <c r="B562" s="19" t="s">
        <v>12458</v>
      </c>
      <c r="C562" s="19" t="s">
        <v>12459</v>
      </c>
      <c r="D562" s="8" t="s">
        <v>9075</v>
      </c>
      <c r="E562" s="20" t="s">
        <v>8949</v>
      </c>
      <c r="F562" s="20" t="s">
        <v>8950</v>
      </c>
      <c r="G562" s="20" t="s">
        <v>8973</v>
      </c>
      <c r="H562" s="53">
        <v>49</v>
      </c>
      <c r="I562" s="20" t="s">
        <v>9008</v>
      </c>
      <c r="J562" s="20" t="s">
        <v>8953</v>
      </c>
      <c r="K562" s="20" t="s">
        <v>8954</v>
      </c>
      <c r="L562" s="21" t="s">
        <v>8955</v>
      </c>
      <c r="M562" s="20" t="s">
        <v>8956</v>
      </c>
      <c r="N562" s="20" t="s">
        <v>8974</v>
      </c>
      <c r="O562" s="20">
        <f t="shared" si="8"/>
        <v>5</v>
      </c>
      <c r="P562" s="22" t="s">
        <v>8958</v>
      </c>
      <c r="Q562" s="21" t="s">
        <v>8959</v>
      </c>
      <c r="R562" s="23" t="s">
        <v>9380</v>
      </c>
      <c r="S562" s="24" t="s">
        <v>9342</v>
      </c>
      <c r="T562" s="24" t="str">
        <f>VLOOKUP(R562,[1]Sheet3!$A$2:$A$47,1,0)</f>
        <v>Canada</v>
      </c>
      <c r="U562" s="24" t="s">
        <v>12460</v>
      </c>
      <c r="V562" s="24" t="s">
        <v>12461</v>
      </c>
      <c r="W562" s="18" t="s">
        <v>8964</v>
      </c>
      <c r="X562" s="26" t="s">
        <v>64</v>
      </c>
      <c r="Y562" s="18" t="s">
        <v>9345</v>
      </c>
      <c r="Z562" s="24" t="s">
        <v>11</v>
      </c>
    </row>
    <row r="563" spans="1:26" ht="20.100000000000001" customHeight="1" x14ac:dyDescent="0.2">
      <c r="A563" s="18" t="s">
        <v>12462</v>
      </c>
      <c r="B563" s="19" t="s">
        <v>12463</v>
      </c>
      <c r="C563" s="19" t="s">
        <v>12464</v>
      </c>
      <c r="D563" s="8" t="s">
        <v>8984</v>
      </c>
      <c r="E563" s="20" t="s">
        <v>8998</v>
      </c>
      <c r="F563" s="20" t="s">
        <v>9036</v>
      </c>
      <c r="G563" s="20" t="s">
        <v>9292</v>
      </c>
      <c r="H563" s="53">
        <v>992</v>
      </c>
      <c r="I563" s="20" t="s">
        <v>9077</v>
      </c>
      <c r="J563" s="20" t="s">
        <v>8953</v>
      </c>
      <c r="K563" s="20" t="s">
        <v>8989</v>
      </c>
      <c r="L563" s="21" t="s">
        <v>8955</v>
      </c>
      <c r="M563" s="20" t="s">
        <v>8956</v>
      </c>
      <c r="N563" s="20" t="s">
        <v>8959</v>
      </c>
      <c r="O563" s="20">
        <f t="shared" si="8"/>
        <v>5</v>
      </c>
      <c r="P563" s="22" t="s">
        <v>8958</v>
      </c>
      <c r="Q563" s="21" t="s">
        <v>9061</v>
      </c>
      <c r="R563" s="23" t="s">
        <v>9333</v>
      </c>
      <c r="S563" s="24" t="s">
        <v>9768</v>
      </c>
      <c r="T563" s="24" t="str">
        <f>VLOOKUP(R563,[1]Sheet3!$A$2:$A$47,1,0)</f>
        <v>Japan</v>
      </c>
      <c r="U563" s="24" t="s">
        <v>12465</v>
      </c>
      <c r="V563" s="24" t="s">
        <v>12466</v>
      </c>
      <c r="W563" s="18" t="s">
        <v>8964</v>
      </c>
      <c r="X563" s="26" t="s">
        <v>147</v>
      </c>
      <c r="Y563" s="18" t="s">
        <v>9771</v>
      </c>
      <c r="Z563" s="24" t="s">
        <v>11</v>
      </c>
    </row>
    <row r="564" spans="1:26" ht="20.100000000000001" customHeight="1" x14ac:dyDescent="0.2">
      <c r="A564" s="18" t="s">
        <v>12467</v>
      </c>
      <c r="B564" s="19" t="s">
        <v>12468</v>
      </c>
      <c r="C564" s="19" t="s">
        <v>12469</v>
      </c>
      <c r="D564" s="8" t="s">
        <v>8984</v>
      </c>
      <c r="E564" s="33" t="s">
        <v>9131</v>
      </c>
      <c r="F564" s="20" t="s">
        <v>11216</v>
      </c>
      <c r="G564" s="20" t="s">
        <v>9292</v>
      </c>
      <c r="H564" s="53">
        <v>27355</v>
      </c>
      <c r="I564" s="20" t="s">
        <v>9019</v>
      </c>
      <c r="J564" s="20" t="s">
        <v>8953</v>
      </c>
      <c r="K564" s="20" t="s">
        <v>8954</v>
      </c>
      <c r="L564" s="21" t="s">
        <v>8955</v>
      </c>
      <c r="M564" s="20" t="s">
        <v>8956</v>
      </c>
      <c r="N564" s="20" t="s">
        <v>8974</v>
      </c>
      <c r="O564" s="20">
        <f t="shared" si="8"/>
        <v>8</v>
      </c>
      <c r="P564" s="22" t="s">
        <v>8975</v>
      </c>
      <c r="Q564" s="21" t="s">
        <v>9009</v>
      </c>
      <c r="R564" s="23" t="s">
        <v>9333</v>
      </c>
      <c r="S564" s="24" t="s">
        <v>9255</v>
      </c>
      <c r="T564" s="24" t="str">
        <f>VLOOKUP(R564,[1]Sheet3!$A$2:$A$47,1,0)</f>
        <v>Japan</v>
      </c>
      <c r="U564" s="24" t="s">
        <v>12470</v>
      </c>
      <c r="V564" s="24" t="s">
        <v>12471</v>
      </c>
      <c r="W564" s="18" t="s">
        <v>8964</v>
      </c>
      <c r="X564" s="26" t="s">
        <v>24</v>
      </c>
      <c r="Y564" s="18" t="s">
        <v>9258</v>
      </c>
      <c r="Z564" s="24" t="s">
        <v>11</v>
      </c>
    </row>
    <row r="565" spans="1:26" ht="20.100000000000001" customHeight="1" x14ac:dyDescent="0.2">
      <c r="A565" s="18" t="s">
        <v>12472</v>
      </c>
      <c r="B565" s="19" t="s">
        <v>12473</v>
      </c>
      <c r="C565" s="19" t="s">
        <v>12474</v>
      </c>
      <c r="D565" s="8" t="s">
        <v>8948</v>
      </c>
      <c r="E565" s="20" t="s">
        <v>8949</v>
      </c>
      <c r="F565" s="20" t="s">
        <v>9510</v>
      </c>
      <c r="G565" s="20" t="s">
        <v>8951</v>
      </c>
      <c r="H565" s="53">
        <v>1000</v>
      </c>
      <c r="I565" s="20" t="s">
        <v>8952</v>
      </c>
      <c r="J565" s="20" t="s">
        <v>8953</v>
      </c>
      <c r="K565" s="20" t="s">
        <v>8954</v>
      </c>
      <c r="L565" s="21" t="s">
        <v>8955</v>
      </c>
      <c r="M565" s="20" t="s">
        <v>8990</v>
      </c>
      <c r="N565" s="20" t="s">
        <v>8959</v>
      </c>
      <c r="O565" s="20">
        <f t="shared" si="8"/>
        <v>2</v>
      </c>
      <c r="P565" s="22" t="s">
        <v>9103</v>
      </c>
      <c r="Q565" s="21" t="s">
        <v>8959</v>
      </c>
      <c r="R565" s="23" t="s">
        <v>9333</v>
      </c>
      <c r="S565" s="24" t="s">
        <v>12</v>
      </c>
      <c r="T565" s="24" t="str">
        <f>VLOOKUP(R565,[1]Sheet3!$A$2:$A$47,1,0)</f>
        <v>Japan</v>
      </c>
      <c r="U565" s="24" t="s">
        <v>12475</v>
      </c>
      <c r="V565" s="24" t="s">
        <v>12476</v>
      </c>
      <c r="W565" s="18" t="s">
        <v>8964</v>
      </c>
      <c r="X565" s="26" t="s">
        <v>12</v>
      </c>
      <c r="Y565" s="18" t="s">
        <v>12477</v>
      </c>
      <c r="Z565" s="24">
        <v>2013</v>
      </c>
    </row>
    <row r="566" spans="1:26" ht="20.100000000000001" customHeight="1" x14ac:dyDescent="0.2">
      <c r="A566" s="18" t="s">
        <v>12478</v>
      </c>
      <c r="B566" s="19" t="s">
        <v>12479</v>
      </c>
      <c r="C566" s="19" t="s">
        <v>12480</v>
      </c>
      <c r="D566" s="8" t="s">
        <v>9154</v>
      </c>
      <c r="E566" s="20" t="s">
        <v>8998</v>
      </c>
      <c r="F566" s="20" t="s">
        <v>8950</v>
      </c>
      <c r="G566" s="20" t="s">
        <v>8987</v>
      </c>
      <c r="H566" s="53">
        <v>802</v>
      </c>
      <c r="I566" s="20" t="s">
        <v>9077</v>
      </c>
      <c r="J566" s="20" t="s">
        <v>8953</v>
      </c>
      <c r="K566" s="20" t="s">
        <v>8954</v>
      </c>
      <c r="L566" s="21" t="s">
        <v>8955</v>
      </c>
      <c r="M566" s="20" t="s">
        <v>8956</v>
      </c>
      <c r="N566" s="20" t="s">
        <v>8974</v>
      </c>
      <c r="O566" s="20">
        <f t="shared" si="8"/>
        <v>8</v>
      </c>
      <c r="P566" s="22" t="s">
        <v>8975</v>
      </c>
      <c r="Q566" s="21" t="s">
        <v>9009</v>
      </c>
      <c r="R566" s="23" t="s">
        <v>10873</v>
      </c>
      <c r="S566" s="24" t="s">
        <v>9342</v>
      </c>
      <c r="T566" s="24" t="str">
        <f>VLOOKUP(R566,[1]Sheet3!$A$2:$A$47,1,0)</f>
        <v>UK</v>
      </c>
      <c r="U566" s="24" t="s">
        <v>12481</v>
      </c>
      <c r="V566" s="24" t="s">
        <v>12482</v>
      </c>
      <c r="W566" s="18" t="s">
        <v>8964</v>
      </c>
      <c r="X566" s="26" t="s">
        <v>64</v>
      </c>
      <c r="Y566" s="18" t="s">
        <v>9345</v>
      </c>
      <c r="Z566" s="24" t="s">
        <v>11</v>
      </c>
    </row>
    <row r="567" spans="1:26" ht="20.100000000000001" customHeight="1" x14ac:dyDescent="0.2">
      <c r="A567" s="18" t="s">
        <v>12483</v>
      </c>
      <c r="B567" s="19" t="s">
        <v>12484</v>
      </c>
      <c r="C567" s="19" t="s">
        <v>12485</v>
      </c>
      <c r="D567" s="8" t="s">
        <v>8948</v>
      </c>
      <c r="E567" s="20" t="s">
        <v>9121</v>
      </c>
      <c r="F567" s="20" t="s">
        <v>8950</v>
      </c>
      <c r="G567" s="20" t="s">
        <v>9133</v>
      </c>
      <c r="H567" s="53">
        <v>416</v>
      </c>
      <c r="I567" s="20" t="s">
        <v>8988</v>
      </c>
      <c r="J567" s="20" t="s">
        <v>8953</v>
      </c>
      <c r="K567" s="20" t="s">
        <v>8989</v>
      </c>
      <c r="L567" s="21" t="s">
        <v>8955</v>
      </c>
      <c r="M567" s="20" t="s">
        <v>8956</v>
      </c>
      <c r="N567" s="20" t="s">
        <v>9060</v>
      </c>
      <c r="O567" s="20">
        <f t="shared" si="8"/>
        <v>4</v>
      </c>
      <c r="P567" s="22" t="s">
        <v>8958</v>
      </c>
      <c r="Q567" s="21" t="s">
        <v>8959</v>
      </c>
      <c r="R567" s="23" t="s">
        <v>9380</v>
      </c>
      <c r="S567" s="18" t="s">
        <v>12486</v>
      </c>
      <c r="T567" s="24" t="str">
        <f>VLOOKUP(R567,[1]Sheet3!$A$2:$A$47,1,0)</f>
        <v>Canada</v>
      </c>
      <c r="U567" s="18" t="s">
        <v>12487</v>
      </c>
      <c r="V567" s="18" t="s">
        <v>12488</v>
      </c>
      <c r="W567" s="18" t="s">
        <v>8964</v>
      </c>
      <c r="X567" s="18" t="s">
        <v>4322</v>
      </c>
      <c r="Y567" s="18" t="s">
        <v>12489</v>
      </c>
      <c r="Z567" s="18" t="s">
        <v>11</v>
      </c>
    </row>
    <row r="568" spans="1:26" ht="20.100000000000001" customHeight="1" x14ac:dyDescent="0.2">
      <c r="A568" s="18" t="s">
        <v>12490</v>
      </c>
      <c r="B568" s="19" t="s">
        <v>12491</v>
      </c>
      <c r="C568" s="19" t="s">
        <v>12492</v>
      </c>
      <c r="D568" s="8" t="s">
        <v>8984</v>
      </c>
      <c r="E568" s="20" t="s">
        <v>8998</v>
      </c>
      <c r="F568" s="33" t="s">
        <v>9036</v>
      </c>
      <c r="G568" s="20" t="s">
        <v>9133</v>
      </c>
      <c r="H568" s="53">
        <v>30208</v>
      </c>
      <c r="I568" s="20" t="s">
        <v>9019</v>
      </c>
      <c r="J568" s="20" t="s">
        <v>8953</v>
      </c>
      <c r="K568" s="20" t="s">
        <v>8954</v>
      </c>
      <c r="L568" s="21" t="s">
        <v>8955</v>
      </c>
      <c r="M568" s="20" t="s">
        <v>8956</v>
      </c>
      <c r="N568" s="20" t="s">
        <v>8957</v>
      </c>
      <c r="O568" s="20">
        <f t="shared" si="8"/>
        <v>8</v>
      </c>
      <c r="P568" s="22" t="s">
        <v>8975</v>
      </c>
      <c r="Q568" s="21" t="s">
        <v>8959</v>
      </c>
      <c r="R568" s="23" t="s">
        <v>9310</v>
      </c>
      <c r="S568" s="24" t="s">
        <v>12493</v>
      </c>
      <c r="T568" s="24" t="str">
        <f>VLOOKUP(R568,[1]Sheet3!$A$2:$A$47,1,0)</f>
        <v>China</v>
      </c>
      <c r="U568" s="24" t="s">
        <v>12494</v>
      </c>
      <c r="V568" s="24" t="s">
        <v>12495</v>
      </c>
      <c r="W568" s="18" t="s">
        <v>8964</v>
      </c>
      <c r="X568" s="26" t="s">
        <v>2145</v>
      </c>
      <c r="Y568" s="18" t="s">
        <v>12496</v>
      </c>
      <c r="Z568" s="24" t="s">
        <v>11</v>
      </c>
    </row>
    <row r="569" spans="1:26" ht="20.100000000000001" customHeight="1" x14ac:dyDescent="0.2">
      <c r="A569" s="18" t="s">
        <v>12497</v>
      </c>
      <c r="B569" s="19" t="s">
        <v>12498</v>
      </c>
      <c r="C569" s="19" t="s">
        <v>12499</v>
      </c>
      <c r="D569" s="8" t="s">
        <v>8948</v>
      </c>
      <c r="E569" s="20" t="s">
        <v>8949</v>
      </c>
      <c r="F569" s="20" t="s">
        <v>12500</v>
      </c>
      <c r="G569" s="20" t="s">
        <v>9133</v>
      </c>
      <c r="H569" s="53">
        <v>185</v>
      </c>
      <c r="I569" s="20" t="s">
        <v>9158</v>
      </c>
      <c r="J569" s="20" t="s">
        <v>9059</v>
      </c>
      <c r="K569" s="20" t="s">
        <v>8954</v>
      </c>
      <c r="L569" s="21" t="s">
        <v>8955</v>
      </c>
      <c r="M569" s="20" t="s">
        <v>8956</v>
      </c>
      <c r="N569" s="20" t="s">
        <v>8974</v>
      </c>
      <c r="O569" s="20">
        <f t="shared" si="8"/>
        <v>3</v>
      </c>
      <c r="P569" s="22" t="s">
        <v>9103</v>
      </c>
      <c r="Q569" s="21" t="s">
        <v>8959</v>
      </c>
      <c r="R569" s="23" t="s">
        <v>9968</v>
      </c>
      <c r="S569" s="24" t="s">
        <v>9020</v>
      </c>
      <c r="T569" s="24" t="str">
        <f>VLOOKUP(R569,[1]Sheet3!$A$2:$A$47,1,0)</f>
        <v>Iran</v>
      </c>
      <c r="U569" s="24" t="s">
        <v>12501</v>
      </c>
      <c r="V569" s="24" t="s">
        <v>12502</v>
      </c>
      <c r="W569" s="18" t="s">
        <v>8964</v>
      </c>
      <c r="X569" s="26" t="s">
        <v>87</v>
      </c>
      <c r="Y569" s="18" t="s">
        <v>9023</v>
      </c>
      <c r="Z569" s="24" t="s">
        <v>11</v>
      </c>
    </row>
    <row r="570" spans="1:26" ht="20.100000000000001" customHeight="1" x14ac:dyDescent="0.2">
      <c r="A570" s="18" t="s">
        <v>12503</v>
      </c>
      <c r="B570" s="19" t="s">
        <v>12504</v>
      </c>
      <c r="C570" s="19" t="s">
        <v>12505</v>
      </c>
      <c r="D570" s="8" t="s">
        <v>8984</v>
      </c>
      <c r="E570" s="20" t="s">
        <v>9155</v>
      </c>
      <c r="F570" s="20" t="s">
        <v>8950</v>
      </c>
      <c r="G570" s="20" t="s">
        <v>9133</v>
      </c>
      <c r="H570" s="53">
        <v>1990</v>
      </c>
      <c r="I570" s="20" t="s">
        <v>8952</v>
      </c>
      <c r="J570" s="20" t="s">
        <v>8953</v>
      </c>
      <c r="K570" s="20" t="s">
        <v>8954</v>
      </c>
      <c r="L570" s="21" t="s">
        <v>9182</v>
      </c>
      <c r="M570" s="20" t="s">
        <v>8956</v>
      </c>
      <c r="N570" s="20" t="s">
        <v>9060</v>
      </c>
      <c r="O570" s="20">
        <f t="shared" si="8"/>
        <v>18</v>
      </c>
      <c r="P570" s="22" t="s">
        <v>8975</v>
      </c>
      <c r="Q570" s="21" t="s">
        <v>9009</v>
      </c>
      <c r="R570" s="23" t="s">
        <v>9310</v>
      </c>
      <c r="S570" s="24" t="s">
        <v>1001</v>
      </c>
      <c r="T570" s="24" t="str">
        <f>VLOOKUP(R570,[1]Sheet3!$A$2:$A$47,1,0)</f>
        <v>China</v>
      </c>
      <c r="U570" s="24" t="s">
        <v>12506</v>
      </c>
      <c r="V570" s="24" t="s">
        <v>12507</v>
      </c>
      <c r="W570" s="18" t="s">
        <v>8964</v>
      </c>
      <c r="X570" s="26" t="s">
        <v>1001</v>
      </c>
      <c r="Y570" s="18" t="s">
        <v>12508</v>
      </c>
      <c r="Z570" s="24" t="s">
        <v>17</v>
      </c>
    </row>
    <row r="571" spans="1:26" ht="20.100000000000001" customHeight="1" x14ac:dyDescent="0.2">
      <c r="A571" s="18" t="s">
        <v>12509</v>
      </c>
      <c r="B571" s="19" t="s">
        <v>12510</v>
      </c>
      <c r="C571" s="19" t="s">
        <v>12511</v>
      </c>
      <c r="D571" s="8" t="s">
        <v>8948</v>
      </c>
      <c r="E571" s="20" t="s">
        <v>8949</v>
      </c>
      <c r="F571" s="20" t="s">
        <v>8950</v>
      </c>
      <c r="G571" s="20" t="s">
        <v>9076</v>
      </c>
      <c r="H571" s="53">
        <v>152</v>
      </c>
      <c r="I571" s="20" t="s">
        <v>9158</v>
      </c>
      <c r="J571" s="20" t="s">
        <v>8953</v>
      </c>
      <c r="K571" s="20" t="s">
        <v>8954</v>
      </c>
      <c r="L571" s="21" t="s">
        <v>8955</v>
      </c>
      <c r="M571" s="20" t="s">
        <v>8956</v>
      </c>
      <c r="N571" s="20" t="s">
        <v>9060</v>
      </c>
      <c r="O571" s="20">
        <f t="shared" si="8"/>
        <v>9</v>
      </c>
      <c r="P571" s="22" t="s">
        <v>8975</v>
      </c>
      <c r="Q571" s="21" t="s">
        <v>8959</v>
      </c>
      <c r="R571" s="23" t="s">
        <v>9010</v>
      </c>
      <c r="S571" s="24" t="s">
        <v>9711</v>
      </c>
      <c r="T571" s="24" t="str">
        <f>VLOOKUP(R571,[1]Sheet3!$A$2:$A$47,1,0)</f>
        <v>the United States of America</v>
      </c>
      <c r="U571" s="24" t="s">
        <v>12512</v>
      </c>
      <c r="V571" s="24" t="s">
        <v>12513</v>
      </c>
      <c r="W571" s="18" t="s">
        <v>8964</v>
      </c>
      <c r="X571" s="26" t="s">
        <v>392</v>
      </c>
      <c r="Y571" s="18" t="s">
        <v>9714</v>
      </c>
      <c r="Z571" s="24" t="s">
        <v>11</v>
      </c>
    </row>
    <row r="572" spans="1:26" ht="20.100000000000001" customHeight="1" x14ac:dyDescent="0.2">
      <c r="A572" s="18" t="s">
        <v>12514</v>
      </c>
      <c r="B572" s="19" t="s">
        <v>12515</v>
      </c>
      <c r="C572" s="19" t="s">
        <v>12516</v>
      </c>
      <c r="D572" s="8" t="s">
        <v>8948</v>
      </c>
      <c r="E572" s="20" t="s">
        <v>8949</v>
      </c>
      <c r="F572" s="20" t="s">
        <v>9051</v>
      </c>
      <c r="G572" s="20" t="s">
        <v>9076</v>
      </c>
      <c r="H572" s="53">
        <v>274</v>
      </c>
      <c r="I572" s="20" t="s">
        <v>8988</v>
      </c>
      <c r="J572" s="20" t="s">
        <v>8953</v>
      </c>
      <c r="K572" s="20" t="s">
        <v>8954</v>
      </c>
      <c r="L572" s="21" t="s">
        <v>8955</v>
      </c>
      <c r="M572" s="20" t="s">
        <v>8956</v>
      </c>
      <c r="N572" s="20" t="s">
        <v>8957</v>
      </c>
      <c r="O572" s="20">
        <f t="shared" si="8"/>
        <v>3</v>
      </c>
      <c r="P572" s="22" t="s">
        <v>9103</v>
      </c>
      <c r="Q572" s="21" t="s">
        <v>8959</v>
      </c>
      <c r="R572" s="23" t="s">
        <v>9213</v>
      </c>
      <c r="S572" s="24" t="s">
        <v>9011</v>
      </c>
      <c r="T572" s="24" t="str">
        <f>VLOOKUP(R572,[1]Sheet3!$A$2:$A$47,1,0)</f>
        <v>South Korea</v>
      </c>
      <c r="U572" s="24" t="s">
        <v>12517</v>
      </c>
      <c r="V572" s="24" t="s">
        <v>12518</v>
      </c>
      <c r="W572" s="18" t="s">
        <v>8964</v>
      </c>
      <c r="X572" s="26" t="s">
        <v>93</v>
      </c>
      <c r="Y572" s="18" t="s">
        <v>9014</v>
      </c>
      <c r="Z572" s="24" t="s">
        <v>11</v>
      </c>
    </row>
    <row r="573" spans="1:26" ht="20.100000000000001" customHeight="1" x14ac:dyDescent="0.2">
      <c r="A573" s="18" t="s">
        <v>12519</v>
      </c>
      <c r="B573" s="19" t="s">
        <v>12520</v>
      </c>
      <c r="C573" s="19" t="s">
        <v>12521</v>
      </c>
      <c r="D573" s="8" t="s">
        <v>9092</v>
      </c>
      <c r="E573" s="20" t="s">
        <v>8998</v>
      </c>
      <c r="F573" s="20" t="s">
        <v>9679</v>
      </c>
      <c r="G573" s="20" t="s">
        <v>9292</v>
      </c>
      <c r="H573" s="53">
        <v>302</v>
      </c>
      <c r="I573" s="20" t="s">
        <v>8988</v>
      </c>
      <c r="J573" s="20" t="s">
        <v>8953</v>
      </c>
      <c r="K573" s="20" t="s">
        <v>8989</v>
      </c>
      <c r="L573" s="21" t="s">
        <v>8955</v>
      </c>
      <c r="M573" s="20" t="s">
        <v>8956</v>
      </c>
      <c r="N573" s="20" t="s">
        <v>8957</v>
      </c>
      <c r="O573" s="20">
        <f t="shared" si="8"/>
        <v>3</v>
      </c>
      <c r="P573" s="22" t="s">
        <v>9103</v>
      </c>
      <c r="Q573" s="21" t="s">
        <v>8959</v>
      </c>
      <c r="R573" s="23" t="s">
        <v>9010</v>
      </c>
      <c r="S573" s="24" t="s">
        <v>9159</v>
      </c>
      <c r="T573" s="24" t="str">
        <f>VLOOKUP(R573,[1]Sheet3!$A$2:$A$47,1,0)</f>
        <v>the United States of America</v>
      </c>
      <c r="V573" s="24" t="s">
        <v>12522</v>
      </c>
      <c r="W573" s="18" t="s">
        <v>8964</v>
      </c>
      <c r="X573" s="26" t="s">
        <v>61</v>
      </c>
      <c r="Y573" s="18" t="s">
        <v>9162</v>
      </c>
      <c r="Z573" s="24" t="s">
        <v>11</v>
      </c>
    </row>
    <row r="574" spans="1:26" ht="20.100000000000001" customHeight="1" x14ac:dyDescent="0.2">
      <c r="A574" s="18" t="s">
        <v>12523</v>
      </c>
      <c r="B574" s="19" t="s">
        <v>12524</v>
      </c>
      <c r="C574" s="19" t="s">
        <v>12525</v>
      </c>
      <c r="D574" s="8" t="s">
        <v>8948</v>
      </c>
      <c r="E574" s="20" t="s">
        <v>8949</v>
      </c>
      <c r="F574" s="20" t="s">
        <v>8950</v>
      </c>
      <c r="G574" s="20" t="s">
        <v>9292</v>
      </c>
      <c r="H574" s="53">
        <v>222</v>
      </c>
      <c r="I574" s="20" t="s">
        <v>9158</v>
      </c>
      <c r="J574" s="20" t="s">
        <v>9059</v>
      </c>
      <c r="K574" s="20" t="s">
        <v>8989</v>
      </c>
      <c r="L574" s="21" t="s">
        <v>8955</v>
      </c>
      <c r="M574" s="20" t="s">
        <v>8956</v>
      </c>
      <c r="N574" s="20" t="s">
        <v>8974</v>
      </c>
      <c r="O574" s="20">
        <f t="shared" si="8"/>
        <v>4</v>
      </c>
      <c r="P574" s="22" t="s">
        <v>8958</v>
      </c>
      <c r="Q574" s="21" t="s">
        <v>9009</v>
      </c>
      <c r="R574" s="23" t="s">
        <v>12526</v>
      </c>
      <c r="S574" s="24" t="s">
        <v>544</v>
      </c>
      <c r="T574" s="24" t="str">
        <f>VLOOKUP(R574,[1]Sheet3!$A$2:$A$47,1,0)</f>
        <v>Denmark</v>
      </c>
      <c r="U574" s="24" t="s">
        <v>12527</v>
      </c>
      <c r="V574" s="24" t="s">
        <v>12528</v>
      </c>
      <c r="W574" s="18" t="s">
        <v>8964</v>
      </c>
      <c r="X574" s="26" t="s">
        <v>544</v>
      </c>
      <c r="Y574" s="18" t="s">
        <v>12529</v>
      </c>
      <c r="Z574" s="24" t="s">
        <v>11</v>
      </c>
    </row>
    <row r="575" spans="1:26" ht="20.100000000000001" customHeight="1" x14ac:dyDescent="0.2">
      <c r="A575" s="18" t="s">
        <v>12530</v>
      </c>
      <c r="B575" s="19" t="s">
        <v>12531</v>
      </c>
      <c r="C575" s="19" t="s">
        <v>12532</v>
      </c>
      <c r="D575" s="8" t="s">
        <v>9252</v>
      </c>
      <c r="E575" s="20" t="s">
        <v>9253</v>
      </c>
      <c r="F575" s="33" t="s">
        <v>8950</v>
      </c>
      <c r="G575" s="20" t="s">
        <v>9292</v>
      </c>
      <c r="H575" s="53">
        <v>54285</v>
      </c>
      <c r="I575" s="20" t="s">
        <v>9019</v>
      </c>
      <c r="J575" s="20" t="s">
        <v>9059</v>
      </c>
      <c r="K575" s="20" t="s">
        <v>8989</v>
      </c>
      <c r="L575" s="21" t="s">
        <v>9182</v>
      </c>
      <c r="M575" s="20" t="s">
        <v>8956</v>
      </c>
      <c r="N575" s="20" t="s">
        <v>9060</v>
      </c>
      <c r="O575" s="20">
        <f t="shared" si="8"/>
        <v>8</v>
      </c>
      <c r="P575" s="22" t="s">
        <v>8975</v>
      </c>
      <c r="Q575" s="21" t="s">
        <v>9009</v>
      </c>
      <c r="R575" s="23" t="s">
        <v>9246</v>
      </c>
      <c r="S575" s="24" t="s">
        <v>12533</v>
      </c>
      <c r="T575" s="24" t="str">
        <f>VLOOKUP(R575,[1]Sheet3!$A$2:$A$47,1,0)</f>
        <v>Netherlands</v>
      </c>
      <c r="U575" s="24" t="s">
        <v>12534</v>
      </c>
      <c r="V575" s="24" t="s">
        <v>12535</v>
      </c>
      <c r="W575" s="18" t="s">
        <v>8964</v>
      </c>
      <c r="X575" s="26" t="s">
        <v>7569</v>
      </c>
      <c r="Y575" s="18" t="s">
        <v>12536</v>
      </c>
      <c r="Z575" s="24" t="s">
        <v>11</v>
      </c>
    </row>
    <row r="576" spans="1:26" ht="20.100000000000001" customHeight="1" x14ac:dyDescent="0.2">
      <c r="A576" s="18" t="s">
        <v>12537</v>
      </c>
      <c r="B576" s="19" t="s">
        <v>12538</v>
      </c>
      <c r="C576" s="19" t="s">
        <v>12539</v>
      </c>
      <c r="D576" s="8" t="s">
        <v>9035</v>
      </c>
      <c r="E576" s="20" t="s">
        <v>9308</v>
      </c>
      <c r="F576" s="54" t="s">
        <v>8950</v>
      </c>
      <c r="G576" s="20" t="s">
        <v>8973</v>
      </c>
      <c r="H576" s="53">
        <v>38</v>
      </c>
      <c r="I576" s="20" t="s">
        <v>9008</v>
      </c>
      <c r="J576" s="20" t="s">
        <v>9059</v>
      </c>
      <c r="K576" s="20" t="s">
        <v>8989</v>
      </c>
      <c r="L576" s="21" t="s">
        <v>8955</v>
      </c>
      <c r="M576" s="20" t="s">
        <v>8956</v>
      </c>
      <c r="N576" s="20" t="s">
        <v>8974</v>
      </c>
      <c r="O576" s="20">
        <f t="shared" si="8"/>
        <v>3</v>
      </c>
      <c r="P576" s="22" t="s">
        <v>9103</v>
      </c>
      <c r="Q576" s="21" t="s">
        <v>9061</v>
      </c>
      <c r="R576" s="23" t="s">
        <v>9213</v>
      </c>
      <c r="S576" s="24" t="s">
        <v>12540</v>
      </c>
      <c r="T576" s="24" t="str">
        <f>VLOOKUP(R576,[1]Sheet3!$A$2:$A$47,1,0)</f>
        <v>South Korea</v>
      </c>
      <c r="U576" s="24" t="s">
        <v>12541</v>
      </c>
      <c r="V576" s="24" t="s">
        <v>12542</v>
      </c>
      <c r="W576" s="18" t="s">
        <v>8964</v>
      </c>
      <c r="X576" s="26" t="s">
        <v>138</v>
      </c>
      <c r="Y576" s="18" t="s">
        <v>12543</v>
      </c>
      <c r="Z576" s="24">
        <v>2013</v>
      </c>
    </row>
    <row r="577" spans="1:26" ht="20.100000000000001" customHeight="1" x14ac:dyDescent="0.2">
      <c r="A577" s="18" t="s">
        <v>12544</v>
      </c>
      <c r="B577" s="19" t="s">
        <v>12545</v>
      </c>
      <c r="C577" s="19" t="s">
        <v>12546</v>
      </c>
      <c r="D577" s="8" t="s">
        <v>8948</v>
      </c>
      <c r="E577" s="20" t="s">
        <v>8949</v>
      </c>
      <c r="F577" s="20" t="s">
        <v>8950</v>
      </c>
      <c r="G577" s="20" t="s">
        <v>8973</v>
      </c>
      <c r="H577" s="53">
        <v>91</v>
      </c>
      <c r="I577" s="20" t="s">
        <v>9008</v>
      </c>
      <c r="J577" s="20" t="s">
        <v>8953</v>
      </c>
      <c r="K577" s="20" t="s">
        <v>8989</v>
      </c>
      <c r="L577" s="21" t="s">
        <v>8955</v>
      </c>
      <c r="M577" s="20" t="s">
        <v>8956</v>
      </c>
      <c r="N577" s="20" t="s">
        <v>8959</v>
      </c>
      <c r="O577" s="20">
        <f t="shared" si="8"/>
        <v>8</v>
      </c>
      <c r="P577" s="22" t="s">
        <v>8975</v>
      </c>
      <c r="Q577" s="21" t="s">
        <v>8959</v>
      </c>
      <c r="R577" s="23" t="s">
        <v>12547</v>
      </c>
      <c r="S577" s="24" t="s">
        <v>9085</v>
      </c>
      <c r="T577" s="24" t="str">
        <f>VLOOKUP(R577,[1]Sheet3!$A$2:$A$47,1,0)</f>
        <v>Brazil</v>
      </c>
      <c r="U577" s="24" t="s">
        <v>12548</v>
      </c>
      <c r="V577" s="24" t="s">
        <v>12549</v>
      </c>
      <c r="W577" s="18" t="s">
        <v>8964</v>
      </c>
      <c r="X577" s="26" t="s">
        <v>184</v>
      </c>
      <c r="Y577" s="18" t="s">
        <v>9088</v>
      </c>
      <c r="Z577" s="24" t="s">
        <v>11</v>
      </c>
    </row>
    <row r="578" spans="1:26" ht="20.100000000000001" customHeight="1" x14ac:dyDescent="0.2">
      <c r="A578" s="18" t="s">
        <v>12550</v>
      </c>
      <c r="B578" s="19" t="s">
        <v>12551</v>
      </c>
      <c r="C578" s="19" t="s">
        <v>12552</v>
      </c>
      <c r="D578" s="8" t="s">
        <v>8948</v>
      </c>
      <c r="E578" s="20" t="s">
        <v>8949</v>
      </c>
      <c r="F578" s="33" t="s">
        <v>9937</v>
      </c>
      <c r="G578" s="20" t="s">
        <v>8951</v>
      </c>
      <c r="H578" s="53" t="s">
        <v>12553</v>
      </c>
      <c r="I578" s="20" t="s">
        <v>9019</v>
      </c>
      <c r="J578" s="20" t="s">
        <v>8953</v>
      </c>
      <c r="K578" s="20" t="s">
        <v>8989</v>
      </c>
      <c r="L578" s="21" t="s">
        <v>8955</v>
      </c>
      <c r="M578" s="20" t="s">
        <v>8956</v>
      </c>
      <c r="N578" s="20" t="s">
        <v>8957</v>
      </c>
      <c r="O578" s="20">
        <f t="shared" ref="O578:O641" si="9">1+LEN(V578)-LEN(SUBSTITUTE(V578,";",))</f>
        <v>4</v>
      </c>
      <c r="P578" s="22" t="s">
        <v>8958</v>
      </c>
      <c r="Q578" s="21" t="s">
        <v>8959</v>
      </c>
      <c r="R578" s="23" t="s">
        <v>9010</v>
      </c>
      <c r="S578" s="24" t="s">
        <v>9711</v>
      </c>
      <c r="T578" s="24" t="str">
        <f>VLOOKUP(R578,[1]Sheet3!$A$2:$A$47,1,0)</f>
        <v>the United States of America</v>
      </c>
      <c r="U578" s="24" t="s">
        <v>12554</v>
      </c>
      <c r="V578" s="24" t="s">
        <v>12555</v>
      </c>
      <c r="W578" s="18" t="s">
        <v>8964</v>
      </c>
      <c r="X578" s="26" t="s">
        <v>392</v>
      </c>
      <c r="Y578" s="18" t="s">
        <v>9714</v>
      </c>
      <c r="Z578" s="24" t="s">
        <v>11</v>
      </c>
    </row>
    <row r="579" spans="1:26" ht="20.100000000000001" customHeight="1" x14ac:dyDescent="0.2">
      <c r="A579" s="18" t="s">
        <v>12556</v>
      </c>
      <c r="B579" s="19" t="s">
        <v>12557</v>
      </c>
      <c r="C579" s="19" t="s">
        <v>12558</v>
      </c>
      <c r="D579" s="8" t="s">
        <v>8948</v>
      </c>
      <c r="E579" s="20" t="s">
        <v>8949</v>
      </c>
      <c r="F579" s="20" t="s">
        <v>9036</v>
      </c>
      <c r="G579" s="20" t="s">
        <v>8987</v>
      </c>
      <c r="H579" s="53">
        <v>1099</v>
      </c>
      <c r="I579" s="20" t="s">
        <v>8952</v>
      </c>
      <c r="J579" s="20" t="s">
        <v>9059</v>
      </c>
      <c r="K579" s="20" t="s">
        <v>8989</v>
      </c>
      <c r="L579" s="21" t="s">
        <v>8955</v>
      </c>
      <c r="M579" s="20" t="s">
        <v>8956</v>
      </c>
      <c r="N579" s="20" t="s">
        <v>8957</v>
      </c>
      <c r="O579" s="20">
        <f t="shared" si="9"/>
        <v>3</v>
      </c>
      <c r="P579" s="22" t="s">
        <v>9103</v>
      </c>
      <c r="Q579" s="21" t="s">
        <v>8959</v>
      </c>
      <c r="R579" s="23" t="s">
        <v>9010</v>
      </c>
      <c r="S579" s="24" t="s">
        <v>8961</v>
      </c>
      <c r="T579" s="24" t="str">
        <f>VLOOKUP(R579,[1]Sheet3!$A$2:$A$47,1,0)</f>
        <v>the United States of America</v>
      </c>
      <c r="U579" s="24" t="s">
        <v>12559</v>
      </c>
      <c r="V579" s="24" t="s">
        <v>12560</v>
      </c>
      <c r="W579" s="18" t="s">
        <v>8964</v>
      </c>
      <c r="X579" s="26" t="s">
        <v>126</v>
      </c>
      <c r="Y579" s="18" t="s">
        <v>8966</v>
      </c>
      <c r="Z579" s="24" t="s">
        <v>11</v>
      </c>
    </row>
    <row r="580" spans="1:26" ht="20.100000000000001" customHeight="1" x14ac:dyDescent="0.2">
      <c r="A580" s="18" t="s">
        <v>12561</v>
      </c>
      <c r="B580" s="19" t="s">
        <v>12562</v>
      </c>
      <c r="C580" s="19" t="s">
        <v>12563</v>
      </c>
      <c r="D580" s="8" t="s">
        <v>9252</v>
      </c>
      <c r="E580" s="20" t="s">
        <v>9422</v>
      </c>
      <c r="F580" s="20" t="s">
        <v>10258</v>
      </c>
      <c r="G580" s="20" t="s">
        <v>8987</v>
      </c>
      <c r="H580" s="53">
        <v>7786</v>
      </c>
      <c r="I580" s="20" t="s">
        <v>9019</v>
      </c>
      <c r="J580" s="20" t="s">
        <v>8953</v>
      </c>
      <c r="K580" s="20" t="s">
        <v>8989</v>
      </c>
      <c r="L580" s="21" t="s">
        <v>8955</v>
      </c>
      <c r="M580" s="20" t="s">
        <v>8956</v>
      </c>
      <c r="N580" s="20" t="s">
        <v>8974</v>
      </c>
      <c r="O580" s="20">
        <f t="shared" si="9"/>
        <v>3</v>
      </c>
      <c r="P580" s="22" t="s">
        <v>9103</v>
      </c>
      <c r="Q580" s="21" t="s">
        <v>9061</v>
      </c>
      <c r="R580" s="23" t="s">
        <v>9176</v>
      </c>
      <c r="S580" s="24" t="s">
        <v>9205</v>
      </c>
      <c r="T580" s="24" t="str">
        <f>VLOOKUP(R580,[1]Sheet3!$A$2:$A$47,1,0)</f>
        <v>Australia</v>
      </c>
      <c r="U580" s="24" t="s">
        <v>12564</v>
      </c>
      <c r="V580" s="24" t="s">
        <v>12565</v>
      </c>
      <c r="W580" s="18" t="s">
        <v>8964</v>
      </c>
      <c r="X580" s="26" t="s">
        <v>8</v>
      </c>
      <c r="Y580" s="18" t="s">
        <v>9208</v>
      </c>
      <c r="Z580" s="24" t="s">
        <v>11</v>
      </c>
    </row>
    <row r="581" spans="1:26" ht="20.100000000000001" customHeight="1" x14ac:dyDescent="0.2">
      <c r="A581" s="18" t="s">
        <v>12566</v>
      </c>
      <c r="B581" s="19" t="s">
        <v>12567</v>
      </c>
      <c r="C581" s="19" t="s">
        <v>12568</v>
      </c>
      <c r="D581" s="8" t="s">
        <v>9100</v>
      </c>
      <c r="E581" s="33" t="s">
        <v>9131</v>
      </c>
      <c r="F581" s="20" t="s">
        <v>9051</v>
      </c>
      <c r="G581" s="20" t="s">
        <v>8951</v>
      </c>
      <c r="H581" s="53">
        <v>25</v>
      </c>
      <c r="I581" s="20" t="s">
        <v>12569</v>
      </c>
      <c r="J581" s="20" t="s">
        <v>8953</v>
      </c>
      <c r="K581" s="20" t="s">
        <v>8989</v>
      </c>
      <c r="L581" s="21" t="s">
        <v>8955</v>
      </c>
      <c r="M581" s="20" t="s">
        <v>8956</v>
      </c>
      <c r="N581" s="20" t="s">
        <v>8957</v>
      </c>
      <c r="O581" s="20">
        <f t="shared" si="9"/>
        <v>15</v>
      </c>
      <c r="P581" s="22" t="s">
        <v>8975</v>
      </c>
      <c r="Q581" s="21" t="s">
        <v>8959</v>
      </c>
      <c r="R581" s="23" t="s">
        <v>9317</v>
      </c>
      <c r="S581" s="24" t="s">
        <v>9342</v>
      </c>
      <c r="T581" s="24" t="str">
        <f>VLOOKUP(R581,[1]Sheet3!$A$2:$A$47,1,0)</f>
        <v>Germany</v>
      </c>
      <c r="U581" s="24" t="s">
        <v>12570</v>
      </c>
      <c r="V581" s="24" t="s">
        <v>12571</v>
      </c>
      <c r="W581" s="18" t="s">
        <v>8964</v>
      </c>
      <c r="X581" s="26" t="s">
        <v>64</v>
      </c>
      <c r="Y581" s="18" t="s">
        <v>9345</v>
      </c>
      <c r="Z581" s="24" t="s">
        <v>11</v>
      </c>
    </row>
    <row r="582" spans="1:26" ht="20.100000000000001" customHeight="1" x14ac:dyDescent="0.2">
      <c r="A582" s="18" t="s">
        <v>12572</v>
      </c>
      <c r="B582" s="19" t="s">
        <v>12573</v>
      </c>
      <c r="C582" s="19" t="s">
        <v>12574</v>
      </c>
      <c r="D582" s="8" t="s">
        <v>9252</v>
      </c>
      <c r="E582" s="20" t="s">
        <v>8998</v>
      </c>
      <c r="F582" s="20" t="s">
        <v>8950</v>
      </c>
      <c r="G582" s="20" t="s">
        <v>8951</v>
      </c>
      <c r="H582" s="53">
        <v>1181</v>
      </c>
      <c r="I582" s="20" t="s">
        <v>8952</v>
      </c>
      <c r="J582" s="20" t="s">
        <v>8953</v>
      </c>
      <c r="K582" s="20" t="s">
        <v>8954</v>
      </c>
      <c r="L582" s="21" t="s">
        <v>8955</v>
      </c>
      <c r="M582" s="20" t="s">
        <v>8956</v>
      </c>
      <c r="N582" s="20" t="s">
        <v>8957</v>
      </c>
      <c r="O582" s="20">
        <f t="shared" si="9"/>
        <v>13</v>
      </c>
      <c r="P582" s="22" t="s">
        <v>8975</v>
      </c>
      <c r="Q582" s="21" t="s">
        <v>9009</v>
      </c>
      <c r="R582" s="23" t="s">
        <v>9246</v>
      </c>
      <c r="S582" s="24" t="s">
        <v>12575</v>
      </c>
      <c r="T582" s="24" t="str">
        <f>VLOOKUP(R582,[1]Sheet3!$A$2:$A$47,1,0)</f>
        <v>Netherlands</v>
      </c>
      <c r="U582" s="24" t="s">
        <v>12576</v>
      </c>
      <c r="V582" s="24" t="s">
        <v>12577</v>
      </c>
      <c r="W582" s="18" t="s">
        <v>8964</v>
      </c>
      <c r="X582" s="26" t="s">
        <v>1780</v>
      </c>
      <c r="Y582" s="18" t="s">
        <v>12578</v>
      </c>
      <c r="Z582" s="24" t="s">
        <v>11</v>
      </c>
    </row>
    <row r="583" spans="1:26" ht="20.100000000000001" customHeight="1" x14ac:dyDescent="0.2">
      <c r="A583" s="18" t="s">
        <v>12579</v>
      </c>
      <c r="B583" s="19" t="s">
        <v>12580</v>
      </c>
      <c r="C583" s="19" t="s">
        <v>12581</v>
      </c>
      <c r="D583" s="8" t="s">
        <v>9943</v>
      </c>
      <c r="E583" s="20" t="s">
        <v>8971</v>
      </c>
      <c r="F583" s="20" t="s">
        <v>10381</v>
      </c>
      <c r="G583" s="20" t="s">
        <v>8951</v>
      </c>
      <c r="H583" s="53">
        <v>300</v>
      </c>
      <c r="I583" s="20" t="s">
        <v>8988</v>
      </c>
      <c r="J583" s="20" t="s">
        <v>8953</v>
      </c>
      <c r="K583" s="20" t="s">
        <v>8989</v>
      </c>
      <c r="L583" s="21" t="s">
        <v>11149</v>
      </c>
      <c r="M583" s="20" t="s">
        <v>8956</v>
      </c>
      <c r="N583" s="20" t="s">
        <v>8957</v>
      </c>
      <c r="O583" s="20">
        <f t="shared" si="9"/>
        <v>8</v>
      </c>
      <c r="P583" s="22" t="s">
        <v>8975</v>
      </c>
      <c r="Q583" s="21" t="s">
        <v>8959</v>
      </c>
      <c r="R583" s="23" t="s">
        <v>9310</v>
      </c>
      <c r="S583" s="24" t="s">
        <v>9255</v>
      </c>
      <c r="T583" s="24" t="str">
        <f>VLOOKUP(R583,[1]Sheet3!$A$2:$A$47,1,0)</f>
        <v>China</v>
      </c>
      <c r="U583" s="24" t="s">
        <v>12582</v>
      </c>
      <c r="V583" s="24" t="s">
        <v>12583</v>
      </c>
      <c r="W583" s="18" t="s">
        <v>8964</v>
      </c>
      <c r="X583" s="26" t="s">
        <v>24</v>
      </c>
      <c r="Y583" s="18" t="s">
        <v>9258</v>
      </c>
      <c r="Z583" s="24" t="s">
        <v>11</v>
      </c>
    </row>
    <row r="584" spans="1:26" ht="20.100000000000001" customHeight="1" x14ac:dyDescent="0.2">
      <c r="A584" s="18" t="s">
        <v>12584</v>
      </c>
      <c r="B584" s="19" t="s">
        <v>12585</v>
      </c>
      <c r="C584" s="19" t="s">
        <v>12586</v>
      </c>
      <c r="D584" s="8" t="s">
        <v>9100</v>
      </c>
      <c r="E584" s="33" t="s">
        <v>8949</v>
      </c>
      <c r="F584" s="20" t="s">
        <v>10258</v>
      </c>
      <c r="G584" s="20" t="s">
        <v>9464</v>
      </c>
      <c r="H584" s="53">
        <v>800</v>
      </c>
      <c r="I584" s="20" t="s">
        <v>9077</v>
      </c>
      <c r="J584" s="20" t="s">
        <v>8953</v>
      </c>
      <c r="K584" s="20" t="s">
        <v>8989</v>
      </c>
      <c r="L584" s="21" t="s">
        <v>8955</v>
      </c>
      <c r="M584" s="20" t="s">
        <v>8956</v>
      </c>
      <c r="N584" s="20" t="s">
        <v>8957</v>
      </c>
      <c r="O584" s="20">
        <f t="shared" si="9"/>
        <v>9</v>
      </c>
      <c r="P584" s="22" t="s">
        <v>8975</v>
      </c>
      <c r="Q584" s="21" t="s">
        <v>8959</v>
      </c>
      <c r="R584" s="23" t="s">
        <v>9310</v>
      </c>
      <c r="S584" s="18" t="s">
        <v>10630</v>
      </c>
      <c r="T584" s="24" t="str">
        <f>VLOOKUP(R584,[1]Sheet3!$A$2:$A$47,1,0)</f>
        <v>China</v>
      </c>
      <c r="U584" s="18" t="s">
        <v>12587</v>
      </c>
      <c r="V584" s="18" t="s">
        <v>12588</v>
      </c>
      <c r="W584" s="18" t="s">
        <v>8964</v>
      </c>
      <c r="X584" s="18" t="s">
        <v>161</v>
      </c>
      <c r="Y584" s="18" t="s">
        <v>10633</v>
      </c>
      <c r="Z584" s="18" t="s">
        <v>11</v>
      </c>
    </row>
    <row r="585" spans="1:26" ht="20.100000000000001" customHeight="1" x14ac:dyDescent="0.2">
      <c r="A585" s="18" t="s">
        <v>12589</v>
      </c>
      <c r="B585" s="19" t="s">
        <v>12590</v>
      </c>
      <c r="C585" s="19" t="s">
        <v>12591</v>
      </c>
      <c r="D585" s="8" t="s">
        <v>9605</v>
      </c>
      <c r="E585" s="33" t="s">
        <v>9101</v>
      </c>
      <c r="F585" s="33" t="s">
        <v>9316</v>
      </c>
      <c r="G585" s="20" t="s">
        <v>9076</v>
      </c>
      <c r="H585" s="53">
        <v>8806</v>
      </c>
      <c r="I585" s="20" t="s">
        <v>9019</v>
      </c>
      <c r="J585" s="20" t="s">
        <v>8953</v>
      </c>
      <c r="K585" s="20" t="s">
        <v>8989</v>
      </c>
      <c r="L585" s="21" t="s">
        <v>8955</v>
      </c>
      <c r="M585" s="20" t="s">
        <v>8956</v>
      </c>
      <c r="N585" s="20" t="s">
        <v>8957</v>
      </c>
      <c r="O585" s="20">
        <f t="shared" si="9"/>
        <v>5</v>
      </c>
      <c r="P585" s="22" t="s">
        <v>8958</v>
      </c>
      <c r="Q585" s="21" t="s">
        <v>9183</v>
      </c>
      <c r="R585" s="23" t="s">
        <v>10873</v>
      </c>
      <c r="S585" s="18" t="s">
        <v>9342</v>
      </c>
      <c r="T585" s="24" t="str">
        <f>VLOOKUP(R585,[1]Sheet3!$A$2:$A$47,1,0)</f>
        <v>UK</v>
      </c>
      <c r="U585" s="18" t="s">
        <v>12592</v>
      </c>
      <c r="V585" s="18" t="s">
        <v>12593</v>
      </c>
      <c r="W585" s="18" t="s">
        <v>8964</v>
      </c>
      <c r="X585" s="18" t="s">
        <v>64</v>
      </c>
      <c r="Y585" s="18" t="s">
        <v>9345</v>
      </c>
      <c r="Z585" s="18" t="s">
        <v>11</v>
      </c>
    </row>
    <row r="586" spans="1:26" ht="20.100000000000001" customHeight="1" x14ac:dyDescent="0.2">
      <c r="A586" s="18" t="s">
        <v>12594</v>
      </c>
      <c r="B586" s="19" t="s">
        <v>12595</v>
      </c>
      <c r="C586" s="19" t="s">
        <v>12596</v>
      </c>
      <c r="D586" s="8" t="s">
        <v>9075</v>
      </c>
      <c r="E586" s="33" t="s">
        <v>9101</v>
      </c>
      <c r="F586" s="20" t="s">
        <v>8950</v>
      </c>
      <c r="G586" s="20" t="s">
        <v>8951</v>
      </c>
      <c r="H586" s="53">
        <v>1000</v>
      </c>
      <c r="I586" s="20" t="s">
        <v>9077</v>
      </c>
      <c r="J586" s="20" t="s">
        <v>8953</v>
      </c>
      <c r="K586" s="20" t="s">
        <v>8989</v>
      </c>
      <c r="L586" s="21" t="s">
        <v>8955</v>
      </c>
      <c r="M586" s="20" t="s">
        <v>8956</v>
      </c>
      <c r="N586" s="20" t="s">
        <v>8957</v>
      </c>
      <c r="O586" s="20">
        <f t="shared" si="9"/>
        <v>10</v>
      </c>
      <c r="P586" s="22" t="s">
        <v>8975</v>
      </c>
      <c r="Q586" s="21" t="s">
        <v>9009</v>
      </c>
      <c r="R586" s="23" t="s">
        <v>9310</v>
      </c>
      <c r="S586" s="18" t="s">
        <v>12597</v>
      </c>
      <c r="T586" s="24" t="str">
        <f>VLOOKUP(R586,[1]Sheet3!$A$2:$A$47,1,0)</f>
        <v>China</v>
      </c>
      <c r="U586" s="18" t="s">
        <v>12598</v>
      </c>
      <c r="V586" s="18" t="s">
        <v>12599</v>
      </c>
      <c r="W586" s="18" t="s">
        <v>8964</v>
      </c>
      <c r="X586" s="18" t="s">
        <v>257</v>
      </c>
      <c r="Y586" s="18" t="s">
        <v>12600</v>
      </c>
      <c r="Z586" s="18" t="s">
        <v>11</v>
      </c>
    </row>
    <row r="587" spans="1:26" ht="20.100000000000001" customHeight="1" x14ac:dyDescent="0.2">
      <c r="A587" s="18" t="s">
        <v>12601</v>
      </c>
      <c r="B587" s="19" t="s">
        <v>12602</v>
      </c>
      <c r="C587" s="19" t="s">
        <v>12603</v>
      </c>
      <c r="D587" s="8" t="s">
        <v>9154</v>
      </c>
      <c r="E587" s="33" t="s">
        <v>11607</v>
      </c>
      <c r="F587" s="20" t="s">
        <v>12604</v>
      </c>
      <c r="G587" s="20" t="s">
        <v>8951</v>
      </c>
      <c r="H587" s="53">
        <v>109449</v>
      </c>
      <c r="I587" s="20" t="s">
        <v>9019</v>
      </c>
      <c r="J587" s="20" t="s">
        <v>8953</v>
      </c>
      <c r="K587" s="20" t="s">
        <v>8989</v>
      </c>
      <c r="L587" s="21" t="s">
        <v>8955</v>
      </c>
      <c r="M587" s="20" t="s">
        <v>8956</v>
      </c>
      <c r="N587" s="20" t="s">
        <v>8974</v>
      </c>
      <c r="O587" s="20">
        <f t="shared" si="9"/>
        <v>6</v>
      </c>
      <c r="P587" s="22" t="s">
        <v>8958</v>
      </c>
      <c r="Q587" s="21" t="s">
        <v>8959</v>
      </c>
      <c r="R587" s="23" t="s">
        <v>9310</v>
      </c>
      <c r="S587" s="24" t="s">
        <v>10073</v>
      </c>
      <c r="T587" s="24" t="str">
        <f>VLOOKUP(R587,[1]Sheet3!$A$2:$A$47,1,0)</f>
        <v>China</v>
      </c>
      <c r="U587" s="24" t="s">
        <v>12605</v>
      </c>
      <c r="V587" s="24" t="s">
        <v>12606</v>
      </c>
      <c r="W587" s="18" t="s">
        <v>8964</v>
      </c>
      <c r="X587" s="26" t="s">
        <v>210</v>
      </c>
      <c r="Y587" s="18" t="s">
        <v>10076</v>
      </c>
      <c r="Z587" s="24" t="s">
        <v>11</v>
      </c>
    </row>
    <row r="588" spans="1:26" ht="20.100000000000001" customHeight="1" x14ac:dyDescent="0.2">
      <c r="A588" s="18" t="s">
        <v>12607</v>
      </c>
      <c r="B588" s="19" t="s">
        <v>12608</v>
      </c>
      <c r="C588" s="19" t="s">
        <v>12609</v>
      </c>
      <c r="D588" s="8" t="s">
        <v>9252</v>
      </c>
      <c r="E588" s="20" t="s">
        <v>9253</v>
      </c>
      <c r="F588" s="20" t="s">
        <v>9036</v>
      </c>
      <c r="G588" s="20" t="s">
        <v>8951</v>
      </c>
      <c r="H588" s="53">
        <v>5040</v>
      </c>
      <c r="I588" s="20" t="s">
        <v>9019</v>
      </c>
      <c r="J588" s="20" t="s">
        <v>8953</v>
      </c>
      <c r="K588" s="20" t="s">
        <v>8989</v>
      </c>
      <c r="L588" s="21" t="s">
        <v>8955</v>
      </c>
      <c r="M588" s="20" t="s">
        <v>8956</v>
      </c>
      <c r="N588" s="20" t="s">
        <v>8957</v>
      </c>
      <c r="O588" s="20">
        <f t="shared" si="9"/>
        <v>3</v>
      </c>
      <c r="P588" s="22" t="s">
        <v>9103</v>
      </c>
      <c r="Q588" s="21" t="s">
        <v>8959</v>
      </c>
      <c r="R588" s="23" t="s">
        <v>9380</v>
      </c>
      <c r="S588" s="24" t="s">
        <v>9052</v>
      </c>
      <c r="T588" s="24" t="str">
        <f>VLOOKUP(R588,[1]Sheet3!$A$2:$A$47,1,0)</f>
        <v>Canada</v>
      </c>
      <c r="U588" s="24" t="s">
        <v>12610</v>
      </c>
      <c r="V588" s="24" t="s">
        <v>12611</v>
      </c>
      <c r="W588" s="18" t="s">
        <v>8964</v>
      </c>
      <c r="X588" s="26" t="s">
        <v>74</v>
      </c>
      <c r="Y588" s="18" t="s">
        <v>9055</v>
      </c>
      <c r="Z588" s="24" t="s">
        <v>11</v>
      </c>
    </row>
    <row r="589" spans="1:26" ht="20.100000000000001" customHeight="1" x14ac:dyDescent="0.2">
      <c r="A589" s="18" t="s">
        <v>12612</v>
      </c>
      <c r="B589" s="19" t="s">
        <v>12613</v>
      </c>
      <c r="C589" s="19" t="s">
        <v>12614</v>
      </c>
      <c r="D589" s="8" t="s">
        <v>8984</v>
      </c>
      <c r="E589" s="20" t="s">
        <v>8949</v>
      </c>
      <c r="F589" s="20" t="s">
        <v>8972</v>
      </c>
      <c r="G589" s="20" t="s">
        <v>8973</v>
      </c>
      <c r="H589" s="53">
        <v>93</v>
      </c>
      <c r="I589" s="20" t="s">
        <v>9008</v>
      </c>
      <c r="J589" s="20" t="s">
        <v>9059</v>
      </c>
      <c r="K589" s="20" t="s">
        <v>8989</v>
      </c>
      <c r="L589" s="21" t="s">
        <v>8955</v>
      </c>
      <c r="M589" s="20" t="s">
        <v>8990</v>
      </c>
      <c r="N589" s="20" t="s">
        <v>9060</v>
      </c>
      <c r="O589" s="20">
        <f t="shared" si="9"/>
        <v>8</v>
      </c>
      <c r="P589" s="22" t="s">
        <v>8975</v>
      </c>
      <c r="Q589" s="21" t="s">
        <v>9061</v>
      </c>
      <c r="R589" s="23" t="s">
        <v>9310</v>
      </c>
      <c r="S589" s="24" t="s">
        <v>9011</v>
      </c>
      <c r="T589" s="24" t="str">
        <f>VLOOKUP(R589,[1]Sheet3!$A$2:$A$47,1,0)</f>
        <v>China</v>
      </c>
      <c r="U589" s="24" t="s">
        <v>12615</v>
      </c>
      <c r="V589" s="24" t="s">
        <v>12616</v>
      </c>
      <c r="W589" s="18" t="s">
        <v>8964</v>
      </c>
      <c r="X589" s="26" t="s">
        <v>93</v>
      </c>
      <c r="Y589" s="18" t="s">
        <v>9014</v>
      </c>
      <c r="Z589" s="24" t="s">
        <v>11</v>
      </c>
    </row>
    <row r="590" spans="1:26" ht="20.100000000000001" customHeight="1" x14ac:dyDescent="0.2">
      <c r="A590" s="18" t="s">
        <v>12617</v>
      </c>
      <c r="B590" s="19" t="s">
        <v>12618</v>
      </c>
      <c r="C590" s="19" t="s">
        <v>12619</v>
      </c>
      <c r="D590" s="8" t="s">
        <v>9075</v>
      </c>
      <c r="E590" s="20" t="s">
        <v>8949</v>
      </c>
      <c r="F590" s="20" t="s">
        <v>9036</v>
      </c>
      <c r="G590" s="20" t="s">
        <v>10924</v>
      </c>
      <c r="H590" s="53">
        <v>444</v>
      </c>
      <c r="I590" s="20" t="s">
        <v>8988</v>
      </c>
      <c r="J590" s="20" t="s">
        <v>8953</v>
      </c>
      <c r="K590" s="20" t="s">
        <v>8954</v>
      </c>
      <c r="L590" s="21" t="s">
        <v>8955</v>
      </c>
      <c r="M590" s="20" t="s">
        <v>8956</v>
      </c>
      <c r="N590" s="20" t="s">
        <v>8957</v>
      </c>
      <c r="O590" s="20">
        <f t="shared" si="9"/>
        <v>7</v>
      </c>
      <c r="P590" s="22" t="s">
        <v>8958</v>
      </c>
      <c r="Q590" s="21" t="s">
        <v>8959</v>
      </c>
      <c r="R590" s="23" t="s">
        <v>9310</v>
      </c>
      <c r="S590" s="24" t="s">
        <v>12620</v>
      </c>
      <c r="T590" s="24" t="str">
        <f>VLOOKUP(R590,[1]Sheet3!$A$2:$A$47,1,0)</f>
        <v>China</v>
      </c>
      <c r="U590" s="24" t="s">
        <v>12621</v>
      </c>
      <c r="V590" s="24" t="s">
        <v>12622</v>
      </c>
      <c r="W590" s="18" t="s">
        <v>8964</v>
      </c>
      <c r="X590" s="26" t="s">
        <v>619</v>
      </c>
      <c r="Y590" s="18" t="s">
        <v>12623</v>
      </c>
      <c r="Z590" s="24" t="s">
        <v>11</v>
      </c>
    </row>
    <row r="591" spans="1:26" ht="20.100000000000001" customHeight="1" x14ac:dyDescent="0.2">
      <c r="A591" s="18" t="s">
        <v>12624</v>
      </c>
      <c r="B591" s="19" t="s">
        <v>12625</v>
      </c>
      <c r="C591" s="19" t="s">
        <v>12626</v>
      </c>
      <c r="D591" s="8" t="s">
        <v>9605</v>
      </c>
      <c r="E591" s="20" t="s">
        <v>9101</v>
      </c>
      <c r="F591" s="33" t="s">
        <v>9309</v>
      </c>
      <c r="G591" s="20" t="s">
        <v>9076</v>
      </c>
      <c r="H591" s="53">
        <v>1000</v>
      </c>
      <c r="I591" s="20" t="s">
        <v>8952</v>
      </c>
      <c r="J591" s="20" t="s">
        <v>8953</v>
      </c>
      <c r="K591" s="20" t="s">
        <v>8989</v>
      </c>
      <c r="L591" s="21" t="s">
        <v>8955</v>
      </c>
      <c r="M591" s="20" t="s">
        <v>8990</v>
      </c>
      <c r="N591" s="20" t="s">
        <v>8959</v>
      </c>
      <c r="O591" s="20">
        <f t="shared" si="9"/>
        <v>5</v>
      </c>
      <c r="P591" s="22" t="s">
        <v>8958</v>
      </c>
      <c r="Q591" s="21" t="s">
        <v>8959</v>
      </c>
      <c r="R591" s="23" t="s">
        <v>10032</v>
      </c>
      <c r="S591" s="24" t="s">
        <v>11672</v>
      </c>
      <c r="T591" s="24" t="str">
        <f>VLOOKUP(R591,[1]Sheet3!$A$2:$A$47,1,0)</f>
        <v>France</v>
      </c>
      <c r="U591" s="24" t="s">
        <v>12627</v>
      </c>
      <c r="V591" s="24" t="s">
        <v>12628</v>
      </c>
      <c r="W591" s="18" t="s">
        <v>8964</v>
      </c>
      <c r="X591" s="26" t="s">
        <v>2540</v>
      </c>
      <c r="Y591" s="18" t="s">
        <v>11675</v>
      </c>
      <c r="Z591" s="24" t="s">
        <v>11</v>
      </c>
    </row>
    <row r="592" spans="1:26" ht="20.100000000000001" customHeight="1" x14ac:dyDescent="0.2">
      <c r="A592" s="18" t="s">
        <v>12629</v>
      </c>
      <c r="B592" s="19" t="s">
        <v>12630</v>
      </c>
      <c r="C592" s="19" t="s">
        <v>12631</v>
      </c>
      <c r="D592" s="8" t="s">
        <v>9092</v>
      </c>
      <c r="E592" s="20" t="s">
        <v>8949</v>
      </c>
      <c r="F592" s="20" t="s">
        <v>8972</v>
      </c>
      <c r="G592" s="20" t="s">
        <v>8973</v>
      </c>
      <c r="H592" s="53">
        <v>80</v>
      </c>
      <c r="I592" s="20" t="s">
        <v>9479</v>
      </c>
      <c r="J592" s="20" t="s">
        <v>8953</v>
      </c>
      <c r="K592" s="20" t="s">
        <v>8954</v>
      </c>
      <c r="L592" s="21" t="s">
        <v>8955</v>
      </c>
      <c r="M592" s="20" t="s">
        <v>8956</v>
      </c>
      <c r="N592" s="20" t="s">
        <v>9060</v>
      </c>
      <c r="O592" s="20">
        <f t="shared" si="9"/>
        <v>3</v>
      </c>
      <c r="P592" s="22" t="s">
        <v>9103</v>
      </c>
      <c r="Q592" s="21" t="s">
        <v>8959</v>
      </c>
      <c r="R592" s="23" t="s">
        <v>9380</v>
      </c>
      <c r="S592" s="24" t="s">
        <v>9255</v>
      </c>
      <c r="T592" s="24" t="str">
        <f>VLOOKUP(R592,[1]Sheet3!$A$2:$A$47,1,0)</f>
        <v>Canada</v>
      </c>
      <c r="U592" s="24" t="s">
        <v>12632</v>
      </c>
      <c r="V592" s="24" t="s">
        <v>12633</v>
      </c>
      <c r="W592" s="18" t="s">
        <v>8964</v>
      </c>
      <c r="X592" s="26" t="s">
        <v>24</v>
      </c>
      <c r="Y592" s="18" t="s">
        <v>9258</v>
      </c>
      <c r="Z592" s="24" t="s">
        <v>11</v>
      </c>
    </row>
    <row r="593" spans="1:26" ht="20.100000000000001" customHeight="1" x14ac:dyDescent="0.2">
      <c r="A593" s="18" t="s">
        <v>12634</v>
      </c>
      <c r="B593" s="19" t="s">
        <v>12635</v>
      </c>
      <c r="C593" s="19" t="s">
        <v>12636</v>
      </c>
      <c r="D593" s="8" t="s">
        <v>9049</v>
      </c>
      <c r="E593" s="20" t="s">
        <v>9050</v>
      </c>
      <c r="F593" s="20" t="s">
        <v>8950</v>
      </c>
      <c r="G593" s="20" t="s">
        <v>8987</v>
      </c>
      <c r="H593" s="53">
        <v>120656</v>
      </c>
      <c r="I593" s="20" t="s">
        <v>9019</v>
      </c>
      <c r="J593" s="20" t="s">
        <v>8953</v>
      </c>
      <c r="K593" s="20" t="s">
        <v>8989</v>
      </c>
      <c r="L593" s="21" t="s">
        <v>8955</v>
      </c>
      <c r="M593" s="20" t="s">
        <v>8956</v>
      </c>
      <c r="N593" s="20" t="s">
        <v>8959</v>
      </c>
      <c r="O593" s="20">
        <f t="shared" si="9"/>
        <v>10</v>
      </c>
      <c r="P593" s="22" t="s">
        <v>8975</v>
      </c>
      <c r="Q593" s="21" t="s">
        <v>9009</v>
      </c>
      <c r="R593" s="23" t="s">
        <v>9317</v>
      </c>
      <c r="S593" s="24" t="s">
        <v>447</v>
      </c>
      <c r="T593" s="24" t="str">
        <f>VLOOKUP(R593,[1]Sheet3!$A$2:$A$47,1,0)</f>
        <v>Germany</v>
      </c>
      <c r="U593" s="24" t="s">
        <v>12637</v>
      </c>
      <c r="V593" s="24" t="s">
        <v>12638</v>
      </c>
      <c r="W593" s="18" t="s">
        <v>8964</v>
      </c>
      <c r="X593" s="26" t="s">
        <v>447</v>
      </c>
      <c r="Y593" s="18" t="s">
        <v>12639</v>
      </c>
      <c r="Z593" s="24" t="s">
        <v>11</v>
      </c>
    </row>
    <row r="594" spans="1:26" ht="20.100000000000001" customHeight="1" x14ac:dyDescent="0.2">
      <c r="A594" s="18" t="s">
        <v>12640</v>
      </c>
      <c r="B594" s="19" t="s">
        <v>12641</v>
      </c>
      <c r="C594" s="19" t="s">
        <v>12642</v>
      </c>
      <c r="D594" s="8" t="s">
        <v>9173</v>
      </c>
      <c r="E594" s="33" t="s">
        <v>9422</v>
      </c>
      <c r="F594" s="20" t="s">
        <v>8950</v>
      </c>
      <c r="G594" s="20" t="s">
        <v>8987</v>
      </c>
      <c r="H594" s="53">
        <v>22</v>
      </c>
      <c r="I594" s="20" t="s">
        <v>9008</v>
      </c>
      <c r="J594" s="20" t="s">
        <v>8953</v>
      </c>
      <c r="K594" s="20" t="s">
        <v>8954</v>
      </c>
      <c r="L594" s="21" t="s">
        <v>8955</v>
      </c>
      <c r="M594" s="20" t="s">
        <v>8956</v>
      </c>
      <c r="N594" s="20" t="s">
        <v>8957</v>
      </c>
      <c r="O594" s="20">
        <f t="shared" si="9"/>
        <v>4</v>
      </c>
      <c r="P594" s="22" t="s">
        <v>8958</v>
      </c>
      <c r="Q594" s="21" t="s">
        <v>8959</v>
      </c>
      <c r="R594" s="23" t="s">
        <v>9650</v>
      </c>
      <c r="S594" s="24" t="s">
        <v>9085</v>
      </c>
      <c r="T594" s="24" t="str">
        <f>VLOOKUP(R594,[1]Sheet3!$A$2:$A$47,1,0)</f>
        <v>Spain</v>
      </c>
      <c r="U594" s="24" t="s">
        <v>12643</v>
      </c>
      <c r="V594" s="24" t="s">
        <v>12644</v>
      </c>
      <c r="W594" s="18" t="s">
        <v>8964</v>
      </c>
      <c r="X594" s="26" t="s">
        <v>184</v>
      </c>
      <c r="Y594" s="18" t="s">
        <v>9088</v>
      </c>
      <c r="Z594" s="24" t="s">
        <v>11</v>
      </c>
    </row>
    <row r="595" spans="1:26" ht="20.100000000000001" customHeight="1" x14ac:dyDescent="0.2">
      <c r="A595" s="18" t="s">
        <v>12645</v>
      </c>
      <c r="B595" s="19" t="s">
        <v>12646</v>
      </c>
      <c r="C595" s="19" t="s">
        <v>12647</v>
      </c>
      <c r="D595" s="8" t="s">
        <v>8984</v>
      </c>
      <c r="E595" s="20" t="s">
        <v>9101</v>
      </c>
      <c r="F595" s="20" t="s">
        <v>9658</v>
      </c>
      <c r="G595" s="20" t="s">
        <v>9292</v>
      </c>
      <c r="H595" s="53">
        <v>33</v>
      </c>
      <c r="I595" s="20" t="s">
        <v>9008</v>
      </c>
      <c r="J595" s="20" t="s">
        <v>8953</v>
      </c>
      <c r="K595" s="20" t="s">
        <v>8989</v>
      </c>
      <c r="L595" s="21" t="s">
        <v>8955</v>
      </c>
      <c r="M595" s="20" t="s">
        <v>8956</v>
      </c>
      <c r="N595" s="20" t="s">
        <v>9060</v>
      </c>
      <c r="O595" s="20">
        <f t="shared" si="9"/>
        <v>6</v>
      </c>
      <c r="P595" s="22" t="s">
        <v>8958</v>
      </c>
      <c r="Q595" s="21" t="s">
        <v>9009</v>
      </c>
      <c r="R595" s="23" t="s">
        <v>9010</v>
      </c>
      <c r="S595" s="24" t="s">
        <v>9228</v>
      </c>
      <c r="T595" s="24" t="str">
        <f>VLOOKUP(R595,[1]Sheet3!$A$2:$A$47,1,0)</f>
        <v>the United States of America</v>
      </c>
      <c r="U595" s="24" t="s">
        <v>12648</v>
      </c>
      <c r="V595" s="24" t="s">
        <v>12649</v>
      </c>
      <c r="W595" s="18" t="s">
        <v>8964</v>
      </c>
      <c r="X595" s="26" t="s">
        <v>110</v>
      </c>
      <c r="Y595" s="18" t="s">
        <v>9231</v>
      </c>
      <c r="Z595" s="24" t="s">
        <v>11</v>
      </c>
    </row>
    <row r="596" spans="1:26" ht="20.100000000000001" customHeight="1" x14ac:dyDescent="0.2">
      <c r="A596" s="18" t="s">
        <v>12650</v>
      </c>
      <c r="B596" s="19" t="s">
        <v>12651</v>
      </c>
      <c r="C596" s="19" t="s">
        <v>12652</v>
      </c>
      <c r="D596" s="8" t="s">
        <v>8948</v>
      </c>
      <c r="E596" s="20" t="s">
        <v>9155</v>
      </c>
      <c r="F596" s="33" t="s">
        <v>12653</v>
      </c>
      <c r="G596" s="20" t="s">
        <v>9133</v>
      </c>
      <c r="H596" s="53">
        <v>2402</v>
      </c>
      <c r="I596" s="20" t="s">
        <v>8952</v>
      </c>
      <c r="J596" s="20" t="s">
        <v>8953</v>
      </c>
      <c r="K596" s="20" t="s">
        <v>8989</v>
      </c>
      <c r="L596" s="21" t="s">
        <v>8955</v>
      </c>
      <c r="M596" s="20" t="s">
        <v>8956</v>
      </c>
      <c r="N596" s="20" t="s">
        <v>8957</v>
      </c>
      <c r="O596" s="20">
        <f t="shared" si="9"/>
        <v>6</v>
      </c>
      <c r="P596" s="22" t="s">
        <v>8958</v>
      </c>
      <c r="Q596" s="21" t="s">
        <v>8959</v>
      </c>
      <c r="R596" s="23" t="s">
        <v>9380</v>
      </c>
      <c r="S596" s="24" t="s">
        <v>9255</v>
      </c>
      <c r="T596" s="24" t="str">
        <f>VLOOKUP(R596,[1]Sheet3!$A$2:$A$47,1,0)</f>
        <v>Canada</v>
      </c>
      <c r="U596" s="24" t="s">
        <v>12654</v>
      </c>
      <c r="V596" s="24" t="s">
        <v>12655</v>
      </c>
      <c r="W596" s="18" t="s">
        <v>8964</v>
      </c>
      <c r="X596" s="26" t="s">
        <v>24</v>
      </c>
      <c r="Y596" s="18" t="s">
        <v>9258</v>
      </c>
      <c r="Z596" s="24" t="s">
        <v>11</v>
      </c>
    </row>
    <row r="597" spans="1:26" ht="20.100000000000001" customHeight="1" x14ac:dyDescent="0.2">
      <c r="A597" s="18" t="s">
        <v>12656</v>
      </c>
      <c r="B597" s="19" t="s">
        <v>12657</v>
      </c>
      <c r="C597" s="19" t="s">
        <v>12658</v>
      </c>
      <c r="D597" s="8" t="s">
        <v>8948</v>
      </c>
      <c r="E597" s="33" t="s">
        <v>12453</v>
      </c>
      <c r="F597" s="20" t="s">
        <v>8950</v>
      </c>
      <c r="G597" s="20" t="s">
        <v>8987</v>
      </c>
      <c r="H597" s="53">
        <v>17</v>
      </c>
      <c r="I597" s="20" t="s">
        <v>9008</v>
      </c>
      <c r="J597" s="20" t="s">
        <v>9059</v>
      </c>
      <c r="K597" s="20" t="s">
        <v>8989</v>
      </c>
      <c r="L597" s="21" t="s">
        <v>8955</v>
      </c>
      <c r="M597" s="20" t="s">
        <v>8956</v>
      </c>
      <c r="N597" s="20" t="s">
        <v>8959</v>
      </c>
      <c r="O597" s="20">
        <f t="shared" si="9"/>
        <v>7</v>
      </c>
      <c r="P597" s="22" t="s">
        <v>8958</v>
      </c>
      <c r="Q597" s="21" t="s">
        <v>8959</v>
      </c>
      <c r="R597" s="23" t="s">
        <v>10873</v>
      </c>
      <c r="S597" s="24" t="s">
        <v>11549</v>
      </c>
      <c r="T597" s="24" t="str">
        <f>VLOOKUP(R597,[1]Sheet3!$A$2:$A$47,1,0)</f>
        <v>UK</v>
      </c>
      <c r="U597" s="24" t="s">
        <v>12659</v>
      </c>
      <c r="V597" s="24" t="s">
        <v>12660</v>
      </c>
      <c r="W597" s="18" t="s">
        <v>8964</v>
      </c>
      <c r="X597" s="26" t="s">
        <v>359</v>
      </c>
      <c r="Y597" s="18" t="s">
        <v>11552</v>
      </c>
      <c r="Z597" s="24" t="s">
        <v>11</v>
      </c>
    </row>
    <row r="598" spans="1:26" ht="20.100000000000001" customHeight="1" x14ac:dyDescent="0.2">
      <c r="A598" s="18" t="s">
        <v>12661</v>
      </c>
      <c r="B598" s="19" t="s">
        <v>12662</v>
      </c>
      <c r="D598" s="8" t="s">
        <v>9100</v>
      </c>
      <c r="E598" s="20" t="s">
        <v>8949</v>
      </c>
      <c r="F598" s="20" t="s">
        <v>10679</v>
      </c>
      <c r="G598" s="20" t="s">
        <v>9076</v>
      </c>
      <c r="H598" s="53">
        <v>15000</v>
      </c>
      <c r="I598" s="20" t="s">
        <v>9019</v>
      </c>
      <c r="J598" s="20" t="s">
        <v>8953</v>
      </c>
      <c r="K598" s="20" t="s">
        <v>8989</v>
      </c>
      <c r="L598" s="21" t="s">
        <v>8955</v>
      </c>
      <c r="M598" s="20" t="s">
        <v>8956</v>
      </c>
      <c r="N598" s="20" t="s">
        <v>9060</v>
      </c>
      <c r="O598" s="20">
        <f t="shared" si="9"/>
        <v>3</v>
      </c>
      <c r="P598" s="22" t="s">
        <v>9103</v>
      </c>
      <c r="Q598" s="21" t="s">
        <v>9061</v>
      </c>
      <c r="R598" s="23" t="s">
        <v>9010</v>
      </c>
      <c r="S598" s="24" t="s">
        <v>10630</v>
      </c>
      <c r="T598" s="24" t="str">
        <f>VLOOKUP(R598,[1]Sheet3!$A$2:$A$47,1,0)</f>
        <v>the United States of America</v>
      </c>
      <c r="U598" s="24" t="s">
        <v>12663</v>
      </c>
      <c r="V598" s="24" t="s">
        <v>12664</v>
      </c>
      <c r="W598" s="18" t="s">
        <v>8964</v>
      </c>
      <c r="X598" s="26" t="s">
        <v>161</v>
      </c>
      <c r="Y598" s="18" t="s">
        <v>10633</v>
      </c>
      <c r="Z598" s="24" t="s">
        <v>11</v>
      </c>
    </row>
    <row r="599" spans="1:26" ht="20.100000000000001" customHeight="1" x14ac:dyDescent="0.2">
      <c r="A599" s="18" t="s">
        <v>12665</v>
      </c>
      <c r="B599" s="19" t="s">
        <v>12666</v>
      </c>
      <c r="C599" s="19" t="s">
        <v>12667</v>
      </c>
      <c r="D599" s="8" t="s">
        <v>9100</v>
      </c>
      <c r="E599" s="20" t="s">
        <v>8949</v>
      </c>
      <c r="F599" s="33" t="s">
        <v>9036</v>
      </c>
      <c r="G599" s="20" t="s">
        <v>9076</v>
      </c>
      <c r="H599" s="55">
        <v>3</v>
      </c>
      <c r="I599" s="20" t="s">
        <v>9008</v>
      </c>
      <c r="J599" s="20" t="s">
        <v>8953</v>
      </c>
      <c r="K599" s="20" t="s">
        <v>8954</v>
      </c>
      <c r="L599" s="21" t="s">
        <v>8955</v>
      </c>
      <c r="M599" s="20" t="s">
        <v>8956</v>
      </c>
      <c r="N599" s="20" t="s">
        <v>9060</v>
      </c>
      <c r="O599" s="20">
        <f t="shared" si="9"/>
        <v>6</v>
      </c>
      <c r="P599" s="22" t="s">
        <v>8958</v>
      </c>
      <c r="Q599" s="21" t="s">
        <v>8959</v>
      </c>
      <c r="R599" s="23" t="s">
        <v>9213</v>
      </c>
      <c r="S599" s="24" t="s">
        <v>10630</v>
      </c>
      <c r="T599" s="24" t="str">
        <f>VLOOKUP(R599,[1]Sheet3!$A$2:$A$47,1,0)</f>
        <v>South Korea</v>
      </c>
      <c r="U599" s="24" t="s">
        <v>12174</v>
      </c>
      <c r="V599" s="24" t="s">
        <v>12668</v>
      </c>
      <c r="W599" s="18" t="s">
        <v>8964</v>
      </c>
      <c r="X599" s="26" t="s">
        <v>161</v>
      </c>
      <c r="Y599" s="18" t="s">
        <v>10633</v>
      </c>
      <c r="Z599" s="24" t="s">
        <v>11</v>
      </c>
    </row>
    <row r="600" spans="1:26" ht="20.100000000000001" customHeight="1" x14ac:dyDescent="0.2">
      <c r="A600" s="18" t="s">
        <v>12669</v>
      </c>
      <c r="B600" s="19" t="s">
        <v>12670</v>
      </c>
      <c r="C600" s="19" t="s">
        <v>12671</v>
      </c>
      <c r="D600" s="8" t="s">
        <v>8948</v>
      </c>
      <c r="E600" s="20" t="s">
        <v>8949</v>
      </c>
      <c r="F600" s="33" t="s">
        <v>12672</v>
      </c>
      <c r="G600" s="20" t="s">
        <v>9133</v>
      </c>
      <c r="H600" s="53">
        <v>357</v>
      </c>
      <c r="I600" s="20" t="s">
        <v>8988</v>
      </c>
      <c r="J600" s="20" t="s">
        <v>9059</v>
      </c>
      <c r="K600" s="20" t="s">
        <v>8954</v>
      </c>
      <c r="L600" s="21" t="s">
        <v>8955</v>
      </c>
      <c r="M600" s="20" t="s">
        <v>8956</v>
      </c>
      <c r="N600" s="20" t="s">
        <v>9060</v>
      </c>
      <c r="O600" s="20">
        <f t="shared" si="9"/>
        <v>12</v>
      </c>
      <c r="P600" s="22" t="s">
        <v>8975</v>
      </c>
      <c r="Q600" s="21" t="s">
        <v>8959</v>
      </c>
      <c r="R600" s="23" t="s">
        <v>9310</v>
      </c>
      <c r="S600" s="24" t="s">
        <v>1421</v>
      </c>
      <c r="T600" s="24" t="str">
        <f>VLOOKUP(R600,[1]Sheet3!$A$2:$A$47,1,0)</f>
        <v>China</v>
      </c>
      <c r="U600" s="24" t="s">
        <v>12673</v>
      </c>
      <c r="V600" s="24" t="s">
        <v>12674</v>
      </c>
      <c r="W600" s="18" t="s">
        <v>8964</v>
      </c>
      <c r="X600" s="26" t="s">
        <v>1421</v>
      </c>
      <c r="Y600" s="18" t="s">
        <v>9707</v>
      </c>
      <c r="Z600" s="24" t="s">
        <v>11</v>
      </c>
    </row>
    <row r="601" spans="1:26" ht="20.100000000000001" customHeight="1" x14ac:dyDescent="0.2">
      <c r="A601" s="18" t="s">
        <v>12675</v>
      </c>
      <c r="B601" s="19" t="s">
        <v>12676</v>
      </c>
      <c r="C601" s="19" t="s">
        <v>12677</v>
      </c>
      <c r="D601" s="8" t="s">
        <v>12678</v>
      </c>
      <c r="E601" s="33" t="s">
        <v>9155</v>
      </c>
      <c r="F601" s="20" t="s">
        <v>10258</v>
      </c>
      <c r="G601" s="20" t="s">
        <v>9133</v>
      </c>
      <c r="H601" s="53">
        <v>35126</v>
      </c>
      <c r="I601" s="20" t="s">
        <v>9019</v>
      </c>
      <c r="J601" s="20" t="s">
        <v>8953</v>
      </c>
      <c r="K601" s="20" t="s">
        <v>8954</v>
      </c>
      <c r="L601" s="21" t="s">
        <v>8955</v>
      </c>
      <c r="M601" s="20" t="s">
        <v>8956</v>
      </c>
      <c r="N601" s="20" t="s">
        <v>8957</v>
      </c>
      <c r="O601" s="20">
        <f t="shared" si="9"/>
        <v>9</v>
      </c>
      <c r="P601" s="22" t="s">
        <v>8975</v>
      </c>
      <c r="Q601" s="21" t="s">
        <v>9061</v>
      </c>
      <c r="R601" s="23" t="s">
        <v>9010</v>
      </c>
      <c r="S601" s="24" t="s">
        <v>12679</v>
      </c>
      <c r="T601" s="24" t="str">
        <f>VLOOKUP(R601,[1]Sheet3!$A$2:$A$47,1,0)</f>
        <v>the United States of America</v>
      </c>
      <c r="U601" s="24" t="s">
        <v>12680</v>
      </c>
      <c r="V601" s="24" t="s">
        <v>12681</v>
      </c>
      <c r="W601" s="18" t="s">
        <v>8964</v>
      </c>
      <c r="X601" s="26" t="s">
        <v>584</v>
      </c>
      <c r="Y601" s="18" t="s">
        <v>12682</v>
      </c>
      <c r="Z601" s="24" t="s">
        <v>11</v>
      </c>
    </row>
    <row r="602" spans="1:26" ht="20.100000000000001" customHeight="1" x14ac:dyDescent="0.2">
      <c r="A602" s="18" t="s">
        <v>12683</v>
      </c>
      <c r="B602" s="19" t="s">
        <v>12684</v>
      </c>
      <c r="C602" s="19" t="s">
        <v>12685</v>
      </c>
      <c r="D602" s="8" t="s">
        <v>9605</v>
      </c>
      <c r="E602" s="33" t="s">
        <v>9422</v>
      </c>
      <c r="F602" s="20" t="s">
        <v>9018</v>
      </c>
      <c r="G602" s="20" t="s">
        <v>9292</v>
      </c>
      <c r="H602" s="53">
        <v>5455</v>
      </c>
      <c r="I602" s="20" t="s">
        <v>9019</v>
      </c>
      <c r="J602" s="20" t="s">
        <v>8953</v>
      </c>
      <c r="K602" s="20" t="s">
        <v>8989</v>
      </c>
      <c r="L602" s="21" t="s">
        <v>8955</v>
      </c>
      <c r="M602" s="20" t="s">
        <v>8956</v>
      </c>
      <c r="N602" s="20" t="s">
        <v>9060</v>
      </c>
      <c r="O602" s="20">
        <f t="shared" si="9"/>
        <v>17</v>
      </c>
      <c r="P602" s="22" t="s">
        <v>8975</v>
      </c>
      <c r="Q602" s="21" t="s">
        <v>9009</v>
      </c>
      <c r="R602" s="23" t="s">
        <v>9010</v>
      </c>
      <c r="S602" s="24" t="s">
        <v>12686</v>
      </c>
      <c r="T602" s="24" t="str">
        <f>VLOOKUP(R602,[1]Sheet3!$A$2:$A$47,1,0)</f>
        <v>the United States of America</v>
      </c>
      <c r="U602" s="24" t="s">
        <v>12687</v>
      </c>
      <c r="V602" s="24" t="s">
        <v>12688</v>
      </c>
      <c r="W602" s="18" t="s">
        <v>8964</v>
      </c>
      <c r="X602" s="26" t="s">
        <v>6371</v>
      </c>
      <c r="Y602" s="18" t="s">
        <v>12689</v>
      </c>
      <c r="Z602" s="24" t="s">
        <v>11</v>
      </c>
    </row>
    <row r="603" spans="1:26" ht="20.100000000000001" customHeight="1" x14ac:dyDescent="0.2">
      <c r="A603" s="18" t="s">
        <v>12690</v>
      </c>
      <c r="B603" s="19" t="s">
        <v>12691</v>
      </c>
      <c r="C603" s="19" t="s">
        <v>12692</v>
      </c>
      <c r="D603" s="8" t="s">
        <v>9252</v>
      </c>
      <c r="E603" s="20" t="s">
        <v>9253</v>
      </c>
      <c r="F603" s="20" t="s">
        <v>9036</v>
      </c>
      <c r="G603" s="20" t="s">
        <v>9133</v>
      </c>
      <c r="H603" s="53">
        <v>12000000</v>
      </c>
      <c r="I603" s="20" t="s">
        <v>9019</v>
      </c>
      <c r="J603" s="20" t="s">
        <v>8953</v>
      </c>
      <c r="K603" s="20" t="s">
        <v>8989</v>
      </c>
      <c r="L603" s="21" t="s">
        <v>8955</v>
      </c>
      <c r="M603" s="20" t="s">
        <v>8956</v>
      </c>
      <c r="N603" s="20" t="s">
        <v>8957</v>
      </c>
      <c r="O603" s="20">
        <f t="shared" si="9"/>
        <v>6</v>
      </c>
      <c r="P603" s="22" t="s">
        <v>8958</v>
      </c>
      <c r="Q603" s="21" t="s">
        <v>9061</v>
      </c>
      <c r="R603" s="23" t="s">
        <v>9010</v>
      </c>
      <c r="S603" s="24" t="s">
        <v>9093</v>
      </c>
      <c r="T603" s="24" t="str">
        <f>VLOOKUP(R603,[1]Sheet3!$A$2:$A$47,1,0)</f>
        <v>the United States of America</v>
      </c>
      <c r="U603" s="24" t="s">
        <v>12693</v>
      </c>
      <c r="V603" s="24" t="s">
        <v>12694</v>
      </c>
      <c r="W603" s="18" t="s">
        <v>8964</v>
      </c>
      <c r="X603" s="26" t="s">
        <v>378</v>
      </c>
      <c r="Y603" s="18" t="s">
        <v>9096</v>
      </c>
      <c r="Z603" s="24" t="s">
        <v>11</v>
      </c>
    </row>
    <row r="604" spans="1:26" ht="20.100000000000001" customHeight="1" x14ac:dyDescent="0.2">
      <c r="A604" s="18" t="s">
        <v>12695</v>
      </c>
      <c r="B604" s="19" t="s">
        <v>12696</v>
      </c>
      <c r="C604" s="19" t="s">
        <v>12697</v>
      </c>
      <c r="D604" s="8" t="s">
        <v>9154</v>
      </c>
      <c r="E604" s="20" t="s">
        <v>9269</v>
      </c>
      <c r="F604" s="20" t="s">
        <v>8950</v>
      </c>
      <c r="G604" s="20" t="s">
        <v>8987</v>
      </c>
      <c r="H604" s="53">
        <v>209</v>
      </c>
      <c r="I604" s="20" t="s">
        <v>9158</v>
      </c>
      <c r="J604" s="20" t="s">
        <v>9059</v>
      </c>
      <c r="K604" s="20" t="s">
        <v>8989</v>
      </c>
      <c r="L604" s="21" t="s">
        <v>8955</v>
      </c>
      <c r="M604" s="20" t="s">
        <v>8956</v>
      </c>
      <c r="N604" s="20" t="s">
        <v>9060</v>
      </c>
      <c r="O604" s="20">
        <f t="shared" si="9"/>
        <v>7</v>
      </c>
      <c r="P604" s="22" t="s">
        <v>8958</v>
      </c>
      <c r="Q604" s="21" t="s">
        <v>9009</v>
      </c>
      <c r="R604" s="23" t="s">
        <v>9010</v>
      </c>
      <c r="S604" s="24" t="s">
        <v>9228</v>
      </c>
      <c r="T604" s="24" t="str">
        <f>VLOOKUP(R604,[1]Sheet3!$A$2:$A$47,1,0)</f>
        <v>the United States of America</v>
      </c>
      <c r="U604" s="24" t="s">
        <v>12698</v>
      </c>
      <c r="V604" s="24" t="s">
        <v>12699</v>
      </c>
      <c r="W604" s="18" t="s">
        <v>8964</v>
      </c>
      <c r="X604" s="26" t="s">
        <v>110</v>
      </c>
      <c r="Y604" s="18" t="s">
        <v>9231</v>
      </c>
      <c r="Z604" s="24" t="s">
        <v>11</v>
      </c>
    </row>
    <row r="605" spans="1:26" ht="20.100000000000001" customHeight="1" x14ac:dyDescent="0.2">
      <c r="A605" s="18" t="s">
        <v>12700</v>
      </c>
      <c r="B605" s="19" t="s">
        <v>12701</v>
      </c>
      <c r="C605" s="19" t="s">
        <v>12702</v>
      </c>
      <c r="D605" s="8" t="s">
        <v>8984</v>
      </c>
      <c r="E605" s="20" t="s">
        <v>8998</v>
      </c>
      <c r="F605" s="20" t="s">
        <v>9036</v>
      </c>
      <c r="G605" s="20" t="s">
        <v>8973</v>
      </c>
      <c r="H605" s="53">
        <v>13</v>
      </c>
      <c r="I605" s="20" t="s">
        <v>9008</v>
      </c>
      <c r="J605" s="20" t="s">
        <v>8953</v>
      </c>
      <c r="K605" s="20" t="s">
        <v>8954</v>
      </c>
      <c r="L605" s="21" t="s">
        <v>8955</v>
      </c>
      <c r="M605" s="20" t="s">
        <v>8956</v>
      </c>
      <c r="N605" s="20" t="s">
        <v>8974</v>
      </c>
      <c r="O605" s="20">
        <f t="shared" si="9"/>
        <v>9</v>
      </c>
      <c r="P605" s="22" t="s">
        <v>8975</v>
      </c>
      <c r="Q605" s="21" t="s">
        <v>8959</v>
      </c>
      <c r="R605" s="23" t="s">
        <v>9650</v>
      </c>
      <c r="S605" s="24" t="s">
        <v>8961</v>
      </c>
      <c r="T605" s="24" t="str">
        <f>VLOOKUP(R605,[1]Sheet3!$A$2:$A$47,1,0)</f>
        <v>Spain</v>
      </c>
      <c r="U605" s="24" t="s">
        <v>12703</v>
      </c>
      <c r="V605" s="24" t="s">
        <v>12704</v>
      </c>
      <c r="W605" s="18" t="s">
        <v>8964</v>
      </c>
      <c r="X605" s="26" t="s">
        <v>126</v>
      </c>
      <c r="Y605" s="18" t="s">
        <v>8966</v>
      </c>
      <c r="Z605" s="24" t="s">
        <v>11</v>
      </c>
    </row>
    <row r="606" spans="1:26" ht="20.100000000000001" customHeight="1" x14ac:dyDescent="0.2">
      <c r="A606" s="18" t="s">
        <v>12705</v>
      </c>
      <c r="B606" s="19" t="s">
        <v>12706</v>
      </c>
      <c r="C606" s="19" t="s">
        <v>12707</v>
      </c>
      <c r="D606" s="8" t="s">
        <v>8948</v>
      </c>
      <c r="E606" s="20" t="s">
        <v>8949</v>
      </c>
      <c r="F606" s="20" t="s">
        <v>8950</v>
      </c>
      <c r="G606" s="20" t="s">
        <v>8973</v>
      </c>
      <c r="H606" s="53">
        <v>10000</v>
      </c>
      <c r="I606" s="20" t="s">
        <v>9019</v>
      </c>
      <c r="J606" s="20" t="s">
        <v>8953</v>
      </c>
      <c r="K606" s="20" t="s">
        <v>8954</v>
      </c>
      <c r="L606" s="21" t="s">
        <v>8955</v>
      </c>
      <c r="M606" s="20" t="s">
        <v>8956</v>
      </c>
      <c r="N606" s="20" t="s">
        <v>8957</v>
      </c>
      <c r="O606" s="20">
        <f t="shared" si="9"/>
        <v>6</v>
      </c>
      <c r="P606" s="22" t="s">
        <v>8958</v>
      </c>
      <c r="Q606" s="21" t="s">
        <v>9009</v>
      </c>
      <c r="R606" s="23" t="s">
        <v>9010</v>
      </c>
      <c r="S606" s="24" t="s">
        <v>9711</v>
      </c>
      <c r="T606" s="24" t="str">
        <f>VLOOKUP(R606,[1]Sheet3!$A$2:$A$47,1,0)</f>
        <v>the United States of America</v>
      </c>
      <c r="U606" s="24" t="s">
        <v>12708</v>
      </c>
      <c r="V606" s="24" t="s">
        <v>12709</v>
      </c>
      <c r="W606" s="18" t="s">
        <v>8964</v>
      </c>
      <c r="X606" s="26" t="s">
        <v>392</v>
      </c>
      <c r="Y606" s="18" t="s">
        <v>9714</v>
      </c>
      <c r="Z606" s="24" t="s">
        <v>11</v>
      </c>
    </row>
    <row r="607" spans="1:26" ht="20.100000000000001" customHeight="1" x14ac:dyDescent="0.2">
      <c r="A607" s="18" t="s">
        <v>12710</v>
      </c>
      <c r="B607" s="19" t="s">
        <v>12711</v>
      </c>
      <c r="C607" s="19" t="s">
        <v>12712</v>
      </c>
      <c r="D607" s="8" t="s">
        <v>9075</v>
      </c>
      <c r="E607" s="20" t="s">
        <v>8971</v>
      </c>
      <c r="F607" s="33" t="s">
        <v>12713</v>
      </c>
      <c r="G607" s="20" t="s">
        <v>8951</v>
      </c>
      <c r="H607" s="55">
        <v>276</v>
      </c>
      <c r="I607" s="20" t="s">
        <v>8988</v>
      </c>
      <c r="J607" s="20" t="s">
        <v>8953</v>
      </c>
      <c r="K607" s="20" t="s">
        <v>8989</v>
      </c>
      <c r="L607" s="21" t="s">
        <v>8955</v>
      </c>
      <c r="M607" s="20" t="s">
        <v>8956</v>
      </c>
      <c r="N607" s="20" t="s">
        <v>8957</v>
      </c>
      <c r="O607" s="20">
        <f t="shared" si="9"/>
        <v>15</v>
      </c>
      <c r="P607" s="22" t="s">
        <v>8975</v>
      </c>
      <c r="Q607" s="21" t="s">
        <v>8959</v>
      </c>
      <c r="R607" s="23" t="s">
        <v>9380</v>
      </c>
      <c r="S607" s="24" t="s">
        <v>9342</v>
      </c>
      <c r="T607" s="24" t="str">
        <f>VLOOKUP(R607,[1]Sheet3!$A$2:$A$47,1,0)</f>
        <v>Canada</v>
      </c>
      <c r="U607" s="24" t="s">
        <v>12714</v>
      </c>
      <c r="V607" s="24" t="s">
        <v>12715</v>
      </c>
      <c r="W607" s="18" t="s">
        <v>8964</v>
      </c>
      <c r="X607" s="26" t="s">
        <v>64</v>
      </c>
      <c r="Y607" s="18" t="s">
        <v>9345</v>
      </c>
      <c r="Z607" s="24" t="s">
        <v>11</v>
      </c>
    </row>
    <row r="608" spans="1:26" ht="20.100000000000001" customHeight="1" x14ac:dyDescent="0.2">
      <c r="A608" s="18" t="s">
        <v>12716</v>
      </c>
      <c r="B608" s="19" t="s">
        <v>12717</v>
      </c>
      <c r="C608" s="19" t="s">
        <v>12718</v>
      </c>
      <c r="D608" s="8" t="s">
        <v>9092</v>
      </c>
      <c r="E608" s="20" t="s">
        <v>8949</v>
      </c>
      <c r="F608" s="20" t="s">
        <v>8972</v>
      </c>
      <c r="G608" s="20" t="s">
        <v>8973</v>
      </c>
      <c r="H608" s="53">
        <v>638</v>
      </c>
      <c r="I608" s="20" t="s">
        <v>9077</v>
      </c>
      <c r="J608" s="20" t="s">
        <v>8953</v>
      </c>
      <c r="K608" s="20" t="s">
        <v>8954</v>
      </c>
      <c r="L608" s="21" t="s">
        <v>8955</v>
      </c>
      <c r="M608" s="20" t="s">
        <v>8956</v>
      </c>
      <c r="N608" s="20" t="s">
        <v>8974</v>
      </c>
      <c r="O608" s="20">
        <f t="shared" si="9"/>
        <v>3</v>
      </c>
      <c r="P608" s="22" t="s">
        <v>9103</v>
      </c>
      <c r="Q608" s="21" t="s">
        <v>9061</v>
      </c>
      <c r="R608" s="39" t="s">
        <v>9010</v>
      </c>
      <c r="S608" s="24" t="s">
        <v>180</v>
      </c>
      <c r="T608" s="24" t="str">
        <f>VLOOKUP(R608,[1]Sheet3!$A$2:$A$47,1,0)</f>
        <v>the United States of America</v>
      </c>
      <c r="U608" s="24" t="s">
        <v>12719</v>
      </c>
      <c r="V608" s="24" t="s">
        <v>12720</v>
      </c>
      <c r="W608" s="18" t="s">
        <v>8964</v>
      </c>
      <c r="X608" s="26" t="s">
        <v>180</v>
      </c>
      <c r="Y608" s="18" t="s">
        <v>11199</v>
      </c>
      <c r="Z608" s="24" t="s">
        <v>11</v>
      </c>
    </row>
    <row r="609" spans="1:26" ht="20.100000000000001" customHeight="1" x14ac:dyDescent="0.2">
      <c r="A609" s="18" t="s">
        <v>12721</v>
      </c>
      <c r="B609" s="19" t="s">
        <v>12722</v>
      </c>
      <c r="C609" s="19" t="s">
        <v>12723</v>
      </c>
      <c r="D609" s="8" t="s">
        <v>9092</v>
      </c>
      <c r="E609" s="20" t="s">
        <v>8949</v>
      </c>
      <c r="F609" s="20" t="s">
        <v>8950</v>
      </c>
      <c r="G609" s="20" t="s">
        <v>9133</v>
      </c>
      <c r="H609" s="53">
        <v>124</v>
      </c>
      <c r="I609" s="20" t="s">
        <v>9158</v>
      </c>
      <c r="J609" s="20" t="s">
        <v>8953</v>
      </c>
      <c r="K609" s="20" t="s">
        <v>8954</v>
      </c>
      <c r="L609" s="21" t="s">
        <v>8955</v>
      </c>
      <c r="M609" s="20" t="s">
        <v>8956</v>
      </c>
      <c r="N609" s="20" t="s">
        <v>8957</v>
      </c>
      <c r="O609" s="20">
        <f t="shared" si="9"/>
        <v>9</v>
      </c>
      <c r="P609" s="22" t="s">
        <v>8975</v>
      </c>
      <c r="Q609" s="21" t="s">
        <v>9061</v>
      </c>
      <c r="R609" s="39" t="s">
        <v>9010</v>
      </c>
      <c r="S609" s="24" t="s">
        <v>10630</v>
      </c>
      <c r="T609" s="24" t="str">
        <f>VLOOKUP(R609,[1]Sheet3!$A$2:$A$47,1,0)</f>
        <v>the United States of America</v>
      </c>
      <c r="U609" s="24" t="s">
        <v>12724</v>
      </c>
      <c r="V609" s="24" t="s">
        <v>12725</v>
      </c>
      <c r="W609" s="18" t="s">
        <v>8964</v>
      </c>
      <c r="X609" s="26" t="s">
        <v>161</v>
      </c>
      <c r="Y609" s="18" t="s">
        <v>10633</v>
      </c>
      <c r="Z609" s="24" t="s">
        <v>11</v>
      </c>
    </row>
    <row r="610" spans="1:26" ht="20.100000000000001" customHeight="1" x14ac:dyDescent="0.2">
      <c r="A610" s="18" t="s">
        <v>12726</v>
      </c>
      <c r="B610" s="19" t="s">
        <v>12727</v>
      </c>
      <c r="C610" s="19" t="s">
        <v>12728</v>
      </c>
      <c r="D610" s="8" t="s">
        <v>9092</v>
      </c>
      <c r="E610" s="20" t="s">
        <v>8998</v>
      </c>
      <c r="F610" s="20" t="s">
        <v>8950</v>
      </c>
      <c r="G610" s="20" t="s">
        <v>8987</v>
      </c>
      <c r="H610" s="53">
        <v>1891</v>
      </c>
      <c r="I610" s="20" t="s">
        <v>8952</v>
      </c>
      <c r="J610" s="20" t="s">
        <v>8953</v>
      </c>
      <c r="K610" s="20" t="s">
        <v>8954</v>
      </c>
      <c r="L610" s="21" t="s">
        <v>8955</v>
      </c>
      <c r="M610" s="20" t="s">
        <v>8956</v>
      </c>
      <c r="N610" s="20" t="s">
        <v>9060</v>
      </c>
      <c r="O610" s="20">
        <f t="shared" si="9"/>
        <v>12</v>
      </c>
      <c r="P610" s="22" t="s">
        <v>8975</v>
      </c>
      <c r="Q610" s="21" t="s">
        <v>9183</v>
      </c>
      <c r="R610" s="56" t="s">
        <v>9213</v>
      </c>
      <c r="S610" s="24" t="s">
        <v>12729</v>
      </c>
      <c r="T610" s="24" t="str">
        <f>VLOOKUP(R610,[1]Sheet3!$A$2:$A$47,1,0)</f>
        <v>South Korea</v>
      </c>
      <c r="U610" s="24" t="s">
        <v>12730</v>
      </c>
      <c r="V610" s="24" t="s">
        <v>12731</v>
      </c>
      <c r="W610" s="18" t="s">
        <v>8964</v>
      </c>
      <c r="X610" s="26" t="s">
        <v>1472</v>
      </c>
      <c r="Y610" s="18" t="s">
        <v>12732</v>
      </c>
      <c r="Z610" s="24" t="s">
        <v>11</v>
      </c>
    </row>
    <row r="611" spans="1:26" ht="20.100000000000001" customHeight="1" x14ac:dyDescent="0.2">
      <c r="A611" s="18" t="s">
        <v>12733</v>
      </c>
      <c r="B611" s="19" t="s">
        <v>12734</v>
      </c>
      <c r="C611" s="19" t="s">
        <v>12735</v>
      </c>
      <c r="D611" s="8" t="s">
        <v>9092</v>
      </c>
      <c r="E611" s="20" t="s">
        <v>9308</v>
      </c>
      <c r="F611" s="20" t="s">
        <v>9658</v>
      </c>
      <c r="G611" s="20" t="s">
        <v>9292</v>
      </c>
      <c r="H611" s="53">
        <v>472</v>
      </c>
      <c r="I611" s="20" t="s">
        <v>8988</v>
      </c>
      <c r="J611" s="20" t="s">
        <v>9059</v>
      </c>
      <c r="K611" s="20" t="s">
        <v>8989</v>
      </c>
      <c r="L611" s="21" t="s">
        <v>8955</v>
      </c>
      <c r="M611" s="20" t="s">
        <v>8956</v>
      </c>
      <c r="N611" s="20" t="s">
        <v>8957</v>
      </c>
      <c r="O611" s="20">
        <f t="shared" si="9"/>
        <v>8</v>
      </c>
      <c r="P611" s="22" t="s">
        <v>8975</v>
      </c>
      <c r="Q611" s="21" t="s">
        <v>9009</v>
      </c>
      <c r="R611" s="23" t="s">
        <v>9310</v>
      </c>
      <c r="S611" s="24" t="s">
        <v>12736</v>
      </c>
      <c r="T611" s="24" t="str">
        <f>VLOOKUP(R611,[1]Sheet3!$A$2:$A$47,1,0)</f>
        <v>China</v>
      </c>
      <c r="U611" s="24" t="s">
        <v>12737</v>
      </c>
      <c r="V611" s="24" t="s">
        <v>12738</v>
      </c>
      <c r="W611" s="18" t="s">
        <v>4457</v>
      </c>
      <c r="X611" s="26" t="s">
        <v>2980</v>
      </c>
      <c r="Y611" s="18" t="s">
        <v>12739</v>
      </c>
      <c r="Z611" s="24" t="s">
        <v>11</v>
      </c>
    </row>
    <row r="612" spans="1:26" ht="20.100000000000001" customHeight="1" x14ac:dyDescent="0.2">
      <c r="A612" s="18" t="s">
        <v>12740</v>
      </c>
      <c r="B612" s="19" t="s">
        <v>12741</v>
      </c>
      <c r="C612" s="19" t="s">
        <v>12742</v>
      </c>
      <c r="D612" s="8" t="s">
        <v>8984</v>
      </c>
      <c r="E612" s="20" t="s">
        <v>8949</v>
      </c>
      <c r="F612" s="20" t="s">
        <v>12743</v>
      </c>
      <c r="G612" s="20" t="s">
        <v>9076</v>
      </c>
      <c r="H612" s="53">
        <v>451</v>
      </c>
      <c r="I612" s="20" t="s">
        <v>8988</v>
      </c>
      <c r="J612" s="20" t="s">
        <v>8953</v>
      </c>
      <c r="K612" s="20" t="s">
        <v>8989</v>
      </c>
      <c r="L612" s="21" t="s">
        <v>8955</v>
      </c>
      <c r="M612" s="20" t="s">
        <v>8956</v>
      </c>
      <c r="N612" s="20" t="s">
        <v>8957</v>
      </c>
      <c r="O612" s="20">
        <f t="shared" si="9"/>
        <v>5</v>
      </c>
      <c r="P612" s="22" t="s">
        <v>8958</v>
      </c>
      <c r="Q612" s="21" t="s">
        <v>8959</v>
      </c>
      <c r="R612" s="23" t="s">
        <v>9310</v>
      </c>
      <c r="S612" s="24" t="s">
        <v>9011</v>
      </c>
      <c r="T612" s="24" t="str">
        <f>VLOOKUP(R612,[1]Sheet3!$A$2:$A$47,1,0)</f>
        <v>China</v>
      </c>
      <c r="U612" s="24" t="s">
        <v>12744</v>
      </c>
      <c r="V612" s="24" t="s">
        <v>12745</v>
      </c>
      <c r="W612" s="18" t="s">
        <v>8964</v>
      </c>
      <c r="X612" s="26" t="s">
        <v>93</v>
      </c>
      <c r="Y612" s="18" t="s">
        <v>9014</v>
      </c>
      <c r="Z612" s="24" t="s">
        <v>11</v>
      </c>
    </row>
    <row r="613" spans="1:26" ht="20.100000000000001" customHeight="1" x14ac:dyDescent="0.2">
      <c r="A613" s="18" t="s">
        <v>12746</v>
      </c>
      <c r="B613" s="19" t="s">
        <v>12747</v>
      </c>
      <c r="C613" s="19" t="s">
        <v>12748</v>
      </c>
      <c r="D613" s="8" t="s">
        <v>8984</v>
      </c>
      <c r="E613" s="20" t="s">
        <v>8998</v>
      </c>
      <c r="F613" s="20" t="s">
        <v>9436</v>
      </c>
      <c r="G613" s="20" t="s">
        <v>8973</v>
      </c>
      <c r="H613" s="53">
        <v>150</v>
      </c>
      <c r="I613" s="20" t="s">
        <v>9158</v>
      </c>
      <c r="J613" s="20" t="s">
        <v>8953</v>
      </c>
      <c r="K613" s="20" t="s">
        <v>8954</v>
      </c>
      <c r="L613" s="21" t="s">
        <v>8955</v>
      </c>
      <c r="M613" s="20" t="s">
        <v>8956</v>
      </c>
      <c r="N613" s="20" t="s">
        <v>9060</v>
      </c>
      <c r="O613" s="20">
        <f t="shared" si="9"/>
        <v>10</v>
      </c>
      <c r="P613" s="22" t="s">
        <v>8975</v>
      </c>
      <c r="Q613" s="21" t="s">
        <v>8959</v>
      </c>
      <c r="R613" s="23" t="s">
        <v>9333</v>
      </c>
      <c r="S613" s="24" t="s">
        <v>9028</v>
      </c>
      <c r="T613" s="24" t="str">
        <f>VLOOKUP(R613,[1]Sheet3!$A$2:$A$47,1,0)</f>
        <v>Japan</v>
      </c>
      <c r="U613" s="24" t="s">
        <v>12749</v>
      </c>
      <c r="V613" s="24" t="s">
        <v>12750</v>
      </c>
      <c r="W613" s="18" t="s">
        <v>8964</v>
      </c>
      <c r="X613" s="26" t="s">
        <v>43</v>
      </c>
      <c r="Y613" s="18" t="s">
        <v>9031</v>
      </c>
      <c r="Z613" s="24" t="s">
        <v>11</v>
      </c>
    </row>
    <row r="614" spans="1:26" ht="20.100000000000001" customHeight="1" x14ac:dyDescent="0.2">
      <c r="A614" s="18" t="s">
        <v>12751</v>
      </c>
      <c r="B614" s="19" t="s">
        <v>12752</v>
      </c>
      <c r="C614" s="19" t="s">
        <v>12753</v>
      </c>
      <c r="D614" s="8" t="s">
        <v>8948</v>
      </c>
      <c r="E614" s="20" t="s">
        <v>9725</v>
      </c>
      <c r="F614" s="20" t="s">
        <v>9051</v>
      </c>
      <c r="G614" s="20" t="s">
        <v>9076</v>
      </c>
      <c r="H614" s="53">
        <v>1875</v>
      </c>
      <c r="I614" s="20" t="s">
        <v>8952</v>
      </c>
      <c r="J614" s="20" t="s">
        <v>8953</v>
      </c>
      <c r="K614" s="20" t="s">
        <v>8989</v>
      </c>
      <c r="L614" s="21" t="s">
        <v>8955</v>
      </c>
      <c r="M614" s="20" t="s">
        <v>8956</v>
      </c>
      <c r="N614" s="20" t="s">
        <v>8957</v>
      </c>
      <c r="O614" s="20">
        <f t="shared" si="9"/>
        <v>10</v>
      </c>
      <c r="P614" s="22" t="s">
        <v>8975</v>
      </c>
      <c r="Q614" s="21" t="s">
        <v>8959</v>
      </c>
      <c r="R614" s="23" t="s">
        <v>9310</v>
      </c>
      <c r="S614" s="18" t="s">
        <v>9711</v>
      </c>
      <c r="T614" s="24" t="str">
        <f>VLOOKUP(R614,[1]Sheet3!$A$2:$A$47,1,0)</f>
        <v>China</v>
      </c>
      <c r="U614" s="18" t="s">
        <v>12754</v>
      </c>
      <c r="V614" s="18" t="s">
        <v>12755</v>
      </c>
      <c r="W614" s="18" t="s">
        <v>8964</v>
      </c>
      <c r="X614" s="18" t="s">
        <v>392</v>
      </c>
      <c r="Y614" s="18" t="s">
        <v>9714</v>
      </c>
      <c r="Z614" s="18" t="s">
        <v>11</v>
      </c>
    </row>
    <row r="615" spans="1:26" ht="20.100000000000001" customHeight="1" x14ac:dyDescent="0.2">
      <c r="A615" s="18" t="s">
        <v>12756</v>
      </c>
      <c r="B615" s="19" t="s">
        <v>12757</v>
      </c>
      <c r="C615" s="19" t="s">
        <v>12758</v>
      </c>
      <c r="D615" s="8" t="s">
        <v>8948</v>
      </c>
      <c r="E615" s="20" t="s">
        <v>8998</v>
      </c>
      <c r="F615" s="20" t="s">
        <v>8950</v>
      </c>
      <c r="G615" s="20" t="s">
        <v>9076</v>
      </c>
      <c r="H615" s="53">
        <v>105</v>
      </c>
      <c r="I615" s="20" t="s">
        <v>9158</v>
      </c>
      <c r="J615" s="20" t="s">
        <v>8953</v>
      </c>
      <c r="K615" s="20" t="s">
        <v>8989</v>
      </c>
      <c r="L615" s="21" t="s">
        <v>8955</v>
      </c>
      <c r="M615" s="20" t="s">
        <v>8956</v>
      </c>
      <c r="N615" s="20" t="s">
        <v>8959</v>
      </c>
      <c r="O615" s="20">
        <f t="shared" si="9"/>
        <v>4</v>
      </c>
      <c r="P615" s="22" t="s">
        <v>8958</v>
      </c>
      <c r="Q615" s="21" t="s">
        <v>9009</v>
      </c>
      <c r="R615" s="23" t="s">
        <v>9010</v>
      </c>
      <c r="S615" s="24" t="s">
        <v>10574</v>
      </c>
      <c r="T615" s="24" t="str">
        <f>VLOOKUP(R615,[1]Sheet3!$A$2:$A$47,1,0)</f>
        <v>the United States of America</v>
      </c>
      <c r="U615" s="24" t="s">
        <v>12759</v>
      </c>
      <c r="V615" s="24" t="s">
        <v>12760</v>
      </c>
      <c r="W615" s="18" t="s">
        <v>8964</v>
      </c>
      <c r="X615" s="26" t="s">
        <v>1202</v>
      </c>
      <c r="Y615" s="18" t="s">
        <v>10577</v>
      </c>
      <c r="Z615" s="24" t="s">
        <v>11</v>
      </c>
    </row>
    <row r="616" spans="1:26" ht="20.100000000000001" customHeight="1" x14ac:dyDescent="0.2">
      <c r="A616" s="18" t="s">
        <v>12761</v>
      </c>
      <c r="B616" s="19" t="s">
        <v>12762</v>
      </c>
      <c r="C616" s="19" t="s">
        <v>12763</v>
      </c>
      <c r="D616" s="8" t="s">
        <v>9605</v>
      </c>
      <c r="E616" s="20" t="s">
        <v>8998</v>
      </c>
      <c r="F616" s="20" t="s">
        <v>9510</v>
      </c>
      <c r="G616" s="20" t="s">
        <v>9464</v>
      </c>
      <c r="H616" s="53">
        <v>405</v>
      </c>
      <c r="I616" s="20" t="s">
        <v>8988</v>
      </c>
      <c r="J616" s="20" t="s">
        <v>8953</v>
      </c>
      <c r="K616" s="20" t="s">
        <v>8989</v>
      </c>
      <c r="L616" s="21" t="s">
        <v>8955</v>
      </c>
      <c r="M616" s="20" t="s">
        <v>8956</v>
      </c>
      <c r="N616" s="20" t="s">
        <v>8957</v>
      </c>
      <c r="O616" s="20">
        <f t="shared" si="9"/>
        <v>5</v>
      </c>
      <c r="P616" s="22" t="s">
        <v>8958</v>
      </c>
      <c r="Q616" s="21" t="s">
        <v>8959</v>
      </c>
      <c r="R616" s="23" t="s">
        <v>9310</v>
      </c>
      <c r="S616" s="24" t="s">
        <v>9550</v>
      </c>
      <c r="T616" s="24" t="str">
        <f>VLOOKUP(R616,[1]Sheet3!$A$2:$A$47,1,0)</f>
        <v>China</v>
      </c>
      <c r="U616" s="24" t="s">
        <v>12764</v>
      </c>
      <c r="V616" s="24" t="s">
        <v>12765</v>
      </c>
      <c r="W616" s="18" t="s">
        <v>8964</v>
      </c>
      <c r="X616" s="26" t="s">
        <v>234</v>
      </c>
      <c r="Y616" s="18" t="s">
        <v>9553</v>
      </c>
      <c r="Z616" s="24" t="s">
        <v>11</v>
      </c>
    </row>
    <row r="617" spans="1:26" ht="20.100000000000001" customHeight="1" x14ac:dyDescent="0.2">
      <c r="A617" s="18" t="s">
        <v>12766</v>
      </c>
      <c r="B617" s="19" t="s">
        <v>12767</v>
      </c>
      <c r="C617" s="19" t="s">
        <v>12768</v>
      </c>
      <c r="D617" s="8" t="s">
        <v>9075</v>
      </c>
      <c r="E617" s="20" t="s">
        <v>8998</v>
      </c>
      <c r="F617" s="20" t="s">
        <v>12769</v>
      </c>
      <c r="G617" s="20" t="s">
        <v>8973</v>
      </c>
      <c r="H617" s="53">
        <v>124</v>
      </c>
      <c r="I617" s="20" t="s">
        <v>9158</v>
      </c>
      <c r="J617" s="20" t="s">
        <v>8953</v>
      </c>
      <c r="K617" s="20" t="s">
        <v>8989</v>
      </c>
      <c r="L617" s="21" t="s">
        <v>8955</v>
      </c>
      <c r="M617" s="20" t="s">
        <v>8956</v>
      </c>
      <c r="N617" s="20" t="s">
        <v>8957</v>
      </c>
      <c r="O617" s="20">
        <f t="shared" si="9"/>
        <v>3</v>
      </c>
      <c r="P617" s="22" t="s">
        <v>9103</v>
      </c>
      <c r="Q617" s="21" t="s">
        <v>8959</v>
      </c>
      <c r="R617" s="23" t="s">
        <v>9310</v>
      </c>
      <c r="S617" s="24" t="s">
        <v>9342</v>
      </c>
      <c r="T617" s="24" t="str">
        <f>VLOOKUP(R617,[1]Sheet3!$A$2:$A$47,1,0)</f>
        <v>China</v>
      </c>
      <c r="U617" s="24" t="s">
        <v>12770</v>
      </c>
      <c r="V617" s="24" t="s">
        <v>12771</v>
      </c>
      <c r="W617" s="18" t="s">
        <v>8964</v>
      </c>
      <c r="X617" s="26" t="s">
        <v>64</v>
      </c>
      <c r="Y617" s="18" t="s">
        <v>9345</v>
      </c>
      <c r="Z617" s="24" t="s">
        <v>11</v>
      </c>
    </row>
    <row r="618" spans="1:26" ht="20.100000000000001" customHeight="1" x14ac:dyDescent="0.2">
      <c r="A618" s="18" t="s">
        <v>12772</v>
      </c>
      <c r="B618" s="19" t="s">
        <v>12773</v>
      </c>
      <c r="C618" s="19" t="s">
        <v>12774</v>
      </c>
      <c r="D618" s="8" t="s">
        <v>9605</v>
      </c>
      <c r="E618" s="20" t="s">
        <v>9325</v>
      </c>
      <c r="F618" s="20" t="s">
        <v>10258</v>
      </c>
      <c r="G618" s="20" t="s">
        <v>9464</v>
      </c>
      <c r="H618" s="53">
        <v>100</v>
      </c>
      <c r="I618" s="20" t="s">
        <v>9008</v>
      </c>
      <c r="J618" s="20" t="s">
        <v>8953</v>
      </c>
      <c r="K618" s="20" t="s">
        <v>8954</v>
      </c>
      <c r="L618" s="21" t="s">
        <v>8955</v>
      </c>
      <c r="M618" s="20" t="s">
        <v>8956</v>
      </c>
      <c r="N618" s="20" t="s">
        <v>8959</v>
      </c>
      <c r="O618" s="20">
        <f t="shared" si="9"/>
        <v>3</v>
      </c>
      <c r="P618" s="22" t="s">
        <v>9103</v>
      </c>
      <c r="Q618" s="21" t="s">
        <v>8959</v>
      </c>
      <c r="R618" s="23" t="s">
        <v>9317</v>
      </c>
      <c r="S618" s="18" t="s">
        <v>8961</v>
      </c>
      <c r="T618" s="24" t="str">
        <f>VLOOKUP(R618,[1]Sheet3!$A$2:$A$47,1,0)</f>
        <v>Germany</v>
      </c>
      <c r="U618" s="18" t="s">
        <v>12775</v>
      </c>
      <c r="V618" s="18" t="s">
        <v>12776</v>
      </c>
      <c r="W618" s="18" t="s">
        <v>8964</v>
      </c>
      <c r="X618" s="18" t="s">
        <v>126</v>
      </c>
      <c r="Y618" s="18" t="s">
        <v>8966</v>
      </c>
      <c r="Z618" s="18" t="s">
        <v>11</v>
      </c>
    </row>
    <row r="619" spans="1:26" ht="20.100000000000001" customHeight="1" x14ac:dyDescent="0.2">
      <c r="A619" s="18" t="s">
        <v>12777</v>
      </c>
      <c r="B619" s="19" t="s">
        <v>12778</v>
      </c>
      <c r="C619" s="19" t="s">
        <v>12779</v>
      </c>
      <c r="D619" s="8" t="s">
        <v>9252</v>
      </c>
      <c r="E619" s="20" t="s">
        <v>9253</v>
      </c>
      <c r="F619" s="20" t="s">
        <v>9036</v>
      </c>
      <c r="G619" s="20" t="s">
        <v>8951</v>
      </c>
      <c r="H619" s="53">
        <v>847</v>
      </c>
      <c r="I619" s="20" t="s">
        <v>9077</v>
      </c>
      <c r="J619" s="20" t="s">
        <v>8953</v>
      </c>
      <c r="K619" s="20" t="s">
        <v>8954</v>
      </c>
      <c r="L619" s="21" t="s">
        <v>8955</v>
      </c>
      <c r="M619" s="20" t="s">
        <v>8956</v>
      </c>
      <c r="N619" s="20" t="s">
        <v>9060</v>
      </c>
      <c r="O619" s="20">
        <f t="shared" si="9"/>
        <v>5</v>
      </c>
      <c r="P619" s="22" t="s">
        <v>8958</v>
      </c>
      <c r="Q619" s="21" t="s">
        <v>8959</v>
      </c>
      <c r="R619" s="23" t="s">
        <v>11100</v>
      </c>
      <c r="S619" s="24" t="s">
        <v>9255</v>
      </c>
      <c r="T619" s="24" t="str">
        <f>VLOOKUP(R619,[1]Sheet3!$A$2:$A$47,1,0)</f>
        <v>Hungary</v>
      </c>
      <c r="U619" s="24" t="s">
        <v>12780</v>
      </c>
      <c r="V619" s="24" t="s">
        <v>12781</v>
      </c>
      <c r="W619" s="18" t="s">
        <v>8964</v>
      </c>
      <c r="X619" s="26" t="s">
        <v>24</v>
      </c>
      <c r="Y619" s="18" t="s">
        <v>9258</v>
      </c>
      <c r="Z619" s="24" t="s">
        <v>11</v>
      </c>
    </row>
    <row r="620" spans="1:26" ht="20.100000000000001" customHeight="1" x14ac:dyDescent="0.2">
      <c r="A620" s="18" t="s">
        <v>12782</v>
      </c>
      <c r="B620" s="19" t="s">
        <v>12783</v>
      </c>
      <c r="C620" s="19" t="s">
        <v>12784</v>
      </c>
      <c r="D620" s="8" t="s">
        <v>8948</v>
      </c>
      <c r="E620" s="20" t="s">
        <v>8998</v>
      </c>
      <c r="F620" s="20" t="s">
        <v>8950</v>
      </c>
      <c r="G620" s="20" t="s">
        <v>9133</v>
      </c>
      <c r="H620" s="53">
        <v>256</v>
      </c>
      <c r="I620" s="20" t="s">
        <v>8988</v>
      </c>
      <c r="J620" s="20" t="s">
        <v>8953</v>
      </c>
      <c r="K620" s="20" t="s">
        <v>8989</v>
      </c>
      <c r="L620" s="21" t="s">
        <v>8955</v>
      </c>
      <c r="M620" s="20" t="s">
        <v>8956</v>
      </c>
      <c r="N620" s="20" t="s">
        <v>8957</v>
      </c>
      <c r="O620" s="20">
        <f t="shared" si="9"/>
        <v>3</v>
      </c>
      <c r="P620" s="22" t="s">
        <v>9103</v>
      </c>
      <c r="Q620" s="21" t="s">
        <v>8959</v>
      </c>
      <c r="R620" s="23" t="s">
        <v>9176</v>
      </c>
      <c r="S620" s="24" t="s">
        <v>9085</v>
      </c>
      <c r="T620" s="24" t="str">
        <f>VLOOKUP(R620,[1]Sheet3!$A$2:$A$47,1,0)</f>
        <v>Australia</v>
      </c>
      <c r="U620" s="24" t="s">
        <v>12785</v>
      </c>
      <c r="V620" s="24" t="s">
        <v>12786</v>
      </c>
      <c r="W620" s="18" t="s">
        <v>8964</v>
      </c>
      <c r="X620" s="26" t="s">
        <v>184</v>
      </c>
      <c r="Y620" s="18" t="s">
        <v>9088</v>
      </c>
      <c r="Z620" s="24" t="s">
        <v>11</v>
      </c>
    </row>
    <row r="621" spans="1:26" ht="20.100000000000001" customHeight="1" x14ac:dyDescent="0.2">
      <c r="A621" s="18" t="s">
        <v>12787</v>
      </c>
      <c r="B621" s="19" t="s">
        <v>12788</v>
      </c>
      <c r="C621" s="19" t="s">
        <v>12789</v>
      </c>
      <c r="D621" s="8" t="s">
        <v>8984</v>
      </c>
      <c r="E621" s="20" t="s">
        <v>8998</v>
      </c>
      <c r="F621" s="33" t="s">
        <v>12790</v>
      </c>
      <c r="G621" s="20" t="s">
        <v>8973</v>
      </c>
      <c r="H621" s="53">
        <v>90</v>
      </c>
      <c r="I621" s="20" t="s">
        <v>9008</v>
      </c>
      <c r="J621" s="20" t="s">
        <v>8953</v>
      </c>
      <c r="K621" s="20" t="s">
        <v>8989</v>
      </c>
      <c r="L621" s="21" t="s">
        <v>8955</v>
      </c>
      <c r="M621" s="20" t="s">
        <v>8956</v>
      </c>
      <c r="N621" s="20" t="s">
        <v>12791</v>
      </c>
      <c r="O621" s="20">
        <f t="shared" si="9"/>
        <v>17</v>
      </c>
      <c r="P621" s="22" t="s">
        <v>8975</v>
      </c>
      <c r="Q621" s="21" t="s">
        <v>9183</v>
      </c>
      <c r="R621" s="23" t="s">
        <v>10873</v>
      </c>
      <c r="S621" s="24" t="s">
        <v>9085</v>
      </c>
      <c r="T621" s="24" t="str">
        <f>VLOOKUP(R621,[1]Sheet3!$A$2:$A$47,1,0)</f>
        <v>UK</v>
      </c>
      <c r="U621" s="24" t="s">
        <v>12792</v>
      </c>
      <c r="V621" s="24" t="s">
        <v>12793</v>
      </c>
      <c r="W621" s="18" t="s">
        <v>8964</v>
      </c>
      <c r="X621" s="26" t="s">
        <v>184</v>
      </c>
      <c r="Y621" s="18" t="s">
        <v>9088</v>
      </c>
      <c r="Z621" s="24" t="s">
        <v>11</v>
      </c>
    </row>
    <row r="622" spans="1:26" ht="20.100000000000001" customHeight="1" x14ac:dyDescent="0.2">
      <c r="A622" s="18" t="s">
        <v>12794</v>
      </c>
      <c r="B622" s="19" t="s">
        <v>12795</v>
      </c>
      <c r="C622" s="19" t="s">
        <v>12796</v>
      </c>
      <c r="D622" s="8" t="s">
        <v>9252</v>
      </c>
      <c r="E622" s="20" t="s">
        <v>9422</v>
      </c>
      <c r="F622" s="20" t="s">
        <v>8950</v>
      </c>
      <c r="G622" s="20" t="s">
        <v>8987</v>
      </c>
      <c r="H622" s="53">
        <v>120</v>
      </c>
      <c r="I622" s="20" t="s">
        <v>9158</v>
      </c>
      <c r="J622" s="20" t="s">
        <v>8953</v>
      </c>
      <c r="K622" s="20" t="s">
        <v>8989</v>
      </c>
      <c r="L622" s="21" t="s">
        <v>8955</v>
      </c>
      <c r="M622" s="20" t="s">
        <v>8956</v>
      </c>
      <c r="N622" s="20" t="s">
        <v>8957</v>
      </c>
      <c r="O622" s="20">
        <f t="shared" si="9"/>
        <v>7</v>
      </c>
      <c r="P622" s="22" t="s">
        <v>8958</v>
      </c>
      <c r="Q622" s="21" t="s">
        <v>8959</v>
      </c>
      <c r="R622" s="23" t="s">
        <v>9650</v>
      </c>
      <c r="S622" s="24" t="s">
        <v>9052</v>
      </c>
      <c r="T622" s="24" t="str">
        <f>VLOOKUP(R622,[1]Sheet3!$A$2:$A$47,1,0)</f>
        <v>Spain</v>
      </c>
      <c r="U622" s="24" t="s">
        <v>12797</v>
      </c>
      <c r="V622" s="24" t="s">
        <v>12798</v>
      </c>
      <c r="W622" s="18" t="s">
        <v>8964</v>
      </c>
      <c r="X622" s="26" t="s">
        <v>74</v>
      </c>
      <c r="Y622" s="18" t="s">
        <v>9055</v>
      </c>
      <c r="Z622" s="24" t="s">
        <v>11</v>
      </c>
    </row>
    <row r="623" spans="1:26" ht="20.100000000000001" customHeight="1" x14ac:dyDescent="0.2">
      <c r="A623" s="18" t="s">
        <v>12799</v>
      </c>
      <c r="B623" s="19" t="s">
        <v>12800</v>
      </c>
      <c r="C623" s="19" t="s">
        <v>12801</v>
      </c>
      <c r="D623" s="8" t="s">
        <v>9605</v>
      </c>
      <c r="E623" s="33" t="s">
        <v>9101</v>
      </c>
      <c r="F623" s="20" t="s">
        <v>9510</v>
      </c>
      <c r="G623" s="20" t="s">
        <v>9076</v>
      </c>
      <c r="H623" s="53">
        <v>384</v>
      </c>
      <c r="I623" s="20" t="s">
        <v>8988</v>
      </c>
      <c r="J623" s="20" t="s">
        <v>8953</v>
      </c>
      <c r="K623" s="20" t="s">
        <v>8989</v>
      </c>
      <c r="L623" s="21" t="s">
        <v>8955</v>
      </c>
      <c r="M623" s="20" t="s">
        <v>8956</v>
      </c>
      <c r="N623" s="20" t="s">
        <v>8957</v>
      </c>
      <c r="O623" s="20">
        <f t="shared" si="9"/>
        <v>13</v>
      </c>
      <c r="P623" s="22" t="s">
        <v>8975</v>
      </c>
      <c r="Q623" s="21" t="s">
        <v>8959</v>
      </c>
      <c r="R623" s="23" t="s">
        <v>9010</v>
      </c>
      <c r="S623" s="24" t="s">
        <v>9271</v>
      </c>
      <c r="T623" s="24" t="str">
        <f>VLOOKUP(R623,[1]Sheet3!$A$2:$A$47,1,0)</f>
        <v>the United States of America</v>
      </c>
      <c r="U623" s="24" t="s">
        <v>12802</v>
      </c>
      <c r="V623" s="24" t="s">
        <v>12803</v>
      </c>
      <c r="W623" s="18" t="s">
        <v>8964</v>
      </c>
      <c r="X623" s="26" t="s">
        <v>15</v>
      </c>
      <c r="Y623" s="18" t="s">
        <v>9274</v>
      </c>
      <c r="Z623" s="24" t="s">
        <v>11</v>
      </c>
    </row>
    <row r="624" spans="1:26" ht="20.100000000000001" customHeight="1" x14ac:dyDescent="0.2">
      <c r="A624" s="18" t="s">
        <v>12804</v>
      </c>
      <c r="B624" s="19" t="s">
        <v>12805</v>
      </c>
      <c r="C624" s="19" t="s">
        <v>12806</v>
      </c>
      <c r="D624" s="8" t="s">
        <v>9092</v>
      </c>
      <c r="E624" s="20" t="s">
        <v>9155</v>
      </c>
      <c r="F624" s="20" t="s">
        <v>12807</v>
      </c>
      <c r="G624" s="20" t="s">
        <v>9133</v>
      </c>
      <c r="H624" s="53">
        <v>2000</v>
      </c>
      <c r="I624" s="20" t="s">
        <v>8952</v>
      </c>
      <c r="J624" s="20" t="s">
        <v>8953</v>
      </c>
      <c r="K624" s="20" t="s">
        <v>8989</v>
      </c>
      <c r="L624" s="21" t="s">
        <v>8955</v>
      </c>
      <c r="M624" s="20" t="s">
        <v>8956</v>
      </c>
      <c r="N624" s="20" t="s">
        <v>9060</v>
      </c>
      <c r="O624" s="20">
        <f t="shared" si="9"/>
        <v>10</v>
      </c>
      <c r="P624" s="22" t="s">
        <v>8975</v>
      </c>
      <c r="Q624" s="21" t="s">
        <v>8959</v>
      </c>
      <c r="R624" s="23" t="s">
        <v>9317</v>
      </c>
      <c r="S624" s="18" t="s">
        <v>10705</v>
      </c>
      <c r="T624" s="24" t="str">
        <f>VLOOKUP(R624,[1]Sheet3!$A$2:$A$47,1,0)</f>
        <v>Germany</v>
      </c>
      <c r="U624" s="18" t="s">
        <v>12808</v>
      </c>
      <c r="V624" s="18" t="s">
        <v>12809</v>
      </c>
      <c r="W624" s="18" t="s">
        <v>8964</v>
      </c>
      <c r="X624" s="18" t="s">
        <v>1848</v>
      </c>
      <c r="Y624" s="18" t="s">
        <v>10708</v>
      </c>
      <c r="Z624" s="18" t="s">
        <v>11</v>
      </c>
    </row>
    <row r="625" spans="1:26" ht="20.100000000000001" customHeight="1" x14ac:dyDescent="0.2">
      <c r="A625" s="18" t="s">
        <v>12810</v>
      </c>
      <c r="B625" s="19" t="s">
        <v>12811</v>
      </c>
      <c r="C625" s="19" t="s">
        <v>12812</v>
      </c>
      <c r="D625" s="8" t="s">
        <v>8984</v>
      </c>
      <c r="E625" s="20" t="s">
        <v>8998</v>
      </c>
      <c r="F625" s="33" t="s">
        <v>9036</v>
      </c>
      <c r="G625" s="20" t="s">
        <v>9133</v>
      </c>
      <c r="H625" s="53">
        <v>222</v>
      </c>
      <c r="I625" s="20" t="s">
        <v>9158</v>
      </c>
      <c r="J625" s="20" t="s">
        <v>8953</v>
      </c>
      <c r="K625" s="20" t="s">
        <v>8989</v>
      </c>
      <c r="L625" s="21" t="s">
        <v>8955</v>
      </c>
      <c r="M625" s="20" t="s">
        <v>8956</v>
      </c>
      <c r="N625" s="20" t="s">
        <v>8957</v>
      </c>
      <c r="O625" s="20">
        <f t="shared" si="9"/>
        <v>5</v>
      </c>
      <c r="P625" s="22" t="s">
        <v>8958</v>
      </c>
      <c r="Q625" s="21" t="s">
        <v>8959</v>
      </c>
      <c r="R625" s="23" t="s">
        <v>9387</v>
      </c>
      <c r="S625" s="24" t="s">
        <v>11007</v>
      </c>
      <c r="T625" s="24" t="str">
        <f>VLOOKUP(R625,[1]Sheet3!$A$2:$A$47,1,0)</f>
        <v>Israel</v>
      </c>
      <c r="U625" s="24" t="s">
        <v>12813</v>
      </c>
      <c r="V625" s="24" t="s">
        <v>12814</v>
      </c>
      <c r="W625" s="18" t="s">
        <v>8964</v>
      </c>
      <c r="X625" s="26" t="s">
        <v>5</v>
      </c>
      <c r="Y625" s="18" t="s">
        <v>11010</v>
      </c>
      <c r="Z625" s="24" t="s">
        <v>11</v>
      </c>
    </row>
    <row r="626" spans="1:26" ht="20.100000000000001" customHeight="1" x14ac:dyDescent="0.2">
      <c r="A626" s="18" t="s">
        <v>12815</v>
      </c>
      <c r="B626" s="19" t="s">
        <v>12816</v>
      </c>
      <c r="C626" s="19" t="s">
        <v>12817</v>
      </c>
      <c r="D626" s="8" t="s">
        <v>8948</v>
      </c>
      <c r="E626" s="20" t="s">
        <v>8949</v>
      </c>
      <c r="F626" s="33" t="s">
        <v>12818</v>
      </c>
      <c r="G626" s="20" t="s">
        <v>8973</v>
      </c>
      <c r="H626" s="53">
        <v>24</v>
      </c>
      <c r="I626" s="20" t="s">
        <v>9008</v>
      </c>
      <c r="J626" s="20" t="s">
        <v>8953</v>
      </c>
      <c r="K626" s="20" t="s">
        <v>8989</v>
      </c>
      <c r="L626" s="21" t="s">
        <v>8955</v>
      </c>
      <c r="M626" s="20" t="s">
        <v>8956</v>
      </c>
      <c r="N626" s="20" t="s">
        <v>9060</v>
      </c>
      <c r="O626" s="20">
        <f t="shared" si="9"/>
        <v>6</v>
      </c>
      <c r="P626" s="22" t="s">
        <v>8958</v>
      </c>
      <c r="Q626" s="21" t="s">
        <v>8959</v>
      </c>
      <c r="R626" s="23" t="s">
        <v>10873</v>
      </c>
      <c r="S626" s="24" t="s">
        <v>9028</v>
      </c>
      <c r="T626" s="24" t="str">
        <f>VLOOKUP(R626,[1]Sheet3!$A$2:$A$47,1,0)</f>
        <v>UK</v>
      </c>
      <c r="U626" s="24" t="s">
        <v>12819</v>
      </c>
      <c r="V626" s="24" t="s">
        <v>12820</v>
      </c>
      <c r="W626" s="18" t="s">
        <v>8964</v>
      </c>
      <c r="X626" s="26" t="s">
        <v>43</v>
      </c>
      <c r="Y626" s="18" t="s">
        <v>9031</v>
      </c>
      <c r="Z626" s="24" t="s">
        <v>11</v>
      </c>
    </row>
    <row r="627" spans="1:26" ht="20.100000000000001" customHeight="1" x14ac:dyDescent="0.2">
      <c r="A627" s="18" t="s">
        <v>12821</v>
      </c>
      <c r="B627" s="19" t="s">
        <v>12822</v>
      </c>
      <c r="C627" s="19" t="s">
        <v>12823</v>
      </c>
      <c r="D627" s="8" t="s">
        <v>9100</v>
      </c>
      <c r="E627" s="20" t="s">
        <v>8949</v>
      </c>
      <c r="F627" s="20" t="s">
        <v>8950</v>
      </c>
      <c r="G627" s="20" t="s">
        <v>9292</v>
      </c>
      <c r="H627" s="53">
        <v>10298</v>
      </c>
      <c r="I627" s="20" t="s">
        <v>9019</v>
      </c>
      <c r="J627" s="20" t="s">
        <v>8953</v>
      </c>
      <c r="K627" s="20" t="s">
        <v>8954</v>
      </c>
      <c r="L627" s="21" t="s">
        <v>8955</v>
      </c>
      <c r="M627" s="20" t="s">
        <v>8956</v>
      </c>
      <c r="N627" s="20" t="s">
        <v>8957</v>
      </c>
      <c r="O627" s="20">
        <f t="shared" si="9"/>
        <v>10</v>
      </c>
      <c r="P627" s="22" t="s">
        <v>8975</v>
      </c>
      <c r="Q627" s="21" t="s">
        <v>9061</v>
      </c>
      <c r="R627" s="23" t="s">
        <v>9010</v>
      </c>
      <c r="S627" s="24" t="s">
        <v>10630</v>
      </c>
      <c r="T627" s="24" t="str">
        <f>VLOOKUP(R627,[1]Sheet3!$A$2:$A$47,1,0)</f>
        <v>the United States of America</v>
      </c>
      <c r="U627" s="24" t="s">
        <v>12824</v>
      </c>
      <c r="V627" s="24" t="s">
        <v>12825</v>
      </c>
      <c r="W627" s="18" t="s">
        <v>8964</v>
      </c>
      <c r="X627" s="26" t="s">
        <v>161</v>
      </c>
      <c r="Y627" s="18" t="s">
        <v>10633</v>
      </c>
      <c r="Z627" s="24" t="s">
        <v>11</v>
      </c>
    </row>
    <row r="628" spans="1:26" ht="20.100000000000001" customHeight="1" x14ac:dyDescent="0.2">
      <c r="A628" s="18" t="s">
        <v>12826</v>
      </c>
      <c r="B628" s="19" t="s">
        <v>12827</v>
      </c>
      <c r="C628" s="19" t="s">
        <v>12828</v>
      </c>
      <c r="D628" s="8" t="s">
        <v>8948</v>
      </c>
      <c r="E628" s="20" t="s">
        <v>8949</v>
      </c>
      <c r="F628" s="20" t="s">
        <v>9436</v>
      </c>
      <c r="G628" s="20" t="s">
        <v>8973</v>
      </c>
      <c r="H628" s="53">
        <v>20</v>
      </c>
      <c r="I628" s="20" t="s">
        <v>9008</v>
      </c>
      <c r="J628" s="20" t="s">
        <v>9059</v>
      </c>
      <c r="K628" s="20" t="s">
        <v>8989</v>
      </c>
      <c r="L628" s="21" t="s">
        <v>8955</v>
      </c>
      <c r="M628" s="20" t="s">
        <v>8956</v>
      </c>
      <c r="N628" s="20" t="s">
        <v>8957</v>
      </c>
      <c r="O628" s="20">
        <f t="shared" si="9"/>
        <v>7</v>
      </c>
      <c r="P628" s="22" t="s">
        <v>8958</v>
      </c>
      <c r="Q628" s="21" t="s">
        <v>9061</v>
      </c>
      <c r="R628" s="23" t="s">
        <v>9010</v>
      </c>
      <c r="S628" s="24" t="s">
        <v>8961</v>
      </c>
      <c r="T628" s="24" t="str">
        <f>VLOOKUP(R628,[1]Sheet3!$A$2:$A$47,1,0)</f>
        <v>the United States of America</v>
      </c>
      <c r="U628" s="24" t="s">
        <v>12829</v>
      </c>
      <c r="V628" s="24" t="s">
        <v>12830</v>
      </c>
      <c r="W628" s="18" t="s">
        <v>8964</v>
      </c>
      <c r="X628" s="26" t="s">
        <v>126</v>
      </c>
      <c r="Y628" s="18" t="s">
        <v>8966</v>
      </c>
      <c r="Z628" s="24" t="s">
        <v>11</v>
      </c>
    </row>
    <row r="629" spans="1:26" ht="20.100000000000001" customHeight="1" x14ac:dyDescent="0.2">
      <c r="A629" s="18" t="s">
        <v>12831</v>
      </c>
      <c r="B629" s="19" t="s">
        <v>12832</v>
      </c>
      <c r="C629" s="19" t="s">
        <v>12833</v>
      </c>
      <c r="D629" s="8" t="s">
        <v>8984</v>
      </c>
      <c r="E629" s="20" t="s">
        <v>8971</v>
      </c>
      <c r="F629" s="20" t="s">
        <v>8950</v>
      </c>
      <c r="G629" s="20" t="s">
        <v>8951</v>
      </c>
      <c r="H629" s="53">
        <v>63</v>
      </c>
      <c r="I629" s="20" t="s">
        <v>9008</v>
      </c>
      <c r="J629" s="20" t="s">
        <v>9059</v>
      </c>
      <c r="K629" s="20" t="s">
        <v>8989</v>
      </c>
      <c r="L629" s="21" t="s">
        <v>8955</v>
      </c>
      <c r="M629" s="20" t="s">
        <v>8956</v>
      </c>
      <c r="N629" s="20" t="s">
        <v>8957</v>
      </c>
      <c r="O629" s="20">
        <f t="shared" si="9"/>
        <v>8</v>
      </c>
      <c r="P629" s="22" t="s">
        <v>8975</v>
      </c>
      <c r="Q629" s="21" t="s">
        <v>8959</v>
      </c>
      <c r="R629" s="23" t="s">
        <v>9815</v>
      </c>
      <c r="S629" s="18" t="s">
        <v>9085</v>
      </c>
      <c r="T629" s="24" t="str">
        <f>VLOOKUP(R629,[1]Sheet3!$A$2:$A$47,1,0)</f>
        <v>India</v>
      </c>
      <c r="U629" s="18" t="s">
        <v>12834</v>
      </c>
      <c r="V629" s="18" t="s">
        <v>12835</v>
      </c>
      <c r="W629" s="18" t="s">
        <v>8964</v>
      </c>
      <c r="X629" s="18" t="s">
        <v>184</v>
      </c>
      <c r="Y629" s="18" t="s">
        <v>9088</v>
      </c>
      <c r="Z629" s="18" t="s">
        <v>11</v>
      </c>
    </row>
    <row r="630" spans="1:26" ht="20.100000000000001" customHeight="1" x14ac:dyDescent="0.2">
      <c r="A630" s="18" t="s">
        <v>12836</v>
      </c>
      <c r="B630" s="19" t="s">
        <v>12837</v>
      </c>
      <c r="C630" s="19" t="s">
        <v>12838</v>
      </c>
      <c r="D630" s="8" t="s">
        <v>9049</v>
      </c>
      <c r="E630" s="33" t="s">
        <v>9050</v>
      </c>
      <c r="F630" s="33" t="s">
        <v>8950</v>
      </c>
      <c r="G630" s="20" t="s">
        <v>8951</v>
      </c>
      <c r="H630" s="53" t="s">
        <v>12839</v>
      </c>
      <c r="I630" s="20" t="s">
        <v>9019</v>
      </c>
      <c r="J630" s="20" t="s">
        <v>8953</v>
      </c>
      <c r="K630" s="20" t="s">
        <v>8989</v>
      </c>
      <c r="L630" s="21" t="s">
        <v>8955</v>
      </c>
      <c r="M630" s="20" t="s">
        <v>8956</v>
      </c>
      <c r="N630" s="20" t="s">
        <v>8974</v>
      </c>
      <c r="O630" s="20">
        <f t="shared" si="9"/>
        <v>6</v>
      </c>
      <c r="P630" s="22" t="s">
        <v>8958</v>
      </c>
      <c r="Q630" s="21" t="s">
        <v>9009</v>
      </c>
      <c r="R630" s="23" t="s">
        <v>9310</v>
      </c>
      <c r="S630" s="24" t="s">
        <v>447</v>
      </c>
      <c r="T630" s="24" t="str">
        <f>VLOOKUP(R630,[1]Sheet3!$A$2:$A$47,1,0)</f>
        <v>China</v>
      </c>
      <c r="U630" s="24" t="s">
        <v>12840</v>
      </c>
      <c r="V630" s="24" t="s">
        <v>12841</v>
      </c>
      <c r="W630" s="18" t="s">
        <v>8964</v>
      </c>
      <c r="X630" s="26" t="s">
        <v>447</v>
      </c>
      <c r="Y630" s="18" t="s">
        <v>12639</v>
      </c>
      <c r="Z630" s="24" t="s">
        <v>11</v>
      </c>
    </row>
    <row r="631" spans="1:26" ht="20.100000000000001" customHeight="1" x14ac:dyDescent="0.2">
      <c r="A631" s="18" t="s">
        <v>12842</v>
      </c>
      <c r="B631" s="19" t="s">
        <v>12843</v>
      </c>
      <c r="C631" s="19" t="s">
        <v>12844</v>
      </c>
      <c r="D631" s="8" t="s">
        <v>8948</v>
      </c>
      <c r="E631" s="20" t="s">
        <v>9725</v>
      </c>
      <c r="F631" s="20" t="s">
        <v>9510</v>
      </c>
      <c r="G631" s="20" t="s">
        <v>9133</v>
      </c>
      <c r="H631" s="53">
        <v>1051</v>
      </c>
      <c r="I631" s="20" t="s">
        <v>8952</v>
      </c>
      <c r="J631" s="20" t="s">
        <v>8953</v>
      </c>
      <c r="K631" s="20" t="s">
        <v>8989</v>
      </c>
      <c r="L631" s="21" t="s">
        <v>8955</v>
      </c>
      <c r="M631" s="20" t="s">
        <v>8956</v>
      </c>
      <c r="N631" s="20" t="s">
        <v>8957</v>
      </c>
      <c r="O631" s="20">
        <f t="shared" si="9"/>
        <v>6</v>
      </c>
      <c r="P631" s="22" t="s">
        <v>8958</v>
      </c>
      <c r="Q631" s="21" t="s">
        <v>8959</v>
      </c>
      <c r="R631" s="23" t="s">
        <v>9380</v>
      </c>
      <c r="S631" s="24" t="s">
        <v>8961</v>
      </c>
      <c r="T631" s="24" t="str">
        <f>VLOOKUP(R631,[1]Sheet3!$A$2:$A$47,1,0)</f>
        <v>Canada</v>
      </c>
      <c r="U631" s="24" t="s">
        <v>12845</v>
      </c>
      <c r="V631" s="24" t="s">
        <v>12655</v>
      </c>
      <c r="W631" s="18" t="s">
        <v>8964</v>
      </c>
      <c r="X631" s="26" t="s">
        <v>126</v>
      </c>
      <c r="Y631" s="18" t="s">
        <v>8966</v>
      </c>
      <c r="Z631" s="24" t="s">
        <v>11</v>
      </c>
    </row>
    <row r="632" spans="1:26" ht="20.100000000000001" customHeight="1" x14ac:dyDescent="0.2">
      <c r="A632" s="18" t="s">
        <v>12846</v>
      </c>
      <c r="B632" s="19" t="s">
        <v>12847</v>
      </c>
      <c r="C632" s="19" t="s">
        <v>12848</v>
      </c>
      <c r="D632" s="8" t="s">
        <v>8984</v>
      </c>
      <c r="E632" s="20" t="s">
        <v>8998</v>
      </c>
      <c r="F632" s="20" t="s">
        <v>8950</v>
      </c>
      <c r="G632" s="20" t="s">
        <v>8951</v>
      </c>
      <c r="H632" s="53">
        <v>888</v>
      </c>
      <c r="I632" s="20" t="s">
        <v>9077</v>
      </c>
      <c r="J632" s="20" t="s">
        <v>8953</v>
      </c>
      <c r="K632" s="20" t="s">
        <v>8989</v>
      </c>
      <c r="L632" s="21" t="s">
        <v>8955</v>
      </c>
      <c r="M632" s="20" t="s">
        <v>8956</v>
      </c>
      <c r="N632" s="20" t="s">
        <v>8974</v>
      </c>
      <c r="O632" s="20">
        <f t="shared" si="9"/>
        <v>4</v>
      </c>
      <c r="P632" s="22" t="s">
        <v>8958</v>
      </c>
      <c r="Q632" s="21" t="s">
        <v>8959</v>
      </c>
      <c r="R632" s="23" t="s">
        <v>9310</v>
      </c>
      <c r="S632" s="24" t="s">
        <v>9011</v>
      </c>
      <c r="T632" s="24" t="str">
        <f>VLOOKUP(R632,[1]Sheet3!$A$2:$A$47,1,0)</f>
        <v>China</v>
      </c>
      <c r="U632" s="24" t="s">
        <v>12849</v>
      </c>
      <c r="V632" s="24" t="s">
        <v>12850</v>
      </c>
      <c r="W632" s="18" t="s">
        <v>8964</v>
      </c>
      <c r="X632" s="26" t="s">
        <v>93</v>
      </c>
      <c r="Y632" s="18" t="s">
        <v>9014</v>
      </c>
      <c r="Z632" s="24" t="s">
        <v>11</v>
      </c>
    </row>
    <row r="633" spans="1:26" ht="20.100000000000001" customHeight="1" x14ac:dyDescent="0.2">
      <c r="A633" s="18" t="s">
        <v>12851</v>
      </c>
      <c r="B633" s="19" t="s">
        <v>12852</v>
      </c>
      <c r="C633" s="19" t="s">
        <v>12853</v>
      </c>
      <c r="D633" s="8" t="s">
        <v>9100</v>
      </c>
      <c r="E633" s="20" t="s">
        <v>9725</v>
      </c>
      <c r="F633" s="20" t="s">
        <v>8972</v>
      </c>
      <c r="G633" s="20" t="s">
        <v>8973</v>
      </c>
      <c r="H633" s="53">
        <v>200</v>
      </c>
      <c r="I633" s="20" t="s">
        <v>8988</v>
      </c>
      <c r="J633" s="20" t="s">
        <v>8953</v>
      </c>
      <c r="K633" s="20" t="s">
        <v>8954</v>
      </c>
      <c r="L633" s="21" t="s">
        <v>8955</v>
      </c>
      <c r="M633" s="20" t="s">
        <v>8956</v>
      </c>
      <c r="N633" s="20" t="s">
        <v>9060</v>
      </c>
      <c r="O633" s="20">
        <f t="shared" si="9"/>
        <v>6</v>
      </c>
      <c r="P633" s="22" t="s">
        <v>8958</v>
      </c>
      <c r="Q633" s="21" t="s">
        <v>9009</v>
      </c>
      <c r="R633" s="23" t="s">
        <v>9380</v>
      </c>
      <c r="S633" s="24" t="s">
        <v>9255</v>
      </c>
      <c r="T633" s="24" t="str">
        <f>VLOOKUP(R633,[1]Sheet3!$A$2:$A$47,1,0)</f>
        <v>Canada</v>
      </c>
      <c r="U633" s="24" t="s">
        <v>11291</v>
      </c>
      <c r="V633" s="24" t="s">
        <v>12854</v>
      </c>
      <c r="W633" s="18" t="s">
        <v>8964</v>
      </c>
      <c r="X633" s="26" t="s">
        <v>24</v>
      </c>
      <c r="Y633" s="18" t="s">
        <v>9258</v>
      </c>
      <c r="Z633" s="24" t="s">
        <v>11</v>
      </c>
    </row>
    <row r="634" spans="1:26" ht="20.100000000000001" customHeight="1" x14ac:dyDescent="0.2">
      <c r="A634" s="18" t="s">
        <v>12855</v>
      </c>
      <c r="B634" s="19" t="s">
        <v>12856</v>
      </c>
      <c r="C634" s="19" t="s">
        <v>12857</v>
      </c>
      <c r="D634" s="8" t="s">
        <v>8948</v>
      </c>
      <c r="E634" s="20" t="s">
        <v>8949</v>
      </c>
      <c r="F634" s="20" t="s">
        <v>9599</v>
      </c>
      <c r="G634" s="20" t="s">
        <v>8973</v>
      </c>
      <c r="H634" s="53">
        <v>230</v>
      </c>
      <c r="I634" s="20" t="s">
        <v>9158</v>
      </c>
      <c r="J634" s="20" t="s">
        <v>8953</v>
      </c>
      <c r="K634" s="20" t="s">
        <v>8989</v>
      </c>
      <c r="L634" s="21" t="s">
        <v>8955</v>
      </c>
      <c r="M634" s="20" t="s">
        <v>8956</v>
      </c>
      <c r="N634" s="20" t="s">
        <v>8959</v>
      </c>
      <c r="O634" s="20">
        <f t="shared" si="9"/>
        <v>3</v>
      </c>
      <c r="P634" s="22" t="s">
        <v>9103</v>
      </c>
      <c r="Q634" s="21" t="s">
        <v>8959</v>
      </c>
      <c r="R634" s="23" t="s">
        <v>9968</v>
      </c>
      <c r="S634" s="24" t="s">
        <v>9020</v>
      </c>
      <c r="T634" s="24" t="str">
        <f>VLOOKUP(R634,[1]Sheet3!$A$2:$A$47,1,0)</f>
        <v>Iran</v>
      </c>
      <c r="U634" s="24" t="s">
        <v>12858</v>
      </c>
      <c r="V634" s="24" t="s">
        <v>12859</v>
      </c>
      <c r="W634" s="18" t="s">
        <v>8964</v>
      </c>
      <c r="X634" s="26" t="s">
        <v>87</v>
      </c>
      <c r="Y634" s="18" t="s">
        <v>9023</v>
      </c>
      <c r="Z634" s="24" t="s">
        <v>11</v>
      </c>
    </row>
    <row r="635" spans="1:26" ht="20.100000000000001" customHeight="1" x14ac:dyDescent="0.2">
      <c r="A635" s="18" t="s">
        <v>12860</v>
      </c>
      <c r="B635" s="19" t="s">
        <v>12861</v>
      </c>
      <c r="C635" s="19" t="s">
        <v>12862</v>
      </c>
      <c r="D635" s="8" t="s">
        <v>8948</v>
      </c>
      <c r="E635" s="20" t="s">
        <v>9308</v>
      </c>
      <c r="F635" s="20" t="s">
        <v>8950</v>
      </c>
      <c r="G635" s="20" t="s">
        <v>8973</v>
      </c>
      <c r="H635" s="53">
        <v>296</v>
      </c>
      <c r="I635" s="20" t="s">
        <v>8988</v>
      </c>
      <c r="J635" s="20" t="s">
        <v>8953</v>
      </c>
      <c r="K635" s="20" t="s">
        <v>8989</v>
      </c>
      <c r="L635" s="21" t="s">
        <v>8955</v>
      </c>
      <c r="M635" s="20" t="s">
        <v>8956</v>
      </c>
      <c r="N635" s="20" t="s">
        <v>8957</v>
      </c>
      <c r="O635" s="20">
        <f t="shared" si="9"/>
        <v>3</v>
      </c>
      <c r="P635" s="22" t="s">
        <v>9103</v>
      </c>
      <c r="Q635" s="21" t="s">
        <v>8959</v>
      </c>
      <c r="R635" s="23" t="s">
        <v>10873</v>
      </c>
      <c r="S635" s="24" t="s">
        <v>9085</v>
      </c>
      <c r="T635" s="24" t="str">
        <f>VLOOKUP(R635,[1]Sheet3!$A$2:$A$47,1,0)</f>
        <v>UK</v>
      </c>
      <c r="U635" s="24" t="s">
        <v>12863</v>
      </c>
      <c r="V635" s="24" t="s">
        <v>12864</v>
      </c>
      <c r="W635" s="18" t="s">
        <v>8964</v>
      </c>
      <c r="X635" s="26" t="s">
        <v>184</v>
      </c>
      <c r="Y635" s="18" t="s">
        <v>9088</v>
      </c>
      <c r="Z635" s="24" t="s">
        <v>11</v>
      </c>
    </row>
    <row r="636" spans="1:26" ht="20.100000000000001" customHeight="1" x14ac:dyDescent="0.2">
      <c r="A636" s="18" t="s">
        <v>12865</v>
      </c>
      <c r="B636" s="19" t="s">
        <v>12866</v>
      </c>
      <c r="C636" s="19" t="s">
        <v>12867</v>
      </c>
      <c r="D636" s="8" t="s">
        <v>9252</v>
      </c>
      <c r="E636" s="20" t="s">
        <v>9253</v>
      </c>
      <c r="F636" s="20" t="s">
        <v>9349</v>
      </c>
      <c r="G636" s="20" t="s">
        <v>8987</v>
      </c>
      <c r="H636" s="53">
        <v>600</v>
      </c>
      <c r="I636" s="20" t="s">
        <v>9077</v>
      </c>
      <c r="J636" s="20" t="s">
        <v>8953</v>
      </c>
      <c r="K636" s="20" t="s">
        <v>8989</v>
      </c>
      <c r="L636" s="21" t="s">
        <v>8955</v>
      </c>
      <c r="M636" s="20" t="s">
        <v>8956</v>
      </c>
      <c r="N636" s="20" t="s">
        <v>8957</v>
      </c>
      <c r="O636" s="20">
        <f t="shared" si="9"/>
        <v>10</v>
      </c>
      <c r="P636" s="22" t="s">
        <v>8975</v>
      </c>
      <c r="Q636" s="21" t="s">
        <v>9009</v>
      </c>
      <c r="R636" s="23" t="s">
        <v>9213</v>
      </c>
      <c r="S636" s="18" t="s">
        <v>9085</v>
      </c>
      <c r="T636" s="24" t="str">
        <f>VLOOKUP(R636,[1]Sheet3!$A$2:$A$47,1,0)</f>
        <v>South Korea</v>
      </c>
      <c r="U636" s="18" t="s">
        <v>12868</v>
      </c>
      <c r="V636" s="18" t="s">
        <v>12869</v>
      </c>
      <c r="W636" s="18" t="s">
        <v>8964</v>
      </c>
      <c r="X636" s="18" t="s">
        <v>184</v>
      </c>
      <c r="Y636" s="18" t="s">
        <v>9088</v>
      </c>
      <c r="Z636" s="18" t="s">
        <v>11</v>
      </c>
    </row>
    <row r="637" spans="1:26" ht="20.100000000000001" customHeight="1" x14ac:dyDescent="0.2">
      <c r="A637" s="18" t="s">
        <v>12870</v>
      </c>
      <c r="B637" s="19" t="s">
        <v>12871</v>
      </c>
      <c r="C637" s="19" t="s">
        <v>12872</v>
      </c>
      <c r="D637" s="8" t="s">
        <v>9252</v>
      </c>
      <c r="E637" s="20" t="s">
        <v>9253</v>
      </c>
      <c r="F637" s="20" t="s">
        <v>9018</v>
      </c>
      <c r="G637" s="20" t="s">
        <v>8987</v>
      </c>
      <c r="H637" s="53">
        <v>1200</v>
      </c>
      <c r="I637" s="20" t="s">
        <v>8952</v>
      </c>
      <c r="J637" s="20" t="s">
        <v>8953</v>
      </c>
      <c r="K637" s="20" t="s">
        <v>8954</v>
      </c>
      <c r="L637" s="21" t="s">
        <v>8955</v>
      </c>
      <c r="M637" s="20" t="s">
        <v>8956</v>
      </c>
      <c r="N637" s="20" t="s">
        <v>8959</v>
      </c>
      <c r="O637" s="20">
        <f t="shared" si="9"/>
        <v>3</v>
      </c>
      <c r="P637" s="22" t="s">
        <v>9103</v>
      </c>
      <c r="Q637" s="21" t="s">
        <v>9183</v>
      </c>
      <c r="R637" s="23" t="s">
        <v>12873</v>
      </c>
      <c r="S637" s="18" t="s">
        <v>9085</v>
      </c>
      <c r="T637" s="24" t="str">
        <f>VLOOKUP(R637,[1]Sheet3!$A$2:$A$47,1,0)</f>
        <v>Morocco</v>
      </c>
      <c r="U637" s="18" t="s">
        <v>12874</v>
      </c>
      <c r="V637" s="18" t="s">
        <v>12875</v>
      </c>
      <c r="W637" s="18" t="s">
        <v>8964</v>
      </c>
      <c r="X637" s="18" t="s">
        <v>184</v>
      </c>
      <c r="Y637" s="18" t="s">
        <v>9088</v>
      </c>
      <c r="Z637" s="18" t="s">
        <v>11</v>
      </c>
    </row>
    <row r="638" spans="1:26" ht="20.100000000000001" customHeight="1" x14ac:dyDescent="0.2">
      <c r="A638" s="18" t="s">
        <v>12876</v>
      </c>
      <c r="B638" s="19" t="s">
        <v>12877</v>
      </c>
      <c r="C638" s="19" t="s">
        <v>12878</v>
      </c>
      <c r="D638" s="8" t="s">
        <v>9049</v>
      </c>
      <c r="E638" s="20" t="s">
        <v>9325</v>
      </c>
      <c r="F638" s="20" t="s">
        <v>8950</v>
      </c>
      <c r="G638" s="20" t="s">
        <v>9133</v>
      </c>
      <c r="H638" s="53">
        <v>207130</v>
      </c>
      <c r="I638" s="20" t="s">
        <v>9019</v>
      </c>
      <c r="J638" s="20" t="s">
        <v>8953</v>
      </c>
      <c r="K638" s="20" t="s">
        <v>8989</v>
      </c>
      <c r="L638" s="21" t="s">
        <v>8955</v>
      </c>
      <c r="M638" s="20" t="s">
        <v>8956</v>
      </c>
      <c r="N638" s="20" t="s">
        <v>9060</v>
      </c>
      <c r="O638" s="20">
        <f t="shared" si="9"/>
        <v>39</v>
      </c>
      <c r="P638" s="22" t="s">
        <v>8975</v>
      </c>
      <c r="Q638" s="21" t="s">
        <v>9009</v>
      </c>
      <c r="R638" s="23" t="s">
        <v>9010</v>
      </c>
      <c r="S638" s="18" t="s">
        <v>1462</v>
      </c>
      <c r="T638" s="24" t="str">
        <f>VLOOKUP(R638,[1]Sheet3!$A$2:$A$47,1,0)</f>
        <v>the United States of America</v>
      </c>
      <c r="U638" s="18" t="s">
        <v>12879</v>
      </c>
      <c r="V638" s="18" t="s">
        <v>12880</v>
      </c>
      <c r="W638" s="18" t="s">
        <v>8964</v>
      </c>
      <c r="X638" s="18" t="s">
        <v>1462</v>
      </c>
      <c r="Y638" s="18" t="s">
        <v>12881</v>
      </c>
      <c r="Z638" s="18" t="s">
        <v>11</v>
      </c>
    </row>
    <row r="639" spans="1:26" ht="20.100000000000001" customHeight="1" x14ac:dyDescent="0.2">
      <c r="A639" s="18" t="s">
        <v>12882</v>
      </c>
      <c r="B639" s="19" t="s">
        <v>12883</v>
      </c>
      <c r="C639" s="19" t="s">
        <v>12884</v>
      </c>
      <c r="D639" s="8" t="s">
        <v>8984</v>
      </c>
      <c r="E639" s="20" t="s">
        <v>8998</v>
      </c>
      <c r="F639" s="20" t="s">
        <v>12885</v>
      </c>
      <c r="G639" s="20" t="s">
        <v>8987</v>
      </c>
      <c r="H639" s="53">
        <v>80</v>
      </c>
      <c r="I639" s="20" t="s">
        <v>9008</v>
      </c>
      <c r="J639" s="20" t="s">
        <v>8953</v>
      </c>
      <c r="K639" s="20" t="s">
        <v>8989</v>
      </c>
      <c r="L639" s="21" t="s">
        <v>8955</v>
      </c>
      <c r="M639" s="20" t="s">
        <v>8956</v>
      </c>
      <c r="N639" s="20" t="s">
        <v>8957</v>
      </c>
      <c r="O639" s="20">
        <f t="shared" si="9"/>
        <v>4</v>
      </c>
      <c r="P639" s="22" t="s">
        <v>8958</v>
      </c>
      <c r="Q639" s="21" t="s">
        <v>9183</v>
      </c>
      <c r="R639" s="23" t="s">
        <v>9213</v>
      </c>
      <c r="S639" s="24" t="s">
        <v>9011</v>
      </c>
      <c r="T639" s="24" t="str">
        <f>VLOOKUP(R639,[1]Sheet3!$A$2:$A$47,1,0)</f>
        <v>South Korea</v>
      </c>
      <c r="U639" s="24" t="s">
        <v>12886</v>
      </c>
      <c r="V639" s="24" t="s">
        <v>12887</v>
      </c>
      <c r="W639" s="18" t="s">
        <v>8964</v>
      </c>
      <c r="X639" s="26" t="s">
        <v>93</v>
      </c>
      <c r="Y639" s="18" t="s">
        <v>9014</v>
      </c>
      <c r="Z639" s="24" t="s">
        <v>11</v>
      </c>
    </row>
    <row r="640" spans="1:26" ht="20.100000000000001" customHeight="1" x14ac:dyDescent="0.2">
      <c r="A640" s="18" t="s">
        <v>12888</v>
      </c>
      <c r="B640" s="19" t="s">
        <v>12889</v>
      </c>
      <c r="C640" s="19" t="s">
        <v>12890</v>
      </c>
      <c r="D640" s="8" t="s">
        <v>11014</v>
      </c>
      <c r="E640" s="20" t="s">
        <v>8998</v>
      </c>
      <c r="F640" s="20" t="s">
        <v>8950</v>
      </c>
      <c r="G640" s="20" t="s">
        <v>8987</v>
      </c>
      <c r="H640" s="53">
        <v>743</v>
      </c>
      <c r="I640" s="20" t="s">
        <v>9077</v>
      </c>
      <c r="J640" s="20" t="s">
        <v>8953</v>
      </c>
      <c r="K640" s="20" t="s">
        <v>8989</v>
      </c>
      <c r="L640" s="21" t="s">
        <v>8955</v>
      </c>
      <c r="M640" s="20" t="s">
        <v>8956</v>
      </c>
      <c r="N640" s="20" t="s">
        <v>8957</v>
      </c>
      <c r="O640" s="20">
        <f t="shared" si="9"/>
        <v>6</v>
      </c>
      <c r="P640" s="22" t="s">
        <v>8958</v>
      </c>
      <c r="Q640" s="21" t="s">
        <v>9009</v>
      </c>
      <c r="R640" s="23" t="s">
        <v>9310</v>
      </c>
      <c r="S640" s="24" t="s">
        <v>9342</v>
      </c>
      <c r="T640" s="24" t="str">
        <f>VLOOKUP(R640,[1]Sheet3!$A$2:$A$47,1,0)</f>
        <v>China</v>
      </c>
      <c r="U640" s="24" t="s">
        <v>12891</v>
      </c>
      <c r="V640" s="24" t="s">
        <v>12892</v>
      </c>
      <c r="W640" s="18" t="s">
        <v>8964</v>
      </c>
      <c r="X640" s="26" t="s">
        <v>64</v>
      </c>
      <c r="Y640" s="18" t="s">
        <v>9345</v>
      </c>
      <c r="Z640" s="24" t="s">
        <v>11</v>
      </c>
    </row>
    <row r="641" spans="1:26" ht="20.100000000000001" customHeight="1" x14ac:dyDescent="0.2">
      <c r="A641" s="18" t="s">
        <v>12893</v>
      </c>
      <c r="B641" s="19" t="s">
        <v>12894</v>
      </c>
      <c r="C641" s="19" t="s">
        <v>12895</v>
      </c>
      <c r="D641" s="8" t="s">
        <v>9035</v>
      </c>
      <c r="E641" s="20" t="s">
        <v>9308</v>
      </c>
      <c r="F641" s="33" t="s">
        <v>11474</v>
      </c>
      <c r="G641" s="20" t="s">
        <v>8951</v>
      </c>
      <c r="H641" s="53">
        <v>138</v>
      </c>
      <c r="I641" s="20" t="s">
        <v>9158</v>
      </c>
      <c r="J641" s="20" t="s">
        <v>9059</v>
      </c>
      <c r="K641" s="20" t="s">
        <v>8989</v>
      </c>
      <c r="L641" s="21" t="s">
        <v>8955</v>
      </c>
      <c r="M641" s="20" t="s">
        <v>8956</v>
      </c>
      <c r="N641" s="20" t="s">
        <v>8959</v>
      </c>
      <c r="O641" s="20">
        <f t="shared" si="9"/>
        <v>8</v>
      </c>
      <c r="P641" s="22" t="s">
        <v>8975</v>
      </c>
      <c r="Q641" s="21" t="s">
        <v>9061</v>
      </c>
      <c r="R641" s="23" t="s">
        <v>9465</v>
      </c>
      <c r="S641" s="24" t="s">
        <v>12896</v>
      </c>
      <c r="T641" s="24" t="str">
        <f>VLOOKUP(R641,[1]Sheet3!$A$2:$A$47,1,0)</f>
        <v>Switzerland</v>
      </c>
      <c r="U641" s="24" t="s">
        <v>12897</v>
      </c>
      <c r="V641" s="24" t="s">
        <v>12898</v>
      </c>
      <c r="W641" s="18" t="s">
        <v>8964</v>
      </c>
      <c r="X641" s="26" t="s">
        <v>662</v>
      </c>
      <c r="Y641" s="18" t="s">
        <v>12899</v>
      </c>
      <c r="Z641" s="24" t="s">
        <v>11</v>
      </c>
    </row>
    <row r="642" spans="1:26" ht="20.100000000000001" customHeight="1" x14ac:dyDescent="0.2">
      <c r="A642" s="18" t="s">
        <v>12900</v>
      </c>
      <c r="B642" s="19" t="s">
        <v>12901</v>
      </c>
      <c r="C642" s="19" t="s">
        <v>12902</v>
      </c>
      <c r="D642" s="8" t="s">
        <v>8984</v>
      </c>
      <c r="E642" s="33" t="s">
        <v>9131</v>
      </c>
      <c r="F642" s="20" t="s">
        <v>8950</v>
      </c>
      <c r="G642" s="20" t="s">
        <v>8951</v>
      </c>
      <c r="H642" s="53">
        <v>50000</v>
      </c>
      <c r="I642" s="20" t="s">
        <v>9019</v>
      </c>
      <c r="J642" s="20" t="s">
        <v>8953</v>
      </c>
      <c r="K642" s="20" t="s">
        <v>8989</v>
      </c>
      <c r="L642" s="21" t="s">
        <v>8955</v>
      </c>
      <c r="M642" s="20" t="s">
        <v>8956</v>
      </c>
      <c r="N642" s="20" t="s">
        <v>8957</v>
      </c>
      <c r="O642" s="20">
        <f t="shared" ref="O642:O705" si="10">1+LEN(V642)-LEN(SUBSTITUTE(V642,";",))</f>
        <v>5</v>
      </c>
      <c r="P642" s="22" t="s">
        <v>8958</v>
      </c>
      <c r="Q642" s="21" t="s">
        <v>8959</v>
      </c>
      <c r="R642" s="23" t="s">
        <v>9310</v>
      </c>
      <c r="S642" s="18" t="s">
        <v>11659</v>
      </c>
      <c r="T642" s="24" t="str">
        <f>VLOOKUP(R642,[1]Sheet3!$A$2:$A$47,1,0)</f>
        <v>China</v>
      </c>
      <c r="U642" s="18" t="s">
        <v>12903</v>
      </c>
      <c r="V642" s="18" t="s">
        <v>12904</v>
      </c>
      <c r="W642" s="18" t="s">
        <v>8964</v>
      </c>
      <c r="X642" s="18" t="s">
        <v>625</v>
      </c>
      <c r="Y642" s="18" t="s">
        <v>11661</v>
      </c>
      <c r="Z642" s="18" t="s">
        <v>11</v>
      </c>
    </row>
    <row r="643" spans="1:26" ht="20.100000000000001" customHeight="1" x14ac:dyDescent="0.2">
      <c r="A643" s="18" t="s">
        <v>12905</v>
      </c>
      <c r="B643" s="19" t="s">
        <v>12906</v>
      </c>
      <c r="C643" s="19" t="s">
        <v>12907</v>
      </c>
      <c r="D643" s="8" t="s">
        <v>8984</v>
      </c>
      <c r="E643" s="33" t="s">
        <v>9422</v>
      </c>
      <c r="F643" s="20" t="s">
        <v>9018</v>
      </c>
      <c r="G643" s="20" t="s">
        <v>9464</v>
      </c>
      <c r="H643" s="53">
        <v>420</v>
      </c>
      <c r="I643" s="20" t="s">
        <v>8988</v>
      </c>
      <c r="J643" s="20" t="s">
        <v>9059</v>
      </c>
      <c r="K643" s="20" t="s">
        <v>8989</v>
      </c>
      <c r="L643" s="21" t="s">
        <v>8955</v>
      </c>
      <c r="M643" s="20" t="s">
        <v>8956</v>
      </c>
      <c r="N643" s="20" t="s">
        <v>8957</v>
      </c>
      <c r="O643" s="20">
        <f t="shared" si="10"/>
        <v>10</v>
      </c>
      <c r="P643" s="22" t="s">
        <v>8975</v>
      </c>
      <c r="Q643" s="21" t="s">
        <v>9009</v>
      </c>
      <c r="R643" s="23" t="s">
        <v>12908</v>
      </c>
      <c r="S643" s="24" t="s">
        <v>9255</v>
      </c>
      <c r="T643" s="24" t="str">
        <f>VLOOKUP(R643,[1]Sheet3!$A$2:$A$47,1,0)</f>
        <v>Finland</v>
      </c>
      <c r="U643" s="24" t="s">
        <v>12909</v>
      </c>
      <c r="V643" s="24" t="s">
        <v>12910</v>
      </c>
      <c r="W643" s="18" t="s">
        <v>8964</v>
      </c>
      <c r="X643" s="26" t="s">
        <v>24</v>
      </c>
      <c r="Y643" s="18" t="s">
        <v>9258</v>
      </c>
      <c r="Z643" s="24" t="s">
        <v>11</v>
      </c>
    </row>
    <row r="644" spans="1:26" ht="20.100000000000001" customHeight="1" x14ac:dyDescent="0.2">
      <c r="A644" s="18" t="s">
        <v>12911</v>
      </c>
      <c r="B644" s="19" t="s">
        <v>12912</v>
      </c>
      <c r="C644" s="19" t="s">
        <v>12913</v>
      </c>
      <c r="D644" s="8" t="s">
        <v>9605</v>
      </c>
      <c r="E644" s="20" t="s">
        <v>8998</v>
      </c>
      <c r="F644" s="20" t="s">
        <v>9510</v>
      </c>
      <c r="G644" s="20" t="s">
        <v>9076</v>
      </c>
      <c r="H644" s="53">
        <v>8139</v>
      </c>
      <c r="I644" s="20" t="s">
        <v>9019</v>
      </c>
      <c r="J644" s="20" t="s">
        <v>8953</v>
      </c>
      <c r="K644" s="20" t="s">
        <v>8989</v>
      </c>
      <c r="L644" s="21" t="s">
        <v>8955</v>
      </c>
      <c r="M644" s="20" t="s">
        <v>8956</v>
      </c>
      <c r="N644" s="20" t="s">
        <v>8974</v>
      </c>
      <c r="O644" s="20">
        <f t="shared" si="10"/>
        <v>7</v>
      </c>
      <c r="P644" s="22" t="s">
        <v>8958</v>
      </c>
      <c r="Q644" s="21" t="s">
        <v>9009</v>
      </c>
      <c r="R644" s="23" t="s">
        <v>10032</v>
      </c>
      <c r="S644" s="24" t="s">
        <v>12914</v>
      </c>
      <c r="T644" s="24" t="str">
        <f>VLOOKUP(R644,[1]Sheet3!$A$2:$A$47,1,0)</f>
        <v>France</v>
      </c>
      <c r="U644" s="24" t="s">
        <v>12915</v>
      </c>
      <c r="V644" s="24" t="s">
        <v>12916</v>
      </c>
      <c r="W644" s="18" t="s">
        <v>8964</v>
      </c>
      <c r="X644" s="26" t="s">
        <v>12917</v>
      </c>
      <c r="Y644" s="18" t="s">
        <v>12918</v>
      </c>
      <c r="Z644" s="24" t="s">
        <v>11</v>
      </c>
    </row>
    <row r="645" spans="1:26" ht="20.100000000000001" customHeight="1" x14ac:dyDescent="0.2">
      <c r="A645" s="18" t="s">
        <v>12919</v>
      </c>
      <c r="B645" s="19" t="s">
        <v>12920</v>
      </c>
      <c r="C645" s="19" t="s">
        <v>12921</v>
      </c>
      <c r="D645" s="8" t="s">
        <v>8948</v>
      </c>
      <c r="E645" s="20" t="s">
        <v>8949</v>
      </c>
      <c r="F645" s="20" t="s">
        <v>12922</v>
      </c>
      <c r="G645" s="20" t="s">
        <v>9076</v>
      </c>
      <c r="H645" s="57">
        <v>228453</v>
      </c>
      <c r="I645" s="20" t="s">
        <v>9019</v>
      </c>
      <c r="J645" s="20" t="s">
        <v>8953</v>
      </c>
      <c r="K645" s="20" t="s">
        <v>8989</v>
      </c>
      <c r="L645" s="21" t="s">
        <v>8955</v>
      </c>
      <c r="M645" s="20" t="s">
        <v>8956</v>
      </c>
      <c r="N645" s="20" t="s">
        <v>9060</v>
      </c>
      <c r="O645" s="20">
        <f t="shared" si="10"/>
        <v>9</v>
      </c>
      <c r="P645" s="22" t="s">
        <v>8975</v>
      </c>
      <c r="Q645" s="21" t="s">
        <v>8959</v>
      </c>
      <c r="R645" s="23" t="s">
        <v>9310</v>
      </c>
      <c r="S645" s="24" t="s">
        <v>12923</v>
      </c>
      <c r="T645" s="24" t="str">
        <f>VLOOKUP(R645,[1]Sheet3!$A$2:$A$47,1,0)</f>
        <v>China</v>
      </c>
      <c r="U645" s="24" t="s">
        <v>12924</v>
      </c>
      <c r="V645" s="24" t="s">
        <v>12925</v>
      </c>
      <c r="W645" s="18" t="s">
        <v>8964</v>
      </c>
      <c r="X645" s="26" t="s">
        <v>2988</v>
      </c>
      <c r="Y645" s="18" t="s">
        <v>12926</v>
      </c>
      <c r="Z645" s="24" t="s">
        <v>11</v>
      </c>
    </row>
    <row r="646" spans="1:26" ht="20.100000000000001" customHeight="1" x14ac:dyDescent="0.2">
      <c r="A646" s="18" t="s">
        <v>12927</v>
      </c>
      <c r="B646" s="19" t="s">
        <v>12928</v>
      </c>
      <c r="C646" s="19" t="s">
        <v>12929</v>
      </c>
      <c r="D646" s="8" t="s">
        <v>8948</v>
      </c>
      <c r="E646" s="20" t="s">
        <v>8949</v>
      </c>
      <c r="F646" s="20" t="s">
        <v>9599</v>
      </c>
      <c r="G646" s="20" t="s">
        <v>8951</v>
      </c>
      <c r="H646" s="53">
        <v>1200</v>
      </c>
      <c r="I646" s="20" t="s">
        <v>8952</v>
      </c>
      <c r="J646" s="20" t="s">
        <v>8953</v>
      </c>
      <c r="K646" s="20" t="s">
        <v>8989</v>
      </c>
      <c r="L646" s="21" t="s">
        <v>8955</v>
      </c>
      <c r="M646" s="20" t="s">
        <v>8956</v>
      </c>
      <c r="N646" s="20" t="s">
        <v>8959</v>
      </c>
      <c r="O646" s="20">
        <f t="shared" si="10"/>
        <v>6</v>
      </c>
      <c r="P646" s="22" t="s">
        <v>8958</v>
      </c>
      <c r="Q646" s="21" t="s">
        <v>9009</v>
      </c>
      <c r="R646" s="23" t="s">
        <v>10032</v>
      </c>
      <c r="S646" s="24" t="s">
        <v>9052</v>
      </c>
      <c r="T646" s="24" t="str">
        <f>VLOOKUP(R646,[1]Sheet3!$A$2:$A$47,1,0)</f>
        <v>France</v>
      </c>
      <c r="U646" s="24" t="s">
        <v>12930</v>
      </c>
      <c r="V646" s="24" t="s">
        <v>12931</v>
      </c>
      <c r="W646" s="18" t="s">
        <v>8964</v>
      </c>
      <c r="X646" s="26" t="s">
        <v>74</v>
      </c>
      <c r="Y646" s="18" t="s">
        <v>9055</v>
      </c>
      <c r="Z646" s="24" t="s">
        <v>11</v>
      </c>
    </row>
    <row r="647" spans="1:26" ht="20.100000000000001" customHeight="1" x14ac:dyDescent="0.2">
      <c r="A647" s="18" t="s">
        <v>12932</v>
      </c>
      <c r="B647" s="19" t="s">
        <v>12933</v>
      </c>
      <c r="C647" s="19" t="s">
        <v>12934</v>
      </c>
      <c r="D647" s="8" t="s">
        <v>8948</v>
      </c>
      <c r="E647" s="20" t="s">
        <v>9725</v>
      </c>
      <c r="F647" s="20" t="s">
        <v>9599</v>
      </c>
      <c r="G647" s="20" t="s">
        <v>9464</v>
      </c>
      <c r="H647" s="53">
        <v>492</v>
      </c>
      <c r="I647" s="20" t="s">
        <v>8988</v>
      </c>
      <c r="J647" s="20" t="s">
        <v>9059</v>
      </c>
      <c r="K647" s="20" t="s">
        <v>8954</v>
      </c>
      <c r="L647" s="21" t="s">
        <v>8955</v>
      </c>
      <c r="M647" s="20" t="s">
        <v>8956</v>
      </c>
      <c r="N647" s="20" t="s">
        <v>8957</v>
      </c>
      <c r="O647" s="20">
        <f t="shared" si="10"/>
        <v>3</v>
      </c>
      <c r="P647" s="22" t="s">
        <v>9103</v>
      </c>
      <c r="Q647" s="21" t="s">
        <v>9009</v>
      </c>
      <c r="R647" s="23" t="s">
        <v>9213</v>
      </c>
      <c r="S647" s="24" t="s">
        <v>12935</v>
      </c>
      <c r="T647" s="24" t="str">
        <f>VLOOKUP(R647,[1]Sheet3!$A$2:$A$47,1,0)</f>
        <v>South Korea</v>
      </c>
      <c r="U647" s="24" t="s">
        <v>12936</v>
      </c>
      <c r="V647" s="24" t="s">
        <v>12937</v>
      </c>
      <c r="W647" s="18" t="s">
        <v>8964</v>
      </c>
      <c r="X647" s="26" t="s">
        <v>1427</v>
      </c>
      <c r="Y647" s="18" t="s">
        <v>12938</v>
      </c>
      <c r="Z647" s="24" t="s">
        <v>11</v>
      </c>
    </row>
    <row r="648" spans="1:26" ht="20.100000000000001" customHeight="1" x14ac:dyDescent="0.2">
      <c r="A648" s="18" t="s">
        <v>12939</v>
      </c>
      <c r="B648" s="19" t="s">
        <v>12940</v>
      </c>
      <c r="C648" s="19" t="s">
        <v>12941</v>
      </c>
      <c r="D648" s="8" t="s">
        <v>8948</v>
      </c>
      <c r="E648" s="20" t="s">
        <v>9725</v>
      </c>
      <c r="F648" s="20" t="s">
        <v>8950</v>
      </c>
      <c r="G648" s="20" t="s">
        <v>9076</v>
      </c>
      <c r="H648" s="57">
        <v>800000</v>
      </c>
      <c r="I648" s="20" t="s">
        <v>9019</v>
      </c>
      <c r="J648" s="20" t="s">
        <v>8953</v>
      </c>
      <c r="K648" s="20" t="s">
        <v>8989</v>
      </c>
      <c r="L648" s="21" t="s">
        <v>8955</v>
      </c>
      <c r="M648" s="20" t="s">
        <v>8956</v>
      </c>
      <c r="N648" s="20" t="s">
        <v>8957</v>
      </c>
      <c r="O648" s="20">
        <f t="shared" si="10"/>
        <v>7</v>
      </c>
      <c r="P648" s="22" t="s">
        <v>8958</v>
      </c>
      <c r="Q648" s="21" t="s">
        <v>9061</v>
      </c>
      <c r="R648" s="23" t="s">
        <v>9213</v>
      </c>
      <c r="S648" s="24" t="s">
        <v>11600</v>
      </c>
      <c r="T648" s="24" t="str">
        <f>VLOOKUP(R648,[1]Sheet3!$A$2:$A$47,1,0)</f>
        <v>South Korea</v>
      </c>
      <c r="U648" s="24" t="s">
        <v>12942</v>
      </c>
      <c r="V648" s="24" t="s">
        <v>12943</v>
      </c>
      <c r="W648" s="18" t="s">
        <v>8964</v>
      </c>
      <c r="X648" s="26" t="s">
        <v>733</v>
      </c>
      <c r="Y648" s="18" t="s">
        <v>11603</v>
      </c>
      <c r="Z648" s="24" t="s">
        <v>11</v>
      </c>
    </row>
    <row r="649" spans="1:26" ht="20.100000000000001" customHeight="1" x14ac:dyDescent="0.2">
      <c r="A649" s="18" t="s">
        <v>12944</v>
      </c>
      <c r="B649" s="19" t="s">
        <v>12945</v>
      </c>
      <c r="C649" s="19" t="s">
        <v>12946</v>
      </c>
      <c r="D649" s="8" t="s">
        <v>8948</v>
      </c>
      <c r="E649" s="33" t="s">
        <v>12453</v>
      </c>
      <c r="F649" s="20" t="s">
        <v>9510</v>
      </c>
      <c r="G649" s="20" t="s">
        <v>8987</v>
      </c>
      <c r="H649" s="53">
        <v>278</v>
      </c>
      <c r="I649" s="20" t="s">
        <v>8988</v>
      </c>
      <c r="J649" s="20" t="s">
        <v>8953</v>
      </c>
      <c r="K649" s="20" t="s">
        <v>8954</v>
      </c>
      <c r="L649" s="21" t="s">
        <v>8955</v>
      </c>
      <c r="M649" s="20" t="s">
        <v>8956</v>
      </c>
      <c r="N649" s="20" t="s">
        <v>8957</v>
      </c>
      <c r="O649" s="20">
        <f t="shared" si="10"/>
        <v>4</v>
      </c>
      <c r="P649" s="22" t="s">
        <v>8958</v>
      </c>
      <c r="Q649" s="21" t="s">
        <v>9009</v>
      </c>
      <c r="R649" s="23" t="s">
        <v>10049</v>
      </c>
      <c r="S649" s="24" t="s">
        <v>12947</v>
      </c>
      <c r="T649" s="24" t="str">
        <f>VLOOKUP(R649,[1]Sheet3!$A$2:$A$47,1,0)</f>
        <v>Italy</v>
      </c>
      <c r="U649" s="24" t="s">
        <v>12948</v>
      </c>
      <c r="V649" s="24" t="s">
        <v>12949</v>
      </c>
      <c r="W649" s="18" t="s">
        <v>8964</v>
      </c>
      <c r="X649" s="26" t="s">
        <v>1397</v>
      </c>
      <c r="Y649" s="18" t="s">
        <v>12950</v>
      </c>
      <c r="Z649" s="24" t="s">
        <v>11</v>
      </c>
    </row>
    <row r="650" spans="1:26" ht="20.100000000000001" customHeight="1" x14ac:dyDescent="0.2">
      <c r="A650" s="18" t="s">
        <v>12951</v>
      </c>
      <c r="B650" s="19" t="s">
        <v>12952</v>
      </c>
      <c r="C650" s="19" t="s">
        <v>12953</v>
      </c>
      <c r="D650" s="8" t="s">
        <v>9173</v>
      </c>
      <c r="E650" s="33" t="s">
        <v>9174</v>
      </c>
      <c r="F650" s="20" t="s">
        <v>9036</v>
      </c>
      <c r="G650" s="20" t="s">
        <v>8951</v>
      </c>
      <c r="H650" s="53">
        <v>2000</v>
      </c>
      <c r="I650" s="20" t="s">
        <v>8952</v>
      </c>
      <c r="J650" s="20" t="s">
        <v>8953</v>
      </c>
      <c r="K650" s="20" t="s">
        <v>8989</v>
      </c>
      <c r="L650" s="21" t="s">
        <v>8955</v>
      </c>
      <c r="M650" s="20" t="s">
        <v>8956</v>
      </c>
      <c r="N650" s="20" t="s">
        <v>8957</v>
      </c>
      <c r="O650" s="20">
        <f t="shared" si="10"/>
        <v>2</v>
      </c>
      <c r="P650" s="22" t="s">
        <v>9103</v>
      </c>
      <c r="Q650" s="21" t="s">
        <v>8959</v>
      </c>
      <c r="R650" s="23" t="s">
        <v>9310</v>
      </c>
      <c r="S650" s="24" t="s">
        <v>10073</v>
      </c>
      <c r="T650" s="24" t="str">
        <f>VLOOKUP(R650,[1]Sheet3!$A$2:$A$47,1,0)</f>
        <v>China</v>
      </c>
      <c r="U650" s="24" t="s">
        <v>12954</v>
      </c>
      <c r="V650" s="24" t="s">
        <v>12955</v>
      </c>
      <c r="W650" s="18" t="s">
        <v>8964</v>
      </c>
      <c r="X650" s="26" t="s">
        <v>210</v>
      </c>
      <c r="Y650" s="18" t="s">
        <v>10076</v>
      </c>
      <c r="Z650" s="24" t="s">
        <v>11</v>
      </c>
    </row>
    <row r="651" spans="1:26" ht="20.100000000000001" customHeight="1" x14ac:dyDescent="0.2">
      <c r="A651" s="18" t="s">
        <v>12956</v>
      </c>
      <c r="B651" s="19" t="s">
        <v>12957</v>
      </c>
      <c r="C651" s="19" t="s">
        <v>12958</v>
      </c>
      <c r="D651" s="8" t="s">
        <v>8948</v>
      </c>
      <c r="E651" s="20" t="s">
        <v>8949</v>
      </c>
      <c r="F651" s="20" t="s">
        <v>8950</v>
      </c>
      <c r="G651" s="20" t="s">
        <v>9076</v>
      </c>
      <c r="H651" s="53">
        <v>60</v>
      </c>
      <c r="I651" s="20" t="s">
        <v>9008</v>
      </c>
      <c r="J651" s="20" t="s">
        <v>8953</v>
      </c>
      <c r="K651" s="20" t="s">
        <v>8989</v>
      </c>
      <c r="L651" s="21" t="s">
        <v>9182</v>
      </c>
      <c r="M651" s="20" t="s">
        <v>8956</v>
      </c>
      <c r="N651" s="20" t="s">
        <v>8959</v>
      </c>
      <c r="O651" s="20">
        <f t="shared" si="10"/>
        <v>4</v>
      </c>
      <c r="P651" s="22" t="s">
        <v>8958</v>
      </c>
      <c r="Q651" s="21" t="s">
        <v>8959</v>
      </c>
      <c r="R651" s="23" t="s">
        <v>9010</v>
      </c>
      <c r="S651" s="24" t="s">
        <v>12620</v>
      </c>
      <c r="T651" s="24" t="str">
        <f>VLOOKUP(R651,[1]Sheet3!$A$2:$A$47,1,0)</f>
        <v>the United States of America</v>
      </c>
      <c r="U651" s="24" t="s">
        <v>12959</v>
      </c>
      <c r="V651" s="24" t="s">
        <v>12960</v>
      </c>
      <c r="W651" s="18" t="s">
        <v>8964</v>
      </c>
      <c r="X651" s="26" t="s">
        <v>619</v>
      </c>
      <c r="Y651" s="18" t="s">
        <v>12623</v>
      </c>
      <c r="Z651" s="24" t="s">
        <v>11</v>
      </c>
    </row>
    <row r="652" spans="1:26" ht="20.100000000000001" customHeight="1" x14ac:dyDescent="0.2">
      <c r="A652" s="18" t="s">
        <v>12961</v>
      </c>
      <c r="B652" s="19" t="s">
        <v>12962</v>
      </c>
      <c r="C652" s="19" t="s">
        <v>12963</v>
      </c>
      <c r="D652" s="8" t="s">
        <v>8948</v>
      </c>
      <c r="E652" s="20" t="s">
        <v>8949</v>
      </c>
      <c r="F652" s="20" t="s">
        <v>9679</v>
      </c>
      <c r="G652" s="20" t="s">
        <v>9464</v>
      </c>
      <c r="H652" s="53">
        <v>9300</v>
      </c>
      <c r="I652" s="20" t="s">
        <v>9019</v>
      </c>
      <c r="J652" s="20" t="s">
        <v>8953</v>
      </c>
      <c r="K652" s="20" t="s">
        <v>8954</v>
      </c>
      <c r="L652" s="21" t="s">
        <v>8955</v>
      </c>
      <c r="M652" s="20" t="s">
        <v>8956</v>
      </c>
      <c r="N652" s="20" t="s">
        <v>8957</v>
      </c>
      <c r="O652" s="20">
        <f t="shared" si="10"/>
        <v>5</v>
      </c>
      <c r="P652" s="22" t="s">
        <v>8958</v>
      </c>
      <c r="Q652" s="21" t="s">
        <v>8959</v>
      </c>
      <c r="R652" s="23" t="s">
        <v>9010</v>
      </c>
      <c r="S652" s="24" t="s">
        <v>12923</v>
      </c>
      <c r="T652" s="24" t="str">
        <f>VLOOKUP(R652,[1]Sheet3!$A$2:$A$47,1,0)</f>
        <v>the United States of America</v>
      </c>
      <c r="U652" s="24" t="s">
        <v>12964</v>
      </c>
      <c r="V652" s="24" t="s">
        <v>12965</v>
      </c>
      <c r="W652" s="18" t="s">
        <v>8964</v>
      </c>
      <c r="X652" s="26" t="s">
        <v>2988</v>
      </c>
      <c r="Y652" s="18" t="s">
        <v>12926</v>
      </c>
      <c r="Z652" s="24" t="s">
        <v>11</v>
      </c>
    </row>
    <row r="653" spans="1:26" ht="20.100000000000001" customHeight="1" x14ac:dyDescent="0.2">
      <c r="A653" s="18" t="s">
        <v>12966</v>
      </c>
      <c r="B653" s="19" t="s">
        <v>12967</v>
      </c>
      <c r="C653" s="19" t="s">
        <v>12968</v>
      </c>
      <c r="D653" s="8" t="s">
        <v>9100</v>
      </c>
      <c r="E653" s="20" t="s">
        <v>9121</v>
      </c>
      <c r="F653" s="20" t="s">
        <v>8950</v>
      </c>
      <c r="G653" s="20" t="s">
        <v>9292</v>
      </c>
      <c r="H653" s="53">
        <v>58000</v>
      </c>
      <c r="I653" s="20" t="s">
        <v>9019</v>
      </c>
      <c r="J653" s="20" t="s">
        <v>8953</v>
      </c>
      <c r="K653" s="20" t="s">
        <v>8954</v>
      </c>
      <c r="L653" s="21" t="s">
        <v>8955</v>
      </c>
      <c r="M653" s="20" t="s">
        <v>8956</v>
      </c>
      <c r="N653" s="20" t="s">
        <v>8957</v>
      </c>
      <c r="O653" s="20">
        <f t="shared" si="10"/>
        <v>6</v>
      </c>
      <c r="P653" s="22" t="s">
        <v>8958</v>
      </c>
      <c r="Q653" s="21" t="s">
        <v>8959</v>
      </c>
      <c r="R653" s="23" t="s">
        <v>9010</v>
      </c>
      <c r="S653" s="24" t="s">
        <v>467</v>
      </c>
      <c r="T653" s="24" t="str">
        <f>VLOOKUP(R653,[1]Sheet3!$A$2:$A$47,1,0)</f>
        <v>the United States of America</v>
      </c>
      <c r="U653" s="24" t="s">
        <v>12969</v>
      </c>
      <c r="V653" s="24" t="s">
        <v>12970</v>
      </c>
      <c r="W653" s="18" t="s">
        <v>8964</v>
      </c>
      <c r="X653" s="26" t="s">
        <v>467</v>
      </c>
      <c r="Y653" s="18" t="s">
        <v>12124</v>
      </c>
      <c r="Z653" s="24" t="s">
        <v>11</v>
      </c>
    </row>
    <row r="654" spans="1:26" ht="20.100000000000001" customHeight="1" x14ac:dyDescent="0.2">
      <c r="A654" s="18" t="s">
        <v>12971</v>
      </c>
      <c r="B654" s="19" t="s">
        <v>12972</v>
      </c>
      <c r="C654" s="19" t="s">
        <v>12973</v>
      </c>
      <c r="D654" s="8" t="s">
        <v>9252</v>
      </c>
      <c r="E654" s="20" t="s">
        <v>8985</v>
      </c>
      <c r="F654" s="33" t="s">
        <v>9245</v>
      </c>
      <c r="G654" s="20" t="s">
        <v>8973</v>
      </c>
      <c r="H654" s="53">
        <v>752</v>
      </c>
      <c r="I654" s="20" t="s">
        <v>9077</v>
      </c>
      <c r="J654" s="20" t="s">
        <v>8953</v>
      </c>
      <c r="K654" s="20" t="s">
        <v>8989</v>
      </c>
      <c r="L654" s="21" t="s">
        <v>8955</v>
      </c>
      <c r="M654" s="20" t="s">
        <v>8956</v>
      </c>
      <c r="N654" s="20" t="s">
        <v>8957</v>
      </c>
      <c r="O654" s="20">
        <f t="shared" si="10"/>
        <v>2</v>
      </c>
      <c r="P654" s="22" t="s">
        <v>9103</v>
      </c>
      <c r="Q654" s="21" t="s">
        <v>9009</v>
      </c>
      <c r="R654" s="23" t="s">
        <v>9815</v>
      </c>
      <c r="S654" s="18" t="s">
        <v>11659</v>
      </c>
      <c r="T654" s="24" t="str">
        <f>VLOOKUP(R654,[1]Sheet3!$A$2:$A$47,1,0)</f>
        <v>India</v>
      </c>
      <c r="U654" s="19" t="s">
        <v>12974</v>
      </c>
      <c r="V654" s="18" t="s">
        <v>12975</v>
      </c>
      <c r="W654" s="18" t="s">
        <v>8964</v>
      </c>
      <c r="X654" s="18" t="s">
        <v>625</v>
      </c>
      <c r="Y654" s="18" t="s">
        <v>11661</v>
      </c>
      <c r="Z654" s="18" t="s">
        <v>11</v>
      </c>
    </row>
    <row r="655" spans="1:26" ht="20.100000000000001" customHeight="1" x14ac:dyDescent="0.2">
      <c r="A655" s="18" t="s">
        <v>12976</v>
      </c>
      <c r="B655" s="19" t="s">
        <v>12977</v>
      </c>
      <c r="C655" s="19" t="s">
        <v>12978</v>
      </c>
      <c r="D655" s="8" t="s">
        <v>9173</v>
      </c>
      <c r="E655" s="33" t="s">
        <v>9174</v>
      </c>
      <c r="F655" s="20" t="s">
        <v>10099</v>
      </c>
      <c r="G655" s="20" t="s">
        <v>8987</v>
      </c>
      <c r="H655" s="57">
        <v>19398</v>
      </c>
      <c r="I655" s="20" t="s">
        <v>9019</v>
      </c>
      <c r="J655" s="20" t="s">
        <v>8953</v>
      </c>
      <c r="K655" s="20" t="s">
        <v>8989</v>
      </c>
      <c r="L655" s="21" t="s">
        <v>8955</v>
      </c>
      <c r="M655" s="20" t="s">
        <v>8956</v>
      </c>
      <c r="N655" s="20" t="s">
        <v>8974</v>
      </c>
      <c r="O655" s="20">
        <f t="shared" si="10"/>
        <v>6</v>
      </c>
      <c r="P655" s="22" t="s">
        <v>8958</v>
      </c>
      <c r="Q655" s="21" t="s">
        <v>9009</v>
      </c>
      <c r="R655" s="23" t="s">
        <v>9213</v>
      </c>
      <c r="S655" s="24" t="s">
        <v>12979</v>
      </c>
      <c r="T655" s="24" t="str">
        <f>VLOOKUP(R655,[1]Sheet3!$A$2:$A$47,1,0)</f>
        <v>South Korea</v>
      </c>
      <c r="U655" s="24" t="s">
        <v>12980</v>
      </c>
      <c r="V655" s="24" t="s">
        <v>12981</v>
      </c>
      <c r="W655" s="18" t="s">
        <v>8964</v>
      </c>
      <c r="X655" s="26" t="s">
        <v>2666</v>
      </c>
      <c r="Y655" s="18" t="s">
        <v>12982</v>
      </c>
      <c r="Z655" s="24" t="s">
        <v>11</v>
      </c>
    </row>
    <row r="656" spans="1:26" ht="20.100000000000001" customHeight="1" x14ac:dyDescent="0.2">
      <c r="A656" s="18" t="s">
        <v>12983</v>
      </c>
      <c r="B656" s="19" t="s">
        <v>12984</v>
      </c>
      <c r="C656" s="19" t="s">
        <v>12985</v>
      </c>
      <c r="D656" s="8" t="s">
        <v>9252</v>
      </c>
      <c r="E656" s="20" t="s">
        <v>9253</v>
      </c>
      <c r="F656" s="20" t="s">
        <v>8950</v>
      </c>
      <c r="G656" s="20" t="s">
        <v>8951</v>
      </c>
      <c r="H656" s="53">
        <v>84</v>
      </c>
      <c r="I656" s="20" t="s">
        <v>9008</v>
      </c>
      <c r="J656" s="20" t="s">
        <v>8953</v>
      </c>
      <c r="K656" s="20" t="s">
        <v>8954</v>
      </c>
      <c r="L656" s="21" t="s">
        <v>8955</v>
      </c>
      <c r="M656" s="20" t="s">
        <v>8956</v>
      </c>
      <c r="N656" s="20" t="s">
        <v>8959</v>
      </c>
      <c r="O656" s="20">
        <f t="shared" si="10"/>
        <v>6</v>
      </c>
      <c r="P656" s="22" t="s">
        <v>8958</v>
      </c>
      <c r="Q656" s="21" t="s">
        <v>8959</v>
      </c>
      <c r="R656" s="23" t="s">
        <v>12547</v>
      </c>
      <c r="S656" s="24" t="s">
        <v>9085</v>
      </c>
      <c r="T656" s="24" t="str">
        <f>VLOOKUP(R656,[1]Sheet3!$A$2:$A$47,1,0)</f>
        <v>Brazil</v>
      </c>
      <c r="U656" s="24" t="s">
        <v>12986</v>
      </c>
      <c r="V656" s="24" t="s">
        <v>12987</v>
      </c>
      <c r="W656" s="18" t="s">
        <v>8964</v>
      </c>
      <c r="X656" s="26" t="s">
        <v>184</v>
      </c>
      <c r="Y656" s="18" t="s">
        <v>9088</v>
      </c>
      <c r="Z656" s="24" t="s">
        <v>11</v>
      </c>
    </row>
    <row r="657" spans="1:26" ht="20.100000000000001" customHeight="1" x14ac:dyDescent="0.2">
      <c r="A657" s="18" t="s">
        <v>12988</v>
      </c>
      <c r="B657" s="19" t="s">
        <v>12989</v>
      </c>
      <c r="C657" s="19" t="s">
        <v>12990</v>
      </c>
      <c r="D657" s="8" t="s">
        <v>8984</v>
      </c>
      <c r="E657" s="20" t="s">
        <v>8998</v>
      </c>
      <c r="F657" s="33" t="s">
        <v>10930</v>
      </c>
      <c r="G657" s="20" t="s">
        <v>8973</v>
      </c>
      <c r="H657" s="53">
        <v>82</v>
      </c>
      <c r="I657" s="20" t="s">
        <v>9008</v>
      </c>
      <c r="J657" s="20" t="s">
        <v>8953</v>
      </c>
      <c r="K657" s="20" t="s">
        <v>8989</v>
      </c>
      <c r="L657" s="21" t="s">
        <v>8955</v>
      </c>
      <c r="M657" s="20" t="s">
        <v>8956</v>
      </c>
      <c r="N657" s="20" t="s">
        <v>8957</v>
      </c>
      <c r="O657" s="20">
        <f t="shared" si="10"/>
        <v>7</v>
      </c>
      <c r="P657" s="22" t="s">
        <v>8958</v>
      </c>
      <c r="Q657" s="21" t="s">
        <v>9061</v>
      </c>
      <c r="R657" s="23" t="s">
        <v>9010</v>
      </c>
      <c r="S657" s="24" t="s">
        <v>8961</v>
      </c>
      <c r="T657" s="24" t="str">
        <f>VLOOKUP(R657,[1]Sheet3!$A$2:$A$47,1,0)</f>
        <v>the United States of America</v>
      </c>
      <c r="U657" s="24" t="s">
        <v>12991</v>
      </c>
      <c r="V657" s="24" t="s">
        <v>12992</v>
      </c>
      <c r="W657" s="18" t="s">
        <v>8964</v>
      </c>
      <c r="X657" s="26" t="s">
        <v>126</v>
      </c>
      <c r="Y657" s="18" t="s">
        <v>8966</v>
      </c>
      <c r="Z657" s="24" t="s">
        <v>11</v>
      </c>
    </row>
    <row r="658" spans="1:26" ht="20.100000000000001" customHeight="1" x14ac:dyDescent="0.2">
      <c r="A658" s="18" t="s">
        <v>12993</v>
      </c>
      <c r="B658" s="19" t="s">
        <v>12994</v>
      </c>
      <c r="C658" s="19" t="s">
        <v>12995</v>
      </c>
      <c r="D658" s="8" t="s">
        <v>9252</v>
      </c>
      <c r="E658" s="20" t="s">
        <v>9253</v>
      </c>
      <c r="F658" s="20" t="s">
        <v>9599</v>
      </c>
      <c r="G658" s="20" t="s">
        <v>9076</v>
      </c>
      <c r="H658" s="57">
        <v>29107</v>
      </c>
      <c r="I658" s="20" t="s">
        <v>9019</v>
      </c>
      <c r="J658" s="20" t="s">
        <v>8953</v>
      </c>
      <c r="K658" s="20" t="s">
        <v>8954</v>
      </c>
      <c r="L658" s="21" t="s">
        <v>8955</v>
      </c>
      <c r="M658" s="20" t="s">
        <v>8956</v>
      </c>
      <c r="N658" s="20" t="s">
        <v>8957</v>
      </c>
      <c r="O658" s="20">
        <f t="shared" si="10"/>
        <v>7</v>
      </c>
      <c r="P658" s="22" t="s">
        <v>8958</v>
      </c>
      <c r="Q658" s="21" t="s">
        <v>9061</v>
      </c>
      <c r="R658" s="23" t="s">
        <v>9213</v>
      </c>
      <c r="S658" s="24" t="s">
        <v>9255</v>
      </c>
      <c r="T658" s="24" t="str">
        <f>VLOOKUP(R658,[1]Sheet3!$A$2:$A$47,1,0)</f>
        <v>South Korea</v>
      </c>
      <c r="U658" s="24" t="s">
        <v>12996</v>
      </c>
      <c r="V658" s="24" t="s">
        <v>12997</v>
      </c>
      <c r="W658" s="18" t="s">
        <v>8964</v>
      </c>
      <c r="X658" s="26" t="s">
        <v>24</v>
      </c>
      <c r="Y658" s="18" t="s">
        <v>9258</v>
      </c>
      <c r="Z658" s="24" t="s">
        <v>11</v>
      </c>
    </row>
    <row r="659" spans="1:26" ht="20.100000000000001" customHeight="1" x14ac:dyDescent="0.2">
      <c r="A659" s="18" t="s">
        <v>12998</v>
      </c>
      <c r="B659" s="19" t="s">
        <v>12999</v>
      </c>
      <c r="C659" s="19" t="s">
        <v>13000</v>
      </c>
      <c r="D659" s="8" t="s">
        <v>9154</v>
      </c>
      <c r="E659" s="20" t="s">
        <v>8998</v>
      </c>
      <c r="F659" s="20" t="s">
        <v>11474</v>
      </c>
      <c r="G659" s="20" t="s">
        <v>8987</v>
      </c>
      <c r="H659" s="53">
        <v>87</v>
      </c>
      <c r="I659" s="20" t="s">
        <v>9008</v>
      </c>
      <c r="J659" s="20" t="s">
        <v>9059</v>
      </c>
      <c r="K659" s="20" t="s">
        <v>8989</v>
      </c>
      <c r="L659" s="21" t="s">
        <v>8955</v>
      </c>
      <c r="M659" s="20" t="s">
        <v>8956</v>
      </c>
      <c r="N659" s="20" t="s">
        <v>8959</v>
      </c>
      <c r="O659" s="20">
        <f t="shared" si="10"/>
        <v>4</v>
      </c>
      <c r="P659" s="22" t="s">
        <v>8958</v>
      </c>
      <c r="Q659" s="21" t="s">
        <v>9061</v>
      </c>
      <c r="R659" s="23" t="s">
        <v>9465</v>
      </c>
      <c r="S659" s="24" t="s">
        <v>11566</v>
      </c>
      <c r="T659" s="24" t="str">
        <f>VLOOKUP(R659,[1]Sheet3!$A$2:$A$47,1,0)</f>
        <v>Switzerland</v>
      </c>
      <c r="U659" s="25" t="s">
        <v>13001</v>
      </c>
      <c r="V659" s="24" t="s">
        <v>13002</v>
      </c>
      <c r="W659" s="18" t="s">
        <v>8964</v>
      </c>
      <c r="X659" s="26" t="s">
        <v>666</v>
      </c>
      <c r="Y659" s="18" t="s">
        <v>11569</v>
      </c>
      <c r="Z659" s="24" t="s">
        <v>11</v>
      </c>
    </row>
    <row r="660" spans="1:26" ht="20.100000000000001" customHeight="1" x14ac:dyDescent="0.2">
      <c r="A660" s="18" t="s">
        <v>13003</v>
      </c>
      <c r="B660" s="19" t="s">
        <v>13004</v>
      </c>
      <c r="C660" s="19" t="s">
        <v>13005</v>
      </c>
      <c r="D660" s="8" t="s">
        <v>9092</v>
      </c>
      <c r="E660" s="20" t="s">
        <v>8949</v>
      </c>
      <c r="F660" s="20" t="s">
        <v>9436</v>
      </c>
      <c r="G660" s="20" t="s">
        <v>8973</v>
      </c>
      <c r="H660" s="53">
        <v>96</v>
      </c>
      <c r="I660" s="20" t="s">
        <v>9008</v>
      </c>
      <c r="J660" s="20" t="s">
        <v>8953</v>
      </c>
      <c r="K660" s="20" t="s">
        <v>8954</v>
      </c>
      <c r="L660" s="21" t="s">
        <v>8955</v>
      </c>
      <c r="M660" s="20" t="s">
        <v>8956</v>
      </c>
      <c r="N660" s="20" t="s">
        <v>8957</v>
      </c>
      <c r="O660" s="20">
        <f t="shared" si="10"/>
        <v>10</v>
      </c>
      <c r="P660" s="22" t="s">
        <v>8975</v>
      </c>
      <c r="Q660" s="21" t="s">
        <v>8959</v>
      </c>
      <c r="R660" s="23" t="s">
        <v>9310</v>
      </c>
      <c r="S660" s="24" t="s">
        <v>8961</v>
      </c>
      <c r="T660" s="24" t="str">
        <f>VLOOKUP(R660,[1]Sheet3!$A$2:$A$47,1,0)</f>
        <v>China</v>
      </c>
      <c r="U660" s="24" t="s">
        <v>13006</v>
      </c>
      <c r="V660" s="24" t="s">
        <v>13007</v>
      </c>
      <c r="W660" s="18" t="s">
        <v>8964</v>
      </c>
      <c r="X660" s="26" t="s">
        <v>126</v>
      </c>
      <c r="Y660" s="18" t="s">
        <v>8966</v>
      </c>
      <c r="Z660" s="24" t="s">
        <v>11</v>
      </c>
    </row>
    <row r="661" spans="1:26" ht="20.100000000000001" customHeight="1" x14ac:dyDescent="0.2">
      <c r="A661" s="18" t="s">
        <v>13008</v>
      </c>
      <c r="B661" s="19" t="s">
        <v>13009</v>
      </c>
      <c r="C661" s="19" t="s">
        <v>13010</v>
      </c>
      <c r="D661" s="8" t="s">
        <v>9092</v>
      </c>
      <c r="E661" s="20" t="s">
        <v>9121</v>
      </c>
      <c r="F661" s="33" t="s">
        <v>9018</v>
      </c>
      <c r="G661" s="20" t="s">
        <v>9133</v>
      </c>
      <c r="H661" s="57">
        <v>10289</v>
      </c>
      <c r="I661" s="20" t="s">
        <v>9019</v>
      </c>
      <c r="J661" s="20" t="s">
        <v>8953</v>
      </c>
      <c r="K661" s="20" t="s">
        <v>8954</v>
      </c>
      <c r="L661" s="21" t="s">
        <v>8955</v>
      </c>
      <c r="M661" s="20" t="s">
        <v>8956</v>
      </c>
      <c r="N661" s="20" t="s">
        <v>8959</v>
      </c>
      <c r="O661" s="20">
        <f t="shared" si="10"/>
        <v>4</v>
      </c>
      <c r="P661" s="22" t="s">
        <v>8958</v>
      </c>
      <c r="Q661" s="21" t="s">
        <v>9009</v>
      </c>
      <c r="R661" s="23" t="s">
        <v>9010</v>
      </c>
      <c r="S661" s="24" t="s">
        <v>9020</v>
      </c>
      <c r="T661" s="24" t="str">
        <f>VLOOKUP(R661,[1]Sheet3!$A$2:$A$47,1,0)</f>
        <v>the United States of America</v>
      </c>
      <c r="U661" s="24" t="s">
        <v>13011</v>
      </c>
      <c r="V661" s="24" t="s">
        <v>13012</v>
      </c>
      <c r="W661" s="18" t="s">
        <v>8964</v>
      </c>
      <c r="X661" s="26" t="s">
        <v>87</v>
      </c>
      <c r="Y661" s="18" t="s">
        <v>9023</v>
      </c>
      <c r="Z661" s="24" t="s">
        <v>11</v>
      </c>
    </row>
    <row r="662" spans="1:26" ht="20.100000000000001" customHeight="1" x14ac:dyDescent="0.2">
      <c r="A662" s="18" t="s">
        <v>13013</v>
      </c>
      <c r="B662" s="19" t="s">
        <v>13014</v>
      </c>
      <c r="C662" s="19" t="s">
        <v>13015</v>
      </c>
      <c r="D662" s="8" t="s">
        <v>8948</v>
      </c>
      <c r="E662" s="20" t="s">
        <v>9155</v>
      </c>
      <c r="F662" s="20" t="s">
        <v>10673</v>
      </c>
      <c r="G662" s="20" t="s">
        <v>9076</v>
      </c>
      <c r="H662" s="53">
        <v>3602</v>
      </c>
      <c r="I662" s="20" t="s">
        <v>9019</v>
      </c>
      <c r="J662" s="20" t="s">
        <v>8953</v>
      </c>
      <c r="K662" s="20" t="s">
        <v>8989</v>
      </c>
      <c r="L662" s="21" t="s">
        <v>8955</v>
      </c>
      <c r="M662" s="20" t="s">
        <v>8956</v>
      </c>
      <c r="N662" s="20" t="s">
        <v>8957</v>
      </c>
      <c r="O662" s="20">
        <f t="shared" si="10"/>
        <v>6</v>
      </c>
      <c r="P662" s="22" t="s">
        <v>8958</v>
      </c>
      <c r="Q662" s="21" t="s">
        <v>9009</v>
      </c>
      <c r="R662" s="23" t="s">
        <v>9213</v>
      </c>
      <c r="S662" s="24" t="s">
        <v>10630</v>
      </c>
      <c r="T662" s="24" t="str">
        <f>VLOOKUP(R662,[1]Sheet3!$A$2:$A$47,1,0)</f>
        <v>South Korea</v>
      </c>
      <c r="U662" s="24" t="s">
        <v>13016</v>
      </c>
      <c r="V662" s="24" t="s">
        <v>13017</v>
      </c>
      <c r="W662" s="18" t="s">
        <v>8964</v>
      </c>
      <c r="X662" s="26" t="s">
        <v>161</v>
      </c>
      <c r="Y662" s="18" t="s">
        <v>10633</v>
      </c>
      <c r="Z662" s="24" t="s">
        <v>11</v>
      </c>
    </row>
    <row r="663" spans="1:26" ht="20.100000000000001" customHeight="1" x14ac:dyDescent="0.2">
      <c r="A663" s="18" t="s">
        <v>13018</v>
      </c>
      <c r="B663" s="19" t="s">
        <v>13019</v>
      </c>
      <c r="C663" s="19" t="s">
        <v>13020</v>
      </c>
      <c r="D663" s="8" t="s">
        <v>9252</v>
      </c>
      <c r="E663" s="20" t="s">
        <v>9253</v>
      </c>
      <c r="F663" s="20" t="s">
        <v>8950</v>
      </c>
      <c r="G663" s="20" t="s">
        <v>8951</v>
      </c>
      <c r="H663" s="53">
        <v>99</v>
      </c>
      <c r="I663" s="20" t="s">
        <v>9008</v>
      </c>
      <c r="J663" s="20" t="s">
        <v>9059</v>
      </c>
      <c r="K663" s="20" t="s">
        <v>8989</v>
      </c>
      <c r="L663" s="21" t="s">
        <v>8955</v>
      </c>
      <c r="M663" s="20" t="s">
        <v>8956</v>
      </c>
      <c r="N663" s="20" t="s">
        <v>8957</v>
      </c>
      <c r="O663" s="20">
        <f t="shared" si="10"/>
        <v>9</v>
      </c>
      <c r="P663" s="22" t="s">
        <v>8975</v>
      </c>
      <c r="Q663" s="21" t="s">
        <v>8959</v>
      </c>
      <c r="R663" s="39" t="s">
        <v>9010</v>
      </c>
      <c r="S663" s="18" t="s">
        <v>10539</v>
      </c>
      <c r="T663" s="24" t="str">
        <f>VLOOKUP(R663,[1]Sheet3!$A$2:$A$47,1,0)</f>
        <v>the United States of America</v>
      </c>
      <c r="U663" s="18" t="s">
        <v>13021</v>
      </c>
      <c r="V663" s="18" t="s">
        <v>13022</v>
      </c>
      <c r="W663" s="18" t="s">
        <v>8964</v>
      </c>
      <c r="X663" s="18" t="s">
        <v>174</v>
      </c>
      <c r="Y663" s="18" t="s">
        <v>10542</v>
      </c>
      <c r="Z663" s="18" t="s">
        <v>11</v>
      </c>
    </row>
    <row r="664" spans="1:26" ht="20.100000000000001" customHeight="1" x14ac:dyDescent="0.2">
      <c r="A664" s="18" t="s">
        <v>13023</v>
      </c>
      <c r="B664" s="19" t="s">
        <v>13024</v>
      </c>
      <c r="C664" s="19" t="s">
        <v>13025</v>
      </c>
      <c r="D664" s="8" t="s">
        <v>9075</v>
      </c>
      <c r="E664" s="20" t="s">
        <v>9422</v>
      </c>
      <c r="F664" s="20" t="s">
        <v>10135</v>
      </c>
      <c r="G664" s="20" t="s">
        <v>8951</v>
      </c>
      <c r="H664" s="53">
        <v>1649</v>
      </c>
      <c r="I664" s="20" t="s">
        <v>8952</v>
      </c>
      <c r="J664" s="20" t="s">
        <v>8953</v>
      </c>
      <c r="K664" s="20" t="s">
        <v>8989</v>
      </c>
      <c r="L664" s="21" t="s">
        <v>8955</v>
      </c>
      <c r="M664" s="20" t="s">
        <v>8990</v>
      </c>
      <c r="N664" s="20" t="s">
        <v>8959</v>
      </c>
      <c r="O664" s="20">
        <f t="shared" si="10"/>
        <v>5</v>
      </c>
      <c r="P664" s="22" t="s">
        <v>8958</v>
      </c>
      <c r="Q664" s="21" t="s">
        <v>9009</v>
      </c>
      <c r="R664" s="23" t="s">
        <v>9010</v>
      </c>
      <c r="S664" s="24" t="s">
        <v>9255</v>
      </c>
      <c r="T664" s="24" t="str">
        <f>VLOOKUP(R664,[1]Sheet3!$A$2:$A$47,1,0)</f>
        <v>the United States of America</v>
      </c>
      <c r="U664" s="24" t="s">
        <v>13026</v>
      </c>
      <c r="V664" s="24" t="s">
        <v>13027</v>
      </c>
      <c r="W664" s="18" t="s">
        <v>8964</v>
      </c>
      <c r="X664" s="26" t="s">
        <v>24</v>
      </c>
      <c r="Y664" s="18" t="s">
        <v>9258</v>
      </c>
      <c r="Z664" s="24" t="s">
        <v>11</v>
      </c>
    </row>
    <row r="665" spans="1:26" ht="20.100000000000001" customHeight="1" x14ac:dyDescent="0.2">
      <c r="A665" s="18" t="s">
        <v>13028</v>
      </c>
      <c r="B665" s="19" t="s">
        <v>13029</v>
      </c>
      <c r="C665" s="19" t="s">
        <v>13030</v>
      </c>
      <c r="D665" s="8" t="s">
        <v>8948</v>
      </c>
      <c r="E665" s="20" t="s">
        <v>8949</v>
      </c>
      <c r="F665" s="20" t="s">
        <v>9436</v>
      </c>
      <c r="G665" s="20" t="s">
        <v>8951</v>
      </c>
      <c r="H665" s="53">
        <v>30000</v>
      </c>
      <c r="I665" s="20" t="s">
        <v>9019</v>
      </c>
      <c r="J665" s="20" t="s">
        <v>8953</v>
      </c>
      <c r="K665" s="20" t="s">
        <v>8954</v>
      </c>
      <c r="L665" s="21" t="s">
        <v>8955</v>
      </c>
      <c r="M665" s="20" t="s">
        <v>8956</v>
      </c>
      <c r="N665" s="20" t="s">
        <v>8959</v>
      </c>
      <c r="O665" s="20">
        <f t="shared" si="10"/>
        <v>3</v>
      </c>
      <c r="P665" s="22" t="s">
        <v>9103</v>
      </c>
      <c r="Q665" s="21" t="s">
        <v>9061</v>
      </c>
      <c r="R665" s="23" t="s">
        <v>9465</v>
      </c>
      <c r="S665" s="24" t="s">
        <v>10630</v>
      </c>
      <c r="T665" s="24" t="str">
        <f>VLOOKUP(R665,[1]Sheet3!$A$2:$A$47,1,0)</f>
        <v>Switzerland</v>
      </c>
      <c r="U665" s="24" t="s">
        <v>13031</v>
      </c>
      <c r="V665" s="24" t="s">
        <v>13032</v>
      </c>
      <c r="W665" s="18" t="s">
        <v>8964</v>
      </c>
      <c r="X665" s="26" t="s">
        <v>161</v>
      </c>
      <c r="Y665" s="18" t="s">
        <v>10633</v>
      </c>
      <c r="Z665" s="24" t="s">
        <v>11</v>
      </c>
    </row>
    <row r="666" spans="1:26" ht="20.100000000000001" customHeight="1" x14ac:dyDescent="0.2">
      <c r="B666" s="19" t="s">
        <v>13033</v>
      </c>
      <c r="C666" s="19" t="s">
        <v>13034</v>
      </c>
      <c r="D666" s="8" t="s">
        <v>9092</v>
      </c>
      <c r="E666" s="20" t="s">
        <v>8998</v>
      </c>
      <c r="F666" s="20" t="s">
        <v>9036</v>
      </c>
      <c r="G666" s="20" t="s">
        <v>8987</v>
      </c>
      <c r="H666" s="53">
        <v>40</v>
      </c>
      <c r="I666" s="20" t="s">
        <v>9008</v>
      </c>
      <c r="J666" s="20" t="s">
        <v>8953</v>
      </c>
      <c r="K666" s="20" t="s">
        <v>8989</v>
      </c>
      <c r="L666" s="21" t="s">
        <v>8955</v>
      </c>
      <c r="M666" s="20" t="s">
        <v>8956</v>
      </c>
      <c r="N666" s="20" t="s">
        <v>8957</v>
      </c>
      <c r="O666" s="20">
        <f t="shared" si="10"/>
        <v>4</v>
      </c>
      <c r="P666" s="22" t="s">
        <v>8958</v>
      </c>
      <c r="Q666" s="21" t="s">
        <v>9009</v>
      </c>
      <c r="R666" s="23" t="s">
        <v>9642</v>
      </c>
      <c r="S666" s="24" t="s">
        <v>13035</v>
      </c>
      <c r="T666" s="24" t="str">
        <f>VLOOKUP(R666,[1]Sheet3!$A$2:$A$47,1,0)</f>
        <v>Belgium</v>
      </c>
      <c r="U666" s="24" t="s">
        <v>13036</v>
      </c>
      <c r="V666" s="24" t="s">
        <v>13037</v>
      </c>
      <c r="W666" s="18" t="s">
        <v>8964</v>
      </c>
      <c r="X666" s="26" t="s">
        <v>1662</v>
      </c>
      <c r="Y666" s="18" t="s">
        <v>13038</v>
      </c>
      <c r="Z666" s="24" t="s">
        <v>4</v>
      </c>
    </row>
    <row r="667" spans="1:26" ht="20.100000000000001" customHeight="1" x14ac:dyDescent="0.2">
      <c r="A667" s="18" t="s">
        <v>13039</v>
      </c>
      <c r="B667" s="19" t="s">
        <v>13040</v>
      </c>
      <c r="C667" s="19" t="s">
        <v>13041</v>
      </c>
      <c r="D667" s="8" t="s">
        <v>8948</v>
      </c>
      <c r="E667" s="20" t="s">
        <v>8998</v>
      </c>
      <c r="F667" s="20" t="s">
        <v>8950</v>
      </c>
      <c r="G667" s="20" t="s">
        <v>9292</v>
      </c>
      <c r="H667" s="53">
        <v>1004</v>
      </c>
      <c r="I667" s="20" t="s">
        <v>8952</v>
      </c>
      <c r="J667" s="20" t="s">
        <v>8953</v>
      </c>
      <c r="K667" s="20" t="s">
        <v>8989</v>
      </c>
      <c r="L667" s="21" t="s">
        <v>8955</v>
      </c>
      <c r="M667" s="20" t="s">
        <v>8956</v>
      </c>
      <c r="N667" s="20" t="s">
        <v>8957</v>
      </c>
      <c r="O667" s="20">
        <f t="shared" si="10"/>
        <v>10</v>
      </c>
      <c r="P667" s="22" t="s">
        <v>8975</v>
      </c>
      <c r="Q667" s="21" t="s">
        <v>9061</v>
      </c>
      <c r="R667" s="23" t="s">
        <v>9010</v>
      </c>
      <c r="S667" s="24" t="s">
        <v>180</v>
      </c>
      <c r="T667" s="24" t="str">
        <f>VLOOKUP(R667,[1]Sheet3!$A$2:$A$47,1,0)</f>
        <v>the United States of America</v>
      </c>
      <c r="U667" s="24" t="s">
        <v>13042</v>
      </c>
      <c r="V667" s="24" t="s">
        <v>13043</v>
      </c>
      <c r="W667" s="18" t="s">
        <v>8964</v>
      </c>
      <c r="X667" s="26" t="s">
        <v>180</v>
      </c>
      <c r="Y667" s="18" t="s">
        <v>11199</v>
      </c>
      <c r="Z667" s="24" t="s">
        <v>11</v>
      </c>
    </row>
    <row r="668" spans="1:26" ht="20.100000000000001" customHeight="1" x14ac:dyDescent="0.2">
      <c r="A668" s="18" t="s">
        <v>13044</v>
      </c>
      <c r="B668" s="19" t="s">
        <v>13045</v>
      </c>
      <c r="C668" s="19" t="s">
        <v>13046</v>
      </c>
      <c r="D668" s="8" t="s">
        <v>9092</v>
      </c>
      <c r="E668" s="20" t="s">
        <v>8949</v>
      </c>
      <c r="F668" s="20" t="s">
        <v>10258</v>
      </c>
      <c r="G668" s="20" t="s">
        <v>9133</v>
      </c>
      <c r="H668" s="53">
        <v>3000</v>
      </c>
      <c r="I668" s="20" t="s">
        <v>8952</v>
      </c>
      <c r="J668" s="20" t="s">
        <v>9059</v>
      </c>
      <c r="K668" s="20" t="s">
        <v>8989</v>
      </c>
      <c r="L668" s="21" t="s">
        <v>8955</v>
      </c>
      <c r="M668" s="20" t="s">
        <v>8956</v>
      </c>
      <c r="N668" s="20" t="s">
        <v>9060</v>
      </c>
      <c r="O668" s="20">
        <f t="shared" si="10"/>
        <v>5</v>
      </c>
      <c r="P668" s="22" t="s">
        <v>8958</v>
      </c>
      <c r="Q668" s="21" t="s">
        <v>9009</v>
      </c>
      <c r="R668" s="23" t="s">
        <v>12908</v>
      </c>
      <c r="S668" s="24" t="s">
        <v>9255</v>
      </c>
      <c r="T668" s="24" t="str">
        <f>VLOOKUP(R668,[1]Sheet3!$A$2:$A$47,1,0)</f>
        <v>Finland</v>
      </c>
      <c r="U668" s="24" t="s">
        <v>13047</v>
      </c>
      <c r="V668" s="24" t="s">
        <v>13048</v>
      </c>
      <c r="W668" s="18" t="s">
        <v>8964</v>
      </c>
      <c r="X668" s="26" t="s">
        <v>24</v>
      </c>
      <c r="Y668" s="18" t="s">
        <v>9258</v>
      </c>
      <c r="Z668" s="24" t="s">
        <v>11</v>
      </c>
    </row>
    <row r="669" spans="1:26" ht="20.100000000000001" customHeight="1" x14ac:dyDescent="0.2">
      <c r="A669" s="18" t="s">
        <v>13049</v>
      </c>
      <c r="B669" s="19" t="s">
        <v>13050</v>
      </c>
      <c r="C669" s="19" t="s">
        <v>13051</v>
      </c>
      <c r="D669" s="8" t="s">
        <v>9092</v>
      </c>
      <c r="E669" s="20" t="s">
        <v>9308</v>
      </c>
      <c r="F669" s="20" t="s">
        <v>8950</v>
      </c>
      <c r="G669" s="20" t="s">
        <v>9464</v>
      </c>
      <c r="H669" s="53">
        <v>1663</v>
      </c>
      <c r="I669" s="20" t="s">
        <v>8952</v>
      </c>
      <c r="J669" s="20" t="s">
        <v>8953</v>
      </c>
      <c r="K669" s="20" t="s">
        <v>8989</v>
      </c>
      <c r="L669" s="21" t="s">
        <v>8955</v>
      </c>
      <c r="M669" s="20" t="s">
        <v>8956</v>
      </c>
      <c r="N669" s="20" t="s">
        <v>8959</v>
      </c>
      <c r="O669" s="20">
        <f t="shared" si="10"/>
        <v>4</v>
      </c>
      <c r="P669" s="22" t="s">
        <v>8958</v>
      </c>
      <c r="Q669" s="21" t="s">
        <v>9009</v>
      </c>
      <c r="R669" s="23" t="s">
        <v>9010</v>
      </c>
      <c r="S669" s="24" t="s">
        <v>10438</v>
      </c>
      <c r="T669" s="24" t="str">
        <f>VLOOKUP(R669,[1]Sheet3!$A$2:$A$47,1,0)</f>
        <v>the United States of America</v>
      </c>
      <c r="U669" s="24" t="s">
        <v>13052</v>
      </c>
      <c r="V669" s="24" t="s">
        <v>13053</v>
      </c>
      <c r="W669" s="18" t="s">
        <v>8964</v>
      </c>
      <c r="X669" s="26" t="s">
        <v>286</v>
      </c>
      <c r="Y669" s="18" t="s">
        <v>10441</v>
      </c>
      <c r="Z669" s="24" t="s">
        <v>11</v>
      </c>
    </row>
    <row r="670" spans="1:26" ht="20.100000000000001" customHeight="1" x14ac:dyDescent="0.2">
      <c r="A670" s="18" t="s">
        <v>13054</v>
      </c>
      <c r="B670" s="19" t="s">
        <v>13055</v>
      </c>
      <c r="C670" s="19" t="s">
        <v>13056</v>
      </c>
      <c r="D670" s="8" t="s">
        <v>8948</v>
      </c>
      <c r="E670" s="20" t="s">
        <v>8998</v>
      </c>
      <c r="F670" s="20" t="s">
        <v>9018</v>
      </c>
      <c r="G670" s="20" t="s">
        <v>8973</v>
      </c>
      <c r="H670" s="53">
        <v>230</v>
      </c>
      <c r="I670" s="20" t="s">
        <v>9158</v>
      </c>
      <c r="J670" s="20" t="s">
        <v>9059</v>
      </c>
      <c r="K670" s="20" t="s">
        <v>8989</v>
      </c>
      <c r="L670" s="21" t="s">
        <v>8955</v>
      </c>
      <c r="M670" s="20" t="s">
        <v>8956</v>
      </c>
      <c r="N670" s="20" t="s">
        <v>8974</v>
      </c>
      <c r="O670" s="20">
        <f t="shared" si="10"/>
        <v>7</v>
      </c>
      <c r="P670" s="22" t="s">
        <v>8958</v>
      </c>
      <c r="Q670" s="21" t="s">
        <v>9009</v>
      </c>
      <c r="R670" s="23" t="s">
        <v>9310</v>
      </c>
      <c r="S670" s="24" t="s">
        <v>12114</v>
      </c>
      <c r="T670" s="24" t="str">
        <f>VLOOKUP(R670,[1]Sheet3!$A$2:$A$47,1,0)</f>
        <v>China</v>
      </c>
      <c r="U670" s="24" t="s">
        <v>13057</v>
      </c>
      <c r="V670" s="24" t="s">
        <v>13058</v>
      </c>
      <c r="W670" s="18" t="s">
        <v>8964</v>
      </c>
      <c r="X670" s="26" t="s">
        <v>2377</v>
      </c>
      <c r="Y670" s="18" t="s">
        <v>12117</v>
      </c>
      <c r="Z670" s="24" t="s">
        <v>4</v>
      </c>
    </row>
    <row r="671" spans="1:26" ht="20.100000000000001" customHeight="1" x14ac:dyDescent="0.2">
      <c r="A671" s="18" t="s">
        <v>13059</v>
      </c>
      <c r="B671" s="19" t="s">
        <v>13060</v>
      </c>
      <c r="C671" s="19" t="s">
        <v>13061</v>
      </c>
      <c r="D671" s="8" t="s">
        <v>9049</v>
      </c>
      <c r="E671" s="20" t="s">
        <v>9050</v>
      </c>
      <c r="F671" s="20" t="s">
        <v>13062</v>
      </c>
      <c r="G671" s="20" t="s">
        <v>8951</v>
      </c>
      <c r="H671" s="53">
        <v>1324</v>
      </c>
      <c r="I671" s="20" t="s">
        <v>8952</v>
      </c>
      <c r="J671" s="20" t="s">
        <v>8953</v>
      </c>
      <c r="K671" s="20" t="s">
        <v>8989</v>
      </c>
      <c r="L671" s="21" t="s">
        <v>8955</v>
      </c>
      <c r="M671" s="20" t="s">
        <v>8956</v>
      </c>
      <c r="N671" s="20" t="s">
        <v>8957</v>
      </c>
      <c r="O671" s="20">
        <f t="shared" si="10"/>
        <v>4</v>
      </c>
      <c r="P671" s="22" t="s">
        <v>8958</v>
      </c>
      <c r="Q671" s="21" t="s">
        <v>9009</v>
      </c>
      <c r="R671" s="23" t="s">
        <v>9010</v>
      </c>
      <c r="S671" s="24" t="s">
        <v>10245</v>
      </c>
      <c r="T671" s="24" t="str">
        <f>VLOOKUP(R671,[1]Sheet3!$A$2:$A$47,1,0)</f>
        <v>the United States of America</v>
      </c>
      <c r="U671" s="24" t="s">
        <v>13063</v>
      </c>
      <c r="V671" s="24" t="s">
        <v>13064</v>
      </c>
      <c r="W671" s="18" t="s">
        <v>8964</v>
      </c>
      <c r="X671" s="26" t="s">
        <v>396</v>
      </c>
      <c r="Y671" s="18" t="s">
        <v>10248</v>
      </c>
      <c r="Z671" s="24" t="s">
        <v>11</v>
      </c>
    </row>
    <row r="672" spans="1:26" ht="20.100000000000001" customHeight="1" x14ac:dyDescent="0.2">
      <c r="A672" s="18" t="s">
        <v>13065</v>
      </c>
      <c r="B672" s="19" t="s">
        <v>13066</v>
      </c>
      <c r="C672" s="19" t="s">
        <v>13067</v>
      </c>
      <c r="D672" s="8" t="s">
        <v>8984</v>
      </c>
      <c r="E672" s="20" t="s">
        <v>8998</v>
      </c>
      <c r="F672" s="20" t="s">
        <v>9212</v>
      </c>
      <c r="G672" s="20" t="s">
        <v>8951</v>
      </c>
      <c r="H672" s="53">
        <v>948</v>
      </c>
      <c r="I672" s="20" t="s">
        <v>9077</v>
      </c>
      <c r="J672" s="20" t="s">
        <v>8953</v>
      </c>
      <c r="K672" s="20" t="s">
        <v>8989</v>
      </c>
      <c r="L672" s="21" t="s">
        <v>8955</v>
      </c>
      <c r="M672" s="20" t="s">
        <v>8956</v>
      </c>
      <c r="N672" s="20" t="s">
        <v>8974</v>
      </c>
      <c r="O672" s="20">
        <f t="shared" si="10"/>
        <v>7</v>
      </c>
      <c r="P672" s="22" t="s">
        <v>8958</v>
      </c>
      <c r="Q672" s="21" t="s">
        <v>8959</v>
      </c>
      <c r="R672" s="23" t="s">
        <v>9852</v>
      </c>
      <c r="S672" s="24" t="s">
        <v>13068</v>
      </c>
      <c r="T672" s="24" t="str">
        <f>VLOOKUP(R672,[1]Sheet3!$A$2:$A$47,1,0)</f>
        <v>Pakistan</v>
      </c>
      <c r="U672" s="24" t="s">
        <v>13069</v>
      </c>
      <c r="V672" s="24" t="s">
        <v>13070</v>
      </c>
      <c r="W672" s="18" t="s">
        <v>8964</v>
      </c>
      <c r="X672" s="26" t="s">
        <v>598</v>
      </c>
      <c r="Y672" s="18" t="s">
        <v>13071</v>
      </c>
      <c r="Z672" s="24" t="s">
        <v>11</v>
      </c>
    </row>
    <row r="673" spans="1:26" ht="20.100000000000001" customHeight="1" x14ac:dyDescent="0.2">
      <c r="A673" s="18" t="s">
        <v>13072</v>
      </c>
      <c r="B673" s="19" t="s">
        <v>13073</v>
      </c>
      <c r="C673" s="19" t="s">
        <v>13074</v>
      </c>
      <c r="D673" s="8" t="s">
        <v>8948</v>
      </c>
      <c r="E673" s="33" t="s">
        <v>8949</v>
      </c>
      <c r="F673" s="20" t="s">
        <v>9018</v>
      </c>
      <c r="G673" s="20" t="s">
        <v>8973</v>
      </c>
      <c r="H673" s="53">
        <v>274</v>
      </c>
      <c r="I673" s="20" t="s">
        <v>8988</v>
      </c>
      <c r="J673" s="20" t="s">
        <v>8953</v>
      </c>
      <c r="K673" s="20" t="s">
        <v>8954</v>
      </c>
      <c r="L673" s="21" t="s">
        <v>8955</v>
      </c>
      <c r="M673" s="20" t="s">
        <v>8956</v>
      </c>
      <c r="N673" s="20" t="s">
        <v>8974</v>
      </c>
      <c r="O673" s="20">
        <f t="shared" si="10"/>
        <v>4</v>
      </c>
      <c r="P673" s="22" t="s">
        <v>8958</v>
      </c>
      <c r="Q673" s="21" t="s">
        <v>9183</v>
      </c>
      <c r="R673" s="23" t="s">
        <v>9852</v>
      </c>
      <c r="S673" s="24" t="s">
        <v>9853</v>
      </c>
      <c r="T673" s="24" t="str">
        <f>VLOOKUP(R673,[1]Sheet3!$A$2:$A$47,1,0)</f>
        <v>Pakistan</v>
      </c>
      <c r="U673" s="24" t="s">
        <v>13075</v>
      </c>
      <c r="V673" s="24" t="s">
        <v>13076</v>
      </c>
      <c r="W673" s="18" t="s">
        <v>8964</v>
      </c>
      <c r="X673" s="26" t="s">
        <v>3167</v>
      </c>
      <c r="Y673" s="18" t="s">
        <v>9856</v>
      </c>
      <c r="Z673" s="24" t="s">
        <v>11</v>
      </c>
    </row>
    <row r="674" spans="1:26" ht="20.100000000000001" customHeight="1" x14ac:dyDescent="0.2">
      <c r="A674" s="18" t="s">
        <v>13077</v>
      </c>
      <c r="B674" s="19" t="s">
        <v>13078</v>
      </c>
      <c r="C674" s="19" t="s">
        <v>13079</v>
      </c>
      <c r="D674" s="8" t="s">
        <v>8948</v>
      </c>
      <c r="E674" s="20" t="s">
        <v>8949</v>
      </c>
      <c r="F674" s="20" t="s">
        <v>8950</v>
      </c>
      <c r="G674" s="20" t="s">
        <v>8973</v>
      </c>
      <c r="H674" s="53">
        <v>68</v>
      </c>
      <c r="I674" s="20" t="s">
        <v>9008</v>
      </c>
      <c r="J674" s="20" t="s">
        <v>9059</v>
      </c>
      <c r="K674" s="20" t="s">
        <v>8989</v>
      </c>
      <c r="L674" s="21" t="s">
        <v>8955</v>
      </c>
      <c r="M674" s="20" t="s">
        <v>8956</v>
      </c>
      <c r="N674" s="20" t="s">
        <v>8959</v>
      </c>
      <c r="O674" s="20">
        <f t="shared" si="10"/>
        <v>3</v>
      </c>
      <c r="P674" s="22" t="s">
        <v>9103</v>
      </c>
      <c r="Q674" s="21" t="s">
        <v>9061</v>
      </c>
      <c r="R674" s="23" t="s">
        <v>9010</v>
      </c>
      <c r="S674" s="24" t="s">
        <v>9011</v>
      </c>
      <c r="T674" s="24" t="str">
        <f>VLOOKUP(R674,[1]Sheet3!$A$2:$A$47,1,0)</f>
        <v>the United States of America</v>
      </c>
      <c r="U674" s="24" t="s">
        <v>13080</v>
      </c>
      <c r="V674" s="24" t="s">
        <v>13081</v>
      </c>
      <c r="W674" s="18" t="s">
        <v>8964</v>
      </c>
      <c r="X674" s="26" t="s">
        <v>93</v>
      </c>
      <c r="Y674" s="18" t="s">
        <v>9014</v>
      </c>
      <c r="Z674" s="24" t="s">
        <v>11</v>
      </c>
    </row>
    <row r="675" spans="1:26" ht="20.100000000000001" customHeight="1" x14ac:dyDescent="0.2">
      <c r="A675" s="18" t="s">
        <v>13082</v>
      </c>
      <c r="B675" s="19" t="s">
        <v>13083</v>
      </c>
      <c r="C675" s="19" t="s">
        <v>13084</v>
      </c>
      <c r="D675" s="8" t="s">
        <v>9173</v>
      </c>
      <c r="E675" s="33" t="s">
        <v>9174</v>
      </c>
      <c r="F675" s="20" t="s">
        <v>13085</v>
      </c>
      <c r="G675" s="20" t="s">
        <v>9133</v>
      </c>
      <c r="H675" s="57">
        <v>49567</v>
      </c>
      <c r="I675" s="20" t="s">
        <v>9019</v>
      </c>
      <c r="J675" s="20" t="s">
        <v>8953</v>
      </c>
      <c r="K675" s="20" t="s">
        <v>8989</v>
      </c>
      <c r="L675" s="21" t="s">
        <v>8955</v>
      </c>
      <c r="M675" s="20" t="s">
        <v>8956</v>
      </c>
      <c r="N675" s="20" t="s">
        <v>8957</v>
      </c>
      <c r="O675" s="20">
        <f t="shared" si="10"/>
        <v>7</v>
      </c>
      <c r="P675" s="22" t="s">
        <v>8958</v>
      </c>
      <c r="Q675" s="21" t="s">
        <v>9009</v>
      </c>
      <c r="R675" s="23" t="s">
        <v>9213</v>
      </c>
      <c r="S675" s="24" t="s">
        <v>9228</v>
      </c>
      <c r="T675" s="24" t="str">
        <f>VLOOKUP(R675,[1]Sheet3!$A$2:$A$47,1,0)</f>
        <v>South Korea</v>
      </c>
      <c r="U675" s="24" t="s">
        <v>13086</v>
      </c>
      <c r="V675" s="24" t="s">
        <v>13087</v>
      </c>
      <c r="W675" s="18" t="s">
        <v>8964</v>
      </c>
      <c r="X675" s="26" t="s">
        <v>110</v>
      </c>
      <c r="Y675" s="18" t="s">
        <v>9231</v>
      </c>
      <c r="Z675" s="24" t="s">
        <v>11</v>
      </c>
    </row>
    <row r="676" spans="1:26" ht="20.100000000000001" customHeight="1" x14ac:dyDescent="0.2">
      <c r="A676" s="18" t="s">
        <v>13088</v>
      </c>
      <c r="B676" s="19" t="s">
        <v>13089</v>
      </c>
      <c r="C676" s="19" t="s">
        <v>13090</v>
      </c>
      <c r="D676" s="8" t="s">
        <v>9154</v>
      </c>
      <c r="E676" s="20" t="s">
        <v>9121</v>
      </c>
      <c r="F676" s="20" t="s">
        <v>12922</v>
      </c>
      <c r="G676" s="20" t="s">
        <v>9464</v>
      </c>
      <c r="H676" s="53">
        <v>3389</v>
      </c>
      <c r="I676" s="20" t="s">
        <v>9019</v>
      </c>
      <c r="J676" s="20" t="s">
        <v>8953</v>
      </c>
      <c r="K676" s="20" t="s">
        <v>8954</v>
      </c>
      <c r="L676" s="21" t="s">
        <v>8955</v>
      </c>
      <c r="M676" s="20" t="s">
        <v>8956</v>
      </c>
      <c r="N676" s="20" t="s">
        <v>8959</v>
      </c>
      <c r="O676" s="20">
        <f t="shared" si="10"/>
        <v>3</v>
      </c>
      <c r="P676" s="22" t="s">
        <v>9103</v>
      </c>
      <c r="Q676" s="21" t="s">
        <v>8959</v>
      </c>
      <c r="R676" s="23" t="s">
        <v>10873</v>
      </c>
      <c r="S676" s="24" t="s">
        <v>9342</v>
      </c>
      <c r="T676" s="24" t="str">
        <f>VLOOKUP(R676,[1]Sheet3!$A$2:$A$47,1,0)</f>
        <v>UK</v>
      </c>
      <c r="U676" s="24" t="s">
        <v>13091</v>
      </c>
      <c r="V676" s="24" t="s">
        <v>13092</v>
      </c>
      <c r="W676" s="18" t="s">
        <v>8964</v>
      </c>
      <c r="X676" s="26" t="s">
        <v>64</v>
      </c>
      <c r="Y676" s="18" t="s">
        <v>9345</v>
      </c>
      <c r="Z676" s="24" t="s">
        <v>11</v>
      </c>
    </row>
    <row r="677" spans="1:26" ht="20.100000000000001" customHeight="1" x14ac:dyDescent="0.2">
      <c r="A677" s="18" t="s">
        <v>13093</v>
      </c>
      <c r="B677" s="19" t="s">
        <v>13094</v>
      </c>
      <c r="C677" s="19" t="s">
        <v>13095</v>
      </c>
      <c r="D677" s="8" t="s">
        <v>9605</v>
      </c>
      <c r="E677" s="20" t="s">
        <v>9121</v>
      </c>
      <c r="F677" s="20" t="s">
        <v>9036</v>
      </c>
      <c r="G677" s="20" t="s">
        <v>8973</v>
      </c>
      <c r="H677" s="53">
        <v>11802</v>
      </c>
      <c r="I677" s="20" t="s">
        <v>9019</v>
      </c>
      <c r="J677" s="20" t="s">
        <v>8953</v>
      </c>
      <c r="K677" s="20" t="s">
        <v>8989</v>
      </c>
      <c r="L677" s="21" t="s">
        <v>8955</v>
      </c>
      <c r="M677" s="20" t="s">
        <v>8956</v>
      </c>
      <c r="N677" s="20" t="s">
        <v>8974</v>
      </c>
      <c r="O677" s="20">
        <f t="shared" si="10"/>
        <v>7</v>
      </c>
      <c r="P677" s="22" t="s">
        <v>8958</v>
      </c>
      <c r="Q677" s="21" t="s">
        <v>9009</v>
      </c>
      <c r="R677" s="23" t="s">
        <v>9387</v>
      </c>
      <c r="S677" s="24" t="s">
        <v>13096</v>
      </c>
      <c r="T677" s="24" t="str">
        <f>VLOOKUP(R677,[1]Sheet3!$A$2:$A$47,1,0)</f>
        <v>Israel</v>
      </c>
      <c r="U677" s="24" t="s">
        <v>13097</v>
      </c>
      <c r="V677" s="24" t="s">
        <v>13098</v>
      </c>
      <c r="W677" s="18" t="s">
        <v>8964</v>
      </c>
      <c r="X677" s="26" t="s">
        <v>2612</v>
      </c>
      <c r="Y677" s="18" t="s">
        <v>13099</v>
      </c>
      <c r="Z677" s="24" t="s">
        <v>11</v>
      </c>
    </row>
    <row r="678" spans="1:26" ht="20.100000000000001" customHeight="1" x14ac:dyDescent="0.2">
      <c r="A678" s="18" t="s">
        <v>13100</v>
      </c>
      <c r="B678" s="19" t="s">
        <v>13101</v>
      </c>
      <c r="C678" s="19" t="s">
        <v>13102</v>
      </c>
      <c r="D678" s="8" t="s">
        <v>8984</v>
      </c>
      <c r="E678" s="33" t="s">
        <v>9131</v>
      </c>
      <c r="F678" s="20" t="s">
        <v>8950</v>
      </c>
      <c r="G678" s="20" t="s">
        <v>8951</v>
      </c>
      <c r="H678" s="53">
        <v>2296</v>
      </c>
      <c r="I678" s="20" t="s">
        <v>8952</v>
      </c>
      <c r="J678" s="20" t="s">
        <v>8953</v>
      </c>
      <c r="K678" s="20" t="s">
        <v>8989</v>
      </c>
      <c r="L678" s="21" t="s">
        <v>8955</v>
      </c>
      <c r="M678" s="20" t="s">
        <v>8956</v>
      </c>
      <c r="N678" s="20" t="s">
        <v>8974</v>
      </c>
      <c r="O678" s="20">
        <f t="shared" si="10"/>
        <v>11</v>
      </c>
      <c r="P678" s="22" t="s">
        <v>8975</v>
      </c>
      <c r="Q678" s="21" t="s">
        <v>9009</v>
      </c>
      <c r="R678" s="23" t="s">
        <v>9333</v>
      </c>
      <c r="S678" s="24" t="s">
        <v>13103</v>
      </c>
      <c r="T678" s="24" t="str">
        <f>VLOOKUP(R678,[1]Sheet3!$A$2:$A$47,1,0)</f>
        <v>Japan</v>
      </c>
      <c r="U678" s="24" t="s">
        <v>13104</v>
      </c>
      <c r="V678" s="24" t="s">
        <v>13105</v>
      </c>
      <c r="W678" s="18" t="s">
        <v>8964</v>
      </c>
      <c r="X678" s="26" t="s">
        <v>2899</v>
      </c>
      <c r="Y678" s="18" t="s">
        <v>13106</v>
      </c>
      <c r="Z678" s="24" t="s">
        <v>11</v>
      </c>
    </row>
    <row r="679" spans="1:26" ht="20.100000000000001" customHeight="1" x14ac:dyDescent="0.2">
      <c r="A679" s="18" t="s">
        <v>13107</v>
      </c>
      <c r="B679" s="19" t="s">
        <v>13108</v>
      </c>
      <c r="C679" s="19" t="s">
        <v>13109</v>
      </c>
      <c r="D679" s="8" t="s">
        <v>8948</v>
      </c>
      <c r="E679" s="33" t="s">
        <v>9155</v>
      </c>
      <c r="F679" s="20" t="s">
        <v>10258</v>
      </c>
      <c r="G679" s="20" t="s">
        <v>8951</v>
      </c>
      <c r="H679" s="53">
        <v>445</v>
      </c>
      <c r="I679" s="20" t="s">
        <v>8988</v>
      </c>
      <c r="J679" s="20" t="s">
        <v>9059</v>
      </c>
      <c r="K679" s="20" t="s">
        <v>8989</v>
      </c>
      <c r="L679" s="21" t="s">
        <v>8955</v>
      </c>
      <c r="M679" s="20" t="s">
        <v>8956</v>
      </c>
      <c r="N679" s="20" t="s">
        <v>8957</v>
      </c>
      <c r="O679" s="20">
        <f t="shared" si="10"/>
        <v>5</v>
      </c>
      <c r="P679" s="22" t="s">
        <v>8958</v>
      </c>
      <c r="Q679" s="21" t="s">
        <v>9009</v>
      </c>
      <c r="R679" s="23" t="s">
        <v>9380</v>
      </c>
      <c r="S679" s="24" t="s">
        <v>13110</v>
      </c>
      <c r="T679" s="24" t="str">
        <f>VLOOKUP(R679,[1]Sheet3!$A$2:$A$47,1,0)</f>
        <v>Canada</v>
      </c>
      <c r="U679" s="24" t="s">
        <v>13111</v>
      </c>
      <c r="V679" s="24" t="s">
        <v>13112</v>
      </c>
      <c r="W679" s="18" t="s">
        <v>8964</v>
      </c>
      <c r="X679" s="26" t="s">
        <v>57</v>
      </c>
      <c r="Y679" s="18" t="s">
        <v>13113</v>
      </c>
      <c r="Z679" s="24" t="s">
        <v>11</v>
      </c>
    </row>
    <row r="680" spans="1:26" ht="20.100000000000001" customHeight="1" x14ac:dyDescent="0.2">
      <c r="A680" s="18" t="s">
        <v>13114</v>
      </c>
      <c r="B680" s="19" t="s">
        <v>13115</v>
      </c>
      <c r="C680" s="19" t="s">
        <v>13116</v>
      </c>
      <c r="D680" s="8" t="s">
        <v>9173</v>
      </c>
      <c r="E680" s="20" t="s">
        <v>9174</v>
      </c>
      <c r="F680" s="20" t="s">
        <v>8950</v>
      </c>
      <c r="G680" s="20" t="s">
        <v>8951</v>
      </c>
      <c r="H680" s="53">
        <v>600</v>
      </c>
      <c r="I680" s="20" t="s">
        <v>9077</v>
      </c>
      <c r="J680" s="20" t="s">
        <v>8953</v>
      </c>
      <c r="K680" s="20" t="s">
        <v>8989</v>
      </c>
      <c r="L680" s="21" t="s">
        <v>8955</v>
      </c>
      <c r="M680" s="20" t="s">
        <v>8956</v>
      </c>
      <c r="N680" s="20" t="s">
        <v>8957</v>
      </c>
      <c r="O680" s="20">
        <f t="shared" si="10"/>
        <v>5</v>
      </c>
      <c r="P680" s="22" t="s">
        <v>8958</v>
      </c>
      <c r="Q680" s="21" t="s">
        <v>9009</v>
      </c>
      <c r="R680" s="23" t="s">
        <v>9380</v>
      </c>
      <c r="S680" s="24" t="s">
        <v>9496</v>
      </c>
      <c r="T680" s="24" t="str">
        <f>VLOOKUP(R680,[1]Sheet3!$A$2:$A$47,1,0)</f>
        <v>Canada</v>
      </c>
      <c r="U680" s="24" t="s">
        <v>13117</v>
      </c>
      <c r="V680" s="24" t="s">
        <v>13118</v>
      </c>
      <c r="W680" s="18" t="s">
        <v>8964</v>
      </c>
      <c r="X680" s="26" t="s">
        <v>97</v>
      </c>
      <c r="Y680" s="18" t="s">
        <v>9499</v>
      </c>
      <c r="Z680" s="24" t="s">
        <v>11</v>
      </c>
    </row>
    <row r="681" spans="1:26" ht="20.100000000000001" customHeight="1" x14ac:dyDescent="0.2">
      <c r="A681" s="18" t="s">
        <v>13119</v>
      </c>
      <c r="B681" s="19" t="s">
        <v>13120</v>
      </c>
      <c r="C681" s="19" t="s">
        <v>13121</v>
      </c>
      <c r="D681" s="8" t="s">
        <v>9154</v>
      </c>
      <c r="E681" s="20" t="s">
        <v>8949</v>
      </c>
      <c r="F681" s="21" t="s">
        <v>9436</v>
      </c>
      <c r="G681" s="20" t="s">
        <v>8973</v>
      </c>
      <c r="H681" s="53">
        <v>1140</v>
      </c>
      <c r="I681" s="20" t="s">
        <v>8952</v>
      </c>
      <c r="J681" s="20" t="s">
        <v>8953</v>
      </c>
      <c r="K681" s="20" t="s">
        <v>8954</v>
      </c>
      <c r="L681" s="21" t="s">
        <v>8955</v>
      </c>
      <c r="M681" s="20" t="s">
        <v>8956</v>
      </c>
      <c r="N681" s="20" t="s">
        <v>8957</v>
      </c>
      <c r="O681" s="20">
        <f t="shared" si="10"/>
        <v>5</v>
      </c>
      <c r="P681" s="22" t="s">
        <v>8958</v>
      </c>
      <c r="Q681" s="21" t="s">
        <v>8959</v>
      </c>
      <c r="R681" s="23" t="s">
        <v>13122</v>
      </c>
      <c r="S681" s="24" t="s">
        <v>12620</v>
      </c>
      <c r="T681" s="24" t="str">
        <f>VLOOKUP(R681,[1]Sheet3!$A$2:$A$47,1,0)</f>
        <v>Malaysia</v>
      </c>
      <c r="U681" s="24" t="s">
        <v>13123</v>
      </c>
      <c r="V681" s="24" t="s">
        <v>13124</v>
      </c>
      <c r="W681" s="18" t="s">
        <v>8964</v>
      </c>
      <c r="X681" s="26" t="s">
        <v>619</v>
      </c>
      <c r="Y681" s="18" t="s">
        <v>12623</v>
      </c>
      <c r="Z681" s="24" t="s">
        <v>11</v>
      </c>
    </row>
    <row r="682" spans="1:26" ht="20.100000000000001" customHeight="1" x14ac:dyDescent="0.2">
      <c r="A682" s="18" t="s">
        <v>13125</v>
      </c>
      <c r="B682" s="19" t="s">
        <v>13126</v>
      </c>
      <c r="C682" s="19" t="s">
        <v>13127</v>
      </c>
      <c r="D682" s="8" t="s">
        <v>9049</v>
      </c>
      <c r="E682" s="20" t="s">
        <v>9325</v>
      </c>
      <c r="F682" s="20" t="s">
        <v>8950</v>
      </c>
      <c r="G682" s="20" t="s">
        <v>9133</v>
      </c>
      <c r="H682" s="53">
        <v>100</v>
      </c>
      <c r="I682" s="20" t="s">
        <v>9008</v>
      </c>
      <c r="J682" s="20" t="s">
        <v>8953</v>
      </c>
      <c r="K682" s="20" t="s">
        <v>8954</v>
      </c>
      <c r="L682" s="21" t="s">
        <v>8955</v>
      </c>
      <c r="M682" s="20" t="s">
        <v>8956</v>
      </c>
      <c r="N682" s="20" t="s">
        <v>8957</v>
      </c>
      <c r="O682" s="20">
        <f t="shared" si="10"/>
        <v>8</v>
      </c>
      <c r="P682" s="22" t="s">
        <v>8975</v>
      </c>
      <c r="Q682" s="21" t="s">
        <v>8959</v>
      </c>
      <c r="R682" s="23" t="s">
        <v>10850</v>
      </c>
      <c r="S682" s="24" t="s">
        <v>10245</v>
      </c>
      <c r="T682" s="24" t="str">
        <f>VLOOKUP(R682,[1]Sheet3!$A$2:$A$47,1,0)</f>
        <v>Singapore</v>
      </c>
      <c r="U682" s="24" t="s">
        <v>13128</v>
      </c>
      <c r="V682" s="24" t="s">
        <v>13129</v>
      </c>
      <c r="W682" s="18" t="s">
        <v>8964</v>
      </c>
      <c r="X682" s="26" t="s">
        <v>396</v>
      </c>
      <c r="Y682" s="18" t="s">
        <v>10248</v>
      </c>
      <c r="Z682" s="24" t="s">
        <v>11</v>
      </c>
    </row>
    <row r="683" spans="1:26" ht="20.100000000000001" customHeight="1" x14ac:dyDescent="0.2">
      <c r="B683" s="19" t="s">
        <v>13130</v>
      </c>
      <c r="C683" s="19" t="s">
        <v>13131</v>
      </c>
      <c r="D683" s="8" t="s">
        <v>8948</v>
      </c>
      <c r="E683" s="20" t="s">
        <v>8949</v>
      </c>
      <c r="F683" s="33" t="s">
        <v>8950</v>
      </c>
      <c r="G683" s="20" t="s">
        <v>8987</v>
      </c>
      <c r="H683" s="53">
        <v>100</v>
      </c>
      <c r="I683" s="20" t="s">
        <v>9008</v>
      </c>
      <c r="J683" s="20" t="s">
        <v>9059</v>
      </c>
      <c r="K683" s="20" t="s">
        <v>8989</v>
      </c>
      <c r="L683" s="21" t="s">
        <v>8955</v>
      </c>
      <c r="M683" s="20" t="s">
        <v>8990</v>
      </c>
      <c r="N683" s="20" t="s">
        <v>8959</v>
      </c>
      <c r="O683" s="20">
        <f t="shared" si="10"/>
        <v>3</v>
      </c>
      <c r="P683" s="22" t="s">
        <v>9103</v>
      </c>
      <c r="Q683" s="21" t="s">
        <v>8959</v>
      </c>
      <c r="R683" s="23" t="s">
        <v>10850</v>
      </c>
      <c r="S683" s="24" t="s">
        <v>13132</v>
      </c>
      <c r="T683" s="24" t="str">
        <f>VLOOKUP(R683,[1]Sheet3!$A$2:$A$47,1,0)</f>
        <v>Singapore</v>
      </c>
      <c r="U683" s="24" t="s">
        <v>13133</v>
      </c>
      <c r="V683" s="24" t="s">
        <v>13134</v>
      </c>
      <c r="W683" s="18" t="s">
        <v>8964</v>
      </c>
      <c r="X683" s="26" t="s">
        <v>308</v>
      </c>
      <c r="Y683" s="18" t="s">
        <v>13135</v>
      </c>
      <c r="Z683" s="24" t="s">
        <v>4</v>
      </c>
    </row>
    <row r="684" spans="1:26" ht="20.100000000000001" customHeight="1" x14ac:dyDescent="0.2">
      <c r="A684" s="18" t="s">
        <v>13136</v>
      </c>
      <c r="B684" s="19" t="s">
        <v>13137</v>
      </c>
      <c r="C684" s="19" t="s">
        <v>13138</v>
      </c>
      <c r="D684" s="8" t="s">
        <v>9075</v>
      </c>
      <c r="E684" s="20" t="s">
        <v>8998</v>
      </c>
      <c r="F684" s="20" t="s">
        <v>8950</v>
      </c>
      <c r="G684" s="20" t="s">
        <v>8973</v>
      </c>
      <c r="H684" s="53">
        <v>38112</v>
      </c>
      <c r="I684" s="20" t="s">
        <v>9019</v>
      </c>
      <c r="J684" s="20" t="s">
        <v>8953</v>
      </c>
      <c r="K684" s="20" t="s">
        <v>8989</v>
      </c>
      <c r="L684" s="21" t="s">
        <v>8955</v>
      </c>
      <c r="M684" s="20" t="s">
        <v>8956</v>
      </c>
      <c r="N684" s="20" t="s">
        <v>9060</v>
      </c>
      <c r="O684" s="20">
        <f t="shared" si="10"/>
        <v>4</v>
      </c>
      <c r="P684" s="22" t="s">
        <v>8958</v>
      </c>
      <c r="Q684" s="21" t="s">
        <v>9009</v>
      </c>
      <c r="R684" s="23" t="s">
        <v>9010</v>
      </c>
      <c r="S684" s="24" t="s">
        <v>13139</v>
      </c>
      <c r="T684" s="24" t="str">
        <f>VLOOKUP(R684,[1]Sheet3!$A$2:$A$47,1,0)</f>
        <v>the United States of America</v>
      </c>
      <c r="U684" s="24" t="s">
        <v>13140</v>
      </c>
      <c r="V684" s="24" t="s">
        <v>13141</v>
      </c>
      <c r="W684" s="18" t="s">
        <v>8964</v>
      </c>
      <c r="X684" s="26" t="s">
        <v>7608</v>
      </c>
      <c r="Y684" s="18" t="s">
        <v>13142</v>
      </c>
      <c r="Z684" s="24" t="s">
        <v>11</v>
      </c>
    </row>
    <row r="685" spans="1:26" ht="20.100000000000001" customHeight="1" x14ac:dyDescent="0.2">
      <c r="A685" s="18" t="s">
        <v>13143</v>
      </c>
      <c r="B685" s="19" t="s">
        <v>13144</v>
      </c>
      <c r="C685" s="19" t="s">
        <v>13145</v>
      </c>
      <c r="D685" s="8" t="s">
        <v>9100</v>
      </c>
      <c r="E685" s="20" t="s">
        <v>8998</v>
      </c>
      <c r="F685" s="33" t="s">
        <v>13146</v>
      </c>
      <c r="G685" s="20" t="s">
        <v>9076</v>
      </c>
      <c r="H685" s="53">
        <v>2378</v>
      </c>
      <c r="I685" s="20" t="s">
        <v>8952</v>
      </c>
      <c r="J685" s="20" t="s">
        <v>8953</v>
      </c>
      <c r="K685" s="20" t="s">
        <v>8989</v>
      </c>
      <c r="L685" s="21" t="s">
        <v>8955</v>
      </c>
      <c r="M685" s="20" t="s">
        <v>8956</v>
      </c>
      <c r="N685" s="20" t="s">
        <v>9060</v>
      </c>
      <c r="O685" s="20">
        <f t="shared" si="10"/>
        <v>11</v>
      </c>
      <c r="P685" s="22" t="s">
        <v>8975</v>
      </c>
      <c r="Q685" s="21" t="s">
        <v>8959</v>
      </c>
      <c r="R685" s="23" t="s">
        <v>9010</v>
      </c>
      <c r="S685" s="24" t="s">
        <v>9141</v>
      </c>
      <c r="T685" s="24" t="str">
        <f>VLOOKUP(R685,[1]Sheet3!$A$2:$A$47,1,0)</f>
        <v>the United States of America</v>
      </c>
      <c r="U685" s="24" t="s">
        <v>13147</v>
      </c>
      <c r="V685" s="24" t="s">
        <v>13148</v>
      </c>
      <c r="W685" s="18" t="s">
        <v>8964</v>
      </c>
      <c r="X685" s="26" t="s">
        <v>1929</v>
      </c>
      <c r="Y685" s="18" t="s">
        <v>9144</v>
      </c>
      <c r="Z685" s="24" t="s">
        <v>11</v>
      </c>
    </row>
    <row r="686" spans="1:26" ht="20.100000000000001" customHeight="1" x14ac:dyDescent="0.2">
      <c r="A686" s="18" t="s">
        <v>13149</v>
      </c>
      <c r="B686" s="19" t="s">
        <v>13150</v>
      </c>
      <c r="C686" s="19" t="s">
        <v>13151</v>
      </c>
      <c r="D686" s="8" t="s">
        <v>8948</v>
      </c>
      <c r="E686" s="20" t="s">
        <v>8949</v>
      </c>
      <c r="F686" s="20" t="s">
        <v>9510</v>
      </c>
      <c r="G686" s="20" t="s">
        <v>8987</v>
      </c>
      <c r="H686" s="53">
        <v>500</v>
      </c>
      <c r="I686" s="20" t="s">
        <v>8988</v>
      </c>
      <c r="J686" s="20" t="s">
        <v>9059</v>
      </c>
      <c r="K686" s="20" t="s">
        <v>8954</v>
      </c>
      <c r="L686" s="21" t="s">
        <v>8955</v>
      </c>
      <c r="M686" s="20" t="s">
        <v>8956</v>
      </c>
      <c r="N686" s="20" t="s">
        <v>8959</v>
      </c>
      <c r="O686" s="20">
        <f t="shared" si="10"/>
        <v>10</v>
      </c>
      <c r="P686" s="22" t="s">
        <v>8975</v>
      </c>
      <c r="Q686" s="21" t="s">
        <v>8959</v>
      </c>
      <c r="R686" s="23" t="s">
        <v>10049</v>
      </c>
      <c r="S686" s="24" t="s">
        <v>9042</v>
      </c>
      <c r="T686" s="24" t="str">
        <f>VLOOKUP(R686,[1]Sheet3!$A$2:$A$47,1,0)</f>
        <v>Italy</v>
      </c>
      <c r="U686" s="24" t="s">
        <v>13152</v>
      </c>
      <c r="V686" s="24" t="s">
        <v>13153</v>
      </c>
      <c r="W686" s="18" t="s">
        <v>8964</v>
      </c>
      <c r="X686" s="26" t="s">
        <v>322</v>
      </c>
      <c r="Y686" s="18" t="s">
        <v>9045</v>
      </c>
      <c r="Z686" s="24" t="s">
        <v>11</v>
      </c>
    </row>
    <row r="687" spans="1:26" ht="20.100000000000001" customHeight="1" x14ac:dyDescent="0.2">
      <c r="A687" s="18" t="s">
        <v>13154</v>
      </c>
      <c r="B687" s="19" t="s">
        <v>13155</v>
      </c>
      <c r="C687" s="19" t="s">
        <v>13156</v>
      </c>
      <c r="D687" s="8" t="s">
        <v>9092</v>
      </c>
      <c r="E687" s="20" t="s">
        <v>9308</v>
      </c>
      <c r="F687" s="20" t="s">
        <v>9949</v>
      </c>
      <c r="G687" s="20" t="s">
        <v>8973</v>
      </c>
      <c r="H687" s="53">
        <v>2000</v>
      </c>
      <c r="I687" s="20" t="s">
        <v>8952</v>
      </c>
      <c r="J687" s="20" t="s">
        <v>8953</v>
      </c>
      <c r="K687" s="20" t="s">
        <v>8954</v>
      </c>
      <c r="L687" s="21" t="s">
        <v>8955</v>
      </c>
      <c r="M687" s="20" t="s">
        <v>8956</v>
      </c>
      <c r="N687" s="20" t="s">
        <v>8957</v>
      </c>
      <c r="O687" s="20">
        <f t="shared" si="10"/>
        <v>3</v>
      </c>
      <c r="P687" s="22" t="s">
        <v>9103</v>
      </c>
      <c r="Q687" s="21" t="s">
        <v>9009</v>
      </c>
      <c r="R687" s="23" t="s">
        <v>9333</v>
      </c>
      <c r="S687" s="24" t="s">
        <v>11706</v>
      </c>
      <c r="T687" s="24" t="str">
        <f>VLOOKUP(R687,[1]Sheet3!$A$2:$A$47,1,0)</f>
        <v>Japan</v>
      </c>
      <c r="U687" s="24" t="s">
        <v>13157</v>
      </c>
      <c r="V687" s="24" t="s">
        <v>13158</v>
      </c>
      <c r="W687" s="18" t="s">
        <v>8964</v>
      </c>
      <c r="X687" s="26" t="s">
        <v>2183</v>
      </c>
      <c r="Y687" s="18" t="s">
        <v>11709</v>
      </c>
      <c r="Z687" s="24" t="s">
        <v>11</v>
      </c>
    </row>
    <row r="688" spans="1:26" ht="20.100000000000001" customHeight="1" x14ac:dyDescent="0.2">
      <c r="A688" s="18" t="s">
        <v>13159</v>
      </c>
      <c r="B688" s="19" t="s">
        <v>13160</v>
      </c>
      <c r="C688" s="19" t="s">
        <v>13161</v>
      </c>
      <c r="D688" s="8" t="s">
        <v>9092</v>
      </c>
      <c r="E688" s="20" t="s">
        <v>9308</v>
      </c>
      <c r="F688" s="20" t="s">
        <v>8950</v>
      </c>
      <c r="G688" s="20" t="s">
        <v>8951</v>
      </c>
      <c r="H688" s="53">
        <v>11112</v>
      </c>
      <c r="I688" s="20" t="s">
        <v>9019</v>
      </c>
      <c r="J688" s="20" t="s">
        <v>8953</v>
      </c>
      <c r="K688" s="20" t="s">
        <v>8989</v>
      </c>
      <c r="L688" s="21" t="s">
        <v>8955</v>
      </c>
      <c r="M688" s="20" t="s">
        <v>8990</v>
      </c>
      <c r="N688" s="20" t="s">
        <v>8957</v>
      </c>
      <c r="O688" s="20">
        <f t="shared" si="10"/>
        <v>2</v>
      </c>
      <c r="P688" s="22" t="s">
        <v>9103</v>
      </c>
      <c r="Q688" s="21" t="s">
        <v>9009</v>
      </c>
      <c r="R688" s="23" t="s">
        <v>10873</v>
      </c>
      <c r="S688" s="24" t="s">
        <v>13162</v>
      </c>
      <c r="T688" s="24" t="str">
        <f>VLOOKUP(R688,[1]Sheet3!$A$2:$A$47,1,0)</f>
        <v>UK</v>
      </c>
      <c r="U688" s="24" t="s">
        <v>13163</v>
      </c>
      <c r="V688" s="24" t="s">
        <v>13164</v>
      </c>
      <c r="W688" s="18" t="s">
        <v>8964</v>
      </c>
      <c r="X688" s="26" t="s">
        <v>77</v>
      </c>
      <c r="Y688" s="18" t="s">
        <v>13165</v>
      </c>
      <c r="Z688" s="24" t="s">
        <v>11</v>
      </c>
    </row>
    <row r="689" spans="1:26" ht="20.100000000000001" customHeight="1" x14ac:dyDescent="0.2">
      <c r="A689" s="18" t="s">
        <v>13166</v>
      </c>
      <c r="B689" s="19" t="s">
        <v>13167</v>
      </c>
      <c r="C689" s="19" t="s">
        <v>13168</v>
      </c>
      <c r="D689" s="8" t="s">
        <v>8948</v>
      </c>
      <c r="E689" s="20" t="s">
        <v>9121</v>
      </c>
      <c r="F689" s="20" t="s">
        <v>8950</v>
      </c>
      <c r="G689" s="20" t="s">
        <v>9464</v>
      </c>
      <c r="H689" s="53">
        <v>114</v>
      </c>
      <c r="I689" s="20" t="s">
        <v>9158</v>
      </c>
      <c r="J689" s="20" t="s">
        <v>8953</v>
      </c>
      <c r="K689" s="20" t="s">
        <v>8954</v>
      </c>
      <c r="L689" s="21" t="s">
        <v>8955</v>
      </c>
      <c r="M689" s="20" t="s">
        <v>8956</v>
      </c>
      <c r="N689" s="20" t="s">
        <v>8957</v>
      </c>
      <c r="O689" s="20">
        <f t="shared" si="10"/>
        <v>3</v>
      </c>
      <c r="P689" s="22" t="s">
        <v>9103</v>
      </c>
      <c r="Q689" s="21" t="s">
        <v>9009</v>
      </c>
      <c r="R689" s="23" t="s">
        <v>9010</v>
      </c>
      <c r="S689" s="24" t="s">
        <v>180</v>
      </c>
      <c r="T689" s="24" t="str">
        <f>VLOOKUP(R689,[1]Sheet3!$A$2:$A$47,1,0)</f>
        <v>the United States of America</v>
      </c>
      <c r="U689" s="24" t="s">
        <v>13169</v>
      </c>
      <c r="V689" s="24" t="s">
        <v>13170</v>
      </c>
      <c r="W689" s="18" t="s">
        <v>8964</v>
      </c>
      <c r="X689" s="26" t="s">
        <v>180</v>
      </c>
      <c r="Y689" s="18" t="s">
        <v>11199</v>
      </c>
      <c r="Z689" s="24" t="s">
        <v>11</v>
      </c>
    </row>
    <row r="690" spans="1:26" ht="20.100000000000001" customHeight="1" x14ac:dyDescent="0.2">
      <c r="A690" s="18" t="s">
        <v>13171</v>
      </c>
      <c r="B690" s="19" t="s">
        <v>13172</v>
      </c>
      <c r="C690" s="19" t="s">
        <v>13173</v>
      </c>
      <c r="D690" s="8" t="s">
        <v>9252</v>
      </c>
      <c r="E690" s="33" t="s">
        <v>9422</v>
      </c>
      <c r="F690" s="20" t="s">
        <v>9018</v>
      </c>
      <c r="G690" s="20" t="s">
        <v>8987</v>
      </c>
      <c r="H690" s="53">
        <v>3700</v>
      </c>
      <c r="I690" s="20" t="s">
        <v>9019</v>
      </c>
      <c r="J690" s="20" t="s">
        <v>8953</v>
      </c>
      <c r="K690" s="20" t="s">
        <v>8954</v>
      </c>
      <c r="L690" s="21" t="s">
        <v>8955</v>
      </c>
      <c r="M690" s="20" t="s">
        <v>8956</v>
      </c>
      <c r="N690" s="20" t="s">
        <v>8957</v>
      </c>
      <c r="O690" s="20">
        <f t="shared" si="10"/>
        <v>5</v>
      </c>
      <c r="P690" s="22" t="s">
        <v>8958</v>
      </c>
      <c r="Q690" s="21" t="s">
        <v>8959</v>
      </c>
      <c r="R690" s="23" t="s">
        <v>9010</v>
      </c>
      <c r="S690" s="24" t="s">
        <v>9255</v>
      </c>
      <c r="T690" s="24" t="str">
        <f>VLOOKUP(R690,[1]Sheet3!$A$2:$A$47,1,0)</f>
        <v>the United States of America</v>
      </c>
      <c r="U690" s="24" t="s">
        <v>13174</v>
      </c>
      <c r="V690" s="24" t="s">
        <v>13175</v>
      </c>
      <c r="W690" s="18" t="s">
        <v>8964</v>
      </c>
      <c r="X690" s="26" t="s">
        <v>24</v>
      </c>
      <c r="Y690" s="18" t="s">
        <v>9258</v>
      </c>
      <c r="Z690" s="24" t="s">
        <v>4</v>
      </c>
    </row>
    <row r="691" spans="1:26" ht="20.100000000000001" customHeight="1" x14ac:dyDescent="0.2">
      <c r="A691" s="18" t="s">
        <v>13176</v>
      </c>
      <c r="B691" s="19" t="s">
        <v>13177</v>
      </c>
      <c r="C691" s="19" t="s">
        <v>13178</v>
      </c>
      <c r="D691" s="8" t="s">
        <v>9049</v>
      </c>
      <c r="E691" s="20" t="s">
        <v>9050</v>
      </c>
      <c r="F691" s="20" t="s">
        <v>8972</v>
      </c>
      <c r="G691" s="20" t="s">
        <v>8973</v>
      </c>
      <c r="H691" s="53">
        <v>428</v>
      </c>
      <c r="I691" s="20" t="s">
        <v>8988</v>
      </c>
      <c r="J691" s="20" t="s">
        <v>8953</v>
      </c>
      <c r="K691" s="20" t="s">
        <v>8954</v>
      </c>
      <c r="L691" s="21" t="s">
        <v>9182</v>
      </c>
      <c r="M691" s="20" t="s">
        <v>10900</v>
      </c>
      <c r="N691" s="20" t="s">
        <v>8957</v>
      </c>
      <c r="O691" s="20">
        <f t="shared" si="10"/>
        <v>11</v>
      </c>
      <c r="P691" s="22" t="s">
        <v>8975</v>
      </c>
      <c r="Q691" s="21" t="s">
        <v>9009</v>
      </c>
      <c r="R691" s="23" t="s">
        <v>9010</v>
      </c>
      <c r="S691" s="24" t="s">
        <v>12243</v>
      </c>
      <c r="T691" s="24" t="str">
        <f>VLOOKUP(R691,[1]Sheet3!$A$2:$A$47,1,0)</f>
        <v>the United States of America</v>
      </c>
      <c r="U691" s="24" t="s">
        <v>13179</v>
      </c>
      <c r="V691" s="24" t="s">
        <v>13180</v>
      </c>
      <c r="W691" s="18" t="s">
        <v>8964</v>
      </c>
      <c r="X691" s="26" t="s">
        <v>4756</v>
      </c>
      <c r="Y691" s="18" t="s">
        <v>12246</v>
      </c>
      <c r="Z691" s="24" t="s">
        <v>4</v>
      </c>
    </row>
    <row r="692" spans="1:26" ht="20.100000000000001" customHeight="1" x14ac:dyDescent="0.2">
      <c r="A692" s="18" t="s">
        <v>13181</v>
      </c>
      <c r="B692" s="19" t="s">
        <v>13182</v>
      </c>
      <c r="C692" s="19" t="s">
        <v>13183</v>
      </c>
      <c r="D692" s="8" t="s">
        <v>9049</v>
      </c>
      <c r="E692" s="20" t="s">
        <v>9050</v>
      </c>
      <c r="F692" s="20" t="s">
        <v>9510</v>
      </c>
      <c r="G692" s="20" t="s">
        <v>8951</v>
      </c>
      <c r="H692" s="53">
        <v>88702</v>
      </c>
      <c r="I692" s="20" t="s">
        <v>9019</v>
      </c>
      <c r="J692" s="20" t="s">
        <v>8953</v>
      </c>
      <c r="K692" s="20" t="s">
        <v>8989</v>
      </c>
      <c r="L692" s="21" t="s">
        <v>8955</v>
      </c>
      <c r="M692" s="20" t="s">
        <v>8956</v>
      </c>
      <c r="N692" s="20" t="s">
        <v>9060</v>
      </c>
      <c r="O692" s="20">
        <f t="shared" si="10"/>
        <v>5</v>
      </c>
      <c r="P692" s="22" t="s">
        <v>8958</v>
      </c>
      <c r="Q692" s="21" t="s">
        <v>9009</v>
      </c>
      <c r="R692" s="23" t="s">
        <v>9317</v>
      </c>
      <c r="S692" s="24" t="s">
        <v>9255</v>
      </c>
      <c r="T692" s="24" t="str">
        <f>VLOOKUP(R692,[1]Sheet3!$A$2:$A$47,1,0)</f>
        <v>Germany</v>
      </c>
      <c r="U692" s="24" t="s">
        <v>13184</v>
      </c>
      <c r="V692" s="24" t="s">
        <v>13185</v>
      </c>
      <c r="W692" s="18" t="s">
        <v>8964</v>
      </c>
      <c r="X692" s="26" t="s">
        <v>24</v>
      </c>
      <c r="Y692" s="18" t="s">
        <v>9258</v>
      </c>
      <c r="Z692" s="24" t="s">
        <v>4</v>
      </c>
    </row>
    <row r="693" spans="1:26" ht="20.100000000000001" customHeight="1" x14ac:dyDescent="0.2">
      <c r="A693" s="18" t="s">
        <v>13186</v>
      </c>
      <c r="B693" s="19" t="s">
        <v>13187</v>
      </c>
      <c r="C693" s="19" t="s">
        <v>13188</v>
      </c>
      <c r="D693" s="8" t="s">
        <v>8984</v>
      </c>
      <c r="E693" s="20" t="s">
        <v>8998</v>
      </c>
      <c r="F693" s="20" t="s">
        <v>10613</v>
      </c>
      <c r="G693" s="20" t="s">
        <v>8987</v>
      </c>
      <c r="H693" s="53">
        <v>230</v>
      </c>
      <c r="I693" s="20" t="s">
        <v>9158</v>
      </c>
      <c r="J693" s="20" t="s">
        <v>9059</v>
      </c>
      <c r="K693" s="20" t="s">
        <v>8989</v>
      </c>
      <c r="L693" s="21" t="s">
        <v>8955</v>
      </c>
      <c r="M693" s="20" t="s">
        <v>8956</v>
      </c>
      <c r="N693" s="20" t="s">
        <v>8974</v>
      </c>
      <c r="O693" s="20">
        <f t="shared" si="10"/>
        <v>2</v>
      </c>
      <c r="P693" s="22" t="s">
        <v>9103</v>
      </c>
      <c r="Q693" s="21" t="s">
        <v>8959</v>
      </c>
      <c r="R693" s="23" t="s">
        <v>10873</v>
      </c>
      <c r="S693" s="24" t="s">
        <v>13189</v>
      </c>
      <c r="T693" s="24" t="str">
        <f>VLOOKUP(R693,[1]Sheet3!$A$2:$A$47,1,0)</f>
        <v>UK</v>
      </c>
      <c r="U693" s="24" t="s">
        <v>13190</v>
      </c>
      <c r="V693" s="24" t="s">
        <v>13191</v>
      </c>
      <c r="W693" s="18" t="s">
        <v>8964</v>
      </c>
      <c r="X693" s="26" t="s">
        <v>2267</v>
      </c>
      <c r="Y693" s="18" t="s">
        <v>13192</v>
      </c>
      <c r="Z693" s="24" t="s">
        <v>11</v>
      </c>
    </row>
    <row r="694" spans="1:26" ht="20.100000000000001" customHeight="1" x14ac:dyDescent="0.2">
      <c r="A694" s="18" t="s">
        <v>13193</v>
      </c>
      <c r="B694" s="19" t="s">
        <v>13194</v>
      </c>
      <c r="C694" s="19" t="s">
        <v>13195</v>
      </c>
      <c r="D694" s="8" t="s">
        <v>9252</v>
      </c>
      <c r="E694" s="20" t="s">
        <v>9253</v>
      </c>
      <c r="F694" s="20" t="s">
        <v>9036</v>
      </c>
      <c r="G694" s="20" t="s">
        <v>9076</v>
      </c>
      <c r="H694" s="53">
        <v>2071</v>
      </c>
      <c r="I694" s="20" t="s">
        <v>8952</v>
      </c>
      <c r="J694" s="20" t="s">
        <v>8953</v>
      </c>
      <c r="K694" s="20" t="s">
        <v>8989</v>
      </c>
      <c r="L694" s="21" t="s">
        <v>8955</v>
      </c>
      <c r="M694" s="20" t="s">
        <v>8956</v>
      </c>
      <c r="N694" s="20" t="s">
        <v>8974</v>
      </c>
      <c r="O694" s="20">
        <f t="shared" si="10"/>
        <v>9</v>
      </c>
      <c r="P694" s="22" t="s">
        <v>8975</v>
      </c>
      <c r="Q694" s="21" t="s">
        <v>9061</v>
      </c>
      <c r="R694" s="23" t="s">
        <v>9246</v>
      </c>
      <c r="S694" s="24" t="s">
        <v>13196</v>
      </c>
      <c r="T694" s="24" t="str">
        <f>VLOOKUP(R694,[1]Sheet3!$A$2:$A$47,1,0)</f>
        <v>Netherlands</v>
      </c>
      <c r="U694" s="24" t="s">
        <v>13197</v>
      </c>
      <c r="V694" s="24" t="s">
        <v>13198</v>
      </c>
      <c r="W694" s="18" t="s">
        <v>8964</v>
      </c>
      <c r="X694" s="26" t="s">
        <v>6243</v>
      </c>
      <c r="Y694" s="18" t="s">
        <v>13199</v>
      </c>
      <c r="Z694" s="24" t="s">
        <v>11</v>
      </c>
    </row>
    <row r="695" spans="1:26" ht="20.100000000000001" customHeight="1" x14ac:dyDescent="0.2">
      <c r="A695" s="18" t="s">
        <v>13200</v>
      </c>
      <c r="B695" s="19" t="s">
        <v>13201</v>
      </c>
      <c r="C695" s="19" t="s">
        <v>13202</v>
      </c>
      <c r="D695" s="8" t="s">
        <v>9075</v>
      </c>
      <c r="E695" s="20" t="s">
        <v>13203</v>
      </c>
      <c r="F695" s="20" t="s">
        <v>10258</v>
      </c>
      <c r="G695" s="20" t="s">
        <v>8987</v>
      </c>
      <c r="H695" s="53">
        <v>159</v>
      </c>
      <c r="I695" s="20" t="s">
        <v>9158</v>
      </c>
      <c r="J695" s="20" t="s">
        <v>8953</v>
      </c>
      <c r="K695" s="20" t="s">
        <v>8989</v>
      </c>
      <c r="L695" s="21" t="s">
        <v>8955</v>
      </c>
      <c r="M695" s="20" t="s">
        <v>8956</v>
      </c>
      <c r="N695" s="20" t="s">
        <v>8957</v>
      </c>
      <c r="O695" s="20">
        <f t="shared" si="10"/>
        <v>6</v>
      </c>
      <c r="P695" s="22" t="s">
        <v>8958</v>
      </c>
      <c r="Q695" s="21" t="s">
        <v>9009</v>
      </c>
      <c r="R695" s="23" t="s">
        <v>9010</v>
      </c>
      <c r="S695" s="24" t="s">
        <v>9028</v>
      </c>
      <c r="T695" s="24" t="str">
        <f>VLOOKUP(R695,[1]Sheet3!$A$2:$A$47,1,0)</f>
        <v>the United States of America</v>
      </c>
      <c r="U695" s="24" t="s">
        <v>13204</v>
      </c>
      <c r="V695" s="24" t="s">
        <v>13205</v>
      </c>
      <c r="W695" s="18" t="s">
        <v>8964</v>
      </c>
      <c r="X695" s="26" t="s">
        <v>43</v>
      </c>
      <c r="Y695" s="18" t="s">
        <v>9031</v>
      </c>
      <c r="Z695" s="24" t="s">
        <v>11</v>
      </c>
    </row>
    <row r="696" spans="1:26" ht="20.100000000000001" customHeight="1" x14ac:dyDescent="0.2">
      <c r="A696" s="18" t="s">
        <v>13206</v>
      </c>
      <c r="B696" s="19" t="s">
        <v>13207</v>
      </c>
      <c r="C696" s="19" t="s">
        <v>13208</v>
      </c>
      <c r="D696" s="8" t="s">
        <v>8984</v>
      </c>
      <c r="E696" s="20" t="s">
        <v>8949</v>
      </c>
      <c r="F696" s="20" t="s">
        <v>9036</v>
      </c>
      <c r="G696" s="20" t="s">
        <v>9133</v>
      </c>
      <c r="H696" s="53">
        <v>144180</v>
      </c>
      <c r="I696" s="20" t="s">
        <v>9019</v>
      </c>
      <c r="J696" s="20" t="s">
        <v>9059</v>
      </c>
      <c r="K696" s="20" t="s">
        <v>8954</v>
      </c>
      <c r="L696" s="21" t="s">
        <v>9182</v>
      </c>
      <c r="M696" s="20" t="s">
        <v>8956</v>
      </c>
      <c r="N696" s="20" t="s">
        <v>8959</v>
      </c>
      <c r="O696" s="20">
        <f t="shared" si="10"/>
        <v>5</v>
      </c>
      <c r="P696" s="22" t="s">
        <v>8958</v>
      </c>
      <c r="Q696" s="21" t="s">
        <v>9061</v>
      </c>
      <c r="R696" s="23" t="s">
        <v>9010</v>
      </c>
      <c r="S696" s="24" t="s">
        <v>180</v>
      </c>
      <c r="T696" s="24" t="str">
        <f>VLOOKUP(R696,[1]Sheet3!$A$2:$A$47,1,0)</f>
        <v>the United States of America</v>
      </c>
      <c r="U696" s="24" t="s">
        <v>13209</v>
      </c>
      <c r="V696" s="24" t="s">
        <v>12466</v>
      </c>
      <c r="W696" s="18" t="s">
        <v>8964</v>
      </c>
      <c r="X696" s="26" t="s">
        <v>180</v>
      </c>
      <c r="Y696" s="18" t="s">
        <v>11199</v>
      </c>
      <c r="Z696" s="24" t="s">
        <v>11</v>
      </c>
    </row>
    <row r="697" spans="1:26" ht="20.100000000000001" customHeight="1" x14ac:dyDescent="0.2">
      <c r="A697" s="18" t="s">
        <v>13210</v>
      </c>
      <c r="B697" s="19" t="s">
        <v>13211</v>
      </c>
      <c r="C697" s="19" t="s">
        <v>13212</v>
      </c>
      <c r="D697" s="8" t="s">
        <v>9605</v>
      </c>
      <c r="E697" s="20" t="s">
        <v>9121</v>
      </c>
      <c r="F697" s="20" t="s">
        <v>8950</v>
      </c>
      <c r="G697" s="20" t="s">
        <v>8987</v>
      </c>
      <c r="H697" s="53">
        <v>1400</v>
      </c>
      <c r="I697" s="20" t="s">
        <v>8952</v>
      </c>
      <c r="J697" s="20" t="s">
        <v>8953</v>
      </c>
      <c r="K697" s="20" t="s">
        <v>8989</v>
      </c>
      <c r="L697" s="21" t="s">
        <v>8955</v>
      </c>
      <c r="M697" s="20" t="s">
        <v>8956</v>
      </c>
      <c r="N697" s="20" t="s">
        <v>9060</v>
      </c>
      <c r="O697" s="20">
        <f t="shared" si="10"/>
        <v>6</v>
      </c>
      <c r="P697" s="22" t="s">
        <v>8958</v>
      </c>
      <c r="Q697" s="21" t="s">
        <v>8959</v>
      </c>
      <c r="R697" s="23" t="s">
        <v>9333</v>
      </c>
      <c r="S697" s="24" t="s">
        <v>13213</v>
      </c>
      <c r="T697" s="24" t="str">
        <f>VLOOKUP(R697,[1]Sheet3!$A$2:$A$47,1,0)</f>
        <v>Japan</v>
      </c>
      <c r="U697" s="24" t="s">
        <v>13214</v>
      </c>
      <c r="V697" s="24" t="s">
        <v>13215</v>
      </c>
      <c r="W697" s="18" t="s">
        <v>8964</v>
      </c>
      <c r="X697" s="26" t="s">
        <v>5501</v>
      </c>
      <c r="Y697" s="18" t="s">
        <v>13216</v>
      </c>
      <c r="Z697" s="24" t="s">
        <v>11</v>
      </c>
    </row>
    <row r="698" spans="1:26" ht="20.100000000000001" customHeight="1" x14ac:dyDescent="0.2">
      <c r="A698" s="18" t="s">
        <v>13217</v>
      </c>
      <c r="B698" s="19" t="s">
        <v>13218</v>
      </c>
      <c r="C698" s="19" t="s">
        <v>13219</v>
      </c>
      <c r="D698" s="8" t="s">
        <v>8948</v>
      </c>
      <c r="E698" s="20" t="s">
        <v>8971</v>
      </c>
      <c r="F698" s="20" t="s">
        <v>9510</v>
      </c>
      <c r="G698" s="20" t="s">
        <v>8973</v>
      </c>
      <c r="H698" s="53">
        <v>180</v>
      </c>
      <c r="I698" s="20" t="s">
        <v>9158</v>
      </c>
      <c r="J698" s="20" t="s">
        <v>8953</v>
      </c>
      <c r="K698" s="20" t="s">
        <v>8989</v>
      </c>
      <c r="L698" s="21" t="s">
        <v>8955</v>
      </c>
      <c r="M698" s="20" t="s">
        <v>8956</v>
      </c>
      <c r="N698" s="20" t="s">
        <v>8959</v>
      </c>
      <c r="O698" s="20">
        <f t="shared" si="10"/>
        <v>2</v>
      </c>
      <c r="P698" s="22" t="s">
        <v>9103</v>
      </c>
      <c r="Q698" s="21" t="s">
        <v>8959</v>
      </c>
      <c r="R698" s="23" t="s">
        <v>9380</v>
      </c>
      <c r="S698" s="24" t="s">
        <v>8961</v>
      </c>
      <c r="T698" s="24" t="str">
        <f>VLOOKUP(R698,[1]Sheet3!$A$2:$A$47,1,0)</f>
        <v>Canada</v>
      </c>
      <c r="U698" s="24" t="s">
        <v>13220</v>
      </c>
      <c r="V698" s="24" t="s">
        <v>13221</v>
      </c>
      <c r="W698" s="18" t="s">
        <v>8964</v>
      </c>
      <c r="X698" s="26" t="s">
        <v>126</v>
      </c>
      <c r="Y698" s="18" t="s">
        <v>8966</v>
      </c>
      <c r="Z698" s="24" t="s">
        <v>11</v>
      </c>
    </row>
    <row r="699" spans="1:26" ht="20.100000000000001" customHeight="1" x14ac:dyDescent="0.2">
      <c r="A699" s="18" t="s">
        <v>13222</v>
      </c>
      <c r="B699" s="19" t="s">
        <v>13223</v>
      </c>
      <c r="C699" s="19" t="s">
        <v>13224</v>
      </c>
      <c r="D699" s="8" t="s">
        <v>9049</v>
      </c>
      <c r="E699" s="33" t="s">
        <v>9325</v>
      </c>
      <c r="F699" s="20" t="s">
        <v>8950</v>
      </c>
      <c r="G699" s="20" t="s">
        <v>8951</v>
      </c>
      <c r="H699" s="53">
        <v>1200</v>
      </c>
      <c r="I699" s="20" t="s">
        <v>8952</v>
      </c>
      <c r="J699" s="20" t="s">
        <v>8953</v>
      </c>
      <c r="K699" s="20" t="s">
        <v>8954</v>
      </c>
      <c r="L699" s="21" t="s">
        <v>8955</v>
      </c>
      <c r="M699" s="20" t="s">
        <v>8956</v>
      </c>
      <c r="N699" s="20" t="s">
        <v>8957</v>
      </c>
      <c r="O699" s="20">
        <f t="shared" si="10"/>
        <v>10</v>
      </c>
      <c r="P699" s="22" t="s">
        <v>8975</v>
      </c>
      <c r="Q699" s="21" t="s">
        <v>9009</v>
      </c>
      <c r="R699" s="23" t="s">
        <v>9636</v>
      </c>
      <c r="S699" s="24" t="s">
        <v>447</v>
      </c>
      <c r="T699" s="24" t="str">
        <f>VLOOKUP(R699,[1]Sheet3!$A$2:$A$47,1,0)</f>
        <v>Austria</v>
      </c>
      <c r="U699" s="24" t="s">
        <v>13225</v>
      </c>
      <c r="V699" s="24" t="s">
        <v>13226</v>
      </c>
      <c r="W699" s="18" t="s">
        <v>8964</v>
      </c>
      <c r="X699" s="26" t="s">
        <v>447</v>
      </c>
      <c r="Y699" s="18" t="s">
        <v>12639</v>
      </c>
      <c r="Z699" s="24" t="s">
        <v>11</v>
      </c>
    </row>
    <row r="700" spans="1:26" ht="20.100000000000001" customHeight="1" x14ac:dyDescent="0.2">
      <c r="B700" s="19" t="s">
        <v>13227</v>
      </c>
      <c r="C700" s="19" t="s">
        <v>13228</v>
      </c>
      <c r="D700" s="8" t="s">
        <v>8948</v>
      </c>
      <c r="E700" s="20" t="s">
        <v>8949</v>
      </c>
      <c r="F700" s="33" t="s">
        <v>9679</v>
      </c>
      <c r="G700" s="20" t="s">
        <v>8987</v>
      </c>
      <c r="H700" s="53">
        <v>5235</v>
      </c>
      <c r="I700" s="20" t="s">
        <v>9019</v>
      </c>
      <c r="J700" s="20" t="s">
        <v>8953</v>
      </c>
      <c r="K700" s="20" t="s">
        <v>8954</v>
      </c>
      <c r="L700" s="21" t="s">
        <v>8955</v>
      </c>
      <c r="M700" s="20" t="s">
        <v>8956</v>
      </c>
      <c r="N700" s="20" t="s">
        <v>8957</v>
      </c>
      <c r="O700" s="20">
        <f t="shared" si="10"/>
        <v>2</v>
      </c>
      <c r="P700" s="22" t="s">
        <v>9103</v>
      </c>
      <c r="Q700" s="21" t="s">
        <v>9009</v>
      </c>
      <c r="R700" s="23" t="s">
        <v>9010</v>
      </c>
      <c r="S700" s="24" t="s">
        <v>13229</v>
      </c>
      <c r="T700" s="24" t="str">
        <f>VLOOKUP(R700,[1]Sheet3!$A$2:$A$47,1,0)</f>
        <v>the United States of America</v>
      </c>
      <c r="U700" s="24" t="s">
        <v>13230</v>
      </c>
      <c r="V700" s="24" t="s">
        <v>13231</v>
      </c>
      <c r="W700" s="18" t="s">
        <v>8964</v>
      </c>
      <c r="X700" s="26" t="s">
        <v>2657</v>
      </c>
      <c r="Y700" s="18" t="s">
        <v>13232</v>
      </c>
      <c r="Z700" s="24" t="s">
        <v>11</v>
      </c>
    </row>
    <row r="701" spans="1:26" ht="20.100000000000001" customHeight="1" x14ac:dyDescent="0.2">
      <c r="A701" s="18" t="s">
        <v>13233</v>
      </c>
      <c r="B701" s="19" t="s">
        <v>13234</v>
      </c>
      <c r="C701" s="19" t="s">
        <v>13235</v>
      </c>
      <c r="D701" s="8" t="s">
        <v>8948</v>
      </c>
      <c r="E701" s="20" t="s">
        <v>9155</v>
      </c>
      <c r="F701" s="20" t="s">
        <v>9051</v>
      </c>
      <c r="G701" s="20" t="s">
        <v>8973</v>
      </c>
      <c r="H701" s="53">
        <v>163</v>
      </c>
      <c r="I701" s="20" t="s">
        <v>9158</v>
      </c>
      <c r="J701" s="20" t="s">
        <v>8953</v>
      </c>
      <c r="K701" s="20" t="s">
        <v>8989</v>
      </c>
      <c r="L701" s="21" t="s">
        <v>8955</v>
      </c>
      <c r="M701" s="20" t="s">
        <v>8956</v>
      </c>
      <c r="N701" s="20" t="s">
        <v>8957</v>
      </c>
      <c r="O701" s="20">
        <f t="shared" si="10"/>
        <v>3</v>
      </c>
      <c r="P701" s="22" t="s">
        <v>9103</v>
      </c>
      <c r="Q701" s="21" t="s">
        <v>9009</v>
      </c>
      <c r="R701" s="23" t="s">
        <v>9213</v>
      </c>
      <c r="S701" s="24" t="s">
        <v>11600</v>
      </c>
      <c r="T701" s="24" t="str">
        <f>VLOOKUP(R701,[1]Sheet3!$A$2:$A$47,1,0)</f>
        <v>South Korea</v>
      </c>
      <c r="U701" s="24" t="s">
        <v>13236</v>
      </c>
      <c r="V701" s="24" t="s">
        <v>13237</v>
      </c>
      <c r="W701" s="18" t="s">
        <v>8964</v>
      </c>
      <c r="X701" s="26" t="s">
        <v>733</v>
      </c>
      <c r="Y701" s="18" t="s">
        <v>11603</v>
      </c>
      <c r="Z701" s="24" t="s">
        <v>11</v>
      </c>
    </row>
    <row r="702" spans="1:26" ht="20.100000000000001" customHeight="1" x14ac:dyDescent="0.2">
      <c r="A702" s="18" t="s">
        <v>13238</v>
      </c>
      <c r="B702" s="19" t="s">
        <v>13239</v>
      </c>
      <c r="C702" s="19" t="s">
        <v>13240</v>
      </c>
      <c r="D702" s="8" t="s">
        <v>9252</v>
      </c>
      <c r="E702" s="20" t="s">
        <v>8971</v>
      </c>
      <c r="F702" s="20" t="s">
        <v>11474</v>
      </c>
      <c r="G702" s="20" t="s">
        <v>8987</v>
      </c>
      <c r="H702" s="53">
        <v>550</v>
      </c>
      <c r="I702" s="20" t="s">
        <v>9077</v>
      </c>
      <c r="J702" s="20" t="s">
        <v>9059</v>
      </c>
      <c r="K702" s="20" t="s">
        <v>8989</v>
      </c>
      <c r="L702" s="21" t="s">
        <v>8955</v>
      </c>
      <c r="M702" s="20" t="s">
        <v>8956</v>
      </c>
      <c r="N702" s="20" t="s">
        <v>8959</v>
      </c>
      <c r="O702" s="20">
        <f t="shared" si="10"/>
        <v>6</v>
      </c>
      <c r="P702" s="22" t="s">
        <v>8958</v>
      </c>
      <c r="Q702" s="21" t="s">
        <v>9061</v>
      </c>
      <c r="R702" s="23" t="s">
        <v>9465</v>
      </c>
      <c r="S702" s="24" t="s">
        <v>9592</v>
      </c>
      <c r="T702" s="24" t="str">
        <f>VLOOKUP(R702,[1]Sheet3!$A$2:$A$47,1,0)</f>
        <v>Switzerland</v>
      </c>
      <c r="U702" s="24" t="s">
        <v>13241</v>
      </c>
      <c r="V702" s="24" t="s">
        <v>13242</v>
      </c>
      <c r="W702" s="18" t="s">
        <v>8964</v>
      </c>
      <c r="X702" s="26" t="s">
        <v>670</v>
      </c>
      <c r="Y702" s="18" t="s">
        <v>9595</v>
      </c>
      <c r="Z702" s="24" t="s">
        <v>11</v>
      </c>
    </row>
    <row r="703" spans="1:26" ht="20.100000000000001" customHeight="1" x14ac:dyDescent="0.2">
      <c r="A703" s="18" t="s">
        <v>13243</v>
      </c>
      <c r="B703" s="19" t="s">
        <v>13244</v>
      </c>
      <c r="C703" s="19" t="s">
        <v>13245</v>
      </c>
      <c r="D703" s="8" t="s">
        <v>9252</v>
      </c>
      <c r="E703" s="20" t="s">
        <v>9253</v>
      </c>
      <c r="F703" s="20" t="s">
        <v>9599</v>
      </c>
      <c r="G703" s="20" t="s">
        <v>9464</v>
      </c>
      <c r="H703" s="53">
        <v>661</v>
      </c>
      <c r="I703" s="20" t="s">
        <v>9077</v>
      </c>
      <c r="J703" s="20" t="s">
        <v>8953</v>
      </c>
      <c r="K703" s="20" t="s">
        <v>8989</v>
      </c>
      <c r="L703" s="21" t="s">
        <v>8955</v>
      </c>
      <c r="M703" s="20" t="s">
        <v>8956</v>
      </c>
      <c r="N703" s="20" t="s">
        <v>8957</v>
      </c>
      <c r="O703" s="20">
        <f t="shared" si="10"/>
        <v>9</v>
      </c>
      <c r="P703" s="22" t="s">
        <v>8975</v>
      </c>
      <c r="Q703" s="21" t="s">
        <v>8959</v>
      </c>
      <c r="R703" s="23" t="s">
        <v>9310</v>
      </c>
      <c r="S703" s="24" t="s">
        <v>9093</v>
      </c>
      <c r="T703" s="24" t="str">
        <f>VLOOKUP(R703,[1]Sheet3!$A$2:$A$47,1,0)</f>
        <v>China</v>
      </c>
      <c r="U703" s="24" t="s">
        <v>13246</v>
      </c>
      <c r="V703" s="24" t="s">
        <v>13247</v>
      </c>
      <c r="W703" s="18" t="s">
        <v>8964</v>
      </c>
      <c r="X703" s="26" t="s">
        <v>378</v>
      </c>
      <c r="Y703" s="18" t="s">
        <v>9096</v>
      </c>
      <c r="Z703" s="24" t="s">
        <v>11</v>
      </c>
    </row>
    <row r="704" spans="1:26" ht="20.100000000000001" customHeight="1" x14ac:dyDescent="0.2">
      <c r="A704" s="18" t="s">
        <v>13248</v>
      </c>
      <c r="B704" s="19" t="s">
        <v>13249</v>
      </c>
      <c r="C704" s="19" t="s">
        <v>13250</v>
      </c>
      <c r="D704" s="8" t="s">
        <v>9049</v>
      </c>
      <c r="E704" s="20" t="s">
        <v>9050</v>
      </c>
      <c r="F704" s="20" t="s">
        <v>8950</v>
      </c>
      <c r="G704" s="20" t="s">
        <v>9464</v>
      </c>
      <c r="H704" s="53">
        <v>89</v>
      </c>
      <c r="I704" s="20" t="s">
        <v>9008</v>
      </c>
      <c r="J704" s="20" t="s">
        <v>8953</v>
      </c>
      <c r="K704" s="20" t="s">
        <v>8989</v>
      </c>
      <c r="L704" s="21" t="s">
        <v>8955</v>
      </c>
      <c r="M704" s="20" t="s">
        <v>8956</v>
      </c>
      <c r="N704" s="20" t="s">
        <v>8959</v>
      </c>
      <c r="O704" s="20">
        <f t="shared" si="10"/>
        <v>3</v>
      </c>
      <c r="P704" s="22" t="s">
        <v>9103</v>
      </c>
      <c r="Q704" s="21" t="s">
        <v>9009</v>
      </c>
      <c r="R704" s="23" t="s">
        <v>9176</v>
      </c>
      <c r="S704" s="24" t="s">
        <v>9020</v>
      </c>
      <c r="T704" s="24" t="str">
        <f>VLOOKUP(R704,[1]Sheet3!$A$2:$A$47,1,0)</f>
        <v>Australia</v>
      </c>
      <c r="U704" s="24" t="s">
        <v>13251</v>
      </c>
      <c r="V704" s="24" t="s">
        <v>13252</v>
      </c>
      <c r="W704" s="18" t="s">
        <v>8964</v>
      </c>
      <c r="X704" s="26" t="s">
        <v>87</v>
      </c>
      <c r="Y704" s="18" t="s">
        <v>9023</v>
      </c>
      <c r="Z704" s="24" t="s">
        <v>11</v>
      </c>
    </row>
    <row r="705" spans="1:26" ht="20.100000000000001" customHeight="1" x14ac:dyDescent="0.2">
      <c r="A705" s="18" t="s">
        <v>13253</v>
      </c>
      <c r="B705" s="19" t="s">
        <v>13254</v>
      </c>
      <c r="C705" s="19" t="s">
        <v>13255</v>
      </c>
      <c r="D705" s="8" t="s">
        <v>8984</v>
      </c>
      <c r="E705" s="20" t="s">
        <v>8998</v>
      </c>
      <c r="F705" s="20" t="s">
        <v>9036</v>
      </c>
      <c r="G705" s="20" t="s">
        <v>9157</v>
      </c>
      <c r="H705" s="53">
        <v>20</v>
      </c>
      <c r="I705" s="20" t="s">
        <v>9008</v>
      </c>
      <c r="J705" s="20" t="s">
        <v>8953</v>
      </c>
      <c r="K705" s="20" t="s">
        <v>8989</v>
      </c>
      <c r="L705" s="21" t="s">
        <v>8955</v>
      </c>
      <c r="M705" s="20" t="s">
        <v>8956</v>
      </c>
      <c r="N705" s="20" t="s">
        <v>8974</v>
      </c>
      <c r="O705" s="20">
        <f t="shared" si="10"/>
        <v>8</v>
      </c>
      <c r="P705" s="22" t="s">
        <v>8975</v>
      </c>
      <c r="Q705" s="21" t="s">
        <v>9061</v>
      </c>
      <c r="R705" s="23" t="s">
        <v>9246</v>
      </c>
      <c r="S705" s="24" t="s">
        <v>12575</v>
      </c>
      <c r="T705" s="24" t="str">
        <f>VLOOKUP(R705,[1]Sheet3!$A$2:$A$47,1,0)</f>
        <v>Netherlands</v>
      </c>
      <c r="U705" s="24" t="s">
        <v>13256</v>
      </c>
      <c r="V705" s="24" t="s">
        <v>13257</v>
      </c>
      <c r="W705" s="18" t="s">
        <v>8964</v>
      </c>
      <c r="X705" s="26" t="s">
        <v>1780</v>
      </c>
      <c r="Y705" s="18" t="s">
        <v>12578</v>
      </c>
      <c r="Z705" s="24" t="s">
        <v>11</v>
      </c>
    </row>
    <row r="706" spans="1:26" ht="20.100000000000001" customHeight="1" x14ac:dyDescent="0.2">
      <c r="A706" s="18" t="s">
        <v>13258</v>
      </c>
      <c r="B706" s="19" t="s">
        <v>13259</v>
      </c>
      <c r="C706" s="19" t="s">
        <v>13260</v>
      </c>
      <c r="D706" s="8" t="s">
        <v>9605</v>
      </c>
      <c r="E706" s="20" t="s">
        <v>9121</v>
      </c>
      <c r="F706" s="20" t="s">
        <v>8950</v>
      </c>
      <c r="G706" s="20" t="s">
        <v>8987</v>
      </c>
      <c r="H706" s="53">
        <v>103019</v>
      </c>
      <c r="I706" s="20" t="s">
        <v>9019</v>
      </c>
      <c r="J706" s="20" t="s">
        <v>8953</v>
      </c>
      <c r="K706" s="20" t="s">
        <v>8989</v>
      </c>
      <c r="L706" s="21" t="s">
        <v>8955</v>
      </c>
      <c r="M706" s="20" t="s">
        <v>8956</v>
      </c>
      <c r="N706" s="20" t="s">
        <v>9060</v>
      </c>
      <c r="O706" s="20">
        <f t="shared" ref="O706:O769" si="11">1+LEN(V706)-LEN(SUBSTITUTE(V706,";",))</f>
        <v>11</v>
      </c>
      <c r="P706" s="22" t="s">
        <v>8975</v>
      </c>
      <c r="Q706" s="21" t="s">
        <v>9009</v>
      </c>
      <c r="R706" s="23" t="s">
        <v>9333</v>
      </c>
      <c r="S706" s="24" t="s">
        <v>9255</v>
      </c>
      <c r="T706" s="24" t="str">
        <f>VLOOKUP(R706,[1]Sheet3!$A$2:$A$47,1,0)</f>
        <v>Japan</v>
      </c>
      <c r="U706" s="24" t="s">
        <v>13261</v>
      </c>
      <c r="V706" s="24" t="s">
        <v>13262</v>
      </c>
      <c r="W706" s="18" t="s">
        <v>8964</v>
      </c>
      <c r="X706" s="26" t="s">
        <v>24</v>
      </c>
      <c r="Y706" s="18" t="s">
        <v>9258</v>
      </c>
      <c r="Z706" s="24" t="s">
        <v>4</v>
      </c>
    </row>
    <row r="707" spans="1:26" ht="20.100000000000001" customHeight="1" x14ac:dyDescent="0.2">
      <c r="A707" s="18" t="s">
        <v>13263</v>
      </c>
      <c r="B707" s="19" t="s">
        <v>13264</v>
      </c>
      <c r="C707" s="19" t="s">
        <v>13265</v>
      </c>
      <c r="D707" s="8" t="s">
        <v>9154</v>
      </c>
      <c r="E707" s="20" t="s">
        <v>8998</v>
      </c>
      <c r="F707" s="20" t="s">
        <v>9036</v>
      </c>
      <c r="G707" s="20" t="s">
        <v>9292</v>
      </c>
      <c r="H707" s="53">
        <v>166</v>
      </c>
      <c r="I707" s="20" t="s">
        <v>9158</v>
      </c>
      <c r="J707" s="20" t="s">
        <v>8953</v>
      </c>
      <c r="K707" s="20" t="s">
        <v>8989</v>
      </c>
      <c r="L707" s="21" t="s">
        <v>8955</v>
      </c>
      <c r="M707" s="20" t="s">
        <v>8956</v>
      </c>
      <c r="N707" s="20" t="s">
        <v>8957</v>
      </c>
      <c r="O707" s="20">
        <f t="shared" si="11"/>
        <v>8</v>
      </c>
      <c r="P707" s="22" t="s">
        <v>8975</v>
      </c>
      <c r="Q707" s="21" t="s">
        <v>9009</v>
      </c>
      <c r="R707" s="23" t="s">
        <v>9246</v>
      </c>
      <c r="S707" s="24" t="s">
        <v>8961</v>
      </c>
      <c r="T707" s="24" t="str">
        <f>VLOOKUP(R707,[1]Sheet3!$A$2:$A$47,1,0)</f>
        <v>Netherlands</v>
      </c>
      <c r="U707" s="24" t="s">
        <v>13266</v>
      </c>
      <c r="V707" s="24" t="s">
        <v>13267</v>
      </c>
      <c r="W707" s="18" t="s">
        <v>8964</v>
      </c>
      <c r="X707" s="26" t="s">
        <v>126</v>
      </c>
      <c r="Y707" s="18" t="s">
        <v>8966</v>
      </c>
      <c r="Z707" s="24" t="s">
        <v>11</v>
      </c>
    </row>
    <row r="708" spans="1:26" ht="20.100000000000001" customHeight="1" x14ac:dyDescent="0.2">
      <c r="A708" s="18" t="s">
        <v>13268</v>
      </c>
      <c r="B708" s="19" t="s">
        <v>13269</v>
      </c>
      <c r="C708" s="19" t="s">
        <v>13270</v>
      </c>
      <c r="D708" s="8" t="s">
        <v>9092</v>
      </c>
      <c r="E708" s="33" t="s">
        <v>9422</v>
      </c>
      <c r="F708" s="20" t="s">
        <v>8950</v>
      </c>
      <c r="G708" s="20" t="s">
        <v>8987</v>
      </c>
      <c r="H708" s="53">
        <v>25488</v>
      </c>
      <c r="I708" s="20" t="s">
        <v>9019</v>
      </c>
      <c r="J708" s="20" t="s">
        <v>8953</v>
      </c>
      <c r="K708" s="20" t="s">
        <v>8989</v>
      </c>
      <c r="L708" s="21" t="s">
        <v>8955</v>
      </c>
      <c r="M708" s="20" t="s">
        <v>8956</v>
      </c>
      <c r="N708" s="20" t="s">
        <v>9060</v>
      </c>
      <c r="O708" s="20">
        <f t="shared" si="11"/>
        <v>3</v>
      </c>
      <c r="P708" s="22" t="s">
        <v>9103</v>
      </c>
      <c r="Q708" s="21" t="s">
        <v>9009</v>
      </c>
      <c r="R708" s="23" t="s">
        <v>9010</v>
      </c>
      <c r="S708" s="24" t="s">
        <v>13271</v>
      </c>
      <c r="T708" s="24" t="str">
        <f>VLOOKUP(R708,[1]Sheet3!$A$2:$A$47,1,0)</f>
        <v>the United States of America</v>
      </c>
      <c r="U708" s="24" t="s">
        <v>13272</v>
      </c>
      <c r="V708" s="24" t="s">
        <v>13273</v>
      </c>
      <c r="W708" s="18" t="s">
        <v>8964</v>
      </c>
      <c r="X708" s="26" t="s">
        <v>6761</v>
      </c>
      <c r="Y708" s="18" t="s">
        <v>13274</v>
      </c>
      <c r="Z708" s="24" t="s">
        <v>11</v>
      </c>
    </row>
    <row r="709" spans="1:26" ht="20.100000000000001" customHeight="1" x14ac:dyDescent="0.2">
      <c r="A709" s="18" t="s">
        <v>13275</v>
      </c>
      <c r="B709" s="19" t="s">
        <v>13276</v>
      </c>
      <c r="C709" s="19" t="s">
        <v>13277</v>
      </c>
      <c r="D709" s="8" t="s">
        <v>9049</v>
      </c>
      <c r="E709" s="20" t="s">
        <v>9050</v>
      </c>
      <c r="F709" s="20" t="s">
        <v>13278</v>
      </c>
      <c r="G709" s="20" t="s">
        <v>8951</v>
      </c>
      <c r="H709" s="53">
        <v>17118</v>
      </c>
      <c r="I709" s="20" t="s">
        <v>9019</v>
      </c>
      <c r="J709" s="20" t="s">
        <v>8953</v>
      </c>
      <c r="K709" s="20" t="s">
        <v>8989</v>
      </c>
      <c r="L709" s="21" t="s">
        <v>8955</v>
      </c>
      <c r="M709" s="20" t="s">
        <v>8956</v>
      </c>
      <c r="N709" s="20" t="s">
        <v>8974</v>
      </c>
      <c r="O709" s="20">
        <f t="shared" si="11"/>
        <v>8</v>
      </c>
      <c r="P709" s="22" t="s">
        <v>8975</v>
      </c>
      <c r="Q709" s="21" t="s">
        <v>9183</v>
      </c>
      <c r="R709" s="23" t="s">
        <v>10873</v>
      </c>
      <c r="S709" s="24" t="s">
        <v>13279</v>
      </c>
      <c r="T709" s="24" t="str">
        <f>VLOOKUP(R709,[1]Sheet3!$A$2:$A$47,1,0)</f>
        <v>UK</v>
      </c>
      <c r="U709" s="24" t="s">
        <v>13280</v>
      </c>
      <c r="V709" s="24" t="s">
        <v>13281</v>
      </c>
      <c r="W709" s="18" t="s">
        <v>8964</v>
      </c>
      <c r="X709" s="26" t="s">
        <v>2082</v>
      </c>
      <c r="Y709" s="18" t="s">
        <v>13282</v>
      </c>
      <c r="Z709" s="24" t="s">
        <v>4</v>
      </c>
    </row>
    <row r="710" spans="1:26" ht="20.100000000000001" customHeight="1" x14ac:dyDescent="0.2">
      <c r="A710" s="18" t="s">
        <v>13283</v>
      </c>
      <c r="B710" s="19" t="s">
        <v>13284</v>
      </c>
      <c r="C710" s="19" t="s">
        <v>13285</v>
      </c>
      <c r="D710" s="8" t="s">
        <v>8948</v>
      </c>
      <c r="E710" s="20" t="s">
        <v>8949</v>
      </c>
      <c r="F710" s="20" t="s">
        <v>11241</v>
      </c>
      <c r="G710" s="20" t="s">
        <v>8973</v>
      </c>
      <c r="H710" s="53">
        <v>496</v>
      </c>
      <c r="I710" s="20" t="s">
        <v>8988</v>
      </c>
      <c r="J710" s="20" t="s">
        <v>9059</v>
      </c>
      <c r="K710" s="20" t="s">
        <v>8954</v>
      </c>
      <c r="L710" s="21" t="s">
        <v>8955</v>
      </c>
      <c r="M710" s="20" t="s">
        <v>8956</v>
      </c>
      <c r="N710" s="20" t="s">
        <v>12791</v>
      </c>
      <c r="O710" s="20">
        <f t="shared" si="11"/>
        <v>30</v>
      </c>
      <c r="P710" s="22" t="s">
        <v>8975</v>
      </c>
      <c r="Q710" s="21" t="s">
        <v>9009</v>
      </c>
      <c r="R710" s="23" t="s">
        <v>9010</v>
      </c>
      <c r="S710" s="24" t="s">
        <v>9905</v>
      </c>
      <c r="T710" s="24" t="str">
        <f>VLOOKUP(R710,[1]Sheet3!$A$2:$A$47,1,0)</f>
        <v>the United States of America</v>
      </c>
      <c r="U710" s="24" t="s">
        <v>13286</v>
      </c>
      <c r="V710" s="24" t="s">
        <v>13287</v>
      </c>
      <c r="W710" s="18" t="s">
        <v>8964</v>
      </c>
      <c r="X710" s="26" t="s">
        <v>39</v>
      </c>
      <c r="Y710" s="18" t="s">
        <v>9908</v>
      </c>
      <c r="Z710" s="24" t="s">
        <v>11</v>
      </c>
    </row>
    <row r="711" spans="1:26" ht="20.100000000000001" customHeight="1" x14ac:dyDescent="0.2">
      <c r="A711" s="18" t="s">
        <v>13288</v>
      </c>
      <c r="B711" s="19" t="s">
        <v>13289</v>
      </c>
      <c r="C711" s="19" t="s">
        <v>13290</v>
      </c>
      <c r="D711" s="8" t="s">
        <v>8984</v>
      </c>
      <c r="E711" s="33" t="s">
        <v>9422</v>
      </c>
      <c r="F711" s="58" t="s">
        <v>9036</v>
      </c>
      <c r="G711" s="20" t="s">
        <v>8951</v>
      </c>
      <c r="H711" s="53">
        <v>100</v>
      </c>
      <c r="I711" s="20" t="s">
        <v>9008</v>
      </c>
      <c r="J711" s="20" t="s">
        <v>8953</v>
      </c>
      <c r="K711" s="20" t="s">
        <v>8989</v>
      </c>
      <c r="L711" s="21" t="s">
        <v>8955</v>
      </c>
      <c r="M711" s="20" t="s">
        <v>8956</v>
      </c>
      <c r="N711" s="20" t="s">
        <v>8957</v>
      </c>
      <c r="O711" s="20">
        <f t="shared" si="11"/>
        <v>5</v>
      </c>
      <c r="P711" s="22" t="s">
        <v>8958</v>
      </c>
      <c r="Q711" s="21" t="s">
        <v>9009</v>
      </c>
      <c r="R711" s="23" t="s">
        <v>9852</v>
      </c>
      <c r="S711" s="24" t="s">
        <v>9496</v>
      </c>
      <c r="T711" s="24" t="str">
        <f>VLOOKUP(R711,[1]Sheet3!$A$2:$A$47,1,0)</f>
        <v>Pakistan</v>
      </c>
      <c r="U711" s="24" t="s">
        <v>13291</v>
      </c>
      <c r="V711" s="24" t="s">
        <v>13292</v>
      </c>
      <c r="W711" s="18" t="s">
        <v>8964</v>
      </c>
      <c r="X711" s="26" t="s">
        <v>97</v>
      </c>
      <c r="Y711" s="18" t="s">
        <v>9499</v>
      </c>
      <c r="Z711" s="24" t="s">
        <v>4</v>
      </c>
    </row>
    <row r="712" spans="1:26" ht="20.100000000000001" customHeight="1" x14ac:dyDescent="0.2">
      <c r="A712" s="18" t="s">
        <v>13293</v>
      </c>
      <c r="B712" s="19" t="s">
        <v>13294</v>
      </c>
      <c r="C712" s="19" t="s">
        <v>13295</v>
      </c>
      <c r="D712" s="8" t="s">
        <v>9252</v>
      </c>
      <c r="E712" s="20" t="s">
        <v>9253</v>
      </c>
      <c r="F712" s="20" t="s">
        <v>8950</v>
      </c>
      <c r="G712" s="20" t="s">
        <v>8987</v>
      </c>
      <c r="H712" s="53">
        <v>22000</v>
      </c>
      <c r="I712" s="20" t="s">
        <v>9019</v>
      </c>
      <c r="J712" s="20" t="s">
        <v>8953</v>
      </c>
      <c r="K712" s="20" t="s">
        <v>8989</v>
      </c>
      <c r="L712" s="21" t="s">
        <v>8955</v>
      </c>
      <c r="M712" s="20" t="s">
        <v>8956</v>
      </c>
      <c r="N712" s="20" t="s">
        <v>8957</v>
      </c>
      <c r="O712" s="20">
        <f t="shared" si="11"/>
        <v>6</v>
      </c>
      <c r="P712" s="22" t="s">
        <v>8958</v>
      </c>
      <c r="Q712" s="21" t="s">
        <v>9061</v>
      </c>
      <c r="R712" s="23" t="s">
        <v>9010</v>
      </c>
      <c r="S712" s="24" t="s">
        <v>9011</v>
      </c>
      <c r="T712" s="24" t="str">
        <f>VLOOKUP(R712,[1]Sheet3!$A$2:$A$47,1,0)</f>
        <v>the United States of America</v>
      </c>
      <c r="U712" s="24" t="s">
        <v>13296</v>
      </c>
      <c r="V712" s="24" t="s">
        <v>13297</v>
      </c>
      <c r="W712" s="18" t="s">
        <v>8964</v>
      </c>
      <c r="X712" s="26" t="s">
        <v>93</v>
      </c>
      <c r="Y712" s="18" t="s">
        <v>9014</v>
      </c>
      <c r="Z712" s="24" t="s">
        <v>11</v>
      </c>
    </row>
    <row r="713" spans="1:26" ht="20.100000000000001" customHeight="1" x14ac:dyDescent="0.2">
      <c r="A713" s="18" t="s">
        <v>13298</v>
      </c>
      <c r="B713" s="19" t="s">
        <v>13299</v>
      </c>
      <c r="C713" s="19" t="s">
        <v>13300</v>
      </c>
      <c r="D713" s="8" t="s">
        <v>9049</v>
      </c>
      <c r="E713" s="20" t="s">
        <v>9325</v>
      </c>
      <c r="F713" s="20" t="s">
        <v>9036</v>
      </c>
      <c r="G713" s="20" t="s">
        <v>8951</v>
      </c>
      <c r="H713" s="53" t="s">
        <v>13301</v>
      </c>
      <c r="I713" s="20" t="s">
        <v>8952</v>
      </c>
      <c r="J713" s="20" t="s">
        <v>8953</v>
      </c>
      <c r="K713" s="20" t="s">
        <v>8989</v>
      </c>
      <c r="L713" s="21" t="s">
        <v>8955</v>
      </c>
      <c r="M713" s="20" t="s">
        <v>8956</v>
      </c>
      <c r="N713" s="20" t="s">
        <v>8959</v>
      </c>
      <c r="O713" s="20">
        <f t="shared" si="11"/>
        <v>3</v>
      </c>
      <c r="P713" s="22" t="s">
        <v>9103</v>
      </c>
      <c r="Q713" s="21" t="s">
        <v>9009</v>
      </c>
      <c r="R713" s="23" t="s">
        <v>9317</v>
      </c>
      <c r="S713" s="24" t="s">
        <v>9718</v>
      </c>
      <c r="T713" s="24" t="str">
        <f>VLOOKUP(R713,[1]Sheet3!$A$2:$A$47,1,0)</f>
        <v>Germany</v>
      </c>
      <c r="U713" s="24" t="s">
        <v>13302</v>
      </c>
      <c r="V713" s="24" t="s">
        <v>11749</v>
      </c>
      <c r="W713" s="18" t="s">
        <v>8964</v>
      </c>
      <c r="X713" s="26" t="s">
        <v>4060</v>
      </c>
      <c r="Y713" s="18" t="s">
        <v>9721</v>
      </c>
      <c r="Z713" s="24" t="s">
        <v>11</v>
      </c>
    </row>
    <row r="714" spans="1:26" ht="20.100000000000001" customHeight="1" x14ac:dyDescent="0.2">
      <c r="A714" s="18" t="s">
        <v>13303</v>
      </c>
      <c r="B714" s="19" t="s">
        <v>13304</v>
      </c>
      <c r="C714" s="19" t="s">
        <v>13305</v>
      </c>
      <c r="D714" s="8" t="s">
        <v>8948</v>
      </c>
      <c r="E714" s="20" t="s">
        <v>8949</v>
      </c>
      <c r="F714" s="20" t="s">
        <v>8950</v>
      </c>
      <c r="G714" s="20" t="s">
        <v>8973</v>
      </c>
      <c r="H714" s="53">
        <v>226</v>
      </c>
      <c r="I714" s="20" t="s">
        <v>9158</v>
      </c>
      <c r="J714" s="20" t="s">
        <v>9059</v>
      </c>
      <c r="K714" s="20" t="s">
        <v>8954</v>
      </c>
      <c r="L714" s="21" t="s">
        <v>8955</v>
      </c>
      <c r="M714" s="20" t="s">
        <v>8956</v>
      </c>
      <c r="N714" s="20" t="s">
        <v>12791</v>
      </c>
      <c r="O714" s="20">
        <f t="shared" si="11"/>
        <v>7</v>
      </c>
      <c r="P714" s="22" t="s">
        <v>8958</v>
      </c>
      <c r="Q714" s="21" t="s">
        <v>9009</v>
      </c>
      <c r="R714" s="23" t="s">
        <v>9246</v>
      </c>
      <c r="S714" s="24" t="s">
        <v>13110</v>
      </c>
      <c r="T714" s="24" t="str">
        <f>VLOOKUP(R714,[1]Sheet3!$A$2:$A$47,1,0)</f>
        <v>Netherlands</v>
      </c>
      <c r="U714" s="24" t="s">
        <v>13306</v>
      </c>
      <c r="V714" s="24" t="s">
        <v>13307</v>
      </c>
      <c r="W714" s="18" t="s">
        <v>8964</v>
      </c>
      <c r="X714" s="26" t="s">
        <v>57</v>
      </c>
      <c r="Y714" s="18" t="s">
        <v>13113</v>
      </c>
      <c r="Z714" s="24" t="s">
        <v>11</v>
      </c>
    </row>
    <row r="715" spans="1:26" ht="20.100000000000001" customHeight="1" x14ac:dyDescent="0.2">
      <c r="A715" s="18" t="s">
        <v>13308</v>
      </c>
      <c r="B715" s="19" t="s">
        <v>13309</v>
      </c>
      <c r="C715" s="19" t="s">
        <v>13310</v>
      </c>
      <c r="D715" s="8" t="s">
        <v>9049</v>
      </c>
      <c r="E715" s="20" t="s">
        <v>9155</v>
      </c>
      <c r="F715" s="20" t="s">
        <v>8950</v>
      </c>
      <c r="G715" s="20" t="s">
        <v>8951</v>
      </c>
      <c r="H715" s="53">
        <v>1339</v>
      </c>
      <c r="I715" s="20" t="s">
        <v>8952</v>
      </c>
      <c r="J715" s="20" t="s">
        <v>8953</v>
      </c>
      <c r="K715" s="20" t="s">
        <v>8954</v>
      </c>
      <c r="L715" s="21" t="s">
        <v>8955</v>
      </c>
      <c r="M715" s="20" t="s">
        <v>8956</v>
      </c>
      <c r="N715" s="20" t="s">
        <v>9060</v>
      </c>
      <c r="O715" s="20">
        <f t="shared" si="11"/>
        <v>4</v>
      </c>
      <c r="P715" s="22" t="s">
        <v>8958</v>
      </c>
      <c r="Q715" s="21" t="s">
        <v>8959</v>
      </c>
      <c r="R715" s="23" t="s">
        <v>13311</v>
      </c>
      <c r="S715" s="24" t="s">
        <v>9085</v>
      </c>
      <c r="T715" s="24" t="str">
        <f>VLOOKUP(R715,[1]Sheet3!$A$2:$A$47,1,0)</f>
        <v>Argentina</v>
      </c>
      <c r="U715" s="24" t="s">
        <v>13312</v>
      </c>
      <c r="V715" s="24" t="s">
        <v>13313</v>
      </c>
      <c r="W715" s="18" t="s">
        <v>8964</v>
      </c>
      <c r="X715" s="26" t="s">
        <v>184</v>
      </c>
      <c r="Y715" s="18" t="s">
        <v>9088</v>
      </c>
      <c r="Z715" s="24" t="s">
        <v>11</v>
      </c>
    </row>
    <row r="716" spans="1:26" ht="20.100000000000001" customHeight="1" x14ac:dyDescent="0.2">
      <c r="A716" s="18" t="s">
        <v>13314</v>
      </c>
      <c r="B716" s="19" t="s">
        <v>13315</v>
      </c>
      <c r="C716" s="19" t="s">
        <v>13316</v>
      </c>
      <c r="D716" s="8" t="s">
        <v>9049</v>
      </c>
      <c r="E716" s="20" t="s">
        <v>9422</v>
      </c>
      <c r="F716" s="20" t="s">
        <v>9599</v>
      </c>
      <c r="G716" s="20" t="s">
        <v>8987</v>
      </c>
      <c r="H716" s="53">
        <v>25</v>
      </c>
      <c r="I716" s="20" t="s">
        <v>9008</v>
      </c>
      <c r="J716" s="20" t="s">
        <v>8953</v>
      </c>
      <c r="K716" s="20" t="s">
        <v>8989</v>
      </c>
      <c r="L716" s="21" t="s">
        <v>8955</v>
      </c>
      <c r="M716" s="20" t="s">
        <v>8956</v>
      </c>
      <c r="N716" s="20" t="s">
        <v>8957</v>
      </c>
      <c r="O716" s="20">
        <f t="shared" si="11"/>
        <v>4</v>
      </c>
      <c r="P716" s="22" t="s">
        <v>8958</v>
      </c>
      <c r="Q716" s="21" t="s">
        <v>8959</v>
      </c>
      <c r="R716" s="23" t="s">
        <v>10873</v>
      </c>
      <c r="S716" s="24" t="s">
        <v>10073</v>
      </c>
      <c r="T716" s="24" t="str">
        <f>VLOOKUP(R716,[1]Sheet3!$A$2:$A$47,1,0)</f>
        <v>UK</v>
      </c>
      <c r="U716" s="24" t="s">
        <v>13317</v>
      </c>
      <c r="V716" s="24" t="s">
        <v>13318</v>
      </c>
      <c r="W716" s="18" t="s">
        <v>8964</v>
      </c>
      <c r="X716" s="26" t="s">
        <v>210</v>
      </c>
      <c r="Y716" s="18" t="s">
        <v>10076</v>
      </c>
      <c r="Z716" s="24" t="s">
        <v>4</v>
      </c>
    </row>
    <row r="717" spans="1:26" ht="20.100000000000001" customHeight="1" x14ac:dyDescent="0.2">
      <c r="A717" s="18" t="s">
        <v>13319</v>
      </c>
      <c r="B717" s="19" t="s">
        <v>13320</v>
      </c>
      <c r="C717" s="19" t="s">
        <v>13321</v>
      </c>
      <c r="D717" s="8" t="s">
        <v>9035</v>
      </c>
      <c r="E717" s="20" t="s">
        <v>8998</v>
      </c>
      <c r="F717" s="20" t="s">
        <v>8950</v>
      </c>
      <c r="G717" s="20" t="s">
        <v>8987</v>
      </c>
      <c r="H717" s="53">
        <v>2500</v>
      </c>
      <c r="I717" s="20" t="s">
        <v>8952</v>
      </c>
      <c r="J717" s="20" t="s">
        <v>8953</v>
      </c>
      <c r="K717" s="20" t="s">
        <v>8989</v>
      </c>
      <c r="L717" s="21" t="s">
        <v>8955</v>
      </c>
      <c r="M717" s="20" t="s">
        <v>10900</v>
      </c>
      <c r="N717" s="20" t="s">
        <v>8974</v>
      </c>
      <c r="O717" s="20">
        <f t="shared" si="11"/>
        <v>9</v>
      </c>
      <c r="P717" s="22" t="s">
        <v>8975</v>
      </c>
      <c r="Q717" s="21" t="s">
        <v>9061</v>
      </c>
      <c r="R717" s="23" t="s">
        <v>9010</v>
      </c>
      <c r="S717" s="24" t="s">
        <v>180</v>
      </c>
      <c r="T717" s="24" t="str">
        <f>VLOOKUP(R717,[1]Sheet3!$A$2:$A$47,1,0)</f>
        <v>the United States of America</v>
      </c>
      <c r="U717" s="24" t="s">
        <v>13322</v>
      </c>
      <c r="V717" s="24" t="s">
        <v>13323</v>
      </c>
      <c r="W717" s="18" t="s">
        <v>8964</v>
      </c>
      <c r="X717" s="26" t="s">
        <v>180</v>
      </c>
      <c r="Y717" s="18" t="s">
        <v>11199</v>
      </c>
      <c r="Z717" s="24" t="s">
        <v>11</v>
      </c>
    </row>
    <row r="718" spans="1:26" ht="20.100000000000001" customHeight="1" x14ac:dyDescent="0.2">
      <c r="A718" s="18" t="s">
        <v>13324</v>
      </c>
      <c r="B718" s="19" t="s">
        <v>13325</v>
      </c>
      <c r="C718" s="19" t="s">
        <v>13326</v>
      </c>
      <c r="D718" s="8" t="s">
        <v>9075</v>
      </c>
      <c r="E718" s="20" t="s">
        <v>8949</v>
      </c>
      <c r="F718" s="20" t="s">
        <v>9036</v>
      </c>
      <c r="G718" s="20" t="s">
        <v>8987</v>
      </c>
      <c r="H718" s="53">
        <v>2602</v>
      </c>
      <c r="I718" s="20" t="s">
        <v>8952</v>
      </c>
      <c r="J718" s="20" t="s">
        <v>8953</v>
      </c>
      <c r="K718" s="20" t="s">
        <v>8989</v>
      </c>
      <c r="L718" s="21" t="s">
        <v>8955</v>
      </c>
      <c r="M718" s="20" t="s">
        <v>8956</v>
      </c>
      <c r="N718" s="20" t="s">
        <v>8957</v>
      </c>
      <c r="O718" s="20">
        <f t="shared" si="11"/>
        <v>11</v>
      </c>
      <c r="P718" s="22" t="s">
        <v>8975</v>
      </c>
      <c r="Q718" s="21" t="s">
        <v>9061</v>
      </c>
      <c r="R718" s="23" t="s">
        <v>9310</v>
      </c>
      <c r="S718" s="24" t="s">
        <v>9255</v>
      </c>
      <c r="T718" s="24" t="str">
        <f>VLOOKUP(R718,[1]Sheet3!$A$2:$A$47,1,0)</f>
        <v>China</v>
      </c>
      <c r="U718" s="24" t="s">
        <v>13327</v>
      </c>
      <c r="V718" s="24" t="s">
        <v>13328</v>
      </c>
      <c r="W718" s="18" t="s">
        <v>8964</v>
      </c>
      <c r="X718" s="26" t="s">
        <v>24</v>
      </c>
      <c r="Y718" s="18" t="s">
        <v>9258</v>
      </c>
      <c r="Z718" s="24" t="s">
        <v>4</v>
      </c>
    </row>
    <row r="719" spans="1:26" ht="20.100000000000001" customHeight="1" x14ac:dyDescent="0.2">
      <c r="A719" s="18" t="s">
        <v>13329</v>
      </c>
      <c r="B719" s="19" t="s">
        <v>13330</v>
      </c>
      <c r="C719" s="19" t="s">
        <v>13331</v>
      </c>
      <c r="D719" s="8" t="s">
        <v>9049</v>
      </c>
      <c r="E719" s="20" t="s">
        <v>9325</v>
      </c>
      <c r="F719" s="20" t="s">
        <v>10135</v>
      </c>
      <c r="G719" s="20" t="s">
        <v>8987</v>
      </c>
      <c r="H719" s="57">
        <v>183402</v>
      </c>
      <c r="I719" s="20" t="s">
        <v>9019</v>
      </c>
      <c r="J719" s="20" t="s">
        <v>8953</v>
      </c>
      <c r="K719" s="20" t="s">
        <v>8989</v>
      </c>
      <c r="L719" s="21" t="s">
        <v>9182</v>
      </c>
      <c r="M719" s="20" t="s">
        <v>8956</v>
      </c>
      <c r="N719" s="20" t="s">
        <v>8959</v>
      </c>
      <c r="O719" s="20">
        <f t="shared" si="11"/>
        <v>7</v>
      </c>
      <c r="P719" s="22" t="s">
        <v>8958</v>
      </c>
      <c r="Q719" s="21" t="s">
        <v>9183</v>
      </c>
      <c r="R719" s="23" t="s">
        <v>9317</v>
      </c>
      <c r="S719" s="24" t="s">
        <v>9718</v>
      </c>
      <c r="T719" s="24" t="str">
        <f>VLOOKUP(R719,[1]Sheet3!$A$2:$A$47,1,0)</f>
        <v>Germany</v>
      </c>
      <c r="U719" s="24" t="s">
        <v>13332</v>
      </c>
      <c r="V719" s="24" t="s">
        <v>13333</v>
      </c>
      <c r="W719" s="18" t="s">
        <v>8964</v>
      </c>
      <c r="X719" s="26" t="s">
        <v>4060</v>
      </c>
      <c r="Y719" s="18" t="s">
        <v>9721</v>
      </c>
      <c r="Z719" s="24" t="s">
        <v>11</v>
      </c>
    </row>
    <row r="720" spans="1:26" ht="20.100000000000001" customHeight="1" x14ac:dyDescent="0.2">
      <c r="A720" s="18" t="s">
        <v>13334</v>
      </c>
      <c r="B720" s="19" t="s">
        <v>13335</v>
      </c>
      <c r="C720" s="19" t="s">
        <v>13336</v>
      </c>
      <c r="D720" s="8" t="s">
        <v>9092</v>
      </c>
      <c r="E720" s="20" t="s">
        <v>8949</v>
      </c>
      <c r="F720" s="20" t="s">
        <v>13337</v>
      </c>
      <c r="G720" s="20" t="s">
        <v>9076</v>
      </c>
      <c r="H720" s="53">
        <v>20</v>
      </c>
      <c r="I720" s="20" t="s">
        <v>9008</v>
      </c>
      <c r="J720" s="20" t="s">
        <v>9059</v>
      </c>
      <c r="K720" s="20" t="s">
        <v>8954</v>
      </c>
      <c r="L720" s="21" t="s">
        <v>9182</v>
      </c>
      <c r="M720" s="20" t="s">
        <v>8956</v>
      </c>
      <c r="N720" s="20" t="s">
        <v>8957</v>
      </c>
      <c r="O720" s="20">
        <f t="shared" si="11"/>
        <v>7</v>
      </c>
      <c r="P720" s="22" t="s">
        <v>8958</v>
      </c>
      <c r="Q720" s="21" t="s">
        <v>8959</v>
      </c>
      <c r="R720" s="23" t="s">
        <v>9636</v>
      </c>
      <c r="S720" s="24" t="s">
        <v>10630</v>
      </c>
      <c r="T720" s="24" t="str">
        <f>VLOOKUP(R720,[1]Sheet3!$A$2:$A$47,1,0)</f>
        <v>Austria</v>
      </c>
      <c r="U720" s="24" t="s">
        <v>13338</v>
      </c>
      <c r="V720" s="24" t="s">
        <v>13339</v>
      </c>
      <c r="W720" s="18" t="s">
        <v>8964</v>
      </c>
      <c r="X720" s="26" t="s">
        <v>161</v>
      </c>
      <c r="Y720" s="18" t="s">
        <v>10633</v>
      </c>
      <c r="Z720" s="24" t="s">
        <v>11</v>
      </c>
    </row>
    <row r="721" spans="1:26" ht="20.100000000000001" customHeight="1" x14ac:dyDescent="0.2">
      <c r="A721" s="18" t="s">
        <v>13340</v>
      </c>
      <c r="B721" s="19" t="s">
        <v>13341</v>
      </c>
      <c r="C721" s="19" t="s">
        <v>13342</v>
      </c>
      <c r="D721" s="8" t="s">
        <v>9092</v>
      </c>
      <c r="E721" s="33" t="s">
        <v>9101</v>
      </c>
      <c r="F721" s="33" t="s">
        <v>13343</v>
      </c>
      <c r="G721" s="20" t="s">
        <v>8973</v>
      </c>
      <c r="H721" s="53">
        <v>1041</v>
      </c>
      <c r="I721" s="20" t="s">
        <v>9008</v>
      </c>
      <c r="J721" s="20" t="s">
        <v>8953</v>
      </c>
      <c r="K721" s="20" t="s">
        <v>8989</v>
      </c>
      <c r="L721" s="21" t="s">
        <v>8955</v>
      </c>
      <c r="M721" s="20" t="s">
        <v>10900</v>
      </c>
      <c r="N721" s="20" t="s">
        <v>8957</v>
      </c>
      <c r="O721" s="20">
        <f t="shared" si="11"/>
        <v>7</v>
      </c>
      <c r="P721" s="22" t="s">
        <v>8958</v>
      </c>
      <c r="Q721" s="21" t="s">
        <v>8959</v>
      </c>
      <c r="R721" s="23" t="s">
        <v>9010</v>
      </c>
      <c r="S721" s="24" t="s">
        <v>11209</v>
      </c>
      <c r="T721" s="24" t="str">
        <f>VLOOKUP(R721,[1]Sheet3!$A$2:$A$47,1,0)</f>
        <v>the United States of America</v>
      </c>
      <c r="U721" s="24" t="s">
        <v>13344</v>
      </c>
      <c r="V721" s="24" t="s">
        <v>13345</v>
      </c>
      <c r="W721" s="18" t="s">
        <v>8964</v>
      </c>
      <c r="X721" s="26" t="s">
        <v>2121</v>
      </c>
      <c r="Y721" s="18" t="s">
        <v>11212</v>
      </c>
      <c r="Z721" s="24" t="s">
        <v>4</v>
      </c>
    </row>
    <row r="722" spans="1:26" ht="20.100000000000001" customHeight="1" x14ac:dyDescent="0.2">
      <c r="A722" s="18" t="s">
        <v>13346</v>
      </c>
      <c r="B722" s="19" t="s">
        <v>13347</v>
      </c>
      <c r="C722" s="19" t="s">
        <v>13348</v>
      </c>
      <c r="D722" s="8" t="s">
        <v>9049</v>
      </c>
      <c r="E722" s="33" t="s">
        <v>9050</v>
      </c>
      <c r="F722" s="33" t="s">
        <v>13349</v>
      </c>
      <c r="G722" s="20" t="s">
        <v>8987</v>
      </c>
      <c r="H722" s="53">
        <v>397</v>
      </c>
      <c r="I722" s="20" t="s">
        <v>8988</v>
      </c>
      <c r="J722" s="20" t="s">
        <v>8953</v>
      </c>
      <c r="K722" s="20" t="s">
        <v>8989</v>
      </c>
      <c r="L722" s="21" t="s">
        <v>8955</v>
      </c>
      <c r="M722" s="20" t="s">
        <v>8956</v>
      </c>
      <c r="N722" s="20" t="s">
        <v>8974</v>
      </c>
      <c r="O722" s="20">
        <f t="shared" si="11"/>
        <v>6</v>
      </c>
      <c r="P722" s="22" t="s">
        <v>8958</v>
      </c>
      <c r="Q722" s="21" t="s">
        <v>8959</v>
      </c>
      <c r="R722" s="23" t="s">
        <v>9213</v>
      </c>
      <c r="S722" s="24" t="s">
        <v>9228</v>
      </c>
      <c r="T722" s="24" t="str">
        <f>VLOOKUP(R722,[1]Sheet3!$A$2:$A$47,1,0)</f>
        <v>South Korea</v>
      </c>
      <c r="U722" s="24" t="s">
        <v>13350</v>
      </c>
      <c r="V722" s="24" t="s">
        <v>13351</v>
      </c>
      <c r="W722" s="18" t="s">
        <v>8964</v>
      </c>
      <c r="X722" s="26" t="s">
        <v>110</v>
      </c>
      <c r="Y722" s="18" t="s">
        <v>9231</v>
      </c>
      <c r="Z722" s="24" t="s">
        <v>4</v>
      </c>
    </row>
    <row r="723" spans="1:26" ht="20.100000000000001" customHeight="1" x14ac:dyDescent="0.2">
      <c r="A723" s="18" t="s">
        <v>13352</v>
      </c>
      <c r="B723" s="19" t="s">
        <v>13353</v>
      </c>
      <c r="C723" s="19" t="s">
        <v>13354</v>
      </c>
      <c r="D723" s="8" t="s">
        <v>9092</v>
      </c>
      <c r="E723" s="20" t="s">
        <v>9308</v>
      </c>
      <c r="F723" s="20" t="s">
        <v>8950</v>
      </c>
      <c r="G723" s="20" t="s">
        <v>8987</v>
      </c>
      <c r="H723" s="53" t="s">
        <v>13355</v>
      </c>
      <c r="I723" s="20" t="s">
        <v>9019</v>
      </c>
      <c r="J723" s="20" t="s">
        <v>8953</v>
      </c>
      <c r="K723" s="20" t="s">
        <v>8954</v>
      </c>
      <c r="L723" s="21" t="s">
        <v>8955</v>
      </c>
      <c r="M723" s="20" t="s">
        <v>8956</v>
      </c>
      <c r="N723" s="20" t="s">
        <v>8959</v>
      </c>
      <c r="O723" s="20">
        <f t="shared" si="11"/>
        <v>6</v>
      </c>
      <c r="P723" s="22" t="s">
        <v>8958</v>
      </c>
      <c r="Q723" s="21" t="s">
        <v>9061</v>
      </c>
      <c r="R723" s="23" t="s">
        <v>9010</v>
      </c>
      <c r="S723" s="24" t="s">
        <v>180</v>
      </c>
      <c r="T723" s="24" t="str">
        <f>VLOOKUP(R723,[1]Sheet3!$A$2:$A$47,1,0)</f>
        <v>the United States of America</v>
      </c>
      <c r="U723" s="24" t="s">
        <v>13356</v>
      </c>
      <c r="V723" s="24" t="s">
        <v>13357</v>
      </c>
      <c r="W723" s="18" t="s">
        <v>8964</v>
      </c>
      <c r="X723" s="26" t="s">
        <v>180</v>
      </c>
      <c r="Y723" s="18" t="s">
        <v>11199</v>
      </c>
      <c r="Z723" s="24" t="s">
        <v>11</v>
      </c>
    </row>
    <row r="724" spans="1:26" ht="20.100000000000001" customHeight="1" x14ac:dyDescent="0.2">
      <c r="A724" s="18" t="s">
        <v>13358</v>
      </c>
      <c r="B724" s="19" t="s">
        <v>13359</v>
      </c>
      <c r="C724" s="19" t="s">
        <v>13360</v>
      </c>
      <c r="D724" s="8" t="s">
        <v>9035</v>
      </c>
      <c r="E724" s="20" t="s">
        <v>9155</v>
      </c>
      <c r="F724" s="27" t="s">
        <v>13361</v>
      </c>
      <c r="G724" s="20" t="s">
        <v>8973</v>
      </c>
      <c r="H724" s="53">
        <v>535</v>
      </c>
      <c r="I724" s="20" t="s">
        <v>9077</v>
      </c>
      <c r="J724" s="20" t="s">
        <v>8953</v>
      </c>
      <c r="K724" s="20" t="s">
        <v>8989</v>
      </c>
      <c r="L724" s="21" t="s">
        <v>8955</v>
      </c>
      <c r="M724" s="20" t="s">
        <v>8956</v>
      </c>
      <c r="N724" s="20" t="s">
        <v>8957</v>
      </c>
      <c r="O724" s="20">
        <f t="shared" si="11"/>
        <v>10</v>
      </c>
      <c r="P724" s="22" t="s">
        <v>8975</v>
      </c>
      <c r="Q724" s="21" t="s">
        <v>9061</v>
      </c>
      <c r="R724" s="23" t="s">
        <v>9010</v>
      </c>
      <c r="S724" s="24" t="s">
        <v>11423</v>
      </c>
      <c r="T724" s="24" t="str">
        <f>VLOOKUP(R724,[1]Sheet3!$A$2:$A$47,1,0)</f>
        <v>the United States of America</v>
      </c>
      <c r="U724" s="24" t="s">
        <v>13362</v>
      </c>
      <c r="V724" s="24" t="s">
        <v>13363</v>
      </c>
      <c r="W724" s="18" t="s">
        <v>8964</v>
      </c>
      <c r="X724" s="26" t="s">
        <v>1979</v>
      </c>
      <c r="Y724" s="18" t="s">
        <v>11426</v>
      </c>
      <c r="Z724" s="24" t="s">
        <v>4</v>
      </c>
    </row>
    <row r="725" spans="1:26" ht="20.100000000000001" customHeight="1" x14ac:dyDescent="0.2">
      <c r="A725" s="18" t="s">
        <v>13364</v>
      </c>
      <c r="B725" s="19" t="s">
        <v>13365</v>
      </c>
      <c r="C725" s="19" t="s">
        <v>13366</v>
      </c>
      <c r="D725" s="8" t="s">
        <v>9035</v>
      </c>
      <c r="E725" s="20" t="s">
        <v>8998</v>
      </c>
      <c r="F725" s="20" t="s">
        <v>11216</v>
      </c>
      <c r="G725" s="20" t="s">
        <v>9133</v>
      </c>
      <c r="H725" s="53">
        <v>7926</v>
      </c>
      <c r="I725" s="20" t="s">
        <v>9019</v>
      </c>
      <c r="J725" s="20" t="s">
        <v>8953</v>
      </c>
      <c r="K725" s="20" t="s">
        <v>8954</v>
      </c>
      <c r="L725" s="21" t="s">
        <v>8955</v>
      </c>
      <c r="M725" s="20" t="s">
        <v>8956</v>
      </c>
      <c r="N725" s="20" t="s">
        <v>9060</v>
      </c>
      <c r="O725" s="20">
        <f t="shared" si="11"/>
        <v>4</v>
      </c>
      <c r="P725" s="22" t="s">
        <v>8958</v>
      </c>
      <c r="Q725" s="21" t="s">
        <v>9009</v>
      </c>
      <c r="R725" s="23" t="s">
        <v>9010</v>
      </c>
      <c r="S725" s="24" t="s">
        <v>13367</v>
      </c>
      <c r="T725" s="24" t="str">
        <f>VLOOKUP(R725,[1]Sheet3!$A$2:$A$47,1,0)</f>
        <v>the United States of America</v>
      </c>
      <c r="U725" s="24" t="s">
        <v>13368</v>
      </c>
      <c r="V725" s="24" t="s">
        <v>13369</v>
      </c>
      <c r="W725" s="18" t="s">
        <v>8964</v>
      </c>
      <c r="X725" s="26" t="s">
        <v>2287</v>
      </c>
      <c r="Y725" s="18" t="s">
        <v>13370</v>
      </c>
      <c r="Z725" s="24" t="s">
        <v>4</v>
      </c>
    </row>
    <row r="726" spans="1:26" ht="20.100000000000001" customHeight="1" x14ac:dyDescent="0.2">
      <c r="A726" s="18" t="s">
        <v>13371</v>
      </c>
      <c r="B726" s="19" t="s">
        <v>13372</v>
      </c>
      <c r="C726" s="19" t="s">
        <v>13373</v>
      </c>
      <c r="D726" s="8" t="s">
        <v>9035</v>
      </c>
      <c r="E726" s="20" t="s">
        <v>8949</v>
      </c>
      <c r="F726" s="59" t="s">
        <v>13374</v>
      </c>
      <c r="G726" s="20" t="s">
        <v>9464</v>
      </c>
      <c r="H726" s="53">
        <v>18</v>
      </c>
      <c r="I726" s="20" t="s">
        <v>9008</v>
      </c>
      <c r="J726" s="20" t="s">
        <v>9059</v>
      </c>
      <c r="K726" s="20" t="s">
        <v>8954</v>
      </c>
      <c r="L726" s="21" t="s">
        <v>8955</v>
      </c>
      <c r="M726" s="20" t="s">
        <v>8956</v>
      </c>
      <c r="N726" s="20" t="s">
        <v>8974</v>
      </c>
      <c r="O726" s="20">
        <f t="shared" si="11"/>
        <v>10</v>
      </c>
      <c r="P726" s="22" t="s">
        <v>8975</v>
      </c>
      <c r="Q726" s="21" t="s">
        <v>9009</v>
      </c>
      <c r="R726" s="23" t="s">
        <v>9010</v>
      </c>
      <c r="S726" s="24" t="s">
        <v>12620</v>
      </c>
      <c r="T726" s="24" t="str">
        <f>VLOOKUP(R726,[1]Sheet3!$A$2:$A$47,1,0)</f>
        <v>the United States of America</v>
      </c>
      <c r="U726" s="24" t="s">
        <v>13375</v>
      </c>
      <c r="V726" s="24" t="s">
        <v>13376</v>
      </c>
      <c r="W726" s="18" t="s">
        <v>8964</v>
      </c>
      <c r="X726" s="26" t="s">
        <v>619</v>
      </c>
      <c r="Y726" s="18" t="s">
        <v>12623</v>
      </c>
      <c r="Z726" s="24" t="s">
        <v>11</v>
      </c>
    </row>
    <row r="727" spans="1:26" ht="20.100000000000001" customHeight="1" x14ac:dyDescent="0.2">
      <c r="A727" s="18" t="s">
        <v>13377</v>
      </c>
      <c r="B727" s="19" t="s">
        <v>13378</v>
      </c>
      <c r="C727" s="19" t="s">
        <v>13379</v>
      </c>
      <c r="D727" s="8" t="s">
        <v>10907</v>
      </c>
      <c r="E727" s="20" t="s">
        <v>9155</v>
      </c>
      <c r="F727" s="20" t="s">
        <v>9599</v>
      </c>
      <c r="G727" s="20" t="s">
        <v>9076</v>
      </c>
      <c r="H727" s="53">
        <v>90</v>
      </c>
      <c r="I727" s="20" t="s">
        <v>9008</v>
      </c>
      <c r="J727" s="20" t="s">
        <v>8953</v>
      </c>
      <c r="K727" s="20" t="s">
        <v>8989</v>
      </c>
      <c r="L727" s="21" t="s">
        <v>8955</v>
      </c>
      <c r="M727" s="20" t="s">
        <v>8956</v>
      </c>
      <c r="N727" s="20" t="s">
        <v>8959</v>
      </c>
      <c r="O727" s="20">
        <f t="shared" si="11"/>
        <v>8</v>
      </c>
      <c r="P727" s="22" t="s">
        <v>8975</v>
      </c>
      <c r="Q727" s="21" t="s">
        <v>9061</v>
      </c>
      <c r="R727" s="23" t="s">
        <v>9010</v>
      </c>
      <c r="S727" s="24" t="s">
        <v>11600</v>
      </c>
      <c r="T727" s="24" t="str">
        <f>VLOOKUP(R727,[1]Sheet3!$A$2:$A$47,1,0)</f>
        <v>the United States of America</v>
      </c>
      <c r="U727" s="24" t="s">
        <v>13380</v>
      </c>
      <c r="V727" s="24" t="s">
        <v>13381</v>
      </c>
      <c r="W727" s="18" t="s">
        <v>8964</v>
      </c>
      <c r="X727" s="26" t="s">
        <v>733</v>
      </c>
      <c r="Y727" s="18" t="s">
        <v>11603</v>
      </c>
      <c r="Z727" s="24" t="s">
        <v>11</v>
      </c>
    </row>
    <row r="728" spans="1:26" ht="20.100000000000001" customHeight="1" x14ac:dyDescent="0.2">
      <c r="A728" s="18" t="s">
        <v>13382</v>
      </c>
      <c r="B728" s="19" t="s">
        <v>13383</v>
      </c>
      <c r="C728" s="19" t="s">
        <v>13384</v>
      </c>
      <c r="D728" s="8" t="s">
        <v>8948</v>
      </c>
      <c r="E728" s="20" t="s">
        <v>8949</v>
      </c>
      <c r="F728" s="20" t="s">
        <v>9726</v>
      </c>
      <c r="G728" s="20" t="s">
        <v>9133</v>
      </c>
      <c r="H728" s="53">
        <v>99</v>
      </c>
      <c r="I728" s="20" t="s">
        <v>9008</v>
      </c>
      <c r="J728" s="20" t="s">
        <v>9059</v>
      </c>
      <c r="K728" s="20" t="s">
        <v>8954</v>
      </c>
      <c r="L728" s="21" t="s">
        <v>8955</v>
      </c>
      <c r="M728" s="20" t="s">
        <v>8956</v>
      </c>
      <c r="N728" s="20" t="s">
        <v>8957</v>
      </c>
      <c r="O728" s="20">
        <f t="shared" si="11"/>
        <v>10</v>
      </c>
      <c r="P728" s="22" t="s">
        <v>8975</v>
      </c>
      <c r="Q728" s="21" t="s">
        <v>8959</v>
      </c>
      <c r="R728" s="23" t="s">
        <v>9380</v>
      </c>
      <c r="S728" s="24" t="s">
        <v>13110</v>
      </c>
      <c r="T728" s="24" t="str">
        <f>VLOOKUP(R728,[1]Sheet3!$A$2:$A$47,1,0)</f>
        <v>Canada</v>
      </c>
      <c r="U728" s="24" t="s">
        <v>13385</v>
      </c>
      <c r="V728" s="24" t="s">
        <v>13386</v>
      </c>
      <c r="W728" s="18" t="s">
        <v>8964</v>
      </c>
      <c r="X728" s="26" t="s">
        <v>57</v>
      </c>
      <c r="Y728" s="18" t="s">
        <v>13113</v>
      </c>
      <c r="Z728" s="24" t="s">
        <v>11</v>
      </c>
    </row>
    <row r="729" spans="1:26" ht="20.100000000000001" customHeight="1" x14ac:dyDescent="0.2">
      <c r="A729" s="18" t="s">
        <v>13387</v>
      </c>
      <c r="B729" s="19" t="s">
        <v>13388</v>
      </c>
      <c r="C729" s="19" t="s">
        <v>13389</v>
      </c>
      <c r="D729" s="8" t="s">
        <v>8984</v>
      </c>
      <c r="E729" s="33" t="s">
        <v>9131</v>
      </c>
      <c r="F729" s="20" t="s">
        <v>9036</v>
      </c>
      <c r="G729" s="20" t="s">
        <v>9157</v>
      </c>
      <c r="H729" s="53">
        <v>125</v>
      </c>
      <c r="I729" s="20" t="s">
        <v>9158</v>
      </c>
      <c r="J729" s="20" t="s">
        <v>8953</v>
      </c>
      <c r="K729" s="20" t="s">
        <v>8989</v>
      </c>
      <c r="L729" s="21" t="s">
        <v>8955</v>
      </c>
      <c r="M729" s="20" t="s">
        <v>8956</v>
      </c>
      <c r="N729" s="20" t="s">
        <v>8974</v>
      </c>
      <c r="O729" s="20">
        <f t="shared" si="11"/>
        <v>9</v>
      </c>
      <c r="P729" s="22" t="s">
        <v>8975</v>
      </c>
      <c r="Q729" s="21" t="s">
        <v>9009</v>
      </c>
      <c r="R729" s="23" t="s">
        <v>9380</v>
      </c>
      <c r="S729" s="24" t="s">
        <v>1001</v>
      </c>
      <c r="T729" s="24" t="str">
        <f>VLOOKUP(R729,[1]Sheet3!$A$2:$A$47,1,0)</f>
        <v>Canada</v>
      </c>
      <c r="U729" s="24" t="s">
        <v>13390</v>
      </c>
      <c r="V729" s="24" t="s">
        <v>13391</v>
      </c>
      <c r="W729" s="18" t="s">
        <v>8964</v>
      </c>
      <c r="X729" s="26" t="s">
        <v>1001</v>
      </c>
      <c r="Y729" s="18" t="s">
        <v>12508</v>
      </c>
      <c r="Z729" s="24" t="s">
        <v>17</v>
      </c>
    </row>
    <row r="730" spans="1:26" ht="20.100000000000001" customHeight="1" x14ac:dyDescent="0.2">
      <c r="A730" s="18" t="s">
        <v>13392</v>
      </c>
      <c r="B730" s="19" t="s">
        <v>13393</v>
      </c>
      <c r="C730" s="19" t="s">
        <v>13394</v>
      </c>
      <c r="D730" s="8" t="s">
        <v>9035</v>
      </c>
      <c r="E730" s="20" t="s">
        <v>8998</v>
      </c>
      <c r="F730" s="20" t="s">
        <v>13395</v>
      </c>
      <c r="G730" s="20" t="s">
        <v>8987</v>
      </c>
      <c r="H730" s="53">
        <v>4581</v>
      </c>
      <c r="I730" s="20" t="s">
        <v>9019</v>
      </c>
      <c r="J730" s="20" t="s">
        <v>8953</v>
      </c>
      <c r="K730" s="20" t="s">
        <v>8989</v>
      </c>
      <c r="L730" s="21" t="s">
        <v>8955</v>
      </c>
      <c r="M730" s="20" t="s">
        <v>8956</v>
      </c>
      <c r="N730" s="20" t="s">
        <v>9060</v>
      </c>
      <c r="O730" s="20">
        <f t="shared" si="11"/>
        <v>4</v>
      </c>
      <c r="P730" s="22" t="s">
        <v>8958</v>
      </c>
      <c r="Q730" s="21" t="s">
        <v>8959</v>
      </c>
      <c r="R730" s="23" t="s">
        <v>9310</v>
      </c>
      <c r="S730" s="24" t="s">
        <v>9837</v>
      </c>
      <c r="T730" s="24" t="str">
        <f>VLOOKUP(R730,[1]Sheet3!$A$2:$A$47,1,0)</f>
        <v>China</v>
      </c>
      <c r="U730" s="24" t="s">
        <v>13396</v>
      </c>
      <c r="V730" s="24" t="s">
        <v>13397</v>
      </c>
      <c r="W730" s="18" t="s">
        <v>8964</v>
      </c>
      <c r="X730" s="26" t="s">
        <v>35</v>
      </c>
      <c r="Y730" s="18" t="s">
        <v>9840</v>
      </c>
      <c r="Z730" s="24" t="s">
        <v>4</v>
      </c>
    </row>
    <row r="731" spans="1:26" ht="20.100000000000001" customHeight="1" x14ac:dyDescent="0.2">
      <c r="A731" s="18" t="s">
        <v>13398</v>
      </c>
      <c r="B731" s="19" t="s">
        <v>13399</v>
      </c>
      <c r="C731" s="19" t="s">
        <v>13400</v>
      </c>
      <c r="D731" s="8" t="s">
        <v>13401</v>
      </c>
      <c r="E731" s="20" t="s">
        <v>9155</v>
      </c>
      <c r="F731" s="20" t="s">
        <v>9036</v>
      </c>
      <c r="G731" s="33" t="s">
        <v>9076</v>
      </c>
      <c r="H731" s="53">
        <v>1000</v>
      </c>
      <c r="I731" s="20" t="s">
        <v>9077</v>
      </c>
      <c r="J731" s="20" t="s">
        <v>8953</v>
      </c>
      <c r="K731" s="20" t="s">
        <v>8989</v>
      </c>
      <c r="L731" s="21" t="s">
        <v>8955</v>
      </c>
      <c r="M731" s="20" t="s">
        <v>8956</v>
      </c>
      <c r="N731" s="20" t="s">
        <v>8959</v>
      </c>
      <c r="O731" s="20">
        <f t="shared" si="11"/>
        <v>2</v>
      </c>
      <c r="P731" s="22" t="s">
        <v>9103</v>
      </c>
      <c r="Q731" s="21" t="s">
        <v>8959</v>
      </c>
      <c r="R731" s="23" t="s">
        <v>9310</v>
      </c>
      <c r="S731" s="24" t="s">
        <v>9837</v>
      </c>
      <c r="T731" s="24" t="str">
        <f>VLOOKUP(R731,[1]Sheet3!$A$2:$A$47,1,0)</f>
        <v>China</v>
      </c>
      <c r="U731" s="24" t="s">
        <v>13402</v>
      </c>
      <c r="V731" s="24" t="s">
        <v>13403</v>
      </c>
      <c r="W731" s="18" t="s">
        <v>8964</v>
      </c>
      <c r="X731" s="26" t="s">
        <v>35</v>
      </c>
      <c r="Y731" s="18" t="s">
        <v>9840</v>
      </c>
      <c r="Z731" s="24" t="s">
        <v>4</v>
      </c>
    </row>
    <row r="732" spans="1:26" ht="20.100000000000001" customHeight="1" x14ac:dyDescent="0.2">
      <c r="A732" s="18" t="s">
        <v>13404</v>
      </c>
      <c r="B732" s="19" t="s">
        <v>13405</v>
      </c>
      <c r="C732" s="19" t="s">
        <v>13406</v>
      </c>
      <c r="D732" s="8" t="s">
        <v>9605</v>
      </c>
      <c r="E732" s="33" t="s">
        <v>9101</v>
      </c>
      <c r="F732" s="20" t="s">
        <v>8950</v>
      </c>
      <c r="G732" s="20" t="s">
        <v>8987</v>
      </c>
      <c r="H732" s="53">
        <v>600</v>
      </c>
      <c r="I732" s="20" t="s">
        <v>9077</v>
      </c>
      <c r="J732" s="20" t="s">
        <v>8953</v>
      </c>
      <c r="K732" s="20" t="s">
        <v>8989</v>
      </c>
      <c r="L732" s="21" t="s">
        <v>8955</v>
      </c>
      <c r="M732" s="20" t="s">
        <v>8956</v>
      </c>
      <c r="N732" s="20" t="s">
        <v>9060</v>
      </c>
      <c r="O732" s="20">
        <f t="shared" si="11"/>
        <v>7</v>
      </c>
      <c r="P732" s="22" t="s">
        <v>8958</v>
      </c>
      <c r="Q732" s="21" t="s">
        <v>8959</v>
      </c>
      <c r="R732" s="23" t="s">
        <v>10446</v>
      </c>
      <c r="S732" s="24" t="s">
        <v>10836</v>
      </c>
      <c r="T732" s="24" t="str">
        <f>VLOOKUP(R732,[1]Sheet3!$A$2:$A$47,1,0)</f>
        <v>Taiwan</v>
      </c>
      <c r="U732" s="25" t="s">
        <v>13407</v>
      </c>
      <c r="V732" s="24" t="s">
        <v>13408</v>
      </c>
      <c r="W732" s="18" t="s">
        <v>8964</v>
      </c>
      <c r="X732" s="26" t="s">
        <v>10839</v>
      </c>
      <c r="Y732" s="18" t="s">
        <v>10840</v>
      </c>
      <c r="Z732" s="24" t="s">
        <v>4</v>
      </c>
    </row>
    <row r="733" spans="1:26" ht="20.100000000000001" customHeight="1" x14ac:dyDescent="0.2">
      <c r="A733" s="18" t="s">
        <v>13409</v>
      </c>
      <c r="B733" s="19" t="s">
        <v>13410</v>
      </c>
      <c r="C733" s="19" t="s">
        <v>13411</v>
      </c>
      <c r="D733" s="8" t="s">
        <v>9100</v>
      </c>
      <c r="E733" s="20" t="s">
        <v>8971</v>
      </c>
      <c r="F733" s="20" t="s">
        <v>9018</v>
      </c>
      <c r="G733" s="20" t="s">
        <v>8973</v>
      </c>
      <c r="H733" s="53">
        <v>8000</v>
      </c>
      <c r="I733" s="20" t="s">
        <v>9019</v>
      </c>
      <c r="J733" s="20" t="s">
        <v>8953</v>
      </c>
      <c r="K733" s="20" t="s">
        <v>8989</v>
      </c>
      <c r="L733" s="21" t="s">
        <v>8955</v>
      </c>
      <c r="M733" s="20" t="s">
        <v>8956</v>
      </c>
      <c r="N733" s="20" t="s">
        <v>8959</v>
      </c>
      <c r="O733" s="20">
        <f t="shared" si="11"/>
        <v>4</v>
      </c>
      <c r="P733" s="22" t="s">
        <v>8958</v>
      </c>
      <c r="Q733" s="21" t="s">
        <v>8959</v>
      </c>
      <c r="R733" s="23" t="s">
        <v>9333</v>
      </c>
      <c r="S733" s="24" t="s">
        <v>10836</v>
      </c>
      <c r="T733" s="24" t="str">
        <f>VLOOKUP(R733,[1]Sheet3!$A$2:$A$47,1,0)</f>
        <v>Japan</v>
      </c>
      <c r="U733" s="24" t="s">
        <v>13412</v>
      </c>
      <c r="V733" s="24" t="s">
        <v>13413</v>
      </c>
      <c r="W733" s="18" t="s">
        <v>8964</v>
      </c>
      <c r="X733" s="26" t="s">
        <v>10839</v>
      </c>
      <c r="Y733" s="18" t="s">
        <v>10840</v>
      </c>
      <c r="Z733" s="24" t="s">
        <v>4</v>
      </c>
    </row>
    <row r="734" spans="1:26" ht="20.100000000000001" customHeight="1" x14ac:dyDescent="0.2">
      <c r="A734" s="18" t="s">
        <v>13414</v>
      </c>
      <c r="B734" s="19" t="s">
        <v>13415</v>
      </c>
      <c r="C734" s="19" t="s">
        <v>13416</v>
      </c>
      <c r="D734" s="8" t="s">
        <v>9252</v>
      </c>
      <c r="E734" s="20" t="s">
        <v>9253</v>
      </c>
      <c r="F734" s="20" t="s">
        <v>9349</v>
      </c>
      <c r="G734" s="20" t="s">
        <v>8951</v>
      </c>
      <c r="H734" s="53">
        <v>600</v>
      </c>
      <c r="I734" s="20" t="s">
        <v>9077</v>
      </c>
      <c r="J734" s="20" t="s">
        <v>8953</v>
      </c>
      <c r="K734" s="20" t="s">
        <v>8989</v>
      </c>
      <c r="L734" s="21" t="s">
        <v>8955</v>
      </c>
      <c r="M734" s="20" t="s">
        <v>8956</v>
      </c>
      <c r="N734" s="20" t="s">
        <v>8957</v>
      </c>
      <c r="O734" s="20">
        <f t="shared" si="11"/>
        <v>9</v>
      </c>
      <c r="P734" s="22" t="s">
        <v>8975</v>
      </c>
      <c r="Q734" s="21" t="s">
        <v>8959</v>
      </c>
      <c r="R734" s="23" t="s">
        <v>9213</v>
      </c>
      <c r="S734" s="24" t="s">
        <v>10836</v>
      </c>
      <c r="T734" s="24" t="str">
        <f>VLOOKUP(R734,[1]Sheet3!$A$2:$A$47,1,0)</f>
        <v>South Korea</v>
      </c>
      <c r="U734" s="24" t="s">
        <v>13417</v>
      </c>
      <c r="V734" s="24" t="s">
        <v>13418</v>
      </c>
      <c r="W734" s="18" t="s">
        <v>8964</v>
      </c>
      <c r="X734" s="26" t="s">
        <v>10839</v>
      </c>
      <c r="Y734" s="18" t="s">
        <v>10840</v>
      </c>
      <c r="Z734" s="24" t="s">
        <v>4</v>
      </c>
    </row>
    <row r="735" spans="1:26" ht="20.100000000000001" customHeight="1" x14ac:dyDescent="0.2">
      <c r="A735" s="18" t="s">
        <v>13419</v>
      </c>
      <c r="B735" s="19" t="s">
        <v>13420</v>
      </c>
      <c r="C735" s="19" t="s">
        <v>13421</v>
      </c>
      <c r="D735" s="8" t="s">
        <v>13422</v>
      </c>
      <c r="E735" s="20" t="s">
        <v>9155</v>
      </c>
      <c r="F735" s="20" t="s">
        <v>8950</v>
      </c>
      <c r="G735" s="20" t="s">
        <v>8973</v>
      </c>
      <c r="H735" s="53">
        <v>36000</v>
      </c>
      <c r="I735" s="20" t="s">
        <v>9019</v>
      </c>
      <c r="J735" s="20" t="s">
        <v>8953</v>
      </c>
      <c r="K735" s="20" t="s">
        <v>8954</v>
      </c>
      <c r="L735" s="21" t="s">
        <v>8955</v>
      </c>
      <c r="M735" s="20" t="s">
        <v>8956</v>
      </c>
      <c r="N735" s="20" t="s">
        <v>8957</v>
      </c>
      <c r="O735" s="20">
        <f t="shared" si="11"/>
        <v>3</v>
      </c>
      <c r="P735" s="22" t="s">
        <v>9103</v>
      </c>
      <c r="Q735" s="21" t="s">
        <v>8959</v>
      </c>
      <c r="R735" s="23" t="s">
        <v>9213</v>
      </c>
      <c r="S735" s="24" t="s">
        <v>10836</v>
      </c>
      <c r="T735" s="24" t="str">
        <f>VLOOKUP(R735,[1]Sheet3!$A$2:$A$47,1,0)</f>
        <v>South Korea</v>
      </c>
      <c r="U735" s="24" t="s">
        <v>13423</v>
      </c>
      <c r="V735" s="24" t="s">
        <v>13424</v>
      </c>
      <c r="W735" s="18" t="s">
        <v>8964</v>
      </c>
      <c r="X735" s="26" t="s">
        <v>10839</v>
      </c>
      <c r="Y735" s="18" t="s">
        <v>10840</v>
      </c>
      <c r="Z735" s="24" t="s">
        <v>4</v>
      </c>
    </row>
    <row r="736" spans="1:26" ht="20.100000000000001" customHeight="1" x14ac:dyDescent="0.2">
      <c r="A736" s="18" t="s">
        <v>13425</v>
      </c>
      <c r="B736" s="19" t="s">
        <v>13426</v>
      </c>
      <c r="C736" s="19" t="s">
        <v>13427</v>
      </c>
      <c r="D736" s="8" t="s">
        <v>9049</v>
      </c>
      <c r="E736" s="33" t="s">
        <v>9050</v>
      </c>
      <c r="F736" s="20" t="s">
        <v>9036</v>
      </c>
      <c r="G736" s="20" t="s">
        <v>8987</v>
      </c>
      <c r="H736" s="53">
        <v>80000</v>
      </c>
      <c r="I736" s="20" t="s">
        <v>9019</v>
      </c>
      <c r="J736" s="20" t="s">
        <v>8953</v>
      </c>
      <c r="K736" s="20" t="s">
        <v>8989</v>
      </c>
      <c r="L736" s="21" t="s">
        <v>8955</v>
      </c>
      <c r="M736" s="20" t="s">
        <v>8956</v>
      </c>
      <c r="N736" s="20" t="s">
        <v>8957</v>
      </c>
      <c r="O736" s="20">
        <f t="shared" si="11"/>
        <v>6</v>
      </c>
      <c r="P736" s="22" t="s">
        <v>8958</v>
      </c>
      <c r="Q736" s="21" t="s">
        <v>8959</v>
      </c>
      <c r="R736" s="23" t="s">
        <v>9310</v>
      </c>
      <c r="S736" s="24" t="s">
        <v>10836</v>
      </c>
      <c r="T736" s="24" t="str">
        <f>VLOOKUP(R736,[1]Sheet3!$A$2:$A$47,1,0)</f>
        <v>China</v>
      </c>
      <c r="U736" s="24" t="s">
        <v>13428</v>
      </c>
      <c r="V736" s="24" t="s">
        <v>13429</v>
      </c>
      <c r="W736" s="18" t="s">
        <v>8964</v>
      </c>
      <c r="X736" s="26" t="s">
        <v>10839</v>
      </c>
      <c r="Y736" s="18" t="s">
        <v>10840</v>
      </c>
      <c r="Z736" s="24" t="s">
        <v>4</v>
      </c>
    </row>
    <row r="737" spans="1:26" ht="20.100000000000001" customHeight="1" x14ac:dyDescent="0.2">
      <c r="A737" s="18" t="s">
        <v>13430</v>
      </c>
      <c r="B737" s="19" t="s">
        <v>13431</v>
      </c>
      <c r="C737" s="19" t="s">
        <v>13432</v>
      </c>
      <c r="D737" s="8" t="s">
        <v>9173</v>
      </c>
      <c r="E737" s="33" t="s">
        <v>9174</v>
      </c>
      <c r="F737" s="33" t="s">
        <v>13433</v>
      </c>
      <c r="G737" s="20" t="s">
        <v>8973</v>
      </c>
      <c r="H737" s="53">
        <v>1949</v>
      </c>
      <c r="I737" s="20" t="s">
        <v>8952</v>
      </c>
      <c r="J737" s="20" t="s">
        <v>8953</v>
      </c>
      <c r="K737" s="20" t="s">
        <v>8989</v>
      </c>
      <c r="L737" s="21" t="s">
        <v>8955</v>
      </c>
      <c r="M737" s="20" t="s">
        <v>8956</v>
      </c>
      <c r="N737" s="20" t="s">
        <v>8959</v>
      </c>
      <c r="O737" s="20">
        <f t="shared" si="11"/>
        <v>3</v>
      </c>
      <c r="P737" s="22" t="s">
        <v>9103</v>
      </c>
      <c r="Q737" s="21" t="s">
        <v>8959</v>
      </c>
      <c r="R737" s="23" t="s">
        <v>10873</v>
      </c>
      <c r="S737" s="24" t="s">
        <v>10836</v>
      </c>
      <c r="T737" s="24" t="str">
        <f>VLOOKUP(R737,[1]Sheet3!$A$2:$A$47,1,0)</f>
        <v>UK</v>
      </c>
      <c r="U737" s="24" t="s">
        <v>13434</v>
      </c>
      <c r="V737" s="24" t="s">
        <v>13435</v>
      </c>
      <c r="W737" s="18" t="s">
        <v>8964</v>
      </c>
      <c r="X737" s="26" t="s">
        <v>10839</v>
      </c>
      <c r="Y737" s="18" t="s">
        <v>10840</v>
      </c>
      <c r="Z737" s="24" t="s">
        <v>4</v>
      </c>
    </row>
    <row r="738" spans="1:26" ht="20.100000000000001" customHeight="1" x14ac:dyDescent="0.2">
      <c r="A738" s="18" t="s">
        <v>13436</v>
      </c>
      <c r="B738" s="19" t="s">
        <v>13437</v>
      </c>
      <c r="C738" s="19" t="s">
        <v>13438</v>
      </c>
      <c r="D738" s="8" t="s">
        <v>9092</v>
      </c>
      <c r="E738" s="20" t="s">
        <v>9308</v>
      </c>
      <c r="F738" s="20" t="s">
        <v>13439</v>
      </c>
      <c r="G738" s="20" t="s">
        <v>9292</v>
      </c>
      <c r="H738" s="53">
        <v>974</v>
      </c>
      <c r="I738" s="20" t="s">
        <v>9077</v>
      </c>
      <c r="J738" s="20" t="s">
        <v>8953</v>
      </c>
      <c r="K738" s="20" t="s">
        <v>8989</v>
      </c>
      <c r="L738" s="21" t="s">
        <v>8955</v>
      </c>
      <c r="M738" s="20" t="s">
        <v>8956</v>
      </c>
      <c r="N738" s="20" t="s">
        <v>8957</v>
      </c>
      <c r="O738" s="20">
        <f t="shared" si="11"/>
        <v>11</v>
      </c>
      <c r="P738" s="22" t="s">
        <v>8975</v>
      </c>
      <c r="Q738" s="21" t="s">
        <v>8959</v>
      </c>
      <c r="R738" s="23" t="s">
        <v>9010</v>
      </c>
      <c r="S738" s="24" t="s">
        <v>10836</v>
      </c>
      <c r="T738" s="24" t="str">
        <f>VLOOKUP(R738,[1]Sheet3!$A$2:$A$47,1,0)</f>
        <v>the United States of America</v>
      </c>
      <c r="U738" s="24" t="s">
        <v>13440</v>
      </c>
      <c r="V738" s="24" t="s">
        <v>13441</v>
      </c>
      <c r="W738" s="18" t="s">
        <v>8964</v>
      </c>
      <c r="X738" s="26" t="s">
        <v>10839</v>
      </c>
      <c r="Y738" s="18" t="s">
        <v>10840</v>
      </c>
      <c r="Z738" s="24" t="s">
        <v>4</v>
      </c>
    </row>
    <row r="739" spans="1:26" ht="20.100000000000001" customHeight="1" x14ac:dyDescent="0.2">
      <c r="A739" s="18" t="s">
        <v>13442</v>
      </c>
      <c r="B739" s="19" t="s">
        <v>13443</v>
      </c>
      <c r="C739" s="19" t="s">
        <v>13444</v>
      </c>
      <c r="D739" s="8" t="s">
        <v>8984</v>
      </c>
      <c r="E739" s="20" t="s">
        <v>8998</v>
      </c>
      <c r="F739" s="20" t="s">
        <v>8950</v>
      </c>
      <c r="G739" s="20" t="s">
        <v>9133</v>
      </c>
      <c r="H739" s="53">
        <v>55536</v>
      </c>
      <c r="I739" s="20" t="s">
        <v>9019</v>
      </c>
      <c r="J739" s="20" t="s">
        <v>8953</v>
      </c>
      <c r="K739" s="20" t="s">
        <v>8954</v>
      </c>
      <c r="L739" s="21" t="s">
        <v>8955</v>
      </c>
      <c r="M739" s="20" t="s">
        <v>8956</v>
      </c>
      <c r="N739" s="20" t="s">
        <v>8959</v>
      </c>
      <c r="O739" s="20">
        <f t="shared" si="11"/>
        <v>4</v>
      </c>
      <c r="P739" s="22" t="s">
        <v>8958</v>
      </c>
      <c r="Q739" s="21" t="s">
        <v>9061</v>
      </c>
      <c r="R739" s="23" t="s">
        <v>9333</v>
      </c>
      <c r="S739" s="24" t="s">
        <v>180</v>
      </c>
      <c r="T739" s="24" t="str">
        <f>VLOOKUP(R739,[1]Sheet3!$A$2:$A$47,1,0)</f>
        <v>Japan</v>
      </c>
      <c r="U739" s="24" t="s">
        <v>13445</v>
      </c>
      <c r="V739" s="24" t="s">
        <v>13446</v>
      </c>
      <c r="W739" s="18" t="s">
        <v>8964</v>
      </c>
      <c r="X739" s="26" t="s">
        <v>180</v>
      </c>
      <c r="Y739" s="18" t="s">
        <v>11199</v>
      </c>
      <c r="Z739" s="24" t="s">
        <v>11</v>
      </c>
    </row>
    <row r="740" spans="1:26" ht="20.100000000000001" customHeight="1" x14ac:dyDescent="0.2">
      <c r="A740" s="18" t="s">
        <v>13447</v>
      </c>
      <c r="B740" s="19" t="s">
        <v>13448</v>
      </c>
      <c r="C740" s="19" t="s">
        <v>13449</v>
      </c>
      <c r="D740" s="8" t="s">
        <v>9035</v>
      </c>
      <c r="E740" s="20" t="s">
        <v>8998</v>
      </c>
      <c r="F740" s="20" t="s">
        <v>9036</v>
      </c>
      <c r="G740" s="20" t="s">
        <v>9464</v>
      </c>
      <c r="H740" s="53">
        <v>89</v>
      </c>
      <c r="I740" s="20" t="s">
        <v>9008</v>
      </c>
      <c r="J740" s="20" t="s">
        <v>8953</v>
      </c>
      <c r="K740" s="20" t="s">
        <v>8989</v>
      </c>
      <c r="L740" s="21" t="s">
        <v>8955</v>
      </c>
      <c r="M740" s="20" t="s">
        <v>8956</v>
      </c>
      <c r="N740" s="20" t="s">
        <v>8959</v>
      </c>
      <c r="O740" s="20">
        <f t="shared" si="11"/>
        <v>3</v>
      </c>
      <c r="P740" s="22" t="s">
        <v>9103</v>
      </c>
      <c r="Q740" s="21" t="s">
        <v>9009</v>
      </c>
      <c r="R740" s="23" t="s">
        <v>9356</v>
      </c>
      <c r="S740" s="24" t="s">
        <v>9020</v>
      </c>
      <c r="T740" s="24" t="str">
        <f>VLOOKUP(R740,[1]Sheet3!$A$2:$A$47,1,0)</f>
        <v>Japan</v>
      </c>
      <c r="U740" s="24" t="s">
        <v>13450</v>
      </c>
      <c r="V740" s="24" t="s">
        <v>13451</v>
      </c>
      <c r="W740" s="18" t="s">
        <v>8964</v>
      </c>
      <c r="X740" s="26" t="s">
        <v>87</v>
      </c>
      <c r="Y740" s="18" t="s">
        <v>9023</v>
      </c>
      <c r="Z740" s="24" t="s">
        <v>11</v>
      </c>
    </row>
    <row r="741" spans="1:26" ht="20.100000000000001" customHeight="1" x14ac:dyDescent="0.2">
      <c r="A741" s="18" t="s">
        <v>13452</v>
      </c>
      <c r="B741" s="19" t="s">
        <v>13453</v>
      </c>
      <c r="C741" s="19" t="s">
        <v>13454</v>
      </c>
      <c r="D741" s="8" t="s">
        <v>9049</v>
      </c>
      <c r="E741" s="20" t="s">
        <v>9325</v>
      </c>
      <c r="F741" s="20" t="s">
        <v>8950</v>
      </c>
      <c r="G741" s="20" t="s">
        <v>8987</v>
      </c>
      <c r="H741" s="53">
        <v>102</v>
      </c>
      <c r="I741" s="20" t="s">
        <v>9158</v>
      </c>
      <c r="J741" s="20" t="s">
        <v>9059</v>
      </c>
      <c r="K741" s="20" t="s">
        <v>8989</v>
      </c>
      <c r="L741" s="21" t="s">
        <v>8955</v>
      </c>
      <c r="M741" s="20" t="s">
        <v>8956</v>
      </c>
      <c r="N741" s="20" t="s">
        <v>8974</v>
      </c>
      <c r="O741" s="20">
        <f t="shared" si="11"/>
        <v>8</v>
      </c>
      <c r="P741" s="22" t="s">
        <v>8975</v>
      </c>
      <c r="Q741" s="21" t="s">
        <v>9009</v>
      </c>
      <c r="R741" s="23" t="s">
        <v>9010</v>
      </c>
      <c r="S741" s="24" t="s">
        <v>12413</v>
      </c>
      <c r="T741" s="24" t="str">
        <f>VLOOKUP(R741,[1]Sheet3!$A$2:$A$47,1,0)</f>
        <v>the United States of America</v>
      </c>
      <c r="U741" s="24" t="s">
        <v>13455</v>
      </c>
      <c r="V741" s="24" t="s">
        <v>13456</v>
      </c>
      <c r="W741" s="18" t="s">
        <v>8964</v>
      </c>
      <c r="X741" s="26" t="s">
        <v>213</v>
      </c>
      <c r="Y741" s="18" t="s">
        <v>12416</v>
      </c>
      <c r="Z741" s="24" t="s">
        <v>4</v>
      </c>
    </row>
    <row r="742" spans="1:26" ht="20.100000000000001" customHeight="1" x14ac:dyDescent="0.2">
      <c r="A742" s="18" t="s">
        <v>13457</v>
      </c>
      <c r="B742" s="19" t="s">
        <v>13458</v>
      </c>
      <c r="C742" s="19" t="s">
        <v>13459</v>
      </c>
      <c r="D742" s="8" t="s">
        <v>9173</v>
      </c>
      <c r="E742" s="33" t="s">
        <v>9174</v>
      </c>
      <c r="F742" s="20" t="s">
        <v>8950</v>
      </c>
      <c r="G742" s="20" t="s">
        <v>8973</v>
      </c>
      <c r="H742" s="53">
        <v>2600</v>
      </c>
      <c r="I742" s="20" t="s">
        <v>8952</v>
      </c>
      <c r="J742" s="20" t="s">
        <v>8953</v>
      </c>
      <c r="K742" s="20" t="s">
        <v>8989</v>
      </c>
      <c r="L742" s="21" t="s">
        <v>8955</v>
      </c>
      <c r="M742" s="20" t="s">
        <v>8956</v>
      </c>
      <c r="N742" s="20" t="s">
        <v>8959</v>
      </c>
      <c r="O742" s="20">
        <f t="shared" si="11"/>
        <v>1</v>
      </c>
      <c r="P742" s="22" t="s">
        <v>9103</v>
      </c>
      <c r="Q742" s="21" t="s">
        <v>8959</v>
      </c>
      <c r="R742" s="23" t="s">
        <v>9310</v>
      </c>
      <c r="S742" s="24" t="s">
        <v>13460</v>
      </c>
      <c r="T742" s="24" t="str">
        <f>VLOOKUP(R742,[1]Sheet3!$A$2:$A$47,1,0)</f>
        <v>China</v>
      </c>
      <c r="U742" s="24" t="s">
        <v>13461</v>
      </c>
      <c r="V742" s="24" t="s">
        <v>13462</v>
      </c>
      <c r="W742" s="18" t="s">
        <v>8964</v>
      </c>
      <c r="X742" s="26" t="s">
        <v>2307</v>
      </c>
      <c r="Y742" s="18" t="s">
        <v>13463</v>
      </c>
      <c r="Z742" s="24" t="s">
        <v>4</v>
      </c>
    </row>
    <row r="743" spans="1:26" ht="20.100000000000001" customHeight="1" x14ac:dyDescent="0.2">
      <c r="A743" s="18" t="s">
        <v>13464</v>
      </c>
      <c r="B743" s="19" t="s">
        <v>13465</v>
      </c>
      <c r="C743" s="19" t="s">
        <v>13466</v>
      </c>
      <c r="D743" s="8" t="s">
        <v>9035</v>
      </c>
      <c r="E743" s="20" t="s">
        <v>8998</v>
      </c>
      <c r="F743" s="20" t="s">
        <v>10613</v>
      </c>
      <c r="G743" s="20" t="s">
        <v>8987</v>
      </c>
      <c r="H743" s="53">
        <v>600</v>
      </c>
      <c r="I743" s="20" t="s">
        <v>9077</v>
      </c>
      <c r="J743" s="20" t="s">
        <v>8953</v>
      </c>
      <c r="K743" s="20" t="s">
        <v>8954</v>
      </c>
      <c r="L743" s="21" t="s">
        <v>8955</v>
      </c>
      <c r="M743" s="20" t="s">
        <v>8956</v>
      </c>
      <c r="N743" s="20" t="s">
        <v>9060</v>
      </c>
      <c r="O743" s="20">
        <f t="shared" si="11"/>
        <v>8</v>
      </c>
      <c r="P743" s="22" t="s">
        <v>8975</v>
      </c>
      <c r="Q743" s="21" t="s">
        <v>8959</v>
      </c>
      <c r="R743" s="23" t="s">
        <v>9213</v>
      </c>
      <c r="S743" s="24" t="s">
        <v>9020</v>
      </c>
      <c r="T743" s="24" t="str">
        <f>VLOOKUP(R743,[1]Sheet3!$A$2:$A$47,1,0)</f>
        <v>South Korea</v>
      </c>
      <c r="U743" s="24" t="s">
        <v>13467</v>
      </c>
      <c r="V743" s="24" t="s">
        <v>13468</v>
      </c>
      <c r="W743" s="18" t="s">
        <v>8964</v>
      </c>
      <c r="X743" s="26" t="s">
        <v>87</v>
      </c>
      <c r="Y743" s="18" t="s">
        <v>9023</v>
      </c>
      <c r="Z743" s="24" t="s">
        <v>11</v>
      </c>
    </row>
    <row r="744" spans="1:26" ht="20.100000000000001" customHeight="1" x14ac:dyDescent="0.2">
      <c r="A744" s="18" t="s">
        <v>13469</v>
      </c>
      <c r="B744" s="19" t="s">
        <v>13470</v>
      </c>
      <c r="C744" s="19" t="s">
        <v>13471</v>
      </c>
      <c r="D744" s="8" t="s">
        <v>8984</v>
      </c>
      <c r="E744" s="33" t="s">
        <v>9131</v>
      </c>
      <c r="F744" s="33" t="s">
        <v>13472</v>
      </c>
      <c r="G744" s="20" t="s">
        <v>8987</v>
      </c>
      <c r="H744" s="53">
        <v>1476</v>
      </c>
      <c r="I744" s="20" t="s">
        <v>8952</v>
      </c>
      <c r="J744" s="20" t="s">
        <v>8953</v>
      </c>
      <c r="K744" s="20" t="s">
        <v>8989</v>
      </c>
      <c r="L744" s="21" t="s">
        <v>9182</v>
      </c>
      <c r="M744" s="20" t="s">
        <v>8956</v>
      </c>
      <c r="N744" s="20" t="s">
        <v>8957</v>
      </c>
      <c r="O744" s="20">
        <f t="shared" si="11"/>
        <v>6</v>
      </c>
      <c r="P744" s="22" t="s">
        <v>8958</v>
      </c>
      <c r="Q744" s="21" t="s">
        <v>9009</v>
      </c>
      <c r="R744" s="23" t="s">
        <v>10446</v>
      </c>
      <c r="S744" s="24" t="s">
        <v>1318</v>
      </c>
      <c r="T744" s="24" t="str">
        <f>VLOOKUP(R744,[1]Sheet3!$A$2:$A$47,1,0)</f>
        <v>Taiwan</v>
      </c>
      <c r="U744" s="24" t="s">
        <v>13473</v>
      </c>
      <c r="V744" s="24" t="s">
        <v>13474</v>
      </c>
      <c r="W744" s="18" t="s">
        <v>8964</v>
      </c>
      <c r="X744" s="26" t="s">
        <v>1318</v>
      </c>
      <c r="Y744" s="18" t="s">
        <v>9506</v>
      </c>
      <c r="Z744" s="24" t="s">
        <v>11</v>
      </c>
    </row>
    <row r="745" spans="1:26" ht="20.100000000000001" customHeight="1" x14ac:dyDescent="0.2">
      <c r="A745" s="18" t="s">
        <v>13475</v>
      </c>
      <c r="B745" s="19" t="s">
        <v>13476</v>
      </c>
      <c r="C745" s="19" t="s">
        <v>13477</v>
      </c>
      <c r="D745" s="8" t="s">
        <v>9154</v>
      </c>
      <c r="E745" s="20" t="s">
        <v>8949</v>
      </c>
      <c r="F745" s="20" t="s">
        <v>8950</v>
      </c>
      <c r="G745" s="20" t="s">
        <v>9076</v>
      </c>
      <c r="H745" s="53">
        <v>300</v>
      </c>
      <c r="I745" s="20" t="s">
        <v>8988</v>
      </c>
      <c r="J745" s="20" t="s">
        <v>8953</v>
      </c>
      <c r="K745" s="20" t="s">
        <v>8989</v>
      </c>
      <c r="L745" s="21" t="s">
        <v>8955</v>
      </c>
      <c r="M745" s="20" t="s">
        <v>8956</v>
      </c>
      <c r="N745" s="20" t="s">
        <v>8959</v>
      </c>
      <c r="O745" s="20">
        <f t="shared" si="11"/>
        <v>5</v>
      </c>
      <c r="P745" s="22" t="s">
        <v>8958</v>
      </c>
      <c r="Q745" s="21" t="s">
        <v>8959</v>
      </c>
      <c r="R745" s="23" t="s">
        <v>9113</v>
      </c>
      <c r="S745" s="24" t="s">
        <v>9159</v>
      </c>
      <c r="T745" s="24" t="str">
        <f>VLOOKUP(R745,[1]Sheet3!$A$2:$A$47,1,0)</f>
        <v>UK</v>
      </c>
      <c r="U745" s="24" t="s">
        <v>13478</v>
      </c>
      <c r="V745" s="24" t="s">
        <v>13479</v>
      </c>
      <c r="W745" s="18" t="s">
        <v>8964</v>
      </c>
      <c r="X745" s="26" t="s">
        <v>61</v>
      </c>
      <c r="Y745" s="18" t="s">
        <v>9162</v>
      </c>
      <c r="Z745" s="24" t="s">
        <v>11</v>
      </c>
    </row>
    <row r="746" spans="1:26" ht="20.100000000000001" customHeight="1" x14ac:dyDescent="0.2">
      <c r="A746" s="18" t="s">
        <v>13480</v>
      </c>
      <c r="B746" s="19" t="s">
        <v>13481</v>
      </c>
      <c r="C746" s="19" t="s">
        <v>13482</v>
      </c>
      <c r="D746" s="8" t="s">
        <v>8948</v>
      </c>
      <c r="E746" s="20" t="s">
        <v>8949</v>
      </c>
      <c r="F746" s="20" t="s">
        <v>13483</v>
      </c>
      <c r="G746" s="20" t="s">
        <v>9292</v>
      </c>
      <c r="H746" s="53">
        <v>68</v>
      </c>
      <c r="I746" s="20" t="s">
        <v>9008</v>
      </c>
      <c r="J746" s="20" t="s">
        <v>8953</v>
      </c>
      <c r="K746" s="20" t="s">
        <v>8989</v>
      </c>
      <c r="L746" s="21" t="s">
        <v>8955</v>
      </c>
      <c r="M746" s="20" t="s">
        <v>8956</v>
      </c>
      <c r="N746" s="20" t="s">
        <v>8957</v>
      </c>
      <c r="O746" s="20">
        <f t="shared" si="11"/>
        <v>5</v>
      </c>
      <c r="P746" s="22" t="s">
        <v>8958</v>
      </c>
      <c r="Q746" s="21" t="s">
        <v>8959</v>
      </c>
      <c r="R746" s="23" t="s">
        <v>12547</v>
      </c>
      <c r="S746" s="24" t="s">
        <v>13110</v>
      </c>
      <c r="T746" s="24" t="str">
        <f>VLOOKUP(R746,[1]Sheet3!$A$2:$A$47,1,0)</f>
        <v>Brazil</v>
      </c>
      <c r="U746" s="24" t="s">
        <v>13484</v>
      </c>
      <c r="V746" s="24" t="s">
        <v>13485</v>
      </c>
      <c r="W746" s="18" t="s">
        <v>8964</v>
      </c>
      <c r="X746" s="26" t="s">
        <v>57</v>
      </c>
      <c r="Y746" s="18" t="s">
        <v>13113</v>
      </c>
      <c r="Z746" s="24" t="s">
        <v>11</v>
      </c>
    </row>
    <row r="747" spans="1:26" ht="20.100000000000001" customHeight="1" x14ac:dyDescent="0.2">
      <c r="A747" s="18" t="s">
        <v>13486</v>
      </c>
      <c r="B747" s="19" t="s">
        <v>13487</v>
      </c>
      <c r="C747" s="19" t="s">
        <v>13488</v>
      </c>
      <c r="D747" s="8" t="s">
        <v>9100</v>
      </c>
      <c r="E747" s="20" t="s">
        <v>8998</v>
      </c>
      <c r="F747" s="20" t="s">
        <v>9658</v>
      </c>
      <c r="G747" s="20" t="s">
        <v>9076</v>
      </c>
      <c r="H747" s="53">
        <v>20</v>
      </c>
      <c r="I747" s="20" t="s">
        <v>9008</v>
      </c>
      <c r="J747" s="20" t="s">
        <v>9059</v>
      </c>
      <c r="K747" s="20" t="s">
        <v>8989</v>
      </c>
      <c r="L747" s="21" t="s">
        <v>8955</v>
      </c>
      <c r="M747" s="20" t="s">
        <v>8956</v>
      </c>
      <c r="N747" s="20" t="s">
        <v>8957</v>
      </c>
      <c r="O747" s="20">
        <f t="shared" si="11"/>
        <v>3</v>
      </c>
      <c r="P747" s="22" t="s">
        <v>9103</v>
      </c>
      <c r="Q747" s="21" t="s">
        <v>9009</v>
      </c>
      <c r="R747" s="23" t="s">
        <v>9213</v>
      </c>
      <c r="S747" s="24" t="s">
        <v>9011</v>
      </c>
      <c r="T747" s="24" t="str">
        <f>VLOOKUP(R747,[1]Sheet3!$A$2:$A$47,1,0)</f>
        <v>South Korea</v>
      </c>
      <c r="U747" s="24" t="s">
        <v>13489</v>
      </c>
      <c r="V747" s="24" t="s">
        <v>13490</v>
      </c>
      <c r="W747" s="18" t="s">
        <v>8964</v>
      </c>
      <c r="X747" s="26" t="s">
        <v>93</v>
      </c>
      <c r="Y747" s="18" t="s">
        <v>9014</v>
      </c>
      <c r="Z747" s="24" t="s">
        <v>4</v>
      </c>
    </row>
    <row r="748" spans="1:26" ht="20.100000000000001" customHeight="1" x14ac:dyDescent="0.2">
      <c r="A748" s="18" t="s">
        <v>13491</v>
      </c>
      <c r="B748" s="19" t="s">
        <v>13492</v>
      </c>
      <c r="C748" s="19" t="s">
        <v>13493</v>
      </c>
      <c r="D748" s="8" t="s">
        <v>8984</v>
      </c>
      <c r="E748" s="20" t="s">
        <v>8998</v>
      </c>
      <c r="F748" s="20" t="s">
        <v>8950</v>
      </c>
      <c r="G748" s="20" t="s">
        <v>8973</v>
      </c>
      <c r="H748" s="53">
        <v>72</v>
      </c>
      <c r="I748" s="20" t="s">
        <v>9008</v>
      </c>
      <c r="J748" s="20" t="s">
        <v>8953</v>
      </c>
      <c r="K748" s="20" t="s">
        <v>8954</v>
      </c>
      <c r="L748" s="21" t="s">
        <v>8955</v>
      </c>
      <c r="M748" s="20" t="s">
        <v>8956</v>
      </c>
      <c r="N748" s="20" t="s">
        <v>9060</v>
      </c>
      <c r="O748" s="20">
        <f t="shared" si="11"/>
        <v>5</v>
      </c>
      <c r="P748" s="22" t="s">
        <v>8958</v>
      </c>
      <c r="Q748" s="21" t="s">
        <v>9061</v>
      </c>
      <c r="R748" s="23" t="s">
        <v>9010</v>
      </c>
      <c r="S748" s="24" t="s">
        <v>9093</v>
      </c>
      <c r="T748" s="24" t="str">
        <f>VLOOKUP(R748,[1]Sheet3!$A$2:$A$47,1,0)</f>
        <v>the United States of America</v>
      </c>
      <c r="U748" s="24" t="s">
        <v>13494</v>
      </c>
      <c r="V748" s="24" t="s">
        <v>13495</v>
      </c>
      <c r="W748" s="18" t="s">
        <v>8964</v>
      </c>
      <c r="X748" s="26" t="s">
        <v>378</v>
      </c>
      <c r="Y748" s="18" t="s">
        <v>9096</v>
      </c>
      <c r="Z748" s="24" t="s">
        <v>4</v>
      </c>
    </row>
    <row r="749" spans="1:26" ht="20.100000000000001" customHeight="1" x14ac:dyDescent="0.2">
      <c r="A749" s="18" t="s">
        <v>13496</v>
      </c>
      <c r="B749" s="19" t="s">
        <v>13497</v>
      </c>
      <c r="C749" s="19" t="s">
        <v>13498</v>
      </c>
      <c r="D749" s="8" t="s">
        <v>8948</v>
      </c>
      <c r="E749" s="20" t="s">
        <v>8949</v>
      </c>
      <c r="F749" s="20" t="s">
        <v>8950</v>
      </c>
      <c r="G749" s="20" t="s">
        <v>9464</v>
      </c>
      <c r="H749" s="53">
        <v>240</v>
      </c>
      <c r="I749" s="20" t="s">
        <v>9158</v>
      </c>
      <c r="J749" s="20" t="s">
        <v>9059</v>
      </c>
      <c r="K749" s="20" t="s">
        <v>8954</v>
      </c>
      <c r="L749" s="21" t="s">
        <v>8955</v>
      </c>
      <c r="M749" s="20" t="s">
        <v>8956</v>
      </c>
      <c r="N749" s="20" t="s">
        <v>8959</v>
      </c>
      <c r="O749" s="20">
        <f t="shared" si="11"/>
        <v>12</v>
      </c>
      <c r="P749" s="22" t="s">
        <v>8975</v>
      </c>
      <c r="Q749" s="21" t="s">
        <v>8959</v>
      </c>
      <c r="R749" s="23" t="s">
        <v>9310</v>
      </c>
      <c r="S749" s="24" t="s">
        <v>9228</v>
      </c>
      <c r="T749" s="24" t="str">
        <f>VLOOKUP(R749,[1]Sheet3!$A$2:$A$47,1,0)</f>
        <v>China</v>
      </c>
      <c r="U749" s="24" t="s">
        <v>13499</v>
      </c>
      <c r="V749" s="24" t="s">
        <v>13500</v>
      </c>
      <c r="W749" s="18" t="s">
        <v>8964</v>
      </c>
      <c r="X749" s="26" t="s">
        <v>110</v>
      </c>
      <c r="Y749" s="18" t="s">
        <v>9231</v>
      </c>
      <c r="Z749" s="24" t="s">
        <v>4</v>
      </c>
    </row>
    <row r="750" spans="1:26" ht="20.100000000000001" customHeight="1" x14ac:dyDescent="0.2">
      <c r="A750" s="18" t="s">
        <v>13501</v>
      </c>
      <c r="B750" s="19" t="s">
        <v>13502</v>
      </c>
      <c r="C750" s="19" t="s">
        <v>13503</v>
      </c>
      <c r="D750" s="8" t="s">
        <v>9154</v>
      </c>
      <c r="E750" s="20" t="s">
        <v>9174</v>
      </c>
      <c r="F750" s="20" t="s">
        <v>9436</v>
      </c>
      <c r="G750" s="20" t="s">
        <v>8951</v>
      </c>
      <c r="H750" s="53">
        <v>2265</v>
      </c>
      <c r="I750" s="20" t="s">
        <v>8952</v>
      </c>
      <c r="J750" s="20" t="s">
        <v>8953</v>
      </c>
      <c r="K750" s="20" t="s">
        <v>8989</v>
      </c>
      <c r="L750" s="21" t="s">
        <v>8955</v>
      </c>
      <c r="M750" s="20" t="s">
        <v>8956</v>
      </c>
      <c r="N750" s="20" t="s">
        <v>8959</v>
      </c>
      <c r="O750" s="20">
        <f t="shared" si="11"/>
        <v>5</v>
      </c>
      <c r="P750" s="22" t="s">
        <v>8958</v>
      </c>
      <c r="Q750" s="21" t="s">
        <v>9061</v>
      </c>
      <c r="R750" s="23" t="s">
        <v>9010</v>
      </c>
      <c r="S750" s="24" t="s">
        <v>9020</v>
      </c>
      <c r="T750" s="24" t="str">
        <f>VLOOKUP(R750,[1]Sheet3!$A$2:$A$47,1,0)</f>
        <v>the United States of America</v>
      </c>
      <c r="U750" s="24" t="s">
        <v>13504</v>
      </c>
      <c r="V750" s="24" t="s">
        <v>13505</v>
      </c>
      <c r="W750" s="18" t="s">
        <v>8964</v>
      </c>
      <c r="X750" s="26" t="s">
        <v>87</v>
      </c>
      <c r="Y750" s="18" t="s">
        <v>9023</v>
      </c>
      <c r="Z750" s="24" t="s">
        <v>11</v>
      </c>
    </row>
    <row r="751" spans="1:26" ht="20.100000000000001" customHeight="1" x14ac:dyDescent="0.2">
      <c r="A751" s="18" t="s">
        <v>13506</v>
      </c>
      <c r="B751" s="19" t="s">
        <v>13507</v>
      </c>
      <c r="C751" s="19" t="s">
        <v>13508</v>
      </c>
      <c r="D751" s="8" t="s">
        <v>8948</v>
      </c>
      <c r="E751" s="20" t="s">
        <v>11231</v>
      </c>
      <c r="F751" s="20" t="s">
        <v>9036</v>
      </c>
      <c r="G751" s="20" t="s">
        <v>9133</v>
      </c>
      <c r="H751" s="53">
        <v>431</v>
      </c>
      <c r="I751" s="20" t="s">
        <v>8988</v>
      </c>
      <c r="J751" s="20" t="s">
        <v>9059</v>
      </c>
      <c r="K751" s="20" t="s">
        <v>8954</v>
      </c>
      <c r="L751" s="21" t="s">
        <v>9182</v>
      </c>
      <c r="M751" s="20" t="s">
        <v>8956</v>
      </c>
      <c r="N751" s="20" t="s">
        <v>9060</v>
      </c>
      <c r="O751" s="20">
        <f t="shared" si="11"/>
        <v>5</v>
      </c>
      <c r="P751" s="22" t="s">
        <v>8958</v>
      </c>
      <c r="Q751" s="21" t="s">
        <v>9009</v>
      </c>
      <c r="R751" s="23" t="s">
        <v>9213</v>
      </c>
      <c r="S751" s="24" t="s">
        <v>13110</v>
      </c>
      <c r="T751" s="24" t="str">
        <f>VLOOKUP(R751,[1]Sheet3!$A$2:$A$47,1,0)</f>
        <v>South Korea</v>
      </c>
      <c r="U751" s="24" t="s">
        <v>13236</v>
      </c>
      <c r="V751" s="24" t="s">
        <v>13509</v>
      </c>
      <c r="W751" s="18" t="s">
        <v>8964</v>
      </c>
      <c r="X751" s="26" t="s">
        <v>57</v>
      </c>
      <c r="Y751" s="18" t="s">
        <v>13113</v>
      </c>
      <c r="Z751" s="24" t="s">
        <v>4</v>
      </c>
    </row>
    <row r="752" spans="1:26" ht="20.100000000000001" customHeight="1" x14ac:dyDescent="0.2">
      <c r="A752" s="18" t="s">
        <v>13510</v>
      </c>
      <c r="B752" s="19" t="s">
        <v>13511</v>
      </c>
      <c r="C752" s="19" t="s">
        <v>13512</v>
      </c>
      <c r="D752" s="8" t="s">
        <v>9173</v>
      </c>
      <c r="E752" s="20" t="s">
        <v>9174</v>
      </c>
      <c r="F752" s="20" t="s">
        <v>8950</v>
      </c>
      <c r="G752" s="20" t="s">
        <v>8987</v>
      </c>
      <c r="H752" s="53">
        <v>100</v>
      </c>
      <c r="I752" s="20" t="s">
        <v>9008</v>
      </c>
      <c r="J752" s="20" t="s">
        <v>8953</v>
      </c>
      <c r="K752" s="20" t="s">
        <v>8989</v>
      </c>
      <c r="L752" s="21" t="s">
        <v>8955</v>
      </c>
      <c r="M752" s="20" t="s">
        <v>8956</v>
      </c>
      <c r="N752" s="20" t="s">
        <v>8957</v>
      </c>
      <c r="O752" s="20">
        <f t="shared" si="11"/>
        <v>17</v>
      </c>
      <c r="P752" s="22" t="s">
        <v>8975</v>
      </c>
      <c r="Q752" s="21" t="s">
        <v>9009</v>
      </c>
      <c r="R752" s="23" t="s">
        <v>9010</v>
      </c>
      <c r="S752" s="24" t="s">
        <v>13513</v>
      </c>
      <c r="T752" s="24" t="str">
        <f>VLOOKUP(R752,[1]Sheet3!$A$2:$A$47,1,0)</f>
        <v>the United States of America</v>
      </c>
      <c r="U752" s="24" t="s">
        <v>13514</v>
      </c>
      <c r="V752" s="24" t="s">
        <v>13515</v>
      </c>
      <c r="W752" s="18" t="s">
        <v>8964</v>
      </c>
      <c r="X752" s="26" t="s">
        <v>1558</v>
      </c>
      <c r="Y752" s="18" t="s">
        <v>13516</v>
      </c>
      <c r="Z752" s="24" t="s">
        <v>11</v>
      </c>
    </row>
    <row r="753" spans="1:26" ht="20.100000000000001" customHeight="1" x14ac:dyDescent="0.2">
      <c r="A753" s="18" t="s">
        <v>13517</v>
      </c>
      <c r="B753" s="19" t="s">
        <v>13518</v>
      </c>
      <c r="C753" s="19" t="s">
        <v>13519</v>
      </c>
      <c r="D753" s="8" t="s">
        <v>8984</v>
      </c>
      <c r="E753" s="20" t="s">
        <v>8998</v>
      </c>
      <c r="F753" s="20" t="s">
        <v>11623</v>
      </c>
      <c r="G753" s="20" t="s">
        <v>8973</v>
      </c>
      <c r="H753" s="53">
        <v>278</v>
      </c>
      <c r="I753" s="20" t="s">
        <v>8988</v>
      </c>
      <c r="J753" s="20" t="s">
        <v>9059</v>
      </c>
      <c r="K753" s="20" t="s">
        <v>8989</v>
      </c>
      <c r="L753" s="21" t="s">
        <v>8955</v>
      </c>
      <c r="M753" s="20" t="s">
        <v>8956</v>
      </c>
      <c r="N753" s="20" t="s">
        <v>8957</v>
      </c>
      <c r="O753" s="20">
        <f t="shared" si="11"/>
        <v>3</v>
      </c>
      <c r="P753" s="22" t="s">
        <v>9103</v>
      </c>
      <c r="Q753" s="21" t="s">
        <v>9009</v>
      </c>
      <c r="R753" s="23" t="s">
        <v>9310</v>
      </c>
      <c r="S753" s="24" t="s">
        <v>9011</v>
      </c>
      <c r="T753" s="24" t="str">
        <f>VLOOKUP(R753,[1]Sheet3!$A$2:$A$47,1,0)</f>
        <v>China</v>
      </c>
      <c r="U753" s="24" t="s">
        <v>13057</v>
      </c>
      <c r="V753" s="24" t="s">
        <v>13520</v>
      </c>
      <c r="W753" s="18" t="s">
        <v>8964</v>
      </c>
      <c r="X753" s="26" t="s">
        <v>93</v>
      </c>
      <c r="Y753" s="18" t="s">
        <v>9014</v>
      </c>
      <c r="Z753" s="24" t="s">
        <v>4</v>
      </c>
    </row>
    <row r="754" spans="1:26" ht="20.100000000000001" customHeight="1" x14ac:dyDescent="0.2">
      <c r="A754" s="18" t="s">
        <v>13521</v>
      </c>
      <c r="B754" s="19" t="s">
        <v>13522</v>
      </c>
      <c r="C754" s="19" t="s">
        <v>13523</v>
      </c>
      <c r="D754" s="8" t="s">
        <v>8948</v>
      </c>
      <c r="E754" s="20" t="s">
        <v>8971</v>
      </c>
      <c r="F754" s="20" t="s">
        <v>8950</v>
      </c>
      <c r="G754" s="20" t="s">
        <v>9133</v>
      </c>
      <c r="H754" s="53">
        <v>19838</v>
      </c>
      <c r="I754" s="20" t="s">
        <v>9019</v>
      </c>
      <c r="J754" s="20" t="s">
        <v>8953</v>
      </c>
      <c r="K754" s="20" t="s">
        <v>8989</v>
      </c>
      <c r="L754" s="21" t="s">
        <v>8955</v>
      </c>
      <c r="M754" s="20" t="s">
        <v>8956</v>
      </c>
      <c r="N754" s="20" t="s">
        <v>8957</v>
      </c>
      <c r="O754" s="20">
        <f t="shared" si="11"/>
        <v>4</v>
      </c>
      <c r="P754" s="22" t="s">
        <v>8958</v>
      </c>
      <c r="Q754" s="21" t="s">
        <v>8959</v>
      </c>
      <c r="R754" s="23" t="s">
        <v>10873</v>
      </c>
      <c r="S754" s="24" t="s">
        <v>10785</v>
      </c>
      <c r="T754" s="24" t="str">
        <f>VLOOKUP(R754,[1]Sheet3!$A$2:$A$47,1,0)</f>
        <v>UK</v>
      </c>
      <c r="U754" s="24" t="s">
        <v>13524</v>
      </c>
      <c r="V754" s="24" t="s">
        <v>13525</v>
      </c>
      <c r="W754" s="18" t="s">
        <v>8964</v>
      </c>
      <c r="X754" s="26" t="s">
        <v>1524</v>
      </c>
      <c r="Y754" s="18" t="s">
        <v>10788</v>
      </c>
      <c r="Z754" s="24" t="s">
        <v>4</v>
      </c>
    </row>
    <row r="755" spans="1:26" ht="20.100000000000001" customHeight="1" x14ac:dyDescent="0.2">
      <c r="A755" s="18" t="s">
        <v>13526</v>
      </c>
      <c r="B755" s="19" t="s">
        <v>13527</v>
      </c>
      <c r="C755" s="19" t="s">
        <v>13528</v>
      </c>
      <c r="D755" s="8" t="s">
        <v>9154</v>
      </c>
      <c r="E755" s="20" t="s">
        <v>9101</v>
      </c>
      <c r="F755" s="20" t="s">
        <v>8950</v>
      </c>
      <c r="G755" s="20" t="s">
        <v>9292</v>
      </c>
      <c r="H755" s="53">
        <v>1678</v>
      </c>
      <c r="I755" s="20" t="s">
        <v>8952</v>
      </c>
      <c r="J755" s="20" t="s">
        <v>8953</v>
      </c>
      <c r="K755" s="20" t="s">
        <v>8989</v>
      </c>
      <c r="L755" s="21" t="s">
        <v>8955</v>
      </c>
      <c r="M755" s="20" t="s">
        <v>8956</v>
      </c>
      <c r="N755" s="20" t="s">
        <v>8957</v>
      </c>
      <c r="O755" s="20">
        <f t="shared" si="11"/>
        <v>3</v>
      </c>
      <c r="P755" s="22" t="s">
        <v>9103</v>
      </c>
      <c r="Q755" s="21" t="s">
        <v>8959</v>
      </c>
      <c r="R755" s="23" t="s">
        <v>9010</v>
      </c>
      <c r="S755" s="24" t="s">
        <v>13529</v>
      </c>
      <c r="T755" s="24" t="str">
        <f>VLOOKUP(R755,[1]Sheet3!$A$2:$A$47,1,0)</f>
        <v>the United States of America</v>
      </c>
      <c r="U755" s="24" t="s">
        <v>13530</v>
      </c>
      <c r="V755" s="24" t="s">
        <v>13531</v>
      </c>
      <c r="W755" s="18" t="s">
        <v>8964</v>
      </c>
      <c r="X755" s="26" t="s">
        <v>4469</v>
      </c>
      <c r="Y755" s="18" t="s">
        <v>13532</v>
      </c>
      <c r="Z755" s="24" t="s">
        <v>4</v>
      </c>
    </row>
    <row r="756" spans="1:26" ht="20.100000000000001" customHeight="1" x14ac:dyDescent="0.2">
      <c r="A756" s="18" t="s">
        <v>13533</v>
      </c>
      <c r="B756" s="19" t="s">
        <v>13534</v>
      </c>
      <c r="C756" s="19" t="s">
        <v>13535</v>
      </c>
      <c r="D756" s="8" t="s">
        <v>8984</v>
      </c>
      <c r="E756" s="20" t="s">
        <v>9121</v>
      </c>
      <c r="F756" s="20" t="s">
        <v>8950</v>
      </c>
      <c r="G756" s="20" t="s">
        <v>8951</v>
      </c>
      <c r="H756" s="53">
        <v>4096</v>
      </c>
      <c r="I756" s="20" t="s">
        <v>9019</v>
      </c>
      <c r="J756" s="20" t="s">
        <v>8953</v>
      </c>
      <c r="K756" s="20" t="s">
        <v>8989</v>
      </c>
      <c r="L756" s="21" t="s">
        <v>8955</v>
      </c>
      <c r="M756" s="20" t="s">
        <v>8956</v>
      </c>
      <c r="N756" s="20" t="s">
        <v>8957</v>
      </c>
      <c r="O756" s="20">
        <f t="shared" si="11"/>
        <v>5</v>
      </c>
      <c r="P756" s="22" t="s">
        <v>8958</v>
      </c>
      <c r="Q756" s="21" t="s">
        <v>8959</v>
      </c>
      <c r="R756" s="23" t="s">
        <v>9310</v>
      </c>
      <c r="S756" s="24" t="s">
        <v>13460</v>
      </c>
      <c r="T756" s="24" t="str">
        <f>VLOOKUP(R756,[1]Sheet3!$A$2:$A$47,1,0)</f>
        <v>China</v>
      </c>
      <c r="U756" s="24" t="s">
        <v>13536</v>
      </c>
      <c r="V756" s="24" t="s">
        <v>13537</v>
      </c>
      <c r="W756" s="18" t="s">
        <v>8964</v>
      </c>
      <c r="X756" s="26" t="s">
        <v>2307</v>
      </c>
      <c r="Y756" s="18" t="s">
        <v>13463</v>
      </c>
      <c r="Z756" s="24" t="s">
        <v>4</v>
      </c>
    </row>
    <row r="757" spans="1:26" ht="20.100000000000001" customHeight="1" x14ac:dyDescent="0.2">
      <c r="A757" s="18" t="s">
        <v>13538</v>
      </c>
      <c r="B757" s="19" t="s">
        <v>13539</v>
      </c>
      <c r="C757" s="19" t="s">
        <v>13540</v>
      </c>
      <c r="D757" s="8" t="s">
        <v>8948</v>
      </c>
      <c r="E757" s="20" t="s">
        <v>9725</v>
      </c>
      <c r="F757" s="20" t="s">
        <v>13541</v>
      </c>
      <c r="G757" s="20" t="s">
        <v>9076</v>
      </c>
      <c r="H757" s="53">
        <v>20000</v>
      </c>
      <c r="I757" s="20" t="s">
        <v>9019</v>
      </c>
      <c r="J757" s="20" t="s">
        <v>8953</v>
      </c>
      <c r="K757" s="20" t="s">
        <v>8989</v>
      </c>
      <c r="L757" s="21" t="s">
        <v>8955</v>
      </c>
      <c r="M757" s="20" t="s">
        <v>8956</v>
      </c>
      <c r="N757" s="20" t="s">
        <v>8957</v>
      </c>
      <c r="O757" s="20">
        <f t="shared" si="11"/>
        <v>4</v>
      </c>
      <c r="P757" s="22" t="s">
        <v>8958</v>
      </c>
      <c r="Q757" s="21" t="s">
        <v>8959</v>
      </c>
      <c r="R757" s="23" t="s">
        <v>9310</v>
      </c>
      <c r="S757" s="24" t="s">
        <v>9228</v>
      </c>
      <c r="T757" s="24" t="str">
        <f>VLOOKUP(R757,[1]Sheet3!$A$2:$A$47,1,0)</f>
        <v>China</v>
      </c>
      <c r="U757" s="24" t="s">
        <v>13542</v>
      </c>
      <c r="V757" s="24" t="s">
        <v>13543</v>
      </c>
      <c r="W757" s="18" t="s">
        <v>8964</v>
      </c>
      <c r="X757" s="26" t="s">
        <v>110</v>
      </c>
      <c r="Y757" s="18" t="s">
        <v>9231</v>
      </c>
      <c r="Z757" s="24" t="s">
        <v>4</v>
      </c>
    </row>
    <row r="758" spans="1:26" ht="20.100000000000001" customHeight="1" x14ac:dyDescent="0.2">
      <c r="A758" s="18" t="s">
        <v>13544</v>
      </c>
      <c r="B758" s="19" t="s">
        <v>13545</v>
      </c>
      <c r="C758" s="19" t="s">
        <v>13546</v>
      </c>
      <c r="D758" s="8" t="s">
        <v>9252</v>
      </c>
      <c r="E758" s="20" t="s">
        <v>9253</v>
      </c>
      <c r="F758" s="20" t="s">
        <v>8950</v>
      </c>
      <c r="G758" s="20" t="s">
        <v>9157</v>
      </c>
      <c r="H758" s="53">
        <v>15415</v>
      </c>
      <c r="I758" s="20" t="s">
        <v>9019</v>
      </c>
      <c r="J758" s="20" t="s">
        <v>8953</v>
      </c>
      <c r="K758" s="20" t="s">
        <v>8954</v>
      </c>
      <c r="L758" s="21" t="s">
        <v>8955</v>
      </c>
      <c r="M758" s="20" t="s">
        <v>8990</v>
      </c>
      <c r="N758" s="20" t="s">
        <v>9060</v>
      </c>
      <c r="O758" s="20">
        <f t="shared" si="11"/>
        <v>5</v>
      </c>
      <c r="P758" s="22" t="s">
        <v>8958</v>
      </c>
      <c r="Q758" s="21" t="s">
        <v>9061</v>
      </c>
      <c r="R758" s="23" t="s">
        <v>9010</v>
      </c>
      <c r="S758" s="24" t="s">
        <v>9020</v>
      </c>
      <c r="T758" s="24" t="str">
        <f>VLOOKUP(R758,[1]Sheet3!$A$2:$A$47,1,0)</f>
        <v>the United States of America</v>
      </c>
      <c r="U758" s="24" t="s">
        <v>13547</v>
      </c>
      <c r="V758" s="24" t="s">
        <v>13548</v>
      </c>
      <c r="W758" s="18" t="s">
        <v>8964</v>
      </c>
      <c r="X758" s="26" t="s">
        <v>87</v>
      </c>
      <c r="Y758" s="18" t="s">
        <v>9023</v>
      </c>
      <c r="Z758" s="24" t="s">
        <v>11</v>
      </c>
    </row>
    <row r="759" spans="1:26" ht="20.100000000000001" customHeight="1" x14ac:dyDescent="0.2">
      <c r="A759" s="18" t="s">
        <v>13549</v>
      </c>
      <c r="B759" s="19" t="s">
        <v>13550</v>
      </c>
      <c r="C759" s="19" t="s">
        <v>13551</v>
      </c>
      <c r="D759" s="8" t="s">
        <v>8948</v>
      </c>
      <c r="E759" s="33" t="s">
        <v>9101</v>
      </c>
      <c r="F759" s="20" t="s">
        <v>9316</v>
      </c>
      <c r="G759" s="20" t="s">
        <v>8987</v>
      </c>
      <c r="H759" s="53">
        <v>7849</v>
      </c>
      <c r="I759" s="20" t="s">
        <v>9019</v>
      </c>
      <c r="J759" s="20" t="s">
        <v>8953</v>
      </c>
      <c r="K759" s="20" t="s">
        <v>8954</v>
      </c>
      <c r="L759" s="21" t="s">
        <v>8955</v>
      </c>
      <c r="M759" s="20" t="s">
        <v>8956</v>
      </c>
      <c r="N759" s="20" t="s">
        <v>8959</v>
      </c>
      <c r="O759" s="20">
        <f t="shared" si="11"/>
        <v>10</v>
      </c>
      <c r="P759" s="22" t="s">
        <v>8975</v>
      </c>
      <c r="Q759" s="21" t="s">
        <v>8959</v>
      </c>
      <c r="R759" s="23" t="s">
        <v>9317</v>
      </c>
      <c r="S759" s="24" t="s">
        <v>9255</v>
      </c>
      <c r="T759" s="24" t="str">
        <f>VLOOKUP(R759,[1]Sheet3!$A$2:$A$47,1,0)</f>
        <v>Germany</v>
      </c>
      <c r="U759" s="24" t="s">
        <v>13552</v>
      </c>
      <c r="V759" s="24" t="s">
        <v>13553</v>
      </c>
      <c r="W759" s="18" t="s">
        <v>8964</v>
      </c>
      <c r="X759" s="26" t="s">
        <v>24</v>
      </c>
      <c r="Y759" s="18" t="s">
        <v>9258</v>
      </c>
      <c r="Z759" s="24" t="s">
        <v>4</v>
      </c>
    </row>
    <row r="760" spans="1:26" ht="20.100000000000001" customHeight="1" x14ac:dyDescent="0.2">
      <c r="A760" s="18" t="s">
        <v>13554</v>
      </c>
      <c r="B760" s="19" t="s">
        <v>13555</v>
      </c>
      <c r="C760" s="19" t="s">
        <v>13556</v>
      </c>
      <c r="D760" s="8" t="s">
        <v>9100</v>
      </c>
      <c r="E760" s="20" t="s">
        <v>9155</v>
      </c>
      <c r="F760" s="20" t="s">
        <v>8950</v>
      </c>
      <c r="G760" s="20" t="s">
        <v>8987</v>
      </c>
      <c r="H760" s="53">
        <v>250</v>
      </c>
      <c r="I760" s="20" t="s">
        <v>8988</v>
      </c>
      <c r="J760" s="20" t="s">
        <v>8953</v>
      </c>
      <c r="K760" s="20" t="s">
        <v>8989</v>
      </c>
      <c r="L760" s="21" t="s">
        <v>8955</v>
      </c>
      <c r="M760" s="20" t="s">
        <v>8990</v>
      </c>
      <c r="N760" s="20" t="s">
        <v>9060</v>
      </c>
      <c r="O760" s="20">
        <f t="shared" si="11"/>
        <v>6</v>
      </c>
      <c r="P760" s="22" t="s">
        <v>8958</v>
      </c>
      <c r="Q760" s="21" t="s">
        <v>9009</v>
      </c>
      <c r="R760" s="23" t="s">
        <v>10873</v>
      </c>
      <c r="S760" s="24" t="s">
        <v>13557</v>
      </c>
      <c r="T760" s="24" t="str">
        <f>VLOOKUP(R760,[1]Sheet3!$A$2:$A$47,1,0)</f>
        <v>UK</v>
      </c>
      <c r="U760" s="24" t="s">
        <v>13558</v>
      </c>
      <c r="V760" s="24" t="s">
        <v>13559</v>
      </c>
      <c r="W760" s="18" t="s">
        <v>8964</v>
      </c>
      <c r="X760" s="26" t="s">
        <v>880</v>
      </c>
      <c r="Y760" s="18" t="s">
        <v>13560</v>
      </c>
      <c r="Z760" s="24" t="s">
        <v>4</v>
      </c>
    </row>
    <row r="761" spans="1:26" ht="20.100000000000001" customHeight="1" x14ac:dyDescent="0.2">
      <c r="A761" s="18" t="s">
        <v>13561</v>
      </c>
      <c r="B761" s="19" t="s">
        <v>13562</v>
      </c>
      <c r="C761" s="19" t="s">
        <v>13563</v>
      </c>
      <c r="D761" s="8" t="s">
        <v>8948</v>
      </c>
      <c r="E761" s="20" t="s">
        <v>9155</v>
      </c>
      <c r="F761" s="33" t="s">
        <v>13564</v>
      </c>
      <c r="G761" s="20" t="s">
        <v>9076</v>
      </c>
      <c r="H761" s="53">
        <v>30</v>
      </c>
      <c r="I761" s="20" t="s">
        <v>9008</v>
      </c>
      <c r="J761" s="20" t="s">
        <v>8953</v>
      </c>
      <c r="K761" s="20" t="s">
        <v>8989</v>
      </c>
      <c r="L761" s="21" t="s">
        <v>8955</v>
      </c>
      <c r="M761" s="20" t="s">
        <v>8956</v>
      </c>
      <c r="N761" s="20" t="s">
        <v>8974</v>
      </c>
      <c r="O761" s="20">
        <f t="shared" si="11"/>
        <v>5</v>
      </c>
      <c r="P761" s="22" t="s">
        <v>8958</v>
      </c>
      <c r="Q761" s="21" t="s">
        <v>9061</v>
      </c>
      <c r="R761" s="23" t="s">
        <v>9010</v>
      </c>
      <c r="S761" s="24" t="s">
        <v>180</v>
      </c>
      <c r="T761" s="24" t="str">
        <f>VLOOKUP(R761,[1]Sheet3!$A$2:$A$47,1,0)</f>
        <v>the United States of America</v>
      </c>
      <c r="U761" s="24" t="s">
        <v>13565</v>
      </c>
      <c r="V761" s="24" t="s">
        <v>13566</v>
      </c>
      <c r="W761" s="18" t="s">
        <v>8964</v>
      </c>
      <c r="X761" s="26" t="s">
        <v>180</v>
      </c>
      <c r="Y761" s="18" t="s">
        <v>11199</v>
      </c>
      <c r="Z761" s="24" t="s">
        <v>11</v>
      </c>
    </row>
    <row r="762" spans="1:26" ht="20.100000000000001" customHeight="1" x14ac:dyDescent="0.2">
      <c r="A762" s="18" t="s">
        <v>13567</v>
      </c>
      <c r="B762" s="19" t="s">
        <v>13568</v>
      </c>
      <c r="C762" s="19" t="s">
        <v>13569</v>
      </c>
      <c r="D762" s="8" t="s">
        <v>9092</v>
      </c>
      <c r="E762" s="20" t="s">
        <v>8949</v>
      </c>
      <c r="F762" s="33" t="s">
        <v>13570</v>
      </c>
      <c r="G762" s="20" t="s">
        <v>8987</v>
      </c>
      <c r="H762" s="53">
        <v>1240</v>
      </c>
      <c r="I762" s="20" t="s">
        <v>8952</v>
      </c>
      <c r="J762" s="20" t="s">
        <v>8953</v>
      </c>
      <c r="K762" s="20" t="s">
        <v>8989</v>
      </c>
      <c r="L762" s="21" t="s">
        <v>8955</v>
      </c>
      <c r="M762" s="20" t="s">
        <v>8990</v>
      </c>
      <c r="N762" s="20" t="s">
        <v>8957</v>
      </c>
      <c r="O762" s="20">
        <f t="shared" si="11"/>
        <v>5</v>
      </c>
      <c r="P762" s="22" t="s">
        <v>8958</v>
      </c>
      <c r="Q762" s="21" t="s">
        <v>9061</v>
      </c>
      <c r="R762" s="23" t="s">
        <v>9010</v>
      </c>
      <c r="S762" s="24" t="s">
        <v>9020</v>
      </c>
      <c r="T762" s="24" t="str">
        <f>VLOOKUP(R762,[1]Sheet3!$A$2:$A$47,1,0)</f>
        <v>the United States of America</v>
      </c>
      <c r="U762" s="24" t="s">
        <v>13571</v>
      </c>
      <c r="V762" s="24" t="s">
        <v>13572</v>
      </c>
      <c r="W762" s="18" t="s">
        <v>8964</v>
      </c>
      <c r="X762" s="26" t="s">
        <v>87</v>
      </c>
      <c r="Y762" s="18" t="s">
        <v>9023</v>
      </c>
      <c r="Z762" s="24" t="s">
        <v>11</v>
      </c>
    </row>
    <row r="763" spans="1:26" ht="20.100000000000001" customHeight="1" x14ac:dyDescent="0.2">
      <c r="A763" s="18" t="s">
        <v>13573</v>
      </c>
      <c r="B763" s="19" t="s">
        <v>13574</v>
      </c>
      <c r="C763" s="19" t="s">
        <v>13575</v>
      </c>
      <c r="D763" s="8" t="s">
        <v>9252</v>
      </c>
      <c r="E763" s="20" t="s">
        <v>9253</v>
      </c>
      <c r="F763" s="20" t="s">
        <v>8950</v>
      </c>
      <c r="G763" s="20" t="s">
        <v>8987</v>
      </c>
      <c r="H763" s="53">
        <v>1090</v>
      </c>
      <c r="I763" s="20" t="s">
        <v>8952</v>
      </c>
      <c r="J763" s="20" t="s">
        <v>8953</v>
      </c>
      <c r="K763" s="20" t="s">
        <v>8954</v>
      </c>
      <c r="L763" s="21" t="s">
        <v>8955</v>
      </c>
      <c r="M763" s="20" t="s">
        <v>8956</v>
      </c>
      <c r="N763" s="20" t="s">
        <v>8957</v>
      </c>
      <c r="O763" s="20">
        <f t="shared" si="11"/>
        <v>3</v>
      </c>
      <c r="P763" s="22" t="s">
        <v>9103</v>
      </c>
      <c r="Q763" s="21" t="s">
        <v>8959</v>
      </c>
      <c r="R763" s="23" t="s">
        <v>9176</v>
      </c>
      <c r="S763" s="18" t="s">
        <v>9159</v>
      </c>
      <c r="T763" s="24" t="str">
        <f>VLOOKUP(R763,[1]Sheet3!$A$2:$A$47,1,0)</f>
        <v>Australia</v>
      </c>
      <c r="U763" s="19" t="s">
        <v>13576</v>
      </c>
      <c r="V763" s="18" t="s">
        <v>13577</v>
      </c>
      <c r="W763" s="18" t="s">
        <v>8964</v>
      </c>
      <c r="X763" s="18" t="s">
        <v>61</v>
      </c>
      <c r="Y763" s="18" t="s">
        <v>9162</v>
      </c>
      <c r="Z763" s="18" t="s">
        <v>4</v>
      </c>
    </row>
    <row r="764" spans="1:26" ht="20.100000000000001" customHeight="1" x14ac:dyDescent="0.2">
      <c r="A764" s="18" t="s">
        <v>13578</v>
      </c>
      <c r="B764" s="19" t="s">
        <v>13579</v>
      </c>
      <c r="C764" s="19" t="s">
        <v>13580</v>
      </c>
      <c r="D764" s="8" t="s">
        <v>9092</v>
      </c>
      <c r="E764" s="20" t="s">
        <v>9308</v>
      </c>
      <c r="F764" s="33" t="s">
        <v>13581</v>
      </c>
      <c r="G764" s="20" t="s">
        <v>9133</v>
      </c>
      <c r="H764" s="53">
        <v>18940</v>
      </c>
      <c r="I764" s="20" t="s">
        <v>9019</v>
      </c>
      <c r="J764" s="20" t="s">
        <v>8953</v>
      </c>
      <c r="K764" s="20" t="s">
        <v>8989</v>
      </c>
      <c r="L764" s="21" t="s">
        <v>8955</v>
      </c>
      <c r="M764" s="20" t="s">
        <v>8956</v>
      </c>
      <c r="N764" s="20" t="s">
        <v>8959</v>
      </c>
      <c r="O764" s="20">
        <f t="shared" si="11"/>
        <v>7</v>
      </c>
      <c r="P764" s="22" t="s">
        <v>8958</v>
      </c>
      <c r="Q764" s="21" t="s">
        <v>9061</v>
      </c>
      <c r="R764" s="23" t="s">
        <v>9213</v>
      </c>
      <c r="S764" s="24" t="s">
        <v>11023</v>
      </c>
      <c r="T764" s="24" t="str">
        <f>VLOOKUP(R764,[1]Sheet3!$A$2:$A$47,1,0)</f>
        <v>South Korea</v>
      </c>
      <c r="U764" s="24" t="s">
        <v>13582</v>
      </c>
      <c r="V764" s="24" t="s">
        <v>13583</v>
      </c>
      <c r="W764" s="18" t="s">
        <v>8964</v>
      </c>
      <c r="X764" s="26" t="s">
        <v>496</v>
      </c>
      <c r="Y764" s="18" t="s">
        <v>11026</v>
      </c>
      <c r="Z764" s="24" t="s">
        <v>4</v>
      </c>
    </row>
    <row r="765" spans="1:26" ht="20.100000000000001" customHeight="1" x14ac:dyDescent="0.2">
      <c r="A765" s="18" t="s">
        <v>13584</v>
      </c>
      <c r="B765" s="19" t="s">
        <v>13585</v>
      </c>
      <c r="C765" s="19" t="s">
        <v>13586</v>
      </c>
      <c r="D765" s="8" t="s">
        <v>9035</v>
      </c>
      <c r="E765" s="20" t="s">
        <v>8998</v>
      </c>
      <c r="F765" s="20" t="s">
        <v>8950</v>
      </c>
      <c r="G765" s="20" t="s">
        <v>9292</v>
      </c>
      <c r="H765" s="53">
        <v>7983</v>
      </c>
      <c r="I765" s="20" t="s">
        <v>9019</v>
      </c>
      <c r="J765" s="20" t="s">
        <v>9059</v>
      </c>
      <c r="K765" s="20" t="s">
        <v>8989</v>
      </c>
      <c r="L765" s="21" t="s">
        <v>8955</v>
      </c>
      <c r="M765" s="20" t="s">
        <v>8956</v>
      </c>
      <c r="N765" s="20" t="s">
        <v>8957</v>
      </c>
      <c r="O765" s="20">
        <f t="shared" si="11"/>
        <v>10</v>
      </c>
      <c r="P765" s="22" t="s">
        <v>8975</v>
      </c>
      <c r="Q765" s="21" t="s">
        <v>8959</v>
      </c>
      <c r="R765" s="23" t="s">
        <v>9650</v>
      </c>
      <c r="S765" s="24" t="s">
        <v>13587</v>
      </c>
      <c r="T765" s="24" t="str">
        <f>VLOOKUP(R765,[1]Sheet3!$A$2:$A$47,1,0)</f>
        <v>Spain</v>
      </c>
      <c r="U765" s="24" t="s">
        <v>13588</v>
      </c>
      <c r="V765" s="24" t="s">
        <v>13589</v>
      </c>
      <c r="W765" s="18" t="s">
        <v>8964</v>
      </c>
      <c r="X765" s="26" t="s">
        <v>752</v>
      </c>
      <c r="Y765" s="18" t="s">
        <v>13590</v>
      </c>
      <c r="Z765" s="24" t="s">
        <v>11</v>
      </c>
    </row>
    <row r="766" spans="1:26" ht="20.100000000000001" customHeight="1" x14ac:dyDescent="0.2">
      <c r="B766" s="19" t="s">
        <v>13591</v>
      </c>
      <c r="C766" s="19" t="s">
        <v>13592</v>
      </c>
      <c r="D766" s="8" t="s">
        <v>9605</v>
      </c>
      <c r="E766" s="20" t="s">
        <v>8949</v>
      </c>
      <c r="F766" s="20" t="s">
        <v>8950</v>
      </c>
      <c r="G766" s="20" t="s">
        <v>9292</v>
      </c>
      <c r="H766" s="53">
        <v>3000</v>
      </c>
      <c r="I766" s="20" t="s">
        <v>8952</v>
      </c>
      <c r="J766" s="20" t="s">
        <v>8953</v>
      </c>
      <c r="K766" s="20" t="s">
        <v>8989</v>
      </c>
      <c r="L766" s="21" t="s">
        <v>8955</v>
      </c>
      <c r="M766" s="20" t="s">
        <v>8990</v>
      </c>
      <c r="N766" s="20" t="s">
        <v>8959</v>
      </c>
      <c r="O766" s="20">
        <f t="shared" si="11"/>
        <v>7</v>
      </c>
      <c r="P766" s="22" t="s">
        <v>8958</v>
      </c>
      <c r="Q766" s="21" t="s">
        <v>8959</v>
      </c>
      <c r="R766" s="23" t="s">
        <v>9317</v>
      </c>
      <c r="S766" s="24" t="s">
        <v>13132</v>
      </c>
      <c r="T766" s="24" t="str">
        <f>VLOOKUP(R766,[1]Sheet3!$A$2:$A$47,1,0)</f>
        <v>Germany</v>
      </c>
      <c r="U766" s="24" t="s">
        <v>13593</v>
      </c>
      <c r="V766" s="24" t="s">
        <v>13594</v>
      </c>
      <c r="W766" s="18" t="s">
        <v>8964</v>
      </c>
      <c r="X766" s="26" t="s">
        <v>308</v>
      </c>
      <c r="Y766" s="18" t="s">
        <v>13135</v>
      </c>
      <c r="Z766" s="24" t="s">
        <v>4</v>
      </c>
    </row>
    <row r="767" spans="1:26" ht="20.100000000000001" customHeight="1" x14ac:dyDescent="0.2">
      <c r="A767" s="18" t="s">
        <v>13595</v>
      </c>
      <c r="B767" s="19" t="s">
        <v>13596</v>
      </c>
      <c r="C767" s="19" t="s">
        <v>13597</v>
      </c>
      <c r="D767" s="8" t="s">
        <v>9100</v>
      </c>
      <c r="E767" s="20" t="s">
        <v>8998</v>
      </c>
      <c r="F767" s="20" t="s">
        <v>9018</v>
      </c>
      <c r="G767" s="20" t="s">
        <v>8987</v>
      </c>
      <c r="H767" s="53">
        <v>1000</v>
      </c>
      <c r="I767" s="20" t="s">
        <v>9077</v>
      </c>
      <c r="J767" s="20" t="s">
        <v>8953</v>
      </c>
      <c r="K767" s="20" t="s">
        <v>8989</v>
      </c>
      <c r="L767" s="21" t="s">
        <v>8955</v>
      </c>
      <c r="M767" s="20" t="s">
        <v>8956</v>
      </c>
      <c r="N767" s="20" t="s">
        <v>9060</v>
      </c>
      <c r="O767" s="20">
        <f t="shared" si="11"/>
        <v>7</v>
      </c>
      <c r="P767" s="22" t="s">
        <v>8958</v>
      </c>
      <c r="Q767" s="21" t="s">
        <v>9009</v>
      </c>
      <c r="R767" s="23" t="s">
        <v>9010</v>
      </c>
      <c r="S767" s="24" t="s">
        <v>12128</v>
      </c>
      <c r="T767" s="24" t="str">
        <f>VLOOKUP(R767,[1]Sheet3!$A$2:$A$47,1,0)</f>
        <v>the United States of America</v>
      </c>
      <c r="U767" s="24" t="s">
        <v>13598</v>
      </c>
      <c r="V767" s="24" t="s">
        <v>13599</v>
      </c>
      <c r="W767" s="18" t="s">
        <v>8964</v>
      </c>
      <c r="X767" s="26" t="s">
        <v>493</v>
      </c>
      <c r="Y767" s="18" t="s">
        <v>12131</v>
      </c>
      <c r="Z767" s="24" t="s">
        <v>4</v>
      </c>
    </row>
    <row r="768" spans="1:26" ht="20.100000000000001" customHeight="1" x14ac:dyDescent="0.2">
      <c r="A768" s="18" t="s">
        <v>13600</v>
      </c>
      <c r="B768" s="19" t="s">
        <v>13601</v>
      </c>
      <c r="C768" s="19" t="s">
        <v>13602</v>
      </c>
      <c r="D768" s="8" t="s">
        <v>9100</v>
      </c>
      <c r="E768" s="20" t="s">
        <v>8949</v>
      </c>
      <c r="F768" s="20" t="s">
        <v>8950</v>
      </c>
      <c r="G768" s="20" t="s">
        <v>8951</v>
      </c>
      <c r="H768" s="53">
        <v>99707</v>
      </c>
      <c r="I768" s="20" t="s">
        <v>9019</v>
      </c>
      <c r="J768" s="20" t="s">
        <v>8953</v>
      </c>
      <c r="K768" s="20" t="s">
        <v>8954</v>
      </c>
      <c r="L768" s="21" t="s">
        <v>8955</v>
      </c>
      <c r="M768" s="20" t="s">
        <v>8956</v>
      </c>
      <c r="N768" s="20" t="s">
        <v>8957</v>
      </c>
      <c r="O768" s="20">
        <f t="shared" si="11"/>
        <v>7</v>
      </c>
      <c r="P768" s="22" t="s">
        <v>8958</v>
      </c>
      <c r="Q768" s="21" t="s">
        <v>8959</v>
      </c>
      <c r="R768" s="23" t="s">
        <v>9310</v>
      </c>
      <c r="S768" s="24" t="s">
        <v>9255</v>
      </c>
      <c r="T768" s="24" t="str">
        <f>VLOOKUP(R768,[1]Sheet3!$A$2:$A$47,1,0)</f>
        <v>China</v>
      </c>
      <c r="U768" s="24" t="s">
        <v>13603</v>
      </c>
      <c r="V768" s="24" t="s">
        <v>13604</v>
      </c>
      <c r="W768" s="18" t="s">
        <v>8964</v>
      </c>
      <c r="X768" s="26" t="s">
        <v>24</v>
      </c>
      <c r="Y768" s="18" t="s">
        <v>9258</v>
      </c>
      <c r="Z768" s="24" t="s">
        <v>4</v>
      </c>
    </row>
    <row r="769" spans="1:26" ht="20.100000000000001" customHeight="1" x14ac:dyDescent="0.2">
      <c r="A769" s="18" t="s">
        <v>13605</v>
      </c>
      <c r="B769" s="19" t="s">
        <v>13606</v>
      </c>
      <c r="C769" s="19" t="s">
        <v>13607</v>
      </c>
      <c r="D769" s="8" t="s">
        <v>8984</v>
      </c>
      <c r="E769" s="20" t="s">
        <v>8998</v>
      </c>
      <c r="F769" s="20" t="s">
        <v>8950</v>
      </c>
      <c r="G769" s="20" t="s">
        <v>8951</v>
      </c>
      <c r="H769" s="53">
        <v>246</v>
      </c>
      <c r="I769" s="20" t="s">
        <v>9158</v>
      </c>
      <c r="J769" s="20" t="s">
        <v>8953</v>
      </c>
      <c r="K769" s="20" t="s">
        <v>8954</v>
      </c>
      <c r="L769" s="21" t="s">
        <v>8955</v>
      </c>
      <c r="M769" s="20" t="s">
        <v>8956</v>
      </c>
      <c r="N769" s="20" t="s">
        <v>8957</v>
      </c>
      <c r="O769" s="20">
        <f t="shared" si="11"/>
        <v>5</v>
      </c>
      <c r="P769" s="22" t="s">
        <v>8958</v>
      </c>
      <c r="Q769" s="21" t="s">
        <v>8959</v>
      </c>
      <c r="R769" s="23" t="s">
        <v>9387</v>
      </c>
      <c r="S769" s="24" t="s">
        <v>9342</v>
      </c>
      <c r="T769" s="24" t="str">
        <f>VLOOKUP(R769,[1]Sheet3!$A$2:$A$47,1,0)</f>
        <v>Israel</v>
      </c>
      <c r="U769" s="24" t="s">
        <v>13608</v>
      </c>
      <c r="V769" s="24" t="s">
        <v>13609</v>
      </c>
      <c r="W769" s="18" t="s">
        <v>8964</v>
      </c>
      <c r="X769" s="26" t="s">
        <v>64</v>
      </c>
      <c r="Y769" s="18" t="s">
        <v>9345</v>
      </c>
      <c r="Z769" s="24" t="s">
        <v>4</v>
      </c>
    </row>
    <row r="770" spans="1:26" ht="20.100000000000001" customHeight="1" x14ac:dyDescent="0.2">
      <c r="A770" s="18" t="s">
        <v>13610</v>
      </c>
      <c r="B770" s="19" t="s">
        <v>13611</v>
      </c>
      <c r="C770" s="19" t="s">
        <v>13612</v>
      </c>
      <c r="D770" s="8" t="s">
        <v>9092</v>
      </c>
      <c r="E770" s="20" t="s">
        <v>8971</v>
      </c>
      <c r="F770" s="20" t="s">
        <v>9036</v>
      </c>
      <c r="G770" s="20" t="s">
        <v>8987</v>
      </c>
      <c r="H770" s="53">
        <v>80</v>
      </c>
      <c r="I770" s="20" t="s">
        <v>9008</v>
      </c>
      <c r="J770" s="20" t="s">
        <v>9059</v>
      </c>
      <c r="K770" s="20" t="s">
        <v>8989</v>
      </c>
      <c r="L770" s="21" t="s">
        <v>8955</v>
      </c>
      <c r="M770" s="20" t="s">
        <v>8956</v>
      </c>
      <c r="N770" s="20" t="s">
        <v>9060</v>
      </c>
      <c r="O770" s="20">
        <f t="shared" ref="O770:O833" si="12">1+LEN(V770)-LEN(SUBSTITUTE(V770,";",))</f>
        <v>4</v>
      </c>
      <c r="P770" s="22" t="s">
        <v>8958</v>
      </c>
      <c r="Q770" s="21" t="s">
        <v>8959</v>
      </c>
      <c r="R770" s="23" t="s">
        <v>9010</v>
      </c>
      <c r="S770" s="18" t="s">
        <v>9228</v>
      </c>
      <c r="T770" s="24" t="str">
        <f>VLOOKUP(R770,[1]Sheet3!$A$2:$A$47,1,0)</f>
        <v>the United States of America</v>
      </c>
      <c r="U770" s="18" t="s">
        <v>13613</v>
      </c>
      <c r="V770" s="18" t="s">
        <v>13614</v>
      </c>
      <c r="W770" s="18" t="s">
        <v>8964</v>
      </c>
      <c r="X770" s="18" t="s">
        <v>110</v>
      </c>
      <c r="Y770" s="18" t="s">
        <v>9231</v>
      </c>
      <c r="Z770" s="18" t="s">
        <v>4</v>
      </c>
    </row>
    <row r="771" spans="1:26" ht="20.100000000000001" customHeight="1" x14ac:dyDescent="0.2">
      <c r="A771" s="18" t="s">
        <v>13615</v>
      </c>
      <c r="B771" s="19" t="s">
        <v>13616</v>
      </c>
      <c r="C771" s="19" t="s">
        <v>13617</v>
      </c>
      <c r="D771" s="8" t="s">
        <v>8948</v>
      </c>
      <c r="E771" s="20" t="s">
        <v>8949</v>
      </c>
      <c r="F771" s="20" t="s">
        <v>13618</v>
      </c>
      <c r="G771" s="20" t="s">
        <v>9464</v>
      </c>
      <c r="H771" s="53">
        <v>5275</v>
      </c>
      <c r="I771" s="20" t="s">
        <v>9019</v>
      </c>
      <c r="J771" s="20" t="s">
        <v>8953</v>
      </c>
      <c r="K771" s="20" t="s">
        <v>8989</v>
      </c>
      <c r="L771" s="21" t="s">
        <v>8955</v>
      </c>
      <c r="M771" s="20" t="s">
        <v>8956</v>
      </c>
      <c r="N771" s="20" t="s">
        <v>8957</v>
      </c>
      <c r="O771" s="20">
        <f t="shared" si="12"/>
        <v>8</v>
      </c>
      <c r="P771" s="22" t="s">
        <v>8975</v>
      </c>
      <c r="Q771" s="21" t="s">
        <v>8959</v>
      </c>
      <c r="R771" s="23" t="s">
        <v>9010</v>
      </c>
      <c r="S771" s="24" t="s">
        <v>8961</v>
      </c>
      <c r="T771" s="24" t="str">
        <f>VLOOKUP(R771,[1]Sheet3!$A$2:$A$47,1,0)</f>
        <v>the United States of America</v>
      </c>
      <c r="U771" s="24" t="s">
        <v>13619</v>
      </c>
      <c r="V771" s="24" t="s">
        <v>13620</v>
      </c>
      <c r="W771" s="18" t="s">
        <v>8964</v>
      </c>
      <c r="X771" s="26" t="s">
        <v>126</v>
      </c>
      <c r="Y771" s="18" t="s">
        <v>8966</v>
      </c>
      <c r="Z771" s="24" t="s">
        <v>4</v>
      </c>
    </row>
    <row r="772" spans="1:26" ht="20.100000000000001" customHeight="1" x14ac:dyDescent="0.2">
      <c r="A772" s="18" t="s">
        <v>13621</v>
      </c>
      <c r="B772" s="19" t="s">
        <v>13622</v>
      </c>
      <c r="C772" s="19" t="s">
        <v>13623</v>
      </c>
      <c r="D772" s="8" t="s">
        <v>9092</v>
      </c>
      <c r="E772" s="33" t="s">
        <v>9101</v>
      </c>
      <c r="F772" s="20" t="s">
        <v>8950</v>
      </c>
      <c r="G772" s="20" t="s">
        <v>9292</v>
      </c>
      <c r="H772" s="53">
        <v>39</v>
      </c>
      <c r="I772" s="20" t="s">
        <v>9008</v>
      </c>
      <c r="J772" s="20" t="s">
        <v>9059</v>
      </c>
      <c r="K772" s="20" t="s">
        <v>8989</v>
      </c>
      <c r="L772" s="21" t="s">
        <v>8955</v>
      </c>
      <c r="M772" s="20" t="s">
        <v>8956</v>
      </c>
      <c r="N772" s="20" t="s">
        <v>8959</v>
      </c>
      <c r="O772" s="20">
        <f t="shared" si="12"/>
        <v>6</v>
      </c>
      <c r="P772" s="22" t="s">
        <v>8958</v>
      </c>
      <c r="Q772" s="21" t="s">
        <v>9009</v>
      </c>
      <c r="R772" s="23" t="s">
        <v>9333</v>
      </c>
      <c r="S772" s="24" t="s">
        <v>9042</v>
      </c>
      <c r="T772" s="24" t="str">
        <f>VLOOKUP(R772,[1]Sheet3!$A$2:$A$47,1,0)</f>
        <v>Japan</v>
      </c>
      <c r="U772" s="24" t="s">
        <v>13624</v>
      </c>
      <c r="V772" s="24" t="s">
        <v>13625</v>
      </c>
      <c r="W772" s="18" t="s">
        <v>8964</v>
      </c>
      <c r="X772" s="26" t="s">
        <v>322</v>
      </c>
      <c r="Y772" s="18" t="s">
        <v>9045</v>
      </c>
      <c r="Z772" s="24" t="s">
        <v>4</v>
      </c>
    </row>
    <row r="773" spans="1:26" ht="20.100000000000001" customHeight="1" x14ac:dyDescent="0.2">
      <c r="A773" s="18" t="s">
        <v>13626</v>
      </c>
      <c r="B773" s="19" t="s">
        <v>13627</v>
      </c>
      <c r="C773" s="19" t="s">
        <v>13628</v>
      </c>
      <c r="D773" s="8" t="s">
        <v>9605</v>
      </c>
      <c r="E773" s="20" t="s">
        <v>9101</v>
      </c>
      <c r="F773" s="20" t="s">
        <v>8950</v>
      </c>
      <c r="G773" s="20" t="s">
        <v>8987</v>
      </c>
      <c r="H773" s="53">
        <v>240</v>
      </c>
      <c r="I773" s="20" t="s">
        <v>9158</v>
      </c>
      <c r="J773" s="20" t="s">
        <v>8953</v>
      </c>
      <c r="K773" s="20" t="s">
        <v>8989</v>
      </c>
      <c r="L773" s="21" t="s">
        <v>8955</v>
      </c>
      <c r="M773" s="20" t="s">
        <v>8956</v>
      </c>
      <c r="N773" s="20" t="s">
        <v>9060</v>
      </c>
      <c r="O773" s="20">
        <f t="shared" si="12"/>
        <v>5</v>
      </c>
      <c r="P773" s="22" t="s">
        <v>8958</v>
      </c>
      <c r="Q773" s="21" t="s">
        <v>9009</v>
      </c>
      <c r="R773" s="23" t="s">
        <v>9010</v>
      </c>
      <c r="S773" s="24" t="s">
        <v>13629</v>
      </c>
      <c r="T773" s="24" t="str">
        <f>VLOOKUP(R773,[1]Sheet3!$A$2:$A$47,1,0)</f>
        <v>the United States of America</v>
      </c>
      <c r="U773" s="24" t="s">
        <v>13630</v>
      </c>
      <c r="V773" s="24" t="s">
        <v>13631</v>
      </c>
      <c r="W773" s="18" t="s">
        <v>8964</v>
      </c>
      <c r="X773" s="26" t="s">
        <v>1889</v>
      </c>
      <c r="Y773" s="18" t="s">
        <v>13632</v>
      </c>
      <c r="Z773" s="24" t="s">
        <v>4</v>
      </c>
    </row>
    <row r="774" spans="1:26" ht="20.100000000000001" customHeight="1" x14ac:dyDescent="0.2">
      <c r="A774" s="18" t="s">
        <v>13633</v>
      </c>
      <c r="B774" s="19" t="s">
        <v>13634</v>
      </c>
      <c r="C774" s="19" t="s">
        <v>13635</v>
      </c>
      <c r="D774" s="8" t="s">
        <v>8984</v>
      </c>
      <c r="E774" s="20" t="s">
        <v>8998</v>
      </c>
      <c r="F774" s="20" t="s">
        <v>8950</v>
      </c>
      <c r="G774" s="20" t="s">
        <v>8951</v>
      </c>
      <c r="H774" s="53">
        <v>2210</v>
      </c>
      <c r="I774" s="20" t="s">
        <v>8952</v>
      </c>
      <c r="J774" s="20" t="s">
        <v>8953</v>
      </c>
      <c r="K774" s="20" t="s">
        <v>8989</v>
      </c>
      <c r="L774" s="21" t="s">
        <v>8955</v>
      </c>
      <c r="M774" s="20" t="s">
        <v>8956</v>
      </c>
      <c r="N774" s="20" t="s">
        <v>8959</v>
      </c>
      <c r="O774" s="20">
        <f t="shared" si="12"/>
        <v>4</v>
      </c>
      <c r="P774" s="22" t="s">
        <v>8958</v>
      </c>
      <c r="Q774" s="21" t="s">
        <v>9061</v>
      </c>
      <c r="R774" s="23" t="s">
        <v>9010</v>
      </c>
      <c r="S774" s="18" t="s">
        <v>10341</v>
      </c>
      <c r="T774" s="24" t="str">
        <f>VLOOKUP(R774,[1]Sheet3!$A$2:$A$47,1,0)</f>
        <v>the United States of America</v>
      </c>
      <c r="U774" s="18" t="s">
        <v>13636</v>
      </c>
      <c r="V774" s="18" t="s">
        <v>13637</v>
      </c>
      <c r="W774" s="18" t="s">
        <v>8964</v>
      </c>
      <c r="X774" s="18" t="s">
        <v>891</v>
      </c>
      <c r="Y774" s="18" t="s">
        <v>10344</v>
      </c>
      <c r="Z774" s="18" t="s">
        <v>11</v>
      </c>
    </row>
    <row r="775" spans="1:26" ht="20.100000000000001" customHeight="1" x14ac:dyDescent="0.2">
      <c r="A775" s="18" t="s">
        <v>13638</v>
      </c>
      <c r="B775" s="19" t="s">
        <v>13639</v>
      </c>
      <c r="C775" s="19" t="s">
        <v>13640</v>
      </c>
      <c r="D775" s="8" t="s">
        <v>9075</v>
      </c>
      <c r="E775" s="20" t="s">
        <v>8998</v>
      </c>
      <c r="F775" s="20" t="s">
        <v>9036</v>
      </c>
      <c r="G775" s="20" t="s">
        <v>9133</v>
      </c>
      <c r="H775" s="53">
        <v>6700</v>
      </c>
      <c r="I775" s="20" t="s">
        <v>9019</v>
      </c>
      <c r="J775" s="20" t="s">
        <v>8953</v>
      </c>
      <c r="K775" s="20" t="s">
        <v>8954</v>
      </c>
      <c r="L775" s="21" t="s">
        <v>9182</v>
      </c>
      <c r="M775" s="20" t="s">
        <v>8956</v>
      </c>
      <c r="N775" s="20" t="s">
        <v>8957</v>
      </c>
      <c r="O775" s="20">
        <f t="shared" si="12"/>
        <v>9</v>
      </c>
      <c r="P775" s="22" t="s">
        <v>8975</v>
      </c>
      <c r="Q775" s="21" t="s">
        <v>9061</v>
      </c>
      <c r="R775" s="23" t="s">
        <v>9010</v>
      </c>
      <c r="S775" s="24" t="s">
        <v>9255</v>
      </c>
      <c r="T775" s="24" t="str">
        <f>VLOOKUP(R775,[1]Sheet3!$A$2:$A$47,1,0)</f>
        <v>the United States of America</v>
      </c>
      <c r="U775" s="24" t="s">
        <v>13641</v>
      </c>
      <c r="V775" s="24" t="s">
        <v>13642</v>
      </c>
      <c r="W775" s="18" t="s">
        <v>8964</v>
      </c>
      <c r="X775" s="26" t="s">
        <v>24</v>
      </c>
      <c r="Y775" s="18" t="s">
        <v>9258</v>
      </c>
      <c r="Z775" s="24" t="s">
        <v>4</v>
      </c>
    </row>
    <row r="776" spans="1:26" ht="20.100000000000001" customHeight="1" x14ac:dyDescent="0.2">
      <c r="A776" s="18" t="s">
        <v>13643</v>
      </c>
      <c r="B776" s="19" t="s">
        <v>13644</v>
      </c>
      <c r="C776" s="19" t="s">
        <v>13645</v>
      </c>
      <c r="D776" s="8" t="s">
        <v>9154</v>
      </c>
      <c r="E776" s="20" t="s">
        <v>8998</v>
      </c>
      <c r="F776" s="20" t="s">
        <v>9510</v>
      </c>
      <c r="G776" s="20" t="s">
        <v>8951</v>
      </c>
      <c r="H776" s="53">
        <v>28</v>
      </c>
      <c r="I776" s="20" t="s">
        <v>9008</v>
      </c>
      <c r="J776" s="20" t="s">
        <v>9059</v>
      </c>
      <c r="K776" s="20" t="s">
        <v>8989</v>
      </c>
      <c r="L776" s="21" t="s">
        <v>8955</v>
      </c>
      <c r="M776" s="20" t="s">
        <v>8956</v>
      </c>
      <c r="N776" s="20" t="s">
        <v>8974</v>
      </c>
      <c r="O776" s="20">
        <f t="shared" si="12"/>
        <v>7</v>
      </c>
      <c r="P776" s="22" t="s">
        <v>8958</v>
      </c>
      <c r="Q776" s="21" t="s">
        <v>9009</v>
      </c>
      <c r="R776" s="23" t="s">
        <v>9465</v>
      </c>
      <c r="S776" s="24" t="s">
        <v>13646</v>
      </c>
      <c r="T776" s="24" t="str">
        <f>VLOOKUP(R776,[1]Sheet3!$A$2:$A$47,1,0)</f>
        <v>Switzerland</v>
      </c>
      <c r="U776" s="24" t="s">
        <v>13647</v>
      </c>
      <c r="V776" s="24" t="s">
        <v>13648</v>
      </c>
      <c r="W776" s="18" t="s">
        <v>8964</v>
      </c>
      <c r="X776" s="26" t="s">
        <v>1881</v>
      </c>
      <c r="Y776" s="18" t="s">
        <v>13649</v>
      </c>
      <c r="Z776" s="24" t="s">
        <v>4</v>
      </c>
    </row>
    <row r="777" spans="1:26" ht="20.100000000000001" customHeight="1" x14ac:dyDescent="0.2">
      <c r="A777" s="18" t="s">
        <v>13650</v>
      </c>
      <c r="B777" s="19" t="s">
        <v>13651</v>
      </c>
      <c r="C777" s="19" t="s">
        <v>13652</v>
      </c>
      <c r="D777" s="8" t="s">
        <v>8984</v>
      </c>
      <c r="E777" s="20" t="s">
        <v>8971</v>
      </c>
      <c r="F777" s="20" t="s">
        <v>8950</v>
      </c>
      <c r="G777" s="20" t="s">
        <v>9292</v>
      </c>
      <c r="H777" s="57">
        <v>170000</v>
      </c>
      <c r="I777" s="20" t="s">
        <v>9019</v>
      </c>
      <c r="J777" s="20" t="s">
        <v>8953</v>
      </c>
      <c r="K777" s="20" t="s">
        <v>8954</v>
      </c>
      <c r="L777" s="21" t="s">
        <v>8955</v>
      </c>
      <c r="M777" s="20" t="s">
        <v>8956</v>
      </c>
      <c r="N777" s="20" t="s">
        <v>8957</v>
      </c>
      <c r="O777" s="20">
        <f t="shared" si="12"/>
        <v>4</v>
      </c>
      <c r="P777" s="22" t="s">
        <v>8958</v>
      </c>
      <c r="Q777" s="21" t="s">
        <v>8959</v>
      </c>
      <c r="R777" s="23" t="s">
        <v>9380</v>
      </c>
      <c r="S777" s="18" t="s">
        <v>9159</v>
      </c>
      <c r="T777" s="24" t="str">
        <f>VLOOKUP(R777,[1]Sheet3!$A$2:$A$47,1,0)</f>
        <v>Canada</v>
      </c>
      <c r="U777" s="18" t="s">
        <v>13653</v>
      </c>
      <c r="V777" s="18" t="s">
        <v>13654</v>
      </c>
      <c r="W777" s="18" t="s">
        <v>8964</v>
      </c>
      <c r="X777" s="18" t="s">
        <v>61</v>
      </c>
      <c r="Y777" s="18" t="s">
        <v>9162</v>
      </c>
      <c r="Z777" s="18" t="s">
        <v>11</v>
      </c>
    </row>
    <row r="778" spans="1:26" ht="20.100000000000001" customHeight="1" x14ac:dyDescent="0.2">
      <c r="A778" s="18" t="s">
        <v>13655</v>
      </c>
      <c r="B778" s="19" t="s">
        <v>13656</v>
      </c>
      <c r="C778" s="19" t="s">
        <v>13657</v>
      </c>
      <c r="D778" s="8" t="s">
        <v>8948</v>
      </c>
      <c r="E778" s="20" t="s">
        <v>8949</v>
      </c>
      <c r="F778" s="20" t="s">
        <v>9510</v>
      </c>
      <c r="G778" s="20" t="s">
        <v>8951</v>
      </c>
      <c r="H778" s="53">
        <v>359</v>
      </c>
      <c r="I778" s="20" t="s">
        <v>8988</v>
      </c>
      <c r="J778" s="20" t="s">
        <v>8953</v>
      </c>
      <c r="K778" s="20" t="s">
        <v>8954</v>
      </c>
      <c r="L778" s="21" t="s">
        <v>8955</v>
      </c>
      <c r="M778" s="20" t="s">
        <v>8956</v>
      </c>
      <c r="N778" s="20" t="s">
        <v>8957</v>
      </c>
      <c r="O778" s="20">
        <f t="shared" si="12"/>
        <v>9</v>
      </c>
      <c r="P778" s="22" t="s">
        <v>8975</v>
      </c>
      <c r="Q778" s="21" t="s">
        <v>8959</v>
      </c>
      <c r="R778" s="23" t="s">
        <v>9380</v>
      </c>
      <c r="S778" s="24" t="s">
        <v>9711</v>
      </c>
      <c r="T778" s="24" t="str">
        <f>VLOOKUP(R778,[1]Sheet3!$A$2:$A$47,1,0)</f>
        <v>Canada</v>
      </c>
      <c r="U778" s="24" t="s">
        <v>13658</v>
      </c>
      <c r="V778" s="24" t="s">
        <v>13659</v>
      </c>
      <c r="W778" s="18" t="s">
        <v>8964</v>
      </c>
      <c r="X778" s="26" t="s">
        <v>392</v>
      </c>
      <c r="Y778" s="18" t="s">
        <v>9714</v>
      </c>
      <c r="Z778" s="24" t="s">
        <v>11</v>
      </c>
    </row>
    <row r="779" spans="1:26" ht="20.100000000000001" customHeight="1" x14ac:dyDescent="0.2">
      <c r="A779" s="18" t="s">
        <v>13660</v>
      </c>
      <c r="B779" s="19" t="s">
        <v>13661</v>
      </c>
      <c r="C779" s="19" t="s">
        <v>13662</v>
      </c>
      <c r="D779" s="8" t="s">
        <v>9035</v>
      </c>
      <c r="E779" s="20" t="s">
        <v>8998</v>
      </c>
      <c r="F779" s="20" t="s">
        <v>8950</v>
      </c>
      <c r="G779" s="20" t="s">
        <v>8951</v>
      </c>
      <c r="H779" s="53">
        <v>138</v>
      </c>
      <c r="I779" s="20">
        <v>138</v>
      </c>
      <c r="J779" s="20" t="s">
        <v>8953</v>
      </c>
      <c r="K779" s="20" t="s">
        <v>8954</v>
      </c>
      <c r="L779" s="21" t="s">
        <v>8955</v>
      </c>
      <c r="M779" s="20" t="s">
        <v>8956</v>
      </c>
      <c r="N779" s="20" t="s">
        <v>8957</v>
      </c>
      <c r="O779" s="20">
        <f t="shared" si="12"/>
        <v>2</v>
      </c>
      <c r="P779" s="22" t="s">
        <v>9103</v>
      </c>
      <c r="Q779" s="21" t="s">
        <v>8959</v>
      </c>
      <c r="R779" s="23" t="s">
        <v>12547</v>
      </c>
      <c r="S779" s="24" t="s">
        <v>9052</v>
      </c>
      <c r="T779" s="24" t="str">
        <f>VLOOKUP(R779,[1]Sheet3!$A$2:$A$47,1,0)</f>
        <v>Brazil</v>
      </c>
      <c r="U779" s="24" t="s">
        <v>13663</v>
      </c>
      <c r="V779" s="24" t="s">
        <v>13664</v>
      </c>
      <c r="W779" s="18" t="s">
        <v>8964</v>
      </c>
      <c r="X779" s="26" t="s">
        <v>74</v>
      </c>
      <c r="Y779" s="18" t="s">
        <v>9055</v>
      </c>
      <c r="Z779" s="24" t="s">
        <v>4</v>
      </c>
    </row>
    <row r="780" spans="1:26" ht="20.100000000000001" customHeight="1" x14ac:dyDescent="0.2">
      <c r="A780" s="18" t="s">
        <v>13665</v>
      </c>
      <c r="B780" s="19" t="s">
        <v>13666</v>
      </c>
      <c r="C780" s="19" t="s">
        <v>13667</v>
      </c>
      <c r="D780" s="8" t="s">
        <v>9100</v>
      </c>
      <c r="E780" s="33" t="s">
        <v>9101</v>
      </c>
      <c r="F780" s="20" t="s">
        <v>9036</v>
      </c>
      <c r="G780" s="20" t="s">
        <v>9464</v>
      </c>
      <c r="H780" s="53">
        <v>128</v>
      </c>
      <c r="I780" s="20" t="s">
        <v>9158</v>
      </c>
      <c r="J780" s="20" t="s">
        <v>8953</v>
      </c>
      <c r="K780" s="20" t="s">
        <v>8989</v>
      </c>
      <c r="L780" s="21" t="s">
        <v>8955</v>
      </c>
      <c r="M780" s="20" t="s">
        <v>8990</v>
      </c>
      <c r="N780" s="20" t="s">
        <v>9060</v>
      </c>
      <c r="O780" s="20">
        <f t="shared" si="12"/>
        <v>10</v>
      </c>
      <c r="P780" s="22" t="s">
        <v>8975</v>
      </c>
      <c r="Q780" s="21" t="s">
        <v>9009</v>
      </c>
      <c r="R780" s="23" t="s">
        <v>9213</v>
      </c>
      <c r="S780" s="24" t="s">
        <v>13668</v>
      </c>
      <c r="T780" s="24" t="str">
        <f>VLOOKUP(R780,[1]Sheet3!$A$2:$A$47,1,0)</f>
        <v>South Korea</v>
      </c>
      <c r="U780" s="24" t="s">
        <v>13669</v>
      </c>
      <c r="V780" s="24" t="s">
        <v>13670</v>
      </c>
      <c r="W780" s="18" t="s">
        <v>8964</v>
      </c>
      <c r="X780" s="26" t="s">
        <v>3386</v>
      </c>
      <c r="Y780" s="18" t="s">
        <v>13671</v>
      </c>
      <c r="Z780" s="24" t="s">
        <v>4</v>
      </c>
    </row>
    <row r="781" spans="1:26" ht="20.100000000000001" customHeight="1" x14ac:dyDescent="0.2">
      <c r="A781" s="18" t="s">
        <v>13672</v>
      </c>
      <c r="B781" s="19" t="s">
        <v>13673</v>
      </c>
      <c r="C781" s="19" t="s">
        <v>13674</v>
      </c>
      <c r="D781" s="8" t="s">
        <v>9252</v>
      </c>
      <c r="E781" s="20" t="s">
        <v>8971</v>
      </c>
      <c r="F781" s="20" t="s">
        <v>13675</v>
      </c>
      <c r="G781" s="20" t="s">
        <v>8951</v>
      </c>
      <c r="H781" s="53">
        <v>469</v>
      </c>
      <c r="I781" s="20" t="s">
        <v>8988</v>
      </c>
      <c r="J781" s="20" t="s">
        <v>8953</v>
      </c>
      <c r="K781" s="20" t="s">
        <v>8954</v>
      </c>
      <c r="L781" s="21" t="s">
        <v>8955</v>
      </c>
      <c r="M781" s="20" t="s">
        <v>8956</v>
      </c>
      <c r="N781" s="20" t="s">
        <v>8959</v>
      </c>
      <c r="O781" s="20">
        <f t="shared" si="12"/>
        <v>16</v>
      </c>
      <c r="P781" s="22" t="s">
        <v>8975</v>
      </c>
      <c r="Q781" s="21" t="s">
        <v>8959</v>
      </c>
      <c r="R781" s="23" t="s">
        <v>10873</v>
      </c>
      <c r="S781" s="24" t="s">
        <v>8992</v>
      </c>
      <c r="T781" s="24" t="str">
        <f>VLOOKUP(R781,[1]Sheet3!$A$2:$A$47,1,0)</f>
        <v>UK</v>
      </c>
      <c r="U781" s="24" t="s">
        <v>13676</v>
      </c>
      <c r="V781" s="24" t="s">
        <v>13677</v>
      </c>
      <c r="W781" s="18" t="s">
        <v>8964</v>
      </c>
      <c r="X781" s="26" t="s">
        <v>27</v>
      </c>
      <c r="Y781" s="18" t="s">
        <v>8994</v>
      </c>
      <c r="Z781" s="24" t="s">
        <v>11</v>
      </c>
    </row>
    <row r="782" spans="1:26" ht="20.100000000000001" customHeight="1" x14ac:dyDescent="0.2">
      <c r="A782" s="18" t="s">
        <v>13678</v>
      </c>
      <c r="B782" s="19" t="s">
        <v>13679</v>
      </c>
      <c r="C782" s="19" t="s">
        <v>13680</v>
      </c>
      <c r="D782" s="8" t="s">
        <v>9605</v>
      </c>
      <c r="E782" s="33" t="s">
        <v>9101</v>
      </c>
      <c r="F782" s="20" t="s">
        <v>8950</v>
      </c>
      <c r="G782" s="20" t="s">
        <v>8951</v>
      </c>
      <c r="H782" s="53">
        <v>1206</v>
      </c>
      <c r="I782" s="20" t="s">
        <v>8952</v>
      </c>
      <c r="J782" s="20" t="s">
        <v>8953</v>
      </c>
      <c r="K782" s="20" t="s">
        <v>8954</v>
      </c>
      <c r="L782" s="21" t="s">
        <v>8955</v>
      </c>
      <c r="M782" s="20" t="s">
        <v>8956</v>
      </c>
      <c r="N782" s="20" t="s">
        <v>8959</v>
      </c>
      <c r="O782" s="20">
        <f t="shared" si="12"/>
        <v>6</v>
      </c>
      <c r="P782" s="22" t="s">
        <v>8958</v>
      </c>
      <c r="Q782" s="21" t="s">
        <v>8959</v>
      </c>
      <c r="R782" s="23" t="s">
        <v>9010</v>
      </c>
      <c r="S782" s="18" t="s">
        <v>9643</v>
      </c>
      <c r="T782" s="24" t="str">
        <f>VLOOKUP(R782,[1]Sheet3!$A$2:$A$47,1,0)</f>
        <v>the United States of America</v>
      </c>
      <c r="U782" s="19" t="s">
        <v>13681</v>
      </c>
      <c r="V782" s="18" t="s">
        <v>13682</v>
      </c>
      <c r="W782" s="18" t="s">
        <v>8964</v>
      </c>
      <c r="X782" s="18" t="s">
        <v>4874</v>
      </c>
      <c r="Y782" s="18" t="s">
        <v>9646</v>
      </c>
      <c r="Z782" s="18" t="s">
        <v>4</v>
      </c>
    </row>
    <row r="783" spans="1:26" ht="20.100000000000001" customHeight="1" x14ac:dyDescent="0.2">
      <c r="A783" s="18" t="s">
        <v>13683</v>
      </c>
      <c r="B783" s="19" t="s">
        <v>13684</v>
      </c>
      <c r="C783" s="19" t="s">
        <v>13685</v>
      </c>
      <c r="D783" s="8" t="s">
        <v>8948</v>
      </c>
      <c r="E783" s="20" t="s">
        <v>8949</v>
      </c>
      <c r="F783" s="20" t="s">
        <v>10258</v>
      </c>
      <c r="G783" s="20" t="s">
        <v>9464</v>
      </c>
      <c r="H783" s="53">
        <v>155</v>
      </c>
      <c r="I783" s="20" t="s">
        <v>9158</v>
      </c>
      <c r="J783" s="20" t="s">
        <v>8953</v>
      </c>
      <c r="K783" s="20" t="s">
        <v>8989</v>
      </c>
      <c r="L783" s="21" t="s">
        <v>8955</v>
      </c>
      <c r="M783" s="20" t="s">
        <v>8956</v>
      </c>
      <c r="N783" s="20" t="s">
        <v>8957</v>
      </c>
      <c r="O783" s="20">
        <f t="shared" si="12"/>
        <v>6</v>
      </c>
      <c r="P783" s="22" t="s">
        <v>8958</v>
      </c>
      <c r="Q783" s="21" t="s">
        <v>9061</v>
      </c>
      <c r="R783" s="23" t="s">
        <v>9010</v>
      </c>
      <c r="S783" s="24" t="s">
        <v>9020</v>
      </c>
      <c r="T783" s="24" t="str">
        <f>VLOOKUP(R783,[1]Sheet3!$A$2:$A$47,1,0)</f>
        <v>the United States of America</v>
      </c>
      <c r="U783" s="24" t="s">
        <v>13686</v>
      </c>
      <c r="V783" s="24" t="s">
        <v>13687</v>
      </c>
      <c r="W783" s="18" t="s">
        <v>8964</v>
      </c>
      <c r="X783" s="26" t="s">
        <v>87</v>
      </c>
      <c r="Y783" s="18" t="s">
        <v>9023</v>
      </c>
      <c r="Z783" s="24" t="s">
        <v>4</v>
      </c>
    </row>
    <row r="784" spans="1:26" ht="20.100000000000001" customHeight="1" x14ac:dyDescent="0.2">
      <c r="A784" s="18" t="s">
        <v>13688</v>
      </c>
      <c r="B784" s="19" t="s">
        <v>13689</v>
      </c>
      <c r="C784" s="19" t="s">
        <v>13690</v>
      </c>
      <c r="D784" s="8" t="s">
        <v>8948</v>
      </c>
      <c r="E784" s="33" t="s">
        <v>12453</v>
      </c>
      <c r="F784" s="33" t="s">
        <v>8950</v>
      </c>
      <c r="G784" s="20" t="s">
        <v>9464</v>
      </c>
      <c r="H784" s="53" t="s">
        <v>9479</v>
      </c>
      <c r="I784" s="20" t="s">
        <v>13691</v>
      </c>
      <c r="J784" s="20" t="s">
        <v>13691</v>
      </c>
      <c r="K784" s="20" t="s">
        <v>8954</v>
      </c>
      <c r="L784" s="21" t="s">
        <v>8955</v>
      </c>
      <c r="M784" s="20" t="s">
        <v>8956</v>
      </c>
      <c r="N784" s="20" t="s">
        <v>8957</v>
      </c>
      <c r="O784" s="20">
        <f t="shared" si="12"/>
        <v>9</v>
      </c>
      <c r="P784" s="22" t="s">
        <v>8975</v>
      </c>
      <c r="Q784" s="21" t="s">
        <v>9009</v>
      </c>
      <c r="R784" s="23" t="s">
        <v>9317</v>
      </c>
      <c r="S784" s="24" t="s">
        <v>12923</v>
      </c>
      <c r="T784" s="24" t="str">
        <f>VLOOKUP(R784,[1]Sheet3!$A$2:$A$47,1,0)</f>
        <v>Germany</v>
      </c>
      <c r="U784" s="24" t="s">
        <v>13692</v>
      </c>
      <c r="V784" s="24" t="s">
        <v>13693</v>
      </c>
      <c r="W784" s="18" t="s">
        <v>8964</v>
      </c>
      <c r="X784" s="26" t="s">
        <v>2988</v>
      </c>
      <c r="Y784" s="18" t="s">
        <v>12926</v>
      </c>
      <c r="Z784" s="24" t="s">
        <v>4</v>
      </c>
    </row>
    <row r="785" spans="1:26" ht="20.100000000000001" customHeight="1" x14ac:dyDescent="0.2">
      <c r="A785" s="18" t="s">
        <v>13694</v>
      </c>
      <c r="B785" s="19" t="s">
        <v>13695</v>
      </c>
      <c r="C785" s="19" t="s">
        <v>13696</v>
      </c>
      <c r="D785" s="8" t="s">
        <v>8984</v>
      </c>
      <c r="E785" s="20" t="s">
        <v>8998</v>
      </c>
      <c r="F785" s="20" t="s">
        <v>11216</v>
      </c>
      <c r="G785" s="20" t="s">
        <v>8987</v>
      </c>
      <c r="H785" s="53">
        <v>71</v>
      </c>
      <c r="I785" s="20" t="s">
        <v>9008</v>
      </c>
      <c r="J785" s="20" t="s">
        <v>9059</v>
      </c>
      <c r="K785" s="20" t="s">
        <v>8989</v>
      </c>
      <c r="L785" s="21" t="s">
        <v>8955</v>
      </c>
      <c r="M785" s="20" t="s">
        <v>8956</v>
      </c>
      <c r="N785" s="20" t="s">
        <v>8974</v>
      </c>
      <c r="O785" s="20">
        <f t="shared" si="12"/>
        <v>8</v>
      </c>
      <c r="P785" s="22" t="s">
        <v>8975</v>
      </c>
      <c r="Q785" s="21" t="s">
        <v>9009</v>
      </c>
      <c r="R785" s="23" t="s">
        <v>9387</v>
      </c>
      <c r="S785" s="18" t="s">
        <v>13697</v>
      </c>
      <c r="T785" s="24" t="str">
        <f>VLOOKUP(R785,[1]Sheet3!$A$2:$A$47,1,0)</f>
        <v>Israel</v>
      </c>
      <c r="U785" s="18" t="s">
        <v>13698</v>
      </c>
      <c r="V785" s="18" t="s">
        <v>13699</v>
      </c>
      <c r="W785" s="18" t="s">
        <v>8964</v>
      </c>
      <c r="X785" s="18" t="s">
        <v>562</v>
      </c>
      <c r="Y785" s="18" t="s">
        <v>13700</v>
      </c>
      <c r="Z785" s="18" t="s">
        <v>4</v>
      </c>
    </row>
    <row r="786" spans="1:26" ht="20.100000000000001" customHeight="1" x14ac:dyDescent="0.2">
      <c r="A786" s="18" t="s">
        <v>13701</v>
      </c>
      <c r="B786" s="19" t="s">
        <v>13702</v>
      </c>
      <c r="C786" s="19" t="s">
        <v>13703</v>
      </c>
      <c r="D786" s="8" t="s">
        <v>8948</v>
      </c>
      <c r="E786" s="20" t="s">
        <v>8949</v>
      </c>
      <c r="F786" s="20" t="s">
        <v>8950</v>
      </c>
      <c r="G786" s="20" t="s">
        <v>9133</v>
      </c>
      <c r="H786" s="53">
        <v>1601</v>
      </c>
      <c r="I786" s="20" t="s">
        <v>8952</v>
      </c>
      <c r="J786" s="20" t="s">
        <v>8953</v>
      </c>
      <c r="K786" s="20" t="s">
        <v>8954</v>
      </c>
      <c r="L786" s="21" t="s">
        <v>8955</v>
      </c>
      <c r="M786" s="20" t="s">
        <v>8956</v>
      </c>
      <c r="N786" s="20" t="s">
        <v>8957</v>
      </c>
      <c r="O786" s="20">
        <f t="shared" si="12"/>
        <v>7</v>
      </c>
      <c r="P786" s="22" t="s">
        <v>8958</v>
      </c>
      <c r="Q786" s="21" t="s">
        <v>9009</v>
      </c>
      <c r="R786" s="23" t="s">
        <v>10873</v>
      </c>
      <c r="S786" s="24" t="s">
        <v>9711</v>
      </c>
      <c r="T786" s="24" t="str">
        <f>VLOOKUP(R786,[1]Sheet3!$A$2:$A$47,1,0)</f>
        <v>UK</v>
      </c>
      <c r="U786" s="24" t="s">
        <v>13704</v>
      </c>
      <c r="V786" s="24" t="s">
        <v>13705</v>
      </c>
      <c r="W786" s="18" t="s">
        <v>8964</v>
      </c>
      <c r="X786" s="26" t="s">
        <v>392</v>
      </c>
      <c r="Y786" s="18" t="s">
        <v>9714</v>
      </c>
      <c r="Z786" s="24" t="s">
        <v>4</v>
      </c>
    </row>
    <row r="787" spans="1:26" ht="20.100000000000001" customHeight="1" x14ac:dyDescent="0.2">
      <c r="A787" s="18" t="s">
        <v>13706</v>
      </c>
      <c r="B787" s="19" t="s">
        <v>13707</v>
      </c>
      <c r="C787" s="19" t="s">
        <v>13708</v>
      </c>
      <c r="D787" s="8" t="s">
        <v>9252</v>
      </c>
      <c r="E787" s="20" t="s">
        <v>8971</v>
      </c>
      <c r="F787" s="20" t="s">
        <v>11216</v>
      </c>
      <c r="G787" s="20" t="s">
        <v>8987</v>
      </c>
      <c r="H787" s="53">
        <v>7408</v>
      </c>
      <c r="I787" s="20" t="s">
        <v>9019</v>
      </c>
      <c r="J787" s="20" t="s">
        <v>8953</v>
      </c>
      <c r="K787" s="20" t="s">
        <v>8989</v>
      </c>
      <c r="L787" s="21" t="s">
        <v>8955</v>
      </c>
      <c r="M787" s="20" t="s">
        <v>8956</v>
      </c>
      <c r="N787" s="20" t="s">
        <v>8959</v>
      </c>
      <c r="O787" s="20">
        <f t="shared" si="12"/>
        <v>7</v>
      </c>
      <c r="P787" s="22" t="s">
        <v>8958</v>
      </c>
      <c r="Q787" s="21" t="s">
        <v>8959</v>
      </c>
      <c r="R787" s="23" t="s">
        <v>9213</v>
      </c>
      <c r="S787" s="18" t="s">
        <v>9093</v>
      </c>
      <c r="T787" s="24" t="str">
        <f>VLOOKUP(R787,[1]Sheet3!$A$2:$A$47,1,0)</f>
        <v>South Korea</v>
      </c>
      <c r="U787" s="18" t="s">
        <v>13709</v>
      </c>
      <c r="V787" s="18" t="s">
        <v>13710</v>
      </c>
      <c r="W787" s="18" t="s">
        <v>8964</v>
      </c>
      <c r="X787" s="18" t="s">
        <v>378</v>
      </c>
      <c r="Y787" s="18" t="s">
        <v>9096</v>
      </c>
      <c r="Z787" s="18" t="s">
        <v>4</v>
      </c>
    </row>
    <row r="788" spans="1:26" ht="20.100000000000001" customHeight="1" x14ac:dyDescent="0.2">
      <c r="A788" s="18" t="s">
        <v>13711</v>
      </c>
      <c r="B788" s="19" t="s">
        <v>13712</v>
      </c>
      <c r="C788" s="19" t="s">
        <v>13713</v>
      </c>
      <c r="D788" s="8" t="s">
        <v>9092</v>
      </c>
      <c r="E788" s="20" t="s">
        <v>8949</v>
      </c>
      <c r="F788" s="20" t="s">
        <v>9949</v>
      </c>
      <c r="G788" s="20" t="s">
        <v>8973</v>
      </c>
      <c r="H788" s="53">
        <v>40</v>
      </c>
      <c r="I788" s="20" t="s">
        <v>9008</v>
      </c>
      <c r="J788" s="20" t="s">
        <v>9059</v>
      </c>
      <c r="K788" s="20" t="s">
        <v>8954</v>
      </c>
      <c r="L788" s="21" t="s">
        <v>8955</v>
      </c>
      <c r="M788" s="20" t="s">
        <v>8956</v>
      </c>
      <c r="N788" s="20" t="s">
        <v>8959</v>
      </c>
      <c r="O788" s="20">
        <f t="shared" si="12"/>
        <v>6</v>
      </c>
      <c r="P788" s="22" t="s">
        <v>8958</v>
      </c>
      <c r="Q788" s="21" t="s">
        <v>9061</v>
      </c>
      <c r="R788" s="23" t="s">
        <v>9010</v>
      </c>
      <c r="S788" s="24" t="s">
        <v>10630</v>
      </c>
      <c r="T788" s="24" t="str">
        <f>VLOOKUP(R788,[1]Sheet3!$A$2:$A$47,1,0)</f>
        <v>the United States of America</v>
      </c>
      <c r="U788" s="24" t="s">
        <v>13714</v>
      </c>
      <c r="V788" s="24" t="s">
        <v>13715</v>
      </c>
      <c r="W788" s="18" t="s">
        <v>8964</v>
      </c>
      <c r="X788" s="26" t="s">
        <v>161</v>
      </c>
      <c r="Y788" s="18" t="s">
        <v>10633</v>
      </c>
      <c r="Z788" s="24" t="s">
        <v>11</v>
      </c>
    </row>
    <row r="789" spans="1:26" ht="20.100000000000001" customHeight="1" x14ac:dyDescent="0.2">
      <c r="A789" s="18" t="s">
        <v>13716</v>
      </c>
      <c r="B789" s="19" t="s">
        <v>13717</v>
      </c>
      <c r="C789" s="19" t="s">
        <v>13718</v>
      </c>
      <c r="D789" s="8" t="s">
        <v>9605</v>
      </c>
      <c r="E789" s="33" t="s">
        <v>9101</v>
      </c>
      <c r="F789" s="20" t="s">
        <v>13719</v>
      </c>
      <c r="G789" s="20" t="s">
        <v>9076</v>
      </c>
      <c r="H789" s="53">
        <v>100</v>
      </c>
      <c r="I789" s="20" t="s">
        <v>9158</v>
      </c>
      <c r="J789" s="20" t="s">
        <v>8953</v>
      </c>
      <c r="K789" s="20" t="s">
        <v>8954</v>
      </c>
      <c r="L789" s="21" t="s">
        <v>8955</v>
      </c>
      <c r="M789" s="20" t="s">
        <v>8956</v>
      </c>
      <c r="N789" s="20" t="s">
        <v>9060</v>
      </c>
      <c r="O789" s="20">
        <f t="shared" si="12"/>
        <v>3</v>
      </c>
      <c r="P789" s="22" t="s">
        <v>9103</v>
      </c>
      <c r="Q789" s="21" t="s">
        <v>9009</v>
      </c>
      <c r="R789" s="23" t="s">
        <v>9310</v>
      </c>
      <c r="S789" s="24" t="s">
        <v>9271</v>
      </c>
      <c r="T789" s="24" t="str">
        <f>VLOOKUP(R789,[1]Sheet3!$A$2:$A$47,1,0)</f>
        <v>China</v>
      </c>
      <c r="U789" s="24" t="s">
        <v>13720</v>
      </c>
      <c r="V789" s="24" t="s">
        <v>13721</v>
      </c>
      <c r="W789" s="18" t="s">
        <v>8964</v>
      </c>
      <c r="X789" s="26" t="s">
        <v>15</v>
      </c>
      <c r="Y789" s="18" t="s">
        <v>9274</v>
      </c>
      <c r="Z789" s="24" t="s">
        <v>4</v>
      </c>
    </row>
    <row r="790" spans="1:26" ht="20.100000000000001" customHeight="1" x14ac:dyDescent="0.2">
      <c r="A790" s="18" t="s">
        <v>13722</v>
      </c>
      <c r="B790" s="19" t="s">
        <v>13723</v>
      </c>
      <c r="C790" s="19" t="s">
        <v>13724</v>
      </c>
      <c r="D790" s="8" t="s">
        <v>9035</v>
      </c>
      <c r="E790" s="20" t="s">
        <v>8998</v>
      </c>
      <c r="F790" s="33" t="s">
        <v>13725</v>
      </c>
      <c r="G790" s="20" t="s">
        <v>8951</v>
      </c>
      <c r="H790" s="53">
        <v>1018</v>
      </c>
      <c r="I790" s="20" t="s">
        <v>8952</v>
      </c>
      <c r="J790" s="20" t="s">
        <v>8953</v>
      </c>
      <c r="K790" s="20" t="s">
        <v>8989</v>
      </c>
      <c r="L790" s="21" t="s">
        <v>11149</v>
      </c>
      <c r="M790" s="20" t="s">
        <v>8956</v>
      </c>
      <c r="N790" s="20" t="s">
        <v>8957</v>
      </c>
      <c r="O790" s="20">
        <f t="shared" si="12"/>
        <v>32</v>
      </c>
      <c r="P790" s="22" t="s">
        <v>8975</v>
      </c>
      <c r="Q790" s="21" t="s">
        <v>9061</v>
      </c>
      <c r="R790" s="23" t="s">
        <v>9246</v>
      </c>
      <c r="S790" s="24" t="s">
        <v>8961</v>
      </c>
      <c r="T790" s="24" t="str">
        <f>VLOOKUP(R790,[1]Sheet3!$A$2:$A$47,1,0)</f>
        <v>Netherlands</v>
      </c>
      <c r="U790" s="24" t="s">
        <v>13726</v>
      </c>
      <c r="V790" s="24" t="s">
        <v>13727</v>
      </c>
      <c r="W790" s="18" t="s">
        <v>8964</v>
      </c>
      <c r="X790" s="26" t="s">
        <v>126</v>
      </c>
      <c r="Y790" s="18" t="s">
        <v>8966</v>
      </c>
      <c r="Z790" s="24" t="s">
        <v>4</v>
      </c>
    </row>
    <row r="791" spans="1:26" ht="20.100000000000001" customHeight="1" x14ac:dyDescent="0.2">
      <c r="A791" s="18" t="s">
        <v>13728</v>
      </c>
      <c r="B791" s="19" t="s">
        <v>13729</v>
      </c>
      <c r="C791" s="19" t="s">
        <v>13730</v>
      </c>
      <c r="D791" s="8" t="s">
        <v>9605</v>
      </c>
      <c r="E791" s="20" t="s">
        <v>8998</v>
      </c>
      <c r="F791" s="20" t="s">
        <v>9436</v>
      </c>
      <c r="G791" s="20" t="s">
        <v>8973</v>
      </c>
      <c r="H791" s="53">
        <v>240</v>
      </c>
      <c r="I791" s="20" t="s">
        <v>9158</v>
      </c>
      <c r="J791" s="20" t="s">
        <v>8953</v>
      </c>
      <c r="K791" s="20" t="s">
        <v>8954</v>
      </c>
      <c r="L791" s="21" t="s">
        <v>8955</v>
      </c>
      <c r="M791" s="20" t="s">
        <v>8956</v>
      </c>
      <c r="N791" s="20" t="s">
        <v>8957</v>
      </c>
      <c r="O791" s="20">
        <f t="shared" si="12"/>
        <v>5</v>
      </c>
      <c r="P791" s="22" t="s">
        <v>8958</v>
      </c>
      <c r="Q791" s="21" t="s">
        <v>8959</v>
      </c>
      <c r="R791" s="23" t="s">
        <v>9333</v>
      </c>
      <c r="S791" s="24" t="s">
        <v>9011</v>
      </c>
      <c r="T791" s="24" t="str">
        <f>VLOOKUP(R791,[1]Sheet3!$A$2:$A$47,1,0)</f>
        <v>Japan</v>
      </c>
      <c r="U791" s="24" t="s">
        <v>13731</v>
      </c>
      <c r="V791" s="24" t="s">
        <v>13732</v>
      </c>
      <c r="W791" s="18" t="s">
        <v>8964</v>
      </c>
      <c r="X791" s="26" t="s">
        <v>93</v>
      </c>
      <c r="Y791" s="18" t="s">
        <v>9014</v>
      </c>
      <c r="Z791" s="24" t="s">
        <v>4</v>
      </c>
    </row>
    <row r="792" spans="1:26" ht="20.100000000000001" customHeight="1" x14ac:dyDescent="0.2">
      <c r="A792" s="18" t="s">
        <v>13733</v>
      </c>
      <c r="B792" s="19" t="s">
        <v>13734</v>
      </c>
      <c r="C792" s="19" t="s">
        <v>13735</v>
      </c>
      <c r="D792" s="8" t="s">
        <v>9035</v>
      </c>
      <c r="E792" s="20" t="s">
        <v>8998</v>
      </c>
      <c r="F792" s="20" t="s">
        <v>8950</v>
      </c>
      <c r="G792" s="20" t="s">
        <v>8951</v>
      </c>
      <c r="H792" s="53">
        <v>1018</v>
      </c>
      <c r="I792" s="20" t="s">
        <v>8952</v>
      </c>
      <c r="J792" s="20" t="s">
        <v>8953</v>
      </c>
      <c r="K792" s="20" t="s">
        <v>8989</v>
      </c>
      <c r="L792" s="21" t="s">
        <v>8955</v>
      </c>
      <c r="M792" s="20" t="s">
        <v>8956</v>
      </c>
      <c r="N792" s="20" t="s">
        <v>8957</v>
      </c>
      <c r="O792" s="20">
        <f t="shared" si="12"/>
        <v>10</v>
      </c>
      <c r="P792" s="22" t="s">
        <v>8975</v>
      </c>
      <c r="Q792" s="21" t="s">
        <v>8959</v>
      </c>
      <c r="R792" s="23" t="s">
        <v>9310</v>
      </c>
      <c r="S792" s="18" t="s">
        <v>8992</v>
      </c>
      <c r="T792" s="24" t="str">
        <f>VLOOKUP(R792,[1]Sheet3!$A$2:$A$47,1,0)</f>
        <v>China</v>
      </c>
      <c r="U792" s="18" t="s">
        <v>13736</v>
      </c>
      <c r="V792" s="18" t="s">
        <v>13737</v>
      </c>
      <c r="W792" s="18" t="s">
        <v>8964</v>
      </c>
      <c r="X792" s="18" t="s">
        <v>27</v>
      </c>
      <c r="Y792" s="18" t="s">
        <v>8994</v>
      </c>
      <c r="Z792" s="18" t="s">
        <v>11</v>
      </c>
    </row>
    <row r="793" spans="1:26" ht="20.100000000000001" customHeight="1" x14ac:dyDescent="0.2">
      <c r="A793" s="18" t="s">
        <v>13738</v>
      </c>
      <c r="B793" s="19" t="s">
        <v>13739</v>
      </c>
      <c r="C793" s="19" t="s">
        <v>13740</v>
      </c>
      <c r="D793" s="8" t="s">
        <v>9100</v>
      </c>
      <c r="E793" s="20" t="s">
        <v>8949</v>
      </c>
      <c r="F793" s="20" t="s">
        <v>8950</v>
      </c>
      <c r="G793" s="20" t="s">
        <v>8951</v>
      </c>
      <c r="H793" s="53">
        <v>151</v>
      </c>
      <c r="I793" s="20" t="s">
        <v>9158</v>
      </c>
      <c r="J793" s="20" t="s">
        <v>8953</v>
      </c>
      <c r="K793" s="20" t="s">
        <v>8989</v>
      </c>
      <c r="L793" s="21" t="s">
        <v>8955</v>
      </c>
      <c r="M793" s="20" t="s">
        <v>8956</v>
      </c>
      <c r="N793" s="20" t="s">
        <v>8957</v>
      </c>
      <c r="O793" s="20">
        <f t="shared" si="12"/>
        <v>5</v>
      </c>
      <c r="P793" s="22" t="s">
        <v>8958</v>
      </c>
      <c r="Q793" s="21" t="s">
        <v>8959</v>
      </c>
      <c r="R793" s="23" t="s">
        <v>9310</v>
      </c>
      <c r="S793" s="24" t="s">
        <v>9255</v>
      </c>
      <c r="T793" s="24" t="str">
        <f>VLOOKUP(R793,[1]Sheet3!$A$2:$A$47,1,0)</f>
        <v>China</v>
      </c>
      <c r="U793" s="24" t="s">
        <v>13741</v>
      </c>
      <c r="V793" s="24" t="s">
        <v>13742</v>
      </c>
      <c r="W793" s="18" t="s">
        <v>8964</v>
      </c>
      <c r="X793" s="26" t="s">
        <v>24</v>
      </c>
      <c r="Y793" s="18" t="s">
        <v>9258</v>
      </c>
      <c r="Z793" s="24" t="s">
        <v>4</v>
      </c>
    </row>
    <row r="794" spans="1:26" ht="20.100000000000001" customHeight="1" x14ac:dyDescent="0.2">
      <c r="A794" s="18" t="s">
        <v>13743</v>
      </c>
      <c r="B794" s="19" t="s">
        <v>13744</v>
      </c>
      <c r="C794" s="19" t="s">
        <v>13745</v>
      </c>
      <c r="D794" s="8" t="s">
        <v>8984</v>
      </c>
      <c r="E794" s="20" t="s">
        <v>8949</v>
      </c>
      <c r="F794" s="20" t="s">
        <v>8950</v>
      </c>
      <c r="G794" s="20" t="s">
        <v>8973</v>
      </c>
      <c r="H794" s="53">
        <v>140</v>
      </c>
      <c r="I794" s="20" t="s">
        <v>9158</v>
      </c>
      <c r="J794" s="20" t="s">
        <v>9059</v>
      </c>
      <c r="K794" s="20" t="s">
        <v>8989</v>
      </c>
      <c r="L794" s="21" t="s">
        <v>8955</v>
      </c>
      <c r="M794" s="20" t="s">
        <v>8956</v>
      </c>
      <c r="N794" s="20" t="s">
        <v>9060</v>
      </c>
      <c r="O794" s="20">
        <f t="shared" si="12"/>
        <v>9</v>
      </c>
      <c r="P794" s="22" t="s">
        <v>8975</v>
      </c>
      <c r="Q794" s="21" t="s">
        <v>9061</v>
      </c>
      <c r="R794" s="23" t="s">
        <v>9246</v>
      </c>
      <c r="S794" s="24" t="s">
        <v>9255</v>
      </c>
      <c r="T794" s="24" t="str">
        <f>VLOOKUP(R794,[1]Sheet3!$A$2:$A$47,1,0)</f>
        <v>Netherlands</v>
      </c>
      <c r="U794" s="24" t="s">
        <v>13746</v>
      </c>
      <c r="V794" s="24" t="s">
        <v>13747</v>
      </c>
      <c r="W794" s="18" t="s">
        <v>8964</v>
      </c>
      <c r="X794" s="26" t="s">
        <v>24</v>
      </c>
      <c r="Y794" s="18" t="s">
        <v>9258</v>
      </c>
      <c r="Z794" s="24" t="s">
        <v>4</v>
      </c>
    </row>
    <row r="795" spans="1:26" ht="20.100000000000001" customHeight="1" x14ac:dyDescent="0.2">
      <c r="A795" s="18" t="s">
        <v>13748</v>
      </c>
      <c r="B795" s="19" t="s">
        <v>13749</v>
      </c>
      <c r="C795" s="19" t="s">
        <v>13750</v>
      </c>
      <c r="D795" s="8" t="s">
        <v>9605</v>
      </c>
      <c r="E795" s="20" t="s">
        <v>9121</v>
      </c>
      <c r="F795" s="33" t="s">
        <v>9316</v>
      </c>
      <c r="G795" s="20" t="s">
        <v>8951</v>
      </c>
      <c r="H795" s="53">
        <v>373</v>
      </c>
      <c r="I795" s="20" t="s">
        <v>9158</v>
      </c>
      <c r="J795" s="20" t="s">
        <v>8953</v>
      </c>
      <c r="K795" s="20" t="s">
        <v>8989</v>
      </c>
      <c r="L795" s="21" t="s">
        <v>8955</v>
      </c>
      <c r="M795" s="20" t="s">
        <v>8956</v>
      </c>
      <c r="N795" s="20" t="s">
        <v>8957</v>
      </c>
      <c r="O795" s="20">
        <f t="shared" si="12"/>
        <v>4</v>
      </c>
      <c r="P795" s="22" t="s">
        <v>8958</v>
      </c>
      <c r="Q795" s="21" t="s">
        <v>8959</v>
      </c>
      <c r="R795" s="23" t="s">
        <v>9010</v>
      </c>
      <c r="S795" s="24" t="s">
        <v>9711</v>
      </c>
      <c r="T795" s="24" t="str">
        <f>VLOOKUP(R795,[1]Sheet3!$A$2:$A$47,1,0)</f>
        <v>the United States of America</v>
      </c>
      <c r="U795" s="24" t="s">
        <v>13751</v>
      </c>
      <c r="V795" s="24" t="s">
        <v>13752</v>
      </c>
      <c r="W795" s="18" t="s">
        <v>8964</v>
      </c>
      <c r="X795" s="26" t="s">
        <v>392</v>
      </c>
      <c r="Y795" s="18" t="s">
        <v>9714</v>
      </c>
      <c r="Z795" s="24" t="s">
        <v>4</v>
      </c>
    </row>
    <row r="796" spans="1:26" ht="20.100000000000001" customHeight="1" x14ac:dyDescent="0.2">
      <c r="A796" s="18" t="s">
        <v>13753</v>
      </c>
      <c r="B796" s="19" t="s">
        <v>13754</v>
      </c>
      <c r="C796" s="19" t="s">
        <v>13755</v>
      </c>
      <c r="D796" s="8" t="s">
        <v>9943</v>
      </c>
      <c r="E796" s="20" t="s">
        <v>8971</v>
      </c>
      <c r="F796" s="20" t="s">
        <v>10135</v>
      </c>
      <c r="G796" s="20" t="s">
        <v>8987</v>
      </c>
      <c r="H796" s="53">
        <v>428</v>
      </c>
      <c r="I796" s="20" t="s">
        <v>8988</v>
      </c>
      <c r="J796" s="20" t="s">
        <v>8953</v>
      </c>
      <c r="K796" s="20" t="s">
        <v>8989</v>
      </c>
      <c r="L796" s="21" t="s">
        <v>8955</v>
      </c>
      <c r="M796" s="20" t="s">
        <v>8956</v>
      </c>
      <c r="N796" s="20" t="s">
        <v>8957</v>
      </c>
      <c r="O796" s="20">
        <f t="shared" si="12"/>
        <v>6</v>
      </c>
      <c r="P796" s="22" t="s">
        <v>8958</v>
      </c>
      <c r="Q796" s="21" t="s">
        <v>8959</v>
      </c>
      <c r="R796" s="23" t="s">
        <v>9380</v>
      </c>
      <c r="S796" s="24" t="s">
        <v>9020</v>
      </c>
      <c r="T796" s="24" t="str">
        <f>VLOOKUP(R796,[1]Sheet3!$A$2:$A$47,1,0)</f>
        <v>Canada</v>
      </c>
      <c r="U796" s="24" t="s">
        <v>13756</v>
      </c>
      <c r="V796" s="24" t="s">
        <v>13757</v>
      </c>
      <c r="W796" s="18" t="s">
        <v>8964</v>
      </c>
      <c r="X796" s="26" t="s">
        <v>87</v>
      </c>
      <c r="Y796" s="18" t="s">
        <v>9023</v>
      </c>
      <c r="Z796" s="24" t="s">
        <v>4</v>
      </c>
    </row>
    <row r="797" spans="1:26" ht="20.100000000000001" customHeight="1" x14ac:dyDescent="0.2">
      <c r="A797" s="18" t="s">
        <v>13758</v>
      </c>
      <c r="B797" s="19" t="s">
        <v>13759</v>
      </c>
      <c r="C797" s="19" t="s">
        <v>13760</v>
      </c>
      <c r="D797" s="8" t="s">
        <v>9035</v>
      </c>
      <c r="E797" s="20" t="s">
        <v>8998</v>
      </c>
      <c r="F797" s="20" t="s">
        <v>9036</v>
      </c>
      <c r="G797" s="20" t="s">
        <v>8973</v>
      </c>
      <c r="H797" s="53">
        <v>74</v>
      </c>
      <c r="I797" s="20" t="s">
        <v>9008</v>
      </c>
      <c r="J797" s="20" t="s">
        <v>9059</v>
      </c>
      <c r="K797" s="20" t="s">
        <v>8954</v>
      </c>
      <c r="L797" s="21" t="s">
        <v>8955</v>
      </c>
      <c r="M797" s="20" t="s">
        <v>8956</v>
      </c>
      <c r="N797" s="20" t="s">
        <v>8957</v>
      </c>
      <c r="O797" s="20">
        <f t="shared" si="12"/>
        <v>9</v>
      </c>
      <c r="P797" s="22" t="s">
        <v>8975</v>
      </c>
      <c r="Q797" s="21" t="s">
        <v>9061</v>
      </c>
      <c r="R797" s="23" t="s">
        <v>9310</v>
      </c>
      <c r="S797" s="24" t="s">
        <v>8961</v>
      </c>
      <c r="T797" s="24" t="str">
        <f>VLOOKUP(R797,[1]Sheet3!$A$2:$A$47,1,0)</f>
        <v>China</v>
      </c>
      <c r="U797" s="24" t="s">
        <v>13761</v>
      </c>
      <c r="V797" s="24" t="s">
        <v>13762</v>
      </c>
      <c r="W797" s="18" t="s">
        <v>8964</v>
      </c>
      <c r="X797" s="26" t="s">
        <v>126</v>
      </c>
      <c r="Y797" s="18" t="s">
        <v>8966</v>
      </c>
      <c r="Z797" s="24" t="s">
        <v>4</v>
      </c>
    </row>
    <row r="798" spans="1:26" ht="20.100000000000001" customHeight="1" x14ac:dyDescent="0.2">
      <c r="A798" s="18" t="s">
        <v>13763</v>
      </c>
      <c r="B798" s="19" t="s">
        <v>13764</v>
      </c>
      <c r="C798" s="19" t="s">
        <v>13765</v>
      </c>
      <c r="D798" s="8" t="s">
        <v>9092</v>
      </c>
      <c r="E798" s="33" t="s">
        <v>9308</v>
      </c>
      <c r="F798" s="20" t="s">
        <v>9018</v>
      </c>
      <c r="G798" s="20" t="s">
        <v>9292</v>
      </c>
      <c r="H798" s="53">
        <v>256458</v>
      </c>
      <c r="I798" s="60" t="s">
        <v>9019</v>
      </c>
      <c r="J798" s="20" t="s">
        <v>8953</v>
      </c>
      <c r="K798" s="20" t="s">
        <v>8954</v>
      </c>
      <c r="L798" s="21" t="s">
        <v>8955</v>
      </c>
      <c r="M798" s="20" t="s">
        <v>8956</v>
      </c>
      <c r="N798" s="20" t="s">
        <v>8957</v>
      </c>
      <c r="O798" s="20">
        <f t="shared" si="12"/>
        <v>8</v>
      </c>
      <c r="P798" s="22" t="s">
        <v>8975</v>
      </c>
      <c r="Q798" s="21" t="s">
        <v>9009</v>
      </c>
      <c r="R798" s="56" t="s">
        <v>11671</v>
      </c>
      <c r="S798" s="24" t="s">
        <v>12729</v>
      </c>
      <c r="T798" s="24" t="str">
        <f>VLOOKUP(R798,[1]Sheet3!$A$2:$A$47,1,0)</f>
        <v>Sweden</v>
      </c>
      <c r="U798" s="24" t="s">
        <v>13766</v>
      </c>
      <c r="V798" s="24" t="s">
        <v>13767</v>
      </c>
      <c r="W798" s="18" t="s">
        <v>8964</v>
      </c>
      <c r="X798" s="26" t="s">
        <v>1472</v>
      </c>
      <c r="Y798" s="18" t="s">
        <v>12732</v>
      </c>
      <c r="Z798" s="24" t="s">
        <v>4</v>
      </c>
    </row>
    <row r="799" spans="1:26" ht="20.100000000000001" customHeight="1" x14ac:dyDescent="0.2">
      <c r="A799" s="18" t="s">
        <v>13768</v>
      </c>
      <c r="B799" s="19" t="s">
        <v>13769</v>
      </c>
      <c r="C799" s="19" t="s">
        <v>13770</v>
      </c>
      <c r="D799" s="8" t="s">
        <v>8948</v>
      </c>
      <c r="E799" s="20" t="s">
        <v>8998</v>
      </c>
      <c r="F799" s="20" t="s">
        <v>8950</v>
      </c>
      <c r="G799" s="20" t="s">
        <v>8951</v>
      </c>
      <c r="H799" s="53">
        <v>1200</v>
      </c>
      <c r="I799" s="20" t="s">
        <v>8952</v>
      </c>
      <c r="J799" s="20" t="s">
        <v>9059</v>
      </c>
      <c r="K799" s="20" t="s">
        <v>8989</v>
      </c>
      <c r="L799" s="21" t="s">
        <v>8955</v>
      </c>
      <c r="M799" s="20" t="s">
        <v>8956</v>
      </c>
      <c r="N799" s="20" t="s">
        <v>8957</v>
      </c>
      <c r="O799" s="20">
        <f t="shared" si="12"/>
        <v>3</v>
      </c>
      <c r="P799" s="22" t="s">
        <v>9103</v>
      </c>
      <c r="Q799" s="21" t="s">
        <v>9009</v>
      </c>
      <c r="R799" s="23" t="s">
        <v>9310</v>
      </c>
      <c r="S799" s="18" t="s">
        <v>11659</v>
      </c>
      <c r="T799" s="24" t="str">
        <f>VLOOKUP(R799,[1]Sheet3!$A$2:$A$47,1,0)</f>
        <v>China</v>
      </c>
      <c r="U799" s="18" t="s">
        <v>13771</v>
      </c>
      <c r="V799" s="18" t="s">
        <v>13772</v>
      </c>
      <c r="W799" s="18" t="s">
        <v>8964</v>
      </c>
      <c r="X799" s="18" t="s">
        <v>625</v>
      </c>
      <c r="Y799" s="18" t="s">
        <v>11661</v>
      </c>
      <c r="Z799" s="18" t="s">
        <v>4</v>
      </c>
    </row>
    <row r="800" spans="1:26" ht="20.100000000000001" customHeight="1" x14ac:dyDescent="0.2">
      <c r="A800" s="18" t="s">
        <v>13773</v>
      </c>
      <c r="B800" s="19" t="s">
        <v>13774</v>
      </c>
      <c r="C800" s="19" t="s">
        <v>13775</v>
      </c>
      <c r="D800" s="8" t="s">
        <v>8948</v>
      </c>
      <c r="E800" s="20" t="s">
        <v>8998</v>
      </c>
      <c r="F800" s="20" t="s">
        <v>9036</v>
      </c>
      <c r="G800" s="20" t="s">
        <v>8951</v>
      </c>
      <c r="H800" s="20">
        <v>2583</v>
      </c>
      <c r="I800" s="20" t="s">
        <v>8952</v>
      </c>
      <c r="J800" s="20" t="s">
        <v>8953</v>
      </c>
      <c r="K800" s="20" t="s">
        <v>8954</v>
      </c>
      <c r="L800" s="21" t="s">
        <v>8955</v>
      </c>
      <c r="M800" s="20" t="s">
        <v>8956</v>
      </c>
      <c r="N800" s="20" t="s">
        <v>8974</v>
      </c>
      <c r="O800" s="20">
        <f t="shared" si="12"/>
        <v>7</v>
      </c>
      <c r="P800" s="22" t="s">
        <v>8958</v>
      </c>
      <c r="Q800" s="21" t="s">
        <v>9061</v>
      </c>
      <c r="R800" s="23" t="s">
        <v>9010</v>
      </c>
      <c r="S800" s="24" t="s">
        <v>180</v>
      </c>
      <c r="T800" s="24" t="str">
        <f>VLOOKUP(R800,[1]Sheet3!$A$2:$A$47,1,0)</f>
        <v>the United States of America</v>
      </c>
      <c r="U800" s="24" t="s">
        <v>13776</v>
      </c>
      <c r="V800" s="24" t="s">
        <v>13777</v>
      </c>
      <c r="W800" s="18" t="s">
        <v>8964</v>
      </c>
      <c r="X800" s="26" t="s">
        <v>180</v>
      </c>
      <c r="Y800" s="18" t="s">
        <v>11199</v>
      </c>
      <c r="Z800" s="24" t="s">
        <v>4</v>
      </c>
    </row>
    <row r="801" spans="1:26" ht="20.100000000000001" customHeight="1" x14ac:dyDescent="0.2">
      <c r="A801" s="18" t="s">
        <v>13778</v>
      </c>
      <c r="B801" s="19" t="s">
        <v>13779</v>
      </c>
      <c r="C801" s="19" t="s">
        <v>13780</v>
      </c>
      <c r="D801" s="8" t="s">
        <v>8948</v>
      </c>
      <c r="E801" s="20" t="s">
        <v>8949</v>
      </c>
      <c r="F801" s="20" t="s">
        <v>9036</v>
      </c>
      <c r="G801" s="20" t="s">
        <v>8973</v>
      </c>
      <c r="H801" s="20">
        <v>741</v>
      </c>
      <c r="I801" s="20" t="s">
        <v>9077</v>
      </c>
      <c r="J801" s="20" t="s">
        <v>9059</v>
      </c>
      <c r="K801" s="20" t="s">
        <v>8954</v>
      </c>
      <c r="L801" s="21" t="s">
        <v>8955</v>
      </c>
      <c r="M801" s="20" t="s">
        <v>8956</v>
      </c>
      <c r="N801" s="20" t="s">
        <v>8957</v>
      </c>
      <c r="O801" s="20">
        <f t="shared" si="12"/>
        <v>3</v>
      </c>
      <c r="P801" s="22" t="s">
        <v>9103</v>
      </c>
      <c r="Q801" s="21" t="s">
        <v>8959</v>
      </c>
      <c r="R801" s="23" t="s">
        <v>10873</v>
      </c>
      <c r="S801" s="24" t="s">
        <v>13110</v>
      </c>
      <c r="T801" s="24" t="str">
        <f>VLOOKUP(R801,[1]Sheet3!$A$2:$A$47,1,0)</f>
        <v>UK</v>
      </c>
      <c r="U801" s="24" t="s">
        <v>13781</v>
      </c>
      <c r="V801" s="24" t="s">
        <v>13782</v>
      </c>
      <c r="W801" s="18" t="s">
        <v>8964</v>
      </c>
      <c r="X801" s="26" t="s">
        <v>57</v>
      </c>
      <c r="Y801" s="18" t="s">
        <v>13113</v>
      </c>
      <c r="Z801" s="24" t="s">
        <v>4</v>
      </c>
    </row>
    <row r="802" spans="1:26" ht="20.100000000000001" customHeight="1" x14ac:dyDescent="0.2">
      <c r="A802" s="18" t="s">
        <v>13783</v>
      </c>
      <c r="B802" s="19" t="s">
        <v>13784</v>
      </c>
      <c r="C802" s="19" t="s">
        <v>13785</v>
      </c>
      <c r="D802" s="8" t="s">
        <v>9252</v>
      </c>
      <c r="E802" s="20" t="s">
        <v>9253</v>
      </c>
      <c r="F802" s="20" t="s">
        <v>9036</v>
      </c>
      <c r="G802" s="20" t="s">
        <v>8951</v>
      </c>
      <c r="H802" s="20">
        <v>6000</v>
      </c>
      <c r="I802" s="20" t="s">
        <v>9019</v>
      </c>
      <c r="J802" s="20" t="s">
        <v>8953</v>
      </c>
      <c r="K802" s="20" t="s">
        <v>8954</v>
      </c>
      <c r="L802" s="21" t="s">
        <v>8955</v>
      </c>
      <c r="M802" s="20" t="s">
        <v>8956</v>
      </c>
      <c r="N802" s="20" t="s">
        <v>8959</v>
      </c>
      <c r="O802" s="20">
        <f t="shared" si="12"/>
        <v>5</v>
      </c>
      <c r="P802" s="22" t="s">
        <v>8958</v>
      </c>
      <c r="Q802" s="21" t="s">
        <v>9009</v>
      </c>
      <c r="R802" s="23" t="s">
        <v>9387</v>
      </c>
      <c r="S802" s="24" t="s">
        <v>9020</v>
      </c>
      <c r="T802" s="24" t="str">
        <f>VLOOKUP(R802,[1]Sheet3!$A$2:$A$47,1,0)</f>
        <v>Israel</v>
      </c>
      <c r="U802" s="24" t="s">
        <v>13786</v>
      </c>
      <c r="V802" s="24" t="s">
        <v>13787</v>
      </c>
      <c r="W802" s="18" t="s">
        <v>8964</v>
      </c>
      <c r="X802" s="26" t="s">
        <v>87</v>
      </c>
      <c r="Y802" s="18" t="s">
        <v>9023</v>
      </c>
      <c r="Z802" s="24" t="s">
        <v>4</v>
      </c>
    </row>
    <row r="803" spans="1:26" ht="20.100000000000001" customHeight="1" x14ac:dyDescent="0.2">
      <c r="A803" s="18" t="s">
        <v>13788</v>
      </c>
      <c r="B803" s="19" t="s">
        <v>13789</v>
      </c>
      <c r="C803" s="19" t="s">
        <v>13790</v>
      </c>
      <c r="D803" s="8" t="s">
        <v>8948</v>
      </c>
      <c r="E803" s="20" t="s">
        <v>9422</v>
      </c>
      <c r="F803" s="20" t="s">
        <v>9036</v>
      </c>
      <c r="G803" s="20" t="s">
        <v>8987</v>
      </c>
      <c r="H803" s="20">
        <v>50</v>
      </c>
      <c r="I803" s="20" t="s">
        <v>9008</v>
      </c>
      <c r="J803" s="20" t="s">
        <v>9059</v>
      </c>
      <c r="K803" s="20" t="s">
        <v>8989</v>
      </c>
      <c r="L803" s="21" t="s">
        <v>8955</v>
      </c>
      <c r="M803" s="20" t="s">
        <v>8956</v>
      </c>
      <c r="N803" s="20" t="s">
        <v>8957</v>
      </c>
      <c r="O803" s="20">
        <f t="shared" si="12"/>
        <v>9</v>
      </c>
      <c r="P803" s="22" t="s">
        <v>8975</v>
      </c>
      <c r="Q803" s="21" t="s">
        <v>9009</v>
      </c>
      <c r="R803" s="23" t="s">
        <v>9010</v>
      </c>
      <c r="S803" s="24" t="s">
        <v>13367</v>
      </c>
      <c r="T803" s="24" t="str">
        <f>VLOOKUP(R803,[1]Sheet3!$A$2:$A$47,1,0)</f>
        <v>the United States of America</v>
      </c>
      <c r="U803" s="24" t="s">
        <v>13791</v>
      </c>
      <c r="V803" s="24" t="s">
        <v>13792</v>
      </c>
      <c r="W803" s="18" t="s">
        <v>8964</v>
      </c>
      <c r="X803" s="26" t="s">
        <v>2287</v>
      </c>
      <c r="Y803" s="18" t="s">
        <v>13370</v>
      </c>
      <c r="Z803" s="24" t="s">
        <v>4</v>
      </c>
    </row>
    <row r="804" spans="1:26" ht="20.100000000000001" customHeight="1" x14ac:dyDescent="0.2">
      <c r="A804" s="18" t="s">
        <v>13793</v>
      </c>
      <c r="B804" s="19" t="s">
        <v>13794</v>
      </c>
      <c r="C804" s="19" t="s">
        <v>13795</v>
      </c>
      <c r="D804" s="8" t="s">
        <v>9092</v>
      </c>
      <c r="E804" s="20" t="s">
        <v>8998</v>
      </c>
      <c r="F804" s="20" t="s">
        <v>9436</v>
      </c>
      <c r="G804" s="20" t="s">
        <v>8973</v>
      </c>
      <c r="H804" s="20">
        <v>400</v>
      </c>
      <c r="I804" s="20" t="s">
        <v>8988</v>
      </c>
      <c r="J804" s="20" t="s">
        <v>9059</v>
      </c>
      <c r="K804" s="20" t="s">
        <v>8989</v>
      </c>
      <c r="L804" s="21" t="s">
        <v>8955</v>
      </c>
      <c r="M804" s="20" t="s">
        <v>8956</v>
      </c>
      <c r="N804" s="20" t="s">
        <v>8957</v>
      </c>
      <c r="O804" s="20">
        <f t="shared" si="12"/>
        <v>7</v>
      </c>
      <c r="P804" s="22" t="s">
        <v>8958</v>
      </c>
      <c r="Q804" s="21" t="s">
        <v>9061</v>
      </c>
      <c r="R804" s="23" t="s">
        <v>9010</v>
      </c>
      <c r="S804" s="24" t="s">
        <v>9020</v>
      </c>
      <c r="T804" s="24" t="str">
        <f>VLOOKUP(R804,[1]Sheet3!$A$2:$A$47,1,0)</f>
        <v>the United States of America</v>
      </c>
      <c r="U804" s="24" t="s">
        <v>13504</v>
      </c>
      <c r="V804" s="24" t="s">
        <v>13796</v>
      </c>
      <c r="W804" s="18" t="s">
        <v>8964</v>
      </c>
      <c r="X804" s="26" t="s">
        <v>87</v>
      </c>
      <c r="Y804" s="18" t="s">
        <v>9023</v>
      </c>
      <c r="Z804" s="24" t="s">
        <v>4</v>
      </c>
    </row>
    <row r="805" spans="1:26" ht="20.100000000000001" customHeight="1" x14ac:dyDescent="0.2">
      <c r="A805" s="18" t="s">
        <v>13797</v>
      </c>
      <c r="B805" s="19" t="s">
        <v>13798</v>
      </c>
      <c r="C805" s="19" t="s">
        <v>13799</v>
      </c>
      <c r="D805" s="8" t="s">
        <v>8948</v>
      </c>
      <c r="E805" s="20" t="s">
        <v>8949</v>
      </c>
      <c r="F805" s="20" t="s">
        <v>13800</v>
      </c>
      <c r="G805" s="20" t="s">
        <v>8987</v>
      </c>
      <c r="H805" s="20">
        <v>68</v>
      </c>
      <c r="I805" s="20" t="s">
        <v>9008</v>
      </c>
      <c r="J805" s="20" t="s">
        <v>9059</v>
      </c>
      <c r="K805" s="20" t="s">
        <v>8989</v>
      </c>
      <c r="L805" s="21" t="s">
        <v>8955</v>
      </c>
      <c r="M805" s="20" t="s">
        <v>8990</v>
      </c>
      <c r="N805" s="20" t="s">
        <v>8957</v>
      </c>
      <c r="O805" s="20">
        <f t="shared" si="12"/>
        <v>8</v>
      </c>
      <c r="P805" s="22" t="s">
        <v>8975</v>
      </c>
      <c r="Q805" s="21" t="s">
        <v>8959</v>
      </c>
      <c r="R805" s="23" t="s">
        <v>9310</v>
      </c>
      <c r="S805" s="24" t="s">
        <v>9159</v>
      </c>
      <c r="T805" s="24" t="str">
        <f>VLOOKUP(R805,[1]Sheet3!$A$2:$A$47,1,0)</f>
        <v>China</v>
      </c>
      <c r="U805" s="24" t="s">
        <v>13801</v>
      </c>
      <c r="V805" s="24" t="s">
        <v>13802</v>
      </c>
      <c r="W805" s="18" t="s">
        <v>8964</v>
      </c>
      <c r="X805" s="26" t="s">
        <v>61</v>
      </c>
      <c r="Y805" s="18" t="s">
        <v>9162</v>
      </c>
      <c r="Z805" s="24" t="s">
        <v>11</v>
      </c>
    </row>
    <row r="806" spans="1:26" ht="20.100000000000001" customHeight="1" x14ac:dyDescent="0.2">
      <c r="A806" s="18" t="s">
        <v>13803</v>
      </c>
      <c r="B806" s="19" t="s">
        <v>13804</v>
      </c>
      <c r="C806" s="19" t="s">
        <v>13805</v>
      </c>
      <c r="D806" s="8" t="s">
        <v>8948</v>
      </c>
      <c r="E806" s="20" t="s">
        <v>8949</v>
      </c>
      <c r="F806" s="20" t="s">
        <v>9036</v>
      </c>
      <c r="G806" s="20" t="s">
        <v>8987</v>
      </c>
      <c r="H806" s="20">
        <v>68</v>
      </c>
      <c r="I806" s="20" t="s">
        <v>9008</v>
      </c>
      <c r="J806" s="20" t="s">
        <v>9059</v>
      </c>
      <c r="K806" s="20" t="s">
        <v>8989</v>
      </c>
      <c r="L806" s="21" t="s">
        <v>8955</v>
      </c>
      <c r="M806" s="20" t="s">
        <v>8956</v>
      </c>
      <c r="N806" s="20" t="s">
        <v>8957</v>
      </c>
      <c r="O806" s="20">
        <f t="shared" si="12"/>
        <v>10</v>
      </c>
      <c r="P806" s="22" t="s">
        <v>8975</v>
      </c>
      <c r="Q806" s="21" t="s">
        <v>9061</v>
      </c>
      <c r="R806" s="23" t="s">
        <v>9010</v>
      </c>
      <c r="S806" s="24" t="s">
        <v>12023</v>
      </c>
      <c r="T806" s="24" t="str">
        <f>VLOOKUP(R806,[1]Sheet3!$A$2:$A$47,1,0)</f>
        <v>the United States of America</v>
      </c>
      <c r="V806" s="24" t="s">
        <v>13806</v>
      </c>
      <c r="W806" s="18" t="s">
        <v>8964</v>
      </c>
      <c r="X806" s="26" t="s">
        <v>1076</v>
      </c>
      <c r="Y806" s="18" t="s">
        <v>12026</v>
      </c>
      <c r="Z806" s="24" t="s">
        <v>11</v>
      </c>
    </row>
    <row r="807" spans="1:26" ht="20.100000000000001" customHeight="1" x14ac:dyDescent="0.2">
      <c r="A807" s="18" t="s">
        <v>13807</v>
      </c>
      <c r="B807" s="19" t="s">
        <v>13808</v>
      </c>
      <c r="C807" s="19" t="s">
        <v>13809</v>
      </c>
      <c r="D807" s="8" t="s">
        <v>9049</v>
      </c>
      <c r="E807" s="20" t="s">
        <v>9050</v>
      </c>
      <c r="F807" s="20" t="s">
        <v>10135</v>
      </c>
      <c r="G807" s="20" t="s">
        <v>9157</v>
      </c>
      <c r="H807" s="20">
        <v>9939</v>
      </c>
      <c r="I807" s="20" t="s">
        <v>9019</v>
      </c>
      <c r="J807" s="20" t="s">
        <v>8953</v>
      </c>
      <c r="K807" s="20" t="s">
        <v>8989</v>
      </c>
      <c r="L807" s="21" t="s">
        <v>8955</v>
      </c>
      <c r="M807" s="20" t="s">
        <v>8956</v>
      </c>
      <c r="N807" s="20" t="s">
        <v>8959</v>
      </c>
      <c r="O807" s="20">
        <f t="shared" si="12"/>
        <v>5</v>
      </c>
      <c r="P807" s="22" t="s">
        <v>8958</v>
      </c>
      <c r="Q807" s="21" t="s">
        <v>9009</v>
      </c>
      <c r="R807" s="23" t="s">
        <v>9333</v>
      </c>
      <c r="S807" s="24" t="s">
        <v>9228</v>
      </c>
      <c r="T807" s="24" t="str">
        <f>VLOOKUP(R807,[1]Sheet3!$A$2:$A$47,1,0)</f>
        <v>Japan</v>
      </c>
      <c r="U807" s="24" t="s">
        <v>13810</v>
      </c>
      <c r="V807" s="24" t="s">
        <v>13811</v>
      </c>
      <c r="W807" s="18" t="s">
        <v>8964</v>
      </c>
      <c r="X807" s="26" t="s">
        <v>110</v>
      </c>
      <c r="Y807" s="18" t="s">
        <v>9231</v>
      </c>
      <c r="Z807" s="24" t="s">
        <v>4</v>
      </c>
    </row>
    <row r="808" spans="1:26" ht="20.100000000000001" customHeight="1" x14ac:dyDescent="0.2">
      <c r="A808" s="18" t="s">
        <v>13812</v>
      </c>
      <c r="B808" s="19" t="s">
        <v>13813</v>
      </c>
      <c r="C808" s="19" t="s">
        <v>13814</v>
      </c>
      <c r="D808" s="8" t="s">
        <v>9075</v>
      </c>
      <c r="E808" s="20" t="s">
        <v>8971</v>
      </c>
      <c r="F808" s="20" t="s">
        <v>12500</v>
      </c>
      <c r="G808" s="20" t="s">
        <v>8951</v>
      </c>
      <c r="H808" s="20">
        <v>132</v>
      </c>
      <c r="I808" s="20" t="s">
        <v>9158</v>
      </c>
      <c r="J808" s="20" t="s">
        <v>9059</v>
      </c>
      <c r="K808" s="20" t="s">
        <v>8989</v>
      </c>
      <c r="L808" s="21" t="s">
        <v>8955</v>
      </c>
      <c r="M808" s="20" t="s">
        <v>8956</v>
      </c>
      <c r="N808" s="20" t="s">
        <v>8957</v>
      </c>
      <c r="O808" s="20">
        <f t="shared" si="12"/>
        <v>16</v>
      </c>
      <c r="P808" s="22" t="s">
        <v>8975</v>
      </c>
      <c r="Q808" s="21" t="s">
        <v>8959</v>
      </c>
      <c r="R808" s="23" t="s">
        <v>9380</v>
      </c>
      <c r="S808" s="24" t="s">
        <v>9342</v>
      </c>
      <c r="T808" s="24" t="str">
        <f>VLOOKUP(R808,[1]Sheet3!$A$2:$A$47,1,0)</f>
        <v>Canada</v>
      </c>
      <c r="U808" s="24" t="s">
        <v>13815</v>
      </c>
      <c r="V808" s="24" t="s">
        <v>13816</v>
      </c>
      <c r="W808" s="18" t="s">
        <v>8964</v>
      </c>
      <c r="X808" s="26" t="s">
        <v>64</v>
      </c>
      <c r="Y808" s="18" t="s">
        <v>9345</v>
      </c>
      <c r="Z808" s="24" t="s">
        <v>4</v>
      </c>
    </row>
    <row r="809" spans="1:26" ht="20.100000000000001" customHeight="1" x14ac:dyDescent="0.2">
      <c r="A809" s="18" t="s">
        <v>13817</v>
      </c>
      <c r="B809" s="19" t="s">
        <v>13818</v>
      </c>
      <c r="C809" s="19" t="s">
        <v>13819</v>
      </c>
      <c r="D809" s="8" t="s">
        <v>9605</v>
      </c>
      <c r="E809" s="20" t="s">
        <v>8998</v>
      </c>
      <c r="F809" s="20" t="s">
        <v>9974</v>
      </c>
      <c r="G809" s="20" t="s">
        <v>9076</v>
      </c>
      <c r="H809" s="20">
        <v>7015</v>
      </c>
      <c r="I809" s="20" t="s">
        <v>9019</v>
      </c>
      <c r="J809" s="20" t="s">
        <v>8953</v>
      </c>
      <c r="K809" s="20" t="s">
        <v>8989</v>
      </c>
      <c r="L809" s="21" t="s">
        <v>8955</v>
      </c>
      <c r="M809" s="20" t="s">
        <v>8956</v>
      </c>
      <c r="N809" s="20" t="s">
        <v>8957</v>
      </c>
      <c r="O809" s="20">
        <f t="shared" si="12"/>
        <v>8</v>
      </c>
      <c r="P809" s="22" t="s">
        <v>8975</v>
      </c>
      <c r="Q809" s="21" t="s">
        <v>8959</v>
      </c>
      <c r="R809" s="23" t="s">
        <v>9310</v>
      </c>
      <c r="S809" s="24" t="s">
        <v>9159</v>
      </c>
      <c r="T809" s="24" t="str">
        <f>VLOOKUP(R809,[1]Sheet3!$A$2:$A$47,1,0)</f>
        <v>China</v>
      </c>
      <c r="U809" s="24" t="s">
        <v>13820</v>
      </c>
      <c r="V809" s="24" t="s">
        <v>13821</v>
      </c>
      <c r="W809" s="18" t="s">
        <v>8964</v>
      </c>
      <c r="X809" s="26" t="s">
        <v>61</v>
      </c>
      <c r="Y809" s="18" t="s">
        <v>9162</v>
      </c>
      <c r="Z809" s="24" t="s">
        <v>4</v>
      </c>
    </row>
    <row r="810" spans="1:26" ht="20.100000000000001" customHeight="1" x14ac:dyDescent="0.2">
      <c r="A810" s="18" t="s">
        <v>13822</v>
      </c>
      <c r="B810" s="19" t="s">
        <v>13823</v>
      </c>
      <c r="C810" s="19" t="s">
        <v>13824</v>
      </c>
      <c r="D810" s="8" t="s">
        <v>9092</v>
      </c>
      <c r="E810" s="20" t="s">
        <v>8998</v>
      </c>
      <c r="F810" s="20" t="s">
        <v>9036</v>
      </c>
      <c r="G810" s="20" t="s">
        <v>8987</v>
      </c>
      <c r="H810" s="20">
        <v>4532</v>
      </c>
      <c r="I810" s="20" t="s">
        <v>9019</v>
      </c>
      <c r="J810" s="20" t="s">
        <v>8953</v>
      </c>
      <c r="K810" s="20" t="s">
        <v>8989</v>
      </c>
      <c r="L810" s="21" t="s">
        <v>8955</v>
      </c>
      <c r="M810" s="20" t="s">
        <v>8956</v>
      </c>
      <c r="N810" s="20" t="s">
        <v>8957</v>
      </c>
      <c r="O810" s="20">
        <f t="shared" si="12"/>
        <v>4</v>
      </c>
      <c r="P810" s="22" t="s">
        <v>8958</v>
      </c>
      <c r="Q810" s="21" t="s">
        <v>8959</v>
      </c>
      <c r="R810" s="23" t="s">
        <v>10032</v>
      </c>
      <c r="S810" s="24" t="s">
        <v>13825</v>
      </c>
      <c r="T810" s="24" t="str">
        <f>VLOOKUP(R810,[1]Sheet3!$A$2:$A$47,1,0)</f>
        <v>France</v>
      </c>
      <c r="U810" s="24" t="s">
        <v>13826</v>
      </c>
      <c r="V810" s="24" t="s">
        <v>13827</v>
      </c>
      <c r="W810" s="18" t="s">
        <v>8964</v>
      </c>
      <c r="X810" s="26" t="s">
        <v>2627</v>
      </c>
      <c r="Y810" s="18" t="s">
        <v>13828</v>
      </c>
      <c r="Z810" s="24" t="s">
        <v>4</v>
      </c>
    </row>
    <row r="811" spans="1:26" ht="20.100000000000001" customHeight="1" x14ac:dyDescent="0.2">
      <c r="A811" s="18" t="s">
        <v>13829</v>
      </c>
      <c r="B811" s="19" t="s">
        <v>13830</v>
      </c>
      <c r="C811" s="19" t="s">
        <v>13831</v>
      </c>
      <c r="D811" s="8" t="s">
        <v>13832</v>
      </c>
      <c r="E811" s="20" t="s">
        <v>9155</v>
      </c>
      <c r="F811" s="20" t="s">
        <v>8972</v>
      </c>
      <c r="G811" s="20" t="s">
        <v>8973</v>
      </c>
      <c r="H811" s="20">
        <v>26250</v>
      </c>
      <c r="I811" s="20" t="s">
        <v>9019</v>
      </c>
      <c r="J811" s="20" t="s">
        <v>8953</v>
      </c>
      <c r="K811" s="20" t="s">
        <v>8954</v>
      </c>
      <c r="L811" s="21" t="s">
        <v>8955</v>
      </c>
      <c r="M811" s="20" t="s">
        <v>8990</v>
      </c>
      <c r="N811" s="20" t="s">
        <v>8957</v>
      </c>
      <c r="O811" s="20">
        <f t="shared" si="12"/>
        <v>9</v>
      </c>
      <c r="P811" s="22" t="s">
        <v>8975</v>
      </c>
      <c r="Q811" s="21" t="s">
        <v>8959</v>
      </c>
      <c r="R811" s="23" t="s">
        <v>9380</v>
      </c>
      <c r="S811" s="24" t="s">
        <v>9114</v>
      </c>
      <c r="T811" s="24" t="str">
        <f>VLOOKUP(R811,[1]Sheet3!$A$2:$A$47,1,0)</f>
        <v>Canada</v>
      </c>
      <c r="U811" s="24" t="s">
        <v>13385</v>
      </c>
      <c r="V811" s="24" t="s">
        <v>13833</v>
      </c>
      <c r="W811" s="18" t="s">
        <v>8964</v>
      </c>
      <c r="X811" s="26" t="s">
        <v>53</v>
      </c>
      <c r="Y811" s="18" t="s">
        <v>9117</v>
      </c>
      <c r="Z811" s="24" t="s">
        <v>4</v>
      </c>
    </row>
    <row r="812" spans="1:26" ht="20.100000000000001" customHeight="1" x14ac:dyDescent="0.2">
      <c r="A812" s="18" t="s">
        <v>13834</v>
      </c>
      <c r="B812" s="19" t="s">
        <v>13835</v>
      </c>
      <c r="C812" s="19" t="s">
        <v>13836</v>
      </c>
      <c r="D812" s="8" t="s">
        <v>9035</v>
      </c>
      <c r="E812" s="20" t="s">
        <v>8998</v>
      </c>
      <c r="F812" s="20" t="s">
        <v>12454</v>
      </c>
      <c r="G812" s="20" t="s">
        <v>8973</v>
      </c>
      <c r="H812" s="20">
        <v>314</v>
      </c>
      <c r="I812" s="20" t="s">
        <v>8988</v>
      </c>
      <c r="J812" s="20" t="s">
        <v>9059</v>
      </c>
      <c r="K812" s="20" t="s">
        <v>8989</v>
      </c>
      <c r="L812" s="21" t="s">
        <v>8955</v>
      </c>
      <c r="M812" s="20" t="s">
        <v>8956</v>
      </c>
      <c r="N812" s="20" t="s">
        <v>8957</v>
      </c>
      <c r="O812" s="20">
        <f t="shared" si="12"/>
        <v>6</v>
      </c>
      <c r="P812" s="22" t="s">
        <v>8958</v>
      </c>
      <c r="Q812" s="21" t="s">
        <v>9009</v>
      </c>
      <c r="R812" s="23" t="s">
        <v>9010</v>
      </c>
      <c r="S812" s="24" t="s">
        <v>9114</v>
      </c>
      <c r="T812" s="24" t="str">
        <f>VLOOKUP(R812,[1]Sheet3!$A$2:$A$47,1,0)</f>
        <v>the United States of America</v>
      </c>
      <c r="U812" s="24" t="s">
        <v>13837</v>
      </c>
      <c r="V812" s="24" t="s">
        <v>13838</v>
      </c>
      <c r="W812" s="18" t="s">
        <v>8964</v>
      </c>
      <c r="X812" s="26" t="s">
        <v>53</v>
      </c>
      <c r="Y812" s="18" t="s">
        <v>9117</v>
      </c>
      <c r="Z812" s="24" t="s">
        <v>4</v>
      </c>
    </row>
    <row r="813" spans="1:26" ht="20.100000000000001" customHeight="1" x14ac:dyDescent="0.2">
      <c r="A813" s="18" t="s">
        <v>13839</v>
      </c>
      <c r="B813" s="19" t="s">
        <v>13840</v>
      </c>
      <c r="C813" s="19" t="s">
        <v>13841</v>
      </c>
      <c r="D813" s="8" t="s">
        <v>8984</v>
      </c>
      <c r="E813" s="20" t="s">
        <v>8949</v>
      </c>
      <c r="F813" s="20" t="s">
        <v>9036</v>
      </c>
      <c r="G813" s="20" t="s">
        <v>8951</v>
      </c>
      <c r="H813" s="20">
        <v>522</v>
      </c>
      <c r="I813" s="20" t="s">
        <v>9077</v>
      </c>
      <c r="J813" s="20" t="s">
        <v>9059</v>
      </c>
      <c r="K813" s="20" t="s">
        <v>8989</v>
      </c>
      <c r="L813" s="21" t="s">
        <v>8955</v>
      </c>
      <c r="M813" s="20" t="s">
        <v>8956</v>
      </c>
      <c r="N813" s="20" t="s">
        <v>8959</v>
      </c>
      <c r="O813" s="20">
        <f t="shared" si="12"/>
        <v>7</v>
      </c>
      <c r="P813" s="22" t="s">
        <v>8958</v>
      </c>
      <c r="Q813" s="21" t="s">
        <v>9061</v>
      </c>
      <c r="R813" s="23" t="s">
        <v>9010</v>
      </c>
      <c r="S813" s="24" t="s">
        <v>12620</v>
      </c>
      <c r="T813" s="24" t="str">
        <f>VLOOKUP(R813,[1]Sheet3!$A$2:$A$47,1,0)</f>
        <v>the United States of America</v>
      </c>
      <c r="U813" s="24" t="s">
        <v>13842</v>
      </c>
      <c r="V813" s="24" t="s">
        <v>13843</v>
      </c>
      <c r="W813" s="18" t="s">
        <v>8964</v>
      </c>
      <c r="X813" s="26" t="s">
        <v>619</v>
      </c>
      <c r="Y813" s="18" t="s">
        <v>12623</v>
      </c>
      <c r="Z813" s="24" t="s">
        <v>11</v>
      </c>
    </row>
    <row r="814" spans="1:26" ht="20.100000000000001" customHeight="1" x14ac:dyDescent="0.2">
      <c r="A814" s="18" t="s">
        <v>13844</v>
      </c>
      <c r="B814" s="19" t="s">
        <v>13845</v>
      </c>
      <c r="C814" s="19" t="s">
        <v>13846</v>
      </c>
      <c r="D814" s="8" t="s">
        <v>9092</v>
      </c>
      <c r="E814" s="33" t="s">
        <v>9308</v>
      </c>
      <c r="F814" s="20" t="s">
        <v>9036</v>
      </c>
      <c r="G814" s="20" t="s">
        <v>9133</v>
      </c>
      <c r="H814" s="20">
        <v>420</v>
      </c>
      <c r="I814" s="20" t="s">
        <v>8988</v>
      </c>
      <c r="J814" s="20" t="s">
        <v>8953</v>
      </c>
      <c r="K814" s="20" t="s">
        <v>8989</v>
      </c>
      <c r="L814" s="21" t="s">
        <v>8955</v>
      </c>
      <c r="M814" s="20" t="s">
        <v>8956</v>
      </c>
      <c r="N814" s="20" t="s">
        <v>8974</v>
      </c>
      <c r="O814" s="20">
        <f t="shared" si="12"/>
        <v>5</v>
      </c>
      <c r="P814" s="22" t="s">
        <v>8958</v>
      </c>
      <c r="Q814" s="21" t="s">
        <v>9061</v>
      </c>
      <c r="R814" s="23" t="s">
        <v>9310</v>
      </c>
      <c r="S814" s="24" t="s">
        <v>9228</v>
      </c>
      <c r="T814" s="24" t="str">
        <f>VLOOKUP(R814,[1]Sheet3!$A$2:$A$47,1,0)</f>
        <v>China</v>
      </c>
      <c r="U814" s="24" t="s">
        <v>13847</v>
      </c>
      <c r="V814" s="24" t="s">
        <v>13848</v>
      </c>
      <c r="W814" s="18" t="s">
        <v>8964</v>
      </c>
      <c r="X814" s="26" t="s">
        <v>110</v>
      </c>
      <c r="Y814" s="18" t="s">
        <v>9231</v>
      </c>
      <c r="Z814" s="24" t="s">
        <v>4</v>
      </c>
    </row>
    <row r="815" spans="1:26" ht="20.100000000000001" customHeight="1" x14ac:dyDescent="0.2">
      <c r="A815" s="18" t="s">
        <v>13849</v>
      </c>
      <c r="B815" s="19" t="s">
        <v>13850</v>
      </c>
      <c r="C815" s="19" t="s">
        <v>13851</v>
      </c>
      <c r="D815" s="8" t="s">
        <v>9092</v>
      </c>
      <c r="E815" s="20" t="s">
        <v>8998</v>
      </c>
      <c r="F815" s="20" t="s">
        <v>9036</v>
      </c>
      <c r="G815" s="20" t="s">
        <v>8951</v>
      </c>
      <c r="H815" s="20">
        <v>642</v>
      </c>
      <c r="I815" s="20" t="s">
        <v>9077</v>
      </c>
      <c r="J815" s="20" t="s">
        <v>8953</v>
      </c>
      <c r="K815" s="20" t="s">
        <v>8989</v>
      </c>
      <c r="L815" s="21" t="s">
        <v>8955</v>
      </c>
      <c r="M815" s="20" t="s">
        <v>8956</v>
      </c>
      <c r="N815" s="20" t="s">
        <v>8957</v>
      </c>
      <c r="O815" s="20">
        <f t="shared" si="12"/>
        <v>7</v>
      </c>
      <c r="P815" s="22" t="s">
        <v>8958</v>
      </c>
      <c r="Q815" s="61" t="s">
        <v>8959</v>
      </c>
      <c r="R815" s="23" t="s">
        <v>10032</v>
      </c>
      <c r="S815" s="24" t="s">
        <v>9052</v>
      </c>
      <c r="T815" s="24" t="str">
        <f>VLOOKUP(R815,[1]Sheet3!$A$2:$A$47,1,0)</f>
        <v>France</v>
      </c>
      <c r="U815" s="24" t="s">
        <v>13852</v>
      </c>
      <c r="V815" s="24" t="s">
        <v>13853</v>
      </c>
      <c r="W815" s="18" t="s">
        <v>8964</v>
      </c>
      <c r="X815" s="26" t="s">
        <v>74</v>
      </c>
      <c r="Y815" s="18" t="s">
        <v>9055</v>
      </c>
      <c r="Z815" s="24" t="s">
        <v>4</v>
      </c>
    </row>
    <row r="816" spans="1:26" ht="20.100000000000001" customHeight="1" x14ac:dyDescent="0.2">
      <c r="A816" s="18" t="s">
        <v>13854</v>
      </c>
      <c r="B816" s="19" t="s">
        <v>13855</v>
      </c>
      <c r="C816" s="19" t="s">
        <v>13856</v>
      </c>
      <c r="D816" s="8" t="s">
        <v>9075</v>
      </c>
      <c r="E816" s="20" t="s">
        <v>8949</v>
      </c>
      <c r="F816" s="20" t="s">
        <v>9036</v>
      </c>
      <c r="G816" s="20" t="s">
        <v>8973</v>
      </c>
      <c r="H816" s="20">
        <v>2000</v>
      </c>
      <c r="I816" s="20" t="s">
        <v>8952</v>
      </c>
      <c r="J816" s="20" t="s">
        <v>9059</v>
      </c>
      <c r="K816" s="20" t="s">
        <v>8989</v>
      </c>
      <c r="L816" s="21" t="s">
        <v>8955</v>
      </c>
      <c r="M816" s="20" t="s">
        <v>8956</v>
      </c>
      <c r="N816" s="20" t="s">
        <v>8957</v>
      </c>
      <c r="O816" s="20">
        <f t="shared" si="12"/>
        <v>9</v>
      </c>
      <c r="P816" s="22" t="s">
        <v>8975</v>
      </c>
      <c r="Q816" s="21" t="s">
        <v>9061</v>
      </c>
      <c r="R816" s="23" t="s">
        <v>9010</v>
      </c>
      <c r="S816" s="24" t="s">
        <v>9020</v>
      </c>
      <c r="T816" s="24" t="str">
        <f>VLOOKUP(R816,[1]Sheet3!$A$2:$A$47,1,0)</f>
        <v>the United States of America</v>
      </c>
      <c r="U816" s="24" t="s">
        <v>13857</v>
      </c>
      <c r="V816" s="24" t="s">
        <v>13858</v>
      </c>
      <c r="W816" s="18" t="s">
        <v>8964</v>
      </c>
      <c r="X816" s="26" t="s">
        <v>87</v>
      </c>
      <c r="Y816" s="18" t="s">
        <v>9023</v>
      </c>
      <c r="Z816" s="24" t="s">
        <v>4</v>
      </c>
    </row>
    <row r="817" spans="1:26" ht="20.100000000000001" customHeight="1" x14ac:dyDescent="0.2">
      <c r="A817" s="18" t="s">
        <v>13859</v>
      </c>
      <c r="B817" s="19" t="s">
        <v>13860</v>
      </c>
      <c r="C817" s="19" t="s">
        <v>13861</v>
      </c>
      <c r="D817" s="8" t="s">
        <v>9154</v>
      </c>
      <c r="E817" s="20" t="s">
        <v>9155</v>
      </c>
      <c r="F817" s="20" t="s">
        <v>9436</v>
      </c>
      <c r="G817" s="20" t="s">
        <v>8973</v>
      </c>
      <c r="H817" s="20">
        <v>30</v>
      </c>
      <c r="I817" s="20" t="s">
        <v>9008</v>
      </c>
      <c r="J817" s="20" t="s">
        <v>8953</v>
      </c>
      <c r="K817" s="20" t="s">
        <v>8954</v>
      </c>
      <c r="L817" s="21" t="s">
        <v>8955</v>
      </c>
      <c r="M817" s="20" t="s">
        <v>8956</v>
      </c>
      <c r="N817" s="20" t="s">
        <v>8957</v>
      </c>
      <c r="O817" s="20">
        <f t="shared" si="12"/>
        <v>7</v>
      </c>
      <c r="P817" s="22" t="s">
        <v>8958</v>
      </c>
      <c r="Q817" s="21" t="s">
        <v>8959</v>
      </c>
      <c r="R817" s="23" t="s">
        <v>9310</v>
      </c>
      <c r="S817" s="24" t="s">
        <v>8961</v>
      </c>
      <c r="T817" s="24" t="str">
        <f>VLOOKUP(R817,[1]Sheet3!$A$2:$A$47,1,0)</f>
        <v>China</v>
      </c>
      <c r="U817" s="24" t="s">
        <v>13006</v>
      </c>
      <c r="V817" s="24" t="s">
        <v>13862</v>
      </c>
      <c r="W817" s="18" t="s">
        <v>8964</v>
      </c>
      <c r="X817" s="26" t="s">
        <v>126</v>
      </c>
      <c r="Y817" s="18" t="s">
        <v>8966</v>
      </c>
      <c r="Z817" s="24" t="s">
        <v>4</v>
      </c>
    </row>
    <row r="818" spans="1:26" ht="20.100000000000001" customHeight="1" x14ac:dyDescent="0.2">
      <c r="A818" s="18" t="s">
        <v>13863</v>
      </c>
      <c r="B818" s="19" t="s">
        <v>13864</v>
      </c>
      <c r="C818" s="19" t="s">
        <v>13865</v>
      </c>
      <c r="D818" s="8" t="s">
        <v>9075</v>
      </c>
      <c r="E818" s="20" t="s">
        <v>8998</v>
      </c>
      <c r="F818" s="20" t="s">
        <v>9018</v>
      </c>
      <c r="G818" s="20" t="s">
        <v>8973</v>
      </c>
      <c r="H818" s="20">
        <v>244</v>
      </c>
      <c r="I818" s="20" t="s">
        <v>9158</v>
      </c>
      <c r="J818" s="20" t="s">
        <v>8953</v>
      </c>
      <c r="K818" s="20" t="s">
        <v>8954</v>
      </c>
      <c r="L818" s="21" t="s">
        <v>8955</v>
      </c>
      <c r="M818" s="20" t="s">
        <v>8956</v>
      </c>
      <c r="N818" s="20" t="s">
        <v>8957</v>
      </c>
      <c r="O818" s="20">
        <f t="shared" si="12"/>
        <v>7</v>
      </c>
      <c r="P818" s="22" t="s">
        <v>8958</v>
      </c>
      <c r="Q818" s="21" t="s">
        <v>9009</v>
      </c>
      <c r="R818" s="23" t="s">
        <v>10049</v>
      </c>
      <c r="S818" s="24" t="s">
        <v>9255</v>
      </c>
      <c r="T818" s="24" t="str">
        <f>VLOOKUP(R818,[1]Sheet3!$A$2:$A$47,1,0)</f>
        <v>Italy</v>
      </c>
      <c r="U818" s="24" t="s">
        <v>13866</v>
      </c>
      <c r="V818" s="24" t="s">
        <v>13867</v>
      </c>
      <c r="W818" s="18" t="s">
        <v>8964</v>
      </c>
      <c r="X818" s="26" t="s">
        <v>24</v>
      </c>
      <c r="Y818" s="18" t="s">
        <v>9258</v>
      </c>
      <c r="Z818" s="24" t="s">
        <v>4</v>
      </c>
    </row>
    <row r="819" spans="1:26" ht="20.100000000000001" customHeight="1" x14ac:dyDescent="0.2">
      <c r="A819" s="18" t="s">
        <v>13868</v>
      </c>
      <c r="B819" s="19" t="s">
        <v>13869</v>
      </c>
      <c r="C819" s="19" t="s">
        <v>13870</v>
      </c>
      <c r="D819" s="8" t="s">
        <v>9092</v>
      </c>
      <c r="E819" s="20" t="s">
        <v>8949</v>
      </c>
      <c r="F819" s="20" t="s">
        <v>9036</v>
      </c>
      <c r="G819" s="20" t="s">
        <v>8987</v>
      </c>
      <c r="H819" s="20">
        <v>21</v>
      </c>
      <c r="I819" s="20" t="s">
        <v>9008</v>
      </c>
      <c r="J819" s="20" t="s">
        <v>9059</v>
      </c>
      <c r="K819" s="20" t="s">
        <v>8989</v>
      </c>
      <c r="L819" s="21" t="s">
        <v>8955</v>
      </c>
      <c r="M819" s="20" t="s">
        <v>8990</v>
      </c>
      <c r="N819" s="20" t="s">
        <v>8957</v>
      </c>
      <c r="O819" s="20">
        <f t="shared" si="12"/>
        <v>5</v>
      </c>
      <c r="P819" s="22" t="s">
        <v>8958</v>
      </c>
      <c r="Q819" s="21" t="s">
        <v>9061</v>
      </c>
      <c r="R819" s="23" t="s">
        <v>9010</v>
      </c>
      <c r="S819" s="24" t="s">
        <v>9028</v>
      </c>
      <c r="T819" s="24" t="str">
        <f>VLOOKUP(R819,[1]Sheet3!$A$2:$A$47,1,0)</f>
        <v>the United States of America</v>
      </c>
      <c r="U819" s="24" t="s">
        <v>13871</v>
      </c>
      <c r="V819" s="24" t="s">
        <v>13872</v>
      </c>
      <c r="W819" s="18" t="s">
        <v>8964</v>
      </c>
      <c r="X819" s="26" t="s">
        <v>43</v>
      </c>
      <c r="Y819" s="18" t="s">
        <v>9031</v>
      </c>
      <c r="Z819" s="24" t="s">
        <v>11</v>
      </c>
    </row>
    <row r="820" spans="1:26" ht="20.100000000000001" customHeight="1" x14ac:dyDescent="0.2">
      <c r="A820" s="18" t="s">
        <v>13873</v>
      </c>
      <c r="B820" s="19" t="s">
        <v>13874</v>
      </c>
      <c r="C820" s="19" t="s">
        <v>13875</v>
      </c>
      <c r="D820" s="8" t="s">
        <v>9049</v>
      </c>
      <c r="E820" s="20" t="s">
        <v>9050</v>
      </c>
      <c r="F820" s="20" t="s">
        <v>9036</v>
      </c>
      <c r="G820" s="20" t="s">
        <v>8951</v>
      </c>
      <c r="H820" s="20">
        <v>88702</v>
      </c>
      <c r="I820" s="20" t="s">
        <v>9019</v>
      </c>
      <c r="J820" s="20" t="s">
        <v>8953</v>
      </c>
      <c r="K820" s="20" t="s">
        <v>8954</v>
      </c>
      <c r="L820" s="21" t="s">
        <v>8955</v>
      </c>
      <c r="M820" s="20" t="s">
        <v>8956</v>
      </c>
      <c r="N820" s="20" t="s">
        <v>8957</v>
      </c>
      <c r="O820" s="20">
        <f t="shared" si="12"/>
        <v>5</v>
      </c>
      <c r="P820" s="22" t="s">
        <v>8958</v>
      </c>
      <c r="Q820" s="21" t="s">
        <v>9009</v>
      </c>
      <c r="R820" s="23" t="s">
        <v>10032</v>
      </c>
      <c r="S820" s="24" t="s">
        <v>8961</v>
      </c>
      <c r="T820" s="24" t="str">
        <f>VLOOKUP(R820,[1]Sheet3!$A$2:$A$47,1,0)</f>
        <v>France</v>
      </c>
      <c r="U820" s="24" t="s">
        <v>13876</v>
      </c>
      <c r="V820" s="24" t="s">
        <v>13877</v>
      </c>
      <c r="W820" s="18" t="s">
        <v>8964</v>
      </c>
      <c r="X820" s="26" t="s">
        <v>126</v>
      </c>
      <c r="Y820" s="18" t="s">
        <v>8966</v>
      </c>
      <c r="Z820" s="24" t="s">
        <v>4</v>
      </c>
    </row>
    <row r="821" spans="1:26" ht="20.100000000000001" customHeight="1" x14ac:dyDescent="0.2">
      <c r="A821" s="18" t="s">
        <v>13878</v>
      </c>
      <c r="B821" s="19" t="s">
        <v>13879</v>
      </c>
      <c r="C821" s="19" t="s">
        <v>13880</v>
      </c>
      <c r="D821" s="8" t="s">
        <v>9035</v>
      </c>
      <c r="E821" s="20" t="s">
        <v>8998</v>
      </c>
      <c r="F821" s="20" t="s">
        <v>9436</v>
      </c>
      <c r="G821" s="20" t="s">
        <v>9464</v>
      </c>
      <c r="H821" s="20">
        <v>32</v>
      </c>
      <c r="I821" s="20" t="s">
        <v>9008</v>
      </c>
      <c r="J821" s="20" t="s">
        <v>11658</v>
      </c>
      <c r="K821" s="20" t="s">
        <v>8989</v>
      </c>
      <c r="L821" s="21" t="s">
        <v>8955</v>
      </c>
      <c r="M821" s="20" t="s">
        <v>8990</v>
      </c>
      <c r="N821" s="20" t="s">
        <v>8974</v>
      </c>
      <c r="O821" s="20">
        <f t="shared" si="12"/>
        <v>4</v>
      </c>
      <c r="P821" s="22" t="s">
        <v>8958</v>
      </c>
      <c r="Q821" s="21" t="s">
        <v>8959</v>
      </c>
      <c r="R821" s="23" t="s">
        <v>9333</v>
      </c>
      <c r="S821" s="24" t="s">
        <v>9342</v>
      </c>
      <c r="T821" s="24" t="str">
        <f>VLOOKUP(R821,[1]Sheet3!$A$2:$A$47,1,0)</f>
        <v>Japan</v>
      </c>
      <c r="U821" s="24" t="s">
        <v>13881</v>
      </c>
      <c r="V821" s="24" t="s">
        <v>13882</v>
      </c>
      <c r="W821" s="18" t="s">
        <v>8964</v>
      </c>
      <c r="X821" s="26" t="s">
        <v>64</v>
      </c>
      <c r="Y821" s="18" t="s">
        <v>9345</v>
      </c>
      <c r="Z821" s="24" t="s">
        <v>4</v>
      </c>
    </row>
    <row r="822" spans="1:26" ht="20.100000000000001" customHeight="1" x14ac:dyDescent="0.2">
      <c r="A822" s="18" t="s">
        <v>13883</v>
      </c>
      <c r="B822" s="19" t="s">
        <v>13884</v>
      </c>
      <c r="C822" s="19" t="s">
        <v>13885</v>
      </c>
      <c r="D822" s="8" t="s">
        <v>9035</v>
      </c>
      <c r="E822" s="20" t="s">
        <v>8998</v>
      </c>
      <c r="F822" s="20" t="s">
        <v>10258</v>
      </c>
      <c r="G822" s="20" t="s">
        <v>8987</v>
      </c>
      <c r="H822" s="20">
        <v>1010</v>
      </c>
      <c r="I822" s="20" t="s">
        <v>8952</v>
      </c>
      <c r="J822" s="20" t="s">
        <v>9059</v>
      </c>
      <c r="K822" s="20" t="s">
        <v>8989</v>
      </c>
      <c r="L822" s="21" t="s">
        <v>8955</v>
      </c>
      <c r="M822" s="20" t="s">
        <v>8956</v>
      </c>
      <c r="N822" s="20" t="s">
        <v>8957</v>
      </c>
      <c r="O822" s="20">
        <f t="shared" si="12"/>
        <v>3</v>
      </c>
      <c r="P822" s="22" t="s">
        <v>9103</v>
      </c>
      <c r="Q822" s="21" t="s">
        <v>8959</v>
      </c>
      <c r="R822" s="23" t="s">
        <v>9176</v>
      </c>
      <c r="S822" s="24" t="s">
        <v>9342</v>
      </c>
      <c r="T822" s="24" t="str">
        <f>VLOOKUP(R822,[1]Sheet3!$A$2:$A$47,1,0)</f>
        <v>Australia</v>
      </c>
      <c r="U822" s="24" t="s">
        <v>13886</v>
      </c>
      <c r="V822" s="24" t="s">
        <v>13887</v>
      </c>
      <c r="W822" s="18" t="s">
        <v>8964</v>
      </c>
      <c r="X822" s="26" t="s">
        <v>64</v>
      </c>
      <c r="Y822" s="18" t="s">
        <v>9345</v>
      </c>
      <c r="Z822" s="24" t="s">
        <v>4</v>
      </c>
    </row>
    <row r="823" spans="1:26" ht="20.100000000000001" customHeight="1" x14ac:dyDescent="0.2">
      <c r="A823" s="18" t="s">
        <v>13888</v>
      </c>
      <c r="B823" s="19" t="s">
        <v>13889</v>
      </c>
      <c r="C823" s="19" t="s">
        <v>13890</v>
      </c>
      <c r="D823" s="8" t="s">
        <v>9075</v>
      </c>
      <c r="E823" s="20" t="s">
        <v>8998</v>
      </c>
      <c r="F823" s="20" t="s">
        <v>9036</v>
      </c>
      <c r="G823" s="20" t="s">
        <v>8973</v>
      </c>
      <c r="H823" s="20">
        <v>2997</v>
      </c>
      <c r="I823" s="20" t="s">
        <v>8952</v>
      </c>
      <c r="J823" s="20" t="s">
        <v>8953</v>
      </c>
      <c r="K823" s="20" t="s">
        <v>8989</v>
      </c>
      <c r="L823" s="21" t="s">
        <v>8955</v>
      </c>
      <c r="M823" s="20" t="s">
        <v>8956</v>
      </c>
      <c r="N823" s="20" t="s">
        <v>8957</v>
      </c>
      <c r="O823" s="20">
        <f t="shared" si="12"/>
        <v>6</v>
      </c>
      <c r="P823" s="22" t="s">
        <v>8958</v>
      </c>
      <c r="Q823" s="21" t="s">
        <v>8959</v>
      </c>
      <c r="R823" s="23" t="s">
        <v>9010</v>
      </c>
      <c r="S823" s="24" t="s">
        <v>9085</v>
      </c>
      <c r="T823" s="24" t="str">
        <f>VLOOKUP(R823,[1]Sheet3!$A$2:$A$47,1,0)</f>
        <v>the United States of America</v>
      </c>
      <c r="U823" s="24" t="s">
        <v>13891</v>
      </c>
      <c r="V823" s="24" t="s">
        <v>13892</v>
      </c>
      <c r="W823" s="18" t="s">
        <v>8964</v>
      </c>
      <c r="X823" s="26" t="s">
        <v>184</v>
      </c>
      <c r="Y823" s="18" t="s">
        <v>9088</v>
      </c>
      <c r="Z823" s="24" t="s">
        <v>4</v>
      </c>
    </row>
    <row r="824" spans="1:26" ht="20.100000000000001" customHeight="1" x14ac:dyDescent="0.2">
      <c r="A824" s="18" t="s">
        <v>13893</v>
      </c>
      <c r="B824" s="19" t="s">
        <v>13894</v>
      </c>
      <c r="C824" s="19" t="s">
        <v>13895</v>
      </c>
      <c r="D824" s="8" t="s">
        <v>9605</v>
      </c>
      <c r="E824" s="20" t="s">
        <v>8998</v>
      </c>
      <c r="F824" s="20" t="s">
        <v>9036</v>
      </c>
      <c r="G824" s="20" t="s">
        <v>8987</v>
      </c>
      <c r="H824" s="20">
        <v>15957</v>
      </c>
      <c r="I824" s="20" t="s">
        <v>9008</v>
      </c>
      <c r="J824" s="20" t="s">
        <v>8953</v>
      </c>
      <c r="K824" s="20" t="s">
        <v>8989</v>
      </c>
      <c r="L824" s="21" t="s">
        <v>8955</v>
      </c>
      <c r="M824" s="20" t="s">
        <v>8956</v>
      </c>
      <c r="N824" s="20" t="s">
        <v>8959</v>
      </c>
      <c r="O824" s="20">
        <f t="shared" si="12"/>
        <v>6</v>
      </c>
      <c r="P824" s="22" t="s">
        <v>8958</v>
      </c>
      <c r="Q824" s="21" t="s">
        <v>9061</v>
      </c>
      <c r="R824" s="23" t="s">
        <v>9176</v>
      </c>
      <c r="S824" s="24" t="s">
        <v>9255</v>
      </c>
      <c r="T824" s="24" t="str">
        <f>VLOOKUP(R824,[1]Sheet3!$A$2:$A$47,1,0)</f>
        <v>Australia</v>
      </c>
      <c r="U824" s="24" t="s">
        <v>13896</v>
      </c>
      <c r="V824" s="24" t="s">
        <v>13897</v>
      </c>
      <c r="W824" s="18" t="s">
        <v>8964</v>
      </c>
      <c r="X824" s="26" t="s">
        <v>24</v>
      </c>
      <c r="Y824" s="18" t="s">
        <v>9258</v>
      </c>
      <c r="Z824" s="24" t="s">
        <v>4</v>
      </c>
    </row>
    <row r="825" spans="1:26" ht="20.100000000000001" customHeight="1" x14ac:dyDescent="0.2">
      <c r="A825" s="18" t="s">
        <v>13898</v>
      </c>
      <c r="B825" s="19" t="s">
        <v>13899</v>
      </c>
      <c r="C825" s="19" t="s">
        <v>13900</v>
      </c>
      <c r="D825" s="8" t="s">
        <v>9252</v>
      </c>
      <c r="E825" s="20" t="s">
        <v>9422</v>
      </c>
      <c r="F825" s="20" t="s">
        <v>8950</v>
      </c>
      <c r="G825" s="20" t="s">
        <v>8951</v>
      </c>
      <c r="H825" s="20">
        <v>78</v>
      </c>
      <c r="I825" s="20" t="s">
        <v>9008</v>
      </c>
      <c r="J825" s="20" t="s">
        <v>9059</v>
      </c>
      <c r="K825" s="20" t="s">
        <v>8954</v>
      </c>
      <c r="L825" s="21" t="s">
        <v>8955</v>
      </c>
      <c r="M825" s="20" t="s">
        <v>8956</v>
      </c>
      <c r="N825" s="20" t="s">
        <v>8957</v>
      </c>
      <c r="O825" s="20">
        <f t="shared" si="12"/>
        <v>3</v>
      </c>
      <c r="P825" s="22" t="s">
        <v>9103</v>
      </c>
      <c r="Q825" s="21" t="s">
        <v>8959</v>
      </c>
      <c r="R825" s="23" t="s">
        <v>9852</v>
      </c>
      <c r="S825" s="24" t="s">
        <v>9052</v>
      </c>
      <c r="T825" s="24" t="str">
        <f>VLOOKUP(R825,[1]Sheet3!$A$2:$A$47,1,0)</f>
        <v>Pakistan</v>
      </c>
      <c r="U825" s="24" t="s">
        <v>13901</v>
      </c>
      <c r="V825" s="24" t="s">
        <v>13902</v>
      </c>
      <c r="W825" s="18" t="s">
        <v>8964</v>
      </c>
      <c r="X825" s="26" t="s">
        <v>74</v>
      </c>
      <c r="Y825" s="18" t="s">
        <v>9055</v>
      </c>
      <c r="Z825" s="24" t="s">
        <v>4</v>
      </c>
    </row>
    <row r="826" spans="1:26" ht="20.100000000000001" customHeight="1" x14ac:dyDescent="0.2">
      <c r="A826" s="18" t="s">
        <v>13903</v>
      </c>
      <c r="B826" s="19" t="s">
        <v>13904</v>
      </c>
      <c r="C826" s="19" t="s">
        <v>13905</v>
      </c>
      <c r="D826" s="8" t="s">
        <v>9035</v>
      </c>
      <c r="E826" s="20" t="s">
        <v>8998</v>
      </c>
      <c r="F826" s="20" t="s">
        <v>13906</v>
      </c>
      <c r="G826" s="35" t="s">
        <v>8987</v>
      </c>
      <c r="H826" s="35">
        <v>134668</v>
      </c>
      <c r="I826" s="20" t="s">
        <v>9019</v>
      </c>
      <c r="J826" s="20" t="s">
        <v>8953</v>
      </c>
      <c r="K826" s="20" t="s">
        <v>8954</v>
      </c>
      <c r="L826" s="21" t="s">
        <v>8955</v>
      </c>
      <c r="M826" s="20" t="s">
        <v>8956</v>
      </c>
      <c r="N826" s="20" t="s">
        <v>8959</v>
      </c>
      <c r="O826" s="20">
        <f t="shared" si="12"/>
        <v>3</v>
      </c>
      <c r="P826" s="22" t="s">
        <v>9103</v>
      </c>
      <c r="Q826" s="21" t="s">
        <v>8959</v>
      </c>
      <c r="R826" s="23" t="s">
        <v>9010</v>
      </c>
      <c r="S826" s="24" t="s">
        <v>9052</v>
      </c>
      <c r="T826" s="24" t="str">
        <f>VLOOKUP(R826,[1]Sheet3!$A$2:$A$47,1,0)</f>
        <v>the United States of America</v>
      </c>
      <c r="U826" s="24" t="s">
        <v>13907</v>
      </c>
      <c r="V826" s="24" t="s">
        <v>13908</v>
      </c>
      <c r="W826" s="18" t="s">
        <v>8964</v>
      </c>
      <c r="X826" s="26" t="s">
        <v>74</v>
      </c>
      <c r="Y826" s="18" t="s">
        <v>9055</v>
      </c>
      <c r="Z826" s="24" t="s">
        <v>4</v>
      </c>
    </row>
    <row r="827" spans="1:26" ht="20.100000000000001" customHeight="1" x14ac:dyDescent="0.2">
      <c r="A827" s="18" t="s">
        <v>13909</v>
      </c>
      <c r="B827" s="19" t="s">
        <v>13910</v>
      </c>
      <c r="C827" s="19" t="s">
        <v>13911</v>
      </c>
      <c r="D827" s="8" t="s">
        <v>9154</v>
      </c>
      <c r="E827" s="20" t="s">
        <v>8949</v>
      </c>
      <c r="F827" s="20" t="s">
        <v>9036</v>
      </c>
      <c r="G827" s="20" t="s">
        <v>8973</v>
      </c>
      <c r="H827" s="20">
        <v>200</v>
      </c>
      <c r="I827" s="20" t="s">
        <v>9158</v>
      </c>
      <c r="J827" s="20" t="s">
        <v>9059</v>
      </c>
      <c r="K827" s="20" t="s">
        <v>8989</v>
      </c>
      <c r="L827" s="21" t="s">
        <v>8955</v>
      </c>
      <c r="M827" s="20" t="s">
        <v>8990</v>
      </c>
      <c r="N827" s="20" t="s">
        <v>8957</v>
      </c>
      <c r="O827" s="20">
        <f t="shared" si="12"/>
        <v>4</v>
      </c>
      <c r="P827" s="22" t="s">
        <v>8958</v>
      </c>
      <c r="Q827" s="21" t="s">
        <v>9061</v>
      </c>
      <c r="R827" s="23" t="s">
        <v>13122</v>
      </c>
      <c r="S827" s="24" t="s">
        <v>8961</v>
      </c>
      <c r="T827" s="24" t="str">
        <f>VLOOKUP(R827,[1]Sheet3!$A$2:$A$47,1,0)</f>
        <v>Malaysia</v>
      </c>
      <c r="U827" s="24" t="s">
        <v>13912</v>
      </c>
      <c r="V827" s="24" t="s">
        <v>13913</v>
      </c>
      <c r="W827" s="18" t="s">
        <v>8964</v>
      </c>
      <c r="X827" s="26" t="s">
        <v>126</v>
      </c>
      <c r="Y827" s="18" t="s">
        <v>8966</v>
      </c>
      <c r="Z827" s="24" t="s">
        <v>4</v>
      </c>
    </row>
    <row r="828" spans="1:26" ht="20.100000000000001" customHeight="1" x14ac:dyDescent="0.2">
      <c r="A828" s="18" t="s">
        <v>13914</v>
      </c>
      <c r="B828" s="19" t="s">
        <v>13915</v>
      </c>
      <c r="C828" s="19" t="s">
        <v>13916</v>
      </c>
      <c r="D828" s="8" t="s">
        <v>9035</v>
      </c>
      <c r="E828" s="20" t="s">
        <v>8998</v>
      </c>
      <c r="F828" s="21" t="s">
        <v>13917</v>
      </c>
      <c r="G828" s="20" t="s">
        <v>8987</v>
      </c>
      <c r="H828" s="20">
        <v>1007</v>
      </c>
      <c r="I828" s="20" t="s">
        <v>8952</v>
      </c>
      <c r="J828" s="20" t="s">
        <v>8953</v>
      </c>
      <c r="K828" s="20" t="s">
        <v>8954</v>
      </c>
      <c r="L828" s="21" t="s">
        <v>8955</v>
      </c>
      <c r="M828" s="20" t="s">
        <v>8956</v>
      </c>
      <c r="N828" s="20" t="s">
        <v>8959</v>
      </c>
      <c r="O828" s="20">
        <f t="shared" si="12"/>
        <v>2</v>
      </c>
      <c r="P828" s="22" t="s">
        <v>9103</v>
      </c>
      <c r="Q828" s="21" t="s">
        <v>9061</v>
      </c>
      <c r="R828" s="23" t="s">
        <v>9010</v>
      </c>
      <c r="S828" s="24" t="s">
        <v>180</v>
      </c>
      <c r="T828" s="24" t="str">
        <f>VLOOKUP(R828,[1]Sheet3!$A$2:$A$47,1,0)</f>
        <v>the United States of America</v>
      </c>
      <c r="U828" s="24" t="s">
        <v>13918</v>
      </c>
      <c r="V828" s="24" t="s">
        <v>13919</v>
      </c>
      <c r="W828" s="18" t="s">
        <v>8964</v>
      </c>
      <c r="X828" s="26" t="s">
        <v>180</v>
      </c>
      <c r="Y828" s="18" t="s">
        <v>11199</v>
      </c>
      <c r="Z828" s="24" t="s">
        <v>4</v>
      </c>
    </row>
    <row r="829" spans="1:26" ht="20.100000000000001" customHeight="1" x14ac:dyDescent="0.2">
      <c r="A829" s="18" t="s">
        <v>13920</v>
      </c>
      <c r="B829" s="19" t="s">
        <v>13921</v>
      </c>
      <c r="C829" s="19" t="s">
        <v>13922</v>
      </c>
      <c r="D829" s="8" t="s">
        <v>9252</v>
      </c>
      <c r="E829" s="20" t="s">
        <v>9253</v>
      </c>
      <c r="F829" s="20" t="s">
        <v>13923</v>
      </c>
      <c r="G829" s="20" t="s">
        <v>8987</v>
      </c>
      <c r="H829" s="20">
        <v>560</v>
      </c>
      <c r="I829" s="20" t="s">
        <v>9077</v>
      </c>
      <c r="J829" s="20" t="s">
        <v>8953</v>
      </c>
      <c r="K829" s="20" t="s">
        <v>8989</v>
      </c>
      <c r="L829" s="21" t="s">
        <v>8955</v>
      </c>
      <c r="M829" s="20" t="s">
        <v>8956</v>
      </c>
      <c r="N829" s="20" t="s">
        <v>8957</v>
      </c>
      <c r="O829" s="20">
        <f t="shared" si="12"/>
        <v>7</v>
      </c>
      <c r="P829" s="22" t="s">
        <v>8975</v>
      </c>
      <c r="Q829" s="21" t="s">
        <v>8959</v>
      </c>
      <c r="R829" s="23" t="s">
        <v>9010</v>
      </c>
      <c r="S829" s="24" t="s">
        <v>9550</v>
      </c>
      <c r="T829" s="24" t="str">
        <f>VLOOKUP(R829,[1]Sheet3!$A$2:$A$47,1,0)</f>
        <v>the United States of America</v>
      </c>
      <c r="U829" s="24" t="s">
        <v>13924</v>
      </c>
      <c r="V829" s="24" t="s">
        <v>13925</v>
      </c>
      <c r="W829" s="18" t="s">
        <v>8964</v>
      </c>
      <c r="X829" s="26" t="s">
        <v>234</v>
      </c>
      <c r="Y829" s="18" t="s">
        <v>9553</v>
      </c>
      <c r="Z829" s="24" t="s">
        <v>4</v>
      </c>
    </row>
    <row r="830" spans="1:26" ht="20.100000000000001" customHeight="1" x14ac:dyDescent="0.2">
      <c r="A830" s="18" t="s">
        <v>13926</v>
      </c>
      <c r="B830" s="19" t="s">
        <v>13927</v>
      </c>
      <c r="C830" s="19" t="s">
        <v>13928</v>
      </c>
      <c r="D830" s="8" t="s">
        <v>9035</v>
      </c>
      <c r="E830" s="20" t="s">
        <v>8998</v>
      </c>
      <c r="F830" s="20" t="s">
        <v>9036</v>
      </c>
      <c r="G830" s="20" t="s">
        <v>8987</v>
      </c>
      <c r="H830" s="20">
        <f>1352+639+162</f>
        <v>2153</v>
      </c>
      <c r="I830" s="20" t="s">
        <v>8952</v>
      </c>
      <c r="J830" s="20" t="s">
        <v>9059</v>
      </c>
      <c r="K830" s="20" t="s">
        <v>8954</v>
      </c>
      <c r="L830" s="21" t="s">
        <v>8955</v>
      </c>
      <c r="M830" s="20" t="s">
        <v>8956</v>
      </c>
      <c r="N830" s="20" t="s">
        <v>8957</v>
      </c>
      <c r="O830" s="20">
        <f t="shared" si="12"/>
        <v>13</v>
      </c>
      <c r="P830" s="22" t="s">
        <v>8975</v>
      </c>
      <c r="Q830" s="21" t="s">
        <v>9061</v>
      </c>
      <c r="R830" s="23" t="s">
        <v>9246</v>
      </c>
      <c r="S830" s="24" t="s">
        <v>9255</v>
      </c>
      <c r="T830" s="24" t="str">
        <f>VLOOKUP(R830,[1]Sheet3!$A$2:$A$47,1,0)</f>
        <v>Netherlands</v>
      </c>
      <c r="U830" s="24" t="s">
        <v>13726</v>
      </c>
      <c r="V830" s="24" t="s">
        <v>13929</v>
      </c>
      <c r="W830" s="18" t="s">
        <v>8964</v>
      </c>
      <c r="X830" s="26" t="s">
        <v>24</v>
      </c>
      <c r="Y830" s="18" t="s">
        <v>9258</v>
      </c>
      <c r="Z830" s="24" t="s">
        <v>4</v>
      </c>
    </row>
    <row r="831" spans="1:26" ht="20.100000000000001" customHeight="1" x14ac:dyDescent="0.2">
      <c r="A831" s="18" t="s">
        <v>13930</v>
      </c>
      <c r="B831" s="19" t="s">
        <v>13931</v>
      </c>
      <c r="C831" s="19" t="s">
        <v>13932</v>
      </c>
      <c r="D831" s="8" t="s">
        <v>9605</v>
      </c>
      <c r="E831" s="33" t="s">
        <v>9101</v>
      </c>
      <c r="F831" s="20" t="s">
        <v>9036</v>
      </c>
      <c r="G831" s="20" t="s">
        <v>8987</v>
      </c>
      <c r="H831" s="20">
        <v>22000</v>
      </c>
      <c r="I831" s="20" t="s">
        <v>9019</v>
      </c>
      <c r="J831" s="20" t="s">
        <v>8953</v>
      </c>
      <c r="K831" s="20" t="s">
        <v>8989</v>
      </c>
      <c r="L831" s="21" t="s">
        <v>8955</v>
      </c>
      <c r="M831" s="20" t="s">
        <v>8956</v>
      </c>
      <c r="N831" s="20" t="s">
        <v>8957</v>
      </c>
      <c r="O831" s="20">
        <f t="shared" si="12"/>
        <v>7</v>
      </c>
      <c r="P831" s="22" t="s">
        <v>8958</v>
      </c>
      <c r="Q831" s="21" t="s">
        <v>8959</v>
      </c>
      <c r="R831" s="23" t="s">
        <v>9380</v>
      </c>
      <c r="S831" s="24" t="s">
        <v>13933</v>
      </c>
      <c r="T831" s="24" t="str">
        <f>VLOOKUP(R831,[1]Sheet3!$A$2:$A$47,1,0)</f>
        <v>Canada</v>
      </c>
      <c r="U831" s="24" t="s">
        <v>13934</v>
      </c>
      <c r="V831" s="24" t="s">
        <v>13935</v>
      </c>
      <c r="W831" s="18" t="s">
        <v>8964</v>
      </c>
      <c r="X831" s="26" t="s">
        <v>3902</v>
      </c>
      <c r="Y831" s="18" t="s">
        <v>13936</v>
      </c>
      <c r="Z831" s="24" t="s">
        <v>4</v>
      </c>
    </row>
    <row r="832" spans="1:26" ht="20.100000000000001" customHeight="1" x14ac:dyDescent="0.2">
      <c r="A832" s="18" t="s">
        <v>13937</v>
      </c>
      <c r="B832" s="19" t="s">
        <v>13938</v>
      </c>
      <c r="C832" s="19" t="s">
        <v>13939</v>
      </c>
      <c r="D832" s="8" t="s">
        <v>9252</v>
      </c>
      <c r="E832" s="20" t="s">
        <v>8985</v>
      </c>
      <c r="F832" s="20" t="s">
        <v>9036</v>
      </c>
      <c r="G832" s="20" t="s">
        <v>8951</v>
      </c>
      <c r="H832" s="20">
        <v>600</v>
      </c>
      <c r="I832" s="20" t="s">
        <v>9077</v>
      </c>
      <c r="J832" s="20" t="s">
        <v>8953</v>
      </c>
      <c r="K832" s="20" t="s">
        <v>8954</v>
      </c>
      <c r="L832" s="21" t="s">
        <v>8955</v>
      </c>
      <c r="M832" s="20" t="s">
        <v>8990</v>
      </c>
      <c r="N832" s="20" t="s">
        <v>8957</v>
      </c>
      <c r="O832" s="20">
        <f t="shared" si="12"/>
        <v>9</v>
      </c>
      <c r="P832" s="22" t="s">
        <v>8975</v>
      </c>
      <c r="Q832" s="21" t="s">
        <v>8959</v>
      </c>
      <c r="R832" s="23" t="s">
        <v>9327</v>
      </c>
      <c r="S832" s="24" t="s">
        <v>9255</v>
      </c>
      <c r="T832" s="24" t="str">
        <f>VLOOKUP(R832,[1]Sheet3!$A$2:$A$47,1,0)</f>
        <v>Colombia</v>
      </c>
      <c r="U832" s="24" t="s">
        <v>13940</v>
      </c>
      <c r="V832" s="24" t="s">
        <v>13941</v>
      </c>
      <c r="W832" s="18" t="s">
        <v>8964</v>
      </c>
      <c r="X832" s="26" t="s">
        <v>24</v>
      </c>
      <c r="Y832" s="18" t="s">
        <v>9258</v>
      </c>
      <c r="Z832" s="24" t="s">
        <v>4</v>
      </c>
    </row>
    <row r="833" spans="1:26" ht="20.100000000000001" customHeight="1" x14ac:dyDescent="0.2">
      <c r="A833" s="18" t="s">
        <v>13942</v>
      </c>
      <c r="B833" s="19" t="s">
        <v>13943</v>
      </c>
      <c r="C833" s="19" t="s">
        <v>13944</v>
      </c>
      <c r="D833" s="8" t="s">
        <v>8984</v>
      </c>
      <c r="E833" s="33" t="s">
        <v>9131</v>
      </c>
      <c r="F833" s="20" t="s">
        <v>10135</v>
      </c>
      <c r="G833" s="20" t="s">
        <v>9133</v>
      </c>
      <c r="H833" s="20">
        <v>20</v>
      </c>
      <c r="I833" s="20" t="s">
        <v>9008</v>
      </c>
      <c r="J833" s="20" t="s">
        <v>9059</v>
      </c>
      <c r="K833" s="20" t="s">
        <v>8989</v>
      </c>
      <c r="L833" s="21" t="s">
        <v>8955</v>
      </c>
      <c r="M833" s="20" t="s">
        <v>8956</v>
      </c>
      <c r="N833" s="20" t="s">
        <v>8957</v>
      </c>
      <c r="O833" s="20">
        <f t="shared" si="12"/>
        <v>7</v>
      </c>
      <c r="P833" s="22" t="s">
        <v>8958</v>
      </c>
      <c r="Q833" s="21" t="s">
        <v>8959</v>
      </c>
      <c r="R833" s="23" t="s">
        <v>9310</v>
      </c>
      <c r="S833" s="24" t="s">
        <v>9052</v>
      </c>
      <c r="T833" s="24" t="str">
        <f>VLOOKUP(R833,[1]Sheet3!$A$2:$A$47,1,0)</f>
        <v>China</v>
      </c>
      <c r="U833" s="24" t="s">
        <v>13945</v>
      </c>
      <c r="V833" s="24" t="s">
        <v>13946</v>
      </c>
      <c r="W833" s="18" t="s">
        <v>8964</v>
      </c>
      <c r="X833" s="26" t="s">
        <v>74</v>
      </c>
      <c r="Y833" s="18" t="s">
        <v>9055</v>
      </c>
      <c r="Z833" s="24" t="s">
        <v>4</v>
      </c>
    </row>
    <row r="834" spans="1:26" ht="20.100000000000001" customHeight="1" x14ac:dyDescent="0.2">
      <c r="A834" s="18" t="s">
        <v>13947</v>
      </c>
      <c r="B834" s="19" t="s">
        <v>13948</v>
      </c>
      <c r="C834" s="19" t="s">
        <v>13949</v>
      </c>
      <c r="D834" s="8" t="s">
        <v>9605</v>
      </c>
      <c r="E834" s="20" t="s">
        <v>8971</v>
      </c>
      <c r="F834" s="20" t="s">
        <v>9036</v>
      </c>
      <c r="G834" s="20" t="s">
        <v>8987</v>
      </c>
      <c r="H834" s="20">
        <v>73000</v>
      </c>
      <c r="I834" s="20" t="s">
        <v>9019</v>
      </c>
      <c r="J834" s="20" t="s">
        <v>8953</v>
      </c>
      <c r="K834" s="20" t="s">
        <v>8989</v>
      </c>
      <c r="L834" s="21" t="s">
        <v>8955</v>
      </c>
      <c r="M834" s="20" t="s">
        <v>8956</v>
      </c>
      <c r="N834" s="20" t="s">
        <v>8957</v>
      </c>
      <c r="O834" s="20">
        <f t="shared" ref="O834:O897" si="13">1+LEN(V834)-LEN(SUBSTITUTE(V834,";",))</f>
        <v>3</v>
      </c>
      <c r="P834" s="22" t="s">
        <v>9103</v>
      </c>
      <c r="Q834" s="21" t="s">
        <v>8959</v>
      </c>
      <c r="R834" s="23" t="s">
        <v>13950</v>
      </c>
      <c r="S834" s="24" t="s">
        <v>9496</v>
      </c>
      <c r="T834" s="24" t="str">
        <f>VLOOKUP(R834,[1]Sheet3!$A$2:$A$47,1,0)</f>
        <v>Portugal</v>
      </c>
      <c r="U834" s="24" t="s">
        <v>13951</v>
      </c>
      <c r="V834" s="24" t="s">
        <v>13952</v>
      </c>
      <c r="W834" s="18" t="s">
        <v>8964</v>
      </c>
      <c r="X834" s="26" t="s">
        <v>97</v>
      </c>
      <c r="Y834" s="18" t="s">
        <v>9499</v>
      </c>
      <c r="Z834" s="24" t="s">
        <v>4</v>
      </c>
    </row>
    <row r="835" spans="1:26" ht="20.100000000000001" customHeight="1" x14ac:dyDescent="0.2">
      <c r="A835" s="18" t="s">
        <v>13953</v>
      </c>
      <c r="B835" s="19" t="s">
        <v>13954</v>
      </c>
      <c r="C835" s="19" t="s">
        <v>13955</v>
      </c>
      <c r="D835" s="8" t="s">
        <v>9605</v>
      </c>
      <c r="E835" s="33" t="s">
        <v>9101</v>
      </c>
      <c r="F835" s="20" t="s">
        <v>9036</v>
      </c>
      <c r="G835" s="20" t="s">
        <v>8987</v>
      </c>
      <c r="H835" s="20">
        <v>7132</v>
      </c>
      <c r="I835" s="20" t="s">
        <v>9019</v>
      </c>
      <c r="J835" s="20" t="s">
        <v>8953</v>
      </c>
      <c r="K835" s="20" t="s">
        <v>8989</v>
      </c>
      <c r="L835" s="21" t="s">
        <v>8955</v>
      </c>
      <c r="M835" s="20" t="s">
        <v>8956</v>
      </c>
      <c r="N835" s="20" t="s">
        <v>8957</v>
      </c>
      <c r="O835" s="20">
        <f t="shared" si="13"/>
        <v>2</v>
      </c>
      <c r="P835" s="22" t="s">
        <v>9103</v>
      </c>
      <c r="Q835" s="21" t="s">
        <v>8959</v>
      </c>
      <c r="R835" s="23" t="s">
        <v>9407</v>
      </c>
      <c r="S835" s="24" t="s">
        <v>13956</v>
      </c>
      <c r="T835" s="24" t="str">
        <f>VLOOKUP(R835,[1]Sheet3!$A$2:$A$47,1,0)</f>
        <v>Estonia</v>
      </c>
      <c r="U835" s="24" t="s">
        <v>13957</v>
      </c>
      <c r="V835" s="24" t="s">
        <v>13958</v>
      </c>
      <c r="W835" s="18" t="s">
        <v>8964</v>
      </c>
      <c r="X835" s="26" t="s">
        <v>5786</v>
      </c>
      <c r="Y835" s="18" t="s">
        <v>13959</v>
      </c>
      <c r="Z835" s="24" t="s">
        <v>4</v>
      </c>
    </row>
    <row r="836" spans="1:26" ht="20.100000000000001" customHeight="1" x14ac:dyDescent="0.2">
      <c r="A836" s="18" t="s">
        <v>13960</v>
      </c>
      <c r="B836" s="19" t="s">
        <v>13961</v>
      </c>
      <c r="C836" s="19" t="s">
        <v>13962</v>
      </c>
      <c r="D836" s="8" t="s">
        <v>9100</v>
      </c>
      <c r="E836" s="33" t="s">
        <v>9101</v>
      </c>
      <c r="F836" s="20" t="s">
        <v>13963</v>
      </c>
      <c r="G836" s="20" t="s">
        <v>8973</v>
      </c>
      <c r="H836" s="20">
        <v>200</v>
      </c>
      <c r="I836" s="20" t="s">
        <v>9158</v>
      </c>
      <c r="J836" s="20" t="s">
        <v>8953</v>
      </c>
      <c r="K836" s="20" t="s">
        <v>8989</v>
      </c>
      <c r="L836" s="21" t="s">
        <v>8955</v>
      </c>
      <c r="M836" s="20" t="s">
        <v>8990</v>
      </c>
      <c r="N836" s="20" t="s">
        <v>8959</v>
      </c>
      <c r="O836" s="20">
        <f t="shared" si="13"/>
        <v>3</v>
      </c>
      <c r="P836" s="22" t="s">
        <v>9103</v>
      </c>
      <c r="Q836" s="21" t="s">
        <v>8959</v>
      </c>
      <c r="R836" s="23" t="s">
        <v>9010</v>
      </c>
      <c r="S836" s="24" t="s">
        <v>12128</v>
      </c>
      <c r="T836" s="24" t="str">
        <f>VLOOKUP(R836,[1]Sheet3!$A$2:$A$47,1,0)</f>
        <v>the United States of America</v>
      </c>
      <c r="U836" s="24" t="s">
        <v>13964</v>
      </c>
      <c r="V836" s="24" t="s">
        <v>13965</v>
      </c>
      <c r="W836" s="18" t="s">
        <v>8964</v>
      </c>
      <c r="X836" s="26" t="s">
        <v>493</v>
      </c>
      <c r="Y836" s="18" t="s">
        <v>12131</v>
      </c>
      <c r="Z836" s="24" t="s">
        <v>4</v>
      </c>
    </row>
    <row r="837" spans="1:26" ht="20.100000000000001" customHeight="1" x14ac:dyDescent="0.2">
      <c r="A837" s="18" t="s">
        <v>13966</v>
      </c>
      <c r="B837" s="19" t="s">
        <v>13967</v>
      </c>
      <c r="C837" s="19" t="s">
        <v>13968</v>
      </c>
      <c r="D837" s="8" t="s">
        <v>9092</v>
      </c>
      <c r="E837" s="20" t="s">
        <v>8949</v>
      </c>
      <c r="F837" s="20" t="s">
        <v>9036</v>
      </c>
      <c r="G837" s="20" t="s">
        <v>8951</v>
      </c>
      <c r="H837" s="20">
        <v>26</v>
      </c>
      <c r="I837" s="20" t="s">
        <v>9008</v>
      </c>
      <c r="J837" s="20" t="s">
        <v>9059</v>
      </c>
      <c r="K837" s="20" t="s">
        <v>8989</v>
      </c>
      <c r="L837" s="21" t="s">
        <v>8955</v>
      </c>
      <c r="M837" s="20" t="s">
        <v>8956</v>
      </c>
      <c r="N837" s="20" t="s">
        <v>8957</v>
      </c>
      <c r="O837" s="20">
        <f t="shared" si="13"/>
        <v>6</v>
      </c>
      <c r="P837" s="22" t="s">
        <v>8958</v>
      </c>
      <c r="Q837" s="21" t="s">
        <v>8959</v>
      </c>
      <c r="R837" s="23" t="s">
        <v>9010</v>
      </c>
      <c r="S837" s="24" t="s">
        <v>9052</v>
      </c>
      <c r="T837" s="24" t="str">
        <f>VLOOKUP(R837,[1]Sheet3!$A$2:$A$47,1,0)</f>
        <v>the United States of America</v>
      </c>
      <c r="U837" s="24" t="s">
        <v>13969</v>
      </c>
      <c r="V837" s="24" t="s">
        <v>13970</v>
      </c>
      <c r="W837" s="18" t="s">
        <v>8964</v>
      </c>
      <c r="X837" s="26" t="s">
        <v>74</v>
      </c>
      <c r="Y837" s="18" t="s">
        <v>9055</v>
      </c>
      <c r="Z837" s="24" t="s">
        <v>4</v>
      </c>
    </row>
    <row r="838" spans="1:26" ht="20.100000000000001" customHeight="1" x14ac:dyDescent="0.2">
      <c r="A838" s="18" t="s">
        <v>13971</v>
      </c>
      <c r="B838" s="19" t="s">
        <v>13972</v>
      </c>
      <c r="C838" s="19" t="s">
        <v>13973</v>
      </c>
      <c r="D838" s="8" t="s">
        <v>9049</v>
      </c>
      <c r="E838" s="20" t="s">
        <v>9050</v>
      </c>
      <c r="F838" s="20" t="s">
        <v>9036</v>
      </c>
      <c r="G838" s="20" t="s">
        <v>9292</v>
      </c>
      <c r="H838" s="20">
        <v>75137</v>
      </c>
      <c r="I838" s="20" t="s">
        <v>9019</v>
      </c>
      <c r="J838" s="20" t="s">
        <v>8953</v>
      </c>
      <c r="K838" s="20" t="s">
        <v>8954</v>
      </c>
      <c r="L838" s="21" t="s">
        <v>8955</v>
      </c>
      <c r="M838" s="20" t="s">
        <v>8956</v>
      </c>
      <c r="N838" s="20" t="s">
        <v>8959</v>
      </c>
      <c r="O838" s="20">
        <f t="shared" si="13"/>
        <v>2</v>
      </c>
      <c r="P838" s="22" t="s">
        <v>9103</v>
      </c>
      <c r="Q838" s="21" t="s">
        <v>8959</v>
      </c>
      <c r="R838" s="39" t="s">
        <v>9010</v>
      </c>
      <c r="S838" s="24" t="s">
        <v>447</v>
      </c>
      <c r="T838" s="24" t="str">
        <f>VLOOKUP(R838,[1]Sheet3!$A$2:$A$47,1,0)</f>
        <v>the United States of America</v>
      </c>
      <c r="U838" s="24" t="s">
        <v>13974</v>
      </c>
      <c r="V838" s="24" t="s">
        <v>13975</v>
      </c>
      <c r="W838" s="18" t="s">
        <v>8964</v>
      </c>
      <c r="X838" s="26" t="s">
        <v>447</v>
      </c>
      <c r="Y838" s="18" t="s">
        <v>12639</v>
      </c>
      <c r="Z838" s="24" t="s">
        <v>4</v>
      </c>
    </row>
    <row r="839" spans="1:26" ht="20.100000000000001" customHeight="1" x14ac:dyDescent="0.2">
      <c r="A839" s="18" t="s">
        <v>13976</v>
      </c>
      <c r="B839" s="19" t="s">
        <v>13977</v>
      </c>
      <c r="C839" s="19" t="s">
        <v>13978</v>
      </c>
      <c r="D839" s="8" t="s">
        <v>9049</v>
      </c>
      <c r="E839" s="20" t="s">
        <v>9050</v>
      </c>
      <c r="F839" s="20" t="s">
        <v>13541</v>
      </c>
      <c r="G839" s="20" t="s">
        <v>9133</v>
      </c>
      <c r="H839" s="20">
        <v>750</v>
      </c>
      <c r="I839" s="20" t="s">
        <v>9077</v>
      </c>
      <c r="J839" s="20" t="s">
        <v>8953</v>
      </c>
      <c r="K839" s="20" t="s">
        <v>8954</v>
      </c>
      <c r="L839" s="21" t="s">
        <v>8955</v>
      </c>
      <c r="M839" s="20" t="s">
        <v>8956</v>
      </c>
      <c r="N839" s="20" t="s">
        <v>8957</v>
      </c>
      <c r="O839" s="20">
        <f t="shared" si="13"/>
        <v>5</v>
      </c>
      <c r="P839" s="22" t="s">
        <v>8958</v>
      </c>
      <c r="Q839" s="21" t="s">
        <v>8959</v>
      </c>
      <c r="R839" s="23" t="s">
        <v>10166</v>
      </c>
      <c r="S839" s="24" t="s">
        <v>11007</v>
      </c>
      <c r="T839" s="24" t="str">
        <f>VLOOKUP(R839,[1]Sheet3!$A$2:$A$47,1,0)</f>
        <v>SaudiArabia</v>
      </c>
      <c r="U839" s="24" t="s">
        <v>13979</v>
      </c>
      <c r="V839" s="24" t="s">
        <v>13980</v>
      </c>
      <c r="W839" s="18" t="s">
        <v>8964</v>
      </c>
      <c r="X839" s="26" t="s">
        <v>5</v>
      </c>
      <c r="Y839" s="18" t="s">
        <v>11010</v>
      </c>
      <c r="Z839" s="24" t="s">
        <v>4</v>
      </c>
    </row>
    <row r="840" spans="1:26" ht="20.100000000000001" customHeight="1" x14ac:dyDescent="0.2">
      <c r="A840" s="18" t="s">
        <v>13981</v>
      </c>
      <c r="B840" s="19" t="s">
        <v>13982</v>
      </c>
      <c r="C840" s="19" t="s">
        <v>13983</v>
      </c>
      <c r="D840" s="8" t="s">
        <v>9075</v>
      </c>
      <c r="E840" s="20" t="s">
        <v>8971</v>
      </c>
      <c r="F840" s="20" t="s">
        <v>12500</v>
      </c>
      <c r="G840" s="20" t="s">
        <v>8951</v>
      </c>
      <c r="H840" s="20">
        <v>255</v>
      </c>
      <c r="I840" s="20" t="s">
        <v>8988</v>
      </c>
      <c r="J840" s="20" t="s">
        <v>8953</v>
      </c>
      <c r="K840" s="20" t="s">
        <v>8989</v>
      </c>
      <c r="L840" s="21" t="s">
        <v>8955</v>
      </c>
      <c r="M840" s="20" t="s">
        <v>8956</v>
      </c>
      <c r="N840" s="20" t="s">
        <v>8957</v>
      </c>
      <c r="O840" s="20">
        <f t="shared" si="13"/>
        <v>11</v>
      </c>
      <c r="P840" s="22" t="s">
        <v>8975</v>
      </c>
      <c r="Q840" s="21" t="s">
        <v>8959</v>
      </c>
      <c r="R840" s="23" t="s">
        <v>8960</v>
      </c>
      <c r="S840" s="24" t="s">
        <v>9342</v>
      </c>
      <c r="T840" s="24" t="str">
        <f>VLOOKUP(R840,[1]Sheet3!$A$2:$A$47,1,0)</f>
        <v>Canada</v>
      </c>
      <c r="U840" s="24" t="s">
        <v>13815</v>
      </c>
      <c r="V840" s="24" t="s">
        <v>13984</v>
      </c>
      <c r="W840" s="18" t="s">
        <v>8964</v>
      </c>
      <c r="X840" s="26" t="s">
        <v>64</v>
      </c>
      <c r="Y840" s="18" t="s">
        <v>9345</v>
      </c>
      <c r="Z840" s="24" t="s">
        <v>4</v>
      </c>
    </row>
    <row r="841" spans="1:26" ht="20.100000000000001" customHeight="1" x14ac:dyDescent="0.2">
      <c r="A841" s="18" t="s">
        <v>13985</v>
      </c>
      <c r="B841" s="19" t="s">
        <v>13986</v>
      </c>
      <c r="C841" s="19" t="s">
        <v>13987</v>
      </c>
      <c r="D841" s="8" t="s">
        <v>9173</v>
      </c>
      <c r="E841" s="20" t="s">
        <v>9174</v>
      </c>
      <c r="F841" s="20" t="s">
        <v>9036</v>
      </c>
      <c r="G841" s="20" t="s">
        <v>8973</v>
      </c>
      <c r="H841" s="20">
        <v>126</v>
      </c>
      <c r="I841" s="20" t="s">
        <v>9158</v>
      </c>
      <c r="J841" s="20" t="s">
        <v>8953</v>
      </c>
      <c r="K841" s="20" t="s">
        <v>8989</v>
      </c>
      <c r="L841" s="21" t="s">
        <v>8955</v>
      </c>
      <c r="M841" s="20" t="s">
        <v>8956</v>
      </c>
      <c r="N841" s="20" t="s">
        <v>8959</v>
      </c>
      <c r="O841" s="20">
        <f t="shared" si="13"/>
        <v>6</v>
      </c>
      <c r="P841" s="22" t="s">
        <v>8958</v>
      </c>
      <c r="Q841" s="21" t="s">
        <v>8959</v>
      </c>
      <c r="R841" s="23" t="s">
        <v>9968</v>
      </c>
      <c r="S841" s="24" t="s">
        <v>9342</v>
      </c>
      <c r="T841" s="24" t="str">
        <f>VLOOKUP(R841,[1]Sheet3!$A$2:$A$47,1,0)</f>
        <v>Iran</v>
      </c>
      <c r="U841" s="24" t="s">
        <v>13988</v>
      </c>
      <c r="V841" s="24" t="s">
        <v>13989</v>
      </c>
      <c r="W841" s="18" t="s">
        <v>8964</v>
      </c>
      <c r="X841" s="26" t="s">
        <v>64</v>
      </c>
      <c r="Y841" s="18" t="s">
        <v>9345</v>
      </c>
      <c r="Z841" s="24" t="s">
        <v>4</v>
      </c>
    </row>
    <row r="842" spans="1:26" ht="20.100000000000001" customHeight="1" x14ac:dyDescent="0.2">
      <c r="A842" s="18" t="s">
        <v>13990</v>
      </c>
      <c r="B842" s="19" t="s">
        <v>13991</v>
      </c>
      <c r="C842" s="19" t="s">
        <v>13992</v>
      </c>
      <c r="D842" s="8" t="s">
        <v>9100</v>
      </c>
      <c r="E842" s="20" t="s">
        <v>8949</v>
      </c>
      <c r="F842" s="20" t="s">
        <v>8950</v>
      </c>
      <c r="G842" s="20" t="s">
        <v>8987</v>
      </c>
      <c r="H842" s="20">
        <v>1327</v>
      </c>
      <c r="I842" s="20" t="s">
        <v>8952</v>
      </c>
      <c r="J842" s="20" t="s">
        <v>9059</v>
      </c>
      <c r="K842" s="20" t="s">
        <v>8954</v>
      </c>
      <c r="L842" s="21" t="s">
        <v>8955</v>
      </c>
      <c r="M842" s="20" t="s">
        <v>8956</v>
      </c>
      <c r="N842" s="20" t="s">
        <v>8957</v>
      </c>
      <c r="O842" s="20">
        <f t="shared" si="13"/>
        <v>5</v>
      </c>
      <c r="P842" s="22" t="s">
        <v>8958</v>
      </c>
      <c r="Q842" s="21" t="s">
        <v>8959</v>
      </c>
      <c r="R842" s="23" t="s">
        <v>9246</v>
      </c>
      <c r="S842" s="24" t="s">
        <v>13110</v>
      </c>
      <c r="T842" s="24" t="str">
        <f>VLOOKUP(R842,[1]Sheet3!$A$2:$A$47,1,0)</f>
        <v>Netherlands</v>
      </c>
      <c r="U842" s="24" t="s">
        <v>13993</v>
      </c>
      <c r="V842" s="24" t="s">
        <v>13994</v>
      </c>
      <c r="W842" s="18" t="s">
        <v>8964</v>
      </c>
      <c r="X842" s="26" t="s">
        <v>57</v>
      </c>
      <c r="Y842" s="18" t="s">
        <v>13113</v>
      </c>
      <c r="Z842" s="24" t="s">
        <v>4</v>
      </c>
    </row>
    <row r="843" spans="1:26" ht="20.100000000000001" customHeight="1" x14ac:dyDescent="0.2">
      <c r="A843" s="18" t="s">
        <v>13995</v>
      </c>
      <c r="B843" s="19" t="s">
        <v>13996</v>
      </c>
      <c r="C843" s="19" t="s">
        <v>13997</v>
      </c>
      <c r="D843" s="8" t="s">
        <v>8948</v>
      </c>
      <c r="E843" s="20" t="s">
        <v>9101</v>
      </c>
      <c r="F843" s="20" t="s">
        <v>8950</v>
      </c>
      <c r="G843" s="20" t="s">
        <v>9076</v>
      </c>
      <c r="H843" s="20">
        <v>68</v>
      </c>
      <c r="I843" s="20" t="s">
        <v>9008</v>
      </c>
      <c r="J843" s="20" t="s">
        <v>8953</v>
      </c>
      <c r="K843" s="20" t="s">
        <v>8954</v>
      </c>
      <c r="L843" s="21" t="s">
        <v>8955</v>
      </c>
      <c r="M843" s="20" t="s">
        <v>8956</v>
      </c>
      <c r="N843" s="20" t="s">
        <v>8957</v>
      </c>
      <c r="O843" s="20">
        <f t="shared" si="13"/>
        <v>4</v>
      </c>
      <c r="P843" s="22" t="s">
        <v>8958</v>
      </c>
      <c r="Q843" s="21" t="s">
        <v>8959</v>
      </c>
      <c r="R843" s="23" t="s">
        <v>9010</v>
      </c>
      <c r="S843" s="24" t="s">
        <v>9159</v>
      </c>
      <c r="T843" s="24" t="str">
        <f>VLOOKUP(R843,[1]Sheet3!$A$2:$A$47,1,0)</f>
        <v>the United States of America</v>
      </c>
      <c r="U843" s="25" t="s">
        <v>13998</v>
      </c>
      <c r="V843" s="24" t="s">
        <v>13999</v>
      </c>
      <c r="W843" s="18" t="s">
        <v>8964</v>
      </c>
      <c r="X843" s="26" t="s">
        <v>61</v>
      </c>
      <c r="Y843" s="18" t="s">
        <v>9162</v>
      </c>
      <c r="Z843" s="24" t="s">
        <v>4</v>
      </c>
    </row>
    <row r="844" spans="1:26" ht="20.100000000000001" customHeight="1" x14ac:dyDescent="0.2">
      <c r="A844" s="18" t="s">
        <v>14000</v>
      </c>
      <c r="B844" s="19" t="s">
        <v>14001</v>
      </c>
      <c r="C844" s="19" t="s">
        <v>14002</v>
      </c>
      <c r="D844" s="8" t="s">
        <v>9092</v>
      </c>
      <c r="E844" s="20" t="s">
        <v>9308</v>
      </c>
      <c r="F844" s="21" t="s">
        <v>14003</v>
      </c>
      <c r="G844" s="20" t="s">
        <v>8973</v>
      </c>
      <c r="H844" s="20">
        <v>8325</v>
      </c>
      <c r="I844" s="20" t="s">
        <v>9019</v>
      </c>
      <c r="J844" s="20" t="s">
        <v>8953</v>
      </c>
      <c r="K844" s="20" t="s">
        <v>8989</v>
      </c>
      <c r="L844" s="21" t="s">
        <v>8955</v>
      </c>
      <c r="M844" s="20" t="s">
        <v>8956</v>
      </c>
      <c r="N844" s="20" t="s">
        <v>8959</v>
      </c>
      <c r="O844" s="20">
        <f t="shared" si="13"/>
        <v>8</v>
      </c>
      <c r="P844" s="22" t="s">
        <v>8975</v>
      </c>
      <c r="Q844" s="21" t="s">
        <v>9009</v>
      </c>
      <c r="R844" s="23" t="s">
        <v>9010</v>
      </c>
      <c r="S844" s="24" t="s">
        <v>9020</v>
      </c>
      <c r="T844" s="24" t="str">
        <f>VLOOKUP(R844,[1]Sheet3!$A$2:$A$47,1,0)</f>
        <v>the United States of America</v>
      </c>
      <c r="U844" s="24" t="s">
        <v>14004</v>
      </c>
      <c r="V844" s="24" t="s">
        <v>14005</v>
      </c>
      <c r="W844" s="18" t="s">
        <v>8964</v>
      </c>
      <c r="X844" s="26" t="s">
        <v>87</v>
      </c>
      <c r="Y844" s="18" t="s">
        <v>9023</v>
      </c>
      <c r="Z844" s="24" t="s">
        <v>4</v>
      </c>
    </row>
    <row r="845" spans="1:26" ht="20.100000000000001" customHeight="1" x14ac:dyDescent="0.2">
      <c r="A845" s="18" t="s">
        <v>14006</v>
      </c>
      <c r="B845" s="19" t="s">
        <v>14007</v>
      </c>
      <c r="C845" s="19" t="s">
        <v>14008</v>
      </c>
      <c r="D845" s="8" t="s">
        <v>8948</v>
      </c>
      <c r="E845" s="20" t="s">
        <v>8949</v>
      </c>
      <c r="F845" s="20" t="s">
        <v>9036</v>
      </c>
      <c r="G845" s="20" t="s">
        <v>8951</v>
      </c>
      <c r="H845" s="20">
        <v>420000</v>
      </c>
      <c r="I845" s="20" t="s">
        <v>9019</v>
      </c>
      <c r="J845" s="20" t="s">
        <v>8953</v>
      </c>
      <c r="K845" s="20" t="s">
        <v>8954</v>
      </c>
      <c r="L845" s="21" t="s">
        <v>8955</v>
      </c>
      <c r="M845" s="20" t="s">
        <v>8956</v>
      </c>
      <c r="N845" s="20" t="s">
        <v>8957</v>
      </c>
      <c r="O845" s="20">
        <f t="shared" si="13"/>
        <v>11</v>
      </c>
      <c r="P845" s="22" t="s">
        <v>8975</v>
      </c>
      <c r="Q845" s="21" t="s">
        <v>8959</v>
      </c>
      <c r="R845" s="23" t="s">
        <v>9246</v>
      </c>
      <c r="S845" s="24" t="s">
        <v>13110</v>
      </c>
      <c r="T845" s="24" t="str">
        <f>VLOOKUP(R845,[1]Sheet3!$A$2:$A$47,1,0)</f>
        <v>Netherlands</v>
      </c>
      <c r="U845" s="24" t="s">
        <v>14009</v>
      </c>
      <c r="V845" s="24" t="s">
        <v>14010</v>
      </c>
      <c r="W845" s="18" t="s">
        <v>8964</v>
      </c>
      <c r="X845" s="26" t="s">
        <v>57</v>
      </c>
      <c r="Y845" s="18" t="s">
        <v>13113</v>
      </c>
      <c r="Z845" s="24" t="s">
        <v>4</v>
      </c>
    </row>
    <row r="846" spans="1:26" ht="20.100000000000001" customHeight="1" x14ac:dyDescent="0.2">
      <c r="A846" s="18" t="s">
        <v>14011</v>
      </c>
      <c r="B846" s="19" t="s">
        <v>14012</v>
      </c>
      <c r="C846" s="19" t="s">
        <v>14013</v>
      </c>
      <c r="D846" s="8" t="s">
        <v>9173</v>
      </c>
      <c r="E846" s="20" t="s">
        <v>9121</v>
      </c>
      <c r="F846" s="20" t="s">
        <v>8950</v>
      </c>
      <c r="G846" s="20" t="s">
        <v>8951</v>
      </c>
      <c r="H846" s="20">
        <v>6120</v>
      </c>
      <c r="I846" s="20" t="s">
        <v>9019</v>
      </c>
      <c r="J846" s="20" t="s">
        <v>8953</v>
      </c>
      <c r="K846" s="20" t="s">
        <v>8989</v>
      </c>
      <c r="L846" s="21" t="s">
        <v>8955</v>
      </c>
      <c r="M846" s="20" t="s">
        <v>8990</v>
      </c>
      <c r="N846" s="20" t="s">
        <v>8959</v>
      </c>
      <c r="O846" s="20">
        <f t="shared" si="13"/>
        <v>7</v>
      </c>
      <c r="P846" s="22" t="s">
        <v>8958</v>
      </c>
      <c r="Q846" s="21" t="s">
        <v>8959</v>
      </c>
      <c r="R846" s="23" t="s">
        <v>9968</v>
      </c>
      <c r="S846" s="24" t="s">
        <v>10836</v>
      </c>
      <c r="T846" s="24" t="str">
        <f>VLOOKUP(R846,[1]Sheet3!$A$2:$A$47,1,0)</f>
        <v>Iran</v>
      </c>
      <c r="U846" s="25" t="s">
        <v>14014</v>
      </c>
      <c r="V846" s="24" t="s">
        <v>14015</v>
      </c>
      <c r="W846" s="18" t="s">
        <v>8964</v>
      </c>
      <c r="X846" s="26" t="s">
        <v>10839</v>
      </c>
      <c r="Y846" s="18" t="s">
        <v>10840</v>
      </c>
      <c r="Z846" s="24" t="s">
        <v>242</v>
      </c>
    </row>
    <row r="847" spans="1:26" ht="20.100000000000001" customHeight="1" x14ac:dyDescent="0.2">
      <c r="A847" s="18" t="s">
        <v>14016</v>
      </c>
      <c r="B847" s="19" t="s">
        <v>14017</v>
      </c>
      <c r="C847" s="19" t="s">
        <v>14018</v>
      </c>
      <c r="D847" s="8" t="s">
        <v>9173</v>
      </c>
      <c r="E847" s="20" t="s">
        <v>9174</v>
      </c>
      <c r="F847" s="20" t="s">
        <v>14019</v>
      </c>
      <c r="G847" s="20" t="s">
        <v>8987</v>
      </c>
      <c r="H847" s="20">
        <v>814</v>
      </c>
      <c r="I847" s="20" t="s">
        <v>9077</v>
      </c>
      <c r="J847" s="20" t="s">
        <v>8953</v>
      </c>
      <c r="K847" s="20" t="s">
        <v>8989</v>
      </c>
      <c r="L847" s="21" t="s">
        <v>8955</v>
      </c>
      <c r="M847" s="20" t="s">
        <v>8956</v>
      </c>
      <c r="N847" s="20" t="s">
        <v>8959</v>
      </c>
      <c r="O847" s="20">
        <f t="shared" si="13"/>
        <v>3</v>
      </c>
      <c r="P847" s="22" t="s">
        <v>9103</v>
      </c>
      <c r="Q847" s="21" t="s">
        <v>8959</v>
      </c>
      <c r="R847" s="23" t="s">
        <v>9176</v>
      </c>
      <c r="S847" s="24" t="s">
        <v>10836</v>
      </c>
      <c r="T847" s="24" t="str">
        <f>VLOOKUP(R847,[1]Sheet3!$A$2:$A$47,1,0)</f>
        <v>Australia</v>
      </c>
      <c r="U847" s="25" t="s">
        <v>14020</v>
      </c>
      <c r="V847" s="24" t="s">
        <v>14021</v>
      </c>
      <c r="W847" s="18" t="s">
        <v>8964</v>
      </c>
      <c r="X847" s="26" t="s">
        <v>10839</v>
      </c>
      <c r="Y847" s="18" t="s">
        <v>10840</v>
      </c>
      <c r="Z847" s="24" t="s">
        <v>242</v>
      </c>
    </row>
    <row r="848" spans="1:26" ht="20.100000000000001" customHeight="1" x14ac:dyDescent="0.2">
      <c r="A848" s="18" t="s">
        <v>14022</v>
      </c>
      <c r="B848" s="19" t="s">
        <v>14023</v>
      </c>
      <c r="C848" s="19" t="s">
        <v>14024</v>
      </c>
      <c r="D848" s="8" t="s">
        <v>9092</v>
      </c>
      <c r="E848" s="20" t="s">
        <v>9308</v>
      </c>
      <c r="F848" s="20" t="s">
        <v>9036</v>
      </c>
      <c r="G848" s="20" t="s">
        <v>8951</v>
      </c>
      <c r="H848" s="20">
        <v>110</v>
      </c>
      <c r="I848" s="20" t="s">
        <v>9158</v>
      </c>
      <c r="J848" s="20" t="s">
        <v>9059</v>
      </c>
      <c r="K848" s="20" t="s">
        <v>8989</v>
      </c>
      <c r="L848" s="21" t="s">
        <v>8955</v>
      </c>
      <c r="M848" s="20" t="s">
        <v>8956</v>
      </c>
      <c r="N848" s="20" t="s">
        <v>8957</v>
      </c>
      <c r="O848" s="20">
        <f t="shared" si="13"/>
        <v>5</v>
      </c>
      <c r="P848" s="22" t="s">
        <v>8958</v>
      </c>
      <c r="Q848" s="21" t="s">
        <v>8959</v>
      </c>
      <c r="R848" s="23" t="s">
        <v>9310</v>
      </c>
      <c r="S848" s="24" t="s">
        <v>10836</v>
      </c>
      <c r="T848" s="24" t="str">
        <f>VLOOKUP(R848,[1]Sheet3!$A$2:$A$47,1,0)</f>
        <v>China</v>
      </c>
      <c r="U848" s="25" t="s">
        <v>14025</v>
      </c>
      <c r="V848" s="24" t="s">
        <v>14026</v>
      </c>
      <c r="W848" s="18" t="s">
        <v>8964</v>
      </c>
      <c r="X848" s="26" t="s">
        <v>10839</v>
      </c>
      <c r="Y848" s="18" t="s">
        <v>10840</v>
      </c>
      <c r="Z848" s="24" t="s">
        <v>242</v>
      </c>
    </row>
    <row r="849" spans="1:26" ht="20.100000000000001" customHeight="1" x14ac:dyDescent="0.2">
      <c r="A849" s="18" t="s">
        <v>14027</v>
      </c>
      <c r="B849" s="19" t="s">
        <v>14028</v>
      </c>
      <c r="C849" s="19" t="s">
        <v>14029</v>
      </c>
      <c r="D849" s="8" t="s">
        <v>9154</v>
      </c>
      <c r="E849" s="20" t="s">
        <v>9308</v>
      </c>
      <c r="F849" s="20" t="s">
        <v>9036</v>
      </c>
      <c r="G849" s="20" t="s">
        <v>8951</v>
      </c>
      <c r="H849" s="20">
        <v>44</v>
      </c>
      <c r="I849" s="20" t="s">
        <v>9008</v>
      </c>
      <c r="J849" s="20" t="s">
        <v>8953</v>
      </c>
      <c r="K849" s="20" t="s">
        <v>8989</v>
      </c>
      <c r="L849" s="21" t="s">
        <v>8955</v>
      </c>
      <c r="M849" s="20" t="s">
        <v>8956</v>
      </c>
      <c r="N849" s="20" t="s">
        <v>8959</v>
      </c>
      <c r="O849" s="20">
        <f t="shared" si="13"/>
        <v>9</v>
      </c>
      <c r="P849" s="22" t="s">
        <v>8975</v>
      </c>
      <c r="Q849" s="21" t="s">
        <v>8959</v>
      </c>
      <c r="R849" s="23" t="s">
        <v>9968</v>
      </c>
      <c r="S849" s="24" t="s">
        <v>10836</v>
      </c>
      <c r="T849" s="24" t="str">
        <f>VLOOKUP(R849,[1]Sheet3!$A$2:$A$47,1,0)</f>
        <v>Iran</v>
      </c>
      <c r="U849" s="25" t="s">
        <v>14030</v>
      </c>
      <c r="V849" s="24" t="s">
        <v>14031</v>
      </c>
      <c r="W849" s="18" t="s">
        <v>8964</v>
      </c>
      <c r="X849" s="26" t="s">
        <v>10839</v>
      </c>
      <c r="Y849" s="18" t="s">
        <v>10840</v>
      </c>
      <c r="Z849" s="24" t="s">
        <v>242</v>
      </c>
    </row>
    <row r="850" spans="1:26" ht="20.100000000000001" customHeight="1" x14ac:dyDescent="0.2">
      <c r="A850" s="18" t="s">
        <v>14032</v>
      </c>
      <c r="B850" s="19" t="s">
        <v>14033</v>
      </c>
      <c r="C850" s="19" t="s">
        <v>14034</v>
      </c>
      <c r="D850" s="8" t="s">
        <v>9605</v>
      </c>
      <c r="E850" s="20" t="s">
        <v>9155</v>
      </c>
      <c r="F850" s="20" t="s">
        <v>9036</v>
      </c>
      <c r="G850" s="20" t="s">
        <v>8987</v>
      </c>
      <c r="H850" s="20">
        <f>499+452+604</f>
        <v>1555</v>
      </c>
      <c r="I850" s="20" t="s">
        <v>8952</v>
      </c>
      <c r="J850" s="20" t="s">
        <v>8953</v>
      </c>
      <c r="K850" s="20" t="s">
        <v>8954</v>
      </c>
      <c r="L850" s="21" t="s">
        <v>8955</v>
      </c>
      <c r="M850" s="20" t="s">
        <v>8956</v>
      </c>
      <c r="N850" s="20" t="s">
        <v>8957</v>
      </c>
      <c r="O850" s="20">
        <f t="shared" si="13"/>
        <v>3</v>
      </c>
      <c r="P850" s="22" t="s">
        <v>9103</v>
      </c>
      <c r="Q850" s="21" t="s">
        <v>8959</v>
      </c>
      <c r="R850" s="23" t="s">
        <v>9310</v>
      </c>
      <c r="S850" s="24" t="s">
        <v>9085</v>
      </c>
      <c r="T850" s="24" t="str">
        <f>VLOOKUP(R850,[1]Sheet3!$A$2:$A$47,1,0)</f>
        <v>China</v>
      </c>
      <c r="U850" s="24" t="s">
        <v>14035</v>
      </c>
      <c r="V850" s="24" t="s">
        <v>14036</v>
      </c>
      <c r="W850" s="18" t="s">
        <v>8964</v>
      </c>
      <c r="X850" s="26" t="s">
        <v>184</v>
      </c>
      <c r="Y850" s="18" t="s">
        <v>9088</v>
      </c>
      <c r="Z850" s="24" t="s">
        <v>4</v>
      </c>
    </row>
    <row r="851" spans="1:26" ht="20.100000000000001" customHeight="1" x14ac:dyDescent="0.2">
      <c r="A851" s="18" t="s">
        <v>14037</v>
      </c>
      <c r="B851" s="19" t="s">
        <v>14038</v>
      </c>
      <c r="C851" s="19" t="s">
        <v>14039</v>
      </c>
      <c r="D851" s="8" t="s">
        <v>8948</v>
      </c>
      <c r="E851" s="20" t="s">
        <v>8949</v>
      </c>
      <c r="F851" s="20" t="s">
        <v>14040</v>
      </c>
      <c r="G851" s="20" t="s">
        <v>11367</v>
      </c>
      <c r="H851" s="20">
        <f>30*256</f>
        <v>7680</v>
      </c>
      <c r="I851" s="20" t="s">
        <v>9019</v>
      </c>
      <c r="J851" s="20" t="s">
        <v>8953</v>
      </c>
      <c r="K851" s="20" t="s">
        <v>8954</v>
      </c>
      <c r="L851" s="21" t="s">
        <v>8955</v>
      </c>
      <c r="M851" s="20" t="s">
        <v>8956</v>
      </c>
      <c r="N851" s="20" t="s">
        <v>8957</v>
      </c>
      <c r="O851" s="20">
        <f t="shared" si="13"/>
        <v>3</v>
      </c>
      <c r="P851" s="22" t="s">
        <v>9103</v>
      </c>
      <c r="Q851" s="21" t="s">
        <v>9009</v>
      </c>
      <c r="R851" s="23" t="s">
        <v>9317</v>
      </c>
      <c r="S851" s="24" t="s">
        <v>9711</v>
      </c>
      <c r="T851" s="24" t="str">
        <f>VLOOKUP(R851,[1]Sheet3!$A$2:$A$47,1,0)</f>
        <v>Germany</v>
      </c>
      <c r="U851" s="24" t="s">
        <v>14041</v>
      </c>
      <c r="V851" s="24" t="s">
        <v>14042</v>
      </c>
      <c r="W851" s="18" t="s">
        <v>8964</v>
      </c>
      <c r="X851" s="26" t="s">
        <v>392</v>
      </c>
      <c r="Y851" s="18" t="s">
        <v>9714</v>
      </c>
      <c r="Z851" s="24" t="s">
        <v>11</v>
      </c>
    </row>
    <row r="852" spans="1:26" ht="20.100000000000001" customHeight="1" x14ac:dyDescent="0.2">
      <c r="A852" s="18" t="s">
        <v>14043</v>
      </c>
      <c r="B852" s="19" t="s">
        <v>14044</v>
      </c>
      <c r="C852" s="19" t="s">
        <v>14045</v>
      </c>
      <c r="D852" s="8" t="s">
        <v>9605</v>
      </c>
      <c r="E852" s="20" t="s">
        <v>9101</v>
      </c>
      <c r="F852" s="20" t="s">
        <v>14046</v>
      </c>
      <c r="G852" s="20" t="s">
        <v>9292</v>
      </c>
      <c r="H852" s="20">
        <v>78</v>
      </c>
      <c r="I852" s="20" t="s">
        <v>9008</v>
      </c>
      <c r="J852" s="20" t="s">
        <v>8953</v>
      </c>
      <c r="K852" s="20" t="s">
        <v>8989</v>
      </c>
      <c r="L852" s="21" t="s">
        <v>8955</v>
      </c>
      <c r="M852" s="20" t="s">
        <v>8956</v>
      </c>
      <c r="N852" s="20" t="s">
        <v>8957</v>
      </c>
      <c r="O852" s="20">
        <f t="shared" si="13"/>
        <v>13</v>
      </c>
      <c r="P852" s="22" t="s">
        <v>8975</v>
      </c>
      <c r="Q852" s="21" t="s">
        <v>8959</v>
      </c>
      <c r="R852" s="23" t="s">
        <v>9317</v>
      </c>
      <c r="S852" s="24" t="s">
        <v>10148</v>
      </c>
      <c r="T852" s="24" t="str">
        <f>VLOOKUP(R852,[1]Sheet3!$A$2:$A$47,1,0)</f>
        <v>Germany</v>
      </c>
      <c r="U852" s="24" t="s">
        <v>14047</v>
      </c>
      <c r="V852" s="24" t="s">
        <v>14048</v>
      </c>
      <c r="W852" s="18" t="s">
        <v>8964</v>
      </c>
      <c r="X852" s="26" t="s">
        <v>700</v>
      </c>
      <c r="Y852" s="18" t="s">
        <v>10151</v>
      </c>
      <c r="Z852" s="24" t="s">
        <v>4</v>
      </c>
    </row>
    <row r="853" spans="1:26" ht="20.100000000000001" customHeight="1" x14ac:dyDescent="0.2">
      <c r="A853" s="18" t="s">
        <v>14049</v>
      </c>
      <c r="B853" s="19" t="s">
        <v>14050</v>
      </c>
      <c r="C853" s="19" t="s">
        <v>14051</v>
      </c>
      <c r="D853" s="8" t="s">
        <v>9252</v>
      </c>
      <c r="E853" s="20" t="s">
        <v>9253</v>
      </c>
      <c r="F853" s="20" t="s">
        <v>9102</v>
      </c>
      <c r="G853" s="20" t="s">
        <v>8951</v>
      </c>
      <c r="H853" s="20">
        <f>1003+143</f>
        <v>1146</v>
      </c>
      <c r="I853" s="20" t="s">
        <v>8952</v>
      </c>
      <c r="J853" s="20" t="s">
        <v>9059</v>
      </c>
      <c r="K853" s="20" t="s">
        <v>8989</v>
      </c>
      <c r="L853" s="21" t="s">
        <v>8955</v>
      </c>
      <c r="M853" s="20" t="s">
        <v>8956</v>
      </c>
      <c r="N853" s="20" t="s">
        <v>8959</v>
      </c>
      <c r="O853" s="20">
        <f t="shared" si="13"/>
        <v>6</v>
      </c>
      <c r="P853" s="22" t="s">
        <v>8958</v>
      </c>
      <c r="Q853" s="21" t="s">
        <v>9061</v>
      </c>
      <c r="R853" s="23" t="s">
        <v>9465</v>
      </c>
      <c r="S853" s="24" t="s">
        <v>11566</v>
      </c>
      <c r="T853" s="24" t="str">
        <f>VLOOKUP(R853,[1]Sheet3!$A$2:$A$47,1,0)</f>
        <v>Switzerland</v>
      </c>
      <c r="U853" s="24" t="s">
        <v>14052</v>
      </c>
      <c r="V853" s="24" t="s">
        <v>14053</v>
      </c>
      <c r="W853" s="18" t="s">
        <v>8964</v>
      </c>
      <c r="X853" s="26" t="s">
        <v>666</v>
      </c>
      <c r="Y853" s="18" t="s">
        <v>11569</v>
      </c>
      <c r="Z853" s="24" t="s">
        <v>4</v>
      </c>
    </row>
    <row r="854" spans="1:26" ht="20.100000000000001" customHeight="1" x14ac:dyDescent="0.2">
      <c r="A854" s="18" t="s">
        <v>14054</v>
      </c>
      <c r="B854" s="19" t="s">
        <v>14055</v>
      </c>
      <c r="C854" s="19" t="s">
        <v>14056</v>
      </c>
      <c r="D854" s="8" t="s">
        <v>8948</v>
      </c>
      <c r="E854" s="20" t="s">
        <v>8998</v>
      </c>
      <c r="F854" s="20" t="s">
        <v>9036</v>
      </c>
      <c r="G854" s="20" t="s">
        <v>8973</v>
      </c>
      <c r="H854" s="20">
        <f>47+46+45+39+31</f>
        <v>208</v>
      </c>
      <c r="I854" s="20" t="s">
        <v>9158</v>
      </c>
      <c r="J854" s="20" t="s">
        <v>8953</v>
      </c>
      <c r="K854" s="20" t="s">
        <v>8989</v>
      </c>
      <c r="L854" s="21" t="s">
        <v>8955</v>
      </c>
      <c r="M854" s="20" t="s">
        <v>8956</v>
      </c>
      <c r="N854" s="20" t="s">
        <v>9060</v>
      </c>
      <c r="O854" s="20">
        <f t="shared" si="13"/>
        <v>2</v>
      </c>
      <c r="P854" s="22" t="s">
        <v>9103</v>
      </c>
      <c r="Q854" s="21" t="s">
        <v>9061</v>
      </c>
      <c r="R854" s="23" t="s">
        <v>9010</v>
      </c>
      <c r="S854" s="24" t="s">
        <v>9011</v>
      </c>
      <c r="T854" s="24" t="str">
        <f>VLOOKUP(R854,[1]Sheet3!$A$2:$A$47,1,0)</f>
        <v>the United States of America</v>
      </c>
      <c r="U854" s="24" t="s">
        <v>14057</v>
      </c>
      <c r="V854" s="24" t="s">
        <v>14058</v>
      </c>
      <c r="W854" s="18" t="s">
        <v>8964</v>
      </c>
      <c r="X854" s="26" t="s">
        <v>93</v>
      </c>
      <c r="Y854" s="18" t="s">
        <v>9014</v>
      </c>
      <c r="Z854" s="24" t="s">
        <v>4</v>
      </c>
    </row>
    <row r="855" spans="1:26" ht="20.100000000000001" customHeight="1" x14ac:dyDescent="0.2">
      <c r="A855" s="18" t="s">
        <v>14059</v>
      </c>
      <c r="B855" s="19" t="s">
        <v>14060</v>
      </c>
      <c r="C855" s="19" t="s">
        <v>14061</v>
      </c>
      <c r="D855" s="8" t="s">
        <v>9154</v>
      </c>
      <c r="E855" s="20" t="s">
        <v>8949</v>
      </c>
      <c r="F855" s="20" t="s">
        <v>14062</v>
      </c>
      <c r="G855" s="20" t="s">
        <v>8973</v>
      </c>
      <c r="H855" s="20">
        <f>48+128+75</f>
        <v>251</v>
      </c>
      <c r="I855" s="20" t="s">
        <v>8988</v>
      </c>
      <c r="J855" s="20" t="s">
        <v>8953</v>
      </c>
      <c r="K855" s="20" t="s">
        <v>8989</v>
      </c>
      <c r="L855" s="21" t="s">
        <v>8955</v>
      </c>
      <c r="M855" s="20" t="s">
        <v>8956</v>
      </c>
      <c r="N855" s="20" t="s">
        <v>8957</v>
      </c>
      <c r="O855" s="20">
        <f t="shared" si="13"/>
        <v>3</v>
      </c>
      <c r="P855" s="22" t="s">
        <v>9103</v>
      </c>
      <c r="Q855" s="21" t="s">
        <v>9009</v>
      </c>
      <c r="R855" s="23" t="s">
        <v>9010</v>
      </c>
      <c r="S855" s="24" t="s">
        <v>10630</v>
      </c>
      <c r="T855" s="24" t="str">
        <f>VLOOKUP(R855,[1]Sheet3!$A$2:$A$47,1,0)</f>
        <v>the United States of America</v>
      </c>
      <c r="U855" s="24" t="s">
        <v>14063</v>
      </c>
      <c r="V855" s="24" t="s">
        <v>14064</v>
      </c>
      <c r="W855" s="18" t="s">
        <v>8964</v>
      </c>
      <c r="X855" s="26" t="s">
        <v>161</v>
      </c>
      <c r="Y855" s="18" t="s">
        <v>10633</v>
      </c>
      <c r="Z855" s="24" t="s">
        <v>4</v>
      </c>
    </row>
    <row r="856" spans="1:26" ht="20.100000000000001" customHeight="1" x14ac:dyDescent="0.2">
      <c r="A856" s="18" t="s">
        <v>14065</v>
      </c>
      <c r="B856" s="19" t="s">
        <v>14066</v>
      </c>
      <c r="C856" s="19" t="s">
        <v>14067</v>
      </c>
      <c r="D856" s="8" t="s">
        <v>8948</v>
      </c>
      <c r="E856" s="20" t="s">
        <v>8949</v>
      </c>
      <c r="F856" s="20" t="s">
        <v>13374</v>
      </c>
      <c r="G856" s="20" t="s">
        <v>8987</v>
      </c>
      <c r="H856" s="20">
        <f>318+117</f>
        <v>435</v>
      </c>
      <c r="I856" s="20" t="s">
        <v>8988</v>
      </c>
      <c r="J856" s="20" t="s">
        <v>9059</v>
      </c>
      <c r="K856" s="20" t="s">
        <v>8954</v>
      </c>
      <c r="L856" s="21" t="s">
        <v>9182</v>
      </c>
      <c r="M856" s="20" t="s">
        <v>8956</v>
      </c>
      <c r="N856" s="20" t="s">
        <v>8957</v>
      </c>
      <c r="O856" s="20">
        <f t="shared" si="13"/>
        <v>31</v>
      </c>
      <c r="P856" s="22" t="s">
        <v>8975</v>
      </c>
      <c r="Q856" s="21" t="s">
        <v>9009</v>
      </c>
      <c r="R856" s="23" t="s">
        <v>9010</v>
      </c>
      <c r="S856" s="24" t="s">
        <v>2782</v>
      </c>
      <c r="T856" s="24" t="str">
        <f>VLOOKUP(R856,[1]Sheet3!$A$2:$A$47,1,0)</f>
        <v>the United States of America</v>
      </c>
      <c r="U856" s="24" t="s">
        <v>14068</v>
      </c>
      <c r="V856" s="24" t="s">
        <v>14069</v>
      </c>
      <c r="W856" s="18" t="s">
        <v>8964</v>
      </c>
      <c r="X856" s="26" t="s">
        <v>2782</v>
      </c>
      <c r="Y856" s="18" t="s">
        <v>14070</v>
      </c>
      <c r="Z856" s="24" t="s">
        <v>4</v>
      </c>
    </row>
    <row r="857" spans="1:26" ht="20.100000000000001" customHeight="1" x14ac:dyDescent="0.2">
      <c r="A857" s="18" t="s">
        <v>14071</v>
      </c>
      <c r="B857" s="19" t="s">
        <v>14072</v>
      </c>
      <c r="C857" s="19" t="s">
        <v>14073</v>
      </c>
      <c r="D857" s="8" t="s">
        <v>9252</v>
      </c>
      <c r="E857" s="20" t="s">
        <v>8985</v>
      </c>
      <c r="F857" s="20" t="s">
        <v>14074</v>
      </c>
      <c r="G857" s="20" t="s">
        <v>8987</v>
      </c>
      <c r="H857" s="20">
        <v>174</v>
      </c>
      <c r="I857" s="20" t="s">
        <v>9158</v>
      </c>
      <c r="J857" s="20" t="s">
        <v>8953</v>
      </c>
      <c r="K857" s="20" t="s">
        <v>8989</v>
      </c>
      <c r="L857" s="21" t="s">
        <v>8955</v>
      </c>
      <c r="M857" s="20" t="s">
        <v>8956</v>
      </c>
      <c r="N857" s="20" t="s">
        <v>8957</v>
      </c>
      <c r="O857" s="20">
        <f t="shared" si="13"/>
        <v>5</v>
      </c>
      <c r="P857" s="22" t="s">
        <v>8958</v>
      </c>
      <c r="Q857" s="21" t="s">
        <v>8959</v>
      </c>
      <c r="R857" s="23" t="s">
        <v>9327</v>
      </c>
      <c r="S857" s="24" t="s">
        <v>9124</v>
      </c>
      <c r="T857" s="24" t="str">
        <f>VLOOKUP(R857,[1]Sheet3!$A$2:$A$47,1,0)</f>
        <v>Colombia</v>
      </c>
      <c r="U857" s="24" t="s">
        <v>14075</v>
      </c>
      <c r="V857" s="24" t="s">
        <v>14076</v>
      </c>
      <c r="W857" s="18" t="s">
        <v>8964</v>
      </c>
      <c r="X857" s="26" t="s">
        <v>1028</v>
      </c>
      <c r="Y857" s="18" t="s">
        <v>9127</v>
      </c>
      <c r="Z857" s="24" t="s">
        <v>4</v>
      </c>
    </row>
    <row r="858" spans="1:26" ht="20.100000000000001" customHeight="1" x14ac:dyDescent="0.2">
      <c r="A858" s="18" t="s">
        <v>14077</v>
      </c>
      <c r="B858" s="19" t="s">
        <v>14078</v>
      </c>
      <c r="C858" s="19" t="s">
        <v>14079</v>
      </c>
      <c r="D858" s="8" t="s">
        <v>8948</v>
      </c>
      <c r="E858" s="20" t="s">
        <v>9155</v>
      </c>
      <c r="F858" s="20" t="s">
        <v>9036</v>
      </c>
      <c r="G858" s="20" t="s">
        <v>9464</v>
      </c>
      <c r="H858" s="20">
        <v>2400</v>
      </c>
      <c r="I858" s="20" t="s">
        <v>8952</v>
      </c>
      <c r="J858" s="20" t="s">
        <v>8953</v>
      </c>
      <c r="K858" s="20" t="s">
        <v>8989</v>
      </c>
      <c r="L858" s="21" t="s">
        <v>8955</v>
      </c>
      <c r="M858" s="20" t="s">
        <v>8956</v>
      </c>
      <c r="N858" s="20" t="s">
        <v>8959</v>
      </c>
      <c r="O858" s="20">
        <f t="shared" si="13"/>
        <v>1</v>
      </c>
      <c r="P858" s="22" t="s">
        <v>9103</v>
      </c>
      <c r="Q858" s="21" t="s">
        <v>8959</v>
      </c>
      <c r="R858" s="23" t="s">
        <v>9010</v>
      </c>
      <c r="S858" s="24" t="s">
        <v>9011</v>
      </c>
      <c r="T858" s="24" t="str">
        <f>VLOOKUP(R858,[1]Sheet3!$A$2:$A$47,1,0)</f>
        <v>the United States of America</v>
      </c>
      <c r="U858" s="24" t="s">
        <v>14080</v>
      </c>
      <c r="V858" s="24" t="s">
        <v>14081</v>
      </c>
      <c r="W858" s="18" t="s">
        <v>8964</v>
      </c>
      <c r="X858" s="26" t="s">
        <v>93</v>
      </c>
      <c r="Y858" s="18" t="s">
        <v>9014</v>
      </c>
      <c r="Z858" s="24" t="s">
        <v>4</v>
      </c>
    </row>
    <row r="859" spans="1:26" ht="20.100000000000001" customHeight="1" x14ac:dyDescent="0.2">
      <c r="A859" s="18" t="s">
        <v>14082</v>
      </c>
      <c r="B859" s="19" t="s">
        <v>14083</v>
      </c>
      <c r="C859" s="19" t="s">
        <v>14084</v>
      </c>
      <c r="D859" s="8" t="s">
        <v>9252</v>
      </c>
      <c r="E859" s="20" t="s">
        <v>9253</v>
      </c>
      <c r="F859" s="20" t="s">
        <v>9036</v>
      </c>
      <c r="G859" s="20" t="s">
        <v>8987</v>
      </c>
      <c r="H859" s="20">
        <f>2576+150+1+69</f>
        <v>2796</v>
      </c>
      <c r="I859" s="20" t="s">
        <v>8952</v>
      </c>
      <c r="J859" s="20" t="s">
        <v>8953</v>
      </c>
      <c r="K859" s="20" t="s">
        <v>8954</v>
      </c>
      <c r="L859" s="21" t="s">
        <v>8955</v>
      </c>
      <c r="M859" s="20" t="s">
        <v>8956</v>
      </c>
      <c r="N859" s="20" t="s">
        <v>8959</v>
      </c>
      <c r="O859" s="20">
        <f t="shared" si="13"/>
        <v>5</v>
      </c>
      <c r="P859" s="22" t="s">
        <v>8958</v>
      </c>
      <c r="Q859" s="21" t="s">
        <v>8959</v>
      </c>
      <c r="R859" s="23" t="s">
        <v>9852</v>
      </c>
      <c r="S859" s="24" t="s">
        <v>10688</v>
      </c>
      <c r="T859" s="24" t="str">
        <f>VLOOKUP(R859,[1]Sheet3!$A$2:$A$47,1,0)</f>
        <v>Pakistan</v>
      </c>
      <c r="U859" s="24" t="s">
        <v>14085</v>
      </c>
      <c r="V859" s="24" t="s">
        <v>14086</v>
      </c>
      <c r="W859" s="18" t="s">
        <v>8964</v>
      </c>
      <c r="X859" s="26" t="s">
        <v>1343</v>
      </c>
      <c r="Y859" s="18" t="s">
        <v>10691</v>
      </c>
      <c r="Z859" s="24" t="s">
        <v>4</v>
      </c>
    </row>
    <row r="860" spans="1:26" ht="20.100000000000001" customHeight="1" x14ac:dyDescent="0.2">
      <c r="A860" s="26" t="s">
        <v>14087</v>
      </c>
      <c r="B860" s="28" t="s">
        <v>14088</v>
      </c>
      <c r="C860" s="28" t="s">
        <v>14089</v>
      </c>
      <c r="D860" s="8" t="s">
        <v>9605</v>
      </c>
      <c r="E860" s="35" t="s">
        <v>9121</v>
      </c>
      <c r="F860" s="35" t="s">
        <v>14090</v>
      </c>
      <c r="G860" s="35" t="s">
        <v>8951</v>
      </c>
      <c r="H860" s="35">
        <v>99</v>
      </c>
      <c r="I860" s="35" t="s">
        <v>9008</v>
      </c>
      <c r="J860" s="35" t="s">
        <v>14091</v>
      </c>
      <c r="K860" s="35" t="s">
        <v>8989</v>
      </c>
      <c r="L860" s="37" t="s">
        <v>8955</v>
      </c>
      <c r="M860" s="35" t="s">
        <v>8990</v>
      </c>
      <c r="N860" s="35" t="s">
        <v>8959</v>
      </c>
      <c r="O860" s="35">
        <f t="shared" si="13"/>
        <v>3</v>
      </c>
      <c r="P860" s="38" t="s">
        <v>9103</v>
      </c>
      <c r="Q860" s="37" t="s">
        <v>8959</v>
      </c>
      <c r="R860" s="23" t="s">
        <v>9010</v>
      </c>
      <c r="S860" s="26" t="s">
        <v>9159</v>
      </c>
      <c r="T860" s="24" t="str">
        <f>VLOOKUP(R860,[1]Sheet3!$A$2:$A$47,1,0)</f>
        <v>the United States of America</v>
      </c>
      <c r="U860" s="28" t="s">
        <v>14092</v>
      </c>
      <c r="V860" s="26" t="s">
        <v>14093</v>
      </c>
      <c r="W860" s="26" t="s">
        <v>8964</v>
      </c>
      <c r="X860" s="26" t="s">
        <v>61</v>
      </c>
      <c r="Y860" s="26" t="s">
        <v>9162</v>
      </c>
      <c r="Z860" s="26" t="s">
        <v>4</v>
      </c>
    </row>
    <row r="861" spans="1:26" ht="20.100000000000001" customHeight="1" x14ac:dyDescent="0.2">
      <c r="A861" s="18" t="s">
        <v>14094</v>
      </c>
      <c r="B861" s="19" t="s">
        <v>14095</v>
      </c>
      <c r="C861" s="19" t="s">
        <v>14096</v>
      </c>
      <c r="D861" s="8" t="s">
        <v>9252</v>
      </c>
      <c r="E861" s="20" t="s">
        <v>9253</v>
      </c>
      <c r="F861" s="20" t="s">
        <v>14097</v>
      </c>
      <c r="G861" s="20" t="s">
        <v>8987</v>
      </c>
      <c r="H861" s="20">
        <v>410</v>
      </c>
      <c r="I861" s="20" t="s">
        <v>8988</v>
      </c>
      <c r="J861" s="20" t="s">
        <v>8953</v>
      </c>
      <c r="K861" s="20" t="s">
        <v>8989</v>
      </c>
      <c r="L861" s="21" t="s">
        <v>8955</v>
      </c>
      <c r="M861" s="20" t="s">
        <v>8956</v>
      </c>
      <c r="N861" s="20" t="s">
        <v>8957</v>
      </c>
      <c r="O861" s="20">
        <f t="shared" si="13"/>
        <v>3</v>
      </c>
      <c r="P861" s="22" t="s">
        <v>9103</v>
      </c>
      <c r="Q861" s="21" t="s">
        <v>8959</v>
      </c>
      <c r="R861" s="23" t="s">
        <v>8960</v>
      </c>
      <c r="S861" s="24" t="s">
        <v>8961</v>
      </c>
      <c r="T861" s="24" t="str">
        <f>VLOOKUP(R861,[1]Sheet3!$A$2:$A$47,1,0)</f>
        <v>Canada</v>
      </c>
      <c r="U861" s="24" t="s">
        <v>14098</v>
      </c>
      <c r="V861" s="24" t="s">
        <v>14099</v>
      </c>
      <c r="W861" s="18" t="s">
        <v>8964</v>
      </c>
      <c r="X861" s="26" t="s">
        <v>126</v>
      </c>
      <c r="Y861" s="18" t="s">
        <v>8966</v>
      </c>
      <c r="Z861" s="24" t="s">
        <v>4</v>
      </c>
    </row>
    <row r="862" spans="1:26" ht="20.100000000000001" customHeight="1" x14ac:dyDescent="0.2">
      <c r="A862" s="18" t="s">
        <v>14100</v>
      </c>
      <c r="B862" s="19" t="s">
        <v>14101</v>
      </c>
      <c r="C862" s="19" t="s">
        <v>14102</v>
      </c>
      <c r="D862" s="8" t="s">
        <v>9092</v>
      </c>
      <c r="E862" s="20" t="s">
        <v>8949</v>
      </c>
      <c r="F862" s="20" t="s">
        <v>9036</v>
      </c>
      <c r="G862" s="20" t="s">
        <v>8987</v>
      </c>
      <c r="H862" s="20">
        <v>12018</v>
      </c>
      <c r="I862" s="20" t="s">
        <v>9019</v>
      </c>
      <c r="J862" s="20" t="s">
        <v>9059</v>
      </c>
      <c r="K862" s="20" t="s">
        <v>8954</v>
      </c>
      <c r="L862" s="21" t="s">
        <v>8955</v>
      </c>
      <c r="M862" s="20" t="s">
        <v>8956</v>
      </c>
      <c r="N862" s="20" t="s">
        <v>8957</v>
      </c>
      <c r="O862" s="20">
        <f t="shared" si="13"/>
        <v>9</v>
      </c>
      <c r="P862" s="22" t="s">
        <v>8975</v>
      </c>
      <c r="Q862" s="21" t="s">
        <v>8959</v>
      </c>
      <c r="R862" s="23" t="s">
        <v>10873</v>
      </c>
      <c r="S862" s="24" t="s">
        <v>14103</v>
      </c>
      <c r="T862" s="24" t="str">
        <f>VLOOKUP(R862,[1]Sheet3!$A$2:$A$47,1,0)</f>
        <v>UK</v>
      </c>
      <c r="U862" s="24" t="s">
        <v>14104</v>
      </c>
      <c r="V862" s="24" t="s">
        <v>14105</v>
      </c>
      <c r="W862" s="18" t="s">
        <v>8964</v>
      </c>
      <c r="X862" s="26" t="s">
        <v>2211</v>
      </c>
      <c r="Y862" s="18" t="s">
        <v>14106</v>
      </c>
      <c r="Z862" s="24" t="s">
        <v>4</v>
      </c>
    </row>
    <row r="863" spans="1:26" ht="20.100000000000001" customHeight="1" x14ac:dyDescent="0.2">
      <c r="A863" s="18" t="s">
        <v>14107</v>
      </c>
      <c r="B863" s="19" t="s">
        <v>14108</v>
      </c>
      <c r="C863" s="19" t="s">
        <v>14109</v>
      </c>
      <c r="D863" s="8" t="s">
        <v>9049</v>
      </c>
      <c r="E863" s="20" t="s">
        <v>9050</v>
      </c>
      <c r="F863" s="20" t="s">
        <v>10613</v>
      </c>
      <c r="G863" s="20" t="s">
        <v>8987</v>
      </c>
      <c r="H863" s="20">
        <v>5664</v>
      </c>
      <c r="I863" s="20" t="s">
        <v>9019</v>
      </c>
      <c r="J863" s="20" t="s">
        <v>8953</v>
      </c>
      <c r="K863" s="20" t="s">
        <v>8989</v>
      </c>
      <c r="L863" s="21" t="s">
        <v>8955</v>
      </c>
      <c r="M863" s="20" t="s">
        <v>8956</v>
      </c>
      <c r="N863" s="20" t="s">
        <v>8957</v>
      </c>
      <c r="O863" s="20">
        <f t="shared" si="13"/>
        <v>5</v>
      </c>
      <c r="P863" s="22" t="s">
        <v>8958</v>
      </c>
      <c r="Q863" s="21" t="s">
        <v>8959</v>
      </c>
      <c r="R863" s="23" t="s">
        <v>9010</v>
      </c>
      <c r="S863" s="24" t="s">
        <v>9052</v>
      </c>
      <c r="T863" s="24" t="str">
        <f>VLOOKUP(R863,[1]Sheet3!$A$2:$A$47,1,0)</f>
        <v>the United States of America</v>
      </c>
      <c r="U863" s="24" t="s">
        <v>14110</v>
      </c>
      <c r="V863" s="24" t="s">
        <v>14111</v>
      </c>
      <c r="W863" s="18" t="s">
        <v>8964</v>
      </c>
      <c r="X863" s="26" t="s">
        <v>74</v>
      </c>
      <c r="Y863" s="18" t="s">
        <v>9055</v>
      </c>
      <c r="Z863" s="24" t="s">
        <v>4</v>
      </c>
    </row>
    <row r="864" spans="1:26" ht="20.100000000000001" customHeight="1" x14ac:dyDescent="0.2">
      <c r="A864" s="18" t="s">
        <v>14112</v>
      </c>
      <c r="B864" s="19" t="s">
        <v>14113</v>
      </c>
      <c r="C864" s="19" t="s">
        <v>14114</v>
      </c>
      <c r="D864" s="8" t="s">
        <v>8948</v>
      </c>
      <c r="E864" s="20" t="s">
        <v>8949</v>
      </c>
      <c r="F864" s="20" t="s">
        <v>14115</v>
      </c>
      <c r="G864" s="20" t="s">
        <v>8987</v>
      </c>
      <c r="H864" s="20">
        <v>805</v>
      </c>
      <c r="I864" s="20" t="s">
        <v>9077</v>
      </c>
      <c r="J864" s="20" t="s">
        <v>9059</v>
      </c>
      <c r="K864" s="20" t="s">
        <v>8989</v>
      </c>
      <c r="L864" s="21" t="s">
        <v>8955</v>
      </c>
      <c r="M864" s="20" t="s">
        <v>8956</v>
      </c>
      <c r="N864" s="20" t="s">
        <v>8957</v>
      </c>
      <c r="O864" s="20">
        <f t="shared" si="13"/>
        <v>4</v>
      </c>
      <c r="P864" s="22" t="s">
        <v>8958</v>
      </c>
      <c r="Q864" s="21" t="s">
        <v>8959</v>
      </c>
      <c r="R864" s="23" t="s">
        <v>9213</v>
      </c>
      <c r="S864" s="24" t="s">
        <v>8961</v>
      </c>
      <c r="T864" s="24" t="str">
        <f>VLOOKUP(R864,[1]Sheet3!$A$2:$A$47,1,0)</f>
        <v>South Korea</v>
      </c>
      <c r="U864" s="24" t="s">
        <v>14116</v>
      </c>
      <c r="V864" s="24" t="s">
        <v>14117</v>
      </c>
      <c r="W864" s="18" t="s">
        <v>8964</v>
      </c>
      <c r="X864" s="26" t="s">
        <v>126</v>
      </c>
      <c r="Y864" s="18" t="s">
        <v>8966</v>
      </c>
      <c r="Z864" s="24" t="s">
        <v>4</v>
      </c>
    </row>
    <row r="865" spans="1:26" ht="20.100000000000001" customHeight="1" x14ac:dyDescent="0.2">
      <c r="A865" s="18" t="s">
        <v>14118</v>
      </c>
      <c r="B865" s="19" t="s">
        <v>14119</v>
      </c>
      <c r="C865" s="19" t="s">
        <v>14120</v>
      </c>
      <c r="D865" s="8" t="s">
        <v>8948</v>
      </c>
      <c r="E865" s="20" t="s">
        <v>9155</v>
      </c>
      <c r="F865" s="20" t="s">
        <v>9036</v>
      </c>
      <c r="G865" s="20" t="s">
        <v>8987</v>
      </c>
      <c r="H865" s="20">
        <v>69</v>
      </c>
      <c r="I865" s="20" t="s">
        <v>9008</v>
      </c>
      <c r="J865" s="20" t="s">
        <v>9059</v>
      </c>
      <c r="K865" s="20" t="s">
        <v>8989</v>
      </c>
      <c r="L865" s="21" t="s">
        <v>8955</v>
      </c>
      <c r="M865" s="20" t="s">
        <v>8990</v>
      </c>
      <c r="N865" s="20" t="s">
        <v>8957</v>
      </c>
      <c r="O865" s="20">
        <f t="shared" si="13"/>
        <v>5</v>
      </c>
      <c r="P865" s="22" t="s">
        <v>8958</v>
      </c>
      <c r="Q865" s="21" t="s">
        <v>9061</v>
      </c>
      <c r="R865" s="23" t="s">
        <v>9010</v>
      </c>
      <c r="S865" s="24" t="s">
        <v>9741</v>
      </c>
      <c r="T865" s="24" t="str">
        <f>VLOOKUP(R865,[1]Sheet3!$A$2:$A$47,1,0)</f>
        <v>the United States of America</v>
      </c>
      <c r="U865" s="24" t="s">
        <v>14121</v>
      </c>
      <c r="V865" s="24" t="s">
        <v>14122</v>
      </c>
      <c r="W865" s="18" t="s">
        <v>8964</v>
      </c>
      <c r="X865" s="26" t="s">
        <v>921</v>
      </c>
      <c r="Y865" s="18" t="s">
        <v>9744</v>
      </c>
      <c r="Z865" s="24" t="s">
        <v>242</v>
      </c>
    </row>
    <row r="866" spans="1:26" ht="20.100000000000001" customHeight="1" x14ac:dyDescent="0.2">
      <c r="B866" s="19" t="s">
        <v>14123</v>
      </c>
      <c r="C866" s="19" t="s">
        <v>14124</v>
      </c>
      <c r="D866" s="8" t="s">
        <v>8948</v>
      </c>
      <c r="E866" s="20" t="s">
        <v>8949</v>
      </c>
      <c r="F866" s="20" t="s">
        <v>8950</v>
      </c>
      <c r="G866" s="20" t="s">
        <v>8987</v>
      </c>
      <c r="H866" s="20" t="s">
        <v>9479</v>
      </c>
      <c r="I866" s="20" t="s">
        <v>9479</v>
      </c>
      <c r="J866" s="20" t="s">
        <v>9479</v>
      </c>
      <c r="K866" s="20" t="s">
        <v>8954</v>
      </c>
      <c r="L866" s="21" t="s">
        <v>8955</v>
      </c>
      <c r="M866" s="20" t="s">
        <v>8956</v>
      </c>
      <c r="N866" s="20" t="s">
        <v>8959</v>
      </c>
      <c r="O866" s="20">
        <f t="shared" si="13"/>
        <v>5</v>
      </c>
      <c r="P866" s="22" t="s">
        <v>8958</v>
      </c>
      <c r="Q866" s="21" t="s">
        <v>9061</v>
      </c>
      <c r="R866" s="23" t="s">
        <v>9010</v>
      </c>
      <c r="S866" s="24" t="s">
        <v>12152</v>
      </c>
      <c r="T866" s="24" t="str">
        <f>VLOOKUP(R866,[1]Sheet3!$A$2:$A$47,1,0)</f>
        <v>the United States of America</v>
      </c>
      <c r="U866" s="24" t="s">
        <v>14125</v>
      </c>
      <c r="V866" s="24" t="s">
        <v>14126</v>
      </c>
      <c r="W866" s="18" t="s">
        <v>4457</v>
      </c>
      <c r="X866" s="26" t="s">
        <v>1328</v>
      </c>
      <c r="Y866" s="18" t="s">
        <v>12155</v>
      </c>
      <c r="Z866" s="24" t="s">
        <v>4</v>
      </c>
    </row>
    <row r="867" spans="1:26" ht="20.100000000000001" customHeight="1" x14ac:dyDescent="0.2">
      <c r="A867" s="18" t="s">
        <v>14127</v>
      </c>
      <c r="B867" s="19" t="s">
        <v>14128</v>
      </c>
      <c r="C867" s="19" t="s">
        <v>14129</v>
      </c>
      <c r="D867" s="8" t="s">
        <v>9605</v>
      </c>
      <c r="E867" s="20" t="s">
        <v>8985</v>
      </c>
      <c r="F867" s="20" t="s">
        <v>9018</v>
      </c>
      <c r="G867" s="20" t="s">
        <v>8987</v>
      </c>
      <c r="H867" s="20">
        <f>628+428+324+568+796+784</f>
        <v>3528</v>
      </c>
      <c r="I867" s="20" t="s">
        <v>9019</v>
      </c>
      <c r="J867" s="20" t="s">
        <v>8953</v>
      </c>
      <c r="K867" s="20" t="s">
        <v>8954</v>
      </c>
      <c r="L867" s="21" t="s">
        <v>8955</v>
      </c>
      <c r="M867" s="20" t="s">
        <v>8956</v>
      </c>
      <c r="N867" s="20" t="s">
        <v>8957</v>
      </c>
      <c r="O867" s="20">
        <f t="shared" si="13"/>
        <v>5</v>
      </c>
      <c r="P867" s="22" t="s">
        <v>8958</v>
      </c>
      <c r="Q867" s="21" t="s">
        <v>9009</v>
      </c>
      <c r="R867" s="23" t="s">
        <v>9010</v>
      </c>
      <c r="S867" s="24" t="s">
        <v>10666</v>
      </c>
      <c r="T867" s="24" t="str">
        <f>VLOOKUP(R867,[1]Sheet3!$A$2:$A$47,1,0)</f>
        <v>the United States of America</v>
      </c>
      <c r="U867" s="24" t="s">
        <v>14130</v>
      </c>
      <c r="V867" s="24" t="s">
        <v>14131</v>
      </c>
      <c r="W867" s="18" t="s">
        <v>8964</v>
      </c>
      <c r="X867" s="26" t="s">
        <v>1110</v>
      </c>
      <c r="Y867" s="18" t="s">
        <v>10669</v>
      </c>
      <c r="Z867" s="24" t="s">
        <v>11</v>
      </c>
    </row>
    <row r="868" spans="1:26" ht="20.100000000000001" customHeight="1" x14ac:dyDescent="0.2">
      <c r="A868" s="18" t="s">
        <v>14132</v>
      </c>
      <c r="B868" s="19" t="s">
        <v>14133</v>
      </c>
      <c r="C868" s="19" t="s">
        <v>14134</v>
      </c>
      <c r="D868" s="8" t="s">
        <v>8984</v>
      </c>
      <c r="E868" s="33" t="s">
        <v>9131</v>
      </c>
      <c r="F868" s="20" t="s">
        <v>9436</v>
      </c>
      <c r="G868" s="20" t="s">
        <v>8951</v>
      </c>
      <c r="H868" s="20">
        <v>38</v>
      </c>
      <c r="I868" s="20" t="s">
        <v>9008</v>
      </c>
      <c r="J868" s="35" t="s">
        <v>14091</v>
      </c>
      <c r="K868" s="20" t="s">
        <v>8989</v>
      </c>
      <c r="L868" s="21" t="s">
        <v>8955</v>
      </c>
      <c r="M868" s="20" t="s">
        <v>8956</v>
      </c>
      <c r="N868" s="20" t="s">
        <v>8959</v>
      </c>
      <c r="O868" s="20">
        <f t="shared" si="13"/>
        <v>5</v>
      </c>
      <c r="P868" s="22" t="s">
        <v>8958</v>
      </c>
      <c r="Q868" s="21" t="s">
        <v>8959</v>
      </c>
      <c r="R868" s="23" t="s">
        <v>9310</v>
      </c>
      <c r="S868" s="24" t="s">
        <v>8992</v>
      </c>
      <c r="T868" s="24" t="str">
        <f>VLOOKUP(R868,[1]Sheet3!$A$2:$A$47,1,0)</f>
        <v>China</v>
      </c>
      <c r="U868" s="25" t="s">
        <v>14135</v>
      </c>
      <c r="V868" s="24" t="s">
        <v>14136</v>
      </c>
      <c r="W868" s="18" t="s">
        <v>8964</v>
      </c>
      <c r="X868" s="26" t="s">
        <v>27</v>
      </c>
      <c r="Y868" s="18" t="s">
        <v>8994</v>
      </c>
      <c r="Z868" s="24" t="s">
        <v>4</v>
      </c>
    </row>
    <row r="869" spans="1:26" ht="20.100000000000001" customHeight="1" x14ac:dyDescent="0.2">
      <c r="A869" s="18" t="s">
        <v>14137</v>
      </c>
      <c r="B869" s="19" t="s">
        <v>14138</v>
      </c>
      <c r="C869" s="19" t="s">
        <v>14139</v>
      </c>
      <c r="D869" s="8" t="s">
        <v>9035</v>
      </c>
      <c r="E869" s="20" t="s">
        <v>8998</v>
      </c>
      <c r="F869" s="20" t="s">
        <v>14140</v>
      </c>
      <c r="G869" s="20" t="s">
        <v>9133</v>
      </c>
      <c r="H869" s="20">
        <v>2400</v>
      </c>
      <c r="I869" s="20" t="s">
        <v>8952</v>
      </c>
      <c r="J869" s="20" t="s">
        <v>8953</v>
      </c>
      <c r="K869" s="20" t="s">
        <v>8954</v>
      </c>
      <c r="L869" s="21" t="s">
        <v>8955</v>
      </c>
      <c r="M869" s="20" t="s">
        <v>8956</v>
      </c>
      <c r="N869" s="20" t="s">
        <v>8957</v>
      </c>
      <c r="O869" s="20">
        <f t="shared" si="13"/>
        <v>7</v>
      </c>
      <c r="P869" s="22" t="s">
        <v>8958</v>
      </c>
      <c r="Q869" s="21" t="s">
        <v>9061</v>
      </c>
      <c r="R869" s="23" t="s">
        <v>9310</v>
      </c>
      <c r="S869" s="24" t="s">
        <v>9159</v>
      </c>
      <c r="T869" s="24" t="str">
        <f>VLOOKUP(R869,[1]Sheet3!$A$2:$A$47,1,0)</f>
        <v>China</v>
      </c>
      <c r="U869" s="24" t="s">
        <v>14141</v>
      </c>
      <c r="V869" s="24" t="s">
        <v>14142</v>
      </c>
      <c r="W869" s="18" t="s">
        <v>8964</v>
      </c>
      <c r="X869" s="26" t="s">
        <v>61</v>
      </c>
      <c r="Y869" s="18" t="s">
        <v>9162</v>
      </c>
      <c r="Z869" s="24" t="s">
        <v>4</v>
      </c>
    </row>
    <row r="870" spans="1:26" ht="20.100000000000001" customHeight="1" x14ac:dyDescent="0.2">
      <c r="A870" s="18" t="s">
        <v>14143</v>
      </c>
      <c r="B870" s="19" t="s">
        <v>14144</v>
      </c>
      <c r="C870" s="19" t="s">
        <v>14145</v>
      </c>
      <c r="D870" s="8" t="s">
        <v>8948</v>
      </c>
      <c r="E870" s="20" t="s">
        <v>9155</v>
      </c>
      <c r="F870" s="20" t="s">
        <v>14146</v>
      </c>
      <c r="G870" s="20" t="s">
        <v>8987</v>
      </c>
      <c r="H870" s="20">
        <v>152</v>
      </c>
      <c r="I870" s="20" t="s">
        <v>9158</v>
      </c>
      <c r="J870" s="20" t="s">
        <v>9059</v>
      </c>
      <c r="K870" s="20" t="s">
        <v>8989</v>
      </c>
      <c r="L870" s="21" t="s">
        <v>8955</v>
      </c>
      <c r="M870" s="20" t="s">
        <v>8956</v>
      </c>
      <c r="N870" s="20" t="s">
        <v>8957</v>
      </c>
      <c r="O870" s="20">
        <f t="shared" si="13"/>
        <v>5</v>
      </c>
      <c r="P870" s="22" t="s">
        <v>8958</v>
      </c>
      <c r="Q870" s="21" t="s">
        <v>8959</v>
      </c>
      <c r="R870" s="23" t="s">
        <v>9310</v>
      </c>
      <c r="S870" s="24" t="s">
        <v>8992</v>
      </c>
      <c r="T870" s="24" t="str">
        <f>VLOOKUP(R870,[1]Sheet3!$A$2:$A$47,1,0)</f>
        <v>China</v>
      </c>
      <c r="U870" s="25" t="s">
        <v>14147</v>
      </c>
      <c r="V870" s="24" t="s">
        <v>14148</v>
      </c>
      <c r="W870" s="18" t="s">
        <v>8964</v>
      </c>
      <c r="X870" s="26" t="s">
        <v>27</v>
      </c>
      <c r="Y870" s="18" t="s">
        <v>8994</v>
      </c>
      <c r="Z870" s="24" t="s">
        <v>11</v>
      </c>
    </row>
    <row r="871" spans="1:26" ht="20.100000000000001" customHeight="1" x14ac:dyDescent="0.2">
      <c r="A871" s="18" t="s">
        <v>14149</v>
      </c>
      <c r="B871" s="19" t="s">
        <v>14150</v>
      </c>
      <c r="C871" s="19" t="s">
        <v>14151</v>
      </c>
      <c r="D871" s="8" t="s">
        <v>9252</v>
      </c>
      <c r="E871" s="20" t="s">
        <v>9253</v>
      </c>
      <c r="F871" s="20" t="s">
        <v>8950</v>
      </c>
      <c r="G871" s="20" t="s">
        <v>8951</v>
      </c>
      <c r="H871" s="20">
        <v>840</v>
      </c>
      <c r="I871" s="20" t="s">
        <v>9077</v>
      </c>
      <c r="J871" s="20" t="s">
        <v>8953</v>
      </c>
      <c r="K871" s="20" t="s">
        <v>8954</v>
      </c>
      <c r="L871" s="21" t="s">
        <v>8955</v>
      </c>
      <c r="M871" s="20" t="s">
        <v>8956</v>
      </c>
      <c r="N871" s="20" t="s">
        <v>8957</v>
      </c>
      <c r="O871" s="20">
        <f t="shared" si="13"/>
        <v>7</v>
      </c>
      <c r="P871" s="22" t="s">
        <v>8958</v>
      </c>
      <c r="Q871" s="21" t="s">
        <v>8959</v>
      </c>
      <c r="R871" s="23" t="s">
        <v>9010</v>
      </c>
      <c r="S871" s="24" t="s">
        <v>9159</v>
      </c>
      <c r="T871" s="24" t="str">
        <f>VLOOKUP(R871,[1]Sheet3!$A$2:$A$47,1,0)</f>
        <v>the United States of America</v>
      </c>
      <c r="U871" s="24" t="s">
        <v>14152</v>
      </c>
      <c r="V871" s="24" t="s">
        <v>14153</v>
      </c>
      <c r="W871" s="18" t="s">
        <v>8964</v>
      </c>
      <c r="X871" s="26" t="s">
        <v>61</v>
      </c>
      <c r="Y871" s="18" t="s">
        <v>9162</v>
      </c>
      <c r="Z871" s="24" t="s">
        <v>4</v>
      </c>
    </row>
    <row r="872" spans="1:26" ht="20.100000000000001" customHeight="1" x14ac:dyDescent="0.2">
      <c r="A872" s="18" t="s">
        <v>14154</v>
      </c>
      <c r="B872" s="19" t="s">
        <v>14155</v>
      </c>
      <c r="C872" s="19" t="s">
        <v>14156</v>
      </c>
      <c r="D872" s="8" t="s">
        <v>9075</v>
      </c>
      <c r="E872" s="20" t="s">
        <v>8949</v>
      </c>
      <c r="F872" s="20" t="s">
        <v>12454</v>
      </c>
      <c r="G872" s="20" t="s">
        <v>8951</v>
      </c>
      <c r="H872" s="20">
        <v>21</v>
      </c>
      <c r="I872" s="20" t="s">
        <v>9008</v>
      </c>
      <c r="J872" s="20" t="s">
        <v>9059</v>
      </c>
      <c r="K872" s="20" t="s">
        <v>8989</v>
      </c>
      <c r="L872" s="21" t="s">
        <v>8955</v>
      </c>
      <c r="M872" s="20" t="s">
        <v>8956</v>
      </c>
      <c r="N872" s="20" t="s">
        <v>8957</v>
      </c>
      <c r="O872" s="20">
        <f t="shared" si="13"/>
        <v>7</v>
      </c>
      <c r="P872" s="22" t="s">
        <v>8958</v>
      </c>
      <c r="Q872" s="21" t="s">
        <v>8959</v>
      </c>
      <c r="R872" s="23" t="s">
        <v>9310</v>
      </c>
      <c r="S872" s="24" t="s">
        <v>9011</v>
      </c>
      <c r="T872" s="24" t="str">
        <f>VLOOKUP(R872,[1]Sheet3!$A$2:$A$47,1,0)</f>
        <v>China</v>
      </c>
      <c r="U872" s="24" t="s">
        <v>14157</v>
      </c>
      <c r="V872" s="24" t="s">
        <v>14158</v>
      </c>
      <c r="W872" s="18" t="s">
        <v>8964</v>
      </c>
      <c r="X872" s="26" t="s">
        <v>93</v>
      </c>
      <c r="Y872" s="18" t="s">
        <v>9014</v>
      </c>
      <c r="Z872" s="24" t="s">
        <v>4</v>
      </c>
    </row>
    <row r="873" spans="1:26" ht="20.100000000000001" customHeight="1" x14ac:dyDescent="0.2">
      <c r="A873" s="18" t="s">
        <v>14159</v>
      </c>
      <c r="B873" s="19" t="s">
        <v>14160</v>
      </c>
      <c r="C873" s="19" t="s">
        <v>14161</v>
      </c>
      <c r="D873" s="8" t="s">
        <v>9252</v>
      </c>
      <c r="E873" s="20" t="s">
        <v>9253</v>
      </c>
      <c r="F873" s="20" t="s">
        <v>9036</v>
      </c>
      <c r="G873" s="20" t="s">
        <v>8987</v>
      </c>
      <c r="H873" s="20">
        <v>1804</v>
      </c>
      <c r="I873" s="20" t="s">
        <v>8952</v>
      </c>
      <c r="J873" s="20" t="s">
        <v>8953</v>
      </c>
      <c r="K873" s="20" t="s">
        <v>8954</v>
      </c>
      <c r="L873" s="21" t="s">
        <v>8955</v>
      </c>
      <c r="M873" s="20" t="s">
        <v>8956</v>
      </c>
      <c r="N873" s="20" t="s">
        <v>8957</v>
      </c>
      <c r="O873" s="20">
        <f t="shared" si="13"/>
        <v>4</v>
      </c>
      <c r="P873" s="22" t="s">
        <v>8958</v>
      </c>
      <c r="Q873" s="21" t="s">
        <v>9061</v>
      </c>
      <c r="R873" s="23" t="s">
        <v>9246</v>
      </c>
      <c r="S873" s="24" t="s">
        <v>9011</v>
      </c>
      <c r="T873" s="24" t="str">
        <f>VLOOKUP(R873,[1]Sheet3!$A$2:$A$47,1,0)</f>
        <v>Netherlands</v>
      </c>
      <c r="U873" s="24" t="s">
        <v>14162</v>
      </c>
      <c r="V873" s="24" t="s">
        <v>14163</v>
      </c>
      <c r="W873" s="18" t="s">
        <v>8964</v>
      </c>
      <c r="X873" s="26" t="s">
        <v>93</v>
      </c>
      <c r="Y873" s="18" t="s">
        <v>9014</v>
      </c>
      <c r="Z873" s="24" t="s">
        <v>4</v>
      </c>
    </row>
    <row r="874" spans="1:26" ht="20.100000000000001" customHeight="1" x14ac:dyDescent="0.2">
      <c r="A874" s="18" t="s">
        <v>14164</v>
      </c>
      <c r="B874" s="19" t="s">
        <v>14165</v>
      </c>
      <c r="C874" s="19" t="s">
        <v>14166</v>
      </c>
      <c r="D874" s="8" t="s">
        <v>9092</v>
      </c>
      <c r="E874" s="20" t="s">
        <v>8949</v>
      </c>
      <c r="F874" s="20" t="s">
        <v>9036</v>
      </c>
      <c r="G874" s="20" t="s">
        <v>8951</v>
      </c>
      <c r="H874" s="20">
        <f>465+438+223+221</f>
        <v>1347</v>
      </c>
      <c r="I874" s="20" t="s">
        <v>8952</v>
      </c>
      <c r="J874" s="20" t="s">
        <v>8953</v>
      </c>
      <c r="K874" s="20" t="s">
        <v>8989</v>
      </c>
      <c r="L874" s="21" t="s">
        <v>8955</v>
      </c>
      <c r="M874" s="20" t="s">
        <v>8956</v>
      </c>
      <c r="N874" s="20" t="s">
        <v>8957</v>
      </c>
      <c r="O874" s="20">
        <f t="shared" si="13"/>
        <v>3</v>
      </c>
      <c r="P874" s="22" t="s">
        <v>9103</v>
      </c>
      <c r="Q874" s="21" t="s">
        <v>8959</v>
      </c>
      <c r="R874" s="23" t="s">
        <v>11671</v>
      </c>
      <c r="S874" s="24" t="s">
        <v>9020</v>
      </c>
      <c r="T874" s="24" t="str">
        <f>VLOOKUP(R874,[1]Sheet3!$A$2:$A$47,1,0)</f>
        <v>Sweden</v>
      </c>
      <c r="U874" s="24" t="s">
        <v>14167</v>
      </c>
      <c r="V874" s="24" t="s">
        <v>14168</v>
      </c>
      <c r="W874" s="18" t="s">
        <v>8964</v>
      </c>
      <c r="X874" s="26" t="s">
        <v>87</v>
      </c>
      <c r="Y874" s="18" t="s">
        <v>9023</v>
      </c>
      <c r="Z874" s="24" t="s">
        <v>4</v>
      </c>
    </row>
    <row r="875" spans="1:26" ht="20.100000000000001" customHeight="1" x14ac:dyDescent="0.2">
      <c r="A875" s="18" t="s">
        <v>14169</v>
      </c>
      <c r="B875" s="19" t="s">
        <v>14170</v>
      </c>
      <c r="C875" s="19" t="s">
        <v>14171</v>
      </c>
      <c r="D875" s="8" t="s">
        <v>9092</v>
      </c>
      <c r="E875" s="20" t="s">
        <v>8949</v>
      </c>
      <c r="F875" s="20" t="s">
        <v>9102</v>
      </c>
      <c r="G875" s="20" t="s">
        <v>9157</v>
      </c>
      <c r="H875" s="20">
        <f>135+83+20+32</f>
        <v>270</v>
      </c>
      <c r="I875" s="20" t="s">
        <v>8988</v>
      </c>
      <c r="J875" s="20" t="s">
        <v>9059</v>
      </c>
      <c r="K875" s="20" t="s">
        <v>8989</v>
      </c>
      <c r="L875" s="21" t="s">
        <v>8955</v>
      </c>
      <c r="M875" s="20" t="s">
        <v>8956</v>
      </c>
      <c r="N875" s="20" t="s">
        <v>8957</v>
      </c>
      <c r="O875" s="20">
        <f t="shared" si="13"/>
        <v>6</v>
      </c>
      <c r="P875" s="22" t="s">
        <v>8958</v>
      </c>
      <c r="Q875" s="21" t="s">
        <v>9009</v>
      </c>
      <c r="R875" s="23" t="s">
        <v>9246</v>
      </c>
      <c r="S875" s="24" t="s">
        <v>13110</v>
      </c>
      <c r="T875" s="24" t="str">
        <f>VLOOKUP(R875,[1]Sheet3!$A$2:$A$47,1,0)</f>
        <v>Netherlands</v>
      </c>
      <c r="U875" s="24" t="s">
        <v>14172</v>
      </c>
      <c r="V875" s="24" t="s">
        <v>14173</v>
      </c>
      <c r="W875" s="18" t="s">
        <v>8964</v>
      </c>
      <c r="X875" s="26" t="s">
        <v>57</v>
      </c>
      <c r="Y875" s="18" t="s">
        <v>13113</v>
      </c>
      <c r="Z875" s="24" t="s">
        <v>4</v>
      </c>
    </row>
    <row r="876" spans="1:26" ht="20.100000000000001" customHeight="1" x14ac:dyDescent="0.2">
      <c r="A876" s="18" t="s">
        <v>14174</v>
      </c>
      <c r="B876" s="19" t="s">
        <v>14175</v>
      </c>
      <c r="C876" s="19" t="s">
        <v>14176</v>
      </c>
      <c r="D876" s="8" t="s">
        <v>9075</v>
      </c>
      <c r="E876" s="20" t="s">
        <v>8949</v>
      </c>
      <c r="F876" s="20" t="s">
        <v>12454</v>
      </c>
      <c r="G876" s="20" t="s">
        <v>9133</v>
      </c>
      <c r="H876" s="20">
        <v>53</v>
      </c>
      <c r="I876" s="20" t="s">
        <v>9008</v>
      </c>
      <c r="J876" s="20" t="s">
        <v>9059</v>
      </c>
      <c r="K876" s="20" t="s">
        <v>8989</v>
      </c>
      <c r="L876" s="21" t="s">
        <v>8955</v>
      </c>
      <c r="M876" s="20" t="s">
        <v>8956</v>
      </c>
      <c r="N876" s="20" t="s">
        <v>8959</v>
      </c>
      <c r="O876" s="20">
        <f t="shared" si="13"/>
        <v>10</v>
      </c>
      <c r="P876" s="22" t="s">
        <v>8975</v>
      </c>
      <c r="Q876" s="21" t="s">
        <v>8959</v>
      </c>
      <c r="R876" s="23" t="s">
        <v>9010</v>
      </c>
      <c r="S876" s="24" t="s">
        <v>9052</v>
      </c>
      <c r="T876" s="24" t="str">
        <f>VLOOKUP(R876,[1]Sheet3!$A$2:$A$47,1,0)</f>
        <v>the United States of America</v>
      </c>
      <c r="U876" s="24" t="s">
        <v>14177</v>
      </c>
      <c r="V876" s="24" t="s">
        <v>14178</v>
      </c>
      <c r="W876" s="18" t="s">
        <v>8964</v>
      </c>
      <c r="X876" s="26" t="s">
        <v>74</v>
      </c>
      <c r="Y876" s="18" t="s">
        <v>9055</v>
      </c>
      <c r="Z876" s="24" t="s">
        <v>4</v>
      </c>
    </row>
    <row r="877" spans="1:26" ht="20.100000000000001" customHeight="1" x14ac:dyDescent="0.2">
      <c r="A877" s="18" t="s">
        <v>14179</v>
      </c>
      <c r="B877" s="19" t="s">
        <v>14180</v>
      </c>
      <c r="C877" s="19" t="s">
        <v>14181</v>
      </c>
      <c r="D877" s="8" t="s">
        <v>9605</v>
      </c>
      <c r="E877" s="20" t="s">
        <v>9101</v>
      </c>
      <c r="F877" s="20" t="s">
        <v>14097</v>
      </c>
      <c r="G877" s="20" t="s">
        <v>8987</v>
      </c>
      <c r="H877" s="20">
        <v>618</v>
      </c>
      <c r="I877" s="20" t="s">
        <v>9077</v>
      </c>
      <c r="J877" s="20" t="s">
        <v>14182</v>
      </c>
      <c r="K877" s="20" t="s">
        <v>8989</v>
      </c>
      <c r="L877" s="21" t="s">
        <v>8955</v>
      </c>
      <c r="M877" s="20" t="s">
        <v>8956</v>
      </c>
      <c r="N877" s="20" t="s">
        <v>8957</v>
      </c>
      <c r="O877" s="20">
        <f t="shared" si="13"/>
        <v>5</v>
      </c>
      <c r="P877" s="22" t="s">
        <v>8958</v>
      </c>
      <c r="Q877" s="21" t="s">
        <v>8959</v>
      </c>
      <c r="R877" s="23" t="s">
        <v>9815</v>
      </c>
      <c r="S877" s="24" t="s">
        <v>14183</v>
      </c>
      <c r="T877" s="24" t="str">
        <f>VLOOKUP(R877,[1]Sheet3!$A$2:$A$47,1,0)</f>
        <v>India</v>
      </c>
      <c r="U877" s="24" t="s">
        <v>14184</v>
      </c>
      <c r="V877" s="24" t="s">
        <v>14185</v>
      </c>
      <c r="W877" s="18" t="s">
        <v>8964</v>
      </c>
      <c r="X877" s="26" t="s">
        <v>2439</v>
      </c>
      <c r="Y877" s="18" t="s">
        <v>14186</v>
      </c>
      <c r="Z877" s="24" t="s">
        <v>4</v>
      </c>
    </row>
    <row r="878" spans="1:26" ht="20.100000000000001" customHeight="1" x14ac:dyDescent="0.2">
      <c r="A878" s="18" t="s">
        <v>14187</v>
      </c>
      <c r="B878" s="19" t="s">
        <v>14188</v>
      </c>
      <c r="C878" s="19" t="s">
        <v>14189</v>
      </c>
      <c r="D878" s="8" t="s">
        <v>9943</v>
      </c>
      <c r="E878" s="20" t="s">
        <v>8971</v>
      </c>
      <c r="F878" s="20" t="s">
        <v>9036</v>
      </c>
      <c r="G878" s="20" t="s">
        <v>8987</v>
      </c>
      <c r="H878" s="20">
        <f>250+83</f>
        <v>333</v>
      </c>
      <c r="I878" s="20" t="s">
        <v>8988</v>
      </c>
      <c r="J878" s="20" t="s">
        <v>8953</v>
      </c>
      <c r="K878" s="20" t="s">
        <v>8954</v>
      </c>
      <c r="L878" s="21" t="s">
        <v>8955</v>
      </c>
      <c r="M878" s="20" t="s">
        <v>8956</v>
      </c>
      <c r="N878" s="20" t="s">
        <v>8957</v>
      </c>
      <c r="O878" s="20">
        <f t="shared" si="13"/>
        <v>6</v>
      </c>
      <c r="P878" s="22" t="s">
        <v>8958</v>
      </c>
      <c r="Q878" s="21" t="s">
        <v>9009</v>
      </c>
      <c r="R878" s="23" t="s">
        <v>9213</v>
      </c>
      <c r="S878" s="24" t="s">
        <v>10688</v>
      </c>
      <c r="T878" s="24" t="str">
        <f>VLOOKUP(R878,[1]Sheet3!$A$2:$A$47,1,0)</f>
        <v>South Korea</v>
      </c>
      <c r="U878" s="24" t="s">
        <v>14190</v>
      </c>
      <c r="V878" s="24" t="s">
        <v>14191</v>
      </c>
      <c r="W878" s="18" t="s">
        <v>8964</v>
      </c>
      <c r="X878" s="26" t="s">
        <v>1343</v>
      </c>
      <c r="Y878" s="18" t="s">
        <v>10691</v>
      </c>
      <c r="Z878" s="24" t="s">
        <v>4</v>
      </c>
    </row>
    <row r="879" spans="1:26" ht="20.100000000000001" customHeight="1" x14ac:dyDescent="0.2">
      <c r="A879" s="18" t="s">
        <v>14192</v>
      </c>
      <c r="B879" s="19" t="s">
        <v>14193</v>
      </c>
      <c r="C879" s="19" t="s">
        <v>14194</v>
      </c>
      <c r="D879" s="8" t="s">
        <v>9252</v>
      </c>
      <c r="E879" s="20" t="s">
        <v>8949</v>
      </c>
      <c r="F879" s="20" t="s">
        <v>10492</v>
      </c>
      <c r="G879" s="20" t="s">
        <v>8973</v>
      </c>
      <c r="H879" s="20">
        <f>132*160</f>
        <v>21120</v>
      </c>
      <c r="I879" s="20" t="s">
        <v>9019</v>
      </c>
      <c r="J879" s="20" t="s">
        <v>8953</v>
      </c>
      <c r="K879" s="20" t="s">
        <v>8989</v>
      </c>
      <c r="L879" s="21" t="s">
        <v>8955</v>
      </c>
      <c r="M879" s="20" t="s">
        <v>8956</v>
      </c>
      <c r="N879" s="20" t="s">
        <v>8957</v>
      </c>
      <c r="O879" s="20">
        <f t="shared" si="13"/>
        <v>7</v>
      </c>
      <c r="P879" s="22" t="s">
        <v>8958</v>
      </c>
      <c r="Q879" s="21" t="s">
        <v>9009</v>
      </c>
      <c r="R879" s="23" t="s">
        <v>9246</v>
      </c>
      <c r="S879" s="24" t="s">
        <v>9011</v>
      </c>
      <c r="T879" s="24" t="str">
        <f>VLOOKUP(R879,[1]Sheet3!$A$2:$A$47,1,0)</f>
        <v>Netherlands</v>
      </c>
      <c r="U879" s="24" t="s">
        <v>14195</v>
      </c>
      <c r="V879" s="24" t="s">
        <v>14196</v>
      </c>
      <c r="W879" s="18" t="s">
        <v>8964</v>
      </c>
      <c r="X879" s="26" t="s">
        <v>93</v>
      </c>
      <c r="Y879" s="18" t="s">
        <v>9014</v>
      </c>
      <c r="Z879" s="24" t="s">
        <v>4</v>
      </c>
    </row>
    <row r="880" spans="1:26" ht="20.100000000000001" customHeight="1" x14ac:dyDescent="0.2">
      <c r="A880" s="18" t="s">
        <v>14197</v>
      </c>
      <c r="B880" s="19" t="s">
        <v>14198</v>
      </c>
      <c r="C880" s="19" t="s">
        <v>14199</v>
      </c>
      <c r="D880" s="8" t="s">
        <v>9035</v>
      </c>
      <c r="E880" s="20" t="s">
        <v>8998</v>
      </c>
      <c r="F880" s="20" t="s">
        <v>9036</v>
      </c>
      <c r="G880" s="20" t="s">
        <v>8951</v>
      </c>
      <c r="H880" s="20">
        <f>4386+4391</f>
        <v>8777</v>
      </c>
      <c r="I880" s="20" t="s">
        <v>9019</v>
      </c>
      <c r="J880" s="20" t="s">
        <v>8953</v>
      </c>
      <c r="K880" s="20" t="s">
        <v>8989</v>
      </c>
      <c r="L880" s="21" t="s">
        <v>8955</v>
      </c>
      <c r="M880" s="20" t="s">
        <v>8956</v>
      </c>
      <c r="N880" s="20" t="s">
        <v>8957</v>
      </c>
      <c r="O880" s="20">
        <f t="shared" si="13"/>
        <v>4</v>
      </c>
      <c r="P880" s="22" t="s">
        <v>8958</v>
      </c>
      <c r="Q880" s="21" t="s">
        <v>8959</v>
      </c>
      <c r="R880" s="23" t="s">
        <v>9310</v>
      </c>
      <c r="S880" s="24" t="s">
        <v>9028</v>
      </c>
      <c r="T880" s="24" t="str">
        <f>VLOOKUP(R880,[1]Sheet3!$A$2:$A$47,1,0)</f>
        <v>China</v>
      </c>
      <c r="U880" s="24" t="s">
        <v>14200</v>
      </c>
      <c r="V880" s="24" t="s">
        <v>14201</v>
      </c>
      <c r="W880" s="18" t="s">
        <v>8964</v>
      </c>
      <c r="X880" s="26" t="s">
        <v>43</v>
      </c>
      <c r="Y880" s="18" t="s">
        <v>9031</v>
      </c>
      <c r="Z880" s="24" t="s">
        <v>4</v>
      </c>
    </row>
    <row r="881" spans="1:26" ht="20.100000000000001" customHeight="1" x14ac:dyDescent="0.2">
      <c r="A881" s="18" t="s">
        <v>14202</v>
      </c>
      <c r="B881" s="19" t="s">
        <v>14203</v>
      </c>
      <c r="C881" s="19" t="s">
        <v>14204</v>
      </c>
      <c r="D881" s="8" t="s">
        <v>8948</v>
      </c>
      <c r="E881" s="20" t="s">
        <v>8949</v>
      </c>
      <c r="F881" s="20" t="s">
        <v>14205</v>
      </c>
      <c r="G881" s="20" t="s">
        <v>8987</v>
      </c>
      <c r="H881" s="20">
        <f>143+32+83</f>
        <v>258</v>
      </c>
      <c r="I881" s="20" t="s">
        <v>8988</v>
      </c>
      <c r="J881" s="20" t="s">
        <v>9059</v>
      </c>
      <c r="K881" s="20" t="s">
        <v>8989</v>
      </c>
      <c r="L881" s="21" t="s">
        <v>8955</v>
      </c>
      <c r="M881" s="20" t="s">
        <v>8956</v>
      </c>
      <c r="N881" s="20" t="s">
        <v>8957</v>
      </c>
      <c r="O881" s="20">
        <f t="shared" si="13"/>
        <v>9</v>
      </c>
      <c r="P881" s="22" t="s">
        <v>8975</v>
      </c>
      <c r="Q881" s="21" t="s">
        <v>8959</v>
      </c>
      <c r="R881" s="23" t="s">
        <v>12547</v>
      </c>
      <c r="S881" s="24" t="s">
        <v>9255</v>
      </c>
      <c r="T881" s="24" t="str">
        <f>VLOOKUP(R881,[1]Sheet3!$A$2:$A$47,1,0)</f>
        <v>Brazil</v>
      </c>
      <c r="U881" s="24" t="s">
        <v>14206</v>
      </c>
      <c r="V881" s="24" t="s">
        <v>14207</v>
      </c>
      <c r="W881" s="18" t="s">
        <v>8964</v>
      </c>
      <c r="X881" s="26" t="s">
        <v>24</v>
      </c>
      <c r="Y881" s="18" t="s">
        <v>9258</v>
      </c>
      <c r="Z881" s="24" t="s">
        <v>242</v>
      </c>
    </row>
    <row r="882" spans="1:26" ht="20.100000000000001" customHeight="1" x14ac:dyDescent="0.2">
      <c r="A882" s="18" t="s">
        <v>14208</v>
      </c>
      <c r="B882" s="19" t="s">
        <v>14209</v>
      </c>
      <c r="C882" s="19" t="s">
        <v>14210</v>
      </c>
      <c r="D882" s="8" t="s">
        <v>9049</v>
      </c>
      <c r="E882" s="20" t="s">
        <v>9050</v>
      </c>
      <c r="F882" s="20" t="s">
        <v>9036</v>
      </c>
      <c r="G882" s="20" t="s">
        <v>8951</v>
      </c>
      <c r="H882" s="20">
        <f>9963+1748</f>
        <v>11711</v>
      </c>
      <c r="I882" s="20" t="s">
        <v>9019</v>
      </c>
      <c r="J882" s="20" t="s">
        <v>8953</v>
      </c>
      <c r="K882" s="20" t="s">
        <v>8954</v>
      </c>
      <c r="L882" s="21" t="s">
        <v>8955</v>
      </c>
      <c r="M882" s="20" t="s">
        <v>8956</v>
      </c>
      <c r="N882" s="20" t="s">
        <v>8974</v>
      </c>
      <c r="O882" s="20">
        <f t="shared" si="13"/>
        <v>15</v>
      </c>
      <c r="P882" s="22" t="s">
        <v>8975</v>
      </c>
      <c r="Q882" s="21" t="s">
        <v>8959</v>
      </c>
      <c r="R882" s="39" t="s">
        <v>9010</v>
      </c>
      <c r="S882" s="24" t="s">
        <v>14211</v>
      </c>
      <c r="T882" s="24" t="str">
        <f>VLOOKUP(R882,[1]Sheet3!$A$2:$A$47,1,0)</f>
        <v>the United States of America</v>
      </c>
      <c r="U882" s="24" t="s">
        <v>14212</v>
      </c>
      <c r="V882" s="24" t="s">
        <v>14213</v>
      </c>
      <c r="W882" s="18" t="s">
        <v>8964</v>
      </c>
      <c r="X882" s="26" t="s">
        <v>14211</v>
      </c>
      <c r="Y882" s="18" t="s">
        <v>14214</v>
      </c>
      <c r="Z882" s="24" t="s">
        <v>242</v>
      </c>
    </row>
    <row r="883" spans="1:26" ht="20.100000000000001" customHeight="1" x14ac:dyDescent="0.2">
      <c r="A883" s="18" t="s">
        <v>14215</v>
      </c>
      <c r="B883" s="19" t="s">
        <v>14216</v>
      </c>
      <c r="C883" s="19" t="s">
        <v>14217</v>
      </c>
      <c r="D883" s="8" t="s">
        <v>11014</v>
      </c>
      <c r="E883" s="20" t="s">
        <v>8971</v>
      </c>
      <c r="F883" s="20" t="s">
        <v>14218</v>
      </c>
      <c r="G883" s="20" t="s">
        <v>8987</v>
      </c>
      <c r="H883" s="20">
        <v>9298</v>
      </c>
      <c r="I883" s="20" t="s">
        <v>9019</v>
      </c>
      <c r="J883" s="20" t="s">
        <v>8953</v>
      </c>
      <c r="K883" s="20" t="s">
        <v>8954</v>
      </c>
      <c r="L883" s="21" t="s">
        <v>8955</v>
      </c>
      <c r="M883" s="20" t="s">
        <v>8956</v>
      </c>
      <c r="N883" s="20" t="s">
        <v>8959</v>
      </c>
      <c r="O883" s="20">
        <f t="shared" si="13"/>
        <v>2</v>
      </c>
      <c r="P883" s="22" t="s">
        <v>9103</v>
      </c>
      <c r="Q883" s="21" t="s">
        <v>9061</v>
      </c>
      <c r="R883" s="23" t="s">
        <v>9010</v>
      </c>
      <c r="S883" s="24" t="s">
        <v>9020</v>
      </c>
      <c r="T883" s="24" t="str">
        <f>VLOOKUP(R883,[1]Sheet3!$A$2:$A$47,1,0)</f>
        <v>the United States of America</v>
      </c>
      <c r="U883" s="24" t="s">
        <v>14219</v>
      </c>
      <c r="V883" s="24" t="s">
        <v>14220</v>
      </c>
      <c r="W883" s="18" t="s">
        <v>8964</v>
      </c>
      <c r="X883" s="26" t="s">
        <v>87</v>
      </c>
      <c r="Y883" s="18" t="s">
        <v>9023</v>
      </c>
      <c r="Z883" s="24" t="s">
        <v>4</v>
      </c>
    </row>
    <row r="884" spans="1:26" ht="20.100000000000001" customHeight="1" x14ac:dyDescent="0.2">
      <c r="A884" s="18" t="s">
        <v>14221</v>
      </c>
      <c r="B884" s="19" t="s">
        <v>14222</v>
      </c>
      <c r="C884" s="19" t="s">
        <v>14223</v>
      </c>
      <c r="D884" s="8" t="s">
        <v>8948</v>
      </c>
      <c r="E884" s="20" t="s">
        <v>8971</v>
      </c>
      <c r="F884" s="20" t="s">
        <v>9036</v>
      </c>
      <c r="G884" s="20" t="s">
        <v>9292</v>
      </c>
      <c r="H884" s="20">
        <v>90000</v>
      </c>
      <c r="I884" s="20" t="s">
        <v>9019</v>
      </c>
      <c r="J884" s="20" t="s">
        <v>8953</v>
      </c>
      <c r="K884" s="20" t="s">
        <v>8989</v>
      </c>
      <c r="L884" s="21" t="s">
        <v>8955</v>
      </c>
      <c r="M884" s="20" t="s">
        <v>8956</v>
      </c>
      <c r="N884" s="20" t="s">
        <v>8957</v>
      </c>
      <c r="O884" s="20">
        <f t="shared" si="13"/>
        <v>9</v>
      </c>
      <c r="P884" s="22" t="s">
        <v>8975</v>
      </c>
      <c r="Q884" s="21" t="s">
        <v>9061</v>
      </c>
      <c r="R884" s="56" t="s">
        <v>9650</v>
      </c>
      <c r="S884" s="24" t="s">
        <v>8992</v>
      </c>
      <c r="T884" s="24" t="str">
        <f>VLOOKUP(R884,[1]Sheet3!$A$2:$A$47,1,0)</f>
        <v>Spain</v>
      </c>
      <c r="V884" s="24" t="s">
        <v>14224</v>
      </c>
      <c r="W884" s="18" t="s">
        <v>8964</v>
      </c>
      <c r="X884" s="26" t="s">
        <v>27</v>
      </c>
      <c r="Y884" s="18" t="s">
        <v>8994</v>
      </c>
      <c r="Z884" s="24" t="s">
        <v>4</v>
      </c>
    </row>
    <row r="885" spans="1:26" ht="20.100000000000001" customHeight="1" x14ac:dyDescent="0.2">
      <c r="A885" s="18" t="s">
        <v>14225</v>
      </c>
      <c r="B885" s="19" t="s">
        <v>14226</v>
      </c>
      <c r="C885" s="19" t="s">
        <v>14227</v>
      </c>
      <c r="D885" s="8" t="s">
        <v>8948</v>
      </c>
      <c r="E885" s="20" t="s">
        <v>8998</v>
      </c>
      <c r="F885" s="20" t="s">
        <v>9036</v>
      </c>
      <c r="G885" s="20" t="s">
        <v>8987</v>
      </c>
      <c r="H885" s="20">
        <f>285*16</f>
        <v>4560</v>
      </c>
      <c r="I885" s="20" t="s">
        <v>9019</v>
      </c>
      <c r="J885" s="20" t="s">
        <v>8953</v>
      </c>
      <c r="K885" s="20" t="s">
        <v>8989</v>
      </c>
      <c r="L885" s="21" t="s">
        <v>8955</v>
      </c>
      <c r="M885" s="20" t="s">
        <v>8990</v>
      </c>
      <c r="N885" s="20" t="s">
        <v>8957</v>
      </c>
      <c r="O885" s="20">
        <f t="shared" si="13"/>
        <v>3</v>
      </c>
      <c r="P885" s="22" t="s">
        <v>9103</v>
      </c>
      <c r="Q885" s="21" t="s">
        <v>8959</v>
      </c>
      <c r="R885" s="23" t="s">
        <v>10873</v>
      </c>
      <c r="S885" s="24" t="s">
        <v>9085</v>
      </c>
      <c r="T885" s="24" t="str">
        <f>VLOOKUP(R885,[1]Sheet3!$A$2:$A$47,1,0)</f>
        <v>UK</v>
      </c>
      <c r="U885" s="24" t="s">
        <v>14228</v>
      </c>
      <c r="V885" s="24" t="s">
        <v>14229</v>
      </c>
      <c r="W885" s="18" t="s">
        <v>8964</v>
      </c>
      <c r="X885" s="26" t="s">
        <v>184</v>
      </c>
      <c r="Y885" s="18" t="s">
        <v>9088</v>
      </c>
      <c r="Z885" s="24" t="s">
        <v>4</v>
      </c>
    </row>
    <row r="886" spans="1:26" ht="20.100000000000001" customHeight="1" x14ac:dyDescent="0.2">
      <c r="A886" s="18" t="s">
        <v>14230</v>
      </c>
      <c r="B886" s="19" t="s">
        <v>14231</v>
      </c>
      <c r="C886" s="19" t="s">
        <v>14232</v>
      </c>
      <c r="D886" s="8" t="s">
        <v>8984</v>
      </c>
      <c r="E886" s="20" t="s">
        <v>8998</v>
      </c>
      <c r="F886" s="20" t="s">
        <v>9036</v>
      </c>
      <c r="G886" s="20" t="s">
        <v>8973</v>
      </c>
      <c r="H886" s="20">
        <f>151*64</f>
        <v>9664</v>
      </c>
      <c r="I886" s="20" t="s">
        <v>9019</v>
      </c>
      <c r="J886" s="20" t="s">
        <v>8953</v>
      </c>
      <c r="K886" s="20" t="s">
        <v>8954</v>
      </c>
      <c r="L886" s="21" t="s">
        <v>8955</v>
      </c>
      <c r="M886" s="20" t="s">
        <v>8956</v>
      </c>
      <c r="N886" s="20" t="s">
        <v>8957</v>
      </c>
      <c r="O886" s="20">
        <f t="shared" si="13"/>
        <v>5</v>
      </c>
      <c r="P886" s="22" t="s">
        <v>8958</v>
      </c>
      <c r="Q886" s="21" t="s">
        <v>8959</v>
      </c>
      <c r="R886" s="23" t="s">
        <v>9310</v>
      </c>
      <c r="S886" s="24" t="s">
        <v>9093</v>
      </c>
      <c r="T886" s="24" t="str">
        <f>VLOOKUP(R886,[1]Sheet3!$A$2:$A$47,1,0)</f>
        <v>China</v>
      </c>
      <c r="U886" s="24" t="s">
        <v>14233</v>
      </c>
      <c r="V886" s="24" t="s">
        <v>14234</v>
      </c>
      <c r="W886" s="18" t="s">
        <v>8964</v>
      </c>
      <c r="X886" s="26" t="s">
        <v>378</v>
      </c>
      <c r="Y886" s="18" t="s">
        <v>9096</v>
      </c>
      <c r="Z886" s="24" t="s">
        <v>242</v>
      </c>
    </row>
    <row r="887" spans="1:26" ht="20.100000000000001" customHeight="1" x14ac:dyDescent="0.2">
      <c r="A887" s="18" t="s">
        <v>14235</v>
      </c>
      <c r="B887" s="19" t="s">
        <v>14236</v>
      </c>
      <c r="C887" s="19" t="s">
        <v>14237</v>
      </c>
      <c r="D887" s="8" t="s">
        <v>9154</v>
      </c>
      <c r="E887" s="20" t="s">
        <v>9269</v>
      </c>
      <c r="F887" s="20" t="s">
        <v>9036</v>
      </c>
      <c r="G887" s="20" t="s">
        <v>8987</v>
      </c>
      <c r="H887" s="20">
        <f>158+6032+10400</f>
        <v>16590</v>
      </c>
      <c r="I887" s="20" t="s">
        <v>9019</v>
      </c>
      <c r="J887" s="20" t="s">
        <v>8953</v>
      </c>
      <c r="K887" s="20" t="s">
        <v>8954</v>
      </c>
      <c r="L887" s="21" t="s">
        <v>8955</v>
      </c>
      <c r="M887" s="20" t="s">
        <v>8956</v>
      </c>
      <c r="N887" s="20" t="s">
        <v>8957</v>
      </c>
      <c r="O887" s="20">
        <f t="shared" si="13"/>
        <v>3</v>
      </c>
      <c r="P887" s="22" t="s">
        <v>9103</v>
      </c>
      <c r="Q887" s="21" t="s">
        <v>8959</v>
      </c>
      <c r="R887" s="23" t="s">
        <v>9010</v>
      </c>
      <c r="S887" s="24" t="s">
        <v>10438</v>
      </c>
      <c r="T887" s="24" t="str">
        <f>VLOOKUP(R887,[1]Sheet3!$A$2:$A$47,1,0)</f>
        <v>the United States of America</v>
      </c>
      <c r="U887" s="24" t="s">
        <v>14238</v>
      </c>
      <c r="V887" s="24" t="s">
        <v>14239</v>
      </c>
      <c r="W887" s="18" t="s">
        <v>8964</v>
      </c>
      <c r="X887" s="26" t="s">
        <v>286</v>
      </c>
      <c r="Y887" s="18" t="s">
        <v>10441</v>
      </c>
      <c r="Z887" s="24" t="s">
        <v>242</v>
      </c>
    </row>
    <row r="888" spans="1:26" ht="20.100000000000001" customHeight="1" x14ac:dyDescent="0.2">
      <c r="A888" s="18" t="s">
        <v>14240</v>
      </c>
      <c r="B888" s="19" t="s">
        <v>14241</v>
      </c>
      <c r="C888" s="19" t="s">
        <v>14242</v>
      </c>
      <c r="D888" s="8" t="s">
        <v>8948</v>
      </c>
      <c r="E888" s="20" t="s">
        <v>8949</v>
      </c>
      <c r="F888" s="21" t="s">
        <v>14243</v>
      </c>
      <c r="G888" s="20" t="s">
        <v>8973</v>
      </c>
      <c r="H888" s="20">
        <v>24</v>
      </c>
      <c r="I888" s="20" t="s">
        <v>9008</v>
      </c>
      <c r="J888" s="20" t="s">
        <v>9059</v>
      </c>
      <c r="K888" s="20" t="s">
        <v>8989</v>
      </c>
      <c r="L888" s="21" t="s">
        <v>8955</v>
      </c>
      <c r="M888" s="20" t="s">
        <v>8956</v>
      </c>
      <c r="N888" s="20" t="s">
        <v>8957</v>
      </c>
      <c r="O888" s="20">
        <f t="shared" si="13"/>
        <v>19</v>
      </c>
      <c r="P888" s="22" t="s">
        <v>8975</v>
      </c>
      <c r="Q888" s="21" t="s">
        <v>9061</v>
      </c>
      <c r="R888" s="23" t="s">
        <v>9010</v>
      </c>
      <c r="S888" s="24" t="s">
        <v>14244</v>
      </c>
      <c r="T888" s="24" t="str">
        <f>VLOOKUP(R888,[1]Sheet3!$A$2:$A$47,1,0)</f>
        <v>the United States of America</v>
      </c>
      <c r="U888" s="24" t="s">
        <v>14245</v>
      </c>
      <c r="V888" s="24" t="s">
        <v>14246</v>
      </c>
      <c r="W888" s="18" t="s">
        <v>8964</v>
      </c>
      <c r="X888" s="26" t="s">
        <v>6891</v>
      </c>
      <c r="Y888" s="18" t="s">
        <v>14247</v>
      </c>
      <c r="Z888" s="24" t="s">
        <v>242</v>
      </c>
    </row>
    <row r="889" spans="1:26" ht="20.100000000000001" customHeight="1" x14ac:dyDescent="0.2">
      <c r="A889" s="18" t="s">
        <v>14248</v>
      </c>
      <c r="B889" s="19" t="s">
        <v>14249</v>
      </c>
      <c r="C889" s="19" t="s">
        <v>14250</v>
      </c>
      <c r="D889" s="8" t="s">
        <v>9092</v>
      </c>
      <c r="E889" s="20" t="s">
        <v>9308</v>
      </c>
      <c r="F889" s="20" t="s">
        <v>14251</v>
      </c>
      <c r="G889" s="20" t="s">
        <v>8987</v>
      </c>
      <c r="H889" s="20">
        <v>1391</v>
      </c>
      <c r="I889" s="20" t="s">
        <v>8952</v>
      </c>
      <c r="J889" s="20" t="s">
        <v>8953</v>
      </c>
      <c r="K889" s="20" t="s">
        <v>8989</v>
      </c>
      <c r="L889" s="21" t="s">
        <v>8955</v>
      </c>
      <c r="M889" s="20" t="s">
        <v>8956</v>
      </c>
      <c r="N889" s="20" t="s">
        <v>8957</v>
      </c>
      <c r="O889" s="20">
        <f t="shared" si="13"/>
        <v>5</v>
      </c>
      <c r="P889" s="22" t="s">
        <v>8958</v>
      </c>
      <c r="Q889" s="21" t="s">
        <v>8959</v>
      </c>
      <c r="R889" s="23" t="s">
        <v>10049</v>
      </c>
      <c r="S889" s="24" t="s">
        <v>8961</v>
      </c>
      <c r="T889" s="24" t="str">
        <f>VLOOKUP(R889,[1]Sheet3!$A$2:$A$47,1,0)</f>
        <v>Italy</v>
      </c>
      <c r="U889" s="24" t="s">
        <v>14252</v>
      </c>
      <c r="V889" s="24" t="s">
        <v>14253</v>
      </c>
      <c r="W889" s="18" t="s">
        <v>8964</v>
      </c>
      <c r="X889" s="26" t="s">
        <v>126</v>
      </c>
      <c r="Y889" s="18" t="s">
        <v>8966</v>
      </c>
      <c r="Z889" s="24" t="s">
        <v>4</v>
      </c>
    </row>
    <row r="890" spans="1:26" ht="20.100000000000001" customHeight="1" x14ac:dyDescent="0.2">
      <c r="A890" s="18" t="s">
        <v>14254</v>
      </c>
      <c r="B890" s="19" t="s">
        <v>14255</v>
      </c>
      <c r="C890" s="19" t="s">
        <v>14256</v>
      </c>
      <c r="D890" s="8" t="s">
        <v>9605</v>
      </c>
      <c r="E890" s="33" t="s">
        <v>9101</v>
      </c>
      <c r="F890" s="20" t="s">
        <v>9036</v>
      </c>
      <c r="G890" s="20" t="s">
        <v>8973</v>
      </c>
      <c r="H890" s="20">
        <v>11909</v>
      </c>
      <c r="I890" s="20" t="s">
        <v>9019</v>
      </c>
      <c r="J890" s="20" t="s">
        <v>8953</v>
      </c>
      <c r="K890" s="20" t="s">
        <v>8954</v>
      </c>
      <c r="L890" s="21" t="s">
        <v>8955</v>
      </c>
      <c r="M890" s="20" t="s">
        <v>8956</v>
      </c>
      <c r="N890" s="20" t="s">
        <v>8957</v>
      </c>
      <c r="O890" s="20">
        <f t="shared" si="13"/>
        <v>10</v>
      </c>
      <c r="P890" s="22" t="s">
        <v>8975</v>
      </c>
      <c r="Q890" s="21" t="s">
        <v>8959</v>
      </c>
      <c r="R890" s="23" t="s">
        <v>9010</v>
      </c>
      <c r="S890" s="24" t="s">
        <v>10050</v>
      </c>
      <c r="T890" s="24" t="str">
        <f>VLOOKUP(R890,[1]Sheet3!$A$2:$A$47,1,0)</f>
        <v>the United States of America</v>
      </c>
      <c r="U890" s="24" t="s">
        <v>14257</v>
      </c>
      <c r="V890" s="24" t="s">
        <v>14258</v>
      </c>
      <c r="W890" s="18" t="s">
        <v>8964</v>
      </c>
      <c r="X890" s="26" t="s">
        <v>808</v>
      </c>
      <c r="Y890" s="18" t="s">
        <v>10053</v>
      </c>
      <c r="Z890" s="24" t="s">
        <v>242</v>
      </c>
    </row>
    <row r="891" spans="1:26" ht="20.100000000000001" customHeight="1" x14ac:dyDescent="0.2">
      <c r="A891" s="18" t="s">
        <v>14259</v>
      </c>
      <c r="B891" s="19" t="s">
        <v>14260</v>
      </c>
      <c r="C891" s="19" t="s">
        <v>14261</v>
      </c>
      <c r="D891" s="8" t="s">
        <v>8948</v>
      </c>
      <c r="E891" s="20" t="s">
        <v>8949</v>
      </c>
      <c r="F891" s="20" t="s">
        <v>9036</v>
      </c>
      <c r="G891" s="20" t="s">
        <v>8973</v>
      </c>
      <c r="H891" s="20">
        <v>38</v>
      </c>
      <c r="I891" s="20" t="s">
        <v>9008</v>
      </c>
      <c r="J891" s="20" t="s">
        <v>9059</v>
      </c>
      <c r="K891" s="20" t="s">
        <v>8954</v>
      </c>
      <c r="L891" s="21" t="s">
        <v>8955</v>
      </c>
      <c r="M891" s="20" t="s">
        <v>8956</v>
      </c>
      <c r="N891" s="20" t="s">
        <v>8959</v>
      </c>
      <c r="O891" s="20">
        <f t="shared" si="13"/>
        <v>2</v>
      </c>
      <c r="P891" s="22" t="s">
        <v>9103</v>
      </c>
      <c r="Q891" s="21" t="s">
        <v>9009</v>
      </c>
      <c r="R891" s="23" t="s">
        <v>9213</v>
      </c>
      <c r="S891" s="24" t="s">
        <v>9042</v>
      </c>
      <c r="T891" s="24" t="str">
        <f>VLOOKUP(R891,[1]Sheet3!$A$2:$A$47,1,0)</f>
        <v>South Korea</v>
      </c>
      <c r="U891" s="24" t="s">
        <v>14262</v>
      </c>
      <c r="V891" s="24" t="s">
        <v>14263</v>
      </c>
      <c r="W891" s="18" t="s">
        <v>8964</v>
      </c>
      <c r="X891" s="26" t="s">
        <v>322</v>
      </c>
      <c r="Y891" s="18" t="s">
        <v>9045</v>
      </c>
      <c r="Z891" s="24" t="s">
        <v>242</v>
      </c>
    </row>
    <row r="892" spans="1:26" ht="20.100000000000001" customHeight="1" x14ac:dyDescent="0.2">
      <c r="A892" s="18" t="s">
        <v>14264</v>
      </c>
      <c r="B892" s="19" t="s">
        <v>14265</v>
      </c>
      <c r="C892" s="19" t="s">
        <v>14266</v>
      </c>
      <c r="D892" s="8" t="s">
        <v>8948</v>
      </c>
      <c r="E892" s="20" t="s">
        <v>9121</v>
      </c>
      <c r="F892" s="20" t="s">
        <v>9036</v>
      </c>
      <c r="G892" s="20" t="s">
        <v>9133</v>
      </c>
      <c r="H892" s="20">
        <v>168</v>
      </c>
      <c r="I892" s="20" t="s">
        <v>9158</v>
      </c>
      <c r="J892" s="20" t="s">
        <v>8953</v>
      </c>
      <c r="K892" s="20" t="s">
        <v>8989</v>
      </c>
      <c r="L892" s="21" t="s">
        <v>8955</v>
      </c>
      <c r="M892" s="20" t="s">
        <v>8956</v>
      </c>
      <c r="N892" s="20" t="s">
        <v>8957</v>
      </c>
      <c r="O892" s="20">
        <f t="shared" si="13"/>
        <v>8</v>
      </c>
      <c r="P892" s="22" t="s">
        <v>8975</v>
      </c>
      <c r="Q892" s="21" t="s">
        <v>9061</v>
      </c>
      <c r="R892" s="23" t="s">
        <v>9380</v>
      </c>
      <c r="S892" s="24" t="s">
        <v>9711</v>
      </c>
      <c r="T892" s="24" t="str">
        <f>VLOOKUP(R892,[1]Sheet3!$A$2:$A$47,1,0)</f>
        <v>Canada</v>
      </c>
      <c r="U892" s="24" t="s">
        <v>14267</v>
      </c>
      <c r="V892" s="24" t="s">
        <v>14268</v>
      </c>
      <c r="W892" s="18" t="s">
        <v>8964</v>
      </c>
      <c r="X892" s="26" t="s">
        <v>392</v>
      </c>
      <c r="Y892" s="18" t="s">
        <v>9714</v>
      </c>
      <c r="Z892" s="24" t="s">
        <v>4</v>
      </c>
    </row>
    <row r="893" spans="1:26" ht="20.100000000000001" customHeight="1" x14ac:dyDescent="0.2">
      <c r="A893" s="18" t="s">
        <v>14269</v>
      </c>
      <c r="B893" s="19" t="s">
        <v>14270</v>
      </c>
      <c r="C893" s="19" t="s">
        <v>14271</v>
      </c>
      <c r="D893" s="8" t="s">
        <v>9049</v>
      </c>
      <c r="E893" s="20" t="s">
        <v>9050</v>
      </c>
      <c r="F893" s="20" t="s">
        <v>14272</v>
      </c>
      <c r="G893" s="20" t="s">
        <v>8973</v>
      </c>
      <c r="H893" s="20">
        <v>1022</v>
      </c>
      <c r="I893" s="20" t="s">
        <v>8952</v>
      </c>
      <c r="J893" s="20" t="s">
        <v>8953</v>
      </c>
      <c r="K893" s="20" t="s">
        <v>8954</v>
      </c>
      <c r="L893" s="21" t="s">
        <v>8955</v>
      </c>
      <c r="M893" s="20" t="s">
        <v>8956</v>
      </c>
      <c r="N893" s="20" t="s">
        <v>8957</v>
      </c>
      <c r="O893" s="20">
        <f t="shared" si="13"/>
        <v>2</v>
      </c>
      <c r="P893" s="22" t="s">
        <v>9103</v>
      </c>
      <c r="Q893" s="21" t="s">
        <v>8959</v>
      </c>
      <c r="R893" s="23" t="s">
        <v>10873</v>
      </c>
      <c r="S893" s="24" t="s">
        <v>9159</v>
      </c>
      <c r="T893" s="24" t="str">
        <f>VLOOKUP(R893,[1]Sheet3!$A$2:$A$47,1,0)</f>
        <v>UK</v>
      </c>
      <c r="U893" s="25" t="s">
        <v>14273</v>
      </c>
      <c r="V893" s="24" t="s">
        <v>14274</v>
      </c>
      <c r="W893" s="18" t="s">
        <v>8964</v>
      </c>
      <c r="X893" s="26" t="s">
        <v>61</v>
      </c>
      <c r="Y893" s="18" t="s">
        <v>9162</v>
      </c>
      <c r="Z893" s="24" t="s">
        <v>242</v>
      </c>
    </row>
    <row r="894" spans="1:26" ht="20.100000000000001" customHeight="1" x14ac:dyDescent="0.2">
      <c r="A894" s="18" t="s">
        <v>14275</v>
      </c>
      <c r="B894" s="19" t="s">
        <v>14276</v>
      </c>
      <c r="C894" s="19" t="s">
        <v>14277</v>
      </c>
      <c r="D894" s="8" t="s">
        <v>9035</v>
      </c>
      <c r="E894" s="20" t="s">
        <v>9308</v>
      </c>
      <c r="F894" s="20" t="s">
        <v>10936</v>
      </c>
      <c r="G894" s="20" t="s">
        <v>8987</v>
      </c>
      <c r="H894" s="20">
        <v>1885</v>
      </c>
      <c r="I894" s="20" t="s">
        <v>8952</v>
      </c>
      <c r="J894" s="20" t="s">
        <v>8953</v>
      </c>
      <c r="K894" s="20" t="s">
        <v>8989</v>
      </c>
      <c r="L894" s="21" t="s">
        <v>8955</v>
      </c>
      <c r="M894" s="20" t="s">
        <v>8956</v>
      </c>
      <c r="N894" s="20" t="s">
        <v>8959</v>
      </c>
      <c r="O894" s="20">
        <f t="shared" si="13"/>
        <v>5</v>
      </c>
      <c r="P894" s="22" t="s">
        <v>8958</v>
      </c>
      <c r="Q894" s="21" t="s">
        <v>9009</v>
      </c>
      <c r="R894" s="23" t="s">
        <v>9010</v>
      </c>
      <c r="S894" s="24" t="s">
        <v>9020</v>
      </c>
      <c r="T894" s="24" t="str">
        <f>VLOOKUP(R894,[1]Sheet3!$A$2:$A$47,1,0)</f>
        <v>the United States of America</v>
      </c>
      <c r="U894" s="24" t="s">
        <v>14278</v>
      </c>
      <c r="V894" s="24" t="s">
        <v>14279</v>
      </c>
      <c r="W894" s="18" t="s">
        <v>8964</v>
      </c>
      <c r="X894" s="26" t="s">
        <v>87</v>
      </c>
      <c r="Y894" s="18" t="s">
        <v>9023</v>
      </c>
      <c r="Z894" s="24" t="s">
        <v>4</v>
      </c>
    </row>
    <row r="895" spans="1:26" ht="20.100000000000001" customHeight="1" x14ac:dyDescent="0.2">
      <c r="A895" s="18" t="s">
        <v>14280</v>
      </c>
      <c r="B895" s="19" t="s">
        <v>14281</v>
      </c>
      <c r="C895" s="19" t="s">
        <v>14282</v>
      </c>
      <c r="D895" s="8" t="s">
        <v>9252</v>
      </c>
      <c r="E895" s="20" t="s">
        <v>9253</v>
      </c>
      <c r="F895" s="20" t="s">
        <v>9455</v>
      </c>
      <c r="G895" s="20" t="s">
        <v>8987</v>
      </c>
      <c r="H895" s="20">
        <v>219</v>
      </c>
      <c r="I895" s="20" t="s">
        <v>9158</v>
      </c>
      <c r="J895" s="20" t="s">
        <v>8953</v>
      </c>
      <c r="K895" s="20" t="s">
        <v>8989</v>
      </c>
      <c r="L895" s="21" t="s">
        <v>8955</v>
      </c>
      <c r="M895" s="20" t="s">
        <v>8956</v>
      </c>
      <c r="N895" s="20" t="s">
        <v>8957</v>
      </c>
      <c r="O895" s="20">
        <f t="shared" si="13"/>
        <v>3</v>
      </c>
      <c r="P895" s="22" t="s">
        <v>9103</v>
      </c>
      <c r="Q895" s="21" t="s">
        <v>9061</v>
      </c>
      <c r="R895" s="23" t="s">
        <v>9010</v>
      </c>
      <c r="S895" s="24" t="s">
        <v>10438</v>
      </c>
      <c r="T895" s="24" t="str">
        <f>VLOOKUP(R895,[1]Sheet3!$A$2:$A$47,1,0)</f>
        <v>the United States of America</v>
      </c>
      <c r="U895" s="24" t="s">
        <v>14283</v>
      </c>
      <c r="V895" s="24" t="s">
        <v>14284</v>
      </c>
      <c r="W895" s="18" t="s">
        <v>8964</v>
      </c>
      <c r="X895" s="26" t="s">
        <v>286</v>
      </c>
      <c r="Y895" s="18" t="s">
        <v>10441</v>
      </c>
      <c r="Z895" s="24" t="s">
        <v>242</v>
      </c>
    </row>
    <row r="896" spans="1:26" ht="20.100000000000001" customHeight="1" x14ac:dyDescent="0.2">
      <c r="A896" s="18" t="s">
        <v>14285</v>
      </c>
      <c r="B896" s="19" t="s">
        <v>14286</v>
      </c>
      <c r="C896" s="19" t="s">
        <v>14287</v>
      </c>
      <c r="D896" s="8" t="s">
        <v>8984</v>
      </c>
      <c r="E896" s="20" t="s">
        <v>8998</v>
      </c>
      <c r="F896" s="20" t="s">
        <v>8950</v>
      </c>
      <c r="G896" s="20" t="s">
        <v>8973</v>
      </c>
      <c r="H896" s="20">
        <v>118</v>
      </c>
      <c r="I896" s="20" t="s">
        <v>9158</v>
      </c>
      <c r="J896" s="20" t="s">
        <v>9059</v>
      </c>
      <c r="K896" s="20" t="s">
        <v>8954</v>
      </c>
      <c r="L896" s="21" t="s">
        <v>8955</v>
      </c>
      <c r="M896" s="20" t="s">
        <v>8956</v>
      </c>
      <c r="N896" s="20" t="s">
        <v>8957</v>
      </c>
      <c r="O896" s="20">
        <f t="shared" si="13"/>
        <v>5</v>
      </c>
      <c r="P896" s="22" t="s">
        <v>8958</v>
      </c>
      <c r="Q896" s="21" t="s">
        <v>8959</v>
      </c>
      <c r="R896" s="23" t="s">
        <v>9310</v>
      </c>
      <c r="S896" s="24" t="s">
        <v>9342</v>
      </c>
      <c r="T896" s="24" t="str">
        <f>VLOOKUP(R896,[1]Sheet3!$A$2:$A$47,1,0)</f>
        <v>China</v>
      </c>
      <c r="U896" s="24" t="s">
        <v>14288</v>
      </c>
      <c r="V896" s="24" t="s">
        <v>14289</v>
      </c>
      <c r="W896" s="18" t="s">
        <v>8964</v>
      </c>
      <c r="X896" s="26" t="s">
        <v>64</v>
      </c>
      <c r="Y896" s="18" t="s">
        <v>9345</v>
      </c>
      <c r="Z896" s="24" t="s">
        <v>4</v>
      </c>
    </row>
    <row r="897" spans="1:26" ht="20.100000000000001" customHeight="1" x14ac:dyDescent="0.2">
      <c r="A897" s="18" t="s">
        <v>14290</v>
      </c>
      <c r="B897" s="19" t="s">
        <v>14291</v>
      </c>
      <c r="C897" s="19" t="s">
        <v>14292</v>
      </c>
      <c r="D897" s="8" t="s">
        <v>9035</v>
      </c>
      <c r="E897" s="20" t="s">
        <v>9308</v>
      </c>
      <c r="F897" s="20" t="s">
        <v>9036</v>
      </c>
      <c r="G897" s="20" t="s">
        <v>9464</v>
      </c>
      <c r="H897" s="20">
        <v>504</v>
      </c>
      <c r="I897" s="20" t="s">
        <v>9077</v>
      </c>
      <c r="J897" s="20" t="s">
        <v>9059</v>
      </c>
      <c r="K897" s="20" t="s">
        <v>8989</v>
      </c>
      <c r="L897" s="21" t="s">
        <v>8955</v>
      </c>
      <c r="M897" s="20" t="s">
        <v>8956</v>
      </c>
      <c r="N897" s="20" t="s">
        <v>8957</v>
      </c>
      <c r="O897" s="20">
        <f t="shared" si="13"/>
        <v>8</v>
      </c>
      <c r="P897" s="22" t="s">
        <v>8975</v>
      </c>
      <c r="Q897" s="21" t="s">
        <v>9009</v>
      </c>
      <c r="R897" s="23" t="s">
        <v>9310</v>
      </c>
      <c r="S897" s="24" t="s">
        <v>8961</v>
      </c>
      <c r="T897" s="24" t="str">
        <f>VLOOKUP(R897,[1]Sheet3!$A$2:$A$47,1,0)</f>
        <v>China</v>
      </c>
      <c r="U897" s="24" t="s">
        <v>14293</v>
      </c>
      <c r="V897" s="24" t="s">
        <v>14294</v>
      </c>
      <c r="W897" s="18" t="s">
        <v>8964</v>
      </c>
      <c r="X897" s="26" t="s">
        <v>126</v>
      </c>
      <c r="Y897" s="18" t="s">
        <v>8966</v>
      </c>
      <c r="Z897" s="24" t="s">
        <v>4</v>
      </c>
    </row>
    <row r="898" spans="1:26" ht="20.100000000000001" customHeight="1" x14ac:dyDescent="0.2">
      <c r="A898" s="18" t="s">
        <v>14295</v>
      </c>
      <c r="B898" s="19" t="s">
        <v>14296</v>
      </c>
      <c r="C898" s="19" t="s">
        <v>14297</v>
      </c>
      <c r="D898" s="8" t="s">
        <v>9605</v>
      </c>
      <c r="E898" s="20" t="s">
        <v>14298</v>
      </c>
      <c r="F898" s="20" t="s">
        <v>14299</v>
      </c>
      <c r="G898" s="20" t="s">
        <v>8987</v>
      </c>
      <c r="H898" s="20">
        <v>166</v>
      </c>
      <c r="I898" s="20" t="s">
        <v>9158</v>
      </c>
      <c r="J898" s="20" t="s">
        <v>8953</v>
      </c>
      <c r="K898" s="20" t="s">
        <v>8954</v>
      </c>
      <c r="L898" s="21" t="s">
        <v>8955</v>
      </c>
      <c r="M898" s="20" t="s">
        <v>8956</v>
      </c>
      <c r="N898" s="20" t="s">
        <v>8957</v>
      </c>
      <c r="O898" s="20">
        <f t="shared" ref="O898:O961" si="14">1+LEN(V898)-LEN(SUBSTITUTE(V898,";",))</f>
        <v>5</v>
      </c>
      <c r="P898" s="22" t="s">
        <v>8958</v>
      </c>
      <c r="Q898" s="21" t="s">
        <v>9009</v>
      </c>
      <c r="R898" s="23" t="s">
        <v>9310</v>
      </c>
      <c r="S898" s="24" t="s">
        <v>8992</v>
      </c>
      <c r="T898" s="24" t="str">
        <f>VLOOKUP(R898,[1]Sheet3!$A$2:$A$47,1,0)</f>
        <v>China</v>
      </c>
      <c r="U898" s="24" t="s">
        <v>14300</v>
      </c>
      <c r="V898" s="24" t="s">
        <v>14301</v>
      </c>
      <c r="W898" s="18" t="s">
        <v>8964</v>
      </c>
      <c r="X898" s="26" t="s">
        <v>27</v>
      </c>
      <c r="Y898" s="18" t="s">
        <v>8994</v>
      </c>
      <c r="Z898" s="24" t="s">
        <v>4</v>
      </c>
    </row>
    <row r="899" spans="1:26" ht="20.100000000000001" customHeight="1" x14ac:dyDescent="0.2">
      <c r="A899" s="18" t="s">
        <v>14302</v>
      </c>
      <c r="B899" s="19" t="s">
        <v>14303</v>
      </c>
      <c r="C899" s="19" t="s">
        <v>14304</v>
      </c>
      <c r="D899" s="8" t="s">
        <v>8948</v>
      </c>
      <c r="E899" s="33" t="s">
        <v>12453</v>
      </c>
      <c r="F899" s="21" t="s">
        <v>14305</v>
      </c>
      <c r="G899" s="20" t="s">
        <v>8987</v>
      </c>
      <c r="H899" s="20">
        <v>280</v>
      </c>
      <c r="I899" s="20" t="s">
        <v>8988</v>
      </c>
      <c r="J899" s="20" t="s">
        <v>8953</v>
      </c>
      <c r="K899" s="20" t="s">
        <v>8989</v>
      </c>
      <c r="L899" s="21" t="s">
        <v>8955</v>
      </c>
      <c r="M899" s="20" t="s">
        <v>8956</v>
      </c>
      <c r="N899" s="20" t="s">
        <v>8957</v>
      </c>
      <c r="O899" s="20">
        <f t="shared" si="14"/>
        <v>4</v>
      </c>
      <c r="P899" s="22" t="s">
        <v>8958</v>
      </c>
      <c r="Q899" s="21" t="s">
        <v>8959</v>
      </c>
      <c r="R899" s="23" t="s">
        <v>9310</v>
      </c>
      <c r="S899" s="24" t="s">
        <v>14306</v>
      </c>
      <c r="T899" s="24" t="str">
        <f>VLOOKUP(R899,[1]Sheet3!$A$2:$A$47,1,0)</f>
        <v>China</v>
      </c>
      <c r="U899" s="24" t="s">
        <v>14307</v>
      </c>
      <c r="V899" s="24" t="s">
        <v>14308</v>
      </c>
      <c r="W899" s="18" t="s">
        <v>8964</v>
      </c>
      <c r="X899" s="26" t="s">
        <v>4802</v>
      </c>
      <c r="Y899" s="18" t="s">
        <v>14309</v>
      </c>
      <c r="Z899" s="24" t="s">
        <v>4</v>
      </c>
    </row>
    <row r="900" spans="1:26" ht="20.100000000000001" customHeight="1" x14ac:dyDescent="0.2">
      <c r="A900" s="18" t="s">
        <v>14310</v>
      </c>
      <c r="B900" s="19" t="s">
        <v>14311</v>
      </c>
      <c r="C900" s="19" t="s">
        <v>14312</v>
      </c>
      <c r="D900" s="8" t="s">
        <v>9252</v>
      </c>
      <c r="E900" s="20" t="s">
        <v>9121</v>
      </c>
      <c r="F900" s="20" t="s">
        <v>14313</v>
      </c>
      <c r="G900" s="20" t="s">
        <v>8987</v>
      </c>
      <c r="H900" s="20">
        <v>227</v>
      </c>
      <c r="I900" s="20" t="s">
        <v>9158</v>
      </c>
      <c r="J900" s="20" t="s">
        <v>8953</v>
      </c>
      <c r="K900" s="20" t="s">
        <v>8989</v>
      </c>
      <c r="L900" s="21" t="s">
        <v>8955</v>
      </c>
      <c r="M900" s="20" t="s">
        <v>8956</v>
      </c>
      <c r="N900" s="20" t="s">
        <v>8957</v>
      </c>
      <c r="O900" s="20">
        <f t="shared" si="14"/>
        <v>7</v>
      </c>
      <c r="P900" s="22" t="s">
        <v>8958</v>
      </c>
      <c r="Q900" s="21" t="s">
        <v>8959</v>
      </c>
      <c r="R900" s="23" t="s">
        <v>9310</v>
      </c>
      <c r="S900" s="24" t="s">
        <v>5702</v>
      </c>
      <c r="T900" s="24" t="str">
        <f>VLOOKUP(R900,[1]Sheet3!$A$2:$A$47,1,0)</f>
        <v>China</v>
      </c>
      <c r="U900" s="24" t="s">
        <v>14314</v>
      </c>
      <c r="V900" s="24" t="s">
        <v>14315</v>
      </c>
      <c r="W900" s="18" t="s">
        <v>8964</v>
      </c>
      <c r="X900" s="26" t="s">
        <v>5702</v>
      </c>
      <c r="Y900" s="18" t="s">
        <v>9991</v>
      </c>
      <c r="Z900" s="24" t="s">
        <v>242</v>
      </c>
    </row>
    <row r="901" spans="1:26" ht="20.100000000000001" customHeight="1" x14ac:dyDescent="0.2">
      <c r="A901" s="18" t="s">
        <v>14316</v>
      </c>
      <c r="B901" s="19" t="s">
        <v>14317</v>
      </c>
      <c r="C901" s="19" t="s">
        <v>14318</v>
      </c>
      <c r="D901" s="8" t="s">
        <v>9252</v>
      </c>
      <c r="E901" s="20" t="s">
        <v>9253</v>
      </c>
      <c r="F901" s="20" t="s">
        <v>9036</v>
      </c>
      <c r="G901" s="20" t="s">
        <v>8951</v>
      </c>
      <c r="H901" s="20">
        <v>44090</v>
      </c>
      <c r="I901" s="20" t="s">
        <v>9019</v>
      </c>
      <c r="J901" s="20" t="s">
        <v>8953</v>
      </c>
      <c r="K901" s="20" t="s">
        <v>8989</v>
      </c>
      <c r="L901" s="21" t="s">
        <v>8955</v>
      </c>
      <c r="M901" s="20" t="s">
        <v>8956</v>
      </c>
      <c r="N901" s="20" t="s">
        <v>8957</v>
      </c>
      <c r="O901" s="20">
        <f t="shared" si="14"/>
        <v>8</v>
      </c>
      <c r="P901" s="22" t="s">
        <v>8975</v>
      </c>
      <c r="Q901" s="21" t="s">
        <v>9061</v>
      </c>
      <c r="R901" s="23" t="s">
        <v>9246</v>
      </c>
      <c r="S901" s="24" t="s">
        <v>8961</v>
      </c>
      <c r="T901" s="24" t="str">
        <f>VLOOKUP(R901,[1]Sheet3!$A$2:$A$47,1,0)</f>
        <v>Netherlands</v>
      </c>
      <c r="U901" s="24" t="s">
        <v>14319</v>
      </c>
      <c r="V901" s="24" t="s">
        <v>14320</v>
      </c>
      <c r="W901" s="18" t="s">
        <v>8964</v>
      </c>
      <c r="X901" s="26" t="s">
        <v>126</v>
      </c>
      <c r="Y901" s="18" t="s">
        <v>8966</v>
      </c>
      <c r="Z901" s="24" t="s">
        <v>4</v>
      </c>
    </row>
    <row r="902" spans="1:26" ht="20.100000000000001" customHeight="1" x14ac:dyDescent="0.2">
      <c r="A902" s="18" t="s">
        <v>14321</v>
      </c>
      <c r="B902" s="19" t="s">
        <v>14322</v>
      </c>
      <c r="C902" s="19" t="s">
        <v>14323</v>
      </c>
      <c r="D902" s="8" t="s">
        <v>8948</v>
      </c>
      <c r="E902" s="20" t="s">
        <v>9155</v>
      </c>
      <c r="F902" s="20" t="s">
        <v>14324</v>
      </c>
      <c r="G902" s="20" t="s">
        <v>8987</v>
      </c>
      <c r="H902" s="20">
        <f>68+70+111+26</f>
        <v>275</v>
      </c>
      <c r="I902" s="20" t="s">
        <v>8988</v>
      </c>
      <c r="J902" s="20" t="s">
        <v>8953</v>
      </c>
      <c r="K902" s="20" t="s">
        <v>8989</v>
      </c>
      <c r="L902" s="21" t="s">
        <v>8955</v>
      </c>
      <c r="M902" s="20" t="s">
        <v>8956</v>
      </c>
      <c r="N902" s="20" t="s">
        <v>8957</v>
      </c>
      <c r="O902" s="20">
        <f t="shared" si="14"/>
        <v>4</v>
      </c>
      <c r="P902" s="22" t="s">
        <v>8958</v>
      </c>
      <c r="Q902" s="21" t="s">
        <v>8959</v>
      </c>
      <c r="R902" s="23" t="s">
        <v>9650</v>
      </c>
      <c r="S902" s="24" t="s">
        <v>11549</v>
      </c>
      <c r="T902" s="24" t="str">
        <f>VLOOKUP(R902,[1]Sheet3!$A$2:$A$47,1,0)</f>
        <v>Spain</v>
      </c>
      <c r="U902" s="24" t="s">
        <v>14325</v>
      </c>
      <c r="V902" s="24" t="s">
        <v>14326</v>
      </c>
      <c r="W902" s="18" t="s">
        <v>8964</v>
      </c>
      <c r="X902" s="26" t="s">
        <v>359</v>
      </c>
      <c r="Y902" s="18" t="s">
        <v>11552</v>
      </c>
      <c r="Z902" s="24" t="s">
        <v>242</v>
      </c>
    </row>
    <row r="903" spans="1:26" ht="20.100000000000001" customHeight="1" x14ac:dyDescent="0.2">
      <c r="A903" s="18" t="s">
        <v>14327</v>
      </c>
      <c r="B903" s="19" t="s">
        <v>14328</v>
      </c>
      <c r="C903" s="19" t="s">
        <v>14329</v>
      </c>
      <c r="D903" s="8" t="s">
        <v>9252</v>
      </c>
      <c r="E903" s="20" t="s">
        <v>9253</v>
      </c>
      <c r="F903" s="20" t="s">
        <v>9036</v>
      </c>
      <c r="G903" s="20" t="s">
        <v>9133</v>
      </c>
      <c r="H903" s="20">
        <v>2472</v>
      </c>
      <c r="I903" s="20" t="s">
        <v>8952</v>
      </c>
      <c r="J903" s="20" t="s">
        <v>8953</v>
      </c>
      <c r="K903" s="20" t="s">
        <v>8989</v>
      </c>
      <c r="L903" s="21" t="s">
        <v>8955</v>
      </c>
      <c r="M903" s="20" t="s">
        <v>8956</v>
      </c>
      <c r="N903" s="20" t="s">
        <v>8957</v>
      </c>
      <c r="O903" s="20">
        <f t="shared" si="14"/>
        <v>4</v>
      </c>
      <c r="P903" s="22" t="s">
        <v>8958</v>
      </c>
      <c r="Q903" s="21" t="s">
        <v>8959</v>
      </c>
      <c r="R903" s="23" t="s">
        <v>9010</v>
      </c>
      <c r="S903" s="24" t="s">
        <v>9028</v>
      </c>
      <c r="T903" s="24" t="str">
        <f>VLOOKUP(R903,[1]Sheet3!$A$2:$A$47,1,0)</f>
        <v>the United States of America</v>
      </c>
      <c r="U903" s="24" t="s">
        <v>14330</v>
      </c>
      <c r="V903" s="24" t="s">
        <v>14331</v>
      </c>
      <c r="W903" s="18" t="s">
        <v>8964</v>
      </c>
      <c r="X903" s="26" t="s">
        <v>43</v>
      </c>
      <c r="Y903" s="18" t="s">
        <v>9031</v>
      </c>
      <c r="Z903" s="24" t="s">
        <v>4</v>
      </c>
    </row>
    <row r="904" spans="1:26" ht="20.100000000000001" customHeight="1" x14ac:dyDescent="0.2">
      <c r="A904" s="18" t="s">
        <v>14332</v>
      </c>
      <c r="B904" s="19" t="s">
        <v>14333</v>
      </c>
      <c r="C904" s="19" t="s">
        <v>14334</v>
      </c>
      <c r="D904" s="8" t="s">
        <v>9605</v>
      </c>
      <c r="E904" s="20" t="s">
        <v>9101</v>
      </c>
      <c r="F904" s="20" t="s">
        <v>14335</v>
      </c>
      <c r="G904" s="20" t="s">
        <v>9292</v>
      </c>
      <c r="H904" s="20">
        <f>300+100+400+100+84+400</f>
        <v>1384</v>
      </c>
      <c r="I904" s="20" t="s">
        <v>8952</v>
      </c>
      <c r="J904" s="20" t="s">
        <v>8953</v>
      </c>
      <c r="K904" s="20" t="s">
        <v>8954</v>
      </c>
      <c r="L904" s="21" t="s">
        <v>8955</v>
      </c>
      <c r="M904" s="20" t="s">
        <v>8956</v>
      </c>
      <c r="N904" s="20" t="s">
        <v>8957</v>
      </c>
      <c r="O904" s="20">
        <f t="shared" si="14"/>
        <v>8</v>
      </c>
      <c r="P904" s="22" t="s">
        <v>8975</v>
      </c>
      <c r="Q904" s="21" t="s">
        <v>8959</v>
      </c>
      <c r="R904" s="23" t="s">
        <v>9310</v>
      </c>
      <c r="S904" s="24" t="s">
        <v>13139</v>
      </c>
      <c r="T904" s="24" t="str">
        <f>VLOOKUP(R904,[1]Sheet3!$A$2:$A$47,1,0)</f>
        <v>China</v>
      </c>
      <c r="U904" s="24" t="s">
        <v>14336</v>
      </c>
      <c r="V904" s="24" t="s">
        <v>14337</v>
      </c>
      <c r="W904" s="18" t="s">
        <v>8964</v>
      </c>
      <c r="X904" s="26" t="s">
        <v>7608</v>
      </c>
      <c r="Y904" s="18" t="s">
        <v>13142</v>
      </c>
      <c r="Z904" s="24" t="s">
        <v>242</v>
      </c>
    </row>
    <row r="905" spans="1:26" ht="20.100000000000001" customHeight="1" x14ac:dyDescent="0.2">
      <c r="A905" s="18" t="s">
        <v>14338</v>
      </c>
      <c r="B905" s="19" t="s">
        <v>14339</v>
      </c>
      <c r="C905" s="19" t="s">
        <v>14340</v>
      </c>
      <c r="D905" s="8" t="s">
        <v>9154</v>
      </c>
      <c r="E905" s="20" t="s">
        <v>8949</v>
      </c>
      <c r="F905" s="20" t="s">
        <v>9726</v>
      </c>
      <c r="G905" s="20" t="s">
        <v>8973</v>
      </c>
      <c r="H905" s="20">
        <f>45*6</f>
        <v>270</v>
      </c>
      <c r="I905" s="20" t="s">
        <v>8988</v>
      </c>
      <c r="J905" s="20" t="s">
        <v>8953</v>
      </c>
      <c r="K905" s="20" t="s">
        <v>8989</v>
      </c>
      <c r="L905" s="21" t="s">
        <v>8955</v>
      </c>
      <c r="M905" s="20" t="s">
        <v>8956</v>
      </c>
      <c r="N905" s="20" t="s">
        <v>8957</v>
      </c>
      <c r="O905" s="20">
        <f t="shared" si="14"/>
        <v>3</v>
      </c>
      <c r="P905" s="22" t="s">
        <v>9103</v>
      </c>
      <c r="Q905" s="21" t="s">
        <v>8959</v>
      </c>
      <c r="R905" s="23" t="s">
        <v>14341</v>
      </c>
      <c r="S905" s="24" t="s">
        <v>8961</v>
      </c>
      <c r="T905" s="24" t="str">
        <f>VLOOKUP(R905,[1]Sheet3!$A$2:$A$47,1,0)</f>
        <v>Vietnam</v>
      </c>
      <c r="U905" s="24" t="s">
        <v>14342</v>
      </c>
      <c r="V905" s="24" t="s">
        <v>14343</v>
      </c>
      <c r="W905" s="18" t="s">
        <v>8964</v>
      </c>
      <c r="X905" s="26" t="s">
        <v>126</v>
      </c>
      <c r="Y905" s="18" t="s">
        <v>8966</v>
      </c>
      <c r="Z905" s="24" t="s">
        <v>4</v>
      </c>
    </row>
    <row r="906" spans="1:26" ht="20.100000000000001" customHeight="1" x14ac:dyDescent="0.2">
      <c r="A906" s="18" t="s">
        <v>14344</v>
      </c>
      <c r="B906" s="19" t="s">
        <v>14345</v>
      </c>
      <c r="C906" s="19" t="s">
        <v>14346</v>
      </c>
      <c r="D906" s="8" t="s">
        <v>9049</v>
      </c>
      <c r="E906" s="20" t="s">
        <v>9325</v>
      </c>
      <c r="F906" s="20" t="s">
        <v>9316</v>
      </c>
      <c r="G906" s="20" t="s">
        <v>8973</v>
      </c>
      <c r="H906" s="20">
        <v>80</v>
      </c>
      <c r="I906" s="20" t="s">
        <v>9008</v>
      </c>
      <c r="J906" s="20" t="s">
        <v>8953</v>
      </c>
      <c r="K906" s="20" t="s">
        <v>8989</v>
      </c>
      <c r="L906" s="21" t="s">
        <v>8955</v>
      </c>
      <c r="M906" s="20" t="s">
        <v>8956</v>
      </c>
      <c r="N906" s="20" t="s">
        <v>8957</v>
      </c>
      <c r="O906" s="20">
        <f t="shared" si="14"/>
        <v>9</v>
      </c>
      <c r="P906" s="22" t="s">
        <v>8975</v>
      </c>
      <c r="Q906" s="21" t="s">
        <v>8959</v>
      </c>
      <c r="R906" s="23" t="s">
        <v>14347</v>
      </c>
      <c r="S906" s="24" t="s">
        <v>13367</v>
      </c>
      <c r="T906" s="24" t="str">
        <f>VLOOKUP(R906,[1]Sheet3!$A$2:$A$47,1,0)</f>
        <v>Croatia</v>
      </c>
      <c r="U906" s="24" t="s">
        <v>14348</v>
      </c>
      <c r="V906" s="24" t="s">
        <v>14349</v>
      </c>
      <c r="W906" s="18" t="s">
        <v>8964</v>
      </c>
      <c r="X906" s="26" t="s">
        <v>2287</v>
      </c>
      <c r="Y906" s="18" t="s">
        <v>13370</v>
      </c>
      <c r="Z906" s="24" t="s">
        <v>242</v>
      </c>
    </row>
    <row r="907" spans="1:26" ht="20.100000000000001" customHeight="1" x14ac:dyDescent="0.2">
      <c r="A907" s="18" t="s">
        <v>14350</v>
      </c>
      <c r="B907" s="19" t="s">
        <v>14351</v>
      </c>
      <c r="C907" s="19" t="s">
        <v>14352</v>
      </c>
      <c r="D907" s="8" t="s">
        <v>9049</v>
      </c>
      <c r="E907" s="20" t="s">
        <v>9121</v>
      </c>
      <c r="F907" s="20" t="s">
        <v>14353</v>
      </c>
      <c r="G907" s="20" t="s">
        <v>8951</v>
      </c>
      <c r="H907" s="20">
        <v>171</v>
      </c>
      <c r="I907" s="20" t="s">
        <v>9158</v>
      </c>
      <c r="J907" s="20" t="s">
        <v>9059</v>
      </c>
      <c r="K907" s="20" t="s">
        <v>8989</v>
      </c>
      <c r="L907" s="21" t="s">
        <v>8955</v>
      </c>
      <c r="M907" s="20" t="s">
        <v>8956</v>
      </c>
      <c r="N907" s="20" t="s">
        <v>8957</v>
      </c>
      <c r="O907" s="20">
        <f t="shared" si="14"/>
        <v>4</v>
      </c>
      <c r="P907" s="22" t="s">
        <v>8958</v>
      </c>
      <c r="Q907" s="21" t="s">
        <v>9009</v>
      </c>
      <c r="R907" s="23" t="s">
        <v>9333</v>
      </c>
      <c r="S907" s="24" t="s">
        <v>447</v>
      </c>
      <c r="T907" s="24" t="str">
        <f>VLOOKUP(R907,[1]Sheet3!$A$2:$A$47,1,0)</f>
        <v>Japan</v>
      </c>
      <c r="U907" s="24" t="s">
        <v>14354</v>
      </c>
      <c r="V907" s="24" t="s">
        <v>14355</v>
      </c>
      <c r="W907" s="18" t="s">
        <v>8964</v>
      </c>
      <c r="X907" s="26" t="s">
        <v>447</v>
      </c>
      <c r="Y907" s="18" t="s">
        <v>12639</v>
      </c>
      <c r="Z907" s="24" t="s">
        <v>242</v>
      </c>
    </row>
    <row r="908" spans="1:26" ht="20.100000000000001" customHeight="1" x14ac:dyDescent="0.2">
      <c r="A908" s="18" t="s">
        <v>14356</v>
      </c>
      <c r="B908" s="19" t="s">
        <v>14357</v>
      </c>
      <c r="C908" s="19" t="s">
        <v>14358</v>
      </c>
      <c r="D908" s="8" t="s">
        <v>9605</v>
      </c>
      <c r="E908" s="20" t="s">
        <v>9101</v>
      </c>
      <c r="F908" s="20" t="s">
        <v>9036</v>
      </c>
      <c r="G908" s="20" t="s">
        <v>8987</v>
      </c>
      <c r="H908" s="20">
        <f>400+2200+280</f>
        <v>2880</v>
      </c>
      <c r="I908" s="20" t="s">
        <v>8952</v>
      </c>
      <c r="J908" s="20" t="s">
        <v>8953</v>
      </c>
      <c r="K908" s="20" t="s">
        <v>8954</v>
      </c>
      <c r="L908" s="21" t="s">
        <v>8955</v>
      </c>
      <c r="M908" s="20" t="s">
        <v>8956</v>
      </c>
      <c r="N908" s="20" t="s">
        <v>8957</v>
      </c>
      <c r="O908" s="20">
        <f t="shared" si="14"/>
        <v>3</v>
      </c>
      <c r="P908" s="22" t="s">
        <v>9103</v>
      </c>
      <c r="Q908" s="21" t="s">
        <v>8959</v>
      </c>
      <c r="R908" s="23" t="s">
        <v>9380</v>
      </c>
      <c r="S908" s="24" t="s">
        <v>12128</v>
      </c>
      <c r="T908" s="24" t="str">
        <f>VLOOKUP(R908,[1]Sheet3!$A$2:$A$47,1,0)</f>
        <v>Canada</v>
      </c>
      <c r="U908" s="24" t="s">
        <v>14359</v>
      </c>
      <c r="V908" s="24" t="s">
        <v>14360</v>
      </c>
      <c r="W908" s="18" t="s">
        <v>8964</v>
      </c>
      <c r="X908" s="26" t="s">
        <v>493</v>
      </c>
      <c r="Y908" s="18" t="s">
        <v>12131</v>
      </c>
      <c r="Z908" s="24" t="s">
        <v>242</v>
      </c>
    </row>
    <row r="909" spans="1:26" ht="20.100000000000001" customHeight="1" x14ac:dyDescent="0.2">
      <c r="A909" s="18" t="s">
        <v>14361</v>
      </c>
      <c r="B909" s="19" t="s">
        <v>14362</v>
      </c>
      <c r="C909" s="19" t="s">
        <v>14363</v>
      </c>
      <c r="D909" s="8" t="s">
        <v>9252</v>
      </c>
      <c r="E909" s="20" t="s">
        <v>9253</v>
      </c>
      <c r="F909" s="20" t="s">
        <v>12454</v>
      </c>
      <c r="G909" s="20" t="s">
        <v>8973</v>
      </c>
      <c r="H909" s="20">
        <v>1204</v>
      </c>
      <c r="I909" s="20" t="s">
        <v>8952</v>
      </c>
      <c r="J909" s="20" t="s">
        <v>8953</v>
      </c>
      <c r="K909" s="20" t="s">
        <v>8954</v>
      </c>
      <c r="L909" s="21" t="s">
        <v>8955</v>
      </c>
      <c r="M909" s="20" t="s">
        <v>8956</v>
      </c>
      <c r="N909" s="20" t="s">
        <v>8957</v>
      </c>
      <c r="O909" s="20">
        <f t="shared" si="14"/>
        <v>6</v>
      </c>
      <c r="P909" s="22" t="s">
        <v>8958</v>
      </c>
      <c r="Q909" s="21" t="s">
        <v>9061</v>
      </c>
      <c r="R909" s="23" t="s">
        <v>9310</v>
      </c>
      <c r="S909" s="24" t="s">
        <v>9255</v>
      </c>
      <c r="T909" s="24" t="str">
        <f>VLOOKUP(R909,[1]Sheet3!$A$2:$A$47,1,0)</f>
        <v>China</v>
      </c>
      <c r="U909" s="24" t="s">
        <v>14364</v>
      </c>
      <c r="V909" s="24" t="s">
        <v>14365</v>
      </c>
      <c r="W909" s="18" t="s">
        <v>8964</v>
      </c>
      <c r="X909" s="26" t="s">
        <v>24</v>
      </c>
      <c r="Y909" s="18" t="s">
        <v>9258</v>
      </c>
      <c r="Z909" s="24" t="s">
        <v>242</v>
      </c>
    </row>
    <row r="910" spans="1:26" ht="20.100000000000001" customHeight="1" x14ac:dyDescent="0.2">
      <c r="A910" s="18" t="s">
        <v>14366</v>
      </c>
      <c r="B910" s="19" t="s">
        <v>14367</v>
      </c>
      <c r="C910" s="19" t="s">
        <v>14368</v>
      </c>
      <c r="D910" s="8" t="s">
        <v>8948</v>
      </c>
      <c r="E910" s="20" t="s">
        <v>8949</v>
      </c>
      <c r="F910" s="20" t="s">
        <v>14369</v>
      </c>
      <c r="G910" s="20" t="s">
        <v>8973</v>
      </c>
      <c r="H910" s="20">
        <v>9</v>
      </c>
      <c r="I910" s="20" t="s">
        <v>9008</v>
      </c>
      <c r="J910" s="20" t="s">
        <v>9059</v>
      </c>
      <c r="K910" s="20" t="s">
        <v>8989</v>
      </c>
      <c r="L910" s="21" t="s">
        <v>8955</v>
      </c>
      <c r="M910" s="20" t="s">
        <v>8956</v>
      </c>
      <c r="N910" s="20" t="s">
        <v>8957</v>
      </c>
      <c r="O910" s="20">
        <f t="shared" si="14"/>
        <v>8</v>
      </c>
      <c r="P910" s="22" t="s">
        <v>8975</v>
      </c>
      <c r="Q910" s="21" t="s">
        <v>9009</v>
      </c>
      <c r="R910" s="23" t="s">
        <v>9123</v>
      </c>
      <c r="S910" s="24" t="s">
        <v>9028</v>
      </c>
      <c r="T910" s="24" t="str">
        <f>VLOOKUP(R910,[1]Sheet3!$A$2:$A$47,1,0)</f>
        <v>France</v>
      </c>
      <c r="U910" s="24" t="s">
        <v>14370</v>
      </c>
      <c r="V910" s="24" t="s">
        <v>14371</v>
      </c>
      <c r="W910" s="18" t="s">
        <v>8964</v>
      </c>
      <c r="X910" s="26" t="s">
        <v>43</v>
      </c>
      <c r="Y910" s="18" t="s">
        <v>9031</v>
      </c>
      <c r="Z910" s="24" t="s">
        <v>242</v>
      </c>
    </row>
    <row r="911" spans="1:26" ht="20.100000000000001" customHeight="1" x14ac:dyDescent="0.2">
      <c r="A911" s="18" t="s">
        <v>14372</v>
      </c>
      <c r="B911" s="19" t="s">
        <v>14373</v>
      </c>
      <c r="C911" s="19" t="s">
        <v>14374</v>
      </c>
      <c r="D911" s="8" t="s">
        <v>14375</v>
      </c>
      <c r="E911" s="20" t="s">
        <v>9422</v>
      </c>
      <c r="F911" s="20" t="s">
        <v>8950</v>
      </c>
      <c r="G911" s="20" t="s">
        <v>9133</v>
      </c>
      <c r="H911" s="20">
        <v>254</v>
      </c>
      <c r="I911" s="20" t="s">
        <v>9158</v>
      </c>
      <c r="J911" s="20" t="s">
        <v>9059</v>
      </c>
      <c r="K911" s="20" t="s">
        <v>8989</v>
      </c>
      <c r="L911" s="21" t="s">
        <v>8955</v>
      </c>
      <c r="M911" s="20" t="s">
        <v>8956</v>
      </c>
      <c r="N911" s="20" t="s">
        <v>8957</v>
      </c>
      <c r="O911" s="20">
        <f t="shared" si="14"/>
        <v>10</v>
      </c>
      <c r="P911" s="22" t="s">
        <v>8975</v>
      </c>
      <c r="Q911" s="21" t="s">
        <v>9009</v>
      </c>
      <c r="R911" s="23" t="s">
        <v>9246</v>
      </c>
      <c r="S911" s="24" t="s">
        <v>9255</v>
      </c>
      <c r="T911" s="24" t="str">
        <f>VLOOKUP(R911,[1]Sheet3!$A$2:$A$47,1,0)</f>
        <v>Netherlands</v>
      </c>
      <c r="U911" s="24" t="s">
        <v>14376</v>
      </c>
      <c r="V911" s="24" t="s">
        <v>14377</v>
      </c>
      <c r="W911" s="18" t="s">
        <v>8964</v>
      </c>
      <c r="X911" s="26" t="s">
        <v>24</v>
      </c>
      <c r="Y911" s="18" t="s">
        <v>9258</v>
      </c>
      <c r="Z911" s="24" t="s">
        <v>242</v>
      </c>
    </row>
    <row r="912" spans="1:26" ht="20.100000000000001" customHeight="1" x14ac:dyDescent="0.2">
      <c r="A912" s="18" t="s">
        <v>14378</v>
      </c>
      <c r="B912" s="19" t="s">
        <v>14379</v>
      </c>
      <c r="C912" s="19" t="s">
        <v>14380</v>
      </c>
      <c r="D912" s="8" t="s">
        <v>14381</v>
      </c>
      <c r="E912" s="20" t="s">
        <v>9155</v>
      </c>
      <c r="F912" s="20" t="s">
        <v>14369</v>
      </c>
      <c r="G912" s="20" t="s">
        <v>9133</v>
      </c>
      <c r="H912" s="20">
        <v>10133</v>
      </c>
      <c r="I912" s="20" t="s">
        <v>9019</v>
      </c>
      <c r="J912" s="20" t="s">
        <v>8953</v>
      </c>
      <c r="K912" s="20" t="s">
        <v>8954</v>
      </c>
      <c r="L912" s="21" t="s">
        <v>8955</v>
      </c>
      <c r="M912" s="20" t="s">
        <v>8956</v>
      </c>
      <c r="N912" s="20" t="s">
        <v>8957</v>
      </c>
      <c r="O912" s="20">
        <f t="shared" si="14"/>
        <v>9</v>
      </c>
      <c r="P912" s="22" t="s">
        <v>8975</v>
      </c>
      <c r="Q912" s="21" t="s">
        <v>9061</v>
      </c>
      <c r="R912" s="23" t="s">
        <v>9310</v>
      </c>
      <c r="S912" s="24" t="s">
        <v>9255</v>
      </c>
      <c r="T912" s="24" t="str">
        <f>VLOOKUP(R912,[1]Sheet3!$A$2:$A$47,1,0)</f>
        <v>China</v>
      </c>
      <c r="U912" s="24" t="s">
        <v>14382</v>
      </c>
      <c r="V912" s="24" t="s">
        <v>14383</v>
      </c>
      <c r="W912" s="18" t="s">
        <v>8964</v>
      </c>
      <c r="X912" s="26" t="s">
        <v>24</v>
      </c>
      <c r="Y912" s="18" t="s">
        <v>9258</v>
      </c>
      <c r="Z912" s="24" t="s">
        <v>242</v>
      </c>
    </row>
    <row r="913" spans="1:26" ht="20.100000000000001" customHeight="1" x14ac:dyDescent="0.2">
      <c r="A913" s="18" t="s">
        <v>14384</v>
      </c>
      <c r="B913" s="19" t="s">
        <v>14385</v>
      </c>
      <c r="C913" s="19" t="s">
        <v>14386</v>
      </c>
      <c r="D913" s="8" t="s">
        <v>8948</v>
      </c>
      <c r="E913" s="20" t="s">
        <v>8949</v>
      </c>
      <c r="F913" s="20" t="s">
        <v>9036</v>
      </c>
      <c r="G913" s="20" t="s">
        <v>8973</v>
      </c>
      <c r="H913" s="20">
        <v>158</v>
      </c>
      <c r="I913" s="20" t="s">
        <v>9158</v>
      </c>
      <c r="J913" s="20" t="s">
        <v>8953</v>
      </c>
      <c r="K913" s="20" t="s">
        <v>8954</v>
      </c>
      <c r="L913" s="21" t="s">
        <v>8955</v>
      </c>
      <c r="M913" s="20" t="s">
        <v>8956</v>
      </c>
      <c r="N913" s="20" t="s">
        <v>8957</v>
      </c>
      <c r="O913" s="20">
        <f t="shared" si="14"/>
        <v>8</v>
      </c>
      <c r="P913" s="22" t="s">
        <v>8975</v>
      </c>
      <c r="Q913" s="21" t="s">
        <v>8959</v>
      </c>
      <c r="R913" s="23" t="s">
        <v>9317</v>
      </c>
      <c r="S913" s="24" t="s">
        <v>9159</v>
      </c>
      <c r="T913" s="24" t="str">
        <f>VLOOKUP(R913,[1]Sheet3!$A$2:$A$47,1,0)</f>
        <v>Germany</v>
      </c>
      <c r="U913" s="25" t="s">
        <v>14387</v>
      </c>
      <c r="V913" s="24" t="s">
        <v>14388</v>
      </c>
      <c r="W913" s="18" t="s">
        <v>8964</v>
      </c>
      <c r="X913" s="26" t="s">
        <v>61</v>
      </c>
      <c r="Y913" s="18" t="s">
        <v>9162</v>
      </c>
      <c r="Z913" s="24" t="s">
        <v>242</v>
      </c>
    </row>
    <row r="914" spans="1:26" ht="20.100000000000001" customHeight="1" x14ac:dyDescent="0.2">
      <c r="A914" s="18" t="s">
        <v>14389</v>
      </c>
      <c r="B914" s="19" t="s">
        <v>14390</v>
      </c>
      <c r="C914" s="19" t="s">
        <v>14391</v>
      </c>
      <c r="D914" s="8" t="s">
        <v>9075</v>
      </c>
      <c r="E914" s="20" t="s">
        <v>8971</v>
      </c>
      <c r="F914" s="20" t="s">
        <v>12500</v>
      </c>
      <c r="G914" s="20" t="s">
        <v>8951</v>
      </c>
      <c r="H914" s="20">
        <v>223</v>
      </c>
      <c r="I914" s="20" t="s">
        <v>9158</v>
      </c>
      <c r="J914" s="20" t="s">
        <v>8953</v>
      </c>
      <c r="K914" s="20" t="s">
        <v>8989</v>
      </c>
      <c r="L914" s="21" t="s">
        <v>8955</v>
      </c>
      <c r="M914" s="20" t="s">
        <v>8956</v>
      </c>
      <c r="N914" s="20" t="s">
        <v>8957</v>
      </c>
      <c r="O914" s="20">
        <f t="shared" si="14"/>
        <v>12</v>
      </c>
      <c r="P914" s="22" t="s">
        <v>8975</v>
      </c>
      <c r="Q914" s="21" t="s">
        <v>8959</v>
      </c>
      <c r="R914" s="23" t="s">
        <v>9380</v>
      </c>
      <c r="S914" s="24" t="s">
        <v>9342</v>
      </c>
      <c r="T914" s="24" t="str">
        <f>VLOOKUP(R914,[1]Sheet3!$A$2:$A$47,1,0)</f>
        <v>Canada</v>
      </c>
      <c r="U914" s="24" t="s">
        <v>14392</v>
      </c>
      <c r="V914" s="24" t="s">
        <v>14393</v>
      </c>
      <c r="W914" s="18" t="s">
        <v>8964</v>
      </c>
      <c r="X914" s="26" t="s">
        <v>64</v>
      </c>
      <c r="Y914" s="18" t="s">
        <v>9345</v>
      </c>
      <c r="Z914" s="24" t="s">
        <v>242</v>
      </c>
    </row>
    <row r="915" spans="1:26" ht="20.100000000000001" customHeight="1" x14ac:dyDescent="0.2">
      <c r="A915" s="18" t="s">
        <v>14394</v>
      </c>
      <c r="B915" s="19" t="s">
        <v>14395</v>
      </c>
      <c r="C915" s="19" t="s">
        <v>14396</v>
      </c>
      <c r="D915" s="8" t="s">
        <v>9154</v>
      </c>
      <c r="E915" s="20" t="s">
        <v>8971</v>
      </c>
      <c r="F915" s="20" t="s">
        <v>9041</v>
      </c>
      <c r="G915" s="20" t="s">
        <v>8951</v>
      </c>
      <c r="H915" s="20">
        <v>2891</v>
      </c>
      <c r="I915" s="20" t="s">
        <v>8952</v>
      </c>
      <c r="J915" s="20" t="s">
        <v>8953</v>
      </c>
      <c r="K915" s="20" t="s">
        <v>8989</v>
      </c>
      <c r="L915" s="21" t="s">
        <v>8955</v>
      </c>
      <c r="M915" s="20" t="s">
        <v>8956</v>
      </c>
      <c r="N915" s="20" t="s">
        <v>8959</v>
      </c>
      <c r="O915" s="20">
        <f t="shared" si="14"/>
        <v>7</v>
      </c>
      <c r="P915" s="22" t="s">
        <v>8958</v>
      </c>
      <c r="Q915" s="21" t="s">
        <v>9009</v>
      </c>
      <c r="R915" s="23" t="s">
        <v>9317</v>
      </c>
      <c r="S915" s="24" t="s">
        <v>9159</v>
      </c>
      <c r="T915" s="24" t="str">
        <f>VLOOKUP(R915,[1]Sheet3!$A$2:$A$47,1,0)</f>
        <v>Germany</v>
      </c>
      <c r="U915" s="25" t="s">
        <v>14397</v>
      </c>
      <c r="V915" s="24" t="s">
        <v>14398</v>
      </c>
      <c r="W915" s="18" t="s">
        <v>8964</v>
      </c>
      <c r="X915" s="26" t="s">
        <v>61</v>
      </c>
      <c r="Y915" s="18" t="s">
        <v>9162</v>
      </c>
      <c r="Z915" s="24" t="s">
        <v>242</v>
      </c>
    </row>
    <row r="916" spans="1:26" ht="20.100000000000001" customHeight="1" x14ac:dyDescent="0.2">
      <c r="A916" s="18" t="s">
        <v>14399</v>
      </c>
      <c r="B916" s="19" t="s">
        <v>14400</v>
      </c>
      <c r="C916" s="19" t="s">
        <v>14401</v>
      </c>
      <c r="D916" s="8" t="s">
        <v>9075</v>
      </c>
      <c r="E916" s="20" t="s">
        <v>8998</v>
      </c>
      <c r="F916" s="20" t="s">
        <v>9036</v>
      </c>
      <c r="G916" s="20" t="s">
        <v>8973</v>
      </c>
      <c r="H916" s="20">
        <v>8420</v>
      </c>
      <c r="I916" s="20" t="s">
        <v>9019</v>
      </c>
      <c r="J916" s="20" t="s">
        <v>8953</v>
      </c>
      <c r="K916" s="20" t="s">
        <v>8989</v>
      </c>
      <c r="L916" s="21" t="s">
        <v>8955</v>
      </c>
      <c r="M916" s="20" t="s">
        <v>8956</v>
      </c>
      <c r="N916" s="20" t="s">
        <v>8957</v>
      </c>
      <c r="O916" s="20">
        <f t="shared" si="14"/>
        <v>6</v>
      </c>
      <c r="P916" s="22" t="s">
        <v>8958</v>
      </c>
      <c r="Q916" s="21" t="s">
        <v>9061</v>
      </c>
      <c r="R916" s="23" t="s">
        <v>9010</v>
      </c>
      <c r="S916" s="24" t="s">
        <v>9011</v>
      </c>
      <c r="T916" s="24" t="str">
        <f>VLOOKUP(R916,[1]Sheet3!$A$2:$A$47,1,0)</f>
        <v>the United States of America</v>
      </c>
      <c r="U916" s="24" t="s">
        <v>14402</v>
      </c>
      <c r="V916" s="24" t="s">
        <v>14403</v>
      </c>
      <c r="W916" s="18" t="s">
        <v>8964</v>
      </c>
      <c r="X916" s="26" t="s">
        <v>93</v>
      </c>
      <c r="Y916" s="18" t="s">
        <v>9014</v>
      </c>
      <c r="Z916" s="24" t="s">
        <v>242</v>
      </c>
    </row>
    <row r="917" spans="1:26" ht="20.100000000000001" customHeight="1" x14ac:dyDescent="0.2">
      <c r="A917" s="18" t="s">
        <v>14404</v>
      </c>
      <c r="B917" s="19" t="s">
        <v>14405</v>
      </c>
      <c r="C917" s="19" t="s">
        <v>14406</v>
      </c>
      <c r="D917" s="8" t="s">
        <v>9035</v>
      </c>
      <c r="E917" s="20" t="s">
        <v>8998</v>
      </c>
      <c r="F917" s="20" t="s">
        <v>9036</v>
      </c>
      <c r="G917" s="20" t="s">
        <v>8987</v>
      </c>
      <c r="H917" s="20">
        <v>35056</v>
      </c>
      <c r="I917" s="20" t="s">
        <v>9019</v>
      </c>
      <c r="J917" s="20" t="s">
        <v>8953</v>
      </c>
      <c r="K917" s="20" t="s">
        <v>8954</v>
      </c>
      <c r="L917" s="21" t="s">
        <v>8955</v>
      </c>
      <c r="M917" s="20" t="s">
        <v>8956</v>
      </c>
      <c r="N917" s="20" t="s">
        <v>8957</v>
      </c>
      <c r="O917" s="20">
        <f t="shared" si="14"/>
        <v>5</v>
      </c>
      <c r="P917" s="22" t="s">
        <v>8958</v>
      </c>
      <c r="Q917" s="21" t="s">
        <v>9009</v>
      </c>
      <c r="R917" s="23" t="s">
        <v>9465</v>
      </c>
      <c r="S917" s="24" t="s">
        <v>9159</v>
      </c>
      <c r="T917" s="24" t="str">
        <f>VLOOKUP(R917,[1]Sheet3!$A$2:$A$47,1,0)</f>
        <v>Switzerland</v>
      </c>
      <c r="U917" s="24" t="s">
        <v>14407</v>
      </c>
      <c r="V917" s="24" t="s">
        <v>14408</v>
      </c>
      <c r="W917" s="18" t="s">
        <v>8964</v>
      </c>
      <c r="X917" s="26" t="s">
        <v>61</v>
      </c>
      <c r="Y917" s="18" t="s">
        <v>9162</v>
      </c>
      <c r="Z917" s="24" t="s">
        <v>242</v>
      </c>
    </row>
    <row r="918" spans="1:26" ht="20.100000000000001" customHeight="1" x14ac:dyDescent="0.2">
      <c r="A918" s="18" t="s">
        <v>14409</v>
      </c>
      <c r="B918" s="19" t="s">
        <v>14410</v>
      </c>
      <c r="C918" s="19" t="s">
        <v>14411</v>
      </c>
      <c r="D918" s="8" t="s">
        <v>9049</v>
      </c>
      <c r="E918" s="20" t="s">
        <v>8949</v>
      </c>
      <c r="F918" s="20" t="s">
        <v>14412</v>
      </c>
      <c r="G918" s="20" t="s">
        <v>8973</v>
      </c>
      <c r="H918" s="20">
        <v>165</v>
      </c>
      <c r="I918" s="20" t="s">
        <v>9158</v>
      </c>
      <c r="J918" s="20" t="s">
        <v>9059</v>
      </c>
      <c r="K918" s="20" t="s">
        <v>8989</v>
      </c>
      <c r="L918" s="21" t="s">
        <v>8955</v>
      </c>
      <c r="M918" s="20" t="s">
        <v>8956</v>
      </c>
      <c r="N918" s="20" t="s">
        <v>8957</v>
      </c>
      <c r="O918" s="20">
        <f t="shared" si="14"/>
        <v>7</v>
      </c>
      <c r="P918" s="22" t="s">
        <v>8958</v>
      </c>
      <c r="Q918" s="21" t="s">
        <v>8959</v>
      </c>
      <c r="R918" s="23" t="s">
        <v>9010</v>
      </c>
      <c r="S918" s="24" t="s">
        <v>9159</v>
      </c>
      <c r="T918" s="24" t="str">
        <f>VLOOKUP(R918,[1]Sheet3!$A$2:$A$47,1,0)</f>
        <v>the United States of America</v>
      </c>
      <c r="U918" s="24" t="s">
        <v>14413</v>
      </c>
      <c r="V918" s="24" t="s">
        <v>14414</v>
      </c>
      <c r="W918" s="18" t="s">
        <v>8964</v>
      </c>
      <c r="X918" s="26" t="s">
        <v>61</v>
      </c>
      <c r="Y918" s="18" t="s">
        <v>9162</v>
      </c>
      <c r="Z918" s="24" t="s">
        <v>242</v>
      </c>
    </row>
    <row r="919" spans="1:26" ht="20.100000000000001" customHeight="1" x14ac:dyDescent="0.2">
      <c r="A919" s="18" t="s">
        <v>14415</v>
      </c>
      <c r="B919" s="19" t="s">
        <v>14416</v>
      </c>
      <c r="C919" s="19" t="s">
        <v>14417</v>
      </c>
      <c r="D919" s="8" t="s">
        <v>9154</v>
      </c>
      <c r="E919" s="20" t="s">
        <v>8949</v>
      </c>
      <c r="F919" s="20" t="s">
        <v>9036</v>
      </c>
      <c r="G919" s="20" t="s">
        <v>8973</v>
      </c>
      <c r="H919" s="20">
        <f>45*6</f>
        <v>270</v>
      </c>
      <c r="I919" s="20" t="s">
        <v>8988</v>
      </c>
      <c r="J919" s="20" t="s">
        <v>8953</v>
      </c>
      <c r="K919" s="20" t="s">
        <v>8989</v>
      </c>
      <c r="L919" s="21" t="s">
        <v>8955</v>
      </c>
      <c r="M919" s="20" t="s">
        <v>8956</v>
      </c>
      <c r="N919" s="20" t="s">
        <v>8957</v>
      </c>
      <c r="O919" s="20">
        <f t="shared" si="14"/>
        <v>3</v>
      </c>
      <c r="P919" s="22" t="s">
        <v>9103</v>
      </c>
      <c r="Q919" s="21" t="s">
        <v>8959</v>
      </c>
      <c r="R919" s="23" t="s">
        <v>9010</v>
      </c>
      <c r="S919" s="24" t="s">
        <v>8961</v>
      </c>
      <c r="T919" s="24" t="str">
        <f>VLOOKUP(R919,[1]Sheet3!$A$2:$A$47,1,0)</f>
        <v>the United States of America</v>
      </c>
      <c r="U919" s="24" t="s">
        <v>14418</v>
      </c>
      <c r="V919" s="24" t="s">
        <v>14064</v>
      </c>
      <c r="W919" s="18" t="s">
        <v>8964</v>
      </c>
      <c r="X919" s="26" t="s">
        <v>126</v>
      </c>
      <c r="Y919" s="18" t="s">
        <v>8966</v>
      </c>
      <c r="Z919" s="24" t="s">
        <v>242</v>
      </c>
    </row>
    <row r="920" spans="1:26" ht="20.100000000000001" customHeight="1" x14ac:dyDescent="0.2">
      <c r="A920" s="18" t="s">
        <v>14419</v>
      </c>
      <c r="B920" s="19" t="s">
        <v>14420</v>
      </c>
      <c r="C920" s="19" t="s">
        <v>14421</v>
      </c>
      <c r="D920" s="8" t="s">
        <v>9252</v>
      </c>
      <c r="E920" s="20" t="s">
        <v>9253</v>
      </c>
      <c r="F920" s="20" t="s">
        <v>14422</v>
      </c>
      <c r="G920" s="20" t="s">
        <v>8973</v>
      </c>
      <c r="H920" s="20">
        <f>493+668+394+1182</f>
        <v>2737</v>
      </c>
      <c r="I920" s="20" t="s">
        <v>8952</v>
      </c>
      <c r="J920" s="20" t="s">
        <v>8953</v>
      </c>
      <c r="K920" s="20" t="s">
        <v>8954</v>
      </c>
      <c r="L920" s="21" t="s">
        <v>8955</v>
      </c>
      <c r="M920" s="20" t="s">
        <v>8956</v>
      </c>
      <c r="N920" s="20" t="s">
        <v>8957</v>
      </c>
      <c r="O920" s="20">
        <f t="shared" si="14"/>
        <v>11</v>
      </c>
      <c r="P920" s="22" t="s">
        <v>8975</v>
      </c>
      <c r="Q920" s="21" t="s">
        <v>9009</v>
      </c>
      <c r="R920" s="23" t="s">
        <v>12526</v>
      </c>
      <c r="S920" s="24" t="s">
        <v>9159</v>
      </c>
      <c r="T920" s="24" t="str">
        <f>VLOOKUP(R920,[1]Sheet3!$A$2:$A$47,1,0)</f>
        <v>Denmark</v>
      </c>
      <c r="U920" s="25" t="s">
        <v>14423</v>
      </c>
      <c r="V920" s="24" t="s">
        <v>14424</v>
      </c>
      <c r="W920" s="18" t="s">
        <v>8964</v>
      </c>
      <c r="X920" s="26" t="s">
        <v>61</v>
      </c>
      <c r="Y920" s="18" t="s">
        <v>9162</v>
      </c>
      <c r="Z920" s="24" t="s">
        <v>242</v>
      </c>
    </row>
    <row r="921" spans="1:26" ht="20.100000000000001" customHeight="1" x14ac:dyDescent="0.2">
      <c r="A921" s="18" t="s">
        <v>14425</v>
      </c>
      <c r="B921" s="19" t="s">
        <v>14426</v>
      </c>
      <c r="C921" s="19" t="s">
        <v>14427</v>
      </c>
      <c r="D921" s="8" t="s">
        <v>9252</v>
      </c>
      <c r="E921" s="20" t="s">
        <v>9121</v>
      </c>
      <c r="F921" s="20" t="s">
        <v>9036</v>
      </c>
      <c r="G921" s="20" t="s">
        <v>8951</v>
      </c>
      <c r="H921" s="20">
        <f>311+60+295</f>
        <v>666</v>
      </c>
      <c r="I921" s="20" t="s">
        <v>9077</v>
      </c>
      <c r="J921" s="20" t="s">
        <v>8953</v>
      </c>
      <c r="K921" s="20" t="s">
        <v>8989</v>
      </c>
      <c r="L921" s="21" t="s">
        <v>8955</v>
      </c>
      <c r="M921" s="20" t="s">
        <v>8956</v>
      </c>
      <c r="N921" s="20" t="s">
        <v>8959</v>
      </c>
      <c r="O921" s="20">
        <f t="shared" si="14"/>
        <v>6</v>
      </c>
      <c r="P921" s="22" t="s">
        <v>8958</v>
      </c>
      <c r="Q921" s="21" t="s">
        <v>9009</v>
      </c>
      <c r="R921" s="23" t="s">
        <v>9317</v>
      </c>
      <c r="S921" s="24" t="s">
        <v>9159</v>
      </c>
      <c r="T921" s="24" t="str">
        <f>VLOOKUP(R921,[1]Sheet3!$A$2:$A$47,1,0)</f>
        <v>Germany</v>
      </c>
      <c r="U921" s="25" t="s">
        <v>14428</v>
      </c>
      <c r="V921" s="24" t="s">
        <v>14429</v>
      </c>
      <c r="W921" s="18" t="s">
        <v>8964</v>
      </c>
      <c r="X921" s="26" t="s">
        <v>61</v>
      </c>
      <c r="Y921" s="18" t="s">
        <v>9162</v>
      </c>
      <c r="Z921" s="24" t="s">
        <v>242</v>
      </c>
    </row>
    <row r="922" spans="1:26" ht="20.100000000000001" customHeight="1" x14ac:dyDescent="0.2">
      <c r="A922" s="18" t="s">
        <v>14430</v>
      </c>
      <c r="B922" s="19" t="s">
        <v>14431</v>
      </c>
      <c r="C922" s="19" t="s">
        <v>14432</v>
      </c>
      <c r="D922" s="8" t="s">
        <v>9049</v>
      </c>
      <c r="E922" s="20" t="s">
        <v>9050</v>
      </c>
      <c r="F922" s="20" t="s">
        <v>9036</v>
      </c>
      <c r="G922" s="20" t="s">
        <v>8951</v>
      </c>
      <c r="H922" s="20">
        <f>6679+1200</f>
        <v>7879</v>
      </c>
      <c r="I922" s="20" t="s">
        <v>9019</v>
      </c>
      <c r="J922" s="20" t="s">
        <v>8953</v>
      </c>
      <c r="K922" s="20" t="s">
        <v>8954</v>
      </c>
      <c r="L922" s="21" t="s">
        <v>8955</v>
      </c>
      <c r="M922" s="20" t="s">
        <v>8956</v>
      </c>
      <c r="N922" s="20" t="s">
        <v>8957</v>
      </c>
      <c r="O922" s="20">
        <f t="shared" si="14"/>
        <v>5</v>
      </c>
      <c r="P922" s="22" t="s">
        <v>8958</v>
      </c>
      <c r="Q922" s="21" t="s">
        <v>9061</v>
      </c>
      <c r="R922" s="23" t="s">
        <v>9246</v>
      </c>
      <c r="S922" s="24" t="s">
        <v>9159</v>
      </c>
      <c r="T922" s="24" t="str">
        <f>VLOOKUP(R922,[1]Sheet3!$A$2:$A$47,1,0)</f>
        <v>Netherlands</v>
      </c>
      <c r="U922" s="25" t="s">
        <v>14433</v>
      </c>
      <c r="V922" s="24" t="s">
        <v>14434</v>
      </c>
      <c r="W922" s="18" t="s">
        <v>8964</v>
      </c>
      <c r="X922" s="26" t="s">
        <v>61</v>
      </c>
      <c r="Y922" s="18" t="s">
        <v>9162</v>
      </c>
      <c r="Z922" s="24" t="s">
        <v>242</v>
      </c>
    </row>
    <row r="923" spans="1:26" ht="20.100000000000001" customHeight="1" x14ac:dyDescent="0.2">
      <c r="A923" s="18" t="s">
        <v>14435</v>
      </c>
      <c r="B923" s="19" t="s">
        <v>14436</v>
      </c>
      <c r="C923" s="19" t="s">
        <v>14437</v>
      </c>
      <c r="D923" s="8" t="s">
        <v>9173</v>
      </c>
      <c r="E923" s="20" t="s">
        <v>9174</v>
      </c>
      <c r="F923" s="20" t="s">
        <v>9102</v>
      </c>
      <c r="G923" s="20" t="s">
        <v>9133</v>
      </c>
      <c r="H923" s="20">
        <v>992</v>
      </c>
      <c r="I923" s="20" t="s">
        <v>9077</v>
      </c>
      <c r="J923" s="20" t="s">
        <v>8953</v>
      </c>
      <c r="K923" s="20" t="s">
        <v>8954</v>
      </c>
      <c r="L923" s="21" t="s">
        <v>8955</v>
      </c>
      <c r="M923" s="20" t="s">
        <v>8956</v>
      </c>
      <c r="N923" s="20" t="s">
        <v>8957</v>
      </c>
      <c r="O923" s="20">
        <f t="shared" si="14"/>
        <v>2</v>
      </c>
      <c r="P923" s="22" t="s">
        <v>9103</v>
      </c>
      <c r="Q923" s="21" t="s">
        <v>8959</v>
      </c>
      <c r="R923" s="23" t="s">
        <v>9815</v>
      </c>
      <c r="S923" s="24" t="s">
        <v>9496</v>
      </c>
      <c r="T923" s="24" t="str">
        <f>VLOOKUP(R923,[1]Sheet3!$A$2:$A$47,1,0)</f>
        <v>India</v>
      </c>
      <c r="U923" s="24" t="s">
        <v>14438</v>
      </c>
      <c r="V923" s="24" t="s">
        <v>14439</v>
      </c>
      <c r="W923" s="18" t="s">
        <v>8964</v>
      </c>
      <c r="X923" s="26" t="s">
        <v>97</v>
      </c>
      <c r="Y923" s="18" t="s">
        <v>9499</v>
      </c>
      <c r="Z923" s="24" t="s">
        <v>242</v>
      </c>
    </row>
    <row r="924" spans="1:26" ht="20.100000000000001" customHeight="1" x14ac:dyDescent="0.2">
      <c r="A924" s="18" t="s">
        <v>14440</v>
      </c>
      <c r="B924" s="19" t="s">
        <v>14441</v>
      </c>
      <c r="C924" s="19" t="s">
        <v>14442</v>
      </c>
      <c r="D924" s="8" t="s">
        <v>8984</v>
      </c>
      <c r="E924" s="20" t="s">
        <v>9269</v>
      </c>
      <c r="F924" s="20" t="s">
        <v>9036</v>
      </c>
      <c r="G924" s="20" t="s">
        <v>8987</v>
      </c>
      <c r="H924" s="20">
        <v>100</v>
      </c>
      <c r="I924" s="20" t="s">
        <v>9008</v>
      </c>
      <c r="J924" s="20" t="s">
        <v>8953</v>
      </c>
      <c r="K924" s="20" t="s">
        <v>8989</v>
      </c>
      <c r="L924" s="21" t="s">
        <v>8955</v>
      </c>
      <c r="M924" s="20" t="s">
        <v>8956</v>
      </c>
      <c r="N924" s="20" t="s">
        <v>8957</v>
      </c>
      <c r="O924" s="20">
        <f t="shared" si="14"/>
        <v>6</v>
      </c>
      <c r="P924" s="22" t="s">
        <v>8958</v>
      </c>
      <c r="Q924" s="21" t="s">
        <v>8959</v>
      </c>
      <c r="R924" s="23" t="s">
        <v>10873</v>
      </c>
      <c r="S924" s="24" t="s">
        <v>9159</v>
      </c>
      <c r="T924" s="24" t="str">
        <f>VLOOKUP(R924,[1]Sheet3!$A$2:$A$47,1,0)</f>
        <v>UK</v>
      </c>
      <c r="U924" s="25" t="s">
        <v>14443</v>
      </c>
      <c r="V924" s="24" t="s">
        <v>14444</v>
      </c>
      <c r="W924" s="18" t="s">
        <v>8964</v>
      </c>
      <c r="X924" s="26" t="s">
        <v>61</v>
      </c>
      <c r="Y924" s="18" t="s">
        <v>9162</v>
      </c>
      <c r="Z924" s="24" t="s">
        <v>242</v>
      </c>
    </row>
    <row r="925" spans="1:26" ht="20.100000000000001" customHeight="1" x14ac:dyDescent="0.2">
      <c r="A925" s="18" t="s">
        <v>14445</v>
      </c>
      <c r="B925" s="19" t="s">
        <v>14446</v>
      </c>
      <c r="C925" s="19" t="s">
        <v>14447</v>
      </c>
      <c r="D925" s="8" t="s">
        <v>9154</v>
      </c>
      <c r="E925" s="20" t="s">
        <v>8998</v>
      </c>
      <c r="F925" s="20" t="s">
        <v>9036</v>
      </c>
      <c r="G925" s="20" t="s">
        <v>8987</v>
      </c>
      <c r="H925" s="20">
        <v>7489</v>
      </c>
      <c r="I925" s="20" t="s">
        <v>9019</v>
      </c>
      <c r="J925" s="20" t="s">
        <v>8953</v>
      </c>
      <c r="K925" s="20" t="s">
        <v>8989</v>
      </c>
      <c r="L925" s="21" t="s">
        <v>8955</v>
      </c>
      <c r="M925" s="20" t="s">
        <v>8956</v>
      </c>
      <c r="N925" s="20" t="s">
        <v>8959</v>
      </c>
      <c r="O925" s="20">
        <f t="shared" si="14"/>
        <v>8</v>
      </c>
      <c r="P925" s="22" t="s">
        <v>8975</v>
      </c>
      <c r="Q925" s="21" t="s">
        <v>8959</v>
      </c>
      <c r="R925" s="23" t="s">
        <v>9010</v>
      </c>
      <c r="S925" s="24" t="s">
        <v>9159</v>
      </c>
      <c r="T925" s="24" t="str">
        <f>VLOOKUP(R925,[1]Sheet3!$A$2:$A$47,1,0)</f>
        <v>the United States of America</v>
      </c>
      <c r="U925" s="25" t="s">
        <v>14448</v>
      </c>
      <c r="V925" s="24" t="s">
        <v>14449</v>
      </c>
      <c r="W925" s="18" t="s">
        <v>8964</v>
      </c>
      <c r="X925" s="26" t="s">
        <v>61</v>
      </c>
      <c r="Y925" s="18" t="s">
        <v>9162</v>
      </c>
      <c r="Z925" s="24" t="s">
        <v>242</v>
      </c>
    </row>
    <row r="926" spans="1:26" ht="20.100000000000001" customHeight="1" x14ac:dyDescent="0.2">
      <c r="A926" s="18" t="s">
        <v>14450</v>
      </c>
      <c r="B926" s="19" t="s">
        <v>14451</v>
      </c>
      <c r="C926" s="19" t="s">
        <v>14452</v>
      </c>
      <c r="D926" s="8" t="s">
        <v>9252</v>
      </c>
      <c r="E926" s="20" t="s">
        <v>9253</v>
      </c>
      <c r="F926" s="20" t="s">
        <v>9036</v>
      </c>
      <c r="G926" s="20" t="s">
        <v>8987</v>
      </c>
      <c r="H926" s="20">
        <v>736</v>
      </c>
      <c r="I926" s="20" t="s">
        <v>9077</v>
      </c>
      <c r="J926" s="20" t="s">
        <v>8953</v>
      </c>
      <c r="K926" s="20" t="s">
        <v>8989</v>
      </c>
      <c r="L926" s="21" t="s">
        <v>8955</v>
      </c>
      <c r="M926" s="20" t="s">
        <v>8956</v>
      </c>
      <c r="N926" s="20" t="s">
        <v>8957</v>
      </c>
      <c r="O926" s="20">
        <f t="shared" si="14"/>
        <v>5</v>
      </c>
      <c r="P926" s="22" t="s">
        <v>8958</v>
      </c>
      <c r="Q926" s="21" t="s">
        <v>8959</v>
      </c>
      <c r="R926" s="23" t="s">
        <v>9327</v>
      </c>
      <c r="S926" s="24" t="s">
        <v>9085</v>
      </c>
      <c r="T926" s="24" t="str">
        <f>VLOOKUP(R926,[1]Sheet3!$A$2:$A$47,1,0)</f>
        <v>Colombia</v>
      </c>
      <c r="U926" s="24" t="s">
        <v>14453</v>
      </c>
      <c r="V926" s="24" t="s">
        <v>14454</v>
      </c>
      <c r="W926" s="18" t="s">
        <v>8964</v>
      </c>
      <c r="X926" s="26" t="s">
        <v>184</v>
      </c>
      <c r="Y926" s="18" t="s">
        <v>9088</v>
      </c>
      <c r="Z926" s="24" t="s">
        <v>242</v>
      </c>
    </row>
    <row r="927" spans="1:26" ht="20.100000000000001" customHeight="1" x14ac:dyDescent="0.2">
      <c r="A927" s="18" t="s">
        <v>14455</v>
      </c>
      <c r="B927" s="19" t="s">
        <v>14456</v>
      </c>
      <c r="C927" s="19" t="s">
        <v>14457</v>
      </c>
      <c r="D927" s="8" t="s">
        <v>8948</v>
      </c>
      <c r="E927" s="20" t="s">
        <v>8949</v>
      </c>
      <c r="F927" s="20" t="s">
        <v>9036</v>
      </c>
      <c r="G927" s="20" t="s">
        <v>8973</v>
      </c>
      <c r="H927" s="20">
        <f>188+40+77+53</f>
        <v>358</v>
      </c>
      <c r="I927" s="20" t="s">
        <v>8988</v>
      </c>
      <c r="J927" s="20" t="s">
        <v>8953</v>
      </c>
      <c r="K927" s="20" t="s">
        <v>8954</v>
      </c>
      <c r="L927" s="21" t="s">
        <v>8955</v>
      </c>
      <c r="M927" s="20" t="s">
        <v>8956</v>
      </c>
      <c r="N927" s="20" t="s">
        <v>8957</v>
      </c>
      <c r="O927" s="20">
        <f t="shared" si="14"/>
        <v>7</v>
      </c>
      <c r="P927" s="22" t="s">
        <v>8958</v>
      </c>
      <c r="Q927" s="21" t="s">
        <v>9061</v>
      </c>
      <c r="R927" s="23" t="s">
        <v>9317</v>
      </c>
      <c r="S927" s="24" t="s">
        <v>9711</v>
      </c>
      <c r="T927" s="24" t="str">
        <f>VLOOKUP(R927,[1]Sheet3!$A$2:$A$47,1,0)</f>
        <v>Germany</v>
      </c>
      <c r="U927" s="24" t="s">
        <v>14458</v>
      </c>
      <c r="V927" s="24" t="s">
        <v>14459</v>
      </c>
      <c r="W927" s="18" t="s">
        <v>8964</v>
      </c>
      <c r="X927" s="26" t="s">
        <v>392</v>
      </c>
      <c r="Y927" s="18" t="s">
        <v>9714</v>
      </c>
      <c r="Z927" s="24" t="s">
        <v>242</v>
      </c>
    </row>
    <row r="928" spans="1:26" ht="20.100000000000001" customHeight="1" x14ac:dyDescent="0.2">
      <c r="A928" s="18" t="s">
        <v>14460</v>
      </c>
      <c r="B928" s="19" t="s">
        <v>14461</v>
      </c>
      <c r="C928" s="19" t="s">
        <v>14462</v>
      </c>
      <c r="D928" s="8" t="s">
        <v>8948</v>
      </c>
      <c r="E928" s="20" t="s">
        <v>8949</v>
      </c>
      <c r="F928" s="20" t="s">
        <v>14463</v>
      </c>
      <c r="G928" s="20" t="s">
        <v>9133</v>
      </c>
      <c r="H928" s="20">
        <f>31*48+37*34</f>
        <v>2746</v>
      </c>
      <c r="I928" s="20" t="s">
        <v>9019</v>
      </c>
      <c r="J928" s="20" t="s">
        <v>8953</v>
      </c>
      <c r="K928" s="20" t="s">
        <v>8954</v>
      </c>
      <c r="L928" s="21" t="s">
        <v>8955</v>
      </c>
      <c r="M928" s="20" t="s">
        <v>8956</v>
      </c>
      <c r="N928" s="20" t="s">
        <v>8957</v>
      </c>
      <c r="O928" s="20">
        <f t="shared" si="14"/>
        <v>4</v>
      </c>
      <c r="P928" s="22" t="s">
        <v>8958</v>
      </c>
      <c r="Q928" s="21" t="s">
        <v>8959</v>
      </c>
      <c r="R928" s="23" t="s">
        <v>9213</v>
      </c>
      <c r="S928" s="24" t="s">
        <v>9711</v>
      </c>
      <c r="T928" s="24" t="str">
        <f>VLOOKUP(R928,[1]Sheet3!$A$2:$A$47,1,0)</f>
        <v>South Korea</v>
      </c>
      <c r="U928" s="24" t="s">
        <v>14464</v>
      </c>
      <c r="V928" s="24" t="s">
        <v>14465</v>
      </c>
      <c r="W928" s="18" t="s">
        <v>8964</v>
      </c>
      <c r="X928" s="26" t="s">
        <v>392</v>
      </c>
      <c r="Y928" s="18" t="s">
        <v>9714</v>
      </c>
      <c r="Z928" s="24" t="s">
        <v>242</v>
      </c>
    </row>
    <row r="929" spans="1:26" ht="20.100000000000001" customHeight="1" x14ac:dyDescent="0.2">
      <c r="A929" s="18" t="s">
        <v>14466</v>
      </c>
      <c r="B929" s="19" t="s">
        <v>14467</v>
      </c>
      <c r="C929" s="19" t="s">
        <v>14468</v>
      </c>
      <c r="D929" s="8" t="s">
        <v>8948</v>
      </c>
      <c r="E929" s="48" t="s">
        <v>12453</v>
      </c>
      <c r="F929" s="20" t="s">
        <v>14469</v>
      </c>
      <c r="G929" s="20" t="s">
        <v>8987</v>
      </c>
      <c r="H929" s="20">
        <v>3000</v>
      </c>
      <c r="I929" s="20" t="s">
        <v>8952</v>
      </c>
      <c r="J929" s="20" t="s">
        <v>8953</v>
      </c>
      <c r="K929" s="20" t="s">
        <v>8989</v>
      </c>
      <c r="L929" s="21" t="s">
        <v>8955</v>
      </c>
      <c r="M929" s="20" t="s">
        <v>8956</v>
      </c>
      <c r="N929" s="20" t="s">
        <v>8959</v>
      </c>
      <c r="O929" s="20">
        <f t="shared" si="14"/>
        <v>4</v>
      </c>
      <c r="P929" s="22" t="s">
        <v>8958</v>
      </c>
      <c r="Q929" s="21" t="s">
        <v>8959</v>
      </c>
      <c r="R929" s="23" t="s">
        <v>9317</v>
      </c>
      <c r="S929" s="24" t="s">
        <v>10836</v>
      </c>
      <c r="T929" s="24" t="str">
        <f>VLOOKUP(R929,[1]Sheet3!$A$2:$A$47,1,0)</f>
        <v>Germany</v>
      </c>
      <c r="U929" s="25" t="s">
        <v>14470</v>
      </c>
      <c r="V929" s="24" t="s">
        <v>14471</v>
      </c>
      <c r="W929" s="18" t="s">
        <v>8964</v>
      </c>
      <c r="X929" s="26" t="s">
        <v>10839</v>
      </c>
      <c r="Y929" s="18" t="s">
        <v>10840</v>
      </c>
      <c r="Z929" s="24" t="s">
        <v>924</v>
      </c>
    </row>
    <row r="930" spans="1:26" ht="20.100000000000001" customHeight="1" x14ac:dyDescent="0.2">
      <c r="A930" s="18" t="s">
        <v>14472</v>
      </c>
      <c r="B930" s="19" t="s">
        <v>14473</v>
      </c>
      <c r="C930" s="19" t="s">
        <v>14474</v>
      </c>
      <c r="D930" s="8" t="s">
        <v>9154</v>
      </c>
      <c r="E930" s="20" t="s">
        <v>8949</v>
      </c>
      <c r="F930" s="20" t="s">
        <v>8950</v>
      </c>
      <c r="G930" s="20" t="s">
        <v>8973</v>
      </c>
      <c r="H930" s="20">
        <f>33*8</f>
        <v>264</v>
      </c>
      <c r="I930" s="20" t="s">
        <v>8988</v>
      </c>
      <c r="J930" s="20" t="s">
        <v>8953</v>
      </c>
      <c r="K930" s="20" t="s">
        <v>8989</v>
      </c>
      <c r="L930" s="21" t="s">
        <v>8955</v>
      </c>
      <c r="M930" s="20" t="s">
        <v>8956</v>
      </c>
      <c r="N930" s="20" t="s">
        <v>8957</v>
      </c>
      <c r="O930" s="20">
        <f t="shared" si="14"/>
        <v>3</v>
      </c>
      <c r="P930" s="22" t="s">
        <v>9103</v>
      </c>
      <c r="Q930" s="21" t="s">
        <v>9009</v>
      </c>
      <c r="R930" s="23" t="s">
        <v>12363</v>
      </c>
      <c r="S930" s="24" t="s">
        <v>10836</v>
      </c>
      <c r="T930" s="24" t="str">
        <f>VLOOKUP(R930,[1]Sheet3!$A$2:$A$47,1,0)</f>
        <v>Egypt</v>
      </c>
      <c r="U930" s="25" t="s">
        <v>14475</v>
      </c>
      <c r="V930" s="24" t="s">
        <v>14476</v>
      </c>
      <c r="W930" s="18" t="s">
        <v>8964</v>
      </c>
      <c r="X930" s="26" t="s">
        <v>10839</v>
      </c>
      <c r="Y930" s="18" t="s">
        <v>10840</v>
      </c>
      <c r="Z930" s="24" t="s">
        <v>924</v>
      </c>
    </row>
    <row r="931" spans="1:26" ht="20.100000000000001" customHeight="1" x14ac:dyDescent="0.2">
      <c r="A931" s="18" t="s">
        <v>14477</v>
      </c>
      <c r="B931" s="19" t="s">
        <v>14478</v>
      </c>
      <c r="C931" s="19" t="s">
        <v>14479</v>
      </c>
      <c r="D931" s="8" t="s">
        <v>9035</v>
      </c>
      <c r="E931" s="20" t="s">
        <v>9308</v>
      </c>
      <c r="F931" s="20" t="s">
        <v>12653</v>
      </c>
      <c r="G931" s="20" t="s">
        <v>8987</v>
      </c>
      <c r="H931" s="20">
        <v>41</v>
      </c>
      <c r="I931" s="20" t="s">
        <v>9008</v>
      </c>
      <c r="J931" s="20" t="s">
        <v>8953</v>
      </c>
      <c r="K931" s="20" t="s">
        <v>8989</v>
      </c>
      <c r="L931" s="21" t="s">
        <v>8955</v>
      </c>
      <c r="M931" s="20" t="s">
        <v>8956</v>
      </c>
      <c r="N931" s="20" t="s">
        <v>8957</v>
      </c>
      <c r="O931" s="20">
        <f t="shared" si="14"/>
        <v>4</v>
      </c>
      <c r="P931" s="22" t="s">
        <v>8958</v>
      </c>
      <c r="Q931" s="21" t="s">
        <v>9183</v>
      </c>
      <c r="R931" s="23" t="s">
        <v>9010</v>
      </c>
      <c r="S931" s="24" t="s">
        <v>10836</v>
      </c>
      <c r="T931" s="24" t="str">
        <f>VLOOKUP(R931,[1]Sheet3!$A$2:$A$47,1,0)</f>
        <v>the United States of America</v>
      </c>
      <c r="U931" s="24" t="s">
        <v>14480</v>
      </c>
      <c r="V931" s="24" t="s">
        <v>14481</v>
      </c>
      <c r="W931" s="18" t="s">
        <v>8964</v>
      </c>
      <c r="X931" s="26" t="s">
        <v>10839</v>
      </c>
      <c r="Y931" s="18" t="s">
        <v>10840</v>
      </c>
      <c r="Z931" s="24" t="s">
        <v>242</v>
      </c>
    </row>
    <row r="932" spans="1:26" ht="20.100000000000001" customHeight="1" x14ac:dyDescent="0.2">
      <c r="A932" s="18" t="s">
        <v>14482</v>
      </c>
      <c r="B932" s="19" t="s">
        <v>14483</v>
      </c>
      <c r="C932" s="19" t="s">
        <v>14484</v>
      </c>
      <c r="D932" s="8" t="s">
        <v>9075</v>
      </c>
      <c r="E932" s="20" t="s">
        <v>8949</v>
      </c>
      <c r="F932" s="20" t="s">
        <v>12454</v>
      </c>
      <c r="G932" s="20" t="s">
        <v>8973</v>
      </c>
      <c r="H932" s="20">
        <v>66</v>
      </c>
      <c r="I932" s="20" t="s">
        <v>9008</v>
      </c>
      <c r="J932" s="20" t="s">
        <v>8953</v>
      </c>
      <c r="K932" s="20" t="s">
        <v>8989</v>
      </c>
      <c r="L932" s="21" t="s">
        <v>8955</v>
      </c>
      <c r="M932" s="20" t="s">
        <v>8956</v>
      </c>
      <c r="N932" s="20" t="s">
        <v>8957</v>
      </c>
      <c r="O932" s="20">
        <f t="shared" si="14"/>
        <v>3</v>
      </c>
      <c r="P932" s="22" t="s">
        <v>9103</v>
      </c>
      <c r="Q932" s="21" t="s">
        <v>9061</v>
      </c>
      <c r="R932" s="23" t="s">
        <v>9010</v>
      </c>
      <c r="S932" s="24" t="s">
        <v>9159</v>
      </c>
      <c r="T932" s="24" t="str">
        <f>VLOOKUP(R932,[1]Sheet3!$A$2:$A$47,1,0)</f>
        <v>the United States of America</v>
      </c>
      <c r="U932" s="24" t="s">
        <v>14485</v>
      </c>
      <c r="V932" s="24" t="s">
        <v>14486</v>
      </c>
      <c r="W932" s="18" t="s">
        <v>8964</v>
      </c>
      <c r="X932" s="26" t="s">
        <v>61</v>
      </c>
      <c r="Y932" s="18" t="s">
        <v>9162</v>
      </c>
      <c r="Z932" s="24" t="s">
        <v>242</v>
      </c>
    </row>
    <row r="933" spans="1:26" ht="20.100000000000001" customHeight="1" x14ac:dyDescent="0.2">
      <c r="A933" s="18" t="s">
        <v>14487</v>
      </c>
      <c r="B933" s="19" t="s">
        <v>14488</v>
      </c>
      <c r="C933" s="19" t="s">
        <v>14489</v>
      </c>
      <c r="D933" s="8" t="s">
        <v>8948</v>
      </c>
      <c r="E933" s="20" t="s">
        <v>8949</v>
      </c>
      <c r="F933" s="20" t="s">
        <v>12454</v>
      </c>
      <c r="G933" s="20" t="s">
        <v>9292</v>
      </c>
      <c r="H933" s="20">
        <v>104</v>
      </c>
      <c r="I933" s="20" t="s">
        <v>9158</v>
      </c>
      <c r="J933" s="20" t="s">
        <v>8953</v>
      </c>
      <c r="K933" s="20" t="s">
        <v>8989</v>
      </c>
      <c r="L933" s="21" t="s">
        <v>8955</v>
      </c>
      <c r="M933" s="20" t="s">
        <v>8956</v>
      </c>
      <c r="N933" s="20" t="s">
        <v>8957</v>
      </c>
      <c r="O933" s="20">
        <f t="shared" si="14"/>
        <v>5</v>
      </c>
      <c r="P933" s="22" t="s">
        <v>8958</v>
      </c>
      <c r="Q933" s="21" t="s">
        <v>9061</v>
      </c>
      <c r="R933" s="23" t="s">
        <v>9010</v>
      </c>
      <c r="S933" s="24" t="s">
        <v>12023</v>
      </c>
      <c r="T933" s="24" t="str">
        <f>VLOOKUP(R933,[1]Sheet3!$A$2:$A$47,1,0)</f>
        <v>the United States of America</v>
      </c>
      <c r="U933" s="24" t="s">
        <v>14490</v>
      </c>
      <c r="V933" s="24" t="s">
        <v>14491</v>
      </c>
      <c r="W933" s="18" t="s">
        <v>8964</v>
      </c>
      <c r="X933" s="26" t="s">
        <v>1076</v>
      </c>
      <c r="Y933" s="18" t="s">
        <v>12026</v>
      </c>
      <c r="Z933" s="24" t="s">
        <v>242</v>
      </c>
    </row>
    <row r="934" spans="1:26" ht="20.100000000000001" customHeight="1" x14ac:dyDescent="0.2">
      <c r="A934" s="18" t="s">
        <v>14492</v>
      </c>
      <c r="B934" s="19" t="s">
        <v>14493</v>
      </c>
      <c r="C934" s="19" t="s">
        <v>14494</v>
      </c>
      <c r="D934" s="8" t="s">
        <v>9605</v>
      </c>
      <c r="E934" s="20" t="s">
        <v>8971</v>
      </c>
      <c r="F934" s="20" t="s">
        <v>9102</v>
      </c>
      <c r="G934" s="20" t="s">
        <v>9292</v>
      </c>
      <c r="H934" s="20">
        <v>373</v>
      </c>
      <c r="I934" s="20" t="s">
        <v>8988</v>
      </c>
      <c r="J934" s="20" t="s">
        <v>8953</v>
      </c>
      <c r="K934" s="20" t="s">
        <v>8989</v>
      </c>
      <c r="L934" s="21" t="s">
        <v>8955</v>
      </c>
      <c r="M934" s="20" t="s">
        <v>8956</v>
      </c>
      <c r="N934" s="20" t="s">
        <v>8957</v>
      </c>
      <c r="O934" s="20">
        <f t="shared" si="14"/>
        <v>5</v>
      </c>
      <c r="P934" s="22" t="s">
        <v>8958</v>
      </c>
      <c r="Q934" s="21" t="s">
        <v>8959</v>
      </c>
      <c r="R934" s="23" t="s">
        <v>9310</v>
      </c>
      <c r="S934" s="24" t="s">
        <v>10712</v>
      </c>
      <c r="T934" s="24" t="str">
        <f>VLOOKUP(R934,[1]Sheet3!$A$2:$A$47,1,0)</f>
        <v>China</v>
      </c>
      <c r="U934" s="24" t="s">
        <v>14495</v>
      </c>
      <c r="V934" s="24" t="s">
        <v>14496</v>
      </c>
      <c r="W934" s="18" t="s">
        <v>8964</v>
      </c>
      <c r="X934" s="26" t="s">
        <v>1017</v>
      </c>
      <c r="Y934" s="18" t="s">
        <v>10715</v>
      </c>
      <c r="Z934" s="24" t="s">
        <v>924</v>
      </c>
    </row>
    <row r="935" spans="1:26" ht="20.100000000000001" customHeight="1" x14ac:dyDescent="0.2">
      <c r="A935" s="18" t="s">
        <v>14497</v>
      </c>
      <c r="B935" s="19" t="s">
        <v>14498</v>
      </c>
      <c r="C935" s="19" t="s">
        <v>14499</v>
      </c>
      <c r="D935" s="8" t="s">
        <v>9035</v>
      </c>
      <c r="E935" s="20" t="s">
        <v>8998</v>
      </c>
      <c r="F935" s="20" t="s">
        <v>9036</v>
      </c>
      <c r="G935" s="20" t="s">
        <v>8987</v>
      </c>
      <c r="H935" s="20">
        <v>4026</v>
      </c>
      <c r="I935" s="20" t="s">
        <v>9019</v>
      </c>
      <c r="J935" s="20" t="s">
        <v>8953</v>
      </c>
      <c r="K935" s="20" t="s">
        <v>8989</v>
      </c>
      <c r="L935" s="21" t="s">
        <v>8955</v>
      </c>
      <c r="M935" s="20" t="s">
        <v>8956</v>
      </c>
      <c r="N935" s="20" t="s">
        <v>8957</v>
      </c>
      <c r="O935" s="20">
        <f t="shared" si="14"/>
        <v>9</v>
      </c>
      <c r="P935" s="22" t="s">
        <v>8975</v>
      </c>
      <c r="Q935" s="21" t="s">
        <v>9061</v>
      </c>
      <c r="R935" s="23" t="s">
        <v>9246</v>
      </c>
      <c r="S935" s="24" t="s">
        <v>8961</v>
      </c>
      <c r="T935" s="24" t="str">
        <f>VLOOKUP(R935,[1]Sheet3!$A$2:$A$47,1,0)</f>
        <v>Netherlands</v>
      </c>
      <c r="U935" s="24" t="s">
        <v>14500</v>
      </c>
      <c r="V935" s="24" t="s">
        <v>14501</v>
      </c>
      <c r="W935" s="18" t="s">
        <v>8964</v>
      </c>
      <c r="X935" s="26" t="s">
        <v>126</v>
      </c>
      <c r="Y935" s="18" t="s">
        <v>8966</v>
      </c>
      <c r="Z935" s="24" t="s">
        <v>924</v>
      </c>
    </row>
    <row r="936" spans="1:26" ht="20.100000000000001" customHeight="1" x14ac:dyDescent="0.2">
      <c r="B936" s="19" t="s">
        <v>14502</v>
      </c>
      <c r="C936" s="19" t="s">
        <v>14503</v>
      </c>
      <c r="D936" s="8" t="s">
        <v>9605</v>
      </c>
      <c r="E936" s="20" t="s">
        <v>8998</v>
      </c>
      <c r="F936" s="20" t="s">
        <v>9036</v>
      </c>
      <c r="G936" s="20" t="s">
        <v>8987</v>
      </c>
      <c r="H936" s="20">
        <v>7489</v>
      </c>
      <c r="I936" s="20" t="s">
        <v>9019</v>
      </c>
      <c r="J936" s="20" t="s">
        <v>8953</v>
      </c>
      <c r="K936" s="20" t="s">
        <v>8954</v>
      </c>
      <c r="L936" s="21" t="s">
        <v>8955</v>
      </c>
      <c r="M936" s="20" t="s">
        <v>8956</v>
      </c>
      <c r="N936" s="20" t="s">
        <v>8959</v>
      </c>
      <c r="O936" s="20">
        <f t="shared" si="14"/>
        <v>7</v>
      </c>
      <c r="P936" s="22" t="s">
        <v>8958</v>
      </c>
      <c r="Q936" s="21" t="s">
        <v>8959</v>
      </c>
      <c r="R936" s="23" t="s">
        <v>9010</v>
      </c>
      <c r="S936" s="24" t="s">
        <v>14504</v>
      </c>
      <c r="T936" s="24" t="str">
        <f>VLOOKUP(R936,[1]Sheet3!$A$2:$A$47,1,0)</f>
        <v>the United States of America</v>
      </c>
      <c r="U936" s="24" t="s">
        <v>14505</v>
      </c>
      <c r="V936" s="24" t="s">
        <v>14506</v>
      </c>
      <c r="W936" s="18" t="s">
        <v>8964</v>
      </c>
      <c r="X936" s="26" t="s">
        <v>8135</v>
      </c>
      <c r="Y936" s="18" t="s">
        <v>14507</v>
      </c>
      <c r="Z936" s="24" t="s">
        <v>924</v>
      </c>
    </row>
    <row r="937" spans="1:26" ht="20.100000000000001" customHeight="1" x14ac:dyDescent="0.2">
      <c r="A937" s="18" t="s">
        <v>14508</v>
      </c>
      <c r="B937" s="19" t="s">
        <v>14509</v>
      </c>
      <c r="C937" s="19" t="s">
        <v>14510</v>
      </c>
      <c r="D937" s="8" t="s">
        <v>8948</v>
      </c>
      <c r="E937" s="20" t="s">
        <v>8949</v>
      </c>
      <c r="F937" s="20" t="s">
        <v>9041</v>
      </c>
      <c r="G937" s="20" t="s">
        <v>9292</v>
      </c>
      <c r="H937" s="20">
        <v>1870</v>
      </c>
      <c r="I937" s="20" t="s">
        <v>8952</v>
      </c>
      <c r="J937" s="20" t="s">
        <v>8953</v>
      </c>
      <c r="K937" s="20" t="s">
        <v>8989</v>
      </c>
      <c r="L937" s="21" t="s">
        <v>8955</v>
      </c>
      <c r="M937" s="20" t="s">
        <v>8956</v>
      </c>
      <c r="N937" s="20" t="s">
        <v>8959</v>
      </c>
      <c r="O937" s="20">
        <f t="shared" si="14"/>
        <v>2</v>
      </c>
      <c r="P937" s="22" t="s">
        <v>9103</v>
      </c>
      <c r="Q937" s="21" t="s">
        <v>8959</v>
      </c>
      <c r="R937" s="23" t="s">
        <v>9246</v>
      </c>
      <c r="S937" s="24" t="s">
        <v>14511</v>
      </c>
      <c r="T937" s="24" t="str">
        <f>VLOOKUP(R937,[1]Sheet3!$A$2:$A$47,1,0)</f>
        <v>Netherlands</v>
      </c>
      <c r="U937" s="24" t="s">
        <v>14512</v>
      </c>
      <c r="V937" s="24" t="s">
        <v>14513</v>
      </c>
      <c r="W937" s="18" t="s">
        <v>8964</v>
      </c>
      <c r="X937" s="26" t="s">
        <v>2516</v>
      </c>
      <c r="Y937" s="18" t="s">
        <v>14514</v>
      </c>
      <c r="Z937" s="24" t="s">
        <v>924</v>
      </c>
    </row>
    <row r="938" spans="1:26" ht="20.100000000000001" customHeight="1" x14ac:dyDescent="0.2">
      <c r="A938" s="18" t="s">
        <v>14515</v>
      </c>
      <c r="B938" s="19" t="s">
        <v>14516</v>
      </c>
      <c r="C938" s="19" t="s">
        <v>14517</v>
      </c>
      <c r="D938" s="8" t="s">
        <v>8948</v>
      </c>
      <c r="E938" s="20" t="s">
        <v>8949</v>
      </c>
      <c r="F938" s="20" t="s">
        <v>12454</v>
      </c>
      <c r="G938" s="20" t="s">
        <v>9292</v>
      </c>
      <c r="H938" s="20">
        <v>516</v>
      </c>
      <c r="I938" s="20" t="s">
        <v>9077</v>
      </c>
      <c r="J938" s="20" t="s">
        <v>9059</v>
      </c>
      <c r="K938" s="20" t="s">
        <v>8989</v>
      </c>
      <c r="L938" s="21" t="s">
        <v>8955</v>
      </c>
      <c r="M938" s="20" t="s">
        <v>8956</v>
      </c>
      <c r="N938" s="20" t="s">
        <v>8957</v>
      </c>
      <c r="O938" s="20">
        <f t="shared" si="14"/>
        <v>7</v>
      </c>
      <c r="P938" s="22" t="s">
        <v>8958</v>
      </c>
      <c r="Q938" s="21" t="s">
        <v>8959</v>
      </c>
      <c r="R938" s="23" t="s">
        <v>9010</v>
      </c>
      <c r="S938" s="24" t="s">
        <v>14518</v>
      </c>
      <c r="T938" s="24" t="str">
        <f>VLOOKUP(R938,[1]Sheet3!$A$2:$A$47,1,0)</f>
        <v>the United States of America</v>
      </c>
      <c r="U938" s="24" t="s">
        <v>14519</v>
      </c>
      <c r="V938" s="24" t="s">
        <v>14520</v>
      </c>
      <c r="W938" s="18" t="s">
        <v>8964</v>
      </c>
      <c r="X938" s="26" t="s">
        <v>3200</v>
      </c>
      <c r="Y938" s="18" t="s">
        <v>14521</v>
      </c>
      <c r="Z938" s="24" t="s">
        <v>924</v>
      </c>
    </row>
    <row r="939" spans="1:26" ht="20.100000000000001" customHeight="1" x14ac:dyDescent="0.2">
      <c r="A939" s="18" t="s">
        <v>14522</v>
      </c>
      <c r="B939" s="19" t="s">
        <v>14523</v>
      </c>
      <c r="C939" s="19" t="s">
        <v>14524</v>
      </c>
      <c r="D939" s="8" t="s">
        <v>8948</v>
      </c>
      <c r="E939" s="20" t="s">
        <v>8949</v>
      </c>
      <c r="F939" s="20" t="s">
        <v>12653</v>
      </c>
      <c r="G939" s="20" t="s">
        <v>8987</v>
      </c>
      <c r="H939" s="20">
        <v>147</v>
      </c>
      <c r="I939" s="20" t="s">
        <v>9158</v>
      </c>
      <c r="J939" s="20" t="s">
        <v>9059</v>
      </c>
      <c r="K939" s="20" t="s">
        <v>8989</v>
      </c>
      <c r="L939" s="21" t="s">
        <v>8955</v>
      </c>
      <c r="M939" s="20" t="s">
        <v>8956</v>
      </c>
      <c r="N939" s="20" t="s">
        <v>8957</v>
      </c>
      <c r="O939" s="20">
        <f t="shared" si="14"/>
        <v>4</v>
      </c>
      <c r="P939" s="22" t="s">
        <v>8958</v>
      </c>
      <c r="Q939" s="21" t="s">
        <v>8959</v>
      </c>
      <c r="R939" s="23" t="s">
        <v>9213</v>
      </c>
      <c r="S939" s="24" t="s">
        <v>9711</v>
      </c>
      <c r="T939" s="24" t="str">
        <f>VLOOKUP(R939,[1]Sheet3!$A$2:$A$47,1,0)</f>
        <v>South Korea</v>
      </c>
      <c r="U939" s="24" t="s">
        <v>14525</v>
      </c>
      <c r="V939" s="24" t="s">
        <v>14526</v>
      </c>
      <c r="W939" s="18" t="s">
        <v>8964</v>
      </c>
      <c r="X939" s="26" t="s">
        <v>392</v>
      </c>
      <c r="Y939" s="18" t="s">
        <v>9714</v>
      </c>
      <c r="Z939" s="24" t="s">
        <v>242</v>
      </c>
    </row>
    <row r="940" spans="1:26" ht="20.100000000000001" customHeight="1" x14ac:dyDescent="0.2">
      <c r="A940" s="18" t="s">
        <v>14527</v>
      </c>
      <c r="B940" s="19" t="s">
        <v>14528</v>
      </c>
      <c r="C940" s="19" t="s">
        <v>14529</v>
      </c>
      <c r="D940" s="8" t="s">
        <v>9075</v>
      </c>
      <c r="E940" s="20" t="s">
        <v>9269</v>
      </c>
      <c r="F940" s="20" t="s">
        <v>9036</v>
      </c>
      <c r="G940" s="20" t="s">
        <v>8973</v>
      </c>
      <c r="H940" s="20">
        <v>53</v>
      </c>
      <c r="I940" s="20" t="s">
        <v>9008</v>
      </c>
      <c r="J940" s="20" t="s">
        <v>8953</v>
      </c>
      <c r="K940" s="20" t="s">
        <v>8989</v>
      </c>
      <c r="L940" s="21" t="s">
        <v>8955</v>
      </c>
      <c r="M940" s="20" t="s">
        <v>8956</v>
      </c>
      <c r="N940" s="20" t="s">
        <v>8957</v>
      </c>
      <c r="O940" s="20">
        <f t="shared" si="14"/>
        <v>6</v>
      </c>
      <c r="P940" s="22" t="s">
        <v>8958</v>
      </c>
      <c r="Q940" s="21" t="s">
        <v>8959</v>
      </c>
      <c r="R940" s="23" t="s">
        <v>8991</v>
      </c>
      <c r="S940" s="24" t="s">
        <v>12023</v>
      </c>
      <c r="T940" s="24" t="str">
        <f>VLOOKUP(R940,[1]Sheet3!$A$2:$A$47,1,0)</f>
        <v>China</v>
      </c>
      <c r="U940" s="25" t="s">
        <v>14530</v>
      </c>
      <c r="V940" s="24" t="s">
        <v>14531</v>
      </c>
      <c r="W940" s="18" t="s">
        <v>8964</v>
      </c>
      <c r="X940" s="26" t="s">
        <v>1076</v>
      </c>
      <c r="Y940" s="18" t="s">
        <v>12026</v>
      </c>
      <c r="Z940" s="24" t="s">
        <v>924</v>
      </c>
    </row>
    <row r="941" spans="1:26" ht="20.100000000000001" customHeight="1" x14ac:dyDescent="0.2">
      <c r="A941" s="18" t="s">
        <v>14532</v>
      </c>
      <c r="B941" s="19" t="s">
        <v>14533</v>
      </c>
      <c r="C941" s="19" t="s">
        <v>14534</v>
      </c>
      <c r="D941" s="8" t="s">
        <v>8948</v>
      </c>
      <c r="E941" s="20" t="s">
        <v>9155</v>
      </c>
      <c r="F941" s="20" t="s">
        <v>12818</v>
      </c>
      <c r="G941" s="20" t="s">
        <v>9133</v>
      </c>
      <c r="H941" s="20">
        <v>258</v>
      </c>
      <c r="I941" s="20" t="s">
        <v>8988</v>
      </c>
      <c r="J941" s="20" t="s">
        <v>9059</v>
      </c>
      <c r="K941" s="20" t="s">
        <v>8989</v>
      </c>
      <c r="L941" s="21" t="s">
        <v>8955</v>
      </c>
      <c r="M941" s="20" t="s">
        <v>8956</v>
      </c>
      <c r="N941" s="20" t="s">
        <v>8957</v>
      </c>
      <c r="O941" s="20">
        <f t="shared" si="14"/>
        <v>6</v>
      </c>
      <c r="P941" s="22" t="s">
        <v>8958</v>
      </c>
      <c r="Q941" s="21" t="s">
        <v>8959</v>
      </c>
      <c r="R941" s="23" t="s">
        <v>9010</v>
      </c>
      <c r="S941" s="24" t="s">
        <v>8992</v>
      </c>
      <c r="T941" s="24" t="str">
        <f>VLOOKUP(R941,[1]Sheet3!$A$2:$A$47,1,0)</f>
        <v>the United States of America</v>
      </c>
      <c r="U941" s="24" t="s">
        <v>14535</v>
      </c>
      <c r="V941" s="24" t="s">
        <v>14536</v>
      </c>
      <c r="W941" s="18" t="s">
        <v>8964</v>
      </c>
      <c r="X941" s="26" t="s">
        <v>27</v>
      </c>
      <c r="Y941" s="18" t="s">
        <v>8994</v>
      </c>
      <c r="Z941" s="24" t="s">
        <v>924</v>
      </c>
    </row>
    <row r="942" spans="1:26" ht="20.100000000000001" customHeight="1" x14ac:dyDescent="0.2">
      <c r="A942" s="18" t="s">
        <v>14537</v>
      </c>
      <c r="B942" s="19" t="s">
        <v>14538</v>
      </c>
      <c r="C942" s="19" t="s">
        <v>14539</v>
      </c>
      <c r="D942" s="8" t="s">
        <v>9075</v>
      </c>
      <c r="E942" s="20" t="s">
        <v>9269</v>
      </c>
      <c r="F942" s="20" t="s">
        <v>8950</v>
      </c>
      <c r="G942" s="20" t="s">
        <v>8973</v>
      </c>
      <c r="H942" s="20">
        <v>1400</v>
      </c>
      <c r="I942" s="20" t="s">
        <v>9158</v>
      </c>
      <c r="J942" s="20" t="s">
        <v>8953</v>
      </c>
      <c r="K942" s="20" t="s">
        <v>8989</v>
      </c>
      <c r="L942" s="21" t="s">
        <v>8955</v>
      </c>
      <c r="M942" s="20" t="s">
        <v>8956</v>
      </c>
      <c r="N942" s="20" t="s">
        <v>8957</v>
      </c>
      <c r="O942" s="20">
        <f t="shared" si="14"/>
        <v>8</v>
      </c>
      <c r="P942" s="22" t="s">
        <v>8975</v>
      </c>
      <c r="Q942" s="21" t="s">
        <v>9009</v>
      </c>
      <c r="R942" s="23" t="s">
        <v>9310</v>
      </c>
      <c r="S942" s="24" t="s">
        <v>10836</v>
      </c>
      <c r="T942" s="24" t="str">
        <f>VLOOKUP(R942,[1]Sheet3!$A$2:$A$47,1,0)</f>
        <v>China</v>
      </c>
      <c r="U942" s="25" t="s">
        <v>14540</v>
      </c>
      <c r="V942" s="24" t="s">
        <v>14541</v>
      </c>
      <c r="W942" s="18" t="s">
        <v>8964</v>
      </c>
      <c r="X942" s="26" t="s">
        <v>10839</v>
      </c>
      <c r="Y942" s="18" t="s">
        <v>10840</v>
      </c>
      <c r="Z942" s="24" t="s">
        <v>929</v>
      </c>
    </row>
    <row r="943" spans="1:26" ht="20.100000000000001" customHeight="1" x14ac:dyDescent="0.2">
      <c r="A943" s="18" t="s">
        <v>14542</v>
      </c>
      <c r="B943" s="19" t="s">
        <v>14543</v>
      </c>
      <c r="C943" s="19" t="s">
        <v>14544</v>
      </c>
      <c r="D943" s="8" t="s">
        <v>8948</v>
      </c>
      <c r="E943" s="20" t="s">
        <v>9155</v>
      </c>
      <c r="F943" s="20" t="s">
        <v>8950</v>
      </c>
      <c r="G943" s="20" t="s">
        <v>8973</v>
      </c>
      <c r="H943" s="20">
        <f>1440+640+600</f>
        <v>2680</v>
      </c>
      <c r="I943" s="20" t="s">
        <v>8952</v>
      </c>
      <c r="J943" s="20" t="s">
        <v>8953</v>
      </c>
      <c r="K943" s="20" t="s">
        <v>8989</v>
      </c>
      <c r="L943" s="21" t="s">
        <v>8955</v>
      </c>
      <c r="M943" s="20" t="s">
        <v>8956</v>
      </c>
      <c r="N943" s="20" t="s">
        <v>8957</v>
      </c>
      <c r="O943" s="20">
        <f t="shared" si="14"/>
        <v>7</v>
      </c>
      <c r="P943" s="22" t="s">
        <v>8958</v>
      </c>
      <c r="Q943" s="21" t="s">
        <v>8959</v>
      </c>
      <c r="R943" s="23" t="s">
        <v>9010</v>
      </c>
      <c r="S943" s="24" t="s">
        <v>9711</v>
      </c>
      <c r="T943" s="24" t="str">
        <f>VLOOKUP(R943,[1]Sheet3!$A$2:$A$47,1,0)</f>
        <v>the United States of America</v>
      </c>
      <c r="U943" s="24" t="s">
        <v>14545</v>
      </c>
      <c r="V943" s="24" t="s">
        <v>14546</v>
      </c>
      <c r="W943" s="18" t="s">
        <v>8964</v>
      </c>
      <c r="X943" s="26" t="s">
        <v>392</v>
      </c>
      <c r="Y943" s="18" t="s">
        <v>9714</v>
      </c>
      <c r="Z943" s="24" t="s">
        <v>924</v>
      </c>
    </row>
    <row r="944" spans="1:26" ht="20.100000000000001" customHeight="1" x14ac:dyDescent="0.2">
      <c r="A944" s="18" t="s">
        <v>14547</v>
      </c>
      <c r="B944" s="19" t="s">
        <v>14548</v>
      </c>
      <c r="C944" s="19" t="s">
        <v>14549</v>
      </c>
      <c r="D944" s="8" t="s">
        <v>8948</v>
      </c>
      <c r="E944" s="20" t="s">
        <v>9155</v>
      </c>
      <c r="F944" s="20" t="s">
        <v>14550</v>
      </c>
      <c r="G944" s="20" t="s">
        <v>9292</v>
      </c>
      <c r="H944" s="20">
        <v>447</v>
      </c>
      <c r="I944" s="20" t="s">
        <v>8988</v>
      </c>
      <c r="J944" s="20" t="s">
        <v>9059</v>
      </c>
      <c r="K944" s="20" t="s">
        <v>8989</v>
      </c>
      <c r="L944" s="21" t="s">
        <v>8955</v>
      </c>
      <c r="M944" s="20" t="s">
        <v>8956</v>
      </c>
      <c r="N944" s="20" t="s">
        <v>8957</v>
      </c>
      <c r="O944" s="20">
        <f t="shared" si="14"/>
        <v>4</v>
      </c>
      <c r="P944" s="22" t="s">
        <v>8958</v>
      </c>
      <c r="Q944" s="21" t="s">
        <v>8959</v>
      </c>
      <c r="R944" s="23" t="s">
        <v>9010</v>
      </c>
      <c r="S944" s="24" t="s">
        <v>9741</v>
      </c>
      <c r="T944" s="24" t="str">
        <f>VLOOKUP(R944,[1]Sheet3!$A$2:$A$47,1,0)</f>
        <v>the United States of America</v>
      </c>
      <c r="U944" s="24" t="s">
        <v>14551</v>
      </c>
      <c r="V944" s="24" t="s">
        <v>14552</v>
      </c>
      <c r="W944" s="18" t="s">
        <v>8964</v>
      </c>
      <c r="X944" s="26" t="s">
        <v>921</v>
      </c>
      <c r="Y944" s="18" t="s">
        <v>9744</v>
      </c>
      <c r="Z944" s="24" t="s">
        <v>929</v>
      </c>
    </row>
    <row r="945" spans="1:26" ht="20.100000000000001" customHeight="1" x14ac:dyDescent="0.2">
      <c r="A945" s="18" t="s">
        <v>14553</v>
      </c>
      <c r="B945" s="19" t="s">
        <v>14554</v>
      </c>
      <c r="C945" s="19" t="s">
        <v>14555</v>
      </c>
      <c r="D945" s="8" t="s">
        <v>8948</v>
      </c>
      <c r="E945" s="20" t="s">
        <v>8949</v>
      </c>
      <c r="F945" s="20" t="s">
        <v>9726</v>
      </c>
      <c r="G945" s="20" t="s">
        <v>9076</v>
      </c>
      <c r="H945" s="20">
        <f>474*3</f>
        <v>1422</v>
      </c>
      <c r="I945" s="20" t="s">
        <v>8952</v>
      </c>
      <c r="J945" s="20" t="s">
        <v>8953</v>
      </c>
      <c r="K945" s="20" t="s">
        <v>8989</v>
      </c>
      <c r="L945" s="21" t="s">
        <v>8955</v>
      </c>
      <c r="M945" s="20" t="s">
        <v>8956</v>
      </c>
      <c r="N945" s="20" t="s">
        <v>8957</v>
      </c>
      <c r="O945" s="20">
        <f t="shared" si="14"/>
        <v>5</v>
      </c>
      <c r="P945" s="22" t="s">
        <v>8958</v>
      </c>
      <c r="Q945" s="21" t="s">
        <v>8959</v>
      </c>
      <c r="R945" s="23" t="s">
        <v>9380</v>
      </c>
      <c r="S945" s="24" t="s">
        <v>9741</v>
      </c>
      <c r="T945" s="24" t="str">
        <f>VLOOKUP(R945,[1]Sheet3!$A$2:$A$47,1,0)</f>
        <v>Canada</v>
      </c>
      <c r="U945" s="24" t="s">
        <v>14556</v>
      </c>
      <c r="V945" s="24" t="s">
        <v>14557</v>
      </c>
      <c r="W945" s="18" t="s">
        <v>8964</v>
      </c>
      <c r="X945" s="26" t="s">
        <v>921</v>
      </c>
      <c r="Y945" s="18" t="s">
        <v>9744</v>
      </c>
      <c r="Z945" s="24" t="s">
        <v>929</v>
      </c>
    </row>
    <row r="946" spans="1:26" ht="20.100000000000001" customHeight="1" x14ac:dyDescent="0.2">
      <c r="A946" s="18" t="s">
        <v>14558</v>
      </c>
      <c r="B946" s="19" t="s">
        <v>14559</v>
      </c>
      <c r="C946" s="19" t="s">
        <v>14560</v>
      </c>
      <c r="D946" s="8" t="s">
        <v>8948</v>
      </c>
      <c r="E946" s="20" t="s">
        <v>8949</v>
      </c>
      <c r="F946" s="20" t="s">
        <v>12454</v>
      </c>
      <c r="G946" s="20" t="s">
        <v>8973</v>
      </c>
      <c r="H946" s="20">
        <f>1440*4+640*4</f>
        <v>8320</v>
      </c>
      <c r="I946" s="20" t="s">
        <v>9019</v>
      </c>
      <c r="J946" s="20" t="s">
        <v>8953</v>
      </c>
      <c r="K946" s="20" t="s">
        <v>8989</v>
      </c>
      <c r="L946" s="21" t="s">
        <v>8955</v>
      </c>
      <c r="M946" s="20" t="s">
        <v>8956</v>
      </c>
      <c r="N946" s="20" t="s">
        <v>8957</v>
      </c>
      <c r="O946" s="20">
        <f t="shared" si="14"/>
        <v>7</v>
      </c>
      <c r="P946" s="22" t="s">
        <v>8958</v>
      </c>
      <c r="Q946" s="21" t="s">
        <v>9061</v>
      </c>
      <c r="R946" s="23" t="s">
        <v>9010</v>
      </c>
      <c r="S946" s="24" t="s">
        <v>9741</v>
      </c>
      <c r="T946" s="24" t="str">
        <f>VLOOKUP(R946,[1]Sheet3!$A$2:$A$47,1,0)</f>
        <v>the United States of America</v>
      </c>
      <c r="U946" s="24" t="s">
        <v>14561</v>
      </c>
      <c r="V946" s="24" t="s">
        <v>14562</v>
      </c>
      <c r="W946" s="18" t="s">
        <v>8964</v>
      </c>
      <c r="X946" s="26" t="s">
        <v>921</v>
      </c>
      <c r="Y946" s="18" t="s">
        <v>9744</v>
      </c>
      <c r="Z946" s="24" t="s">
        <v>929</v>
      </c>
    </row>
    <row r="947" spans="1:26" ht="20.100000000000001" customHeight="1" x14ac:dyDescent="0.2">
      <c r="A947" s="18" t="s">
        <v>14563</v>
      </c>
      <c r="B947" s="19" t="s">
        <v>14564</v>
      </c>
      <c r="C947" s="19" t="s">
        <v>14565</v>
      </c>
      <c r="D947" s="8" t="s">
        <v>8948</v>
      </c>
      <c r="E947" s="20" t="s">
        <v>9155</v>
      </c>
      <c r="F947" s="20" t="s">
        <v>14566</v>
      </c>
      <c r="G947" s="20" t="s">
        <v>9133</v>
      </c>
      <c r="H947" s="20">
        <f>1106+758</f>
        <v>1864</v>
      </c>
      <c r="I947" s="20" t="s">
        <v>8952</v>
      </c>
      <c r="J947" s="20" t="s">
        <v>9059</v>
      </c>
      <c r="K947" s="20" t="s">
        <v>8954</v>
      </c>
      <c r="L947" s="21" t="s">
        <v>8955</v>
      </c>
      <c r="M947" s="20" t="s">
        <v>8956</v>
      </c>
      <c r="N947" s="20" t="s">
        <v>8957</v>
      </c>
      <c r="O947" s="20">
        <f t="shared" si="14"/>
        <v>9</v>
      </c>
      <c r="P947" s="22" t="s">
        <v>8975</v>
      </c>
      <c r="Q947" s="21" t="s">
        <v>9009</v>
      </c>
      <c r="R947" s="23" t="s">
        <v>9176</v>
      </c>
      <c r="S947" s="24" t="s">
        <v>12023</v>
      </c>
      <c r="T947" s="24" t="str">
        <f>VLOOKUP(R947,[1]Sheet3!$A$2:$A$47,1,0)</f>
        <v>Australia</v>
      </c>
      <c r="U947" s="24" t="s">
        <v>14567</v>
      </c>
      <c r="V947" s="24" t="s">
        <v>14568</v>
      </c>
      <c r="W947" s="18" t="s">
        <v>8964</v>
      </c>
      <c r="X947" s="26" t="s">
        <v>1076</v>
      </c>
      <c r="Y947" s="18" t="s">
        <v>12026</v>
      </c>
      <c r="Z947" s="24" t="s">
        <v>924</v>
      </c>
    </row>
    <row r="948" spans="1:26" ht="20.100000000000001" customHeight="1" x14ac:dyDescent="0.2">
      <c r="A948" s="18" t="s">
        <v>14569</v>
      </c>
      <c r="B948" s="19" t="s">
        <v>14570</v>
      </c>
      <c r="C948" s="19" t="s">
        <v>14571</v>
      </c>
      <c r="D948" s="8" t="s">
        <v>9605</v>
      </c>
      <c r="E948" s="20" t="s">
        <v>8949</v>
      </c>
      <c r="F948" s="20" t="s">
        <v>10511</v>
      </c>
      <c r="G948" s="20" t="s">
        <v>8987</v>
      </c>
      <c r="H948" s="20">
        <v>356</v>
      </c>
      <c r="I948" s="20" t="s">
        <v>8988</v>
      </c>
      <c r="J948" s="20" t="s">
        <v>8953</v>
      </c>
      <c r="K948" s="20" t="s">
        <v>8954</v>
      </c>
      <c r="L948" s="21" t="s">
        <v>8955</v>
      </c>
      <c r="M948" s="20" t="s">
        <v>8956</v>
      </c>
      <c r="N948" s="20" t="s">
        <v>8957</v>
      </c>
      <c r="O948" s="20">
        <f t="shared" si="14"/>
        <v>2</v>
      </c>
      <c r="P948" s="22" t="s">
        <v>9103</v>
      </c>
      <c r="Q948" s="21" t="s">
        <v>9061</v>
      </c>
      <c r="R948" s="23" t="s">
        <v>9380</v>
      </c>
      <c r="S948" s="24" t="s">
        <v>14572</v>
      </c>
      <c r="T948" s="24" t="str">
        <f>VLOOKUP(R948,[1]Sheet3!$A$2:$A$47,1,0)</f>
        <v>Canada</v>
      </c>
      <c r="U948" s="24" t="s">
        <v>14573</v>
      </c>
      <c r="V948" s="24" t="s">
        <v>14574</v>
      </c>
      <c r="W948" s="18" t="s">
        <v>8964</v>
      </c>
      <c r="X948" s="26" t="s">
        <v>925</v>
      </c>
      <c r="Y948" s="18" t="s">
        <v>14575</v>
      </c>
      <c r="Z948" s="24" t="s">
        <v>924</v>
      </c>
    </row>
    <row r="949" spans="1:26" ht="20.100000000000001" customHeight="1" x14ac:dyDescent="0.2">
      <c r="A949" s="18" t="s">
        <v>14576</v>
      </c>
      <c r="B949" s="19" t="s">
        <v>14577</v>
      </c>
      <c r="C949" s="19" t="s">
        <v>14578</v>
      </c>
      <c r="D949" s="8" t="s">
        <v>8948</v>
      </c>
      <c r="E949" s="20" t="s">
        <v>9155</v>
      </c>
      <c r="F949" s="20" t="s">
        <v>8950</v>
      </c>
      <c r="G949" s="20" t="s">
        <v>9133</v>
      </c>
      <c r="H949" s="20">
        <v>830</v>
      </c>
      <c r="I949" s="20" t="s">
        <v>9077</v>
      </c>
      <c r="J949" s="20" t="s">
        <v>9059</v>
      </c>
      <c r="K949" s="20" t="s">
        <v>8989</v>
      </c>
      <c r="L949" s="21" t="s">
        <v>8955</v>
      </c>
      <c r="M949" s="20" t="s">
        <v>8956</v>
      </c>
      <c r="N949" s="20" t="s">
        <v>8957</v>
      </c>
      <c r="O949" s="20">
        <f t="shared" si="14"/>
        <v>7</v>
      </c>
      <c r="P949" s="22" t="s">
        <v>8958</v>
      </c>
      <c r="Q949" s="21" t="s">
        <v>8959</v>
      </c>
      <c r="R949" s="23" t="s">
        <v>9010</v>
      </c>
      <c r="S949" s="24" t="s">
        <v>9741</v>
      </c>
      <c r="T949" s="24" t="str">
        <f>VLOOKUP(R949,[1]Sheet3!$A$2:$A$47,1,0)</f>
        <v>the United States of America</v>
      </c>
      <c r="U949" s="24" t="s">
        <v>14579</v>
      </c>
      <c r="V949" s="24" t="s">
        <v>14580</v>
      </c>
      <c r="W949" s="18" t="s">
        <v>8964</v>
      </c>
      <c r="X949" s="26" t="s">
        <v>921</v>
      </c>
      <c r="Y949" s="18" t="s">
        <v>9744</v>
      </c>
      <c r="Z949" s="24" t="s">
        <v>929</v>
      </c>
    </row>
    <row r="950" spans="1:26" ht="20.100000000000001" customHeight="1" x14ac:dyDescent="0.2">
      <c r="A950" s="18" t="s">
        <v>14581</v>
      </c>
      <c r="B950" s="19" t="s">
        <v>14582</v>
      </c>
      <c r="C950" s="19" t="s">
        <v>14583</v>
      </c>
      <c r="D950" s="8" t="s">
        <v>9605</v>
      </c>
      <c r="E950" s="20" t="s">
        <v>9155</v>
      </c>
      <c r="F950" s="20" t="s">
        <v>9726</v>
      </c>
      <c r="G950" s="20" t="s">
        <v>8987</v>
      </c>
      <c r="H950" s="20">
        <f>29+175+169+145+145+145+25+17+30+245</f>
        <v>1125</v>
      </c>
      <c r="I950" s="20" t="s">
        <v>8952</v>
      </c>
      <c r="J950" s="20" t="s">
        <v>8953</v>
      </c>
      <c r="K950" s="20" t="s">
        <v>8954</v>
      </c>
      <c r="L950" s="21" t="s">
        <v>8955</v>
      </c>
      <c r="M950" s="20" t="s">
        <v>8956</v>
      </c>
      <c r="N950" s="20" t="s">
        <v>8957</v>
      </c>
      <c r="O950" s="20">
        <f t="shared" si="14"/>
        <v>4</v>
      </c>
      <c r="P950" s="22" t="s">
        <v>8958</v>
      </c>
      <c r="Q950" s="21" t="s">
        <v>8959</v>
      </c>
      <c r="R950" s="23" t="s">
        <v>9310</v>
      </c>
      <c r="S950" s="24" t="s">
        <v>14584</v>
      </c>
      <c r="T950" s="24" t="str">
        <f>VLOOKUP(R950,[1]Sheet3!$A$2:$A$47,1,0)</f>
        <v>China</v>
      </c>
      <c r="U950" s="25" t="s">
        <v>14585</v>
      </c>
      <c r="V950" s="24" t="s">
        <v>14586</v>
      </c>
      <c r="W950" s="18" t="s">
        <v>8964</v>
      </c>
      <c r="X950" s="26" t="s">
        <v>2204</v>
      </c>
      <c r="Y950" s="18" t="s">
        <v>14587</v>
      </c>
      <c r="Z950" s="24" t="s">
        <v>924</v>
      </c>
    </row>
    <row r="951" spans="1:26" ht="20.100000000000001" customHeight="1" x14ac:dyDescent="0.2">
      <c r="A951" s="18" t="s">
        <v>14588</v>
      </c>
      <c r="B951" s="19" t="s">
        <v>14589</v>
      </c>
      <c r="C951" s="19" t="s">
        <v>14590</v>
      </c>
      <c r="D951" s="8" t="s">
        <v>8948</v>
      </c>
      <c r="E951" s="20" t="s">
        <v>9155</v>
      </c>
      <c r="F951" s="20" t="s">
        <v>13483</v>
      </c>
      <c r="G951" s="20" t="s">
        <v>8987</v>
      </c>
      <c r="H951" s="20">
        <v>398</v>
      </c>
      <c r="I951" s="20" t="s">
        <v>8988</v>
      </c>
      <c r="J951" s="20" t="s">
        <v>9059</v>
      </c>
      <c r="K951" s="20" t="s">
        <v>8989</v>
      </c>
      <c r="L951" s="21" t="s">
        <v>8955</v>
      </c>
      <c r="M951" s="20" t="s">
        <v>8956</v>
      </c>
      <c r="N951" s="20" t="s">
        <v>8957</v>
      </c>
      <c r="O951" s="20">
        <f t="shared" si="14"/>
        <v>4</v>
      </c>
      <c r="P951" s="22" t="s">
        <v>8958</v>
      </c>
      <c r="Q951" s="21" t="s">
        <v>9061</v>
      </c>
      <c r="R951" s="23" t="s">
        <v>9010</v>
      </c>
      <c r="S951" s="24" t="s">
        <v>9711</v>
      </c>
      <c r="T951" s="24" t="str">
        <f>VLOOKUP(R951,[1]Sheet3!$A$2:$A$47,1,0)</f>
        <v>the United States of America</v>
      </c>
      <c r="U951" s="24" t="s">
        <v>14591</v>
      </c>
      <c r="V951" s="24" t="s">
        <v>14117</v>
      </c>
      <c r="W951" s="18" t="s">
        <v>8964</v>
      </c>
      <c r="X951" s="26" t="s">
        <v>392</v>
      </c>
      <c r="Y951" s="18" t="s">
        <v>9714</v>
      </c>
      <c r="Z951" s="24" t="s">
        <v>929</v>
      </c>
    </row>
    <row r="952" spans="1:26" ht="20.100000000000001" customHeight="1" x14ac:dyDescent="0.2">
      <c r="A952" s="18" t="s">
        <v>14592</v>
      </c>
      <c r="B952" s="19" t="s">
        <v>14593</v>
      </c>
      <c r="C952" s="19" t="s">
        <v>14594</v>
      </c>
      <c r="D952" s="8" t="s">
        <v>8948</v>
      </c>
      <c r="E952" s="20" t="s">
        <v>8949</v>
      </c>
      <c r="F952" s="20" t="s">
        <v>8950</v>
      </c>
      <c r="G952" s="20" t="s">
        <v>8951</v>
      </c>
      <c r="H952" s="20">
        <v>163</v>
      </c>
      <c r="I952" s="20" t="s">
        <v>9158</v>
      </c>
      <c r="J952" s="20" t="s">
        <v>8953</v>
      </c>
      <c r="K952" s="20" t="s">
        <v>8989</v>
      </c>
      <c r="L952" s="21" t="s">
        <v>8955</v>
      </c>
      <c r="M952" s="20" t="s">
        <v>8956</v>
      </c>
      <c r="N952" s="20" t="s">
        <v>8957</v>
      </c>
      <c r="O952" s="20">
        <f t="shared" si="14"/>
        <v>6</v>
      </c>
      <c r="P952" s="22" t="s">
        <v>8958</v>
      </c>
      <c r="Q952" s="21" t="s">
        <v>9061</v>
      </c>
      <c r="R952" s="23" t="s">
        <v>9010</v>
      </c>
      <c r="S952" s="24" t="s">
        <v>9741</v>
      </c>
      <c r="T952" s="24" t="str">
        <f>VLOOKUP(R952,[1]Sheet3!$A$2:$A$47,1,0)</f>
        <v>the United States of America</v>
      </c>
      <c r="U952" s="24" t="s">
        <v>14595</v>
      </c>
      <c r="V952" s="24" t="s">
        <v>14596</v>
      </c>
      <c r="W952" s="18" t="s">
        <v>8964</v>
      </c>
      <c r="X952" s="26" t="s">
        <v>921</v>
      </c>
      <c r="Y952" s="18" t="s">
        <v>9744</v>
      </c>
      <c r="Z952" s="24" t="s">
        <v>920</v>
      </c>
    </row>
    <row r="953" spans="1:26" ht="20.100000000000001" customHeight="1" x14ac:dyDescent="0.2">
      <c r="A953" s="18" t="s">
        <v>14597</v>
      </c>
      <c r="B953" s="19" t="s">
        <v>14598</v>
      </c>
      <c r="C953" s="19" t="s">
        <v>14599</v>
      </c>
      <c r="D953" s="8" t="s">
        <v>8948</v>
      </c>
      <c r="E953" s="20" t="s">
        <v>8949</v>
      </c>
      <c r="F953" s="20" t="s">
        <v>14305</v>
      </c>
      <c r="G953" s="20" t="s">
        <v>9292</v>
      </c>
      <c r="H953" s="20">
        <v>300</v>
      </c>
      <c r="I953" s="20" t="s">
        <v>8988</v>
      </c>
      <c r="J953" s="20" t="s">
        <v>8953</v>
      </c>
      <c r="K953" s="20" t="s">
        <v>8989</v>
      </c>
      <c r="L953" s="21" t="s">
        <v>8955</v>
      </c>
      <c r="M953" s="20" t="s">
        <v>8956</v>
      </c>
      <c r="N953" s="20" t="s">
        <v>8957</v>
      </c>
      <c r="O953" s="20">
        <f t="shared" si="14"/>
        <v>3</v>
      </c>
      <c r="P953" s="22" t="s">
        <v>9103</v>
      </c>
      <c r="Q953" s="21" t="s">
        <v>8959</v>
      </c>
      <c r="R953" s="23" t="s">
        <v>9380</v>
      </c>
      <c r="S953" s="24" t="s">
        <v>9741</v>
      </c>
      <c r="T953" s="24" t="str">
        <f>VLOOKUP(R953,[1]Sheet3!$A$2:$A$47,1,0)</f>
        <v>Canada</v>
      </c>
      <c r="U953" s="24" t="s">
        <v>14600</v>
      </c>
      <c r="V953" s="24" t="s">
        <v>14601</v>
      </c>
      <c r="W953" s="18" t="s">
        <v>8964</v>
      </c>
      <c r="X953" s="26" t="s">
        <v>921</v>
      </c>
      <c r="Y953" s="18" t="s">
        <v>9744</v>
      </c>
      <c r="Z953" s="24" t="s">
        <v>920</v>
      </c>
    </row>
    <row r="954" spans="1:26" ht="20.100000000000001" customHeight="1" x14ac:dyDescent="0.2">
      <c r="A954" s="18" t="s">
        <v>14602</v>
      </c>
      <c r="B954" s="19" t="s">
        <v>14603</v>
      </c>
      <c r="C954" s="19" t="s">
        <v>14604</v>
      </c>
      <c r="D954" s="8" t="s">
        <v>8948</v>
      </c>
      <c r="E954" s="20" t="s">
        <v>9155</v>
      </c>
      <c r="F954" s="20" t="s">
        <v>12454</v>
      </c>
      <c r="G954" s="20" t="s">
        <v>8987</v>
      </c>
      <c r="H954" s="20">
        <v>202</v>
      </c>
      <c r="I954" s="20" t="s">
        <v>9158</v>
      </c>
      <c r="J954" s="20" t="s">
        <v>9059</v>
      </c>
      <c r="K954" s="20" t="s">
        <v>8989</v>
      </c>
      <c r="L954" s="21" t="s">
        <v>8955</v>
      </c>
      <c r="M954" s="20" t="s">
        <v>8956</v>
      </c>
      <c r="N954" s="20" t="s">
        <v>8959</v>
      </c>
      <c r="O954" s="20">
        <f t="shared" si="14"/>
        <v>2</v>
      </c>
      <c r="P954" s="22" t="s">
        <v>9103</v>
      </c>
      <c r="Q954" s="21" t="s">
        <v>9061</v>
      </c>
      <c r="R954" s="23" t="s">
        <v>9010</v>
      </c>
      <c r="S954" s="24" t="s">
        <v>9741</v>
      </c>
      <c r="T954" s="24" t="str">
        <f>VLOOKUP(R954,[1]Sheet3!$A$2:$A$47,1,0)</f>
        <v>the United States of America</v>
      </c>
      <c r="U954" s="24" t="s">
        <v>14605</v>
      </c>
      <c r="V954" s="24" t="s">
        <v>14606</v>
      </c>
      <c r="W954" s="18" t="s">
        <v>8964</v>
      </c>
      <c r="X954" s="26" t="s">
        <v>921</v>
      </c>
      <c r="Y954" s="18" t="s">
        <v>9744</v>
      </c>
      <c r="Z954" s="24" t="s">
        <v>920</v>
      </c>
    </row>
    <row r="955" spans="1:26" ht="20.100000000000001" customHeight="1" x14ac:dyDescent="0.2">
      <c r="A955" s="18" t="s">
        <v>14607</v>
      </c>
      <c r="B955" s="19" t="s">
        <v>14608</v>
      </c>
      <c r="C955" s="19" t="s">
        <v>14609</v>
      </c>
      <c r="D955" s="8" t="s">
        <v>9173</v>
      </c>
      <c r="E955" s="20" t="s">
        <v>9269</v>
      </c>
      <c r="F955" s="20" t="s">
        <v>14062</v>
      </c>
      <c r="G955" s="20" t="s">
        <v>8951</v>
      </c>
      <c r="H955" s="20">
        <v>308</v>
      </c>
      <c r="I955" s="20" t="s">
        <v>8952</v>
      </c>
      <c r="J955" s="20" t="s">
        <v>8953</v>
      </c>
      <c r="K955" s="20" t="s">
        <v>8954</v>
      </c>
      <c r="L955" s="21" t="s">
        <v>8955</v>
      </c>
      <c r="M955" s="20" t="s">
        <v>8956</v>
      </c>
      <c r="N955" s="20" t="s">
        <v>8957</v>
      </c>
      <c r="O955" s="20">
        <f t="shared" si="14"/>
        <v>4</v>
      </c>
      <c r="P955" s="22" t="s">
        <v>8958</v>
      </c>
      <c r="Q955" s="21" t="s">
        <v>8959</v>
      </c>
      <c r="R955" s="23" t="s">
        <v>9327</v>
      </c>
      <c r="S955" s="24" t="s">
        <v>9741</v>
      </c>
      <c r="T955" s="24" t="str">
        <f>VLOOKUP(R955,[1]Sheet3!$A$2:$A$47,1,0)</f>
        <v>Colombia</v>
      </c>
      <c r="U955" s="24" t="s">
        <v>14610</v>
      </c>
      <c r="V955" s="24" t="s">
        <v>14611</v>
      </c>
      <c r="W955" s="18" t="s">
        <v>8964</v>
      </c>
      <c r="X955" s="26" t="s">
        <v>921</v>
      </c>
      <c r="Y955" s="18" t="s">
        <v>9744</v>
      </c>
      <c r="Z955" s="24" t="s">
        <v>920</v>
      </c>
    </row>
    <row r="956" spans="1:26" ht="20.100000000000001" customHeight="1" x14ac:dyDescent="0.2">
      <c r="A956" s="18" t="s">
        <v>14612</v>
      </c>
      <c r="B956" s="19" t="s">
        <v>14613</v>
      </c>
      <c r="C956" s="19" t="s">
        <v>14614</v>
      </c>
      <c r="D956" s="8" t="s">
        <v>9075</v>
      </c>
      <c r="E956" s="20" t="s">
        <v>8949</v>
      </c>
      <c r="F956" s="20" t="s">
        <v>10679</v>
      </c>
      <c r="G956" s="20" t="s">
        <v>8973</v>
      </c>
      <c r="H956" s="20">
        <v>30</v>
      </c>
      <c r="I956" s="20" t="s">
        <v>9008</v>
      </c>
      <c r="J956" s="20" t="s">
        <v>8953</v>
      </c>
      <c r="K956" s="20" t="s">
        <v>8989</v>
      </c>
      <c r="L956" s="21" t="s">
        <v>8955</v>
      </c>
      <c r="M956" s="20" t="s">
        <v>8956</v>
      </c>
      <c r="N956" s="20" t="s">
        <v>8957</v>
      </c>
      <c r="O956" s="20">
        <f t="shared" si="14"/>
        <v>4</v>
      </c>
      <c r="P956" s="22" t="s">
        <v>8958</v>
      </c>
      <c r="Q956" s="21" t="s">
        <v>9061</v>
      </c>
      <c r="R956" s="23" t="s">
        <v>9010</v>
      </c>
      <c r="S956" s="24" t="s">
        <v>9741</v>
      </c>
      <c r="T956" s="24" t="str">
        <f>VLOOKUP(R956,[1]Sheet3!$A$2:$A$47,1,0)</f>
        <v>the United States of America</v>
      </c>
      <c r="U956" s="24" t="s">
        <v>14595</v>
      </c>
      <c r="V956" s="24" t="s">
        <v>14615</v>
      </c>
      <c r="W956" s="18" t="s">
        <v>8964</v>
      </c>
      <c r="X956" s="26" t="s">
        <v>921</v>
      </c>
      <c r="Y956" s="18" t="s">
        <v>9744</v>
      </c>
      <c r="Z956" s="24" t="s">
        <v>920</v>
      </c>
    </row>
    <row r="957" spans="1:26" ht="20.100000000000001" customHeight="1" x14ac:dyDescent="0.2">
      <c r="A957" s="18" t="s">
        <v>14616</v>
      </c>
      <c r="B957" s="19" t="s">
        <v>14617</v>
      </c>
      <c r="C957" s="19" t="s">
        <v>14618</v>
      </c>
      <c r="D957" s="8" t="s">
        <v>9092</v>
      </c>
      <c r="E957" s="20" t="s">
        <v>8949</v>
      </c>
      <c r="F957" s="20" t="s">
        <v>8950</v>
      </c>
      <c r="G957" s="20" t="s">
        <v>8973</v>
      </c>
      <c r="H957" s="20">
        <v>2114</v>
      </c>
      <c r="I957" s="20" t="s">
        <v>8952</v>
      </c>
      <c r="J957" s="20" t="s">
        <v>8953</v>
      </c>
      <c r="K957" s="20" t="s">
        <v>8954</v>
      </c>
      <c r="L957" s="21" t="s">
        <v>8955</v>
      </c>
      <c r="M957" s="20" t="s">
        <v>8956</v>
      </c>
      <c r="N957" s="20" t="s">
        <v>8957</v>
      </c>
      <c r="O957" s="20">
        <f t="shared" si="14"/>
        <v>6</v>
      </c>
      <c r="P957" s="22" t="s">
        <v>8958</v>
      </c>
      <c r="Q957" s="21" t="s">
        <v>8959</v>
      </c>
      <c r="R957" s="23" t="s">
        <v>12526</v>
      </c>
      <c r="S957" s="24" t="s">
        <v>9741</v>
      </c>
      <c r="T957" s="24" t="str">
        <f>VLOOKUP(R957,[1]Sheet3!$A$2:$A$47,1,0)</f>
        <v>Denmark</v>
      </c>
      <c r="U957" s="24" t="s">
        <v>14619</v>
      </c>
      <c r="V957" s="24" t="s">
        <v>14620</v>
      </c>
      <c r="W957" s="18" t="s">
        <v>8964</v>
      </c>
      <c r="X957" s="26" t="s">
        <v>921</v>
      </c>
      <c r="Y957" s="18" t="s">
        <v>9744</v>
      </c>
      <c r="Z957" s="24" t="s">
        <v>920</v>
      </c>
    </row>
    <row r="958" spans="1:26" ht="20.100000000000001" customHeight="1" x14ac:dyDescent="0.2">
      <c r="A958" s="18" t="s">
        <v>14621</v>
      </c>
      <c r="B958" s="19" t="s">
        <v>14622</v>
      </c>
      <c r="C958" s="19" t="s">
        <v>14623</v>
      </c>
      <c r="D958" s="8" t="s">
        <v>9605</v>
      </c>
      <c r="E958" s="20" t="s">
        <v>9155</v>
      </c>
      <c r="F958" s="20" t="s">
        <v>12818</v>
      </c>
      <c r="G958" s="20" t="s">
        <v>9076</v>
      </c>
      <c r="H958" s="20">
        <v>74902</v>
      </c>
      <c r="I958" s="20" t="s">
        <v>9019</v>
      </c>
      <c r="J958" s="20" t="s">
        <v>8953</v>
      </c>
      <c r="K958" s="20" t="s">
        <v>8954</v>
      </c>
      <c r="L958" s="21" t="s">
        <v>8955</v>
      </c>
      <c r="M958" s="20" t="s">
        <v>8956</v>
      </c>
      <c r="N958" s="20" t="s">
        <v>8957</v>
      </c>
      <c r="O958" s="20">
        <f t="shared" si="14"/>
        <v>7</v>
      </c>
      <c r="P958" s="22" t="s">
        <v>8958</v>
      </c>
      <c r="Q958" s="21" t="s">
        <v>8959</v>
      </c>
      <c r="R958" s="23" t="s">
        <v>9010</v>
      </c>
      <c r="S958" s="24" t="s">
        <v>14624</v>
      </c>
      <c r="T958" s="24" t="str">
        <f>VLOOKUP(R958,[1]Sheet3!$A$2:$A$47,1,0)</f>
        <v>the United States of America</v>
      </c>
      <c r="U958" s="24" t="s">
        <v>14625</v>
      </c>
      <c r="V958" s="24" t="s">
        <v>14626</v>
      </c>
      <c r="W958" s="18" t="s">
        <v>8964</v>
      </c>
      <c r="X958" s="26" t="s">
        <v>1080</v>
      </c>
      <c r="Y958" s="18" t="s">
        <v>14627</v>
      </c>
      <c r="Z958" s="24" t="s">
        <v>929</v>
      </c>
    </row>
    <row r="959" spans="1:26" ht="20.100000000000001" customHeight="1" x14ac:dyDescent="0.2">
      <c r="A959" s="18" t="s">
        <v>14628</v>
      </c>
      <c r="B959" s="19" t="s">
        <v>14629</v>
      </c>
      <c r="C959" s="19" t="s">
        <v>14630</v>
      </c>
      <c r="D959" s="8" t="s">
        <v>9154</v>
      </c>
      <c r="E959" s="20" t="s">
        <v>8971</v>
      </c>
      <c r="F959" s="20" t="s">
        <v>9510</v>
      </c>
      <c r="G959" s="20" t="s">
        <v>8973</v>
      </c>
      <c r="H959" s="20">
        <v>760</v>
      </c>
      <c r="I959" s="20" t="s">
        <v>9077</v>
      </c>
      <c r="J959" s="20" t="s">
        <v>8953</v>
      </c>
      <c r="K959" s="20" t="s">
        <v>8954</v>
      </c>
      <c r="L959" s="21" t="s">
        <v>8955</v>
      </c>
      <c r="M959" s="20" t="s">
        <v>8956</v>
      </c>
      <c r="N959" s="20" t="s">
        <v>8957</v>
      </c>
      <c r="O959" s="20">
        <f t="shared" si="14"/>
        <v>2</v>
      </c>
      <c r="P959" s="22" t="s">
        <v>9103</v>
      </c>
      <c r="Q959" s="21" t="s">
        <v>8959</v>
      </c>
      <c r="R959" s="23" t="s">
        <v>14631</v>
      </c>
      <c r="S959" s="24" t="s">
        <v>10666</v>
      </c>
      <c r="T959" s="24" t="str">
        <f>VLOOKUP(R959,[1]Sheet3!$A$2:$A$47,1,0)</f>
        <v>Australia</v>
      </c>
      <c r="U959" s="24" t="s">
        <v>14632</v>
      </c>
      <c r="V959" s="24" t="s">
        <v>14633</v>
      </c>
      <c r="W959" s="18" t="s">
        <v>8964</v>
      </c>
      <c r="X959" s="26" t="s">
        <v>1110</v>
      </c>
      <c r="Y959" s="18" t="s">
        <v>10669</v>
      </c>
      <c r="Z959" s="24" t="s">
        <v>920</v>
      </c>
    </row>
    <row r="960" spans="1:26" ht="20.100000000000001" customHeight="1" x14ac:dyDescent="0.2">
      <c r="A960" s="18" t="s">
        <v>14634</v>
      </c>
      <c r="B960" s="19" t="s">
        <v>14635</v>
      </c>
      <c r="C960" s="19" t="s">
        <v>14636</v>
      </c>
      <c r="D960" s="8" t="s">
        <v>9605</v>
      </c>
      <c r="E960" s="20" t="s">
        <v>8949</v>
      </c>
      <c r="F960" s="20" t="s">
        <v>12454</v>
      </c>
      <c r="G960" s="20" t="s">
        <v>8951</v>
      </c>
      <c r="H960" s="20">
        <v>78</v>
      </c>
      <c r="I960" s="20" t="s">
        <v>9008</v>
      </c>
      <c r="J960" s="20" t="s">
        <v>9059</v>
      </c>
      <c r="K960" s="20" t="s">
        <v>8954</v>
      </c>
      <c r="L960" s="21" t="s">
        <v>8955</v>
      </c>
      <c r="M960" s="20" t="s">
        <v>8956</v>
      </c>
      <c r="N960" s="20" t="s">
        <v>8957</v>
      </c>
      <c r="O960" s="20">
        <f t="shared" si="14"/>
        <v>5</v>
      </c>
      <c r="P960" s="22" t="s">
        <v>8958</v>
      </c>
      <c r="Q960" s="21" t="s">
        <v>9009</v>
      </c>
      <c r="R960" s="23" t="s">
        <v>10873</v>
      </c>
      <c r="S960" s="24" t="s">
        <v>10666</v>
      </c>
      <c r="T960" s="24" t="str">
        <f>VLOOKUP(R960,[1]Sheet3!$A$2:$A$47,1,0)</f>
        <v>UK</v>
      </c>
      <c r="U960" s="24" t="s">
        <v>14637</v>
      </c>
      <c r="V960" s="24" t="s">
        <v>14638</v>
      </c>
      <c r="W960" s="18" t="s">
        <v>8964</v>
      </c>
      <c r="X960" s="26" t="s">
        <v>1110</v>
      </c>
      <c r="Y960" s="18" t="s">
        <v>10669</v>
      </c>
      <c r="Z960" s="24" t="s">
        <v>920</v>
      </c>
    </row>
    <row r="961" spans="1:26" ht="20.100000000000001" customHeight="1" x14ac:dyDescent="0.2">
      <c r="A961" s="18" t="s">
        <v>14639</v>
      </c>
      <c r="B961" s="19" t="s">
        <v>14640</v>
      </c>
      <c r="C961" s="19" t="s">
        <v>14641</v>
      </c>
      <c r="D961" s="8" t="s">
        <v>8948</v>
      </c>
      <c r="E961" s="20" t="s">
        <v>8949</v>
      </c>
      <c r="F961" s="20" t="s">
        <v>14642</v>
      </c>
      <c r="G961" s="20" t="s">
        <v>9464</v>
      </c>
      <c r="H961" s="20">
        <v>40</v>
      </c>
      <c r="I961" s="20" t="s">
        <v>9008</v>
      </c>
      <c r="J961" s="20" t="s">
        <v>8953</v>
      </c>
      <c r="K961" s="20" t="s">
        <v>8954</v>
      </c>
      <c r="L961" s="21" t="s">
        <v>8955</v>
      </c>
      <c r="M961" s="20" t="s">
        <v>8956</v>
      </c>
      <c r="N961" s="20" t="s">
        <v>8959</v>
      </c>
      <c r="O961" s="20">
        <f t="shared" si="14"/>
        <v>2</v>
      </c>
      <c r="P961" s="22" t="s">
        <v>9103</v>
      </c>
      <c r="Q961" s="21" t="s">
        <v>8959</v>
      </c>
      <c r="R961" s="23" t="s">
        <v>9010</v>
      </c>
      <c r="S961" s="24" t="s">
        <v>12023</v>
      </c>
      <c r="T961" s="24" t="str">
        <f>VLOOKUP(R961,[1]Sheet3!$A$2:$A$47,1,0)</f>
        <v>the United States of America</v>
      </c>
      <c r="U961" s="25" t="s">
        <v>14643</v>
      </c>
      <c r="V961" s="24" t="s">
        <v>14644</v>
      </c>
      <c r="W961" s="18" t="s">
        <v>8964</v>
      </c>
      <c r="X961" s="26" t="s">
        <v>1076</v>
      </c>
      <c r="Y961" s="18" t="s">
        <v>12026</v>
      </c>
      <c r="Z961" s="24" t="s">
        <v>920</v>
      </c>
    </row>
    <row r="962" spans="1:26" ht="20.100000000000001" customHeight="1" x14ac:dyDescent="0.2">
      <c r="A962" s="18" t="s">
        <v>14645</v>
      </c>
      <c r="B962" s="19" t="s">
        <v>14646</v>
      </c>
      <c r="C962" s="19" t="s">
        <v>14647</v>
      </c>
      <c r="D962" s="8" t="s">
        <v>9154</v>
      </c>
      <c r="E962" s="20" t="s">
        <v>8971</v>
      </c>
      <c r="F962" s="20" t="s">
        <v>9726</v>
      </c>
      <c r="G962" s="20" t="s">
        <v>8973</v>
      </c>
      <c r="H962" s="20">
        <v>820</v>
      </c>
      <c r="I962" s="20" t="s">
        <v>9077</v>
      </c>
      <c r="J962" s="20" t="s">
        <v>8953</v>
      </c>
      <c r="K962" s="20" t="s">
        <v>8954</v>
      </c>
      <c r="L962" s="21" t="s">
        <v>8955</v>
      </c>
      <c r="M962" s="20" t="s">
        <v>8956</v>
      </c>
      <c r="N962" s="20" t="s">
        <v>8957</v>
      </c>
      <c r="O962" s="20">
        <f t="shared" ref="O962:O1025" si="15">1+LEN(V962)-LEN(SUBSTITUTE(V962,";",))</f>
        <v>3</v>
      </c>
      <c r="P962" s="22" t="s">
        <v>9103</v>
      </c>
      <c r="Q962" s="21" t="s">
        <v>8959</v>
      </c>
      <c r="R962" s="23" t="s">
        <v>9176</v>
      </c>
      <c r="S962" s="24" t="s">
        <v>11659</v>
      </c>
      <c r="T962" s="24" t="str">
        <f>VLOOKUP(R962,[1]Sheet3!$A$2:$A$47,1,0)</f>
        <v>Australia</v>
      </c>
      <c r="U962" s="24" t="s">
        <v>14648</v>
      </c>
      <c r="V962" s="24" t="s">
        <v>14649</v>
      </c>
      <c r="W962" s="18" t="s">
        <v>8964</v>
      </c>
      <c r="X962" s="26" t="s">
        <v>625</v>
      </c>
      <c r="Y962" s="18" t="s">
        <v>11661</v>
      </c>
      <c r="Z962" s="24" t="s">
        <v>1114</v>
      </c>
    </row>
    <row r="963" spans="1:26" ht="20.100000000000001" customHeight="1" x14ac:dyDescent="0.2">
      <c r="A963" s="62" t="s">
        <v>14650</v>
      </c>
      <c r="B963" s="62" t="s">
        <v>14651</v>
      </c>
      <c r="C963" s="63" t="s">
        <v>14652</v>
      </c>
      <c r="D963" s="8" t="s">
        <v>8948</v>
      </c>
      <c r="E963" s="20" t="s">
        <v>8949</v>
      </c>
      <c r="F963" s="20" t="s">
        <v>8950</v>
      </c>
      <c r="G963" s="20" t="s">
        <v>8987</v>
      </c>
      <c r="H963" s="20">
        <v>18016</v>
      </c>
      <c r="I963" s="20" t="s">
        <v>9019</v>
      </c>
      <c r="J963" s="20" t="s">
        <v>8953</v>
      </c>
      <c r="K963" s="20" t="s">
        <v>8989</v>
      </c>
      <c r="L963" s="21" t="s">
        <v>8955</v>
      </c>
      <c r="M963" s="20" t="s">
        <v>8956</v>
      </c>
      <c r="N963" s="20" t="s">
        <v>8959</v>
      </c>
      <c r="O963" s="20">
        <f t="shared" si="15"/>
        <v>2</v>
      </c>
      <c r="P963" s="22" t="s">
        <v>9103</v>
      </c>
      <c r="Q963" s="21" t="s">
        <v>8959</v>
      </c>
      <c r="R963" s="23" t="s">
        <v>9815</v>
      </c>
      <c r="T963" s="24" t="str">
        <f>VLOOKUP(R963,[1]Sheet3!$A$2:$A$47,1,0)</f>
        <v>India</v>
      </c>
      <c r="U963" s="62" t="s">
        <v>14653</v>
      </c>
      <c r="V963" s="62" t="s">
        <v>14654</v>
      </c>
      <c r="Z963" s="24" t="s">
        <v>17</v>
      </c>
    </row>
    <row r="964" spans="1:26" ht="20.100000000000001" customHeight="1" x14ac:dyDescent="0.2">
      <c r="A964" s="62" t="s">
        <v>14655</v>
      </c>
      <c r="B964" s="62" t="s">
        <v>14656</v>
      </c>
      <c r="C964" s="63" t="s">
        <v>14657</v>
      </c>
      <c r="D964" s="8" t="s">
        <v>9100</v>
      </c>
      <c r="E964" s="20" t="s">
        <v>8998</v>
      </c>
      <c r="F964" s="20" t="s">
        <v>14658</v>
      </c>
      <c r="G964" s="20" t="s">
        <v>9464</v>
      </c>
      <c r="H964" s="20">
        <v>74000</v>
      </c>
      <c r="I964" s="20" t="s">
        <v>9019</v>
      </c>
      <c r="J964" s="20" t="s">
        <v>8953</v>
      </c>
      <c r="K964" s="20" t="s">
        <v>8954</v>
      </c>
      <c r="L964" s="21" t="s">
        <v>8955</v>
      </c>
      <c r="M964" s="20" t="s">
        <v>8956</v>
      </c>
      <c r="N964" s="20" t="s">
        <v>8957</v>
      </c>
      <c r="O964" s="20">
        <f t="shared" si="15"/>
        <v>9</v>
      </c>
      <c r="P964" s="22" t="s">
        <v>8975</v>
      </c>
      <c r="Q964" s="21" t="s">
        <v>9009</v>
      </c>
      <c r="R964" s="23" t="s">
        <v>9010</v>
      </c>
      <c r="T964" s="24" t="str">
        <f>VLOOKUP(R964,[1]Sheet3!$A$2:$A$47,1,0)</f>
        <v>the United States of America</v>
      </c>
      <c r="U964" s="63" t="s">
        <v>14659</v>
      </c>
      <c r="V964" s="62" t="s">
        <v>14660</v>
      </c>
      <c r="Z964" s="24" t="s">
        <v>11</v>
      </c>
    </row>
    <row r="965" spans="1:26" ht="20.100000000000001" customHeight="1" x14ac:dyDescent="0.2">
      <c r="A965" s="62" t="s">
        <v>14661</v>
      </c>
      <c r="B965" s="62" t="s">
        <v>14662</v>
      </c>
      <c r="C965" s="63" t="s">
        <v>14663</v>
      </c>
      <c r="D965" s="8" t="s">
        <v>8948</v>
      </c>
      <c r="E965" s="20" t="s">
        <v>8949</v>
      </c>
      <c r="F965" s="20" t="s">
        <v>9918</v>
      </c>
      <c r="G965" s="20" t="s">
        <v>8973</v>
      </c>
      <c r="H965" s="20">
        <v>100</v>
      </c>
      <c r="I965" s="20" t="s">
        <v>9008</v>
      </c>
      <c r="J965" s="20" t="s">
        <v>8953</v>
      </c>
      <c r="K965" s="20" t="s">
        <v>8954</v>
      </c>
      <c r="L965" s="21" t="s">
        <v>8955</v>
      </c>
      <c r="M965" s="20" t="s">
        <v>8956</v>
      </c>
      <c r="N965" s="20" t="s">
        <v>8957</v>
      </c>
      <c r="O965" s="20">
        <f t="shared" si="15"/>
        <v>4</v>
      </c>
      <c r="P965" s="22" t="s">
        <v>8958</v>
      </c>
      <c r="Q965" s="21" t="s">
        <v>8959</v>
      </c>
      <c r="R965" s="23" t="s">
        <v>9310</v>
      </c>
      <c r="T965" s="24" t="str">
        <f>VLOOKUP(R965,[1]Sheet3!$A$2:$A$47,1,0)</f>
        <v>China</v>
      </c>
      <c r="U965" s="63" t="s">
        <v>14664</v>
      </c>
      <c r="V965" s="62" t="s">
        <v>14665</v>
      </c>
      <c r="Z965" s="24" t="s">
        <v>17</v>
      </c>
    </row>
    <row r="966" spans="1:26" ht="20.100000000000001" customHeight="1" x14ac:dyDescent="0.2">
      <c r="A966" s="62" t="s">
        <v>14666</v>
      </c>
      <c r="B966" s="62" t="s">
        <v>14667</v>
      </c>
      <c r="C966" s="63" t="s">
        <v>14668</v>
      </c>
      <c r="D966" s="8" t="s">
        <v>9092</v>
      </c>
      <c r="E966" s="20" t="s">
        <v>8998</v>
      </c>
      <c r="F966" s="20" t="s">
        <v>8972</v>
      </c>
      <c r="G966" s="20" t="s">
        <v>8973</v>
      </c>
      <c r="H966" s="20">
        <v>475</v>
      </c>
      <c r="I966" s="20" t="s">
        <v>8988</v>
      </c>
      <c r="J966" s="20" t="s">
        <v>8953</v>
      </c>
      <c r="K966" s="20" t="s">
        <v>8989</v>
      </c>
      <c r="L966" s="21" t="s">
        <v>8955</v>
      </c>
      <c r="M966" s="20" t="s">
        <v>8956</v>
      </c>
      <c r="N966" s="20" t="s">
        <v>8957</v>
      </c>
      <c r="O966" s="20">
        <f t="shared" si="15"/>
        <v>7</v>
      </c>
      <c r="P966" s="22" t="s">
        <v>8958</v>
      </c>
      <c r="Q966" s="21" t="s">
        <v>8959</v>
      </c>
      <c r="R966" s="23" t="s">
        <v>8976</v>
      </c>
      <c r="T966" s="24" t="str">
        <f>VLOOKUP(R966,[1]Sheet3!$A$2:$A$47,1,0)</f>
        <v>Iran</v>
      </c>
      <c r="U966" s="62" t="s">
        <v>14669</v>
      </c>
      <c r="V966" s="62" t="s">
        <v>14670</v>
      </c>
      <c r="Z966" s="24" t="s">
        <v>11</v>
      </c>
    </row>
    <row r="967" spans="1:26" ht="20.100000000000001" customHeight="1" x14ac:dyDescent="0.2">
      <c r="A967" s="62" t="s">
        <v>14671</v>
      </c>
      <c r="B967" s="62" t="s">
        <v>14672</v>
      </c>
      <c r="C967" s="63" t="s">
        <v>14673</v>
      </c>
      <c r="D967" s="8" t="s">
        <v>9605</v>
      </c>
      <c r="E967" s="20" t="s">
        <v>9121</v>
      </c>
      <c r="F967" s="20" t="s">
        <v>14674</v>
      </c>
      <c r="G967" s="20" t="s">
        <v>8973</v>
      </c>
      <c r="H967" s="20">
        <v>324</v>
      </c>
      <c r="I967" s="20" t="s">
        <v>8988</v>
      </c>
      <c r="J967" s="20" t="s">
        <v>8953</v>
      </c>
      <c r="K967" s="20" t="s">
        <v>8989</v>
      </c>
      <c r="L967" s="21" t="s">
        <v>8955</v>
      </c>
      <c r="M967" s="20" t="s">
        <v>8956</v>
      </c>
      <c r="N967" s="20" t="s">
        <v>8957</v>
      </c>
      <c r="O967" s="20">
        <f t="shared" si="15"/>
        <v>5</v>
      </c>
      <c r="P967" s="22" t="s">
        <v>8958</v>
      </c>
      <c r="Q967" s="21" t="s">
        <v>8959</v>
      </c>
      <c r="R967" s="23" t="s">
        <v>10049</v>
      </c>
      <c r="T967" s="24" t="str">
        <f>VLOOKUP(R967,[1]Sheet3!$A$2:$A$47,1,0)</f>
        <v>Italy</v>
      </c>
      <c r="U967" s="62" t="s">
        <v>14675</v>
      </c>
      <c r="V967" s="62" t="s">
        <v>14676</v>
      </c>
      <c r="Z967" s="24" t="s">
        <v>11</v>
      </c>
    </row>
    <row r="968" spans="1:26" ht="20.100000000000001" customHeight="1" x14ac:dyDescent="0.2">
      <c r="A968" s="62" t="s">
        <v>14677</v>
      </c>
      <c r="B968" s="62" t="s">
        <v>14678</v>
      </c>
      <c r="C968" s="63" t="s">
        <v>14679</v>
      </c>
      <c r="D968" s="8" t="s">
        <v>9605</v>
      </c>
      <c r="E968" s="20" t="s">
        <v>9121</v>
      </c>
      <c r="F968" s="20" t="s">
        <v>14680</v>
      </c>
      <c r="G968" s="20" t="s">
        <v>9157</v>
      </c>
      <c r="H968" s="20">
        <v>30</v>
      </c>
      <c r="I968" s="20" t="s">
        <v>9008</v>
      </c>
      <c r="J968" s="20" t="s">
        <v>9059</v>
      </c>
      <c r="K968" s="20" t="s">
        <v>8989</v>
      </c>
      <c r="L968" s="21" t="s">
        <v>8955</v>
      </c>
      <c r="M968" s="20" t="s">
        <v>8956</v>
      </c>
      <c r="N968" s="20" t="s">
        <v>8957</v>
      </c>
      <c r="O968" s="20">
        <f t="shared" si="15"/>
        <v>10</v>
      </c>
      <c r="P968" s="22" t="s">
        <v>8975</v>
      </c>
      <c r="Q968" s="21" t="s">
        <v>9009</v>
      </c>
      <c r="R968" s="23" t="s">
        <v>10873</v>
      </c>
      <c r="T968" s="24" t="str">
        <f>VLOOKUP(R968,[1]Sheet3!$A$2:$A$47,1,0)</f>
        <v>UK</v>
      </c>
      <c r="U968" s="62" t="s">
        <v>14681</v>
      </c>
      <c r="V968" s="62" t="s">
        <v>14682</v>
      </c>
      <c r="Z968" s="24" t="s">
        <v>11</v>
      </c>
    </row>
    <row r="969" spans="1:26" ht="20.100000000000001" customHeight="1" x14ac:dyDescent="0.2">
      <c r="A969" s="62" t="s">
        <v>14683</v>
      </c>
      <c r="B969" s="62" t="s">
        <v>14684</v>
      </c>
      <c r="C969" s="63" t="s">
        <v>14685</v>
      </c>
      <c r="D969" s="8" t="s">
        <v>9049</v>
      </c>
      <c r="E969" s="20" t="s">
        <v>9121</v>
      </c>
      <c r="F969" s="20" t="s">
        <v>14686</v>
      </c>
      <c r="G969" s="20" t="s">
        <v>8973</v>
      </c>
      <c r="H969" s="20">
        <v>706</v>
      </c>
      <c r="I969" s="20" t="s">
        <v>9077</v>
      </c>
      <c r="J969" s="20" t="s">
        <v>8953</v>
      </c>
      <c r="K969" s="20" t="s">
        <v>8954</v>
      </c>
      <c r="L969" s="21" t="s">
        <v>8955</v>
      </c>
      <c r="M969" s="20" t="s">
        <v>8956</v>
      </c>
      <c r="N969" s="20" t="s">
        <v>8957</v>
      </c>
      <c r="O969" s="20">
        <f t="shared" si="15"/>
        <v>5</v>
      </c>
      <c r="P969" s="22" t="s">
        <v>8958</v>
      </c>
      <c r="Q969" s="21" t="s">
        <v>8959</v>
      </c>
      <c r="R969" s="23" t="s">
        <v>9010</v>
      </c>
      <c r="T969" s="24" t="str">
        <f>VLOOKUP(R969,[1]Sheet3!$A$2:$A$47,1,0)</f>
        <v>the United States of America</v>
      </c>
      <c r="U969" s="62" t="s">
        <v>14687</v>
      </c>
      <c r="V969" s="62" t="s">
        <v>14688</v>
      </c>
      <c r="Z969" s="24" t="s">
        <v>17</v>
      </c>
    </row>
    <row r="970" spans="1:26" ht="20.100000000000001" customHeight="1" x14ac:dyDescent="0.2">
      <c r="A970" s="62" t="s">
        <v>14689</v>
      </c>
      <c r="B970" s="62" t="s">
        <v>14690</v>
      </c>
      <c r="C970" s="63" t="s">
        <v>14691</v>
      </c>
      <c r="D970" s="8" t="s">
        <v>9075</v>
      </c>
      <c r="E970" s="20" t="s">
        <v>8998</v>
      </c>
      <c r="F970" s="20" t="s">
        <v>14692</v>
      </c>
      <c r="G970" s="20" t="s">
        <v>9076</v>
      </c>
      <c r="H970" s="20">
        <v>2960</v>
      </c>
      <c r="I970" s="20" t="s">
        <v>9019</v>
      </c>
      <c r="J970" s="20" t="s">
        <v>8953</v>
      </c>
      <c r="K970" s="20" t="s">
        <v>8989</v>
      </c>
      <c r="L970" s="21" t="s">
        <v>8955</v>
      </c>
      <c r="M970" s="20" t="s">
        <v>8956</v>
      </c>
      <c r="N970" s="20" t="s">
        <v>8957</v>
      </c>
      <c r="O970" s="20">
        <f t="shared" si="15"/>
        <v>5</v>
      </c>
      <c r="P970" s="22" t="s">
        <v>8958</v>
      </c>
      <c r="Q970" s="21" t="s">
        <v>9009</v>
      </c>
      <c r="R970" s="23" t="s">
        <v>9010</v>
      </c>
      <c r="T970" s="24" t="str">
        <f>VLOOKUP(R970,[1]Sheet3!$A$2:$A$47,1,0)</f>
        <v>the United States of America</v>
      </c>
      <c r="U970" s="62" t="s">
        <v>14693</v>
      </c>
      <c r="V970" s="62" t="s">
        <v>14694</v>
      </c>
      <c r="Z970" s="24" t="s">
        <v>920</v>
      </c>
    </row>
    <row r="971" spans="1:26" ht="20.100000000000001" customHeight="1" x14ac:dyDescent="0.2">
      <c r="A971" s="62" t="s">
        <v>14695</v>
      </c>
      <c r="B971" s="62" t="s">
        <v>14696</v>
      </c>
      <c r="C971" s="63" t="s">
        <v>14697</v>
      </c>
      <c r="D971" s="8" t="s">
        <v>8948</v>
      </c>
      <c r="E971" s="20" t="s">
        <v>9308</v>
      </c>
      <c r="F971" s="20" t="s">
        <v>8950</v>
      </c>
      <c r="G971" s="20" t="s">
        <v>9133</v>
      </c>
      <c r="H971" s="20">
        <v>1792</v>
      </c>
      <c r="I971" s="20" t="s">
        <v>8952</v>
      </c>
      <c r="J971" s="20" t="s">
        <v>8953</v>
      </c>
      <c r="K971" s="20" t="s">
        <v>8989</v>
      </c>
      <c r="L971" s="21" t="s">
        <v>8955</v>
      </c>
      <c r="M971" s="20" t="s">
        <v>8956</v>
      </c>
      <c r="N971" s="20" t="s">
        <v>8957</v>
      </c>
      <c r="O971" s="20">
        <f t="shared" si="15"/>
        <v>4</v>
      </c>
      <c r="P971" s="22" t="s">
        <v>8958</v>
      </c>
      <c r="Q971" s="21" t="s">
        <v>9183</v>
      </c>
      <c r="R971" s="23" t="s">
        <v>9317</v>
      </c>
      <c r="T971" s="24" t="str">
        <f>VLOOKUP(R971,[1]Sheet3!$A$2:$A$47,1,0)</f>
        <v>Germany</v>
      </c>
      <c r="U971" s="62" t="s">
        <v>14698</v>
      </c>
      <c r="V971" s="62" t="s">
        <v>14699</v>
      </c>
      <c r="Z971" s="24" t="s">
        <v>17</v>
      </c>
    </row>
    <row r="972" spans="1:26" ht="20.100000000000001" customHeight="1" x14ac:dyDescent="0.2">
      <c r="A972" s="62" t="s">
        <v>14700</v>
      </c>
      <c r="B972" s="62" t="s">
        <v>14701</v>
      </c>
      <c r="C972" s="63" t="s">
        <v>14702</v>
      </c>
      <c r="D972" s="8" t="s">
        <v>9049</v>
      </c>
      <c r="E972" s="20" t="s">
        <v>9325</v>
      </c>
      <c r="F972" s="20" t="s">
        <v>14703</v>
      </c>
      <c r="G972" s="20" t="s">
        <v>8987</v>
      </c>
      <c r="H972" s="20">
        <v>21357</v>
      </c>
      <c r="I972" s="20" t="s">
        <v>9019</v>
      </c>
      <c r="J972" s="20" t="s">
        <v>8953</v>
      </c>
      <c r="K972" s="20" t="s">
        <v>8954</v>
      </c>
      <c r="L972" s="21" t="s">
        <v>8955</v>
      </c>
      <c r="M972" s="20" t="s">
        <v>8956</v>
      </c>
      <c r="N972" s="20" t="s">
        <v>8957</v>
      </c>
      <c r="O972" s="20">
        <f t="shared" si="15"/>
        <v>7</v>
      </c>
      <c r="P972" s="22" t="s">
        <v>8958</v>
      </c>
      <c r="Q972" s="21" t="s">
        <v>8959</v>
      </c>
      <c r="R972" s="23" t="s">
        <v>9310</v>
      </c>
      <c r="T972" s="24" t="str">
        <f>VLOOKUP(R972,[1]Sheet3!$A$2:$A$47,1,0)</f>
        <v>China</v>
      </c>
      <c r="U972" s="62" t="s">
        <v>14704</v>
      </c>
      <c r="V972" s="62" t="s">
        <v>14705</v>
      </c>
      <c r="Z972" s="24" t="s">
        <v>17</v>
      </c>
    </row>
    <row r="973" spans="1:26" ht="20.100000000000001" customHeight="1" x14ac:dyDescent="0.2">
      <c r="A973" s="62" t="s">
        <v>14706</v>
      </c>
      <c r="B973" s="62" t="s">
        <v>14707</v>
      </c>
      <c r="C973" s="63" t="s">
        <v>14708</v>
      </c>
      <c r="D973" s="8" t="s">
        <v>9075</v>
      </c>
      <c r="E973" s="20" t="s">
        <v>9422</v>
      </c>
      <c r="F973" s="20" t="s">
        <v>14709</v>
      </c>
      <c r="G973" s="20" t="s">
        <v>9157</v>
      </c>
      <c r="H973" s="20">
        <f>13188+2276</f>
        <v>15464</v>
      </c>
      <c r="I973" s="20" t="s">
        <v>9019</v>
      </c>
      <c r="J973" s="20" t="s">
        <v>8953</v>
      </c>
      <c r="K973" s="20" t="s">
        <v>8954</v>
      </c>
      <c r="L973" s="21" t="s">
        <v>8955</v>
      </c>
      <c r="M973" s="20" t="s">
        <v>8956</v>
      </c>
      <c r="N973" s="20" t="s">
        <v>8957</v>
      </c>
      <c r="O973" s="20">
        <f t="shared" si="15"/>
        <v>19</v>
      </c>
      <c r="P973" s="22" t="s">
        <v>8975</v>
      </c>
      <c r="Q973" s="21" t="s">
        <v>9183</v>
      </c>
      <c r="R973" s="23" t="s">
        <v>9333</v>
      </c>
      <c r="T973" s="24" t="str">
        <f>VLOOKUP(R973,[1]Sheet3!$A$2:$A$47,1,0)</f>
        <v>Japan</v>
      </c>
      <c r="U973" s="62" t="s">
        <v>14710</v>
      </c>
      <c r="V973" s="62" t="s">
        <v>14711</v>
      </c>
      <c r="Z973" s="24" t="s">
        <v>17</v>
      </c>
    </row>
    <row r="974" spans="1:26" ht="20.100000000000001" customHeight="1" x14ac:dyDescent="0.2">
      <c r="A974" s="62" t="s">
        <v>14712</v>
      </c>
      <c r="B974" s="62" t="s">
        <v>14713</v>
      </c>
      <c r="C974" s="63" t="s">
        <v>14714</v>
      </c>
      <c r="D974" s="8" t="s">
        <v>9075</v>
      </c>
      <c r="E974" s="20" t="s">
        <v>8998</v>
      </c>
      <c r="F974" s="20" t="s">
        <v>14715</v>
      </c>
      <c r="G974" s="20" t="s">
        <v>9076</v>
      </c>
      <c r="H974" s="20">
        <v>10</v>
      </c>
      <c r="I974" s="20" t="s">
        <v>9008</v>
      </c>
      <c r="J974" s="20" t="s">
        <v>9059</v>
      </c>
      <c r="K974" s="20" t="s">
        <v>8989</v>
      </c>
      <c r="L974" s="21" t="s">
        <v>8955</v>
      </c>
      <c r="M974" s="20" t="s">
        <v>8990</v>
      </c>
      <c r="N974" s="20" t="s">
        <v>8957</v>
      </c>
      <c r="O974" s="20">
        <f t="shared" si="15"/>
        <v>10</v>
      </c>
      <c r="P974" s="22" t="s">
        <v>8975</v>
      </c>
      <c r="Q974" s="21" t="s">
        <v>9009</v>
      </c>
      <c r="R974" s="23" t="s">
        <v>9310</v>
      </c>
      <c r="T974" s="24" t="str">
        <f>VLOOKUP(R974,[1]Sheet3!$A$2:$A$47,1,0)</f>
        <v>China</v>
      </c>
      <c r="U974" s="62" t="s">
        <v>14716</v>
      </c>
      <c r="V974" s="62" t="s">
        <v>14717</v>
      </c>
      <c r="Z974" s="24">
        <v>2019</v>
      </c>
    </row>
    <row r="975" spans="1:26" ht="20.100000000000001" customHeight="1" x14ac:dyDescent="0.2">
      <c r="A975" s="62" t="s">
        <v>14718</v>
      </c>
      <c r="B975" s="62" t="s">
        <v>14719</v>
      </c>
      <c r="C975" s="63" t="s">
        <v>14720</v>
      </c>
      <c r="D975" s="8" t="s">
        <v>9075</v>
      </c>
      <c r="E975" s="20" t="s">
        <v>9121</v>
      </c>
      <c r="F975" s="20" t="s">
        <v>14218</v>
      </c>
      <c r="G975" s="20" t="s">
        <v>8987</v>
      </c>
      <c r="H975" s="20">
        <v>1644</v>
      </c>
      <c r="I975" s="20" t="s">
        <v>8952</v>
      </c>
      <c r="J975" s="20" t="s">
        <v>8953</v>
      </c>
      <c r="K975" s="20" t="s">
        <v>8954</v>
      </c>
      <c r="L975" s="21" t="s">
        <v>8955</v>
      </c>
      <c r="M975" s="20" t="s">
        <v>8956</v>
      </c>
      <c r="N975" s="20" t="s">
        <v>8957</v>
      </c>
      <c r="O975" s="20">
        <f t="shared" si="15"/>
        <v>3</v>
      </c>
      <c r="P975" s="22" t="s">
        <v>9103</v>
      </c>
      <c r="Q975" s="21" t="s">
        <v>8959</v>
      </c>
      <c r="R975" s="23" t="s">
        <v>9815</v>
      </c>
      <c r="T975" s="24" t="str">
        <f>VLOOKUP(R975,[1]Sheet3!$A$2:$A$47,1,0)</f>
        <v>India</v>
      </c>
      <c r="U975" s="62" t="s">
        <v>14721</v>
      </c>
      <c r="V975" s="62" t="s">
        <v>14722</v>
      </c>
      <c r="Z975" s="24" t="s">
        <v>11</v>
      </c>
    </row>
    <row r="976" spans="1:26" ht="20.100000000000001" customHeight="1" x14ac:dyDescent="0.2">
      <c r="A976" s="62" t="s">
        <v>14723</v>
      </c>
      <c r="B976" s="62" t="s">
        <v>14724</v>
      </c>
      <c r="C976" s="63" t="s">
        <v>14725</v>
      </c>
      <c r="D976" s="8" t="s">
        <v>9154</v>
      </c>
      <c r="E976" s="20" t="s">
        <v>8971</v>
      </c>
      <c r="F976" s="20" t="s">
        <v>14726</v>
      </c>
      <c r="G976" s="20" t="s">
        <v>8987</v>
      </c>
      <c r="H976" s="20">
        <v>14443</v>
      </c>
      <c r="I976" s="20" t="s">
        <v>9019</v>
      </c>
      <c r="J976" s="20" t="s">
        <v>9059</v>
      </c>
      <c r="K976" s="20" t="s">
        <v>8954</v>
      </c>
      <c r="L976" s="21" t="s">
        <v>8955</v>
      </c>
      <c r="M976" s="20" t="s">
        <v>8956</v>
      </c>
      <c r="N976" s="20" t="s">
        <v>8974</v>
      </c>
      <c r="O976" s="20">
        <f t="shared" si="15"/>
        <v>9</v>
      </c>
      <c r="P976" s="22" t="s">
        <v>8975</v>
      </c>
      <c r="Q976" s="21" t="s">
        <v>8959</v>
      </c>
      <c r="R976" s="23" t="s">
        <v>9010</v>
      </c>
      <c r="T976" s="24" t="str">
        <f>VLOOKUP(R976,[1]Sheet3!$A$2:$A$47,1,0)</f>
        <v>the United States of America</v>
      </c>
      <c r="U976" s="63" t="s">
        <v>14727</v>
      </c>
      <c r="V976" s="62" t="s">
        <v>14728</v>
      </c>
      <c r="Z976" s="24" t="s">
        <v>11</v>
      </c>
    </row>
    <row r="977" spans="1:26" ht="20.100000000000001" customHeight="1" x14ac:dyDescent="0.2">
      <c r="A977" s="62" t="s">
        <v>14729</v>
      </c>
      <c r="B977" s="62" t="s">
        <v>14730</v>
      </c>
      <c r="C977" s="63" t="s">
        <v>14731</v>
      </c>
      <c r="D977" s="8" t="s">
        <v>9035</v>
      </c>
      <c r="E977" s="20" t="s">
        <v>8998</v>
      </c>
      <c r="F977" s="20" t="s">
        <v>9018</v>
      </c>
      <c r="G977" s="20" t="s">
        <v>9157</v>
      </c>
      <c r="H977" s="20">
        <v>1018</v>
      </c>
      <c r="I977" s="20" t="s">
        <v>8952</v>
      </c>
      <c r="J977" s="20" t="s">
        <v>9059</v>
      </c>
      <c r="K977" s="20" t="s">
        <v>8954</v>
      </c>
      <c r="L977" s="21" t="s">
        <v>8955</v>
      </c>
      <c r="M977" s="20" t="s">
        <v>8956</v>
      </c>
      <c r="N977" s="20" t="s">
        <v>8957</v>
      </c>
      <c r="O977" s="20">
        <f t="shared" si="15"/>
        <v>5</v>
      </c>
      <c r="P977" s="22" t="s">
        <v>8958</v>
      </c>
      <c r="Q977" s="21" t="s">
        <v>9061</v>
      </c>
      <c r="R977" s="23" t="s">
        <v>9246</v>
      </c>
      <c r="T977" s="24" t="str">
        <f>VLOOKUP(R977,[1]Sheet3!$A$2:$A$47,1,0)</f>
        <v>Netherlands</v>
      </c>
      <c r="U977" s="62" t="s">
        <v>14732</v>
      </c>
      <c r="V977" s="62" t="s">
        <v>14733</v>
      </c>
      <c r="Z977" s="24" t="s">
        <v>11</v>
      </c>
    </row>
    <row r="978" spans="1:26" ht="20.100000000000001" customHeight="1" x14ac:dyDescent="0.2">
      <c r="A978" s="62" t="s">
        <v>14734</v>
      </c>
      <c r="B978" s="62" t="s">
        <v>14735</v>
      </c>
      <c r="C978" s="63" t="s">
        <v>14736</v>
      </c>
      <c r="D978" s="8" t="s">
        <v>9075</v>
      </c>
      <c r="E978" s="20" t="s">
        <v>8949</v>
      </c>
      <c r="F978" s="20" t="s">
        <v>8950</v>
      </c>
      <c r="G978" s="20" t="s">
        <v>8973</v>
      </c>
      <c r="H978" s="20">
        <v>18</v>
      </c>
      <c r="I978" s="20" t="s">
        <v>9008</v>
      </c>
      <c r="J978" s="20" t="s">
        <v>9059</v>
      </c>
      <c r="K978" s="20" t="s">
        <v>8989</v>
      </c>
      <c r="L978" s="21" t="s">
        <v>8955</v>
      </c>
      <c r="M978" s="20" t="s">
        <v>8956</v>
      </c>
      <c r="N978" s="20" t="s">
        <v>8957</v>
      </c>
      <c r="O978" s="20">
        <f t="shared" si="15"/>
        <v>7</v>
      </c>
      <c r="P978" s="22" t="s">
        <v>8958</v>
      </c>
      <c r="Q978" s="21" t="s">
        <v>8959</v>
      </c>
      <c r="R978" s="23" t="s">
        <v>10049</v>
      </c>
      <c r="T978" s="24" t="str">
        <f>VLOOKUP(R978,[1]Sheet3!$A$2:$A$47,1,0)</f>
        <v>Italy</v>
      </c>
      <c r="U978" s="62" t="s">
        <v>14737</v>
      </c>
      <c r="V978" s="62" t="s">
        <v>14738</v>
      </c>
      <c r="Z978" s="24">
        <v>2019</v>
      </c>
    </row>
    <row r="979" spans="1:26" ht="20.100000000000001" customHeight="1" x14ac:dyDescent="0.2">
      <c r="A979" s="62" t="s">
        <v>14739</v>
      </c>
      <c r="B979" s="62" t="s">
        <v>14740</v>
      </c>
      <c r="C979" s="63" t="s">
        <v>14741</v>
      </c>
      <c r="D979" s="8" t="s">
        <v>9035</v>
      </c>
      <c r="E979" s="20" t="s">
        <v>9725</v>
      </c>
      <c r="F979" s="20" t="s">
        <v>14742</v>
      </c>
      <c r="G979" s="20" t="s">
        <v>9076</v>
      </c>
      <c r="H979" s="20">
        <v>8824</v>
      </c>
      <c r="I979" s="20" t="s">
        <v>9019</v>
      </c>
      <c r="J979" s="20" t="s">
        <v>8953</v>
      </c>
      <c r="K979" s="20" t="s">
        <v>8989</v>
      </c>
      <c r="L979" s="21" t="s">
        <v>8955</v>
      </c>
      <c r="M979" s="20" t="s">
        <v>8956</v>
      </c>
      <c r="N979" s="20" t="s">
        <v>9060</v>
      </c>
      <c r="O979" s="20">
        <f t="shared" si="15"/>
        <v>11</v>
      </c>
      <c r="P979" s="22" t="s">
        <v>8975</v>
      </c>
      <c r="Q979" s="21" t="s">
        <v>9009</v>
      </c>
      <c r="R979" s="23" t="s">
        <v>9465</v>
      </c>
      <c r="T979" s="24" t="str">
        <f>VLOOKUP(R979,[1]Sheet3!$A$2:$A$47,1,0)</f>
        <v>Switzerland</v>
      </c>
      <c r="U979" s="62" t="s">
        <v>14743</v>
      </c>
      <c r="V979" s="62" t="s">
        <v>14744</v>
      </c>
      <c r="Z979" s="24" t="s">
        <v>17</v>
      </c>
    </row>
    <row r="980" spans="1:26" ht="20.100000000000001" customHeight="1" x14ac:dyDescent="0.2">
      <c r="A980" s="62" t="s">
        <v>14745</v>
      </c>
      <c r="B980" s="62" t="s">
        <v>14746</v>
      </c>
      <c r="C980" s="63" t="s">
        <v>14747</v>
      </c>
      <c r="D980" s="8" t="s">
        <v>9605</v>
      </c>
      <c r="E980" s="20" t="s">
        <v>9422</v>
      </c>
      <c r="F980" s="20" t="s">
        <v>11094</v>
      </c>
      <c r="G980" s="20" t="s">
        <v>8987</v>
      </c>
      <c r="H980" s="20">
        <v>23916</v>
      </c>
      <c r="I980" s="20" t="s">
        <v>9019</v>
      </c>
      <c r="J980" s="20" t="s">
        <v>8953</v>
      </c>
      <c r="K980" s="20" t="s">
        <v>8989</v>
      </c>
      <c r="L980" s="21" t="s">
        <v>8955</v>
      </c>
      <c r="M980" s="20" t="s">
        <v>8956</v>
      </c>
      <c r="N980" s="20" t="s">
        <v>8959</v>
      </c>
      <c r="O980" s="20">
        <f t="shared" si="15"/>
        <v>1</v>
      </c>
      <c r="P980" s="22" t="s">
        <v>9103</v>
      </c>
      <c r="Q980" s="21" t="s">
        <v>8959</v>
      </c>
      <c r="R980" s="23" t="s">
        <v>14748</v>
      </c>
      <c r="T980" s="24" t="str">
        <f>VLOOKUP(R980,[1]Sheet3!$A$2:$A$47,1,0)</f>
        <v>Turkey</v>
      </c>
      <c r="U980" s="62" t="s">
        <v>14749</v>
      </c>
      <c r="V980" s="62" t="s">
        <v>14750</v>
      </c>
      <c r="Z980" s="24" t="s">
        <v>17</v>
      </c>
    </row>
    <row r="981" spans="1:26" ht="20.100000000000001" customHeight="1" x14ac:dyDescent="0.2">
      <c r="A981" s="62" t="s">
        <v>14751</v>
      </c>
      <c r="B981" s="62" t="s">
        <v>14752</v>
      </c>
      <c r="C981" s="63" t="s">
        <v>14753</v>
      </c>
      <c r="D981" s="8" t="s">
        <v>9605</v>
      </c>
      <c r="E981" s="20" t="s">
        <v>8949</v>
      </c>
      <c r="F981" s="20" t="s">
        <v>8950</v>
      </c>
      <c r="G981" s="20" t="s">
        <v>8987</v>
      </c>
      <c r="H981" s="20">
        <f>79*178+53*135+57*128+36*93</f>
        <v>31861</v>
      </c>
      <c r="I981" s="20" t="s">
        <v>9019</v>
      </c>
      <c r="J981" s="20" t="s">
        <v>8953</v>
      </c>
      <c r="K981" s="20" t="s">
        <v>8989</v>
      </c>
      <c r="L981" s="21" t="s">
        <v>8955</v>
      </c>
      <c r="M981" s="20" t="s">
        <v>8956</v>
      </c>
      <c r="N981" s="20" t="s">
        <v>8959</v>
      </c>
      <c r="O981" s="20">
        <f t="shared" si="15"/>
        <v>17</v>
      </c>
      <c r="P981" s="22" t="s">
        <v>8975</v>
      </c>
      <c r="Q981" s="21" t="s">
        <v>9183</v>
      </c>
      <c r="R981" s="23" t="s">
        <v>9333</v>
      </c>
      <c r="T981" s="24" t="str">
        <f>VLOOKUP(R981,[1]Sheet3!$A$2:$A$47,1,0)</f>
        <v>Japan</v>
      </c>
      <c r="U981" s="62" t="s">
        <v>14754</v>
      </c>
      <c r="V981" s="62" t="s">
        <v>14755</v>
      </c>
      <c r="Z981" s="24" t="s">
        <v>17</v>
      </c>
    </row>
    <row r="982" spans="1:26" ht="20.100000000000001" customHeight="1" x14ac:dyDescent="0.2">
      <c r="A982" s="64" t="s">
        <v>14756</v>
      </c>
      <c r="B982" s="62" t="s">
        <v>14757</v>
      </c>
      <c r="C982" s="63" t="s">
        <v>14758</v>
      </c>
      <c r="D982" s="8" t="s">
        <v>9092</v>
      </c>
      <c r="E982" s="20" t="s">
        <v>8949</v>
      </c>
      <c r="F982" s="20" t="s">
        <v>14759</v>
      </c>
      <c r="G982" s="20" t="s">
        <v>9157</v>
      </c>
      <c r="H982" s="20">
        <v>402</v>
      </c>
      <c r="I982" s="20" t="s">
        <v>8988</v>
      </c>
      <c r="J982" s="20" t="s">
        <v>9059</v>
      </c>
      <c r="K982" s="20" t="s">
        <v>8989</v>
      </c>
      <c r="L982" s="21" t="s">
        <v>8955</v>
      </c>
      <c r="M982" s="20" t="s">
        <v>8956</v>
      </c>
      <c r="N982" s="20" t="s">
        <v>8957</v>
      </c>
      <c r="O982" s="20">
        <f t="shared" si="15"/>
        <v>7</v>
      </c>
      <c r="P982" s="22" t="s">
        <v>8958</v>
      </c>
      <c r="Q982" s="21" t="s">
        <v>8959</v>
      </c>
      <c r="R982" s="23" t="s">
        <v>11671</v>
      </c>
      <c r="T982" s="24" t="str">
        <f>VLOOKUP(R982,[1]Sheet3!$A$2:$A$47,1,0)</f>
        <v>Sweden</v>
      </c>
      <c r="U982" s="62" t="s">
        <v>14760</v>
      </c>
      <c r="V982" s="62" t="s">
        <v>14761</v>
      </c>
      <c r="Z982" s="24" t="s">
        <v>17</v>
      </c>
    </row>
    <row r="983" spans="1:26" ht="20.100000000000001" customHeight="1" x14ac:dyDescent="0.2">
      <c r="A983" s="62" t="s">
        <v>14762</v>
      </c>
      <c r="B983" s="62" t="s">
        <v>14763</v>
      </c>
      <c r="C983" s="63" t="s">
        <v>14764</v>
      </c>
      <c r="D983" s="8" t="s">
        <v>8948</v>
      </c>
      <c r="E983" s="20" t="s">
        <v>9121</v>
      </c>
      <c r="F983" s="20" t="s">
        <v>10135</v>
      </c>
      <c r="G983" s="20" t="s">
        <v>9292</v>
      </c>
      <c r="H983" s="20">
        <f>457+214</f>
        <v>671</v>
      </c>
      <c r="I983" s="20" t="s">
        <v>9077</v>
      </c>
      <c r="J983" s="20" t="s">
        <v>8953</v>
      </c>
      <c r="K983" s="20" t="s">
        <v>8989</v>
      </c>
      <c r="L983" s="21" t="s">
        <v>8955</v>
      </c>
      <c r="M983" s="20" t="s">
        <v>8956</v>
      </c>
      <c r="N983" s="20" t="s">
        <v>8959</v>
      </c>
      <c r="O983" s="20">
        <f t="shared" si="15"/>
        <v>5</v>
      </c>
      <c r="P983" s="22" t="s">
        <v>8958</v>
      </c>
      <c r="Q983" s="21" t="s">
        <v>9183</v>
      </c>
      <c r="R983" s="23" t="s">
        <v>9010</v>
      </c>
      <c r="T983" s="24" t="str">
        <f>VLOOKUP(R983,[1]Sheet3!$A$2:$A$47,1,0)</f>
        <v>the United States of America</v>
      </c>
      <c r="U983" s="62" t="s">
        <v>14765</v>
      </c>
      <c r="V983" s="62" t="s">
        <v>14766</v>
      </c>
      <c r="Z983" s="24" t="s">
        <v>11</v>
      </c>
    </row>
    <row r="984" spans="1:26" ht="20.100000000000001" customHeight="1" x14ac:dyDescent="0.2">
      <c r="A984" s="62" t="s">
        <v>14767</v>
      </c>
      <c r="B984" s="62" t="s">
        <v>14768</v>
      </c>
      <c r="C984" s="63" t="s">
        <v>14769</v>
      </c>
      <c r="D984" s="8" t="s">
        <v>9092</v>
      </c>
      <c r="E984" s="20" t="s">
        <v>8971</v>
      </c>
      <c r="F984" s="20" t="s">
        <v>10673</v>
      </c>
      <c r="G984" s="20" t="s">
        <v>8973</v>
      </c>
      <c r="H984" s="20">
        <v>2050</v>
      </c>
      <c r="I984" s="20" t="s">
        <v>8952</v>
      </c>
      <c r="J984" s="20" t="s">
        <v>8953</v>
      </c>
      <c r="K984" s="20" t="s">
        <v>8954</v>
      </c>
      <c r="L984" s="21" t="s">
        <v>8955</v>
      </c>
      <c r="M984" s="20" t="s">
        <v>8956</v>
      </c>
      <c r="N984" s="20" t="s">
        <v>8959</v>
      </c>
      <c r="O984" s="20">
        <f t="shared" si="15"/>
        <v>2</v>
      </c>
      <c r="P984" s="22" t="s">
        <v>9103</v>
      </c>
      <c r="Q984" s="21" t="s">
        <v>8959</v>
      </c>
      <c r="R984" s="23" t="s">
        <v>9010</v>
      </c>
      <c r="T984" s="24" t="str">
        <f>VLOOKUP(R984,[1]Sheet3!$A$2:$A$47,1,0)</f>
        <v>the United States of America</v>
      </c>
      <c r="U984" s="62" t="s">
        <v>14770</v>
      </c>
      <c r="V984" s="62" t="s">
        <v>14771</v>
      </c>
      <c r="Z984" s="24" t="s">
        <v>11</v>
      </c>
    </row>
    <row r="985" spans="1:26" ht="20.100000000000001" customHeight="1" x14ac:dyDescent="0.2">
      <c r="A985" s="62" t="s">
        <v>14772</v>
      </c>
      <c r="B985" s="62" t="s">
        <v>14773</v>
      </c>
      <c r="C985" s="63" t="s">
        <v>14774</v>
      </c>
      <c r="D985" s="8" t="s">
        <v>8984</v>
      </c>
      <c r="E985" s="20" t="s">
        <v>9269</v>
      </c>
      <c r="F985" s="20" t="s">
        <v>8950</v>
      </c>
      <c r="G985" s="20" t="s">
        <v>8951</v>
      </c>
      <c r="H985" s="20">
        <v>393</v>
      </c>
      <c r="I985" s="20" t="s">
        <v>8988</v>
      </c>
      <c r="J985" s="20" t="s">
        <v>8953</v>
      </c>
      <c r="K985" s="20" t="s">
        <v>8989</v>
      </c>
      <c r="L985" s="21" t="s">
        <v>8955</v>
      </c>
      <c r="M985" s="20" t="s">
        <v>8956</v>
      </c>
      <c r="N985" s="20" t="s">
        <v>8974</v>
      </c>
      <c r="O985" s="20">
        <f t="shared" si="15"/>
        <v>6</v>
      </c>
      <c r="P985" s="22" t="s">
        <v>8958</v>
      </c>
      <c r="Q985" s="21" t="s">
        <v>9009</v>
      </c>
      <c r="R985" s="23" t="s">
        <v>10049</v>
      </c>
      <c r="T985" s="24" t="str">
        <f>VLOOKUP(R985,[1]Sheet3!$A$2:$A$47,1,0)</f>
        <v>Italy</v>
      </c>
      <c r="U985" s="62" t="s">
        <v>14775</v>
      </c>
      <c r="V985" s="62" t="s">
        <v>14776</v>
      </c>
      <c r="Z985" s="24" t="s">
        <v>17</v>
      </c>
    </row>
    <row r="986" spans="1:26" ht="20.100000000000001" customHeight="1" x14ac:dyDescent="0.2">
      <c r="A986" s="62" t="s">
        <v>14777</v>
      </c>
      <c r="B986" s="62" t="s">
        <v>14778</v>
      </c>
      <c r="C986" s="63" t="s">
        <v>14779</v>
      </c>
      <c r="D986" s="8" t="s">
        <v>8948</v>
      </c>
      <c r="E986" s="20" t="s">
        <v>8949</v>
      </c>
      <c r="F986" s="20" t="s">
        <v>10673</v>
      </c>
      <c r="G986" s="20" t="s">
        <v>8973</v>
      </c>
      <c r="H986" s="20">
        <v>208</v>
      </c>
      <c r="I986" s="20" t="s">
        <v>9158</v>
      </c>
      <c r="J986" s="20" t="s">
        <v>8953</v>
      </c>
      <c r="K986" s="20" t="s">
        <v>8989</v>
      </c>
      <c r="L986" s="21" t="s">
        <v>8955</v>
      </c>
      <c r="M986" s="20" t="s">
        <v>8956</v>
      </c>
      <c r="N986" s="20" t="s">
        <v>8957</v>
      </c>
      <c r="O986" s="20">
        <f t="shared" si="15"/>
        <v>6</v>
      </c>
      <c r="P986" s="22" t="s">
        <v>8958</v>
      </c>
      <c r="Q986" s="21" t="s">
        <v>8959</v>
      </c>
      <c r="R986" s="23" t="s">
        <v>8960</v>
      </c>
      <c r="T986" s="24" t="str">
        <f>VLOOKUP(R986,[1]Sheet3!$A$2:$A$47,1,0)</f>
        <v>Canada</v>
      </c>
      <c r="U986" s="62" t="s">
        <v>14780</v>
      </c>
      <c r="V986" s="62" t="s">
        <v>14781</v>
      </c>
      <c r="Z986" s="24" t="s">
        <v>17</v>
      </c>
    </row>
    <row r="987" spans="1:26" ht="20.100000000000001" customHeight="1" x14ac:dyDescent="0.2">
      <c r="A987" s="62" t="s">
        <v>14782</v>
      </c>
      <c r="B987" s="62" t="s">
        <v>14783</v>
      </c>
      <c r="C987" s="63" t="s">
        <v>14784</v>
      </c>
      <c r="D987" s="8" t="s">
        <v>8948</v>
      </c>
      <c r="E987" s="20" t="s">
        <v>8998</v>
      </c>
      <c r="F987" s="20" t="s">
        <v>8950</v>
      </c>
      <c r="G987" s="20" t="s">
        <v>8987</v>
      </c>
      <c r="H987" s="20">
        <v>2000</v>
      </c>
      <c r="I987" s="20" t="s">
        <v>8952</v>
      </c>
      <c r="J987" s="20" t="s">
        <v>8953</v>
      </c>
      <c r="K987" s="20" t="s">
        <v>8989</v>
      </c>
      <c r="L987" s="21" t="s">
        <v>8955</v>
      </c>
      <c r="M987" s="20" t="s">
        <v>8956</v>
      </c>
      <c r="N987" s="20" t="s">
        <v>8957</v>
      </c>
      <c r="O987" s="20">
        <f t="shared" si="15"/>
        <v>6</v>
      </c>
      <c r="P987" s="22" t="s">
        <v>8958</v>
      </c>
      <c r="Q987" s="21" t="s">
        <v>8959</v>
      </c>
      <c r="R987" s="23" t="s">
        <v>9010</v>
      </c>
      <c r="T987" s="24" t="str">
        <f>VLOOKUP(R987,[1]Sheet3!$A$2:$A$47,1,0)</f>
        <v>the United States of America</v>
      </c>
      <c r="U987" s="62" t="s">
        <v>14785</v>
      </c>
      <c r="V987" s="62" t="s">
        <v>14786</v>
      </c>
      <c r="Z987" s="24" t="s">
        <v>11</v>
      </c>
    </row>
    <row r="988" spans="1:26" ht="20.100000000000001" customHeight="1" x14ac:dyDescent="0.2">
      <c r="A988" s="62" t="s">
        <v>14787</v>
      </c>
      <c r="B988" s="62" t="s">
        <v>14788</v>
      </c>
      <c r="C988" s="63" t="s">
        <v>14789</v>
      </c>
      <c r="D988" s="8" t="s">
        <v>8948</v>
      </c>
      <c r="E988" s="20" t="s">
        <v>8949</v>
      </c>
      <c r="F988" s="20" t="s">
        <v>8950</v>
      </c>
      <c r="G988" s="20" t="s">
        <v>8973</v>
      </c>
      <c r="H988" s="20">
        <v>285</v>
      </c>
      <c r="I988" s="20" t="s">
        <v>8988</v>
      </c>
      <c r="J988" s="20" t="s">
        <v>9059</v>
      </c>
      <c r="K988" s="20" t="s">
        <v>8954</v>
      </c>
      <c r="L988" s="21" t="s">
        <v>8955</v>
      </c>
      <c r="M988" s="20" t="s">
        <v>8956</v>
      </c>
      <c r="N988" s="20" t="s">
        <v>8957</v>
      </c>
      <c r="O988" s="20">
        <f t="shared" si="15"/>
        <v>6</v>
      </c>
      <c r="P988" s="22" t="s">
        <v>8958</v>
      </c>
      <c r="Q988" s="21" t="s">
        <v>9061</v>
      </c>
      <c r="R988" s="23" t="s">
        <v>9465</v>
      </c>
      <c r="T988" s="24" t="str">
        <f>VLOOKUP(R988,[1]Sheet3!$A$2:$A$47,1,0)</f>
        <v>Switzerland</v>
      </c>
      <c r="U988" s="62" t="s">
        <v>14790</v>
      </c>
      <c r="V988" s="62" t="s">
        <v>14791</v>
      </c>
      <c r="Z988" s="24" t="s">
        <v>11</v>
      </c>
    </row>
    <row r="989" spans="1:26" ht="20.100000000000001" customHeight="1" x14ac:dyDescent="0.2">
      <c r="A989" s="62" t="s">
        <v>14792</v>
      </c>
      <c r="B989" s="62" t="s">
        <v>14793</v>
      </c>
      <c r="C989" s="63" t="s">
        <v>14794</v>
      </c>
      <c r="D989" s="8" t="s">
        <v>9252</v>
      </c>
      <c r="E989" s="20" t="s">
        <v>8971</v>
      </c>
      <c r="F989" s="20" t="s">
        <v>10660</v>
      </c>
      <c r="G989" s="20" t="s">
        <v>9133</v>
      </c>
      <c r="H989" s="20">
        <v>974</v>
      </c>
      <c r="I989" s="20" t="s">
        <v>9077</v>
      </c>
      <c r="J989" s="20" t="s">
        <v>8953</v>
      </c>
      <c r="K989" s="20" t="s">
        <v>8954</v>
      </c>
      <c r="L989" s="21" t="s">
        <v>8955</v>
      </c>
      <c r="M989" s="20" t="s">
        <v>8956</v>
      </c>
      <c r="N989" s="20" t="s">
        <v>8957</v>
      </c>
      <c r="O989" s="20">
        <f t="shared" si="15"/>
        <v>11</v>
      </c>
      <c r="P989" s="22" t="s">
        <v>8975</v>
      </c>
      <c r="Q989" s="21" t="s">
        <v>9061</v>
      </c>
      <c r="R989" s="23" t="s">
        <v>8991</v>
      </c>
      <c r="T989" s="24" t="str">
        <f>VLOOKUP(R989,[1]Sheet3!$A$2:$A$47,1,0)</f>
        <v>China</v>
      </c>
      <c r="U989" s="62" t="s">
        <v>14795</v>
      </c>
      <c r="V989" s="62" t="s">
        <v>14796</v>
      </c>
      <c r="Z989" s="24" t="s">
        <v>11</v>
      </c>
    </row>
    <row r="990" spans="1:26" ht="20.100000000000001" customHeight="1" x14ac:dyDescent="0.2">
      <c r="A990" s="62" t="s">
        <v>14797</v>
      </c>
      <c r="B990" s="62" t="s">
        <v>14798</v>
      </c>
      <c r="C990" s="63" t="s">
        <v>14799</v>
      </c>
      <c r="D990" s="8" t="s">
        <v>8948</v>
      </c>
      <c r="E990" s="20" t="s">
        <v>8949</v>
      </c>
      <c r="F990" s="20" t="s">
        <v>9436</v>
      </c>
      <c r="G990" s="20" t="s">
        <v>9076</v>
      </c>
      <c r="H990" s="20">
        <v>941</v>
      </c>
      <c r="I990" s="20" t="s">
        <v>9077</v>
      </c>
      <c r="J990" s="20" t="s">
        <v>9059</v>
      </c>
      <c r="K990" s="20" t="s">
        <v>8954</v>
      </c>
      <c r="L990" s="21" t="s">
        <v>8955</v>
      </c>
      <c r="M990" s="20" t="s">
        <v>8956</v>
      </c>
      <c r="N990" s="20" t="s">
        <v>8957</v>
      </c>
      <c r="O990" s="20">
        <f t="shared" si="15"/>
        <v>4</v>
      </c>
      <c r="P990" s="22" t="s">
        <v>8958</v>
      </c>
      <c r="Q990" s="21" t="s">
        <v>8959</v>
      </c>
      <c r="R990" s="23" t="s">
        <v>9213</v>
      </c>
      <c r="T990" s="24" t="str">
        <f>VLOOKUP(R990,[1]Sheet3!$A$2:$A$47,1,0)</f>
        <v>South Korea</v>
      </c>
      <c r="U990" s="62" t="s">
        <v>14800</v>
      </c>
      <c r="V990" s="62" t="s">
        <v>14801</v>
      </c>
      <c r="Z990" s="24" t="s">
        <v>920</v>
      </c>
    </row>
    <row r="991" spans="1:26" ht="20.100000000000001" customHeight="1" x14ac:dyDescent="0.2">
      <c r="A991" s="62" t="s">
        <v>14802</v>
      </c>
      <c r="B991" s="62" t="s">
        <v>14803</v>
      </c>
      <c r="C991" s="63" t="s">
        <v>14804</v>
      </c>
      <c r="D991" s="8" t="s">
        <v>9154</v>
      </c>
      <c r="E991" s="20" t="s">
        <v>9155</v>
      </c>
      <c r="F991" s="20" t="s">
        <v>14422</v>
      </c>
      <c r="G991" s="20" t="s">
        <v>8973</v>
      </c>
      <c r="H991" s="20">
        <v>40</v>
      </c>
      <c r="I991" s="20" t="s">
        <v>9008</v>
      </c>
      <c r="J991" s="20" t="s">
        <v>8953</v>
      </c>
      <c r="K991" s="20" t="s">
        <v>8989</v>
      </c>
      <c r="L991" s="21" t="s">
        <v>8955</v>
      </c>
      <c r="M991" s="20" t="s">
        <v>8956</v>
      </c>
      <c r="N991" s="20" t="s">
        <v>8957</v>
      </c>
      <c r="O991" s="20">
        <f t="shared" si="15"/>
        <v>3</v>
      </c>
      <c r="P991" s="22" t="s">
        <v>9103</v>
      </c>
      <c r="Q991" s="21" t="s">
        <v>8959</v>
      </c>
      <c r="R991" s="23" t="s">
        <v>9317</v>
      </c>
      <c r="T991" s="24" t="str">
        <f>VLOOKUP(R991,[1]Sheet3!$A$2:$A$47,1,0)</f>
        <v>Germany</v>
      </c>
      <c r="U991" s="62" t="s">
        <v>14805</v>
      </c>
      <c r="V991" s="62" t="s">
        <v>14806</v>
      </c>
      <c r="Z991" s="24" t="s">
        <v>11</v>
      </c>
    </row>
    <row r="992" spans="1:26" ht="20.100000000000001" customHeight="1" x14ac:dyDescent="0.2">
      <c r="A992" s="62" t="s">
        <v>14807</v>
      </c>
      <c r="B992" s="62" t="s">
        <v>14808</v>
      </c>
      <c r="C992" s="63" t="s">
        <v>14809</v>
      </c>
      <c r="D992" s="8" t="s">
        <v>8984</v>
      </c>
      <c r="E992" s="20" t="s">
        <v>8998</v>
      </c>
      <c r="F992" s="20" t="s">
        <v>9623</v>
      </c>
      <c r="G992" s="20" t="s">
        <v>8973</v>
      </c>
      <c r="H992" s="20">
        <v>335</v>
      </c>
      <c r="I992" s="20" t="s">
        <v>8988</v>
      </c>
      <c r="J992" s="20" t="s">
        <v>8953</v>
      </c>
      <c r="K992" s="20" t="s">
        <v>8954</v>
      </c>
      <c r="L992" s="21" t="s">
        <v>8955</v>
      </c>
      <c r="M992" s="20" t="s">
        <v>8956</v>
      </c>
      <c r="N992" s="20" t="s">
        <v>8957</v>
      </c>
      <c r="O992" s="20">
        <f t="shared" si="15"/>
        <v>4</v>
      </c>
      <c r="P992" s="22" t="s">
        <v>8958</v>
      </c>
      <c r="Q992" s="21" t="s">
        <v>9061</v>
      </c>
      <c r="R992" s="23" t="s">
        <v>9010</v>
      </c>
      <c r="T992" s="24" t="str">
        <f>VLOOKUP(R992,[1]Sheet3!$A$2:$A$47,1,0)</f>
        <v>the United States of America</v>
      </c>
      <c r="U992" s="62" t="s">
        <v>14810</v>
      </c>
      <c r="V992" s="62" t="s">
        <v>14811</v>
      </c>
      <c r="Z992" s="24" t="s">
        <v>17</v>
      </c>
    </row>
    <row r="993" spans="1:26" ht="20.100000000000001" customHeight="1" x14ac:dyDescent="0.2">
      <c r="A993" s="62" t="s">
        <v>14812</v>
      </c>
      <c r="B993" s="62" t="s">
        <v>14813</v>
      </c>
      <c r="C993" s="63" t="s">
        <v>14814</v>
      </c>
      <c r="D993" s="8" t="s">
        <v>9035</v>
      </c>
      <c r="E993" s="20" t="s">
        <v>8998</v>
      </c>
      <c r="F993" s="20" t="s">
        <v>9102</v>
      </c>
      <c r="G993" s="20" t="s">
        <v>9076</v>
      </c>
      <c r="H993" s="20">
        <v>384</v>
      </c>
      <c r="I993" s="20" t="s">
        <v>8988</v>
      </c>
      <c r="J993" s="20" t="s">
        <v>8953</v>
      </c>
      <c r="K993" s="20" t="s">
        <v>8989</v>
      </c>
      <c r="L993" s="21" t="s">
        <v>8955</v>
      </c>
      <c r="M993" s="20" t="s">
        <v>8956</v>
      </c>
      <c r="N993" s="20" t="s">
        <v>8959</v>
      </c>
      <c r="O993" s="20">
        <f t="shared" si="15"/>
        <v>9</v>
      </c>
      <c r="P993" s="22" t="s">
        <v>8975</v>
      </c>
      <c r="Q993" s="21" t="s">
        <v>9009</v>
      </c>
      <c r="R993" s="23" t="s">
        <v>9246</v>
      </c>
      <c r="T993" s="24" t="str">
        <f>VLOOKUP(R993,[1]Sheet3!$A$2:$A$47,1,0)</f>
        <v>Netherlands</v>
      </c>
      <c r="U993" s="62" t="s">
        <v>14815</v>
      </c>
      <c r="V993" s="62" t="s">
        <v>14816</v>
      </c>
      <c r="Z993" s="24" t="s">
        <v>11</v>
      </c>
    </row>
    <row r="994" spans="1:26" ht="20.100000000000001" customHeight="1" x14ac:dyDescent="0.2">
      <c r="A994" s="62" t="s">
        <v>14817</v>
      </c>
      <c r="B994" s="62" t="s">
        <v>14818</v>
      </c>
      <c r="C994" s="63" t="s">
        <v>14819</v>
      </c>
      <c r="D994" s="8" t="s">
        <v>9035</v>
      </c>
      <c r="E994" s="20" t="s">
        <v>9308</v>
      </c>
      <c r="F994" s="20" t="s">
        <v>14820</v>
      </c>
      <c r="G994" s="20" t="s">
        <v>8951</v>
      </c>
      <c r="H994" s="20">
        <v>6087</v>
      </c>
      <c r="I994" s="20" t="s">
        <v>9019</v>
      </c>
      <c r="J994" s="20" t="s">
        <v>8953</v>
      </c>
      <c r="K994" s="20" t="s">
        <v>8989</v>
      </c>
      <c r="L994" s="21" t="s">
        <v>8955</v>
      </c>
      <c r="M994" s="20" t="s">
        <v>8956</v>
      </c>
      <c r="N994" s="20" t="s">
        <v>8959</v>
      </c>
      <c r="O994" s="20">
        <f t="shared" si="15"/>
        <v>10</v>
      </c>
      <c r="P994" s="22" t="s">
        <v>8975</v>
      </c>
      <c r="Q994" s="21" t="s">
        <v>8959</v>
      </c>
      <c r="R994" s="23" t="s">
        <v>9968</v>
      </c>
      <c r="T994" s="24" t="str">
        <f>VLOOKUP(R994,[1]Sheet3!$A$2:$A$47,1,0)</f>
        <v>Iran</v>
      </c>
      <c r="U994" s="62" t="s">
        <v>14821</v>
      </c>
      <c r="V994" s="62" t="s">
        <v>14822</v>
      </c>
      <c r="Z994" s="24" t="s">
        <v>17</v>
      </c>
    </row>
    <row r="995" spans="1:26" ht="20.100000000000001" customHeight="1" x14ac:dyDescent="0.2">
      <c r="A995" s="62" t="s">
        <v>14823</v>
      </c>
      <c r="B995" s="62" t="s">
        <v>14824</v>
      </c>
      <c r="C995" s="63" t="s">
        <v>14825</v>
      </c>
      <c r="D995" s="8" t="s">
        <v>9154</v>
      </c>
      <c r="E995" s="20" t="s">
        <v>8949</v>
      </c>
      <c r="F995" s="20" t="s">
        <v>9599</v>
      </c>
      <c r="G995" s="20" t="s">
        <v>8973</v>
      </c>
      <c r="H995" s="20">
        <v>453</v>
      </c>
      <c r="I995" s="20" t="s">
        <v>8988</v>
      </c>
      <c r="J995" s="20" t="s">
        <v>9059</v>
      </c>
      <c r="K995" s="20" t="s">
        <v>8954</v>
      </c>
      <c r="L995" s="21" t="s">
        <v>8955</v>
      </c>
      <c r="M995" s="20" t="s">
        <v>8956</v>
      </c>
      <c r="N995" s="20" t="s">
        <v>8957</v>
      </c>
      <c r="O995" s="20">
        <f t="shared" si="15"/>
        <v>10</v>
      </c>
      <c r="P995" s="22" t="s">
        <v>8975</v>
      </c>
      <c r="Q995" s="21" t="s">
        <v>8959</v>
      </c>
      <c r="R995" s="23" t="s">
        <v>9310</v>
      </c>
      <c r="T995" s="24" t="str">
        <f>VLOOKUP(R995,[1]Sheet3!$A$2:$A$47,1,0)</f>
        <v>China</v>
      </c>
      <c r="U995" s="62" t="s">
        <v>14826</v>
      </c>
      <c r="V995" s="62" t="s">
        <v>14827</v>
      </c>
      <c r="Z995" s="24" t="s">
        <v>17</v>
      </c>
    </row>
    <row r="996" spans="1:26" ht="20.100000000000001" customHeight="1" x14ac:dyDescent="0.2">
      <c r="A996" s="62" t="s">
        <v>14828</v>
      </c>
      <c r="B996" s="62" t="s">
        <v>14829</v>
      </c>
      <c r="C996" s="63" t="s">
        <v>14830</v>
      </c>
      <c r="D996" s="8" t="s">
        <v>9049</v>
      </c>
      <c r="E996" s="20" t="s">
        <v>9050</v>
      </c>
      <c r="F996" s="20" t="s">
        <v>14831</v>
      </c>
      <c r="G996" s="20" t="s">
        <v>8973</v>
      </c>
      <c r="H996" s="20">
        <f>32+64+128+256</f>
        <v>480</v>
      </c>
      <c r="I996" s="20" t="s">
        <v>8988</v>
      </c>
      <c r="J996" s="20" t="s">
        <v>8953</v>
      </c>
      <c r="K996" s="20" t="s">
        <v>8989</v>
      </c>
      <c r="L996" s="21" t="s">
        <v>8955</v>
      </c>
      <c r="M996" s="20" t="s">
        <v>8956</v>
      </c>
      <c r="N996" s="20" t="s">
        <v>8957</v>
      </c>
      <c r="O996" s="20">
        <f t="shared" si="15"/>
        <v>5</v>
      </c>
      <c r="P996" s="22" t="s">
        <v>8958</v>
      </c>
      <c r="Q996" s="21" t="s">
        <v>9009</v>
      </c>
      <c r="R996" s="23" t="s">
        <v>9010</v>
      </c>
      <c r="T996" s="24" t="str">
        <f>VLOOKUP(R996,[1]Sheet3!$A$2:$A$47,1,0)</f>
        <v>the United States of America</v>
      </c>
      <c r="U996" s="62" t="s">
        <v>14832</v>
      </c>
      <c r="V996" s="62" t="s">
        <v>14833</v>
      </c>
      <c r="Z996" s="24" t="s">
        <v>17</v>
      </c>
    </row>
    <row r="997" spans="1:26" ht="20.100000000000001" customHeight="1" x14ac:dyDescent="0.2">
      <c r="A997" s="62" t="s">
        <v>14834</v>
      </c>
      <c r="B997" s="62" t="s">
        <v>14835</v>
      </c>
      <c r="C997" s="63" t="s">
        <v>14836</v>
      </c>
      <c r="D997" s="8" t="s">
        <v>8948</v>
      </c>
      <c r="E997" s="20" t="s">
        <v>8949</v>
      </c>
      <c r="F997" s="20" t="s">
        <v>8950</v>
      </c>
      <c r="G997" s="20" t="s">
        <v>9133</v>
      </c>
      <c r="H997" s="20">
        <v>509</v>
      </c>
      <c r="I997" s="20" t="s">
        <v>9077</v>
      </c>
      <c r="J997" s="20" t="s">
        <v>8953</v>
      </c>
      <c r="K997" s="20" t="s">
        <v>8954</v>
      </c>
      <c r="L997" s="21" t="s">
        <v>8955</v>
      </c>
      <c r="M997" s="20" t="s">
        <v>8956</v>
      </c>
      <c r="N997" s="20" t="s">
        <v>9060</v>
      </c>
      <c r="O997" s="20">
        <f t="shared" si="15"/>
        <v>4</v>
      </c>
      <c r="P997" s="22" t="s">
        <v>8958</v>
      </c>
      <c r="Q997" s="21" t="s">
        <v>8959</v>
      </c>
      <c r="R997" s="23" t="s">
        <v>9310</v>
      </c>
      <c r="T997" s="24" t="str">
        <f>VLOOKUP(R997,[1]Sheet3!$A$2:$A$47,1,0)</f>
        <v>China</v>
      </c>
      <c r="U997" s="62" t="s">
        <v>14837</v>
      </c>
      <c r="V997" s="62" t="s">
        <v>14838</v>
      </c>
      <c r="Z997" s="24">
        <v>2019</v>
      </c>
    </row>
    <row r="998" spans="1:26" ht="20.100000000000001" customHeight="1" x14ac:dyDescent="0.2">
      <c r="A998" s="62" t="s">
        <v>14839</v>
      </c>
      <c r="B998" s="62" t="s">
        <v>14840</v>
      </c>
      <c r="C998" s="63" t="s">
        <v>14841</v>
      </c>
      <c r="D998" s="8" t="s">
        <v>9154</v>
      </c>
      <c r="E998" s="20" t="s">
        <v>9325</v>
      </c>
      <c r="F998" s="20" t="s">
        <v>14842</v>
      </c>
      <c r="G998" s="20" t="s">
        <v>8973</v>
      </c>
      <c r="H998" s="20">
        <v>2000</v>
      </c>
      <c r="I998" s="20" t="s">
        <v>8952</v>
      </c>
      <c r="J998" s="20" t="s">
        <v>8953</v>
      </c>
      <c r="K998" s="20" t="s">
        <v>8954</v>
      </c>
      <c r="L998" s="21" t="s">
        <v>8955</v>
      </c>
      <c r="M998" s="20" t="s">
        <v>8956</v>
      </c>
      <c r="N998" s="20" t="s">
        <v>8957</v>
      </c>
      <c r="O998" s="20">
        <f t="shared" si="15"/>
        <v>2</v>
      </c>
      <c r="P998" s="22" t="s">
        <v>9103</v>
      </c>
      <c r="Q998" s="21" t="s">
        <v>8959</v>
      </c>
      <c r="R998" s="23" t="s">
        <v>9310</v>
      </c>
      <c r="T998" s="24" t="str">
        <f>VLOOKUP(R998,[1]Sheet3!$A$2:$A$47,1,0)</f>
        <v>China</v>
      </c>
      <c r="U998" s="62" t="s">
        <v>14843</v>
      </c>
      <c r="V998" s="62" t="s">
        <v>14844</v>
      </c>
      <c r="Z998" s="24" t="s">
        <v>11</v>
      </c>
    </row>
    <row r="999" spans="1:26" ht="20.100000000000001" customHeight="1" x14ac:dyDescent="0.2">
      <c r="A999" s="62" t="s">
        <v>14845</v>
      </c>
      <c r="B999" s="62" t="s">
        <v>14846</v>
      </c>
      <c r="C999" s="63" t="s">
        <v>14847</v>
      </c>
      <c r="D999" s="8" t="s">
        <v>9605</v>
      </c>
      <c r="E999" s="20" t="s">
        <v>8971</v>
      </c>
      <c r="F999" s="20" t="s">
        <v>14848</v>
      </c>
      <c r="G999" s="20" t="s">
        <v>9292</v>
      </c>
      <c r="H999" s="20">
        <v>3430</v>
      </c>
      <c r="I999" s="20" t="s">
        <v>9019</v>
      </c>
      <c r="J999" s="20" t="s">
        <v>8953</v>
      </c>
      <c r="K999" s="20" t="s">
        <v>8989</v>
      </c>
      <c r="L999" s="21" t="s">
        <v>8955</v>
      </c>
      <c r="M999" s="20" t="s">
        <v>8956</v>
      </c>
      <c r="N999" s="20" t="s">
        <v>8957</v>
      </c>
      <c r="O999" s="20">
        <f t="shared" si="15"/>
        <v>8</v>
      </c>
      <c r="P999" s="22" t="s">
        <v>8975</v>
      </c>
      <c r="Q999" s="21" t="s">
        <v>8959</v>
      </c>
      <c r="R999" s="23" t="s">
        <v>9310</v>
      </c>
      <c r="T999" s="24" t="str">
        <f>VLOOKUP(R999,[1]Sheet3!$A$2:$A$47,1,0)</f>
        <v>China</v>
      </c>
      <c r="U999" s="62" t="s">
        <v>14849</v>
      </c>
      <c r="V999" s="62" t="s">
        <v>14850</v>
      </c>
      <c r="Z999" s="24" t="s">
        <v>17</v>
      </c>
    </row>
    <row r="1000" spans="1:26" ht="20.100000000000001" customHeight="1" x14ac:dyDescent="0.2">
      <c r="A1000" s="62" t="s">
        <v>14851</v>
      </c>
      <c r="B1000" s="62" t="s">
        <v>14852</v>
      </c>
      <c r="C1000" s="63" t="s">
        <v>14853</v>
      </c>
      <c r="D1000" s="8" t="s">
        <v>14854</v>
      </c>
      <c r="E1000" s="20" t="s">
        <v>9155</v>
      </c>
      <c r="F1000" s="20" t="s">
        <v>9036</v>
      </c>
      <c r="G1000" s="20" t="s">
        <v>9292</v>
      </c>
      <c r="H1000" s="20">
        <v>170052</v>
      </c>
      <c r="I1000" s="20" t="s">
        <v>9019</v>
      </c>
      <c r="J1000" s="20" t="s">
        <v>8953</v>
      </c>
      <c r="K1000" s="20" t="s">
        <v>8989</v>
      </c>
      <c r="L1000" s="21" t="s">
        <v>8955</v>
      </c>
      <c r="M1000" s="20" t="s">
        <v>8956</v>
      </c>
      <c r="N1000" s="20" t="s">
        <v>8957</v>
      </c>
      <c r="O1000" s="20">
        <f t="shared" si="15"/>
        <v>6</v>
      </c>
      <c r="P1000" s="22" t="s">
        <v>8958</v>
      </c>
      <c r="Q1000" s="21" t="s">
        <v>8959</v>
      </c>
      <c r="R1000" s="23" t="s">
        <v>9010</v>
      </c>
      <c r="T1000" s="24" t="str">
        <f>VLOOKUP(R1000,[1]Sheet3!$A$2:$A$47,1,0)</f>
        <v>the United States of America</v>
      </c>
      <c r="U1000" s="62" t="s">
        <v>14855</v>
      </c>
      <c r="V1000" s="62" t="s">
        <v>14856</v>
      </c>
      <c r="Z1000" s="24" t="s">
        <v>11</v>
      </c>
    </row>
    <row r="1001" spans="1:26" ht="20.100000000000001" customHeight="1" x14ac:dyDescent="0.2">
      <c r="A1001" s="62" t="s">
        <v>14857</v>
      </c>
      <c r="B1001" s="62" t="s">
        <v>14858</v>
      </c>
      <c r="C1001" s="63" t="s">
        <v>14859</v>
      </c>
      <c r="D1001" s="8" t="s">
        <v>8948</v>
      </c>
      <c r="E1001" s="20" t="s">
        <v>8998</v>
      </c>
      <c r="F1001" s="20" t="s">
        <v>10673</v>
      </c>
      <c r="G1001" s="20" t="s">
        <v>8973</v>
      </c>
      <c r="H1001" s="20">
        <v>19443</v>
      </c>
      <c r="I1001" s="20" t="s">
        <v>9019</v>
      </c>
      <c r="J1001" s="20" t="s">
        <v>8953</v>
      </c>
      <c r="K1001" s="20" t="s">
        <v>8989</v>
      </c>
      <c r="L1001" s="21" t="s">
        <v>8955</v>
      </c>
      <c r="M1001" s="20" t="s">
        <v>8956</v>
      </c>
      <c r="N1001" s="20" t="s">
        <v>8959</v>
      </c>
      <c r="O1001" s="20">
        <f t="shared" si="15"/>
        <v>6</v>
      </c>
      <c r="P1001" s="22" t="s">
        <v>8958</v>
      </c>
      <c r="Q1001" s="21" t="s">
        <v>9061</v>
      </c>
      <c r="R1001" s="23" t="s">
        <v>10687</v>
      </c>
      <c r="T1001" s="24" t="str">
        <f>VLOOKUP(R1001,[1]Sheet3!$A$2:$A$47,1,0)</f>
        <v>Poland</v>
      </c>
      <c r="U1001" s="62" t="s">
        <v>14860</v>
      </c>
      <c r="V1001" s="62" t="s">
        <v>14861</v>
      </c>
      <c r="Z1001" s="24" t="s">
        <v>17</v>
      </c>
    </row>
    <row r="1002" spans="1:26" ht="20.100000000000001" customHeight="1" x14ac:dyDescent="0.2">
      <c r="A1002" s="62" t="s">
        <v>14862</v>
      </c>
      <c r="B1002" s="62" t="s">
        <v>14863</v>
      </c>
      <c r="C1002" s="63" t="s">
        <v>14864</v>
      </c>
      <c r="D1002" s="8" t="s">
        <v>9605</v>
      </c>
      <c r="E1002" s="20" t="s">
        <v>9101</v>
      </c>
      <c r="F1002" s="20" t="s">
        <v>9036</v>
      </c>
      <c r="G1002" s="20" t="s">
        <v>8951</v>
      </c>
      <c r="H1002" s="20">
        <v>2000</v>
      </c>
      <c r="I1002" s="20" t="s">
        <v>8952</v>
      </c>
      <c r="J1002" s="20" t="s">
        <v>8953</v>
      </c>
      <c r="K1002" s="20" t="s">
        <v>8954</v>
      </c>
      <c r="L1002" s="21" t="s">
        <v>8955</v>
      </c>
      <c r="M1002" s="20" t="s">
        <v>8956</v>
      </c>
      <c r="N1002" s="20" t="s">
        <v>8957</v>
      </c>
      <c r="O1002" s="20">
        <f t="shared" si="15"/>
        <v>3</v>
      </c>
      <c r="P1002" s="22" t="s">
        <v>9103</v>
      </c>
      <c r="Q1002" s="21" t="s">
        <v>8959</v>
      </c>
      <c r="R1002" s="23" t="s">
        <v>9010</v>
      </c>
      <c r="T1002" s="24" t="str">
        <f>VLOOKUP(R1002,[1]Sheet3!$A$2:$A$47,1,0)</f>
        <v>the United States of America</v>
      </c>
      <c r="U1002" s="62" t="s">
        <v>14865</v>
      </c>
      <c r="V1002" s="62" t="s">
        <v>14866</v>
      </c>
      <c r="Z1002" s="24" t="s">
        <v>11</v>
      </c>
    </row>
    <row r="1003" spans="1:26" ht="20.100000000000001" customHeight="1" x14ac:dyDescent="0.2">
      <c r="A1003" s="62" t="s">
        <v>14867</v>
      </c>
      <c r="B1003" s="62" t="s">
        <v>14868</v>
      </c>
      <c r="C1003" s="63" t="s">
        <v>14869</v>
      </c>
      <c r="D1003" s="8" t="s">
        <v>8948</v>
      </c>
      <c r="E1003" s="20" t="s">
        <v>8949</v>
      </c>
      <c r="F1003" s="20" t="s">
        <v>14870</v>
      </c>
      <c r="G1003" s="20" t="s">
        <v>9076</v>
      </c>
      <c r="H1003" s="20">
        <v>567</v>
      </c>
      <c r="I1003" s="20" t="s">
        <v>9077</v>
      </c>
      <c r="J1003" s="20" t="s">
        <v>8953</v>
      </c>
      <c r="K1003" s="20" t="s">
        <v>8954</v>
      </c>
      <c r="L1003" s="21" t="s">
        <v>8955</v>
      </c>
      <c r="M1003" s="20" t="s">
        <v>8956</v>
      </c>
      <c r="N1003" s="20" t="s">
        <v>8957</v>
      </c>
      <c r="O1003" s="20">
        <f t="shared" si="15"/>
        <v>13</v>
      </c>
      <c r="P1003" s="22" t="s">
        <v>8975</v>
      </c>
      <c r="Q1003" s="21" t="s">
        <v>8959</v>
      </c>
      <c r="R1003" s="23" t="s">
        <v>9010</v>
      </c>
      <c r="T1003" s="24" t="str">
        <f>VLOOKUP(R1003,[1]Sheet3!$A$2:$A$47,1,0)</f>
        <v>the United States of America</v>
      </c>
      <c r="U1003" s="62" t="s">
        <v>14871</v>
      </c>
      <c r="V1003" s="62" t="s">
        <v>14872</v>
      </c>
      <c r="Z1003" s="24" t="s">
        <v>17</v>
      </c>
    </row>
    <row r="1004" spans="1:26" ht="20.100000000000001" customHeight="1" x14ac:dyDescent="0.2">
      <c r="A1004" s="62" t="s">
        <v>14873</v>
      </c>
      <c r="B1004" s="62" t="s">
        <v>14874</v>
      </c>
      <c r="C1004" s="63" t="s">
        <v>14875</v>
      </c>
      <c r="D1004" s="8" t="s">
        <v>9049</v>
      </c>
      <c r="E1004" s="20" t="s">
        <v>9050</v>
      </c>
      <c r="F1004" s="20" t="s">
        <v>10613</v>
      </c>
      <c r="G1004" s="20" t="s">
        <v>8987</v>
      </c>
      <c r="H1004" s="20">
        <f>78552+339</f>
        <v>78891</v>
      </c>
      <c r="I1004" s="20" t="s">
        <v>9019</v>
      </c>
      <c r="J1004" s="20" t="s">
        <v>8953</v>
      </c>
      <c r="K1004" s="20" t="s">
        <v>8954</v>
      </c>
      <c r="L1004" s="21" t="s">
        <v>8955</v>
      </c>
      <c r="M1004" s="20" t="s">
        <v>8956</v>
      </c>
      <c r="N1004" s="20" t="s">
        <v>8957</v>
      </c>
      <c r="O1004" s="20">
        <f t="shared" si="15"/>
        <v>5</v>
      </c>
      <c r="P1004" s="22" t="s">
        <v>8958</v>
      </c>
      <c r="Q1004" s="21" t="s">
        <v>8959</v>
      </c>
      <c r="R1004" s="23" t="s">
        <v>9310</v>
      </c>
      <c r="T1004" s="24" t="str">
        <f>VLOOKUP(R1004,[1]Sheet3!$A$2:$A$47,1,0)</f>
        <v>China</v>
      </c>
      <c r="U1004" s="62" t="s">
        <v>14876</v>
      </c>
      <c r="V1004" s="62" t="s">
        <v>14877</v>
      </c>
      <c r="Z1004" s="24" t="s">
        <v>17</v>
      </c>
    </row>
    <row r="1005" spans="1:26" ht="20.100000000000001" customHeight="1" x14ac:dyDescent="0.2">
      <c r="A1005" s="62" t="s">
        <v>14878</v>
      </c>
      <c r="B1005" s="62" t="s">
        <v>14879</v>
      </c>
      <c r="C1005" s="63" t="s">
        <v>14880</v>
      </c>
      <c r="D1005" s="8" t="s">
        <v>8948</v>
      </c>
      <c r="E1005" s="20" t="s">
        <v>8971</v>
      </c>
      <c r="F1005" s="20" t="s">
        <v>8950</v>
      </c>
      <c r="G1005" s="20" t="s">
        <v>8987</v>
      </c>
      <c r="H1005" s="20">
        <v>501</v>
      </c>
      <c r="I1005" s="20" t="s">
        <v>9077</v>
      </c>
      <c r="J1005" s="20" t="s">
        <v>8953</v>
      </c>
      <c r="K1005" s="20" t="s">
        <v>8989</v>
      </c>
      <c r="L1005" s="21" t="s">
        <v>8955</v>
      </c>
      <c r="M1005" s="20" t="s">
        <v>8956</v>
      </c>
      <c r="N1005" s="20" t="s">
        <v>8959</v>
      </c>
      <c r="O1005" s="20">
        <f t="shared" si="15"/>
        <v>4</v>
      </c>
      <c r="P1005" s="22" t="s">
        <v>8958</v>
      </c>
      <c r="Q1005" s="21" t="s">
        <v>8959</v>
      </c>
      <c r="R1005" s="23" t="s">
        <v>14748</v>
      </c>
      <c r="T1005" s="24" t="str">
        <f>VLOOKUP(R1005,[1]Sheet3!$A$2:$A$47,1,0)</f>
        <v>Turkey</v>
      </c>
      <c r="U1005" s="62" t="s">
        <v>14881</v>
      </c>
      <c r="V1005" s="62" t="s">
        <v>14882</v>
      </c>
      <c r="Z1005" s="24" t="s">
        <v>17</v>
      </c>
    </row>
    <row r="1006" spans="1:26" ht="20.100000000000001" customHeight="1" x14ac:dyDescent="0.2">
      <c r="A1006" s="62" t="s">
        <v>14883</v>
      </c>
      <c r="B1006" s="62" t="s">
        <v>14884</v>
      </c>
      <c r="C1006" s="63" t="s">
        <v>14885</v>
      </c>
      <c r="D1006" s="8" t="s">
        <v>9035</v>
      </c>
      <c r="E1006" s="20" t="s">
        <v>8998</v>
      </c>
      <c r="F1006" s="20" t="s">
        <v>10258</v>
      </c>
      <c r="G1006" s="20" t="s">
        <v>8973</v>
      </c>
      <c r="H1006" s="20">
        <f>391+56+539</f>
        <v>986</v>
      </c>
      <c r="I1006" s="20" t="s">
        <v>9077</v>
      </c>
      <c r="J1006" s="20" t="s">
        <v>8953</v>
      </c>
      <c r="K1006" s="20" t="s">
        <v>8954</v>
      </c>
      <c r="L1006" s="21" t="s">
        <v>8955</v>
      </c>
      <c r="M1006" s="20" t="s">
        <v>8956</v>
      </c>
      <c r="N1006" s="20" t="s">
        <v>8957</v>
      </c>
      <c r="O1006" s="20">
        <f t="shared" si="15"/>
        <v>8</v>
      </c>
      <c r="P1006" s="22" t="s">
        <v>8975</v>
      </c>
      <c r="Q1006" s="21" t="s">
        <v>8959</v>
      </c>
      <c r="R1006" s="23" t="s">
        <v>9310</v>
      </c>
      <c r="T1006" s="24" t="str">
        <f>VLOOKUP(R1006,[1]Sheet3!$A$2:$A$47,1,0)</f>
        <v>China</v>
      </c>
      <c r="U1006" s="62" t="s">
        <v>14886</v>
      </c>
      <c r="V1006" s="62" t="s">
        <v>14887</v>
      </c>
      <c r="Z1006" s="24">
        <v>2019</v>
      </c>
    </row>
    <row r="1007" spans="1:26" ht="20.100000000000001" customHeight="1" x14ac:dyDescent="0.2">
      <c r="A1007" s="62" t="s">
        <v>14888</v>
      </c>
      <c r="B1007" s="62" t="s">
        <v>14889</v>
      </c>
      <c r="C1007" s="63" t="s">
        <v>14890</v>
      </c>
      <c r="D1007" s="8" t="s">
        <v>8948</v>
      </c>
      <c r="E1007" s="20" t="s">
        <v>8949</v>
      </c>
      <c r="F1007" s="20" t="s">
        <v>8950</v>
      </c>
      <c r="G1007" s="20" t="s">
        <v>8973</v>
      </c>
      <c r="H1007" s="20">
        <v>11</v>
      </c>
      <c r="I1007" s="20" t="s">
        <v>9008</v>
      </c>
      <c r="J1007" s="20" t="s">
        <v>8953</v>
      </c>
      <c r="K1007" s="20" t="s">
        <v>8989</v>
      </c>
      <c r="L1007" s="21" t="s">
        <v>8955</v>
      </c>
      <c r="M1007" s="20" t="s">
        <v>8956</v>
      </c>
      <c r="N1007" s="20" t="s">
        <v>8957</v>
      </c>
      <c r="O1007" s="20">
        <f t="shared" si="15"/>
        <v>8</v>
      </c>
      <c r="P1007" s="22" t="s">
        <v>8975</v>
      </c>
      <c r="Q1007" s="21" t="s">
        <v>8959</v>
      </c>
      <c r="R1007" s="23" t="s">
        <v>10687</v>
      </c>
      <c r="T1007" s="24" t="str">
        <f>VLOOKUP(R1007,[1]Sheet3!$A$2:$A$47,1,0)</f>
        <v>Poland</v>
      </c>
      <c r="U1007" s="62" t="s">
        <v>14891</v>
      </c>
      <c r="V1007" s="62" t="s">
        <v>14892</v>
      </c>
      <c r="Z1007" s="24" t="s">
        <v>920</v>
      </c>
    </row>
    <row r="1008" spans="1:26" ht="20.100000000000001" customHeight="1" x14ac:dyDescent="0.2">
      <c r="A1008" s="62" t="s">
        <v>14893</v>
      </c>
      <c r="B1008" s="62" t="s">
        <v>14894</v>
      </c>
      <c r="C1008" s="63" t="s">
        <v>14895</v>
      </c>
      <c r="D1008" s="8" t="s">
        <v>9035</v>
      </c>
      <c r="E1008" s="20" t="s">
        <v>8998</v>
      </c>
      <c r="F1008" s="20" t="s">
        <v>8950</v>
      </c>
      <c r="G1008" s="20" t="s">
        <v>8951</v>
      </c>
      <c r="H1008" s="20">
        <v>200</v>
      </c>
      <c r="I1008" s="20" t="s">
        <v>9158</v>
      </c>
      <c r="J1008" s="20" t="s">
        <v>8953</v>
      </c>
      <c r="K1008" s="20" t="s">
        <v>8989</v>
      </c>
      <c r="L1008" s="21" t="s">
        <v>8955</v>
      </c>
      <c r="M1008" s="20" t="s">
        <v>8956</v>
      </c>
      <c r="N1008" s="20" t="s">
        <v>8957</v>
      </c>
      <c r="O1008" s="20">
        <f t="shared" si="15"/>
        <v>9</v>
      </c>
      <c r="P1008" s="22" t="s">
        <v>8975</v>
      </c>
      <c r="Q1008" s="21" t="s">
        <v>9061</v>
      </c>
      <c r="R1008" s="23" t="s">
        <v>9310</v>
      </c>
      <c r="T1008" s="24" t="str">
        <f>VLOOKUP(R1008,[1]Sheet3!$A$2:$A$47,1,0)</f>
        <v>China</v>
      </c>
      <c r="U1008" s="62" t="s">
        <v>14896</v>
      </c>
      <c r="V1008" s="62" t="s">
        <v>14897</v>
      </c>
      <c r="Z1008" s="24">
        <v>2019</v>
      </c>
    </row>
    <row r="1009" spans="1:26" ht="20.100000000000001" customHeight="1" x14ac:dyDescent="0.2">
      <c r="A1009" s="62" t="s">
        <v>14898</v>
      </c>
      <c r="B1009" s="62" t="s">
        <v>14899</v>
      </c>
      <c r="C1009" s="63" t="s">
        <v>14900</v>
      </c>
      <c r="D1009" s="8" t="s">
        <v>9092</v>
      </c>
      <c r="E1009" s="20" t="s">
        <v>9155</v>
      </c>
      <c r="F1009" s="20" t="s">
        <v>8950</v>
      </c>
      <c r="G1009" s="20" t="s">
        <v>8973</v>
      </c>
      <c r="H1009" s="20">
        <v>98</v>
      </c>
      <c r="I1009" s="20" t="s">
        <v>9008</v>
      </c>
      <c r="J1009" s="20" t="s">
        <v>8953</v>
      </c>
      <c r="K1009" s="20" t="s">
        <v>8989</v>
      </c>
      <c r="L1009" s="21" t="s">
        <v>8955</v>
      </c>
      <c r="M1009" s="20" t="s">
        <v>8956</v>
      </c>
      <c r="N1009" s="20" t="s">
        <v>8957</v>
      </c>
      <c r="O1009" s="20">
        <f t="shared" si="15"/>
        <v>10</v>
      </c>
      <c r="P1009" s="22" t="s">
        <v>8975</v>
      </c>
      <c r="Q1009" s="21" t="s">
        <v>8959</v>
      </c>
      <c r="R1009" s="23" t="s">
        <v>9010</v>
      </c>
      <c r="T1009" s="24" t="str">
        <f>VLOOKUP(R1009,[1]Sheet3!$A$2:$A$47,1,0)</f>
        <v>the United States of America</v>
      </c>
      <c r="U1009" s="62" t="s">
        <v>14901</v>
      </c>
      <c r="V1009" s="62" t="s">
        <v>14902</v>
      </c>
      <c r="Z1009" s="24" t="s">
        <v>11</v>
      </c>
    </row>
    <row r="1010" spans="1:26" ht="20.100000000000001" customHeight="1" x14ac:dyDescent="0.2">
      <c r="A1010" s="62" t="s">
        <v>14903</v>
      </c>
      <c r="B1010" s="62" t="s">
        <v>14904</v>
      </c>
      <c r="C1010" s="63" t="s">
        <v>14905</v>
      </c>
      <c r="D1010" s="8" t="s">
        <v>11014</v>
      </c>
      <c r="E1010" s="20" t="s">
        <v>8949</v>
      </c>
      <c r="F1010" s="20" t="s">
        <v>8950</v>
      </c>
      <c r="G1010" s="20" t="s">
        <v>9133</v>
      </c>
      <c r="H1010" s="20">
        <v>192</v>
      </c>
      <c r="I1010" s="20" t="s">
        <v>9158</v>
      </c>
      <c r="J1010" s="20" t="s">
        <v>8953</v>
      </c>
      <c r="K1010" s="20" t="s">
        <v>8989</v>
      </c>
      <c r="L1010" s="21" t="s">
        <v>8955</v>
      </c>
      <c r="M1010" s="20" t="s">
        <v>8956</v>
      </c>
      <c r="N1010" s="20" t="s">
        <v>8957</v>
      </c>
      <c r="O1010" s="20">
        <f t="shared" si="15"/>
        <v>6</v>
      </c>
      <c r="P1010" s="22" t="s">
        <v>8958</v>
      </c>
      <c r="Q1010" s="21" t="s">
        <v>9061</v>
      </c>
      <c r="R1010" s="23" t="s">
        <v>9310</v>
      </c>
      <c r="T1010" s="24" t="str">
        <f>VLOOKUP(R1010,[1]Sheet3!$A$2:$A$47,1,0)</f>
        <v>China</v>
      </c>
      <c r="U1010" s="62" t="s">
        <v>14906</v>
      </c>
      <c r="V1010" s="62" t="s">
        <v>14907</v>
      </c>
      <c r="Z1010" s="24" t="s">
        <v>11</v>
      </c>
    </row>
    <row r="1011" spans="1:26" ht="20.100000000000001" customHeight="1" x14ac:dyDescent="0.2">
      <c r="A1011" s="62" t="s">
        <v>14908</v>
      </c>
      <c r="B1011" s="62" t="s">
        <v>14909</v>
      </c>
      <c r="C1011" s="63" t="s">
        <v>14910</v>
      </c>
      <c r="D1011" s="8" t="s">
        <v>8948</v>
      </c>
      <c r="E1011" s="20" t="s">
        <v>8949</v>
      </c>
      <c r="F1011" s="20" t="s">
        <v>14911</v>
      </c>
      <c r="G1011" s="20" t="s">
        <v>8973</v>
      </c>
      <c r="H1011" s="20">
        <v>384</v>
      </c>
      <c r="I1011" s="20" t="s">
        <v>8988</v>
      </c>
      <c r="J1011" s="20" t="s">
        <v>8953</v>
      </c>
      <c r="K1011" s="20" t="s">
        <v>8989</v>
      </c>
      <c r="L1011" s="21" t="s">
        <v>8955</v>
      </c>
      <c r="M1011" s="20" t="s">
        <v>8956</v>
      </c>
      <c r="N1011" s="20" t="s">
        <v>8957</v>
      </c>
      <c r="O1011" s="20">
        <f t="shared" si="15"/>
        <v>4</v>
      </c>
      <c r="P1011" s="22" t="s">
        <v>8958</v>
      </c>
      <c r="Q1011" s="21" t="s">
        <v>8959</v>
      </c>
      <c r="R1011" s="23" t="s">
        <v>9310</v>
      </c>
      <c r="T1011" s="24" t="str">
        <f>VLOOKUP(R1011,[1]Sheet3!$A$2:$A$47,1,0)</f>
        <v>China</v>
      </c>
      <c r="U1011" s="62" t="s">
        <v>14912</v>
      </c>
      <c r="V1011" s="62" t="s">
        <v>14913</v>
      </c>
      <c r="Z1011" s="24" t="s">
        <v>11</v>
      </c>
    </row>
    <row r="1012" spans="1:26" ht="20.100000000000001" customHeight="1" x14ac:dyDescent="0.2">
      <c r="A1012" s="62" t="s">
        <v>14914</v>
      </c>
      <c r="B1012" s="62" t="s">
        <v>14915</v>
      </c>
      <c r="C1012" s="63" t="s">
        <v>14916</v>
      </c>
      <c r="D1012" s="8" t="s">
        <v>8948</v>
      </c>
      <c r="E1012" s="20" t="s">
        <v>8949</v>
      </c>
      <c r="F1012" s="20" t="s">
        <v>8950</v>
      </c>
      <c r="G1012" s="20" t="s">
        <v>8951</v>
      </c>
      <c r="H1012" s="20">
        <v>616</v>
      </c>
      <c r="I1012" s="20" t="s">
        <v>9077</v>
      </c>
      <c r="J1012" s="20" t="s">
        <v>8953</v>
      </c>
      <c r="K1012" s="20" t="s">
        <v>8989</v>
      </c>
      <c r="L1012" s="21" t="s">
        <v>8955</v>
      </c>
      <c r="M1012" s="20" t="s">
        <v>8956</v>
      </c>
      <c r="N1012" s="20" t="s">
        <v>8957</v>
      </c>
      <c r="O1012" s="20">
        <f t="shared" si="15"/>
        <v>6</v>
      </c>
      <c r="P1012" s="22" t="s">
        <v>8958</v>
      </c>
      <c r="Q1012" s="21" t="s">
        <v>8959</v>
      </c>
      <c r="R1012" s="23" t="s">
        <v>10446</v>
      </c>
      <c r="T1012" s="24" t="str">
        <f>VLOOKUP(R1012,[1]Sheet3!$A$2:$A$47,1,0)</f>
        <v>Taiwan</v>
      </c>
      <c r="U1012" s="62" t="s">
        <v>14917</v>
      </c>
      <c r="V1012" s="62" t="s">
        <v>14918</v>
      </c>
      <c r="Z1012" s="24" t="s">
        <v>17</v>
      </c>
    </row>
    <row r="1013" spans="1:26" ht="20.100000000000001" customHeight="1" x14ac:dyDescent="0.2">
      <c r="A1013" s="62" t="s">
        <v>14919</v>
      </c>
      <c r="B1013" s="62" t="s">
        <v>14920</v>
      </c>
      <c r="C1013" s="63" t="s">
        <v>14921</v>
      </c>
      <c r="D1013" s="8" t="s">
        <v>9049</v>
      </c>
      <c r="E1013" s="20" t="s">
        <v>9050</v>
      </c>
      <c r="F1013" s="20" t="s">
        <v>8950</v>
      </c>
      <c r="G1013" s="20" t="s">
        <v>8951</v>
      </c>
      <c r="H1013" s="20">
        <v>248</v>
      </c>
      <c r="I1013" s="20" t="s">
        <v>9158</v>
      </c>
      <c r="J1013" s="20" t="s">
        <v>8953</v>
      </c>
      <c r="K1013" s="20" t="s">
        <v>8954</v>
      </c>
      <c r="L1013" s="21" t="s">
        <v>8955</v>
      </c>
      <c r="M1013" s="20" t="s">
        <v>8956</v>
      </c>
      <c r="N1013" s="20" t="s">
        <v>8959</v>
      </c>
      <c r="O1013" s="20">
        <f t="shared" si="15"/>
        <v>5</v>
      </c>
      <c r="P1013" s="22" t="s">
        <v>8958</v>
      </c>
      <c r="Q1013" s="21" t="s">
        <v>8959</v>
      </c>
      <c r="R1013" s="23" t="s">
        <v>9968</v>
      </c>
      <c r="T1013" s="24" t="str">
        <f>VLOOKUP(R1013,[1]Sheet3!$A$2:$A$47,1,0)</f>
        <v>Iran</v>
      </c>
      <c r="U1013" s="62" t="s">
        <v>14922</v>
      </c>
      <c r="V1013" s="62" t="s">
        <v>14923</v>
      </c>
      <c r="Z1013" s="24" t="s">
        <v>11</v>
      </c>
    </row>
    <row r="1014" spans="1:26" ht="20.100000000000001" customHeight="1" x14ac:dyDescent="0.2">
      <c r="A1014" s="62" t="s">
        <v>14924</v>
      </c>
      <c r="B1014" s="62" t="s">
        <v>14925</v>
      </c>
      <c r="C1014" s="63" t="s">
        <v>14926</v>
      </c>
      <c r="D1014" s="8" t="s">
        <v>8948</v>
      </c>
      <c r="E1014" s="20" t="s">
        <v>9121</v>
      </c>
      <c r="F1014" s="20" t="s">
        <v>9599</v>
      </c>
      <c r="G1014" s="20" t="s">
        <v>9133</v>
      </c>
      <c r="H1014" s="20">
        <f>70+49+34+17</f>
        <v>170</v>
      </c>
      <c r="I1014" s="20" t="s">
        <v>9158</v>
      </c>
      <c r="J1014" s="20" t="s">
        <v>8953</v>
      </c>
      <c r="K1014" s="20" t="s">
        <v>8954</v>
      </c>
      <c r="L1014" s="21" t="s">
        <v>8955</v>
      </c>
      <c r="M1014" s="20" t="s">
        <v>8956</v>
      </c>
      <c r="N1014" s="20" t="s">
        <v>8957</v>
      </c>
      <c r="O1014" s="20">
        <f t="shared" si="15"/>
        <v>11</v>
      </c>
      <c r="P1014" s="22" t="s">
        <v>8975</v>
      </c>
      <c r="Q1014" s="21" t="s">
        <v>9009</v>
      </c>
      <c r="R1014" s="23" t="s">
        <v>9333</v>
      </c>
      <c r="T1014" s="24" t="str">
        <f>VLOOKUP(R1014,[1]Sheet3!$A$2:$A$47,1,0)</f>
        <v>Japan</v>
      </c>
      <c r="U1014" s="62" t="s">
        <v>14927</v>
      </c>
      <c r="V1014" s="62" t="s">
        <v>14928</v>
      </c>
      <c r="Z1014" s="24" t="s">
        <v>11</v>
      </c>
    </row>
    <row r="1015" spans="1:26" ht="20.100000000000001" customHeight="1" x14ac:dyDescent="0.2">
      <c r="A1015" s="62" t="s">
        <v>14929</v>
      </c>
      <c r="B1015" s="62" t="s">
        <v>14930</v>
      </c>
      <c r="C1015" s="63" t="s">
        <v>14931</v>
      </c>
      <c r="D1015" s="8" t="s">
        <v>9605</v>
      </c>
      <c r="E1015" s="20" t="s">
        <v>9155</v>
      </c>
      <c r="F1015" s="20" t="s">
        <v>8950</v>
      </c>
      <c r="G1015" s="20" t="s">
        <v>9292</v>
      </c>
      <c r="H1015" s="20">
        <f>222314+9938</f>
        <v>232252</v>
      </c>
      <c r="I1015" s="20" t="s">
        <v>9019</v>
      </c>
      <c r="J1015" s="20" t="s">
        <v>8953</v>
      </c>
      <c r="K1015" s="20" t="s">
        <v>8954</v>
      </c>
      <c r="L1015" s="21" t="s">
        <v>8955</v>
      </c>
      <c r="M1015" s="20" t="s">
        <v>8956</v>
      </c>
      <c r="N1015" s="20" t="s">
        <v>8957</v>
      </c>
      <c r="O1015" s="20">
        <f t="shared" si="15"/>
        <v>4</v>
      </c>
      <c r="P1015" s="22" t="s">
        <v>8958</v>
      </c>
      <c r="Q1015" s="21" t="s">
        <v>9009</v>
      </c>
      <c r="R1015" s="23" t="s">
        <v>9310</v>
      </c>
      <c r="T1015" s="24" t="str">
        <f>VLOOKUP(R1015,[1]Sheet3!$A$2:$A$47,1,0)</f>
        <v>China</v>
      </c>
      <c r="U1015" s="62" t="s">
        <v>14932</v>
      </c>
      <c r="V1015" s="62" t="s">
        <v>14933</v>
      </c>
      <c r="Z1015" s="24" t="s">
        <v>11</v>
      </c>
    </row>
    <row r="1016" spans="1:26" ht="20.100000000000001" customHeight="1" x14ac:dyDescent="0.2">
      <c r="A1016" s="62" t="s">
        <v>14934</v>
      </c>
      <c r="B1016" s="62" t="s">
        <v>14935</v>
      </c>
      <c r="C1016" s="63" t="s">
        <v>14936</v>
      </c>
      <c r="D1016" s="8" t="s">
        <v>9173</v>
      </c>
      <c r="E1016" s="20" t="s">
        <v>9174</v>
      </c>
      <c r="F1016" s="20" t="s">
        <v>14937</v>
      </c>
      <c r="G1016" s="20" t="s">
        <v>8951</v>
      </c>
      <c r="H1016" s="20">
        <v>10015</v>
      </c>
      <c r="I1016" s="20" t="s">
        <v>9019</v>
      </c>
      <c r="J1016" s="20" t="s">
        <v>8953</v>
      </c>
      <c r="K1016" s="20" t="s">
        <v>8954</v>
      </c>
      <c r="L1016" s="21" t="s">
        <v>8955</v>
      </c>
      <c r="M1016" s="20" t="s">
        <v>8956</v>
      </c>
      <c r="N1016" s="20" t="s">
        <v>8959</v>
      </c>
      <c r="O1016" s="20">
        <f t="shared" si="15"/>
        <v>2</v>
      </c>
      <c r="P1016" s="22" t="s">
        <v>9103</v>
      </c>
      <c r="Q1016" s="21" t="s">
        <v>8959</v>
      </c>
      <c r="R1016" s="23" t="s">
        <v>9380</v>
      </c>
      <c r="T1016" s="24" t="str">
        <f>VLOOKUP(R1016,[1]Sheet3!$A$2:$A$47,1,0)</f>
        <v>Canada</v>
      </c>
      <c r="U1016" s="62" t="s">
        <v>14938</v>
      </c>
      <c r="V1016" s="62" t="s">
        <v>14939</v>
      </c>
      <c r="Z1016" s="24">
        <v>2019</v>
      </c>
    </row>
    <row r="1017" spans="1:26" ht="20.100000000000001" customHeight="1" x14ac:dyDescent="0.2">
      <c r="A1017" s="62" t="s">
        <v>14940</v>
      </c>
      <c r="B1017" s="62" t="s">
        <v>14941</v>
      </c>
      <c r="C1017" s="63" t="s">
        <v>14942</v>
      </c>
      <c r="D1017" s="8" t="s">
        <v>9173</v>
      </c>
      <c r="E1017" s="20" t="s">
        <v>9174</v>
      </c>
      <c r="F1017" s="20" t="s">
        <v>10673</v>
      </c>
      <c r="G1017" s="20" t="s">
        <v>8987</v>
      </c>
      <c r="H1017" s="20">
        <v>1800</v>
      </c>
      <c r="I1017" s="20" t="s">
        <v>8952</v>
      </c>
      <c r="J1017" s="20" t="s">
        <v>8953</v>
      </c>
      <c r="K1017" s="20" t="s">
        <v>8954</v>
      </c>
      <c r="L1017" s="21" t="s">
        <v>8955</v>
      </c>
      <c r="M1017" s="20" t="s">
        <v>8956</v>
      </c>
      <c r="N1017" s="20" t="s">
        <v>8959</v>
      </c>
      <c r="O1017" s="20">
        <f t="shared" si="15"/>
        <v>2</v>
      </c>
      <c r="P1017" s="22" t="s">
        <v>9103</v>
      </c>
      <c r="Q1017" s="21" t="s">
        <v>8959</v>
      </c>
      <c r="R1017" s="23" t="s">
        <v>9815</v>
      </c>
      <c r="T1017" s="24" t="str">
        <f>VLOOKUP(R1017,[1]Sheet3!$A$2:$A$47,1,0)</f>
        <v>India</v>
      </c>
      <c r="U1017" s="62" t="s">
        <v>14943</v>
      </c>
      <c r="V1017" s="62" t="s">
        <v>14944</v>
      </c>
      <c r="Z1017" s="24" t="s">
        <v>17</v>
      </c>
    </row>
    <row r="1018" spans="1:26" ht="20.100000000000001" customHeight="1" x14ac:dyDescent="0.2">
      <c r="A1018" s="62" t="s">
        <v>14945</v>
      </c>
      <c r="B1018" s="62" t="s">
        <v>14946</v>
      </c>
      <c r="C1018" s="63" t="s">
        <v>14947</v>
      </c>
      <c r="D1018" s="8" t="s">
        <v>14948</v>
      </c>
      <c r="E1018" s="20" t="s">
        <v>9101</v>
      </c>
      <c r="F1018" s="21" t="s">
        <v>14949</v>
      </c>
      <c r="G1018" s="20" t="s">
        <v>8951</v>
      </c>
      <c r="H1018" s="20">
        <v>604</v>
      </c>
      <c r="I1018" s="20" t="s">
        <v>9077</v>
      </c>
      <c r="J1018" s="20" t="s">
        <v>8953</v>
      </c>
      <c r="K1018" s="20" t="s">
        <v>8954</v>
      </c>
      <c r="L1018" s="21" t="s">
        <v>8955</v>
      </c>
      <c r="M1018" s="20" t="s">
        <v>8956</v>
      </c>
      <c r="N1018" s="20" t="s">
        <v>8957</v>
      </c>
      <c r="O1018" s="20">
        <f t="shared" si="15"/>
        <v>7</v>
      </c>
      <c r="P1018" s="22" t="s">
        <v>8958</v>
      </c>
      <c r="Q1018" s="21" t="s">
        <v>8959</v>
      </c>
      <c r="R1018" s="23" t="s">
        <v>9310</v>
      </c>
      <c r="T1018" s="24" t="str">
        <f>VLOOKUP(R1018,[1]Sheet3!$A$2:$A$47,1,0)</f>
        <v>China</v>
      </c>
      <c r="U1018" s="62" t="s">
        <v>14950</v>
      </c>
      <c r="V1018" s="62" t="s">
        <v>14951</v>
      </c>
      <c r="Z1018" s="24" t="s">
        <v>11</v>
      </c>
    </row>
    <row r="1019" spans="1:26" ht="20.100000000000001" customHeight="1" x14ac:dyDescent="0.2">
      <c r="A1019" s="62" t="s">
        <v>14952</v>
      </c>
      <c r="B1019" s="62" t="s">
        <v>14953</v>
      </c>
      <c r="C1019" s="63" t="s">
        <v>14954</v>
      </c>
      <c r="D1019" s="8" t="s">
        <v>9252</v>
      </c>
      <c r="E1019" s="20" t="s">
        <v>9121</v>
      </c>
      <c r="F1019" s="20" t="s">
        <v>9018</v>
      </c>
      <c r="G1019" s="20" t="s">
        <v>9157</v>
      </c>
      <c r="H1019" s="20">
        <v>1299</v>
      </c>
      <c r="I1019" s="20" t="s">
        <v>8952</v>
      </c>
      <c r="J1019" s="20" t="s">
        <v>8953</v>
      </c>
      <c r="K1019" s="20" t="s">
        <v>8954</v>
      </c>
      <c r="L1019" s="21" t="s">
        <v>8955</v>
      </c>
      <c r="M1019" s="20" t="s">
        <v>8956</v>
      </c>
      <c r="N1019" s="20" t="s">
        <v>8957</v>
      </c>
      <c r="O1019" s="20">
        <f t="shared" si="15"/>
        <v>11</v>
      </c>
      <c r="P1019" s="22" t="s">
        <v>8975</v>
      </c>
      <c r="Q1019" s="21" t="s">
        <v>9009</v>
      </c>
      <c r="R1019" s="23" t="s">
        <v>12908</v>
      </c>
      <c r="T1019" s="24" t="str">
        <f>VLOOKUP(R1019,[1]Sheet3!$A$2:$A$47,1,0)</f>
        <v>Finland</v>
      </c>
      <c r="U1019" s="62" t="s">
        <v>14955</v>
      </c>
      <c r="V1019" s="62" t="s">
        <v>14956</v>
      </c>
      <c r="Z1019" s="24" t="s">
        <v>17</v>
      </c>
    </row>
    <row r="1020" spans="1:26" ht="20.100000000000001" customHeight="1" x14ac:dyDescent="0.2">
      <c r="A1020" s="62" t="s">
        <v>14957</v>
      </c>
      <c r="B1020" s="62" t="s">
        <v>14958</v>
      </c>
      <c r="C1020" s="63" t="s">
        <v>14959</v>
      </c>
      <c r="D1020" s="8" t="s">
        <v>9154</v>
      </c>
      <c r="E1020" s="20" t="s">
        <v>9308</v>
      </c>
      <c r="F1020" s="20" t="s">
        <v>8950</v>
      </c>
      <c r="G1020" s="20" t="s">
        <v>9464</v>
      </c>
      <c r="H1020" s="20">
        <v>6000</v>
      </c>
      <c r="I1020" s="20" t="s">
        <v>9019</v>
      </c>
      <c r="J1020" s="20" t="s">
        <v>8953</v>
      </c>
      <c r="K1020" s="20" t="s">
        <v>8989</v>
      </c>
      <c r="L1020" s="21" t="s">
        <v>8955</v>
      </c>
      <c r="M1020" s="20" t="s">
        <v>8956</v>
      </c>
      <c r="N1020" s="20" t="s">
        <v>8957</v>
      </c>
      <c r="O1020" s="20">
        <f t="shared" si="15"/>
        <v>9</v>
      </c>
      <c r="P1020" s="22" t="s">
        <v>8975</v>
      </c>
      <c r="Q1020" s="21" t="s">
        <v>8959</v>
      </c>
      <c r="R1020" s="23" t="s">
        <v>9010</v>
      </c>
      <c r="T1020" s="24" t="str">
        <f>VLOOKUP(R1020,[1]Sheet3!$A$2:$A$47,1,0)</f>
        <v>the United States of America</v>
      </c>
      <c r="U1020" s="62" t="s">
        <v>14960</v>
      </c>
      <c r="V1020" s="62" t="s">
        <v>14961</v>
      </c>
      <c r="Z1020" s="24" t="s">
        <v>17</v>
      </c>
    </row>
    <row r="1021" spans="1:26" ht="20.100000000000001" customHeight="1" x14ac:dyDescent="0.2">
      <c r="A1021" s="62" t="s">
        <v>14962</v>
      </c>
      <c r="B1021" s="62" t="s">
        <v>14963</v>
      </c>
      <c r="C1021" s="63" t="s">
        <v>14964</v>
      </c>
      <c r="D1021" s="8" t="s">
        <v>9173</v>
      </c>
      <c r="E1021" s="20" t="s">
        <v>8971</v>
      </c>
      <c r="F1021" s="20" t="s">
        <v>8950</v>
      </c>
      <c r="G1021" s="20" t="s">
        <v>8951</v>
      </c>
      <c r="H1021" s="20">
        <v>73</v>
      </c>
      <c r="I1021" s="20" t="s">
        <v>9008</v>
      </c>
      <c r="J1021" s="20" t="s">
        <v>8953</v>
      </c>
      <c r="K1021" s="20" t="s">
        <v>8989</v>
      </c>
      <c r="L1021" s="21" t="s">
        <v>9182</v>
      </c>
      <c r="M1021" s="20" t="s">
        <v>8956</v>
      </c>
      <c r="N1021" s="20" t="s">
        <v>8959</v>
      </c>
      <c r="O1021" s="20">
        <f t="shared" si="15"/>
        <v>2</v>
      </c>
      <c r="P1021" s="22" t="s">
        <v>9103</v>
      </c>
      <c r="Q1021" s="21" t="s">
        <v>9009</v>
      </c>
      <c r="R1021" s="23" t="s">
        <v>9387</v>
      </c>
      <c r="T1021" s="24" t="str">
        <f>VLOOKUP(R1021,[1]Sheet3!$A$2:$A$47,1,0)</f>
        <v>Israel</v>
      </c>
      <c r="U1021" s="62" t="s">
        <v>14965</v>
      </c>
      <c r="V1021" s="62" t="s">
        <v>14966</v>
      </c>
      <c r="Z1021" s="24" t="s">
        <v>920</v>
      </c>
    </row>
    <row r="1022" spans="1:26" ht="20.100000000000001" customHeight="1" x14ac:dyDescent="0.2">
      <c r="A1022" s="62" t="s">
        <v>14967</v>
      </c>
      <c r="B1022" s="62" t="s">
        <v>14968</v>
      </c>
      <c r="C1022" s="63" t="s">
        <v>14969</v>
      </c>
      <c r="D1022" s="8" t="s">
        <v>8948</v>
      </c>
      <c r="E1022" s="20" t="s">
        <v>8998</v>
      </c>
      <c r="F1022" s="20" t="s">
        <v>10673</v>
      </c>
      <c r="G1022" s="20" t="s">
        <v>9464</v>
      </c>
      <c r="H1022" s="20">
        <v>3600</v>
      </c>
      <c r="I1022" s="20" t="s">
        <v>9019</v>
      </c>
      <c r="J1022" s="20" t="s">
        <v>8953</v>
      </c>
      <c r="K1022" s="20" t="s">
        <v>8954</v>
      </c>
      <c r="L1022" s="21" t="s">
        <v>8955</v>
      </c>
      <c r="M1022" s="20" t="s">
        <v>8956</v>
      </c>
      <c r="N1022" s="20" t="s">
        <v>8957</v>
      </c>
      <c r="O1022" s="20">
        <f t="shared" si="15"/>
        <v>5</v>
      </c>
      <c r="P1022" s="22" t="s">
        <v>8958</v>
      </c>
      <c r="Q1022" s="21" t="s">
        <v>9061</v>
      </c>
      <c r="R1022" s="23" t="s">
        <v>9333</v>
      </c>
      <c r="T1022" s="24" t="str">
        <f>VLOOKUP(R1022,[1]Sheet3!$A$2:$A$47,1,0)</f>
        <v>Japan</v>
      </c>
      <c r="U1022" s="62" t="s">
        <v>14970</v>
      </c>
      <c r="V1022" s="62" t="s">
        <v>14971</v>
      </c>
      <c r="Z1022" s="24" t="s">
        <v>11</v>
      </c>
    </row>
    <row r="1023" spans="1:26" ht="20.100000000000001" customHeight="1" x14ac:dyDescent="0.2">
      <c r="A1023" s="62" t="s">
        <v>14972</v>
      </c>
      <c r="B1023" s="62" t="s">
        <v>14973</v>
      </c>
      <c r="C1023" s="63" t="s">
        <v>14974</v>
      </c>
      <c r="D1023" s="8" t="s">
        <v>9075</v>
      </c>
      <c r="E1023" s="20" t="s">
        <v>8971</v>
      </c>
      <c r="F1023" s="20" t="s">
        <v>14975</v>
      </c>
      <c r="G1023" s="20" t="s">
        <v>8973</v>
      </c>
      <c r="H1023" s="20">
        <v>43</v>
      </c>
      <c r="I1023" s="20" t="s">
        <v>9008</v>
      </c>
      <c r="J1023" s="20" t="s">
        <v>9059</v>
      </c>
      <c r="K1023" s="20" t="s">
        <v>8989</v>
      </c>
      <c r="L1023" s="21" t="s">
        <v>8955</v>
      </c>
      <c r="M1023" s="20" t="s">
        <v>8956</v>
      </c>
      <c r="N1023" s="20" t="s">
        <v>8957</v>
      </c>
      <c r="O1023" s="20">
        <f t="shared" si="15"/>
        <v>11</v>
      </c>
      <c r="P1023" s="22" t="s">
        <v>8975</v>
      </c>
      <c r="Q1023" s="21" t="s">
        <v>9061</v>
      </c>
      <c r="R1023" s="23" t="s">
        <v>9010</v>
      </c>
      <c r="T1023" s="24" t="str">
        <f>VLOOKUP(R1023,[1]Sheet3!$A$2:$A$47,1,0)</f>
        <v>the United States of America</v>
      </c>
      <c r="U1023" s="62" t="s">
        <v>10270</v>
      </c>
      <c r="V1023" s="62" t="s">
        <v>14976</v>
      </c>
      <c r="Z1023" s="24" t="s">
        <v>1114</v>
      </c>
    </row>
    <row r="1024" spans="1:26" ht="20.100000000000001" customHeight="1" x14ac:dyDescent="0.2">
      <c r="A1024" s="62" t="s">
        <v>14977</v>
      </c>
      <c r="B1024" s="62" t="s">
        <v>14978</v>
      </c>
      <c r="C1024" s="63" t="s">
        <v>14979</v>
      </c>
      <c r="D1024" s="8" t="s">
        <v>8948</v>
      </c>
      <c r="E1024" s="20" t="s">
        <v>8971</v>
      </c>
      <c r="F1024" s="20" t="s">
        <v>10673</v>
      </c>
      <c r="G1024" s="20" t="s">
        <v>8973</v>
      </c>
      <c r="H1024" s="20">
        <v>2165</v>
      </c>
      <c r="I1024" s="20" t="s">
        <v>8952</v>
      </c>
      <c r="J1024" s="20" t="s">
        <v>8953</v>
      </c>
      <c r="K1024" s="20" t="s">
        <v>8989</v>
      </c>
      <c r="L1024" s="21" t="s">
        <v>8955</v>
      </c>
      <c r="M1024" s="20" t="s">
        <v>8956</v>
      </c>
      <c r="N1024" s="20" t="s">
        <v>8957</v>
      </c>
      <c r="O1024" s="20">
        <f t="shared" si="15"/>
        <v>5</v>
      </c>
      <c r="P1024" s="22" t="s">
        <v>8958</v>
      </c>
      <c r="Q1024" s="21" t="s">
        <v>9061</v>
      </c>
      <c r="R1024" s="23" t="s">
        <v>9310</v>
      </c>
      <c r="T1024" s="24" t="str">
        <f>VLOOKUP(R1024,[1]Sheet3!$A$2:$A$47,1,0)</f>
        <v>China</v>
      </c>
      <c r="U1024" s="62" t="s">
        <v>14980</v>
      </c>
      <c r="V1024" s="62" t="s">
        <v>14981</v>
      </c>
      <c r="Z1024" s="24" t="s">
        <v>17</v>
      </c>
    </row>
    <row r="1025" spans="1:26" ht="20.100000000000001" customHeight="1" x14ac:dyDescent="0.2">
      <c r="A1025" s="62" t="s">
        <v>14982</v>
      </c>
      <c r="B1025" s="62" t="s">
        <v>14983</v>
      </c>
      <c r="C1025" s="63" t="s">
        <v>14984</v>
      </c>
      <c r="D1025" s="8" t="s">
        <v>9092</v>
      </c>
      <c r="E1025" s="20" t="s">
        <v>9121</v>
      </c>
      <c r="F1025" s="20" t="s">
        <v>9036</v>
      </c>
      <c r="G1025" s="20" t="s">
        <v>9076</v>
      </c>
      <c r="H1025" s="20" t="s">
        <v>9479</v>
      </c>
      <c r="I1025" s="20" t="s">
        <v>9479</v>
      </c>
      <c r="J1025" s="20" t="s">
        <v>9479</v>
      </c>
      <c r="K1025" s="20" t="s">
        <v>8954</v>
      </c>
      <c r="L1025" s="21" t="s">
        <v>8955</v>
      </c>
      <c r="M1025" s="20" t="s">
        <v>8956</v>
      </c>
      <c r="N1025" s="20" t="s">
        <v>8959</v>
      </c>
      <c r="O1025" s="20">
        <f t="shared" si="15"/>
        <v>3</v>
      </c>
      <c r="P1025" s="22" t="s">
        <v>9103</v>
      </c>
      <c r="Q1025" s="21" t="s">
        <v>8959</v>
      </c>
      <c r="R1025" s="23" t="s">
        <v>9815</v>
      </c>
      <c r="T1025" s="24" t="str">
        <f>VLOOKUP(R1025,[1]Sheet3!$A$2:$A$47,1,0)</f>
        <v>India</v>
      </c>
      <c r="U1025" s="62" t="s">
        <v>14985</v>
      </c>
      <c r="V1025" s="62" t="s">
        <v>14986</v>
      </c>
      <c r="Z1025" s="24" t="s">
        <v>17</v>
      </c>
    </row>
    <row r="1026" spans="1:26" ht="20.100000000000001" customHeight="1" x14ac:dyDescent="0.2">
      <c r="A1026" s="62" t="s">
        <v>14987</v>
      </c>
      <c r="B1026" s="62" t="s">
        <v>14988</v>
      </c>
      <c r="C1026" s="63" t="s">
        <v>14989</v>
      </c>
      <c r="D1026" s="8" t="s">
        <v>9092</v>
      </c>
      <c r="E1026" s="20" t="s">
        <v>9325</v>
      </c>
      <c r="F1026" s="20" t="s">
        <v>8950</v>
      </c>
      <c r="G1026" s="20" t="s">
        <v>8951</v>
      </c>
      <c r="H1026" s="20">
        <v>1620</v>
      </c>
      <c r="I1026" s="20" t="s">
        <v>8952</v>
      </c>
      <c r="J1026" s="20" t="s">
        <v>8953</v>
      </c>
      <c r="K1026" s="20" t="s">
        <v>8989</v>
      </c>
      <c r="L1026" s="21" t="s">
        <v>8955</v>
      </c>
      <c r="M1026" s="20" t="s">
        <v>8956</v>
      </c>
      <c r="N1026" s="20" t="s">
        <v>8957</v>
      </c>
      <c r="O1026" s="20">
        <f t="shared" ref="O1026:O1089" si="16">1+LEN(V1026)-LEN(SUBSTITUTE(V1026,";",))</f>
        <v>10</v>
      </c>
      <c r="P1026" s="22" t="s">
        <v>8975</v>
      </c>
      <c r="Q1026" s="21" t="s">
        <v>8959</v>
      </c>
      <c r="R1026" s="23" t="s">
        <v>12908</v>
      </c>
      <c r="T1026" s="24" t="str">
        <f>VLOOKUP(R1026,[1]Sheet3!$A$2:$A$47,1,0)</f>
        <v>Finland</v>
      </c>
      <c r="U1026" s="62" t="s">
        <v>14990</v>
      </c>
      <c r="V1026" s="62" t="s">
        <v>14991</v>
      </c>
      <c r="Z1026" s="24" t="s">
        <v>17</v>
      </c>
    </row>
    <row r="1027" spans="1:26" ht="20.100000000000001" customHeight="1" x14ac:dyDescent="0.2">
      <c r="A1027" s="62" t="s">
        <v>14992</v>
      </c>
      <c r="B1027" s="62" t="s">
        <v>14993</v>
      </c>
      <c r="C1027" s="63" t="s">
        <v>14994</v>
      </c>
      <c r="D1027" s="8" t="s">
        <v>8984</v>
      </c>
      <c r="E1027" s="20" t="s">
        <v>8949</v>
      </c>
      <c r="F1027" s="20" t="s">
        <v>8950</v>
      </c>
      <c r="G1027" s="20" t="s">
        <v>9157</v>
      </c>
      <c r="H1027" s="20">
        <v>86</v>
      </c>
      <c r="I1027" s="20" t="s">
        <v>9008</v>
      </c>
      <c r="J1027" s="20" t="s">
        <v>8953</v>
      </c>
      <c r="K1027" s="20" t="s">
        <v>8989</v>
      </c>
      <c r="L1027" s="21" t="s">
        <v>8955</v>
      </c>
      <c r="M1027" s="20" t="s">
        <v>8956</v>
      </c>
      <c r="N1027" s="20" t="s">
        <v>8957</v>
      </c>
      <c r="O1027" s="20">
        <f t="shared" si="16"/>
        <v>11</v>
      </c>
      <c r="P1027" s="22" t="s">
        <v>8975</v>
      </c>
      <c r="Q1027" s="21" t="s">
        <v>9061</v>
      </c>
      <c r="R1027" s="23" t="s">
        <v>9310</v>
      </c>
      <c r="T1027" s="24" t="str">
        <f>VLOOKUP(R1027,[1]Sheet3!$A$2:$A$47,1,0)</f>
        <v>China</v>
      </c>
      <c r="U1027" s="62" t="s">
        <v>14995</v>
      </c>
      <c r="V1027" s="62" t="s">
        <v>14996</v>
      </c>
      <c r="Z1027" s="24" t="s">
        <v>11</v>
      </c>
    </row>
    <row r="1028" spans="1:26" ht="20.100000000000001" customHeight="1" x14ac:dyDescent="0.2">
      <c r="A1028" s="62" t="s">
        <v>14997</v>
      </c>
      <c r="B1028" s="62" t="s">
        <v>14998</v>
      </c>
      <c r="C1028" s="63" t="s">
        <v>14999</v>
      </c>
      <c r="D1028" s="8" t="s">
        <v>8948</v>
      </c>
      <c r="E1028" s="20" t="s">
        <v>8998</v>
      </c>
      <c r="F1028" s="20" t="s">
        <v>15000</v>
      </c>
      <c r="G1028" s="20" t="s">
        <v>8973</v>
      </c>
      <c r="H1028" s="20">
        <v>80</v>
      </c>
      <c r="I1028" s="20" t="s">
        <v>9008</v>
      </c>
      <c r="J1028" s="20" t="s">
        <v>9059</v>
      </c>
      <c r="K1028" s="20" t="s">
        <v>8989</v>
      </c>
      <c r="L1028" s="21" t="s">
        <v>8955</v>
      </c>
      <c r="M1028" s="20" t="s">
        <v>8956</v>
      </c>
      <c r="N1028" s="20" t="s">
        <v>8957</v>
      </c>
      <c r="O1028" s="20">
        <f t="shared" si="16"/>
        <v>10</v>
      </c>
      <c r="P1028" s="22" t="s">
        <v>8975</v>
      </c>
      <c r="Q1028" s="21" t="s">
        <v>9061</v>
      </c>
      <c r="R1028" s="23" t="s">
        <v>9010</v>
      </c>
      <c r="T1028" s="24" t="str">
        <f>VLOOKUP(R1028,[1]Sheet3!$A$2:$A$47,1,0)</f>
        <v>the United States of America</v>
      </c>
      <c r="U1028" s="62" t="s">
        <v>10270</v>
      </c>
      <c r="V1028" s="62" t="s">
        <v>15001</v>
      </c>
      <c r="Z1028" s="24" t="s">
        <v>11</v>
      </c>
    </row>
    <row r="1029" spans="1:26" ht="20.100000000000001" customHeight="1" x14ac:dyDescent="0.2">
      <c r="A1029" s="62" t="s">
        <v>15002</v>
      </c>
      <c r="B1029" s="62" t="s">
        <v>15003</v>
      </c>
      <c r="C1029" s="63" t="s">
        <v>15004</v>
      </c>
      <c r="D1029" s="8" t="s">
        <v>8984</v>
      </c>
      <c r="E1029" s="20" t="s">
        <v>8998</v>
      </c>
      <c r="F1029" s="20" t="s">
        <v>10673</v>
      </c>
      <c r="G1029" s="20" t="s">
        <v>8973</v>
      </c>
      <c r="H1029" s="20">
        <v>104</v>
      </c>
      <c r="I1029" s="20" t="s">
        <v>9158</v>
      </c>
      <c r="J1029" s="20" t="s">
        <v>8953</v>
      </c>
      <c r="K1029" s="20" t="s">
        <v>8989</v>
      </c>
      <c r="L1029" s="21" t="s">
        <v>8955</v>
      </c>
      <c r="M1029" s="20" t="s">
        <v>8956</v>
      </c>
      <c r="N1029" s="20" t="s">
        <v>8957</v>
      </c>
      <c r="O1029" s="20">
        <f t="shared" si="16"/>
        <v>5</v>
      </c>
      <c r="P1029" s="22" t="s">
        <v>8958</v>
      </c>
      <c r="Q1029" s="21" t="s">
        <v>8959</v>
      </c>
      <c r="R1029" s="23" t="s">
        <v>9123</v>
      </c>
      <c r="T1029" s="24" t="str">
        <f>VLOOKUP(R1029,[1]Sheet3!$A$2:$A$47,1,0)</f>
        <v>France</v>
      </c>
      <c r="U1029" s="62" t="s">
        <v>15005</v>
      </c>
      <c r="V1029" s="62" t="s">
        <v>15006</v>
      </c>
      <c r="Z1029" s="24" t="s">
        <v>11</v>
      </c>
    </row>
    <row r="1030" spans="1:26" ht="20.100000000000001" customHeight="1" x14ac:dyDescent="0.2">
      <c r="A1030" s="65" t="s">
        <v>15007</v>
      </c>
      <c r="B1030" s="65" t="s">
        <v>15008</v>
      </c>
      <c r="C1030" s="66" t="s">
        <v>15009</v>
      </c>
      <c r="D1030" s="8" t="s">
        <v>9605</v>
      </c>
      <c r="E1030" s="35" t="s">
        <v>9121</v>
      </c>
      <c r="F1030" s="35" t="s">
        <v>8950</v>
      </c>
      <c r="G1030" s="35" t="s">
        <v>9076</v>
      </c>
      <c r="H1030" s="35">
        <v>5000</v>
      </c>
      <c r="I1030" s="35" t="s">
        <v>9019</v>
      </c>
      <c r="J1030" s="35" t="s">
        <v>8953</v>
      </c>
      <c r="K1030" s="35" t="s">
        <v>8989</v>
      </c>
      <c r="L1030" s="37" t="s">
        <v>8955</v>
      </c>
      <c r="M1030" s="35" t="s">
        <v>8956</v>
      </c>
      <c r="N1030" s="35" t="s">
        <v>8957</v>
      </c>
      <c r="O1030" s="35">
        <f t="shared" si="16"/>
        <v>7</v>
      </c>
      <c r="P1030" s="38" t="s">
        <v>8958</v>
      </c>
      <c r="Q1030" s="37" t="s">
        <v>8959</v>
      </c>
      <c r="R1030" s="39" t="s">
        <v>9310</v>
      </c>
      <c r="S1030" s="67"/>
      <c r="T1030" s="24" t="str">
        <f>VLOOKUP(R1030,[1]Sheet3!$A$2:$A$47,1,0)</f>
        <v>China</v>
      </c>
      <c r="U1030" s="65" t="s">
        <v>15010</v>
      </c>
      <c r="V1030" s="65" t="s">
        <v>15011</v>
      </c>
      <c r="W1030" s="26"/>
      <c r="Y1030" s="26"/>
      <c r="Z1030" s="24" t="s">
        <v>17</v>
      </c>
    </row>
    <row r="1031" spans="1:26" ht="20.100000000000001" customHeight="1" x14ac:dyDescent="0.2">
      <c r="A1031" s="62" t="s">
        <v>15012</v>
      </c>
      <c r="B1031" s="62" t="s">
        <v>15013</v>
      </c>
      <c r="C1031" s="63" t="s">
        <v>15014</v>
      </c>
      <c r="D1031" s="8" t="s">
        <v>9075</v>
      </c>
      <c r="E1031" s="20" t="s">
        <v>8949</v>
      </c>
      <c r="F1031" s="20" t="s">
        <v>8950</v>
      </c>
      <c r="G1031" s="20" t="s">
        <v>8973</v>
      </c>
      <c r="H1031" s="20">
        <v>33</v>
      </c>
      <c r="I1031" s="20" t="s">
        <v>9008</v>
      </c>
      <c r="J1031" s="20" t="s">
        <v>8953</v>
      </c>
      <c r="K1031" s="20" t="s">
        <v>8989</v>
      </c>
      <c r="L1031" s="21" t="s">
        <v>8955</v>
      </c>
      <c r="M1031" s="20" t="s">
        <v>8956</v>
      </c>
      <c r="N1031" s="20" t="s">
        <v>8959</v>
      </c>
      <c r="O1031" s="20">
        <f t="shared" si="16"/>
        <v>3</v>
      </c>
      <c r="P1031" s="22" t="s">
        <v>9103</v>
      </c>
      <c r="Q1031" s="21" t="s">
        <v>8959</v>
      </c>
      <c r="R1031" s="23" t="s">
        <v>9310</v>
      </c>
      <c r="T1031" s="24" t="str">
        <f>VLOOKUP(R1031,[1]Sheet3!$A$2:$A$47,1,0)</f>
        <v>China</v>
      </c>
      <c r="U1031" s="62" t="s">
        <v>15015</v>
      </c>
      <c r="V1031" s="62" t="s">
        <v>15016</v>
      </c>
      <c r="Z1031" s="24" t="s">
        <v>17</v>
      </c>
    </row>
    <row r="1032" spans="1:26" ht="20.100000000000001" customHeight="1" x14ac:dyDescent="0.2">
      <c r="A1032" s="62" t="s">
        <v>15017</v>
      </c>
      <c r="B1032" s="62" t="s">
        <v>15018</v>
      </c>
      <c r="C1032" s="63" t="s">
        <v>15019</v>
      </c>
      <c r="D1032" s="8" t="s">
        <v>8948</v>
      </c>
      <c r="E1032" s="20" t="s">
        <v>8949</v>
      </c>
      <c r="F1032" s="20" t="s">
        <v>8950</v>
      </c>
      <c r="G1032" s="20" t="s">
        <v>8973</v>
      </c>
      <c r="H1032" s="20">
        <v>51000</v>
      </c>
      <c r="I1032" s="20" t="s">
        <v>9019</v>
      </c>
      <c r="J1032" s="20" t="s">
        <v>8953</v>
      </c>
      <c r="K1032" s="20" t="s">
        <v>8989</v>
      </c>
      <c r="L1032" s="21" t="s">
        <v>8955</v>
      </c>
      <c r="M1032" s="20" t="s">
        <v>8956</v>
      </c>
      <c r="N1032" s="20" t="s">
        <v>8959</v>
      </c>
      <c r="O1032" s="20">
        <f t="shared" si="16"/>
        <v>5</v>
      </c>
      <c r="P1032" s="22" t="s">
        <v>8958</v>
      </c>
      <c r="Q1032" s="21" t="s">
        <v>8959</v>
      </c>
      <c r="R1032" s="23" t="s">
        <v>9310</v>
      </c>
      <c r="T1032" s="24" t="str">
        <f>VLOOKUP(R1032,[1]Sheet3!$A$2:$A$47,1,0)</f>
        <v>China</v>
      </c>
      <c r="U1032" s="62" t="s">
        <v>15020</v>
      </c>
      <c r="V1032" s="62" t="s">
        <v>15021</v>
      </c>
      <c r="Z1032" s="24" t="s">
        <v>17</v>
      </c>
    </row>
    <row r="1033" spans="1:26" ht="20.100000000000001" customHeight="1" x14ac:dyDescent="0.2">
      <c r="A1033" s="62" t="s">
        <v>15022</v>
      </c>
      <c r="B1033" s="62" t="s">
        <v>15023</v>
      </c>
      <c r="C1033" s="63" t="s">
        <v>15024</v>
      </c>
      <c r="D1033" s="8" t="s">
        <v>8948</v>
      </c>
      <c r="E1033" s="20" t="s">
        <v>8949</v>
      </c>
      <c r="F1033" s="20" t="s">
        <v>8950</v>
      </c>
      <c r="G1033" s="20" t="s">
        <v>9076</v>
      </c>
      <c r="H1033" s="20">
        <v>288</v>
      </c>
      <c r="I1033" s="20" t="s">
        <v>8988</v>
      </c>
      <c r="J1033" s="20" t="s">
        <v>8953</v>
      </c>
      <c r="K1033" s="20" t="s">
        <v>8954</v>
      </c>
      <c r="L1033" s="21" t="s">
        <v>8955</v>
      </c>
      <c r="M1033" s="20" t="s">
        <v>8956</v>
      </c>
      <c r="N1033" s="20" t="s">
        <v>8957</v>
      </c>
      <c r="O1033" s="20">
        <f t="shared" si="16"/>
        <v>8</v>
      </c>
      <c r="P1033" s="22" t="s">
        <v>8975</v>
      </c>
      <c r="Q1033" s="21" t="s">
        <v>8959</v>
      </c>
      <c r="R1033" s="23" t="s">
        <v>9310</v>
      </c>
      <c r="T1033" s="24" t="str">
        <f>VLOOKUP(R1033,[1]Sheet3!$A$2:$A$47,1,0)</f>
        <v>China</v>
      </c>
      <c r="U1033" s="62" t="s">
        <v>15025</v>
      </c>
      <c r="V1033" s="62" t="s">
        <v>15026</v>
      </c>
      <c r="Z1033" s="24" t="s">
        <v>11</v>
      </c>
    </row>
    <row r="1034" spans="1:26" ht="20.100000000000001" customHeight="1" x14ac:dyDescent="0.2">
      <c r="A1034" s="62" t="s">
        <v>15027</v>
      </c>
      <c r="B1034" s="62" t="s">
        <v>15028</v>
      </c>
      <c r="C1034" s="63" t="s">
        <v>15029</v>
      </c>
      <c r="D1034" s="8" t="s">
        <v>8948</v>
      </c>
      <c r="E1034" s="20" t="s">
        <v>9725</v>
      </c>
      <c r="F1034" s="20" t="s">
        <v>10093</v>
      </c>
      <c r="G1034" s="20" t="s">
        <v>9292</v>
      </c>
      <c r="H1034" s="20">
        <f>393+243+667</f>
        <v>1303</v>
      </c>
      <c r="I1034" s="20" t="s">
        <v>8952</v>
      </c>
      <c r="J1034" s="20" t="s">
        <v>9059</v>
      </c>
      <c r="K1034" s="20" t="s">
        <v>8954</v>
      </c>
      <c r="L1034" s="21" t="s">
        <v>8955</v>
      </c>
      <c r="M1034" s="20" t="s">
        <v>8956</v>
      </c>
      <c r="N1034" s="20" t="s">
        <v>8957</v>
      </c>
      <c r="O1034" s="20">
        <f t="shared" si="16"/>
        <v>6</v>
      </c>
      <c r="P1034" s="22" t="s">
        <v>8958</v>
      </c>
      <c r="Q1034" s="21" t="s">
        <v>9009</v>
      </c>
      <c r="R1034" s="23" t="s">
        <v>9213</v>
      </c>
      <c r="T1034" s="24" t="str">
        <f>VLOOKUP(R1034,[1]Sheet3!$A$2:$A$47,1,0)</f>
        <v>South Korea</v>
      </c>
      <c r="U1034" s="62" t="s">
        <v>15030</v>
      </c>
      <c r="V1034" s="62" t="s">
        <v>15031</v>
      </c>
      <c r="Z1034" s="24" t="s">
        <v>17</v>
      </c>
    </row>
    <row r="1035" spans="1:26" ht="20.100000000000001" customHeight="1" x14ac:dyDescent="0.2">
      <c r="A1035" s="62" t="s">
        <v>15032</v>
      </c>
      <c r="B1035" s="62" t="s">
        <v>15033</v>
      </c>
      <c r="C1035" s="63" t="s">
        <v>15034</v>
      </c>
      <c r="D1035" s="8" t="s">
        <v>9092</v>
      </c>
      <c r="E1035" s="20" t="s">
        <v>9308</v>
      </c>
      <c r="F1035" s="20" t="s">
        <v>10673</v>
      </c>
      <c r="G1035" s="20" t="s">
        <v>8973</v>
      </c>
      <c r="H1035" s="20">
        <v>35</v>
      </c>
      <c r="I1035" s="20" t="s">
        <v>9008</v>
      </c>
      <c r="J1035" s="20" t="s">
        <v>8953</v>
      </c>
      <c r="K1035" s="20" t="s">
        <v>8989</v>
      </c>
      <c r="L1035" s="21" t="s">
        <v>8955</v>
      </c>
      <c r="M1035" s="20" t="s">
        <v>8956</v>
      </c>
      <c r="N1035" s="20" t="s">
        <v>8957</v>
      </c>
      <c r="O1035" s="20">
        <f t="shared" si="16"/>
        <v>5</v>
      </c>
      <c r="P1035" s="22" t="s">
        <v>8958</v>
      </c>
      <c r="Q1035" s="21" t="s">
        <v>8959</v>
      </c>
      <c r="R1035" s="23" t="s">
        <v>10446</v>
      </c>
      <c r="T1035" s="24" t="str">
        <f>VLOOKUP(R1035,[1]Sheet3!$A$2:$A$47,1,0)</f>
        <v>Taiwan</v>
      </c>
      <c r="U1035" s="62" t="s">
        <v>15035</v>
      </c>
      <c r="V1035" s="62" t="s">
        <v>15036</v>
      </c>
      <c r="Z1035" s="24" t="s">
        <v>17</v>
      </c>
    </row>
    <row r="1036" spans="1:26" ht="20.100000000000001" customHeight="1" x14ac:dyDescent="0.2">
      <c r="A1036" s="62" t="s">
        <v>15037</v>
      </c>
      <c r="B1036" s="62" t="s">
        <v>15038</v>
      </c>
      <c r="C1036" s="63" t="s">
        <v>15039</v>
      </c>
      <c r="D1036" s="8" t="s">
        <v>9092</v>
      </c>
      <c r="E1036" s="20" t="s">
        <v>8985</v>
      </c>
      <c r="F1036" s="20" t="s">
        <v>15040</v>
      </c>
      <c r="G1036" s="20" t="s">
        <v>9292</v>
      </c>
      <c r="H1036" s="20">
        <v>942</v>
      </c>
      <c r="I1036" s="20" t="s">
        <v>9077</v>
      </c>
      <c r="J1036" s="20" t="s">
        <v>8953</v>
      </c>
      <c r="K1036" s="20" t="s">
        <v>8989</v>
      </c>
      <c r="L1036" s="21" t="s">
        <v>8955</v>
      </c>
      <c r="M1036" s="20" t="s">
        <v>8956</v>
      </c>
      <c r="N1036" s="20" t="s">
        <v>8957</v>
      </c>
      <c r="O1036" s="20">
        <f t="shared" si="16"/>
        <v>9</v>
      </c>
      <c r="P1036" s="22" t="s">
        <v>8975</v>
      </c>
      <c r="Q1036" s="21" t="s">
        <v>8959</v>
      </c>
      <c r="R1036" s="23" t="s">
        <v>9010</v>
      </c>
      <c r="T1036" s="24" t="str">
        <f>VLOOKUP(R1036,[1]Sheet3!$A$2:$A$47,1,0)</f>
        <v>the United States of America</v>
      </c>
      <c r="U1036" s="62" t="s">
        <v>15041</v>
      </c>
      <c r="V1036" s="62" t="s">
        <v>15042</v>
      </c>
      <c r="Z1036" s="24" t="s">
        <v>1114</v>
      </c>
    </row>
    <row r="1037" spans="1:26" ht="20.100000000000001" customHeight="1" x14ac:dyDescent="0.2">
      <c r="A1037" s="62" t="s">
        <v>15043</v>
      </c>
      <c r="B1037" s="62" t="s">
        <v>15044</v>
      </c>
      <c r="C1037" s="63" t="s">
        <v>15045</v>
      </c>
      <c r="D1037" s="8" t="s">
        <v>9252</v>
      </c>
      <c r="E1037" s="20" t="s">
        <v>9253</v>
      </c>
      <c r="F1037" s="20" t="s">
        <v>8950</v>
      </c>
      <c r="G1037" s="20" t="s">
        <v>9292</v>
      </c>
      <c r="H1037" s="20">
        <v>27000</v>
      </c>
      <c r="I1037" s="20" t="s">
        <v>9019</v>
      </c>
      <c r="J1037" s="20" t="s">
        <v>8953</v>
      </c>
      <c r="K1037" s="20" t="s">
        <v>8954</v>
      </c>
      <c r="L1037" s="21" t="s">
        <v>8955</v>
      </c>
      <c r="M1037" s="20" t="s">
        <v>8956</v>
      </c>
      <c r="N1037" s="20" t="s">
        <v>8959</v>
      </c>
      <c r="O1037" s="20">
        <f t="shared" si="16"/>
        <v>15</v>
      </c>
      <c r="P1037" s="22" t="s">
        <v>8975</v>
      </c>
      <c r="Q1037" s="21" t="s">
        <v>9061</v>
      </c>
      <c r="R1037" s="23" t="s">
        <v>9246</v>
      </c>
      <c r="T1037" s="24" t="str">
        <f>VLOOKUP(R1037,[1]Sheet3!$A$2:$A$47,1,0)</f>
        <v>Netherlands</v>
      </c>
      <c r="U1037" s="62" t="s">
        <v>15046</v>
      </c>
      <c r="V1037" s="62" t="s">
        <v>15047</v>
      </c>
      <c r="Z1037" s="24" t="s">
        <v>17</v>
      </c>
    </row>
    <row r="1038" spans="1:26" ht="20.100000000000001" customHeight="1" x14ac:dyDescent="0.2">
      <c r="A1038" s="62" t="s">
        <v>15048</v>
      </c>
      <c r="B1038" s="62" t="s">
        <v>15049</v>
      </c>
      <c r="C1038" s="63" t="s">
        <v>15050</v>
      </c>
      <c r="D1038" s="8" t="s">
        <v>9154</v>
      </c>
      <c r="E1038" s="20" t="s">
        <v>8998</v>
      </c>
      <c r="F1038" s="20" t="s">
        <v>8950</v>
      </c>
      <c r="G1038" s="20" t="s">
        <v>9076</v>
      </c>
      <c r="H1038" s="20">
        <v>30</v>
      </c>
      <c r="I1038" s="20" t="s">
        <v>9008</v>
      </c>
      <c r="J1038" s="20" t="s">
        <v>9059</v>
      </c>
      <c r="K1038" s="20" t="s">
        <v>8989</v>
      </c>
      <c r="L1038" s="21" t="s">
        <v>8955</v>
      </c>
      <c r="M1038" s="20" t="s">
        <v>8956</v>
      </c>
      <c r="N1038" s="20" t="s">
        <v>8959</v>
      </c>
      <c r="O1038" s="20">
        <f t="shared" si="16"/>
        <v>11</v>
      </c>
      <c r="P1038" s="22" t="s">
        <v>8975</v>
      </c>
      <c r="Q1038" s="21" t="s">
        <v>9061</v>
      </c>
      <c r="R1038" s="23" t="s">
        <v>9333</v>
      </c>
      <c r="T1038" s="24" t="str">
        <f>VLOOKUP(R1038,[1]Sheet3!$A$2:$A$47,1,0)</f>
        <v>Japan</v>
      </c>
      <c r="U1038" s="62" t="s">
        <v>15051</v>
      </c>
      <c r="V1038" s="62" t="s">
        <v>15052</v>
      </c>
      <c r="Z1038" s="24" t="s">
        <v>17</v>
      </c>
    </row>
    <row r="1039" spans="1:26" ht="20.100000000000001" customHeight="1" x14ac:dyDescent="0.2">
      <c r="A1039" s="62" t="s">
        <v>15053</v>
      </c>
      <c r="B1039" s="62" t="s">
        <v>15054</v>
      </c>
      <c r="C1039" s="63" t="s">
        <v>15055</v>
      </c>
      <c r="D1039" s="8" t="s">
        <v>9092</v>
      </c>
      <c r="E1039" s="20" t="s">
        <v>8998</v>
      </c>
      <c r="F1039" s="20" t="s">
        <v>8950</v>
      </c>
      <c r="G1039" s="20" t="s">
        <v>8951</v>
      </c>
      <c r="H1039" s="20">
        <v>2340</v>
      </c>
      <c r="I1039" s="20" t="s">
        <v>8952</v>
      </c>
      <c r="J1039" s="20" t="s">
        <v>8953</v>
      </c>
      <c r="K1039" s="20" t="s">
        <v>8989</v>
      </c>
      <c r="L1039" s="21" t="s">
        <v>8955</v>
      </c>
      <c r="M1039" s="20" t="s">
        <v>8956</v>
      </c>
      <c r="N1039" s="20" t="s">
        <v>8957</v>
      </c>
      <c r="O1039" s="20">
        <f t="shared" si="16"/>
        <v>11</v>
      </c>
      <c r="P1039" s="22" t="s">
        <v>8975</v>
      </c>
      <c r="Q1039" s="21" t="s">
        <v>9183</v>
      </c>
      <c r="R1039" s="23" t="s">
        <v>9310</v>
      </c>
      <c r="T1039" s="24" t="str">
        <f>VLOOKUP(R1039,[1]Sheet3!$A$2:$A$47,1,0)</f>
        <v>China</v>
      </c>
      <c r="U1039" s="62" t="s">
        <v>15056</v>
      </c>
      <c r="V1039" s="62" t="s">
        <v>15057</v>
      </c>
      <c r="Z1039" s="24" t="s">
        <v>17</v>
      </c>
    </row>
    <row r="1040" spans="1:26" ht="20.100000000000001" customHeight="1" x14ac:dyDescent="0.2">
      <c r="A1040" s="62" t="s">
        <v>15058</v>
      </c>
      <c r="B1040" s="62" t="s">
        <v>15059</v>
      </c>
      <c r="C1040" s="63" t="s">
        <v>15060</v>
      </c>
      <c r="D1040" s="8" t="s">
        <v>9092</v>
      </c>
      <c r="E1040" s="20" t="s">
        <v>8998</v>
      </c>
      <c r="F1040" s="20" t="s">
        <v>14911</v>
      </c>
      <c r="G1040" s="20" t="s">
        <v>8973</v>
      </c>
      <c r="H1040" s="20">
        <v>100</v>
      </c>
      <c r="I1040" s="20" t="s">
        <v>9008</v>
      </c>
      <c r="J1040" s="20" t="s">
        <v>8953</v>
      </c>
      <c r="K1040" s="20" t="s">
        <v>8989</v>
      </c>
      <c r="L1040" s="21" t="s">
        <v>8955</v>
      </c>
      <c r="M1040" s="20" t="s">
        <v>8956</v>
      </c>
      <c r="N1040" s="20" t="s">
        <v>8959</v>
      </c>
      <c r="O1040" s="20">
        <f t="shared" si="16"/>
        <v>5</v>
      </c>
      <c r="P1040" s="22" t="s">
        <v>8958</v>
      </c>
      <c r="Q1040" s="21" t="s">
        <v>8959</v>
      </c>
      <c r="R1040" s="23" t="s">
        <v>9333</v>
      </c>
      <c r="T1040" s="24" t="str">
        <f>VLOOKUP(R1040,[1]Sheet3!$A$2:$A$47,1,0)</f>
        <v>Japan</v>
      </c>
      <c r="U1040" s="62" t="s">
        <v>15061</v>
      </c>
      <c r="V1040" s="62" t="s">
        <v>15062</v>
      </c>
      <c r="Z1040" s="24" t="s">
        <v>17</v>
      </c>
    </row>
    <row r="1041" spans="1:26" ht="20.100000000000001" customHeight="1" x14ac:dyDescent="0.2">
      <c r="A1041" s="62" t="s">
        <v>15063</v>
      </c>
      <c r="B1041" s="62" t="s">
        <v>15064</v>
      </c>
      <c r="C1041" s="63" t="s">
        <v>15065</v>
      </c>
      <c r="D1041" s="8" t="s">
        <v>9092</v>
      </c>
      <c r="E1041" s="20" t="s">
        <v>9121</v>
      </c>
      <c r="F1041" s="20" t="s">
        <v>8950</v>
      </c>
      <c r="G1041" s="20" t="s">
        <v>8951</v>
      </c>
      <c r="H1041" s="20">
        <v>25505</v>
      </c>
      <c r="I1041" s="20" t="s">
        <v>9019</v>
      </c>
      <c r="J1041" s="20" t="s">
        <v>8953</v>
      </c>
      <c r="K1041" s="20" t="s">
        <v>8989</v>
      </c>
      <c r="L1041" s="21" t="s">
        <v>8955</v>
      </c>
      <c r="M1041" s="20" t="s">
        <v>8956</v>
      </c>
      <c r="N1041" s="20" t="s">
        <v>8959</v>
      </c>
      <c r="O1041" s="20">
        <f t="shared" si="16"/>
        <v>8</v>
      </c>
      <c r="P1041" s="22" t="s">
        <v>8975</v>
      </c>
      <c r="Q1041" s="21" t="s">
        <v>9183</v>
      </c>
      <c r="R1041" s="23" t="s">
        <v>10446</v>
      </c>
      <c r="T1041" s="24" t="str">
        <f>VLOOKUP(R1041,[1]Sheet3!$A$2:$A$47,1,0)</f>
        <v>Taiwan</v>
      </c>
      <c r="U1041" s="62" t="s">
        <v>15066</v>
      </c>
      <c r="V1041" s="62" t="s">
        <v>15067</v>
      </c>
      <c r="Z1041" s="24" t="s">
        <v>17</v>
      </c>
    </row>
    <row r="1042" spans="1:26" ht="20.100000000000001" customHeight="1" x14ac:dyDescent="0.2">
      <c r="A1042" s="62" t="s">
        <v>15068</v>
      </c>
      <c r="B1042" s="62" t="s">
        <v>15069</v>
      </c>
      <c r="C1042" s="63" t="s">
        <v>15070</v>
      </c>
      <c r="D1042" s="8" t="s">
        <v>8948</v>
      </c>
      <c r="E1042" s="20" t="s">
        <v>8949</v>
      </c>
      <c r="F1042" s="20" t="s">
        <v>15071</v>
      </c>
      <c r="G1042" s="20" t="s">
        <v>9292</v>
      </c>
      <c r="H1042" s="20">
        <v>27</v>
      </c>
      <c r="I1042" s="20" t="s">
        <v>9008</v>
      </c>
      <c r="J1042" s="20" t="s">
        <v>9059</v>
      </c>
      <c r="K1042" s="20" t="s">
        <v>8989</v>
      </c>
      <c r="L1042" s="21" t="s">
        <v>8955</v>
      </c>
      <c r="M1042" s="20" t="s">
        <v>8956</v>
      </c>
      <c r="N1042" s="20" t="s">
        <v>9060</v>
      </c>
      <c r="O1042" s="20">
        <f t="shared" si="16"/>
        <v>10</v>
      </c>
      <c r="P1042" s="22" t="s">
        <v>8975</v>
      </c>
      <c r="Q1042" s="21" t="s">
        <v>9061</v>
      </c>
      <c r="R1042" s="23" t="s">
        <v>9176</v>
      </c>
      <c r="T1042" s="24" t="str">
        <f>VLOOKUP(R1042,[1]Sheet3!$A$2:$A$47,1,0)</f>
        <v>Australia</v>
      </c>
      <c r="U1042" s="62" t="s">
        <v>15072</v>
      </c>
      <c r="V1042" s="62" t="s">
        <v>15073</v>
      </c>
      <c r="Z1042" s="24" t="s">
        <v>11</v>
      </c>
    </row>
    <row r="1043" spans="1:26" ht="20.100000000000001" customHeight="1" x14ac:dyDescent="0.2">
      <c r="A1043" s="62" t="s">
        <v>15074</v>
      </c>
      <c r="B1043" s="62" t="s">
        <v>15075</v>
      </c>
      <c r="C1043" s="63" t="s">
        <v>15076</v>
      </c>
      <c r="D1043" s="8" t="s">
        <v>8948</v>
      </c>
      <c r="E1043" s="20" t="s">
        <v>8949</v>
      </c>
      <c r="F1043" s="20" t="s">
        <v>8950</v>
      </c>
      <c r="G1043" s="20" t="s">
        <v>8973</v>
      </c>
      <c r="H1043" s="20">
        <v>75</v>
      </c>
      <c r="I1043" s="20" t="s">
        <v>9008</v>
      </c>
      <c r="J1043" s="20" t="s">
        <v>8953</v>
      </c>
      <c r="K1043" s="20" t="s">
        <v>8954</v>
      </c>
      <c r="L1043" s="21" t="s">
        <v>8955</v>
      </c>
      <c r="M1043" s="20" t="s">
        <v>8956</v>
      </c>
      <c r="N1043" s="20" t="s">
        <v>8957</v>
      </c>
      <c r="O1043" s="20">
        <f t="shared" si="16"/>
        <v>5</v>
      </c>
      <c r="P1043" s="22" t="s">
        <v>8958</v>
      </c>
      <c r="Q1043" s="21" t="s">
        <v>8959</v>
      </c>
      <c r="R1043" s="23" t="s">
        <v>9317</v>
      </c>
      <c r="T1043" s="24" t="str">
        <f>VLOOKUP(R1043,[1]Sheet3!$A$2:$A$47,1,0)</f>
        <v>Germany</v>
      </c>
      <c r="U1043" s="62" t="s">
        <v>15077</v>
      </c>
      <c r="V1043" s="62" t="s">
        <v>15078</v>
      </c>
      <c r="Z1043" s="24" t="s">
        <v>17</v>
      </c>
    </row>
    <row r="1044" spans="1:26" ht="20.100000000000001" customHeight="1" x14ac:dyDescent="0.2">
      <c r="A1044" s="62" t="s">
        <v>15079</v>
      </c>
      <c r="B1044" s="62" t="s">
        <v>15080</v>
      </c>
      <c r="C1044" s="63" t="s">
        <v>15081</v>
      </c>
      <c r="D1044" s="8" t="s">
        <v>9252</v>
      </c>
      <c r="E1044" s="20" t="s">
        <v>8949</v>
      </c>
      <c r="F1044" s="20" t="s">
        <v>14703</v>
      </c>
      <c r="G1044" s="20" t="s">
        <v>8951</v>
      </c>
      <c r="H1044" s="20">
        <v>335</v>
      </c>
      <c r="I1044" s="20" t="s">
        <v>8988</v>
      </c>
      <c r="J1044" s="20" t="s">
        <v>8953</v>
      </c>
      <c r="K1044" s="20" t="s">
        <v>8989</v>
      </c>
      <c r="L1044" s="21" t="s">
        <v>8955</v>
      </c>
      <c r="M1044" s="20" t="s">
        <v>8956</v>
      </c>
      <c r="N1044" s="20" t="s">
        <v>8959</v>
      </c>
      <c r="O1044" s="20">
        <f t="shared" si="16"/>
        <v>8</v>
      </c>
      <c r="P1044" s="22" t="s">
        <v>8975</v>
      </c>
      <c r="Q1044" s="21" t="s">
        <v>8959</v>
      </c>
      <c r="R1044" s="23" t="s">
        <v>10032</v>
      </c>
      <c r="T1044" s="24" t="str">
        <f>VLOOKUP(R1044,[1]Sheet3!$A$2:$A$47,1,0)</f>
        <v>France</v>
      </c>
      <c r="U1044" s="62" t="s">
        <v>15082</v>
      </c>
      <c r="V1044" s="62" t="s">
        <v>15083</v>
      </c>
      <c r="Z1044" s="24" t="s">
        <v>11</v>
      </c>
    </row>
    <row r="1045" spans="1:26" ht="20.100000000000001" customHeight="1" x14ac:dyDescent="0.2">
      <c r="A1045" s="62" t="s">
        <v>15084</v>
      </c>
      <c r="B1045" s="62" t="s">
        <v>15085</v>
      </c>
      <c r="C1045" s="63" t="s">
        <v>15086</v>
      </c>
      <c r="D1045" s="8" t="s">
        <v>9035</v>
      </c>
      <c r="E1045" s="20" t="s">
        <v>9308</v>
      </c>
      <c r="F1045" s="20" t="s">
        <v>8950</v>
      </c>
      <c r="G1045" s="20" t="s">
        <v>8951</v>
      </c>
      <c r="H1045" s="20">
        <v>11137</v>
      </c>
      <c r="I1045" s="20" t="s">
        <v>9019</v>
      </c>
      <c r="J1045" s="20" t="s">
        <v>8953</v>
      </c>
      <c r="K1045" s="20" t="s">
        <v>8954</v>
      </c>
      <c r="L1045" s="21" t="s">
        <v>8955</v>
      </c>
      <c r="M1045" s="20" t="s">
        <v>8956</v>
      </c>
      <c r="N1045" s="20" t="s">
        <v>8957</v>
      </c>
      <c r="O1045" s="20">
        <f t="shared" si="16"/>
        <v>7</v>
      </c>
      <c r="P1045" s="22" t="s">
        <v>8958</v>
      </c>
      <c r="Q1045" s="21" t="s">
        <v>9061</v>
      </c>
      <c r="R1045" s="23" t="s">
        <v>9213</v>
      </c>
      <c r="T1045" s="24" t="str">
        <f>VLOOKUP(R1045,[1]Sheet3!$A$2:$A$47,1,0)</f>
        <v>South Korea</v>
      </c>
      <c r="U1045" s="62" t="s">
        <v>15087</v>
      </c>
      <c r="V1045" s="62" t="s">
        <v>15088</v>
      </c>
      <c r="Z1045" s="24" t="s">
        <v>17</v>
      </c>
    </row>
    <row r="1046" spans="1:26" ht="20.100000000000001" customHeight="1" x14ac:dyDescent="0.2">
      <c r="A1046" s="62" t="s">
        <v>15089</v>
      </c>
      <c r="B1046" s="62" t="s">
        <v>15090</v>
      </c>
      <c r="C1046" s="63" t="s">
        <v>15091</v>
      </c>
      <c r="D1046" s="8" t="s">
        <v>9035</v>
      </c>
      <c r="E1046" s="20" t="s">
        <v>9308</v>
      </c>
      <c r="F1046" s="20" t="s">
        <v>8950</v>
      </c>
      <c r="G1046" s="20" t="s">
        <v>8951</v>
      </c>
      <c r="H1046" s="20">
        <v>57481</v>
      </c>
      <c r="I1046" s="20" t="s">
        <v>9019</v>
      </c>
      <c r="J1046" s="20" t="s">
        <v>8953</v>
      </c>
      <c r="K1046" s="20" t="s">
        <v>8954</v>
      </c>
      <c r="L1046" s="21" t="s">
        <v>8955</v>
      </c>
      <c r="M1046" s="20" t="s">
        <v>8956</v>
      </c>
      <c r="N1046" s="20" t="s">
        <v>8957</v>
      </c>
      <c r="O1046" s="20">
        <f t="shared" si="16"/>
        <v>13</v>
      </c>
      <c r="P1046" s="22" t="s">
        <v>8975</v>
      </c>
      <c r="Q1046" s="21" t="s">
        <v>9061</v>
      </c>
      <c r="R1046" s="23" t="s">
        <v>9213</v>
      </c>
      <c r="T1046" s="24" t="str">
        <f>VLOOKUP(R1046,[1]Sheet3!$A$2:$A$47,1,0)</f>
        <v>South Korea</v>
      </c>
      <c r="U1046" s="62" t="s">
        <v>15092</v>
      </c>
      <c r="V1046" s="62" t="s">
        <v>15093</v>
      </c>
      <c r="Z1046" s="24" t="s">
        <v>11</v>
      </c>
    </row>
    <row r="1047" spans="1:26" ht="20.100000000000001" customHeight="1" x14ac:dyDescent="0.2">
      <c r="A1047" s="62" t="s">
        <v>15094</v>
      </c>
      <c r="B1047" s="62" t="s">
        <v>15095</v>
      </c>
      <c r="C1047" s="63" t="s">
        <v>15096</v>
      </c>
      <c r="D1047" s="8" t="s">
        <v>9943</v>
      </c>
      <c r="E1047" s="20" t="s">
        <v>8998</v>
      </c>
      <c r="F1047" s="20" t="s">
        <v>15097</v>
      </c>
      <c r="G1047" s="20" t="s">
        <v>8987</v>
      </c>
      <c r="H1047" s="20">
        <v>995</v>
      </c>
      <c r="I1047" s="20" t="s">
        <v>9077</v>
      </c>
      <c r="J1047" s="20" t="s">
        <v>8953</v>
      </c>
      <c r="K1047" s="20" t="s">
        <v>8989</v>
      </c>
      <c r="L1047" s="21" t="s">
        <v>8955</v>
      </c>
      <c r="M1047" s="20" t="s">
        <v>8956</v>
      </c>
      <c r="N1047" s="20" t="s">
        <v>8957</v>
      </c>
      <c r="O1047" s="20">
        <f t="shared" si="16"/>
        <v>3</v>
      </c>
      <c r="P1047" s="22" t="s">
        <v>9103</v>
      </c>
      <c r="Q1047" s="21" t="s">
        <v>9009</v>
      </c>
      <c r="R1047" s="23" t="s">
        <v>9213</v>
      </c>
      <c r="T1047" s="24" t="str">
        <f>VLOOKUP(R1047,[1]Sheet3!$A$2:$A$47,1,0)</f>
        <v>South Korea</v>
      </c>
      <c r="U1047" s="62" t="s">
        <v>15098</v>
      </c>
      <c r="V1047" s="62" t="s">
        <v>15099</v>
      </c>
      <c r="Z1047" s="24" t="s">
        <v>17</v>
      </c>
    </row>
    <row r="1048" spans="1:26" ht="20.100000000000001" customHeight="1" x14ac:dyDescent="0.2">
      <c r="A1048" s="62" t="s">
        <v>15100</v>
      </c>
      <c r="B1048" s="62" t="s">
        <v>15101</v>
      </c>
      <c r="C1048" s="63" t="s">
        <v>15102</v>
      </c>
      <c r="D1048" s="8" t="s">
        <v>8948</v>
      </c>
      <c r="E1048" s="20" t="s">
        <v>8949</v>
      </c>
      <c r="F1048" s="20" t="s">
        <v>8950</v>
      </c>
      <c r="G1048" s="20" t="s">
        <v>8987</v>
      </c>
      <c r="H1048" s="20">
        <v>113</v>
      </c>
      <c r="I1048" s="20" t="s">
        <v>9158</v>
      </c>
      <c r="J1048" s="20" t="s">
        <v>9059</v>
      </c>
      <c r="K1048" s="20" t="s">
        <v>8989</v>
      </c>
      <c r="L1048" s="21" t="s">
        <v>8955</v>
      </c>
      <c r="M1048" s="20" t="s">
        <v>8956</v>
      </c>
      <c r="N1048" s="20" t="s">
        <v>8957</v>
      </c>
      <c r="O1048" s="20">
        <f t="shared" si="16"/>
        <v>7</v>
      </c>
      <c r="P1048" s="22" t="s">
        <v>8958</v>
      </c>
      <c r="Q1048" s="21" t="s">
        <v>9009</v>
      </c>
      <c r="R1048" s="23" t="s">
        <v>9010</v>
      </c>
      <c r="T1048" s="24" t="str">
        <f>VLOOKUP(R1048,[1]Sheet3!$A$2:$A$47,1,0)</f>
        <v>the United States of America</v>
      </c>
      <c r="U1048" s="62" t="s">
        <v>15103</v>
      </c>
      <c r="V1048" s="62" t="s">
        <v>15104</v>
      </c>
      <c r="Z1048" s="24" t="s">
        <v>1114</v>
      </c>
    </row>
    <row r="1049" spans="1:26" ht="20.100000000000001" customHeight="1" x14ac:dyDescent="0.2">
      <c r="A1049" s="62" t="s">
        <v>15105</v>
      </c>
      <c r="B1049" s="62" t="s">
        <v>15106</v>
      </c>
      <c r="C1049" s="63" t="s">
        <v>15107</v>
      </c>
      <c r="D1049" s="8" t="s">
        <v>9943</v>
      </c>
      <c r="E1049" s="20" t="s">
        <v>8998</v>
      </c>
      <c r="F1049" s="20" t="s">
        <v>9018</v>
      </c>
      <c r="G1049" s="20" t="s">
        <v>8951</v>
      </c>
      <c r="H1049" s="20">
        <v>515</v>
      </c>
      <c r="I1049" s="20" t="s">
        <v>9077</v>
      </c>
      <c r="J1049" s="20" t="s">
        <v>8953</v>
      </c>
      <c r="K1049" s="20" t="s">
        <v>8989</v>
      </c>
      <c r="L1049" s="21" t="s">
        <v>8955</v>
      </c>
      <c r="M1049" s="20" t="s">
        <v>8956</v>
      </c>
      <c r="N1049" s="20" t="s">
        <v>8959</v>
      </c>
      <c r="O1049" s="20">
        <f t="shared" si="16"/>
        <v>9</v>
      </c>
      <c r="P1049" s="22" t="s">
        <v>8975</v>
      </c>
      <c r="Q1049" s="21" t="s">
        <v>8959</v>
      </c>
      <c r="R1049" s="23" t="s">
        <v>10032</v>
      </c>
      <c r="T1049" s="24" t="str">
        <f>VLOOKUP(R1049,[1]Sheet3!$A$2:$A$47,1,0)</f>
        <v>France</v>
      </c>
      <c r="U1049" s="62" t="s">
        <v>15108</v>
      </c>
      <c r="V1049" s="62" t="s">
        <v>15109</v>
      </c>
      <c r="Z1049" s="24" t="s">
        <v>11</v>
      </c>
    </row>
    <row r="1050" spans="1:26" ht="20.100000000000001" customHeight="1" x14ac:dyDescent="0.2">
      <c r="A1050" s="62"/>
      <c r="B1050" s="62" t="s">
        <v>15110</v>
      </c>
      <c r="C1050" s="63" t="s">
        <v>15111</v>
      </c>
      <c r="D1050" s="8" t="s">
        <v>8948</v>
      </c>
      <c r="E1050" s="20" t="s">
        <v>8949</v>
      </c>
      <c r="F1050" s="20" t="s">
        <v>9436</v>
      </c>
      <c r="G1050" s="20" t="s">
        <v>8987</v>
      </c>
      <c r="H1050" s="20">
        <v>283881</v>
      </c>
      <c r="I1050" s="20" t="s">
        <v>9077</v>
      </c>
      <c r="J1050" s="20" t="s">
        <v>8953</v>
      </c>
      <c r="K1050" s="20" t="s">
        <v>8954</v>
      </c>
      <c r="L1050" s="21" t="s">
        <v>8955</v>
      </c>
      <c r="M1050" s="20" t="s">
        <v>8956</v>
      </c>
      <c r="N1050" s="20" t="s">
        <v>8957</v>
      </c>
      <c r="O1050" s="20">
        <f t="shared" si="16"/>
        <v>6</v>
      </c>
      <c r="P1050" s="22" t="s">
        <v>8958</v>
      </c>
      <c r="Q1050" s="21" t="s">
        <v>9009</v>
      </c>
      <c r="R1050" s="23" t="s">
        <v>9010</v>
      </c>
      <c r="T1050" s="24" t="str">
        <f>VLOOKUP(R1050,[1]Sheet3!$A$2:$A$47,1,0)</f>
        <v>the United States of America</v>
      </c>
      <c r="U1050" s="62" t="s">
        <v>15112</v>
      </c>
      <c r="V1050" s="62" t="s">
        <v>15113</v>
      </c>
      <c r="Z1050" s="24" t="s">
        <v>11</v>
      </c>
    </row>
    <row r="1051" spans="1:26" ht="20.100000000000001" customHeight="1" x14ac:dyDescent="0.2">
      <c r="A1051" s="62" t="s">
        <v>15114</v>
      </c>
      <c r="B1051" s="62" t="s">
        <v>15115</v>
      </c>
      <c r="C1051" s="63" t="s">
        <v>15116</v>
      </c>
      <c r="D1051" s="8" t="s">
        <v>9035</v>
      </c>
      <c r="E1051" s="20" t="s">
        <v>9155</v>
      </c>
      <c r="F1051" s="20" t="s">
        <v>10660</v>
      </c>
      <c r="G1051" s="20" t="s">
        <v>8951</v>
      </c>
      <c r="H1051" s="20">
        <v>17211</v>
      </c>
      <c r="I1051" s="20" t="s">
        <v>9019</v>
      </c>
      <c r="J1051" s="20" t="s">
        <v>8953</v>
      </c>
      <c r="K1051" s="20" t="s">
        <v>8954</v>
      </c>
      <c r="L1051" s="21" t="s">
        <v>8955</v>
      </c>
      <c r="M1051" s="20" t="s">
        <v>8956</v>
      </c>
      <c r="N1051" s="20" t="s">
        <v>8957</v>
      </c>
      <c r="O1051" s="20">
        <f t="shared" si="16"/>
        <v>4</v>
      </c>
      <c r="P1051" s="22" t="s">
        <v>8958</v>
      </c>
      <c r="Q1051" s="21" t="s">
        <v>9061</v>
      </c>
      <c r="R1051" s="23" t="s">
        <v>9213</v>
      </c>
      <c r="T1051" s="24" t="str">
        <f>VLOOKUP(R1051,[1]Sheet3!$A$2:$A$47,1,0)</f>
        <v>South Korea</v>
      </c>
      <c r="U1051" s="62" t="s">
        <v>15117</v>
      </c>
      <c r="V1051" s="62" t="s">
        <v>15118</v>
      </c>
      <c r="Z1051" s="24" t="s">
        <v>11</v>
      </c>
    </row>
    <row r="1052" spans="1:26" ht="20.100000000000001" customHeight="1" x14ac:dyDescent="0.2">
      <c r="A1052" s="62" t="s">
        <v>15119</v>
      </c>
      <c r="B1052" s="62" t="s">
        <v>15120</v>
      </c>
      <c r="C1052" s="63" t="s">
        <v>15121</v>
      </c>
      <c r="D1052" s="8" t="s">
        <v>15122</v>
      </c>
      <c r="E1052" s="20" t="s">
        <v>9269</v>
      </c>
      <c r="F1052" s="20" t="s">
        <v>15123</v>
      </c>
      <c r="G1052" s="20" t="s">
        <v>8987</v>
      </c>
      <c r="H1052" s="20">
        <v>3000</v>
      </c>
      <c r="I1052" s="20" t="s">
        <v>8952</v>
      </c>
      <c r="J1052" s="20" t="s">
        <v>8953</v>
      </c>
      <c r="K1052" s="20" t="s">
        <v>8989</v>
      </c>
      <c r="L1052" s="21" t="s">
        <v>8955</v>
      </c>
      <c r="M1052" s="20" t="s">
        <v>8956</v>
      </c>
      <c r="N1052" s="20" t="s">
        <v>8957</v>
      </c>
      <c r="O1052" s="20">
        <f t="shared" si="16"/>
        <v>11</v>
      </c>
      <c r="P1052" s="22" t="s">
        <v>8975</v>
      </c>
      <c r="Q1052" s="21" t="s">
        <v>9183</v>
      </c>
      <c r="R1052" s="23" t="s">
        <v>9010</v>
      </c>
      <c r="T1052" s="24" t="str">
        <f>VLOOKUP(R1052,[1]Sheet3!$A$2:$A$47,1,0)</f>
        <v>the United States of America</v>
      </c>
      <c r="U1052" s="62" t="s">
        <v>15124</v>
      </c>
      <c r="V1052" s="62" t="s">
        <v>15125</v>
      </c>
      <c r="Z1052" s="24" t="s">
        <v>11</v>
      </c>
    </row>
    <row r="1053" spans="1:26" ht="20.100000000000001" customHeight="1" x14ac:dyDescent="0.2">
      <c r="A1053" s="62" t="s">
        <v>15126</v>
      </c>
      <c r="B1053" s="62" t="s">
        <v>15127</v>
      </c>
      <c r="C1053" s="63" t="s">
        <v>15128</v>
      </c>
      <c r="D1053" s="8" t="s">
        <v>9252</v>
      </c>
      <c r="E1053" s="20" t="s">
        <v>8949</v>
      </c>
      <c r="F1053" s="20" t="s">
        <v>15129</v>
      </c>
      <c r="G1053" s="20" t="s">
        <v>8973</v>
      </c>
      <c r="H1053" s="20">
        <v>1533</v>
      </c>
      <c r="I1053" s="20" t="s">
        <v>8952</v>
      </c>
      <c r="J1053" s="20" t="s">
        <v>9059</v>
      </c>
      <c r="K1053" s="20" t="s">
        <v>8989</v>
      </c>
      <c r="L1053" s="21" t="s">
        <v>8955</v>
      </c>
      <c r="M1053" s="20" t="s">
        <v>8956</v>
      </c>
      <c r="N1053" s="20" t="s">
        <v>8957</v>
      </c>
      <c r="O1053" s="20">
        <f t="shared" si="16"/>
        <v>7</v>
      </c>
      <c r="P1053" s="22" t="s">
        <v>8958</v>
      </c>
      <c r="Q1053" s="21" t="s">
        <v>9061</v>
      </c>
      <c r="R1053" s="23" t="s">
        <v>9246</v>
      </c>
      <c r="T1053" s="24" t="str">
        <f>VLOOKUP(R1053,[1]Sheet3!$A$2:$A$47,1,0)</f>
        <v>Netherlands</v>
      </c>
      <c r="U1053" s="62" t="s">
        <v>15130</v>
      </c>
      <c r="V1053" s="62" t="s">
        <v>15131</v>
      </c>
      <c r="Z1053" s="24" t="s">
        <v>17</v>
      </c>
    </row>
    <row r="1054" spans="1:26" ht="20.100000000000001" customHeight="1" x14ac:dyDescent="0.2">
      <c r="A1054" s="62" t="s">
        <v>15132</v>
      </c>
      <c r="B1054" s="62" t="s">
        <v>15133</v>
      </c>
      <c r="C1054" s="63" t="s">
        <v>15134</v>
      </c>
      <c r="D1054" s="8" t="s">
        <v>8948</v>
      </c>
      <c r="E1054" s="20" t="s">
        <v>8949</v>
      </c>
      <c r="F1054" s="20" t="s">
        <v>10673</v>
      </c>
      <c r="G1054" s="20" t="s">
        <v>9076</v>
      </c>
      <c r="H1054" s="20">
        <v>2</v>
      </c>
      <c r="I1054" s="20" t="s">
        <v>9008</v>
      </c>
      <c r="J1054" s="20" t="s">
        <v>9059</v>
      </c>
      <c r="K1054" s="20" t="s">
        <v>8954</v>
      </c>
      <c r="L1054" s="21" t="s">
        <v>8955</v>
      </c>
      <c r="M1054" s="20" t="s">
        <v>8956</v>
      </c>
      <c r="N1054" s="20" t="s">
        <v>8957</v>
      </c>
      <c r="O1054" s="20">
        <f t="shared" si="16"/>
        <v>10</v>
      </c>
      <c r="P1054" s="22" t="s">
        <v>8975</v>
      </c>
      <c r="Q1054" s="21" t="s">
        <v>9061</v>
      </c>
      <c r="R1054" s="23" t="s">
        <v>9176</v>
      </c>
      <c r="T1054" s="24" t="str">
        <f>VLOOKUP(R1054,[1]Sheet3!$A$2:$A$47,1,0)</f>
        <v>Australia</v>
      </c>
      <c r="U1054" s="62" t="s">
        <v>15135</v>
      </c>
      <c r="V1054" s="62" t="s">
        <v>15136</v>
      </c>
      <c r="Z1054" s="24" t="s">
        <v>920</v>
      </c>
    </row>
    <row r="1055" spans="1:26" ht="20.100000000000001" customHeight="1" x14ac:dyDescent="0.2">
      <c r="A1055" s="62" t="s">
        <v>15137</v>
      </c>
      <c r="B1055" s="62" t="s">
        <v>15138</v>
      </c>
      <c r="C1055" s="63" t="s">
        <v>15139</v>
      </c>
      <c r="D1055" s="8" t="s">
        <v>9035</v>
      </c>
      <c r="E1055" s="20" t="s">
        <v>8949</v>
      </c>
      <c r="F1055" s="20" t="s">
        <v>10673</v>
      </c>
      <c r="G1055" s="20" t="s">
        <v>8973</v>
      </c>
      <c r="H1055" s="20">
        <v>9</v>
      </c>
      <c r="I1055" s="20" t="s">
        <v>9008</v>
      </c>
      <c r="J1055" s="20" t="s">
        <v>9059</v>
      </c>
      <c r="K1055" s="20" t="s">
        <v>8989</v>
      </c>
      <c r="L1055" s="21" t="s">
        <v>8955</v>
      </c>
      <c r="M1055" s="20" t="s">
        <v>8956</v>
      </c>
      <c r="N1055" s="20" t="s">
        <v>8957</v>
      </c>
      <c r="O1055" s="20">
        <f t="shared" si="16"/>
        <v>9</v>
      </c>
      <c r="P1055" s="22" t="s">
        <v>8975</v>
      </c>
      <c r="Q1055" s="21" t="s">
        <v>9009</v>
      </c>
      <c r="R1055" s="23" t="s">
        <v>9010</v>
      </c>
      <c r="T1055" s="24" t="str">
        <f>VLOOKUP(R1055,[1]Sheet3!$A$2:$A$47,1,0)</f>
        <v>the United States of America</v>
      </c>
      <c r="U1055" s="62" t="s">
        <v>15140</v>
      </c>
      <c r="V1055" s="62" t="s">
        <v>15141</v>
      </c>
      <c r="Z1055" s="24" t="s">
        <v>920</v>
      </c>
    </row>
    <row r="1056" spans="1:26" ht="20.100000000000001" customHeight="1" x14ac:dyDescent="0.2">
      <c r="A1056" s="62" t="s">
        <v>15142</v>
      </c>
      <c r="B1056" s="62" t="s">
        <v>15143</v>
      </c>
      <c r="C1056" s="63" t="s">
        <v>15144</v>
      </c>
      <c r="D1056" s="8" t="s">
        <v>9605</v>
      </c>
      <c r="E1056" s="20" t="s">
        <v>8998</v>
      </c>
      <c r="F1056" s="20" t="s">
        <v>15145</v>
      </c>
      <c r="G1056" s="20" t="s">
        <v>9464</v>
      </c>
      <c r="H1056" s="20">
        <v>596</v>
      </c>
      <c r="I1056" s="20" t="s">
        <v>9077</v>
      </c>
      <c r="J1056" s="20" t="s">
        <v>8953</v>
      </c>
      <c r="K1056" s="20" t="s">
        <v>8954</v>
      </c>
      <c r="L1056" s="21" t="s">
        <v>8955</v>
      </c>
      <c r="M1056" s="20" t="s">
        <v>8956</v>
      </c>
      <c r="N1056" s="20" t="s">
        <v>8957</v>
      </c>
      <c r="O1056" s="20">
        <f t="shared" si="16"/>
        <v>5</v>
      </c>
      <c r="P1056" s="22" t="s">
        <v>8958</v>
      </c>
      <c r="Q1056" s="21" t="s">
        <v>9183</v>
      </c>
      <c r="R1056" s="23" t="s">
        <v>9317</v>
      </c>
      <c r="T1056" s="24" t="str">
        <f>VLOOKUP(R1056,[1]Sheet3!$A$2:$A$47,1,0)</f>
        <v>Germany</v>
      </c>
      <c r="U1056" s="62" t="s">
        <v>15146</v>
      </c>
      <c r="V1056" s="62" t="s">
        <v>15147</v>
      </c>
      <c r="Z1056" s="24" t="s">
        <v>920</v>
      </c>
    </row>
    <row r="1057" spans="1:26" ht="20.100000000000001" customHeight="1" x14ac:dyDescent="0.2">
      <c r="A1057" s="62" t="s">
        <v>15148</v>
      </c>
      <c r="B1057" s="62" t="s">
        <v>15149</v>
      </c>
      <c r="C1057" s="63" t="s">
        <v>15150</v>
      </c>
      <c r="D1057" s="8" t="s">
        <v>9092</v>
      </c>
      <c r="E1057" s="20" t="s">
        <v>9155</v>
      </c>
      <c r="F1057" s="20" t="s">
        <v>10673</v>
      </c>
      <c r="G1057" s="20" t="s">
        <v>8973</v>
      </c>
      <c r="H1057" s="20">
        <v>113</v>
      </c>
      <c r="I1057" s="20" t="s">
        <v>9158</v>
      </c>
      <c r="J1057" s="20" t="s">
        <v>8953</v>
      </c>
      <c r="K1057" s="20" t="s">
        <v>8954</v>
      </c>
      <c r="L1057" s="21" t="s">
        <v>8955</v>
      </c>
      <c r="M1057" s="20" t="s">
        <v>8956</v>
      </c>
      <c r="N1057" s="20" t="s">
        <v>8959</v>
      </c>
      <c r="O1057" s="20">
        <f t="shared" si="16"/>
        <v>4</v>
      </c>
      <c r="P1057" s="22" t="s">
        <v>8958</v>
      </c>
      <c r="Q1057" s="21" t="s">
        <v>9061</v>
      </c>
      <c r="R1057" s="23" t="s">
        <v>10568</v>
      </c>
      <c r="T1057" s="24" t="str">
        <f>VLOOKUP(R1057,[1]Sheet3!$A$2:$A$47,1,0)</f>
        <v>Netherlands</v>
      </c>
      <c r="U1057" s="62" t="s">
        <v>15151</v>
      </c>
      <c r="V1057" s="62" t="s">
        <v>15152</v>
      </c>
      <c r="Z1057" s="24" t="s">
        <v>11</v>
      </c>
    </row>
    <row r="1058" spans="1:26" ht="20.100000000000001" customHeight="1" x14ac:dyDescent="0.2">
      <c r="A1058" s="62" t="s">
        <v>15153</v>
      </c>
      <c r="B1058" s="62" t="s">
        <v>15154</v>
      </c>
      <c r="C1058" s="63" t="s">
        <v>15155</v>
      </c>
      <c r="D1058" s="8" t="s">
        <v>9173</v>
      </c>
      <c r="E1058" s="20" t="s">
        <v>9174</v>
      </c>
      <c r="F1058" s="20" t="s">
        <v>9051</v>
      </c>
      <c r="G1058" s="20" t="s">
        <v>9464</v>
      </c>
      <c r="H1058" s="20">
        <v>143</v>
      </c>
      <c r="I1058" s="20" t="s">
        <v>9158</v>
      </c>
      <c r="J1058" s="20" t="s">
        <v>9059</v>
      </c>
      <c r="K1058" s="20" t="s">
        <v>8989</v>
      </c>
      <c r="L1058" s="21" t="s">
        <v>8955</v>
      </c>
      <c r="M1058" s="20" t="s">
        <v>8956</v>
      </c>
      <c r="N1058" s="20" t="s">
        <v>8957</v>
      </c>
      <c r="O1058" s="20">
        <f t="shared" si="16"/>
        <v>4</v>
      </c>
      <c r="P1058" s="22" t="s">
        <v>8958</v>
      </c>
      <c r="Q1058" s="21" t="s">
        <v>9061</v>
      </c>
      <c r="R1058" s="23" t="s">
        <v>9113</v>
      </c>
      <c r="T1058" s="24" t="str">
        <f>VLOOKUP(R1058,[1]Sheet3!$A$2:$A$47,1,0)</f>
        <v>UK</v>
      </c>
      <c r="U1058" s="62" t="s">
        <v>15156</v>
      </c>
      <c r="V1058" s="62" t="s">
        <v>15157</v>
      </c>
      <c r="Z1058" s="24" t="s">
        <v>17</v>
      </c>
    </row>
    <row r="1059" spans="1:26" ht="20.100000000000001" customHeight="1" x14ac:dyDescent="0.2">
      <c r="A1059" s="62" t="s">
        <v>15158</v>
      </c>
      <c r="B1059" s="62" t="s">
        <v>15159</v>
      </c>
      <c r="C1059" s="63" t="s">
        <v>15160</v>
      </c>
      <c r="D1059" s="8" t="s">
        <v>9049</v>
      </c>
      <c r="E1059" s="20" t="s">
        <v>9325</v>
      </c>
      <c r="F1059" s="20" t="s">
        <v>9018</v>
      </c>
      <c r="G1059" s="20" t="s">
        <v>8987</v>
      </c>
      <c r="H1059" s="20">
        <v>1708</v>
      </c>
      <c r="I1059" s="20" t="s">
        <v>8952</v>
      </c>
      <c r="J1059" s="20" t="s">
        <v>8953</v>
      </c>
      <c r="K1059" s="20" t="s">
        <v>8954</v>
      </c>
      <c r="L1059" s="21" t="s">
        <v>8955</v>
      </c>
      <c r="M1059" s="20" t="s">
        <v>8956</v>
      </c>
      <c r="N1059" s="20" t="s">
        <v>8957</v>
      </c>
      <c r="O1059" s="20">
        <f t="shared" si="16"/>
        <v>10</v>
      </c>
      <c r="P1059" s="22" t="s">
        <v>8975</v>
      </c>
      <c r="Q1059" s="21" t="s">
        <v>9183</v>
      </c>
      <c r="R1059" s="23" t="s">
        <v>9010</v>
      </c>
      <c r="T1059" s="24" t="str">
        <f>VLOOKUP(R1059,[1]Sheet3!$A$2:$A$47,1,0)</f>
        <v>the United States of America</v>
      </c>
      <c r="U1059" s="62" t="s">
        <v>15161</v>
      </c>
      <c r="V1059" s="62" t="s">
        <v>15162</v>
      </c>
      <c r="Z1059" s="24" t="s">
        <v>11</v>
      </c>
    </row>
    <row r="1060" spans="1:26" ht="20.100000000000001" customHeight="1" x14ac:dyDescent="0.2">
      <c r="A1060" s="62" t="s">
        <v>15163</v>
      </c>
      <c r="B1060" s="62" t="s">
        <v>15164</v>
      </c>
      <c r="C1060" s="63" t="s">
        <v>15165</v>
      </c>
      <c r="D1060" s="8" t="s">
        <v>9252</v>
      </c>
      <c r="E1060" s="20" t="s">
        <v>9269</v>
      </c>
      <c r="F1060" s="20" t="s">
        <v>15166</v>
      </c>
      <c r="G1060" s="20" t="s">
        <v>8973</v>
      </c>
      <c r="H1060" s="20">
        <v>80</v>
      </c>
      <c r="I1060" s="20" t="s">
        <v>9008</v>
      </c>
      <c r="J1060" s="20" t="s">
        <v>8953</v>
      </c>
      <c r="K1060" s="20" t="s">
        <v>8954</v>
      </c>
      <c r="L1060" s="21" t="s">
        <v>8955</v>
      </c>
      <c r="M1060" s="20" t="s">
        <v>8956</v>
      </c>
      <c r="N1060" s="20" t="s">
        <v>8957</v>
      </c>
      <c r="O1060" s="20">
        <f t="shared" si="16"/>
        <v>4</v>
      </c>
      <c r="P1060" s="22" t="s">
        <v>8958</v>
      </c>
      <c r="Q1060" s="21" t="s">
        <v>8959</v>
      </c>
      <c r="R1060" s="23" t="s">
        <v>9123</v>
      </c>
      <c r="T1060" s="24" t="str">
        <f>VLOOKUP(R1060,[1]Sheet3!$A$2:$A$47,1,0)</f>
        <v>France</v>
      </c>
      <c r="U1060" s="63" t="s">
        <v>15167</v>
      </c>
      <c r="V1060" s="62" t="s">
        <v>15168</v>
      </c>
      <c r="Z1060" s="24" t="s">
        <v>4</v>
      </c>
    </row>
    <row r="1061" spans="1:26" ht="20.100000000000001" customHeight="1" x14ac:dyDescent="0.2">
      <c r="A1061" s="62" t="s">
        <v>15169</v>
      </c>
      <c r="B1061" s="62" t="s">
        <v>15170</v>
      </c>
      <c r="C1061" s="63" t="s">
        <v>15171</v>
      </c>
      <c r="D1061" s="8" t="s">
        <v>15172</v>
      </c>
      <c r="E1061" s="20" t="s">
        <v>8949</v>
      </c>
      <c r="F1061" s="20" t="s">
        <v>10673</v>
      </c>
      <c r="G1061" s="20" t="s">
        <v>9076</v>
      </c>
      <c r="H1061" s="20">
        <v>32</v>
      </c>
      <c r="I1061" s="20" t="s">
        <v>9008</v>
      </c>
      <c r="J1061" s="20" t="s">
        <v>9059</v>
      </c>
      <c r="K1061" s="20" t="s">
        <v>8954</v>
      </c>
      <c r="L1061" s="21" t="s">
        <v>8955</v>
      </c>
      <c r="M1061" s="20" t="s">
        <v>8956</v>
      </c>
      <c r="N1061" s="20" t="s">
        <v>8957</v>
      </c>
      <c r="O1061" s="20">
        <f t="shared" si="16"/>
        <v>6</v>
      </c>
      <c r="P1061" s="22" t="s">
        <v>8958</v>
      </c>
      <c r="Q1061" s="21" t="s">
        <v>9009</v>
      </c>
      <c r="R1061" s="23" t="s">
        <v>9246</v>
      </c>
      <c r="T1061" s="24" t="str">
        <f>VLOOKUP(R1061,[1]Sheet3!$A$2:$A$47,1,0)</f>
        <v>Netherlands</v>
      </c>
      <c r="U1061" s="62" t="s">
        <v>15173</v>
      </c>
      <c r="V1061" s="62" t="s">
        <v>15174</v>
      </c>
      <c r="Z1061" s="24" t="s">
        <v>11</v>
      </c>
    </row>
    <row r="1062" spans="1:26" ht="20.100000000000001" customHeight="1" x14ac:dyDescent="0.2">
      <c r="A1062" s="62" t="s">
        <v>15175</v>
      </c>
      <c r="B1062" s="62" t="s">
        <v>15176</v>
      </c>
      <c r="C1062" s="63" t="s">
        <v>15177</v>
      </c>
      <c r="D1062" s="8" t="s">
        <v>9092</v>
      </c>
      <c r="E1062" s="20" t="s">
        <v>8998</v>
      </c>
      <c r="F1062" s="20" t="s">
        <v>9018</v>
      </c>
      <c r="G1062" s="20" t="s">
        <v>9292</v>
      </c>
      <c r="H1062" s="20">
        <v>2700</v>
      </c>
      <c r="I1062" s="20" t="s">
        <v>8952</v>
      </c>
      <c r="J1062" s="20" t="s">
        <v>8953</v>
      </c>
      <c r="K1062" s="20" t="s">
        <v>8989</v>
      </c>
      <c r="L1062" s="21" t="s">
        <v>8955</v>
      </c>
      <c r="M1062" s="20" t="s">
        <v>8956</v>
      </c>
      <c r="N1062" s="20" t="s">
        <v>8974</v>
      </c>
      <c r="O1062" s="20">
        <f t="shared" si="16"/>
        <v>5</v>
      </c>
      <c r="P1062" s="22" t="s">
        <v>8958</v>
      </c>
      <c r="Q1062" s="21" t="s">
        <v>8959</v>
      </c>
      <c r="R1062" s="23" t="s">
        <v>9213</v>
      </c>
      <c r="T1062" s="24" t="str">
        <f>VLOOKUP(R1062,[1]Sheet3!$A$2:$A$47,1,0)</f>
        <v>South Korea</v>
      </c>
      <c r="U1062" s="62" t="s">
        <v>12403</v>
      </c>
      <c r="V1062" s="62" t="s">
        <v>15178</v>
      </c>
      <c r="Z1062" s="24" t="s">
        <v>17</v>
      </c>
    </row>
    <row r="1063" spans="1:26" ht="20.100000000000001" customHeight="1" x14ac:dyDescent="0.2">
      <c r="A1063" s="62" t="s">
        <v>15179</v>
      </c>
      <c r="B1063" s="62" t="s">
        <v>15180</v>
      </c>
      <c r="C1063" s="63" t="s">
        <v>15181</v>
      </c>
      <c r="D1063" s="8" t="s">
        <v>9035</v>
      </c>
      <c r="E1063" s="20" t="s">
        <v>9308</v>
      </c>
      <c r="F1063" s="20" t="s">
        <v>8950</v>
      </c>
      <c r="G1063" s="20" t="s">
        <v>8987</v>
      </c>
      <c r="H1063" s="20">
        <f>470388+15887</f>
        <v>486275</v>
      </c>
      <c r="I1063" s="20" t="s">
        <v>9019</v>
      </c>
      <c r="J1063" s="20" t="s">
        <v>8953</v>
      </c>
      <c r="K1063" s="20" t="s">
        <v>8954</v>
      </c>
      <c r="L1063" s="21" t="s">
        <v>8955</v>
      </c>
      <c r="M1063" s="20" t="s">
        <v>8956</v>
      </c>
      <c r="N1063" s="20" t="s">
        <v>8957</v>
      </c>
      <c r="O1063" s="20">
        <f t="shared" si="16"/>
        <v>6</v>
      </c>
      <c r="P1063" s="22" t="s">
        <v>8958</v>
      </c>
      <c r="Q1063" s="21" t="s">
        <v>9009</v>
      </c>
      <c r="R1063" s="23" t="s">
        <v>9113</v>
      </c>
      <c r="T1063" s="24" t="str">
        <f>VLOOKUP(R1063,[1]Sheet3!$A$2:$A$47,1,0)</f>
        <v>UK</v>
      </c>
      <c r="U1063" s="62" t="s">
        <v>15182</v>
      </c>
      <c r="V1063" s="62" t="s">
        <v>15183</v>
      </c>
      <c r="Z1063" s="24" t="s">
        <v>17</v>
      </c>
    </row>
    <row r="1064" spans="1:26" ht="20.100000000000001" customHeight="1" x14ac:dyDescent="0.2">
      <c r="A1064" s="62" t="s">
        <v>15184</v>
      </c>
      <c r="B1064" s="62" t="s">
        <v>15185</v>
      </c>
      <c r="C1064" s="63" t="s">
        <v>15186</v>
      </c>
      <c r="D1064" s="8" t="s">
        <v>9035</v>
      </c>
      <c r="E1064" s="20" t="s">
        <v>9308</v>
      </c>
      <c r="F1064" s="20" t="s">
        <v>9449</v>
      </c>
      <c r="G1064" s="20" t="s">
        <v>8951</v>
      </c>
      <c r="H1064" s="20">
        <v>745479</v>
      </c>
      <c r="I1064" s="20" t="s">
        <v>9019</v>
      </c>
      <c r="J1064" s="20" t="s">
        <v>8953</v>
      </c>
      <c r="K1064" s="20" t="s">
        <v>8989</v>
      </c>
      <c r="L1064" s="21" t="s">
        <v>8955</v>
      </c>
      <c r="M1064" s="20" t="s">
        <v>8956</v>
      </c>
      <c r="N1064" s="20" t="s">
        <v>8957</v>
      </c>
      <c r="O1064" s="20">
        <f t="shared" si="16"/>
        <v>6</v>
      </c>
      <c r="P1064" s="22" t="s">
        <v>8958</v>
      </c>
      <c r="Q1064" s="21" t="s">
        <v>9009</v>
      </c>
      <c r="R1064" s="23" t="s">
        <v>10873</v>
      </c>
      <c r="T1064" s="24" t="str">
        <f>VLOOKUP(R1064,[1]Sheet3!$A$2:$A$47,1,0)</f>
        <v>UK</v>
      </c>
      <c r="U1064" s="62" t="s">
        <v>15187</v>
      </c>
      <c r="V1064" s="62" t="s">
        <v>15188</v>
      </c>
      <c r="Z1064" s="24" t="s">
        <v>11</v>
      </c>
    </row>
    <row r="1065" spans="1:26" ht="20.100000000000001" customHeight="1" x14ac:dyDescent="0.2">
      <c r="A1065" s="62" t="s">
        <v>15189</v>
      </c>
      <c r="B1065" s="62" t="s">
        <v>15190</v>
      </c>
      <c r="C1065" s="63" t="s">
        <v>15191</v>
      </c>
      <c r="D1065" s="8" t="s">
        <v>8948</v>
      </c>
      <c r="E1065" s="20" t="s">
        <v>8949</v>
      </c>
      <c r="F1065" s="20" t="s">
        <v>14046</v>
      </c>
      <c r="G1065" s="20" t="s">
        <v>8987</v>
      </c>
      <c r="H1065" s="20">
        <v>2201</v>
      </c>
      <c r="I1065" s="20" t="s">
        <v>8952</v>
      </c>
      <c r="J1065" s="20" t="s">
        <v>9059</v>
      </c>
      <c r="K1065" s="20" t="s">
        <v>8954</v>
      </c>
      <c r="L1065" s="21" t="s">
        <v>8955</v>
      </c>
      <c r="M1065" s="20" t="s">
        <v>8956</v>
      </c>
      <c r="N1065" s="20" t="s">
        <v>8959</v>
      </c>
      <c r="O1065" s="20">
        <f t="shared" si="16"/>
        <v>6</v>
      </c>
      <c r="P1065" s="22" t="s">
        <v>8958</v>
      </c>
      <c r="Q1065" s="21" t="s">
        <v>8959</v>
      </c>
      <c r="R1065" s="23" t="s">
        <v>9176</v>
      </c>
      <c r="T1065" s="24" t="str">
        <f>VLOOKUP(R1065,[1]Sheet3!$A$2:$A$47,1,0)</f>
        <v>Australia</v>
      </c>
      <c r="U1065" s="62" t="s">
        <v>15192</v>
      </c>
      <c r="V1065" s="62" t="s">
        <v>15193</v>
      </c>
      <c r="Z1065" s="24" t="s">
        <v>17</v>
      </c>
    </row>
    <row r="1066" spans="1:26" ht="20.100000000000001" customHeight="1" x14ac:dyDescent="0.2">
      <c r="A1066" s="62" t="s">
        <v>15194</v>
      </c>
      <c r="B1066" s="62" t="s">
        <v>15195</v>
      </c>
      <c r="C1066" s="63" t="s">
        <v>15196</v>
      </c>
      <c r="D1066" s="8" t="s">
        <v>9252</v>
      </c>
      <c r="E1066" s="20" t="s">
        <v>8949</v>
      </c>
      <c r="F1066" s="20" t="s">
        <v>9270</v>
      </c>
      <c r="G1066" s="20" t="s">
        <v>8987</v>
      </c>
      <c r="H1066" s="20">
        <v>492</v>
      </c>
      <c r="I1066" s="20" t="s">
        <v>8988</v>
      </c>
      <c r="J1066" s="20" t="s">
        <v>8953</v>
      </c>
      <c r="K1066" s="20" t="s">
        <v>8989</v>
      </c>
      <c r="L1066" s="21" t="s">
        <v>8955</v>
      </c>
      <c r="M1066" s="20" t="s">
        <v>8956</v>
      </c>
      <c r="N1066" s="20" t="s">
        <v>8957</v>
      </c>
      <c r="O1066" s="20">
        <f t="shared" si="16"/>
        <v>7</v>
      </c>
      <c r="P1066" s="22" t="s">
        <v>8958</v>
      </c>
      <c r="Q1066" s="21" t="s">
        <v>9009</v>
      </c>
      <c r="R1066" s="23" t="s">
        <v>9536</v>
      </c>
      <c r="T1066" s="24" t="str">
        <f>VLOOKUP(R1066,[1]Sheet3!$A$2:$A$47,1,0)</f>
        <v>Australia</v>
      </c>
      <c r="U1066" s="63" t="s">
        <v>15197</v>
      </c>
      <c r="V1066" s="62" t="s">
        <v>15198</v>
      </c>
      <c r="Z1066" s="24" t="s">
        <v>17</v>
      </c>
    </row>
    <row r="1067" spans="1:26" ht="20.100000000000001" customHeight="1" x14ac:dyDescent="0.2">
      <c r="A1067" s="62" t="s">
        <v>15199</v>
      </c>
      <c r="B1067" s="62" t="s">
        <v>15200</v>
      </c>
      <c r="C1067" s="63" t="s">
        <v>15201</v>
      </c>
      <c r="D1067" s="8" t="s">
        <v>9252</v>
      </c>
      <c r="E1067" s="20" t="s">
        <v>8971</v>
      </c>
      <c r="F1067" s="20" t="s">
        <v>12653</v>
      </c>
      <c r="G1067" s="20" t="s">
        <v>8987</v>
      </c>
      <c r="H1067" s="20">
        <f>96+74+250</f>
        <v>420</v>
      </c>
      <c r="I1067" s="20" t="s">
        <v>8988</v>
      </c>
      <c r="J1067" s="20" t="s">
        <v>8953</v>
      </c>
      <c r="K1067" s="20" t="s">
        <v>8954</v>
      </c>
      <c r="L1067" s="21" t="s">
        <v>8955</v>
      </c>
      <c r="M1067" s="20" t="s">
        <v>8956</v>
      </c>
      <c r="N1067" s="20" t="s">
        <v>8959</v>
      </c>
      <c r="O1067" s="20">
        <f t="shared" si="16"/>
        <v>5</v>
      </c>
      <c r="P1067" s="22" t="s">
        <v>8958</v>
      </c>
      <c r="Q1067" s="21" t="s">
        <v>8959</v>
      </c>
      <c r="R1067" s="23" t="s">
        <v>10446</v>
      </c>
      <c r="T1067" s="24" t="str">
        <f>VLOOKUP(R1067,[1]Sheet3!$A$2:$A$47,1,0)</f>
        <v>Taiwan</v>
      </c>
      <c r="U1067" s="62" t="s">
        <v>15202</v>
      </c>
      <c r="V1067" s="62" t="s">
        <v>15203</v>
      </c>
      <c r="Z1067" s="24" t="s">
        <v>11</v>
      </c>
    </row>
    <row r="1068" spans="1:26" ht="20.100000000000001" customHeight="1" x14ac:dyDescent="0.2">
      <c r="A1068" s="62" t="s">
        <v>15204</v>
      </c>
      <c r="B1068" s="62" t="s">
        <v>15205</v>
      </c>
      <c r="C1068" s="63" t="s">
        <v>15206</v>
      </c>
      <c r="D1068" s="8" t="s">
        <v>9154</v>
      </c>
      <c r="E1068" s="20" t="s">
        <v>8949</v>
      </c>
      <c r="F1068" s="20" t="s">
        <v>10673</v>
      </c>
      <c r="G1068" s="20" t="s">
        <v>8973</v>
      </c>
      <c r="H1068" s="20">
        <f>3465+8085</f>
        <v>11550</v>
      </c>
      <c r="I1068" s="20" t="s">
        <v>9019</v>
      </c>
      <c r="J1068" s="20" t="s">
        <v>8953</v>
      </c>
      <c r="K1068" s="20" t="s">
        <v>8989</v>
      </c>
      <c r="L1068" s="21" t="s">
        <v>9182</v>
      </c>
      <c r="M1068" s="20" t="s">
        <v>8956</v>
      </c>
      <c r="N1068" s="20" t="s">
        <v>8957</v>
      </c>
      <c r="O1068" s="20">
        <f t="shared" si="16"/>
        <v>5</v>
      </c>
      <c r="P1068" s="22" t="s">
        <v>8958</v>
      </c>
      <c r="Q1068" s="21" t="s">
        <v>9009</v>
      </c>
      <c r="R1068" s="23" t="s">
        <v>9010</v>
      </c>
      <c r="T1068" s="24" t="str">
        <f>VLOOKUP(R1068,[1]Sheet3!$A$2:$A$47,1,0)</f>
        <v>the United States of America</v>
      </c>
      <c r="U1068" s="62" t="s">
        <v>15207</v>
      </c>
      <c r="V1068" s="62" t="s">
        <v>15208</v>
      </c>
      <c r="Z1068" s="24" t="s">
        <v>17</v>
      </c>
    </row>
    <row r="1069" spans="1:26" ht="20.100000000000001" customHeight="1" x14ac:dyDescent="0.2">
      <c r="A1069" s="62" t="s">
        <v>15209</v>
      </c>
      <c r="B1069" s="62" t="s">
        <v>15210</v>
      </c>
      <c r="C1069" s="63" t="s">
        <v>15211</v>
      </c>
      <c r="D1069" s="8" t="s">
        <v>8984</v>
      </c>
      <c r="E1069" s="20" t="s">
        <v>8971</v>
      </c>
      <c r="F1069" s="20" t="s">
        <v>9510</v>
      </c>
      <c r="G1069" s="20" t="s">
        <v>9076</v>
      </c>
      <c r="H1069" s="20">
        <v>20000</v>
      </c>
      <c r="I1069" s="20" t="s">
        <v>9019</v>
      </c>
      <c r="J1069" s="20" t="s">
        <v>8953</v>
      </c>
      <c r="K1069" s="20" t="s">
        <v>8954</v>
      </c>
      <c r="L1069" s="21" t="s">
        <v>8955</v>
      </c>
      <c r="M1069" s="20" t="s">
        <v>8956</v>
      </c>
      <c r="N1069" s="20" t="s">
        <v>8959</v>
      </c>
      <c r="O1069" s="20">
        <f t="shared" si="16"/>
        <v>2</v>
      </c>
      <c r="P1069" s="22" t="s">
        <v>9103</v>
      </c>
      <c r="Q1069" s="21" t="s">
        <v>9009</v>
      </c>
      <c r="R1069" s="23" t="s">
        <v>9010</v>
      </c>
      <c r="T1069" s="24" t="str">
        <f>VLOOKUP(R1069,[1]Sheet3!$A$2:$A$47,1,0)</f>
        <v>the United States of America</v>
      </c>
      <c r="U1069" s="63" t="s">
        <v>15212</v>
      </c>
      <c r="V1069" s="62" t="s">
        <v>11933</v>
      </c>
      <c r="Z1069" s="24" t="s">
        <v>1114</v>
      </c>
    </row>
    <row r="1070" spans="1:26" ht="20.100000000000001" customHeight="1" x14ac:dyDescent="0.2">
      <c r="A1070" s="62" t="s">
        <v>15213</v>
      </c>
      <c r="B1070" s="62" t="s">
        <v>15214</v>
      </c>
      <c r="C1070" s="63" t="s">
        <v>15215</v>
      </c>
      <c r="D1070" s="8" t="s">
        <v>9154</v>
      </c>
      <c r="E1070" s="20" t="s">
        <v>8949</v>
      </c>
      <c r="F1070" s="21" t="s">
        <v>15216</v>
      </c>
      <c r="G1070" s="20" t="s">
        <v>8973</v>
      </c>
      <c r="H1070" s="20">
        <v>4345</v>
      </c>
      <c r="I1070" s="20" t="s">
        <v>9019</v>
      </c>
      <c r="J1070" s="20" t="s">
        <v>8953</v>
      </c>
      <c r="K1070" s="20" t="s">
        <v>8954</v>
      </c>
      <c r="L1070" s="21" t="s">
        <v>9182</v>
      </c>
      <c r="M1070" s="20" t="s">
        <v>8956</v>
      </c>
      <c r="N1070" s="20" t="s">
        <v>8957</v>
      </c>
      <c r="O1070" s="20">
        <f t="shared" si="16"/>
        <v>15</v>
      </c>
      <c r="P1070" s="22" t="s">
        <v>8975</v>
      </c>
      <c r="Q1070" s="21" t="s">
        <v>9061</v>
      </c>
      <c r="R1070" s="23" t="s">
        <v>9010</v>
      </c>
      <c r="T1070" s="24" t="str">
        <f>VLOOKUP(R1070,[1]Sheet3!$A$2:$A$47,1,0)</f>
        <v>the United States of America</v>
      </c>
      <c r="U1070" s="62" t="s">
        <v>15217</v>
      </c>
      <c r="V1070" s="62" t="s">
        <v>15218</v>
      </c>
      <c r="Z1070" s="24" t="s">
        <v>11</v>
      </c>
    </row>
    <row r="1071" spans="1:26" ht="20.100000000000001" customHeight="1" x14ac:dyDescent="0.2">
      <c r="A1071" s="62" t="s">
        <v>15219</v>
      </c>
      <c r="B1071" s="62" t="s">
        <v>15220</v>
      </c>
      <c r="C1071" s="63" t="s">
        <v>15221</v>
      </c>
      <c r="D1071" s="8" t="s">
        <v>8948</v>
      </c>
      <c r="E1071" s="20" t="s">
        <v>8949</v>
      </c>
      <c r="F1071" s="20" t="s">
        <v>8950</v>
      </c>
      <c r="G1071" s="20" t="s">
        <v>8987</v>
      </c>
      <c r="H1071" s="20">
        <v>1638</v>
      </c>
      <c r="I1071" s="20" t="s">
        <v>8952</v>
      </c>
      <c r="J1071" s="20" t="s">
        <v>9059</v>
      </c>
      <c r="K1071" s="20" t="s">
        <v>8954</v>
      </c>
      <c r="L1071" s="21" t="s">
        <v>8955</v>
      </c>
      <c r="M1071" s="20" t="s">
        <v>8956</v>
      </c>
      <c r="N1071" s="20" t="s">
        <v>8957</v>
      </c>
      <c r="O1071" s="20">
        <f t="shared" si="16"/>
        <v>8</v>
      </c>
      <c r="P1071" s="22" t="s">
        <v>8975</v>
      </c>
      <c r="Q1071" s="21" t="s">
        <v>9061</v>
      </c>
      <c r="R1071" s="23" t="s">
        <v>10049</v>
      </c>
      <c r="T1071" s="24" t="str">
        <f>VLOOKUP(R1071,[1]Sheet3!$A$2:$A$47,1,0)</f>
        <v>Italy</v>
      </c>
      <c r="U1071" s="62" t="s">
        <v>15222</v>
      </c>
      <c r="V1071" s="62" t="s">
        <v>15223</v>
      </c>
      <c r="Z1071" s="24" t="s">
        <v>17</v>
      </c>
    </row>
    <row r="1072" spans="1:26" ht="20.100000000000001" customHeight="1" x14ac:dyDescent="0.2">
      <c r="A1072" s="62" t="s">
        <v>15224</v>
      </c>
      <c r="B1072" s="62" t="s">
        <v>15225</v>
      </c>
      <c r="C1072" s="63" t="s">
        <v>15226</v>
      </c>
      <c r="D1072" s="8" t="s">
        <v>15227</v>
      </c>
      <c r="E1072" s="20" t="s">
        <v>9269</v>
      </c>
      <c r="F1072" s="21" t="s">
        <v>15216</v>
      </c>
      <c r="G1072" s="20" t="s">
        <v>8973</v>
      </c>
      <c r="H1072" s="20">
        <f>74+91</f>
        <v>165</v>
      </c>
      <c r="I1072" s="20" t="s">
        <v>8988</v>
      </c>
      <c r="J1072" s="20" t="s">
        <v>9059</v>
      </c>
      <c r="K1072" s="20" t="s">
        <v>8954</v>
      </c>
      <c r="L1072" s="21" t="s">
        <v>9182</v>
      </c>
      <c r="M1072" s="20" t="s">
        <v>8956</v>
      </c>
      <c r="N1072" s="20" t="s">
        <v>8957</v>
      </c>
      <c r="O1072" s="20">
        <f t="shared" si="16"/>
        <v>8</v>
      </c>
      <c r="P1072" s="22" t="s">
        <v>8975</v>
      </c>
      <c r="Q1072" s="21" t="s">
        <v>9183</v>
      </c>
      <c r="R1072" s="23" t="s">
        <v>10873</v>
      </c>
      <c r="T1072" s="24" t="str">
        <f>VLOOKUP(R1072,[1]Sheet3!$A$2:$A$47,1,0)</f>
        <v>UK</v>
      </c>
      <c r="U1072" s="62" t="s">
        <v>15228</v>
      </c>
      <c r="V1072" s="62" t="s">
        <v>15229</v>
      </c>
      <c r="Z1072" s="24" t="s">
        <v>11</v>
      </c>
    </row>
    <row r="1073" spans="1:26" ht="20.100000000000001" customHeight="1" x14ac:dyDescent="0.2">
      <c r="A1073" s="62" t="s">
        <v>15230</v>
      </c>
      <c r="B1073" s="62" t="s">
        <v>15231</v>
      </c>
      <c r="C1073" s="63" t="s">
        <v>15232</v>
      </c>
      <c r="D1073" s="8" t="s">
        <v>9049</v>
      </c>
      <c r="E1073" s="20" t="s">
        <v>9155</v>
      </c>
      <c r="F1073" s="20" t="s">
        <v>8950</v>
      </c>
      <c r="G1073" s="20" t="s">
        <v>8987</v>
      </c>
      <c r="H1073" s="20">
        <v>6292</v>
      </c>
      <c r="I1073" s="20" t="s">
        <v>9019</v>
      </c>
      <c r="J1073" s="20" t="s">
        <v>8953</v>
      </c>
      <c r="K1073" s="20" t="s">
        <v>8989</v>
      </c>
      <c r="L1073" s="21" t="s">
        <v>8955</v>
      </c>
      <c r="M1073" s="20" t="s">
        <v>8956</v>
      </c>
      <c r="N1073" s="20" t="s">
        <v>8957</v>
      </c>
      <c r="O1073" s="20">
        <f t="shared" si="16"/>
        <v>3</v>
      </c>
      <c r="P1073" s="22" t="s">
        <v>9103</v>
      </c>
      <c r="Q1073" s="21" t="s">
        <v>9061</v>
      </c>
      <c r="R1073" s="39" t="s">
        <v>9010</v>
      </c>
      <c r="T1073" s="24" t="str">
        <f>VLOOKUP(R1073,[1]Sheet3!$A$2:$A$47,1,0)</f>
        <v>the United States of America</v>
      </c>
      <c r="U1073" s="62" t="s">
        <v>15233</v>
      </c>
      <c r="V1073" s="62" t="s">
        <v>15234</v>
      </c>
      <c r="Z1073" s="24" t="s">
        <v>11</v>
      </c>
    </row>
    <row r="1074" spans="1:26" ht="20.100000000000001" customHeight="1" x14ac:dyDescent="0.2">
      <c r="A1074" s="62" t="s">
        <v>15235</v>
      </c>
      <c r="B1074" s="62" t="s">
        <v>15236</v>
      </c>
      <c r="C1074" s="63" t="s">
        <v>15237</v>
      </c>
      <c r="D1074" s="8" t="s">
        <v>8948</v>
      </c>
      <c r="E1074" s="20" t="s">
        <v>8971</v>
      </c>
      <c r="F1074" s="20" t="s">
        <v>15238</v>
      </c>
      <c r="G1074" s="20" t="s">
        <v>8951</v>
      </c>
      <c r="H1074" s="20">
        <v>49269</v>
      </c>
      <c r="I1074" s="20" t="s">
        <v>9019</v>
      </c>
      <c r="J1074" s="20" t="s">
        <v>8953</v>
      </c>
      <c r="K1074" s="20" t="s">
        <v>8954</v>
      </c>
      <c r="L1074" s="21" t="s">
        <v>9182</v>
      </c>
      <c r="M1074" s="20" t="s">
        <v>8956</v>
      </c>
      <c r="N1074" s="20" t="s">
        <v>8957</v>
      </c>
      <c r="O1074" s="20">
        <f t="shared" si="16"/>
        <v>5</v>
      </c>
      <c r="P1074" s="22" t="s">
        <v>8958</v>
      </c>
      <c r="Q1074" s="21" t="s">
        <v>9061</v>
      </c>
      <c r="R1074" s="23" t="s">
        <v>9246</v>
      </c>
      <c r="T1074" s="24" t="str">
        <f>VLOOKUP(R1074,[1]Sheet3!$A$2:$A$47,1,0)</f>
        <v>Netherlands</v>
      </c>
      <c r="U1074" s="62" t="s">
        <v>15239</v>
      </c>
      <c r="V1074" s="62" t="s">
        <v>15240</v>
      </c>
      <c r="Z1074" s="24" t="s">
        <v>17</v>
      </c>
    </row>
    <row r="1075" spans="1:26" ht="20.100000000000001" customHeight="1" x14ac:dyDescent="0.2">
      <c r="A1075" s="62" t="s">
        <v>15241</v>
      </c>
      <c r="B1075" s="62" t="s">
        <v>15242</v>
      </c>
      <c r="C1075" s="63" t="s">
        <v>15243</v>
      </c>
      <c r="D1075" s="8" t="s">
        <v>9049</v>
      </c>
      <c r="E1075" s="20" t="s">
        <v>9050</v>
      </c>
      <c r="F1075" s="20" t="s">
        <v>15244</v>
      </c>
      <c r="G1075" s="20" t="s">
        <v>9133</v>
      </c>
      <c r="H1075" s="20">
        <v>3796</v>
      </c>
      <c r="I1075" s="20" t="s">
        <v>9019</v>
      </c>
      <c r="J1075" s="20" t="s">
        <v>8953</v>
      </c>
      <c r="K1075" s="20" t="s">
        <v>8954</v>
      </c>
      <c r="L1075" s="21" t="s">
        <v>8955</v>
      </c>
      <c r="M1075" s="20" t="s">
        <v>8956</v>
      </c>
      <c r="N1075" s="20" t="s">
        <v>8959</v>
      </c>
      <c r="O1075" s="20">
        <f t="shared" si="16"/>
        <v>19</v>
      </c>
      <c r="P1075" s="22" t="s">
        <v>8975</v>
      </c>
      <c r="Q1075" s="21" t="s">
        <v>8959</v>
      </c>
      <c r="R1075" s="39" t="s">
        <v>9010</v>
      </c>
      <c r="T1075" s="24" t="str">
        <f>VLOOKUP(R1075,[1]Sheet3!$A$2:$A$47,1,0)</f>
        <v>the United States of America</v>
      </c>
      <c r="U1075" s="62" t="s">
        <v>15245</v>
      </c>
      <c r="V1075" s="62" t="s">
        <v>15246</v>
      </c>
      <c r="Z1075" s="24" t="s">
        <v>1114</v>
      </c>
    </row>
    <row r="1076" spans="1:26" ht="20.100000000000001" customHeight="1" x14ac:dyDescent="0.2">
      <c r="A1076" s="62" t="s">
        <v>15247</v>
      </c>
      <c r="B1076" s="62" t="s">
        <v>15248</v>
      </c>
      <c r="C1076" s="63" t="s">
        <v>15249</v>
      </c>
      <c r="D1076" s="8" t="s">
        <v>9605</v>
      </c>
      <c r="E1076" s="20" t="s">
        <v>8998</v>
      </c>
      <c r="F1076" s="20" t="s">
        <v>8950</v>
      </c>
      <c r="G1076" s="20" t="s">
        <v>8987</v>
      </c>
      <c r="H1076" s="20">
        <v>3319</v>
      </c>
      <c r="I1076" s="20" t="s">
        <v>9019</v>
      </c>
      <c r="J1076" s="20" t="s">
        <v>8953</v>
      </c>
      <c r="K1076" s="20" t="s">
        <v>8989</v>
      </c>
      <c r="L1076" s="21" t="s">
        <v>8955</v>
      </c>
      <c r="M1076" s="20" t="s">
        <v>8956</v>
      </c>
      <c r="N1076" s="20" t="s">
        <v>8959</v>
      </c>
      <c r="O1076" s="20">
        <f t="shared" si="16"/>
        <v>6</v>
      </c>
      <c r="P1076" s="22" t="s">
        <v>8958</v>
      </c>
      <c r="Q1076" s="21" t="s">
        <v>9061</v>
      </c>
      <c r="R1076" s="23" t="s">
        <v>9010</v>
      </c>
      <c r="T1076" s="24" t="str">
        <f>VLOOKUP(R1076,[1]Sheet3!$A$2:$A$47,1,0)</f>
        <v>the United States of America</v>
      </c>
      <c r="U1076" s="62" t="s">
        <v>15250</v>
      </c>
      <c r="V1076" s="62" t="s">
        <v>15251</v>
      </c>
      <c r="Z1076" s="24" t="s">
        <v>11</v>
      </c>
    </row>
    <row r="1077" spans="1:26" ht="20.100000000000001" customHeight="1" x14ac:dyDescent="0.2">
      <c r="A1077" s="62" t="s">
        <v>15252</v>
      </c>
      <c r="B1077" s="62" t="s">
        <v>15253</v>
      </c>
      <c r="C1077" s="63" t="s">
        <v>15254</v>
      </c>
      <c r="D1077" s="8" t="s">
        <v>8984</v>
      </c>
      <c r="E1077" s="20" t="s">
        <v>8998</v>
      </c>
      <c r="F1077" s="20" t="s">
        <v>10673</v>
      </c>
      <c r="G1077" s="20" t="s">
        <v>8973</v>
      </c>
      <c r="H1077" s="20">
        <f>2430+270</f>
        <v>2700</v>
      </c>
      <c r="I1077" s="20" t="s">
        <v>8952</v>
      </c>
      <c r="J1077" s="20" t="s">
        <v>8953</v>
      </c>
      <c r="K1077" s="20" t="s">
        <v>8989</v>
      </c>
      <c r="L1077" s="21" t="s">
        <v>8955</v>
      </c>
      <c r="M1077" s="20" t="s">
        <v>8956</v>
      </c>
      <c r="N1077" s="20" t="s">
        <v>8959</v>
      </c>
      <c r="O1077" s="20">
        <f t="shared" si="16"/>
        <v>9</v>
      </c>
      <c r="P1077" s="22" t="s">
        <v>8975</v>
      </c>
      <c r="Q1077" s="21" t="s">
        <v>9009</v>
      </c>
      <c r="R1077" s="23" t="s">
        <v>9010</v>
      </c>
      <c r="T1077" s="24" t="str">
        <f>VLOOKUP(R1077,[1]Sheet3!$A$2:$A$47,1,0)</f>
        <v>the United States of America</v>
      </c>
      <c r="U1077" s="62" t="s">
        <v>15255</v>
      </c>
      <c r="V1077" s="62" t="s">
        <v>15256</v>
      </c>
      <c r="Z1077" s="24" t="s">
        <v>17</v>
      </c>
    </row>
    <row r="1078" spans="1:26" ht="20.100000000000001" customHeight="1" x14ac:dyDescent="0.2">
      <c r="A1078" s="62" t="s">
        <v>15257</v>
      </c>
      <c r="B1078" s="62" t="s">
        <v>15258</v>
      </c>
      <c r="C1078" s="63" t="s">
        <v>15259</v>
      </c>
      <c r="D1078" s="8" t="s">
        <v>8948</v>
      </c>
      <c r="E1078" s="20" t="s">
        <v>9155</v>
      </c>
      <c r="F1078" s="20" t="s">
        <v>10673</v>
      </c>
      <c r="G1078" s="20" t="s">
        <v>9464</v>
      </c>
      <c r="H1078" s="20">
        <f>71+22+49</f>
        <v>142</v>
      </c>
      <c r="I1078" s="20" t="s">
        <v>9158</v>
      </c>
      <c r="J1078" s="20" t="s">
        <v>8953</v>
      </c>
      <c r="K1078" s="20" t="s">
        <v>8954</v>
      </c>
      <c r="L1078" s="21" t="s">
        <v>8955</v>
      </c>
      <c r="M1078" s="20" t="s">
        <v>8956</v>
      </c>
      <c r="N1078" s="20" t="s">
        <v>8957</v>
      </c>
      <c r="O1078" s="20">
        <f t="shared" si="16"/>
        <v>13</v>
      </c>
      <c r="P1078" s="22" t="s">
        <v>8975</v>
      </c>
      <c r="Q1078" s="21" t="s">
        <v>9061</v>
      </c>
      <c r="R1078" s="23" t="s">
        <v>9010</v>
      </c>
      <c r="T1078" s="24" t="str">
        <f>VLOOKUP(R1078,[1]Sheet3!$A$2:$A$47,1,0)</f>
        <v>the United States of America</v>
      </c>
      <c r="U1078" s="62" t="s">
        <v>15260</v>
      </c>
      <c r="V1078" s="62" t="s">
        <v>15261</v>
      </c>
      <c r="Z1078" s="24" t="s">
        <v>1114</v>
      </c>
    </row>
    <row r="1079" spans="1:26" ht="20.100000000000001" customHeight="1" x14ac:dyDescent="0.2">
      <c r="A1079" s="62" t="s">
        <v>15262</v>
      </c>
      <c r="B1079" s="62" t="s">
        <v>15263</v>
      </c>
      <c r="C1079" s="63" t="s">
        <v>15264</v>
      </c>
      <c r="D1079" s="8" t="s">
        <v>8984</v>
      </c>
      <c r="E1079" s="20" t="s">
        <v>9308</v>
      </c>
      <c r="F1079" s="20" t="s">
        <v>15265</v>
      </c>
      <c r="G1079" s="20" t="s">
        <v>8951</v>
      </c>
      <c r="H1079" s="20">
        <f>5558+2210</f>
        <v>7768</v>
      </c>
      <c r="I1079" s="20" t="s">
        <v>9019</v>
      </c>
      <c r="J1079" s="20" t="s">
        <v>8953</v>
      </c>
      <c r="K1079" s="20" t="s">
        <v>8989</v>
      </c>
      <c r="L1079" s="21" t="s">
        <v>8955</v>
      </c>
      <c r="M1079" s="20" t="s">
        <v>8956</v>
      </c>
      <c r="N1079" s="20" t="s">
        <v>8959</v>
      </c>
      <c r="O1079" s="20">
        <f t="shared" si="16"/>
        <v>4</v>
      </c>
      <c r="P1079" s="22" t="s">
        <v>8958</v>
      </c>
      <c r="Q1079" s="21" t="s">
        <v>9061</v>
      </c>
      <c r="R1079" s="23" t="s">
        <v>9010</v>
      </c>
      <c r="T1079" s="24" t="str">
        <f>VLOOKUP(R1079,[1]Sheet3!$A$2:$A$47,1,0)</f>
        <v>the United States of America</v>
      </c>
      <c r="U1079" s="62" t="s">
        <v>15266</v>
      </c>
      <c r="V1079" s="62" t="s">
        <v>15267</v>
      </c>
      <c r="Z1079" s="24" t="s">
        <v>11</v>
      </c>
    </row>
    <row r="1080" spans="1:26" ht="20.100000000000001" customHeight="1" x14ac:dyDescent="0.2">
      <c r="A1080" s="62" t="s">
        <v>15268</v>
      </c>
      <c r="B1080" s="62" t="s">
        <v>15269</v>
      </c>
      <c r="C1080" s="63" t="s">
        <v>15270</v>
      </c>
      <c r="D1080" s="8" t="s">
        <v>9154</v>
      </c>
      <c r="E1080" s="20" t="s">
        <v>9155</v>
      </c>
      <c r="F1080" s="20" t="s">
        <v>15271</v>
      </c>
      <c r="G1080" s="20" t="s">
        <v>8987</v>
      </c>
      <c r="H1080" s="20">
        <v>25</v>
      </c>
      <c r="I1080" s="20" t="s">
        <v>9008</v>
      </c>
      <c r="J1080" s="20" t="s">
        <v>9059</v>
      </c>
      <c r="K1080" s="20" t="s">
        <v>8954</v>
      </c>
      <c r="L1080" s="21" t="s">
        <v>9182</v>
      </c>
      <c r="M1080" s="20" t="s">
        <v>8956</v>
      </c>
      <c r="N1080" s="20" t="s">
        <v>8959</v>
      </c>
      <c r="O1080" s="20">
        <f t="shared" si="16"/>
        <v>7</v>
      </c>
      <c r="P1080" s="22" t="s">
        <v>8958</v>
      </c>
      <c r="Q1080" s="21" t="s">
        <v>8959</v>
      </c>
      <c r="R1080" s="23" t="s">
        <v>9317</v>
      </c>
      <c r="T1080" s="24" t="str">
        <f>VLOOKUP(R1080,[1]Sheet3!$A$2:$A$47,1,0)</f>
        <v>Germany</v>
      </c>
      <c r="U1080" s="62" t="s">
        <v>15272</v>
      </c>
      <c r="V1080" s="62" t="s">
        <v>15273</v>
      </c>
      <c r="Z1080" s="24" t="s">
        <v>11</v>
      </c>
    </row>
    <row r="1081" spans="1:26" ht="20.100000000000001" customHeight="1" x14ac:dyDescent="0.2">
      <c r="A1081" s="62" t="s">
        <v>15274</v>
      </c>
      <c r="B1081" s="62" t="s">
        <v>15275</v>
      </c>
      <c r="C1081" s="63" t="s">
        <v>15276</v>
      </c>
      <c r="D1081" s="8" t="s">
        <v>9049</v>
      </c>
      <c r="E1081" s="20" t="s">
        <v>9050</v>
      </c>
      <c r="F1081" s="20" t="s">
        <v>9036</v>
      </c>
      <c r="G1081" s="20" t="s">
        <v>8987</v>
      </c>
      <c r="H1081" s="20">
        <v>59302</v>
      </c>
      <c r="I1081" s="20" t="s">
        <v>9019</v>
      </c>
      <c r="J1081" s="20" t="s">
        <v>8953</v>
      </c>
      <c r="K1081" s="20" t="s">
        <v>8954</v>
      </c>
      <c r="L1081" s="21" t="s">
        <v>9182</v>
      </c>
      <c r="M1081" s="20" t="s">
        <v>8956</v>
      </c>
      <c r="N1081" s="20" t="s">
        <v>8957</v>
      </c>
      <c r="O1081" s="20">
        <f t="shared" si="16"/>
        <v>8</v>
      </c>
      <c r="P1081" s="22" t="s">
        <v>8975</v>
      </c>
      <c r="Q1081" s="21" t="s">
        <v>8959</v>
      </c>
      <c r="R1081" s="23" t="s">
        <v>9010</v>
      </c>
      <c r="T1081" s="24" t="str">
        <f>VLOOKUP(R1081,[1]Sheet3!$A$2:$A$47,1,0)</f>
        <v>the United States of America</v>
      </c>
      <c r="U1081" s="62" t="s">
        <v>15277</v>
      </c>
      <c r="V1081" s="62" t="s">
        <v>15278</v>
      </c>
      <c r="Z1081" s="24" t="s">
        <v>11</v>
      </c>
    </row>
    <row r="1082" spans="1:26" ht="20.100000000000001" customHeight="1" x14ac:dyDescent="0.2">
      <c r="A1082" s="62" t="s">
        <v>15279</v>
      </c>
      <c r="B1082" s="62" t="s">
        <v>15280</v>
      </c>
      <c r="C1082" s="63" t="s">
        <v>15281</v>
      </c>
      <c r="D1082" s="8" t="s">
        <v>8948</v>
      </c>
      <c r="E1082" s="20" t="s">
        <v>8949</v>
      </c>
      <c r="F1082" s="21" t="s">
        <v>15282</v>
      </c>
      <c r="G1082" s="20" t="s">
        <v>9292</v>
      </c>
      <c r="H1082" s="20">
        <v>50</v>
      </c>
      <c r="I1082" s="20" t="s">
        <v>9008</v>
      </c>
      <c r="J1082" s="20" t="s">
        <v>8953</v>
      </c>
      <c r="K1082" s="20" t="s">
        <v>8954</v>
      </c>
      <c r="L1082" s="21" t="s">
        <v>8955</v>
      </c>
      <c r="M1082" s="20" t="s">
        <v>8956</v>
      </c>
      <c r="N1082" s="20" t="s">
        <v>8957</v>
      </c>
      <c r="O1082" s="20">
        <f t="shared" si="16"/>
        <v>8</v>
      </c>
      <c r="P1082" s="22" t="s">
        <v>8975</v>
      </c>
      <c r="Q1082" s="21" t="s">
        <v>8959</v>
      </c>
      <c r="R1082" s="23" t="s">
        <v>9010</v>
      </c>
      <c r="T1082" s="24" t="str">
        <f>VLOOKUP(R1082,[1]Sheet3!$A$2:$A$47,1,0)</f>
        <v>the United States of America</v>
      </c>
      <c r="U1082" s="62" t="s">
        <v>15283</v>
      </c>
      <c r="V1082" s="62" t="s">
        <v>15284</v>
      </c>
      <c r="Z1082" s="24" t="s">
        <v>17</v>
      </c>
    </row>
    <row r="1083" spans="1:26" ht="20.100000000000001" customHeight="1" x14ac:dyDescent="0.2">
      <c r="A1083" s="62" t="s">
        <v>15285</v>
      </c>
      <c r="B1083" s="62" t="s">
        <v>15286</v>
      </c>
      <c r="C1083" s="63" t="s">
        <v>15287</v>
      </c>
      <c r="D1083" s="8" t="s">
        <v>15288</v>
      </c>
      <c r="E1083" s="20" t="s">
        <v>9155</v>
      </c>
      <c r="F1083" s="20" t="s">
        <v>8950</v>
      </c>
      <c r="G1083" s="20" t="s">
        <v>9133</v>
      </c>
      <c r="H1083" s="20">
        <v>6960</v>
      </c>
      <c r="I1083" s="20" t="s">
        <v>9019</v>
      </c>
      <c r="J1083" s="20" t="s">
        <v>15289</v>
      </c>
      <c r="K1083" s="20" t="s">
        <v>8954</v>
      </c>
      <c r="L1083" s="21" t="s">
        <v>8955</v>
      </c>
      <c r="M1083" s="20" t="s">
        <v>8956</v>
      </c>
      <c r="N1083" s="20" t="s">
        <v>8957</v>
      </c>
      <c r="O1083" s="20">
        <f t="shared" si="16"/>
        <v>6</v>
      </c>
      <c r="P1083" s="22" t="s">
        <v>8958</v>
      </c>
      <c r="Q1083" s="21" t="s">
        <v>8959</v>
      </c>
      <c r="R1083" s="23" t="s">
        <v>9010</v>
      </c>
      <c r="T1083" s="24" t="str">
        <f>VLOOKUP(R1083,[1]Sheet3!$A$2:$A$47,1,0)</f>
        <v>the United States of America</v>
      </c>
      <c r="U1083" s="62" t="s">
        <v>15290</v>
      </c>
      <c r="V1083" s="62" t="s">
        <v>15291</v>
      </c>
      <c r="Z1083" s="24">
        <v>2019</v>
      </c>
    </row>
    <row r="1084" spans="1:26" ht="20.100000000000001" customHeight="1" x14ac:dyDescent="0.2">
      <c r="A1084" s="62" t="s">
        <v>15292</v>
      </c>
      <c r="B1084" s="62" t="s">
        <v>15293</v>
      </c>
      <c r="C1084" s="63" t="s">
        <v>15294</v>
      </c>
      <c r="D1084" s="8" t="s">
        <v>8948</v>
      </c>
      <c r="E1084" s="20" t="s">
        <v>9725</v>
      </c>
      <c r="F1084" s="20" t="s">
        <v>15244</v>
      </c>
      <c r="G1084" s="20" t="s">
        <v>9133</v>
      </c>
      <c r="H1084" s="20">
        <v>2109</v>
      </c>
      <c r="I1084" s="20" t="s">
        <v>8952</v>
      </c>
      <c r="J1084" s="20" t="s">
        <v>8953</v>
      </c>
      <c r="K1084" s="20" t="s">
        <v>8954</v>
      </c>
      <c r="L1084" s="21" t="s">
        <v>8955</v>
      </c>
      <c r="M1084" s="20" t="s">
        <v>8956</v>
      </c>
      <c r="N1084" s="20" t="s">
        <v>8957</v>
      </c>
      <c r="O1084" s="20">
        <f t="shared" si="16"/>
        <v>20</v>
      </c>
      <c r="P1084" s="22" t="s">
        <v>8975</v>
      </c>
      <c r="Q1084" s="21" t="s">
        <v>9061</v>
      </c>
      <c r="R1084" s="23" t="s">
        <v>9010</v>
      </c>
      <c r="T1084" s="24" t="str">
        <f>VLOOKUP(R1084,[1]Sheet3!$A$2:$A$47,1,0)</f>
        <v>the United States of America</v>
      </c>
      <c r="U1084" s="62" t="s">
        <v>15295</v>
      </c>
      <c r="V1084" s="62" t="s">
        <v>15296</v>
      </c>
      <c r="Z1084" s="24" t="s">
        <v>17</v>
      </c>
    </row>
    <row r="1085" spans="1:26" ht="20.100000000000001" customHeight="1" x14ac:dyDescent="0.2">
      <c r="A1085" s="62" t="s">
        <v>15297</v>
      </c>
      <c r="B1085" s="62" t="s">
        <v>15298</v>
      </c>
      <c r="C1085" s="63" t="s">
        <v>15299</v>
      </c>
      <c r="D1085" s="8" t="s">
        <v>8948</v>
      </c>
      <c r="E1085" s="20" t="s">
        <v>8949</v>
      </c>
      <c r="F1085" s="20" t="s">
        <v>8950</v>
      </c>
      <c r="G1085" s="20" t="s">
        <v>8951</v>
      </c>
      <c r="H1085" s="20">
        <v>3200</v>
      </c>
      <c r="I1085" s="20" t="s">
        <v>9019</v>
      </c>
      <c r="J1085" s="20" t="s">
        <v>8953</v>
      </c>
      <c r="K1085" s="20" t="s">
        <v>8954</v>
      </c>
      <c r="L1085" s="21" t="s">
        <v>8955</v>
      </c>
      <c r="M1085" s="20" t="s">
        <v>8956</v>
      </c>
      <c r="N1085" s="20" t="s">
        <v>8957</v>
      </c>
      <c r="O1085" s="20">
        <f t="shared" si="16"/>
        <v>7</v>
      </c>
      <c r="P1085" s="22" t="s">
        <v>8958</v>
      </c>
      <c r="Q1085" s="21" t="s">
        <v>9009</v>
      </c>
      <c r="R1085" s="23" t="s">
        <v>10568</v>
      </c>
      <c r="T1085" s="24" t="str">
        <f>VLOOKUP(R1085,[1]Sheet3!$A$2:$A$47,1,0)</f>
        <v>Netherlands</v>
      </c>
      <c r="U1085" s="62" t="s">
        <v>15300</v>
      </c>
      <c r="V1085" s="62" t="s">
        <v>15301</v>
      </c>
      <c r="Z1085" s="24">
        <v>2019</v>
      </c>
    </row>
    <row r="1086" spans="1:26" ht="20.100000000000001" customHeight="1" x14ac:dyDescent="0.2">
      <c r="A1086" s="62" t="s">
        <v>15302</v>
      </c>
      <c r="B1086" s="62" t="s">
        <v>15303</v>
      </c>
      <c r="C1086" s="63" t="s">
        <v>15304</v>
      </c>
      <c r="D1086" s="8" t="s">
        <v>9154</v>
      </c>
      <c r="E1086" s="20" t="s">
        <v>8998</v>
      </c>
      <c r="F1086" s="20" t="s">
        <v>8950</v>
      </c>
      <c r="G1086" s="20" t="s">
        <v>8987</v>
      </c>
      <c r="H1086" s="20">
        <v>118</v>
      </c>
      <c r="I1086" s="20" t="s">
        <v>9158</v>
      </c>
      <c r="J1086" s="20" t="s">
        <v>8953</v>
      </c>
      <c r="K1086" s="20" t="s">
        <v>8954</v>
      </c>
      <c r="L1086" s="21" t="s">
        <v>8955</v>
      </c>
      <c r="M1086" s="20" t="s">
        <v>8956</v>
      </c>
      <c r="N1086" s="20" t="s">
        <v>8957</v>
      </c>
      <c r="O1086" s="20">
        <f t="shared" si="16"/>
        <v>5</v>
      </c>
      <c r="P1086" s="22" t="s">
        <v>8958</v>
      </c>
      <c r="Q1086" s="21" t="s">
        <v>9061</v>
      </c>
      <c r="R1086" s="23" t="s">
        <v>9246</v>
      </c>
      <c r="T1086" s="24" t="str">
        <f>VLOOKUP(R1086,[1]Sheet3!$A$2:$A$47,1,0)</f>
        <v>Netherlands</v>
      </c>
      <c r="U1086" s="62" t="s">
        <v>15305</v>
      </c>
      <c r="V1086" s="62" t="s">
        <v>15306</v>
      </c>
      <c r="Z1086" s="24" t="s">
        <v>17</v>
      </c>
    </row>
    <row r="1087" spans="1:26" ht="20.100000000000001" customHeight="1" x14ac:dyDescent="0.2">
      <c r="A1087" s="62" t="s">
        <v>15307</v>
      </c>
      <c r="B1087" s="62" t="s">
        <v>15308</v>
      </c>
      <c r="C1087" s="63" t="s">
        <v>15309</v>
      </c>
      <c r="D1087" s="8" t="s">
        <v>9035</v>
      </c>
      <c r="E1087" s="20" t="s">
        <v>8998</v>
      </c>
      <c r="F1087" s="20" t="s">
        <v>8950</v>
      </c>
      <c r="G1087" s="20" t="s">
        <v>8973</v>
      </c>
      <c r="H1087" s="20">
        <v>161</v>
      </c>
      <c r="I1087" s="20" t="s">
        <v>9158</v>
      </c>
      <c r="J1087" s="20" t="s">
        <v>9059</v>
      </c>
      <c r="K1087" s="20" t="s">
        <v>8954</v>
      </c>
      <c r="L1087" s="21" t="s">
        <v>8955</v>
      </c>
      <c r="M1087" s="20" t="s">
        <v>8956</v>
      </c>
      <c r="N1087" s="20" t="s">
        <v>8957</v>
      </c>
      <c r="O1087" s="20">
        <f t="shared" si="16"/>
        <v>9</v>
      </c>
      <c r="P1087" s="22" t="s">
        <v>8975</v>
      </c>
      <c r="Q1087" s="21" t="s">
        <v>9009</v>
      </c>
      <c r="R1087" s="23" t="s">
        <v>9213</v>
      </c>
      <c r="T1087" s="24" t="str">
        <f>VLOOKUP(R1087,[1]Sheet3!$A$2:$A$47,1,0)</f>
        <v>South Korea</v>
      </c>
      <c r="U1087" s="62" t="s">
        <v>15310</v>
      </c>
      <c r="V1087" s="62" t="s">
        <v>15311</v>
      </c>
      <c r="Z1087" s="24" t="s">
        <v>11</v>
      </c>
    </row>
    <row r="1088" spans="1:26" ht="20.100000000000001" customHeight="1" x14ac:dyDescent="0.2">
      <c r="A1088" s="62" t="s">
        <v>15312</v>
      </c>
      <c r="B1088" s="62" t="s">
        <v>15313</v>
      </c>
      <c r="C1088" s="63" t="s">
        <v>15314</v>
      </c>
      <c r="D1088" s="8" t="s">
        <v>9049</v>
      </c>
      <c r="E1088" s="20" t="s">
        <v>9325</v>
      </c>
      <c r="F1088" s="20" t="s">
        <v>8950</v>
      </c>
      <c r="G1088" s="20" t="s">
        <v>9133</v>
      </c>
      <c r="H1088" s="20">
        <v>4216</v>
      </c>
      <c r="I1088" s="20" t="s">
        <v>9019</v>
      </c>
      <c r="J1088" s="20" t="s">
        <v>8953</v>
      </c>
      <c r="K1088" s="20" t="s">
        <v>8954</v>
      </c>
      <c r="L1088" s="21" t="s">
        <v>9182</v>
      </c>
      <c r="M1088" s="20" t="s">
        <v>8956</v>
      </c>
      <c r="N1088" s="20" t="s">
        <v>8957</v>
      </c>
      <c r="O1088" s="20">
        <f t="shared" si="16"/>
        <v>14</v>
      </c>
      <c r="P1088" s="22" t="s">
        <v>8975</v>
      </c>
      <c r="Q1088" s="21" t="s">
        <v>9183</v>
      </c>
      <c r="R1088" s="23" t="s">
        <v>9333</v>
      </c>
      <c r="T1088" s="24" t="str">
        <f>VLOOKUP(R1088,[1]Sheet3!$A$2:$A$47,1,0)</f>
        <v>Japan</v>
      </c>
      <c r="U1088" s="62" t="s">
        <v>15315</v>
      </c>
      <c r="V1088" s="62" t="s">
        <v>15316</v>
      </c>
      <c r="Z1088" s="24" t="s">
        <v>1114</v>
      </c>
    </row>
    <row r="1089" spans="1:26" ht="20.100000000000001" customHeight="1" x14ac:dyDescent="0.2">
      <c r="A1089" s="62" t="s">
        <v>15317</v>
      </c>
      <c r="B1089" s="62" t="s">
        <v>15318</v>
      </c>
      <c r="C1089" s="63" t="s">
        <v>15319</v>
      </c>
      <c r="D1089" s="8" t="s">
        <v>9252</v>
      </c>
      <c r="E1089" s="20" t="s">
        <v>9253</v>
      </c>
      <c r="F1089" s="20" t="s">
        <v>8950</v>
      </c>
      <c r="G1089" s="20" t="s">
        <v>8987</v>
      </c>
      <c r="H1089" s="20">
        <v>14860</v>
      </c>
      <c r="I1089" s="20" t="s">
        <v>9019</v>
      </c>
      <c r="J1089" s="20" t="s">
        <v>8953</v>
      </c>
      <c r="K1089" s="20" t="s">
        <v>8954</v>
      </c>
      <c r="L1089" s="21" t="s">
        <v>8955</v>
      </c>
      <c r="M1089" s="20" t="s">
        <v>8956</v>
      </c>
      <c r="N1089" s="20" t="s">
        <v>8957</v>
      </c>
      <c r="O1089" s="20">
        <f t="shared" si="16"/>
        <v>6</v>
      </c>
      <c r="P1089" s="22" t="s">
        <v>8958</v>
      </c>
      <c r="Q1089" s="21" t="s">
        <v>9009</v>
      </c>
      <c r="R1089" s="23" t="s">
        <v>9010</v>
      </c>
      <c r="T1089" s="24" t="str">
        <f>VLOOKUP(R1089,[1]Sheet3!$A$2:$A$47,1,0)</f>
        <v>the United States of America</v>
      </c>
      <c r="U1089" s="62" t="s">
        <v>15320</v>
      </c>
      <c r="V1089" s="62" t="s">
        <v>15321</v>
      </c>
      <c r="Z1089" s="24" t="s">
        <v>17</v>
      </c>
    </row>
    <row r="1090" spans="1:26" ht="20.100000000000001" customHeight="1" x14ac:dyDescent="0.2">
      <c r="A1090" s="62" t="s">
        <v>15322</v>
      </c>
      <c r="B1090" s="62" t="s">
        <v>15323</v>
      </c>
      <c r="C1090" s="63" t="s">
        <v>15324</v>
      </c>
      <c r="D1090" s="8" t="s">
        <v>9049</v>
      </c>
      <c r="E1090" s="20" t="s">
        <v>9050</v>
      </c>
      <c r="F1090" s="20" t="s">
        <v>10660</v>
      </c>
      <c r="G1090" s="20" t="s">
        <v>9292</v>
      </c>
      <c r="H1090" s="20">
        <f>16000+1364</f>
        <v>17364</v>
      </c>
      <c r="I1090" s="20" t="s">
        <v>9019</v>
      </c>
      <c r="J1090" s="20" t="s">
        <v>8953</v>
      </c>
      <c r="K1090" s="20" t="s">
        <v>8954</v>
      </c>
      <c r="L1090" s="21" t="s">
        <v>8955</v>
      </c>
      <c r="M1090" s="20" t="s">
        <v>8956</v>
      </c>
      <c r="N1090" s="20" t="s">
        <v>8957</v>
      </c>
      <c r="O1090" s="20">
        <f t="shared" ref="O1090:O1126" si="17">1+LEN(V1090)-LEN(SUBSTITUTE(V1090,";",))</f>
        <v>7</v>
      </c>
      <c r="P1090" s="22" t="s">
        <v>8958</v>
      </c>
      <c r="Q1090" s="21" t="s">
        <v>8959</v>
      </c>
      <c r="R1090" s="23" t="s">
        <v>9333</v>
      </c>
      <c r="T1090" s="24" t="str">
        <f>VLOOKUP(R1090,[1]Sheet3!$A$2:$A$47,1,0)</f>
        <v>Japan</v>
      </c>
      <c r="U1090" s="62" t="s">
        <v>15325</v>
      </c>
      <c r="V1090" s="62" t="s">
        <v>15326</v>
      </c>
      <c r="Z1090" s="24" t="s">
        <v>11</v>
      </c>
    </row>
    <row r="1091" spans="1:26" ht="20.100000000000001" customHeight="1" x14ac:dyDescent="0.2">
      <c r="A1091" s="62" t="s">
        <v>15327</v>
      </c>
      <c r="B1091" s="62" t="s">
        <v>15328</v>
      </c>
      <c r="C1091" s="63" t="s">
        <v>15329</v>
      </c>
      <c r="D1091" s="8" t="s">
        <v>15330</v>
      </c>
      <c r="E1091" s="20" t="s">
        <v>8949</v>
      </c>
      <c r="F1091" s="20" t="s">
        <v>8950</v>
      </c>
      <c r="G1091" s="20" t="s">
        <v>9076</v>
      </c>
      <c r="H1091" s="20">
        <v>2</v>
      </c>
      <c r="I1091" s="20" t="s">
        <v>9008</v>
      </c>
      <c r="J1091" s="20" t="s">
        <v>9059</v>
      </c>
      <c r="K1091" s="20" t="s">
        <v>8954</v>
      </c>
      <c r="L1091" s="21" t="s">
        <v>8955</v>
      </c>
      <c r="M1091" s="20" t="s">
        <v>8956</v>
      </c>
      <c r="N1091" s="20" t="s">
        <v>8957</v>
      </c>
      <c r="O1091" s="20">
        <f t="shared" si="17"/>
        <v>4</v>
      </c>
      <c r="P1091" s="22" t="s">
        <v>8958</v>
      </c>
      <c r="Q1091" s="21" t="s">
        <v>8959</v>
      </c>
      <c r="R1091" s="23" t="s">
        <v>9010</v>
      </c>
      <c r="T1091" s="24" t="str">
        <f>VLOOKUP(R1091,[1]Sheet3!$A$2:$A$47,1,0)</f>
        <v>the United States of America</v>
      </c>
      <c r="U1091" s="62" t="s">
        <v>15331</v>
      </c>
      <c r="V1091" s="62" t="s">
        <v>15332</v>
      </c>
      <c r="Z1091" s="24" t="s">
        <v>4</v>
      </c>
    </row>
    <row r="1092" spans="1:26" ht="20.100000000000001" customHeight="1" x14ac:dyDescent="0.2">
      <c r="A1092" s="62" t="s">
        <v>15333</v>
      </c>
      <c r="B1092" s="62" t="s">
        <v>15334</v>
      </c>
      <c r="C1092" s="63" t="s">
        <v>15335</v>
      </c>
      <c r="D1092" s="8" t="s">
        <v>9154</v>
      </c>
      <c r="E1092" s="20" t="s">
        <v>8949</v>
      </c>
      <c r="F1092" s="20" t="s">
        <v>10673</v>
      </c>
      <c r="G1092" s="20" t="s">
        <v>9076</v>
      </c>
      <c r="H1092" s="20">
        <v>2276</v>
      </c>
      <c r="I1092" s="20" t="s">
        <v>8952</v>
      </c>
      <c r="J1092" s="20" t="s">
        <v>8953</v>
      </c>
      <c r="K1092" s="20" t="s">
        <v>8954</v>
      </c>
      <c r="L1092" s="21" t="s">
        <v>8955</v>
      </c>
      <c r="M1092" s="20" t="s">
        <v>8956</v>
      </c>
      <c r="N1092" s="20" t="s">
        <v>8957</v>
      </c>
      <c r="O1092" s="20">
        <f t="shared" si="17"/>
        <v>5</v>
      </c>
      <c r="P1092" s="22" t="s">
        <v>8958</v>
      </c>
      <c r="Q1092" s="21" t="s">
        <v>8959</v>
      </c>
      <c r="R1092" s="23" t="s">
        <v>10873</v>
      </c>
      <c r="T1092" s="24" t="str">
        <f>VLOOKUP(R1092,[1]Sheet3!$A$2:$A$47,1,0)</f>
        <v>UK</v>
      </c>
      <c r="U1092" s="62" t="s">
        <v>15336</v>
      </c>
      <c r="V1092" s="62" t="s">
        <v>15337</v>
      </c>
      <c r="Z1092" s="24" t="s">
        <v>11</v>
      </c>
    </row>
    <row r="1093" spans="1:26" ht="20.100000000000001" customHeight="1" x14ac:dyDescent="0.2">
      <c r="A1093" s="62" t="s">
        <v>15338</v>
      </c>
      <c r="B1093" s="62" t="s">
        <v>15339</v>
      </c>
      <c r="C1093" s="63" t="s">
        <v>15340</v>
      </c>
      <c r="D1093" s="8" t="s">
        <v>15172</v>
      </c>
      <c r="E1093" s="20" t="s">
        <v>8949</v>
      </c>
      <c r="F1093" s="20" t="s">
        <v>8950</v>
      </c>
      <c r="G1093" s="20" t="s">
        <v>8987</v>
      </c>
      <c r="H1093" s="20">
        <v>220</v>
      </c>
      <c r="I1093" s="20" t="s">
        <v>9158</v>
      </c>
      <c r="J1093" s="20" t="s">
        <v>9059</v>
      </c>
      <c r="K1093" s="20" t="s">
        <v>8954</v>
      </c>
      <c r="L1093" s="21" t="s">
        <v>8955</v>
      </c>
      <c r="M1093" s="20" t="s">
        <v>8956</v>
      </c>
      <c r="N1093" s="20" t="s">
        <v>8957</v>
      </c>
      <c r="O1093" s="20">
        <f t="shared" si="17"/>
        <v>2</v>
      </c>
      <c r="P1093" s="22" t="s">
        <v>9103</v>
      </c>
      <c r="Q1093" s="21" t="s">
        <v>9009</v>
      </c>
      <c r="R1093" s="23" t="s">
        <v>9246</v>
      </c>
      <c r="T1093" s="24" t="str">
        <f>VLOOKUP(R1093,[1]Sheet3!$A$2:$A$47,1,0)</f>
        <v>Netherlands</v>
      </c>
      <c r="U1093" s="63" t="s">
        <v>15341</v>
      </c>
      <c r="V1093" s="62" t="s">
        <v>15342</v>
      </c>
      <c r="Z1093" s="24" t="s">
        <v>11</v>
      </c>
    </row>
    <row r="1094" spans="1:26" ht="20.100000000000001" customHeight="1" x14ac:dyDescent="0.2">
      <c r="A1094" s="62" t="s">
        <v>15343</v>
      </c>
      <c r="B1094" s="62" t="s">
        <v>15344</v>
      </c>
      <c r="C1094" s="63" t="s">
        <v>15345</v>
      </c>
      <c r="D1094" s="8" t="s">
        <v>9252</v>
      </c>
      <c r="E1094" s="20" t="s">
        <v>9121</v>
      </c>
      <c r="F1094" s="20" t="s">
        <v>15346</v>
      </c>
      <c r="G1094" s="20" t="s">
        <v>8987</v>
      </c>
      <c r="H1094" s="20">
        <v>105</v>
      </c>
      <c r="I1094" s="20" t="s">
        <v>9158</v>
      </c>
      <c r="J1094" s="20" t="s">
        <v>8953</v>
      </c>
      <c r="K1094" s="20" t="s">
        <v>8989</v>
      </c>
      <c r="L1094" s="21" t="s">
        <v>8955</v>
      </c>
      <c r="M1094" s="20" t="s">
        <v>8956</v>
      </c>
      <c r="N1094" s="20" t="s">
        <v>8959</v>
      </c>
      <c r="O1094" s="20">
        <f t="shared" si="17"/>
        <v>10</v>
      </c>
      <c r="P1094" s="22" t="s">
        <v>8975</v>
      </c>
      <c r="Q1094" s="21" t="s">
        <v>8959</v>
      </c>
      <c r="R1094" s="23" t="s">
        <v>9310</v>
      </c>
      <c r="T1094" s="24" t="str">
        <f>VLOOKUP(R1094,[1]Sheet3!$A$2:$A$47,1,0)</f>
        <v>China</v>
      </c>
      <c r="U1094" s="63" t="s">
        <v>15347</v>
      </c>
      <c r="V1094" s="62" t="s">
        <v>15348</v>
      </c>
      <c r="Z1094" s="24" t="s">
        <v>17</v>
      </c>
    </row>
    <row r="1095" spans="1:26" ht="20.100000000000001" customHeight="1" x14ac:dyDescent="0.2">
      <c r="A1095" s="62" t="s">
        <v>15349</v>
      </c>
      <c r="B1095" s="62" t="s">
        <v>15350</v>
      </c>
      <c r="C1095" s="63" t="s">
        <v>15351</v>
      </c>
      <c r="D1095" s="8" t="s">
        <v>8948</v>
      </c>
      <c r="E1095" s="20" t="s">
        <v>9155</v>
      </c>
      <c r="F1095" s="20" t="s">
        <v>10673</v>
      </c>
      <c r="G1095" s="20" t="s">
        <v>8973</v>
      </c>
      <c r="H1095" s="20">
        <v>18</v>
      </c>
      <c r="I1095" s="20" t="s">
        <v>9008</v>
      </c>
      <c r="J1095" s="20" t="s">
        <v>9059</v>
      </c>
      <c r="K1095" s="20" t="s">
        <v>8989</v>
      </c>
      <c r="L1095" s="21" t="s">
        <v>8955</v>
      </c>
      <c r="M1095" s="20" t="s">
        <v>8956</v>
      </c>
      <c r="N1095" s="20" t="s">
        <v>8957</v>
      </c>
      <c r="O1095" s="20">
        <f t="shared" si="17"/>
        <v>3</v>
      </c>
      <c r="P1095" s="22" t="s">
        <v>9103</v>
      </c>
      <c r="Q1095" s="21" t="s">
        <v>9061</v>
      </c>
      <c r="R1095" s="23" t="s">
        <v>9010</v>
      </c>
      <c r="T1095" s="24" t="str">
        <f>VLOOKUP(R1095,[1]Sheet3!$A$2:$A$47,1,0)</f>
        <v>the United States of America</v>
      </c>
      <c r="U1095" s="62" t="s">
        <v>15352</v>
      </c>
      <c r="V1095" s="62" t="s">
        <v>15353</v>
      </c>
      <c r="Z1095" s="24" t="s">
        <v>920</v>
      </c>
    </row>
    <row r="1096" spans="1:26" ht="20.100000000000001" customHeight="1" x14ac:dyDescent="0.2">
      <c r="A1096" s="62" t="s">
        <v>15354</v>
      </c>
      <c r="B1096" s="62" t="s">
        <v>15355</v>
      </c>
      <c r="C1096" s="63" t="s">
        <v>15356</v>
      </c>
      <c r="D1096" s="8" t="s">
        <v>9075</v>
      </c>
      <c r="E1096" s="20" t="s">
        <v>8998</v>
      </c>
      <c r="F1096" s="20" t="s">
        <v>10673</v>
      </c>
      <c r="G1096" s="20" t="s">
        <v>8973</v>
      </c>
      <c r="H1096" s="20">
        <v>313</v>
      </c>
      <c r="I1096" s="20" t="s">
        <v>8988</v>
      </c>
      <c r="J1096" s="20" t="s">
        <v>8953</v>
      </c>
      <c r="K1096" s="20" t="s">
        <v>8989</v>
      </c>
      <c r="L1096" s="21" t="s">
        <v>8955</v>
      </c>
      <c r="M1096" s="20" t="s">
        <v>8956</v>
      </c>
      <c r="N1096" s="20" t="s">
        <v>8957</v>
      </c>
      <c r="O1096" s="20">
        <f t="shared" si="17"/>
        <v>6</v>
      </c>
      <c r="P1096" s="22" t="s">
        <v>8958</v>
      </c>
      <c r="Q1096" s="21" t="s">
        <v>8959</v>
      </c>
      <c r="R1096" s="23" t="s">
        <v>9010</v>
      </c>
      <c r="T1096" s="24" t="str">
        <f>VLOOKUP(R1096,[1]Sheet3!$A$2:$A$47,1,0)</f>
        <v>the United States of America</v>
      </c>
      <c r="U1096" s="63" t="s">
        <v>15357</v>
      </c>
      <c r="V1096" s="62" t="s">
        <v>15358</v>
      </c>
      <c r="Z1096" s="24" t="s">
        <v>11</v>
      </c>
    </row>
    <row r="1097" spans="1:26" ht="20.100000000000001" customHeight="1" x14ac:dyDescent="0.2">
      <c r="A1097" s="62" t="s">
        <v>15359</v>
      </c>
      <c r="B1097" s="62" t="s">
        <v>15360</v>
      </c>
      <c r="C1097" s="63" t="s">
        <v>15361</v>
      </c>
      <c r="D1097" s="8" t="s">
        <v>9035</v>
      </c>
      <c r="E1097" s="20" t="s">
        <v>9308</v>
      </c>
      <c r="F1097" s="20" t="s">
        <v>9018</v>
      </c>
      <c r="G1097" s="20" t="s">
        <v>8951</v>
      </c>
      <c r="H1097" s="20">
        <f>1000+0.7*120</f>
        <v>1084</v>
      </c>
      <c r="I1097" s="20" t="s">
        <v>8952</v>
      </c>
      <c r="J1097" s="20" t="s">
        <v>8953</v>
      </c>
      <c r="K1097" s="20" t="s">
        <v>8989</v>
      </c>
      <c r="L1097" s="21" t="s">
        <v>8955</v>
      </c>
      <c r="M1097" s="20" t="s">
        <v>8956</v>
      </c>
      <c r="N1097" s="20" t="s">
        <v>8959</v>
      </c>
      <c r="O1097" s="20">
        <f t="shared" si="17"/>
        <v>2</v>
      </c>
      <c r="P1097" s="22" t="s">
        <v>9103</v>
      </c>
      <c r="Q1097" s="21" t="s">
        <v>8959</v>
      </c>
      <c r="R1097" s="23" t="s">
        <v>14748</v>
      </c>
      <c r="T1097" s="24" t="str">
        <f>VLOOKUP(R1097,[1]Sheet3!$A$2:$A$47,1,0)</f>
        <v>Turkey</v>
      </c>
      <c r="U1097" s="62" t="s">
        <v>15362</v>
      </c>
      <c r="V1097" s="62" t="s">
        <v>15363</v>
      </c>
      <c r="Z1097" s="24" t="s">
        <v>17</v>
      </c>
    </row>
    <row r="1098" spans="1:26" ht="20.100000000000001" customHeight="1" x14ac:dyDescent="0.2">
      <c r="A1098" s="62" t="s">
        <v>2485</v>
      </c>
      <c r="B1098" s="62" t="s">
        <v>15494</v>
      </c>
      <c r="C1098" s="63" t="s">
        <v>15364</v>
      </c>
      <c r="D1098" s="8" t="s">
        <v>9035</v>
      </c>
      <c r="E1098" s="20" t="s">
        <v>8998</v>
      </c>
      <c r="F1098" s="20" t="s">
        <v>15365</v>
      </c>
      <c r="G1098" s="20" t="s">
        <v>8951</v>
      </c>
      <c r="H1098" s="20">
        <v>1018</v>
      </c>
      <c r="I1098" s="20" t="s">
        <v>8952</v>
      </c>
      <c r="J1098" s="20" t="s">
        <v>8953</v>
      </c>
      <c r="K1098" s="20" t="s">
        <v>8954</v>
      </c>
      <c r="L1098" s="21" t="s">
        <v>8955</v>
      </c>
      <c r="M1098" s="20" t="s">
        <v>8956</v>
      </c>
      <c r="N1098" s="20" t="s">
        <v>8959</v>
      </c>
      <c r="O1098" s="20">
        <f t="shared" si="17"/>
        <v>3</v>
      </c>
      <c r="P1098" s="22" t="s">
        <v>9103</v>
      </c>
      <c r="Q1098" s="21" t="s">
        <v>8959</v>
      </c>
      <c r="R1098" s="23" t="s">
        <v>9010</v>
      </c>
      <c r="T1098" s="24" t="str">
        <f>VLOOKUP(R1098,[1]Sheet3!$A$2:$A$47,1,0)</f>
        <v>the United States of America</v>
      </c>
      <c r="U1098" s="62" t="s">
        <v>15366</v>
      </c>
      <c r="V1098" s="62" t="s">
        <v>15367</v>
      </c>
      <c r="Z1098" s="24">
        <v>2018</v>
      </c>
    </row>
    <row r="1099" spans="1:26" ht="20.100000000000001" customHeight="1" x14ac:dyDescent="0.2">
      <c r="A1099" s="62" t="s">
        <v>15368</v>
      </c>
      <c r="B1099" s="62" t="s">
        <v>15495</v>
      </c>
      <c r="C1099" s="63" t="s">
        <v>15369</v>
      </c>
      <c r="D1099" s="8" t="s">
        <v>9154</v>
      </c>
      <c r="E1099" s="20" t="s">
        <v>9325</v>
      </c>
      <c r="F1099" s="20" t="s">
        <v>11094</v>
      </c>
      <c r="G1099" s="20" t="s">
        <v>8951</v>
      </c>
      <c r="H1099" s="20">
        <v>4000</v>
      </c>
      <c r="I1099" s="20" t="s">
        <v>9019</v>
      </c>
      <c r="J1099" s="20" t="s">
        <v>8953</v>
      </c>
      <c r="K1099" s="20" t="s">
        <v>8989</v>
      </c>
      <c r="L1099" s="21" t="s">
        <v>8955</v>
      </c>
      <c r="M1099" s="20" t="s">
        <v>8956</v>
      </c>
      <c r="N1099" s="20" t="s">
        <v>8959</v>
      </c>
      <c r="O1099" s="20">
        <f t="shared" si="17"/>
        <v>7</v>
      </c>
      <c r="P1099" s="22" t="s">
        <v>8958</v>
      </c>
      <c r="Q1099" s="21" t="s">
        <v>9009</v>
      </c>
      <c r="R1099" s="23" t="s">
        <v>9317</v>
      </c>
      <c r="T1099" s="24" t="str">
        <f>VLOOKUP(R1099,[1]Sheet3!$A$2:$A$47,1,0)</f>
        <v>Germany</v>
      </c>
      <c r="U1099" s="63" t="s">
        <v>15370</v>
      </c>
      <c r="V1099" s="62" t="s">
        <v>15371</v>
      </c>
      <c r="Z1099" s="24" t="s">
        <v>17</v>
      </c>
    </row>
    <row r="1100" spans="1:26" ht="20.100000000000001" customHeight="1" x14ac:dyDescent="0.2">
      <c r="A1100" s="62" t="s">
        <v>6900</v>
      </c>
      <c r="B1100" s="62" t="s">
        <v>15496</v>
      </c>
      <c r="C1100" s="63" t="s">
        <v>15372</v>
      </c>
      <c r="D1100" s="8" t="s">
        <v>15373</v>
      </c>
      <c r="E1100" s="20" t="s">
        <v>8998</v>
      </c>
      <c r="F1100" s="20" t="s">
        <v>9355</v>
      </c>
      <c r="G1100" s="20" t="s">
        <v>8987</v>
      </c>
      <c r="H1100" s="20">
        <f>56600</f>
        <v>56600</v>
      </c>
      <c r="I1100" s="20" t="s">
        <v>9019</v>
      </c>
      <c r="J1100" s="20" t="s">
        <v>8953</v>
      </c>
      <c r="K1100" s="20" t="s">
        <v>8989</v>
      </c>
      <c r="L1100" s="21" t="s">
        <v>8955</v>
      </c>
      <c r="M1100" s="20" t="s">
        <v>8956</v>
      </c>
      <c r="N1100" s="20" t="s">
        <v>8959</v>
      </c>
      <c r="O1100" s="20">
        <f t="shared" si="17"/>
        <v>1</v>
      </c>
      <c r="P1100" s="22" t="s">
        <v>9103</v>
      </c>
      <c r="Q1100" s="21" t="s">
        <v>8959</v>
      </c>
      <c r="R1100" s="23" t="s">
        <v>9317</v>
      </c>
      <c r="T1100" s="24" t="str">
        <f>VLOOKUP(R1100,[1]Sheet3!$A$2:$A$47,1,0)</f>
        <v>Germany</v>
      </c>
      <c r="U1100" s="62" t="s">
        <v>15374</v>
      </c>
      <c r="V1100" s="62" t="s">
        <v>15375</v>
      </c>
      <c r="Z1100" s="24" t="s">
        <v>17</v>
      </c>
    </row>
    <row r="1101" spans="1:26" ht="20.100000000000001" customHeight="1" x14ac:dyDescent="0.2">
      <c r="A1101" s="62" t="s">
        <v>15376</v>
      </c>
      <c r="B1101" s="62" t="s">
        <v>15497</v>
      </c>
      <c r="C1101" s="63" t="s">
        <v>15377</v>
      </c>
      <c r="D1101" s="8" t="s">
        <v>8948</v>
      </c>
      <c r="E1101" s="20" t="s">
        <v>8949</v>
      </c>
      <c r="F1101" s="20" t="s">
        <v>8950</v>
      </c>
      <c r="G1101" s="20" t="s">
        <v>9076</v>
      </c>
      <c r="H1101" s="20">
        <v>3100</v>
      </c>
      <c r="I1101" s="20" t="s">
        <v>9019</v>
      </c>
      <c r="J1101" s="20" t="s">
        <v>8953</v>
      </c>
      <c r="K1101" s="20" t="s">
        <v>8954</v>
      </c>
      <c r="L1101" s="21" t="s">
        <v>8955</v>
      </c>
      <c r="M1101" s="20" t="s">
        <v>8956</v>
      </c>
      <c r="N1101" s="20" t="s">
        <v>8957</v>
      </c>
      <c r="O1101" s="20">
        <f t="shared" si="17"/>
        <v>3</v>
      </c>
      <c r="P1101" s="22" t="s">
        <v>9103</v>
      </c>
      <c r="Q1101" s="21" t="s">
        <v>8959</v>
      </c>
      <c r="R1101" s="23" t="s">
        <v>9010</v>
      </c>
      <c r="T1101" s="24" t="str">
        <f>VLOOKUP(R1101,[1]Sheet3!$A$2:$A$47,1,0)</f>
        <v>the United States of America</v>
      </c>
      <c r="U1101" s="63" t="s">
        <v>15378</v>
      </c>
      <c r="V1101" s="62" t="s">
        <v>15379</v>
      </c>
      <c r="Z1101" s="24" t="s">
        <v>11</v>
      </c>
    </row>
    <row r="1102" spans="1:26" ht="20.100000000000001" customHeight="1" x14ac:dyDescent="0.2">
      <c r="A1102" s="62" t="s">
        <v>15380</v>
      </c>
      <c r="B1102" s="62" t="s">
        <v>15498</v>
      </c>
      <c r="C1102" s="63" t="s">
        <v>15381</v>
      </c>
      <c r="D1102" s="8" t="s">
        <v>15382</v>
      </c>
      <c r="E1102" s="20" t="s">
        <v>8998</v>
      </c>
      <c r="F1102" s="20" t="s">
        <v>14140</v>
      </c>
      <c r="G1102" s="20" t="s">
        <v>9076</v>
      </c>
      <c r="H1102" s="20">
        <v>2304</v>
      </c>
      <c r="I1102" s="20" t="s">
        <v>8952</v>
      </c>
      <c r="J1102" s="20" t="s">
        <v>8953</v>
      </c>
      <c r="K1102" s="20" t="s">
        <v>8989</v>
      </c>
      <c r="L1102" s="21" t="s">
        <v>8955</v>
      </c>
      <c r="M1102" s="20" t="s">
        <v>8956</v>
      </c>
      <c r="N1102" s="20" t="s">
        <v>8957</v>
      </c>
      <c r="O1102" s="20">
        <f t="shared" si="17"/>
        <v>9</v>
      </c>
      <c r="P1102" s="22" t="s">
        <v>8975</v>
      </c>
      <c r="Q1102" s="21" t="s">
        <v>9009</v>
      </c>
      <c r="R1102" s="23" t="s">
        <v>9310</v>
      </c>
      <c r="T1102" s="24" t="str">
        <f>VLOOKUP(R1102,[1]Sheet3!$A$2:$A$47,1,0)</f>
        <v>China</v>
      </c>
      <c r="U1102" s="63" t="s">
        <v>15383</v>
      </c>
      <c r="V1102" s="62" t="s">
        <v>15384</v>
      </c>
      <c r="Z1102" s="24" t="s">
        <v>11</v>
      </c>
    </row>
    <row r="1103" spans="1:26" ht="20.100000000000001" customHeight="1" x14ac:dyDescent="0.2">
      <c r="A1103" s="62" t="s">
        <v>15385</v>
      </c>
      <c r="B1103" s="62" t="s">
        <v>15499</v>
      </c>
      <c r="C1103" s="63" t="s">
        <v>8314</v>
      </c>
      <c r="D1103" s="8" t="s">
        <v>15386</v>
      </c>
      <c r="E1103" s="20" t="s">
        <v>8971</v>
      </c>
      <c r="F1103" s="20" t="s">
        <v>8950</v>
      </c>
      <c r="G1103" s="20" t="s">
        <v>9076</v>
      </c>
      <c r="H1103" s="20">
        <v>10</v>
      </c>
      <c r="I1103" s="20" t="s">
        <v>9008</v>
      </c>
      <c r="J1103" s="20" t="s">
        <v>9059</v>
      </c>
      <c r="K1103" s="20" t="s">
        <v>8989</v>
      </c>
      <c r="L1103" s="21" t="s">
        <v>8955</v>
      </c>
      <c r="M1103" s="20" t="s">
        <v>8956</v>
      </c>
      <c r="N1103" s="20" t="s">
        <v>8957</v>
      </c>
      <c r="O1103" s="20">
        <f t="shared" si="17"/>
        <v>4</v>
      </c>
      <c r="P1103" s="22" t="s">
        <v>8958</v>
      </c>
      <c r="Q1103" s="21" t="s">
        <v>8959</v>
      </c>
      <c r="R1103" s="23" t="s">
        <v>9213</v>
      </c>
      <c r="T1103" s="24" t="str">
        <f>VLOOKUP(R1103,[1]Sheet3!$A$2:$A$47,1,0)</f>
        <v>South Korea</v>
      </c>
      <c r="U1103" s="63" t="s">
        <v>15387</v>
      </c>
      <c r="V1103" s="62" t="s">
        <v>15388</v>
      </c>
      <c r="Z1103" s="24" t="s">
        <v>11</v>
      </c>
    </row>
    <row r="1104" spans="1:26" ht="20.100000000000001" customHeight="1" x14ac:dyDescent="0.2">
      <c r="A1104" s="62" t="s">
        <v>15389</v>
      </c>
      <c r="B1104" s="62" t="s">
        <v>15500</v>
      </c>
      <c r="C1104" s="63" t="s">
        <v>15390</v>
      </c>
      <c r="D1104" s="8" t="s">
        <v>9035</v>
      </c>
      <c r="E1104" s="20" t="s">
        <v>8998</v>
      </c>
      <c r="F1104" s="20" t="s">
        <v>15391</v>
      </c>
      <c r="G1104" s="20" t="s">
        <v>8951</v>
      </c>
      <c r="H1104" s="20">
        <f>3202+7412</f>
        <v>10614</v>
      </c>
      <c r="I1104" s="20" t="s">
        <v>9019</v>
      </c>
      <c r="J1104" s="20" t="s">
        <v>9059</v>
      </c>
      <c r="K1104" s="20" t="s">
        <v>8954</v>
      </c>
      <c r="L1104" s="21" t="s">
        <v>8955</v>
      </c>
      <c r="M1104" s="20" t="s">
        <v>8956</v>
      </c>
      <c r="N1104" s="20" t="s">
        <v>8957</v>
      </c>
      <c r="O1104" s="20">
        <f t="shared" si="17"/>
        <v>5</v>
      </c>
      <c r="P1104" s="22" t="s">
        <v>8958</v>
      </c>
      <c r="Q1104" s="21" t="s">
        <v>9009</v>
      </c>
      <c r="R1104" s="23" t="s">
        <v>9010</v>
      </c>
      <c r="T1104" s="24" t="str">
        <f>VLOOKUP(R1104,[1]Sheet3!$A$2:$A$47,1,0)</f>
        <v>the United States of America</v>
      </c>
      <c r="U1104" s="62" t="s">
        <v>15392</v>
      </c>
      <c r="V1104" s="62" t="s">
        <v>15393</v>
      </c>
      <c r="Z1104" s="24" t="s">
        <v>11</v>
      </c>
    </row>
    <row r="1105" spans="1:26" ht="20.100000000000001" customHeight="1" x14ac:dyDescent="0.2">
      <c r="A1105" s="62" t="s">
        <v>2707</v>
      </c>
      <c r="B1105" s="62" t="s">
        <v>15501</v>
      </c>
      <c r="C1105" s="63" t="s">
        <v>2709</v>
      </c>
      <c r="D1105" s="8" t="s">
        <v>9173</v>
      </c>
      <c r="E1105" s="20" t="s">
        <v>9174</v>
      </c>
      <c r="F1105" s="21" t="s">
        <v>15394</v>
      </c>
      <c r="G1105" s="20" t="s">
        <v>8987</v>
      </c>
      <c r="H1105" s="20">
        <v>2600</v>
      </c>
      <c r="I1105" s="20" t="s">
        <v>8952</v>
      </c>
      <c r="J1105" s="20" t="s">
        <v>8953</v>
      </c>
      <c r="K1105" s="20" t="s">
        <v>8954</v>
      </c>
      <c r="L1105" s="21" t="s">
        <v>8955</v>
      </c>
      <c r="M1105" s="20" t="s">
        <v>8956</v>
      </c>
      <c r="N1105" s="20" t="s">
        <v>8957</v>
      </c>
      <c r="O1105" s="20">
        <f t="shared" si="17"/>
        <v>1</v>
      </c>
      <c r="P1105" s="22" t="s">
        <v>9103</v>
      </c>
      <c r="Q1105" s="21" t="s">
        <v>8959</v>
      </c>
      <c r="R1105" s="23" t="s">
        <v>11100</v>
      </c>
      <c r="T1105" s="24" t="str">
        <f>VLOOKUP(R1105,[1]Sheet3!$A$2:$A$47,1,0)</f>
        <v>Hungary</v>
      </c>
      <c r="U1105" s="62" t="s">
        <v>15395</v>
      </c>
      <c r="V1105" s="62" t="s">
        <v>15396</v>
      </c>
      <c r="Z1105" s="24" t="s">
        <v>920</v>
      </c>
    </row>
    <row r="1106" spans="1:26" ht="20.100000000000001" customHeight="1" x14ac:dyDescent="0.2">
      <c r="A1106" s="62" t="s">
        <v>15397</v>
      </c>
      <c r="B1106" s="62" t="s">
        <v>15502</v>
      </c>
      <c r="C1106" s="63" t="s">
        <v>5983</v>
      </c>
      <c r="D1106" s="8" t="s">
        <v>9154</v>
      </c>
      <c r="E1106" s="20" t="s">
        <v>8949</v>
      </c>
      <c r="F1106" s="20" t="s">
        <v>11518</v>
      </c>
      <c r="G1106" s="20" t="s">
        <v>9076</v>
      </c>
      <c r="H1106" s="20">
        <v>10</v>
      </c>
      <c r="I1106" s="20" t="s">
        <v>9008</v>
      </c>
      <c r="J1106" s="20" t="s">
        <v>9059</v>
      </c>
      <c r="K1106" s="20" t="s">
        <v>8989</v>
      </c>
      <c r="L1106" s="21" t="s">
        <v>8955</v>
      </c>
      <c r="M1106" s="20" t="s">
        <v>8956</v>
      </c>
      <c r="N1106" s="20" t="s">
        <v>8957</v>
      </c>
      <c r="O1106" s="20">
        <f t="shared" si="17"/>
        <v>6</v>
      </c>
      <c r="P1106" s="22" t="s">
        <v>8958</v>
      </c>
      <c r="Q1106" s="21" t="s">
        <v>9009</v>
      </c>
      <c r="R1106" s="23" t="s">
        <v>10873</v>
      </c>
      <c r="T1106" s="24" t="str">
        <f>VLOOKUP(R1106,[1]Sheet3!$A$2:$A$47,1,0)</f>
        <v>UK</v>
      </c>
      <c r="U1106" s="63" t="s">
        <v>15398</v>
      </c>
      <c r="V1106" s="62" t="s">
        <v>15399</v>
      </c>
      <c r="Z1106" s="24" t="s">
        <v>17</v>
      </c>
    </row>
    <row r="1107" spans="1:26" ht="20.100000000000001" customHeight="1" x14ac:dyDescent="0.2">
      <c r="A1107" s="62" t="s">
        <v>15400</v>
      </c>
      <c r="B1107" s="62" t="s">
        <v>15503</v>
      </c>
      <c r="C1107" s="63" t="s">
        <v>15401</v>
      </c>
      <c r="D1107" s="8" t="s">
        <v>15402</v>
      </c>
      <c r="E1107" s="20" t="s">
        <v>8949</v>
      </c>
      <c r="F1107" s="20" t="s">
        <v>9051</v>
      </c>
      <c r="G1107" s="20" t="s">
        <v>9076</v>
      </c>
      <c r="H1107" s="20">
        <f>64512+1920+5120+960</f>
        <v>72512</v>
      </c>
      <c r="I1107" s="20" t="s">
        <v>8988</v>
      </c>
      <c r="J1107" s="20" t="s">
        <v>8953</v>
      </c>
      <c r="K1107" s="20" t="s">
        <v>8989</v>
      </c>
      <c r="L1107" s="21" t="s">
        <v>8955</v>
      </c>
      <c r="M1107" s="20" t="s">
        <v>8956</v>
      </c>
      <c r="N1107" s="20" t="s">
        <v>8957</v>
      </c>
      <c r="O1107" s="20">
        <f t="shared" si="17"/>
        <v>7</v>
      </c>
      <c r="P1107" s="22" t="s">
        <v>8958</v>
      </c>
      <c r="Q1107" s="21" t="s">
        <v>9061</v>
      </c>
      <c r="R1107" s="23" t="s">
        <v>9010</v>
      </c>
      <c r="T1107" s="24" t="str">
        <f>VLOOKUP(R1107,[1]Sheet3!$A$2:$A$47,1,0)</f>
        <v>the United States of America</v>
      </c>
      <c r="U1107" s="63" t="s">
        <v>15403</v>
      </c>
      <c r="V1107" s="62" t="s">
        <v>15404</v>
      </c>
      <c r="Z1107" s="24" t="s">
        <v>17</v>
      </c>
    </row>
    <row r="1108" spans="1:26" ht="20.100000000000001" customHeight="1" x14ac:dyDescent="0.2">
      <c r="A1108" s="62" t="s">
        <v>15405</v>
      </c>
      <c r="B1108" s="62" t="s">
        <v>15504</v>
      </c>
      <c r="C1108" s="63" t="s">
        <v>15406</v>
      </c>
      <c r="D1108" s="8" t="s">
        <v>9035</v>
      </c>
      <c r="E1108" s="20" t="s">
        <v>8998</v>
      </c>
      <c r="F1108" s="20" t="s">
        <v>15407</v>
      </c>
      <c r="G1108" s="20" t="s">
        <v>8973</v>
      </c>
      <c r="H1108" s="20">
        <v>57793</v>
      </c>
      <c r="I1108" s="20" t="s">
        <v>9019</v>
      </c>
      <c r="J1108" s="20" t="s">
        <v>8953</v>
      </c>
      <c r="K1108" s="20" t="s">
        <v>8954</v>
      </c>
      <c r="L1108" s="21" t="s">
        <v>8955</v>
      </c>
      <c r="M1108" s="20" t="s">
        <v>8956</v>
      </c>
      <c r="N1108" s="20" t="s">
        <v>8957</v>
      </c>
      <c r="O1108" s="20">
        <f t="shared" si="17"/>
        <v>8</v>
      </c>
      <c r="P1108" s="22" t="s">
        <v>8975</v>
      </c>
      <c r="Q1108" s="21" t="s">
        <v>9009</v>
      </c>
      <c r="R1108" s="23" t="s">
        <v>9010</v>
      </c>
      <c r="T1108" s="24" t="str">
        <f>VLOOKUP(R1108,[1]Sheet3!$A$2:$A$47,1,0)</f>
        <v>the United States of America</v>
      </c>
      <c r="U1108" s="63" t="s">
        <v>15408</v>
      </c>
      <c r="V1108" s="62" t="s">
        <v>15409</v>
      </c>
      <c r="Z1108" s="24" t="s">
        <v>11</v>
      </c>
    </row>
    <row r="1109" spans="1:26" ht="20.100000000000001" customHeight="1" x14ac:dyDescent="0.2">
      <c r="A1109" s="62" t="s">
        <v>6003</v>
      </c>
      <c r="B1109" s="62" t="s">
        <v>15505</v>
      </c>
      <c r="C1109" s="63" t="s">
        <v>15410</v>
      </c>
      <c r="D1109" s="8" t="s">
        <v>8984</v>
      </c>
      <c r="E1109" s="20" t="s">
        <v>9269</v>
      </c>
      <c r="F1109" s="20" t="s">
        <v>15411</v>
      </c>
      <c r="G1109" s="20" t="s">
        <v>8987</v>
      </c>
      <c r="H1109" s="20">
        <f>540*2+5400*2+1620*2+5400</f>
        <v>20520</v>
      </c>
      <c r="I1109" s="20" t="s">
        <v>9019</v>
      </c>
      <c r="J1109" s="20" t="s">
        <v>8953</v>
      </c>
      <c r="K1109" s="20" t="s">
        <v>8954</v>
      </c>
      <c r="L1109" s="21" t="s">
        <v>8955</v>
      </c>
      <c r="M1109" s="20" t="s">
        <v>8956</v>
      </c>
      <c r="N1109" s="20" t="s">
        <v>8959</v>
      </c>
      <c r="O1109" s="20">
        <f t="shared" si="17"/>
        <v>6</v>
      </c>
      <c r="P1109" s="22" t="s">
        <v>8958</v>
      </c>
      <c r="Q1109" s="21" t="s">
        <v>8959</v>
      </c>
      <c r="R1109" s="23" t="s">
        <v>9333</v>
      </c>
      <c r="T1109" s="24" t="str">
        <f>VLOOKUP(R1109,[1]Sheet3!$A$2:$A$47,1,0)</f>
        <v>Japan</v>
      </c>
      <c r="U1109" s="62" t="s">
        <v>15412</v>
      </c>
      <c r="V1109" s="62" t="s">
        <v>15413</v>
      </c>
      <c r="Z1109" s="24" t="s">
        <v>11</v>
      </c>
    </row>
    <row r="1110" spans="1:26" ht="20.100000000000001" customHeight="1" x14ac:dyDescent="0.2">
      <c r="A1110" s="62" t="s">
        <v>2750</v>
      </c>
      <c r="B1110" s="62" t="s">
        <v>15506</v>
      </c>
      <c r="C1110" s="63" t="s">
        <v>15414</v>
      </c>
      <c r="D1110" s="8" t="s">
        <v>9092</v>
      </c>
      <c r="E1110" s="20" t="s">
        <v>9308</v>
      </c>
      <c r="F1110" s="20" t="s">
        <v>9449</v>
      </c>
      <c r="G1110" s="20" t="s">
        <v>8987</v>
      </c>
      <c r="H1110" s="20">
        <v>2378</v>
      </c>
      <c r="I1110" s="20" t="s">
        <v>8952</v>
      </c>
      <c r="J1110" s="20" t="s">
        <v>9059</v>
      </c>
      <c r="K1110" s="20" t="s">
        <v>8954</v>
      </c>
      <c r="L1110" s="21" t="s">
        <v>8955</v>
      </c>
      <c r="M1110" s="20" t="s">
        <v>8956</v>
      </c>
      <c r="N1110" s="20" t="s">
        <v>8959</v>
      </c>
      <c r="O1110" s="20">
        <f t="shared" si="17"/>
        <v>4</v>
      </c>
      <c r="P1110" s="22" t="s">
        <v>8958</v>
      </c>
      <c r="Q1110" s="21" t="s">
        <v>8959</v>
      </c>
      <c r="R1110" s="23" t="s">
        <v>9176</v>
      </c>
      <c r="T1110" s="24" t="str">
        <f>VLOOKUP(R1110,[1]Sheet3!$A$2:$A$47,1,0)</f>
        <v>Australia</v>
      </c>
      <c r="U1110" s="62" t="s">
        <v>15415</v>
      </c>
      <c r="V1110" s="62" t="s">
        <v>15416</v>
      </c>
      <c r="Z1110" s="24" t="s">
        <v>1114</v>
      </c>
    </row>
    <row r="1111" spans="1:26" ht="20.100000000000001" customHeight="1" x14ac:dyDescent="0.2">
      <c r="A1111" s="62" t="s">
        <v>15417</v>
      </c>
      <c r="B1111" s="62" t="s">
        <v>15507</v>
      </c>
      <c r="C1111" s="63" t="s">
        <v>15418</v>
      </c>
      <c r="D1111" s="8" t="s">
        <v>8984</v>
      </c>
      <c r="E1111" s="20" t="s">
        <v>9422</v>
      </c>
      <c r="F1111" s="20" t="s">
        <v>9436</v>
      </c>
      <c r="G1111" s="20" t="s">
        <v>8973</v>
      </c>
      <c r="H1111" s="20">
        <v>2000</v>
      </c>
      <c r="I1111" s="20" t="s">
        <v>8952</v>
      </c>
      <c r="J1111" s="20" t="s">
        <v>8953</v>
      </c>
      <c r="K1111" s="20" t="s">
        <v>8989</v>
      </c>
      <c r="L1111" s="21" t="s">
        <v>8955</v>
      </c>
      <c r="M1111" s="20" t="s">
        <v>8956</v>
      </c>
      <c r="N1111" s="20" t="s">
        <v>8957</v>
      </c>
      <c r="O1111" s="20">
        <f t="shared" si="17"/>
        <v>8</v>
      </c>
      <c r="P1111" s="22" t="s">
        <v>8975</v>
      </c>
      <c r="Q1111" s="21" t="s">
        <v>8959</v>
      </c>
      <c r="R1111" s="23" t="s">
        <v>9380</v>
      </c>
      <c r="T1111" s="24" t="str">
        <f>VLOOKUP(R1111,[1]Sheet3!$A$2:$A$47,1,0)</f>
        <v>Canada</v>
      </c>
      <c r="U1111" s="63" t="s">
        <v>15419</v>
      </c>
      <c r="V1111" s="62" t="s">
        <v>15420</v>
      </c>
      <c r="Z1111" s="24" t="s">
        <v>1114</v>
      </c>
    </row>
    <row r="1112" spans="1:26" ht="20.100000000000001" customHeight="1" x14ac:dyDescent="0.2">
      <c r="A1112" s="62" t="s">
        <v>15421</v>
      </c>
      <c r="B1112" s="62" t="s">
        <v>15508</v>
      </c>
      <c r="C1112" s="63" t="s">
        <v>1169</v>
      </c>
      <c r="D1112" s="8" t="s">
        <v>15422</v>
      </c>
      <c r="E1112" s="20" t="s">
        <v>9155</v>
      </c>
      <c r="F1112" s="20" t="s">
        <v>9679</v>
      </c>
      <c r="G1112" s="20" t="s">
        <v>8973</v>
      </c>
      <c r="H1112" s="20">
        <v>101</v>
      </c>
      <c r="I1112" s="20" t="s">
        <v>9158</v>
      </c>
      <c r="J1112" s="20" t="s">
        <v>8953</v>
      </c>
      <c r="K1112" s="20" t="s">
        <v>8954</v>
      </c>
      <c r="L1112" s="21" t="s">
        <v>8955</v>
      </c>
      <c r="M1112" s="20" t="s">
        <v>8956</v>
      </c>
      <c r="N1112" s="20" t="s">
        <v>8957</v>
      </c>
      <c r="O1112" s="20">
        <f t="shared" si="17"/>
        <v>2</v>
      </c>
      <c r="P1112" s="22" t="s">
        <v>9103</v>
      </c>
      <c r="Q1112" s="21" t="s">
        <v>8959</v>
      </c>
      <c r="R1112" s="23" t="s">
        <v>9815</v>
      </c>
      <c r="T1112" s="24" t="str">
        <f>VLOOKUP(R1112,[1]Sheet3!$A$2:$A$47,1,0)</f>
        <v>India</v>
      </c>
      <c r="U1112" s="63" t="s">
        <v>15423</v>
      </c>
      <c r="V1112" s="62" t="s">
        <v>15424</v>
      </c>
      <c r="Z1112" s="24" t="s">
        <v>11</v>
      </c>
    </row>
    <row r="1113" spans="1:26" ht="20.100000000000001" customHeight="1" x14ac:dyDescent="0.2">
      <c r="A1113" s="62" t="s">
        <v>15425</v>
      </c>
      <c r="B1113" s="62" t="s">
        <v>15509</v>
      </c>
      <c r="C1113" s="63" t="s">
        <v>15426</v>
      </c>
      <c r="D1113" s="8" t="s">
        <v>8984</v>
      </c>
      <c r="E1113" s="20" t="s">
        <v>8949</v>
      </c>
      <c r="F1113" s="21" t="s">
        <v>15427</v>
      </c>
      <c r="G1113" s="20" t="s">
        <v>8951</v>
      </c>
      <c r="H1113" s="20">
        <v>100</v>
      </c>
      <c r="I1113" s="20" t="s">
        <v>9008</v>
      </c>
      <c r="J1113" s="20" t="s">
        <v>9059</v>
      </c>
      <c r="K1113" s="20" t="s">
        <v>8989</v>
      </c>
      <c r="L1113" s="21" t="s">
        <v>8955</v>
      </c>
      <c r="M1113" s="20" t="s">
        <v>8956</v>
      </c>
      <c r="N1113" s="20" t="s">
        <v>8957</v>
      </c>
      <c r="O1113" s="20">
        <f t="shared" si="17"/>
        <v>10</v>
      </c>
      <c r="P1113" s="22" t="s">
        <v>8975</v>
      </c>
      <c r="Q1113" s="21" t="s">
        <v>8959</v>
      </c>
      <c r="R1113" s="23" t="s">
        <v>9010</v>
      </c>
      <c r="T1113" s="24" t="str">
        <f>VLOOKUP(R1113,[1]Sheet3!$A$2:$A$47,1,0)</f>
        <v>the United States of America</v>
      </c>
      <c r="U1113" s="63" t="s">
        <v>15428</v>
      </c>
      <c r="V1113" s="62" t="s">
        <v>15429</v>
      </c>
      <c r="Z1113" s="24" t="s">
        <v>17</v>
      </c>
    </row>
    <row r="1114" spans="1:26" ht="20.100000000000001" customHeight="1" x14ac:dyDescent="0.2">
      <c r="A1114" s="62" t="s">
        <v>15430</v>
      </c>
      <c r="B1114" s="62" t="s">
        <v>15510</v>
      </c>
      <c r="C1114" s="63" t="s">
        <v>15431</v>
      </c>
      <c r="D1114" s="8" t="s">
        <v>9173</v>
      </c>
      <c r="E1114" s="20" t="s">
        <v>9174</v>
      </c>
      <c r="F1114" s="20" t="s">
        <v>9436</v>
      </c>
      <c r="G1114" s="20" t="s">
        <v>8973</v>
      </c>
      <c r="H1114" s="20">
        <v>2600</v>
      </c>
      <c r="I1114" s="20" t="s">
        <v>8952</v>
      </c>
      <c r="J1114" s="20" t="s">
        <v>8953</v>
      </c>
      <c r="K1114" s="20" t="s">
        <v>8954</v>
      </c>
      <c r="L1114" s="21" t="s">
        <v>8955</v>
      </c>
      <c r="M1114" s="20" t="s">
        <v>8956</v>
      </c>
      <c r="N1114" s="20" t="s">
        <v>8959</v>
      </c>
      <c r="O1114" s="20">
        <f t="shared" si="17"/>
        <v>2</v>
      </c>
      <c r="P1114" s="22" t="s">
        <v>9103</v>
      </c>
      <c r="Q1114" s="21" t="s">
        <v>9061</v>
      </c>
      <c r="R1114" s="23" t="s">
        <v>9010</v>
      </c>
      <c r="T1114" s="24" t="str">
        <f>VLOOKUP(R1114,[1]Sheet3!$A$2:$A$47,1,0)</f>
        <v>the United States of America</v>
      </c>
      <c r="U1114" s="63" t="s">
        <v>15432</v>
      </c>
      <c r="V1114" s="62" t="s">
        <v>15433</v>
      </c>
      <c r="Z1114" s="24" t="s">
        <v>11</v>
      </c>
    </row>
    <row r="1115" spans="1:26" ht="20.100000000000001" customHeight="1" x14ac:dyDescent="0.2">
      <c r="A1115" s="62" t="s">
        <v>15434</v>
      </c>
      <c r="B1115" s="62" t="s">
        <v>15511</v>
      </c>
      <c r="C1115" s="63" t="s">
        <v>15435</v>
      </c>
      <c r="D1115" s="8" t="s">
        <v>9075</v>
      </c>
      <c r="E1115" s="20" t="s">
        <v>9101</v>
      </c>
      <c r="F1115" s="20" t="s">
        <v>10403</v>
      </c>
      <c r="G1115" s="20" t="s">
        <v>8987</v>
      </c>
      <c r="H1115" s="20">
        <v>200</v>
      </c>
      <c r="I1115" s="20" t="s">
        <v>9158</v>
      </c>
      <c r="J1115" s="20" t="s">
        <v>8953</v>
      </c>
      <c r="K1115" s="20" t="s">
        <v>8989</v>
      </c>
      <c r="L1115" s="21" t="s">
        <v>8955</v>
      </c>
      <c r="M1115" s="20" t="s">
        <v>8956</v>
      </c>
      <c r="N1115" s="20" t="s">
        <v>8957</v>
      </c>
      <c r="O1115" s="20">
        <f t="shared" si="17"/>
        <v>8</v>
      </c>
      <c r="P1115" s="22" t="s">
        <v>8975</v>
      </c>
      <c r="Q1115" s="21" t="s">
        <v>8959</v>
      </c>
      <c r="R1115" s="23" t="s">
        <v>9380</v>
      </c>
      <c r="T1115" s="24" t="str">
        <f>VLOOKUP(R1115,[1]Sheet3!$A$2:$A$47,1,0)</f>
        <v>Canada</v>
      </c>
      <c r="U1115" s="62" t="s">
        <v>15436</v>
      </c>
      <c r="V1115" s="62" t="s">
        <v>15437</v>
      </c>
      <c r="Z1115" s="24" t="s">
        <v>17</v>
      </c>
    </row>
    <row r="1116" spans="1:26" ht="20.100000000000001" customHeight="1" x14ac:dyDescent="0.2">
      <c r="A1116" s="62" t="s">
        <v>2589</v>
      </c>
      <c r="B1116" s="62" t="s">
        <v>15512</v>
      </c>
      <c r="C1116" s="63" t="s">
        <v>15438</v>
      </c>
      <c r="D1116" s="8" t="s">
        <v>9173</v>
      </c>
      <c r="E1116" s="20" t="s">
        <v>9174</v>
      </c>
      <c r="F1116" s="20" t="s">
        <v>9112</v>
      </c>
      <c r="G1116" s="20" t="s">
        <v>9133</v>
      </c>
      <c r="H1116" s="20">
        <v>300</v>
      </c>
      <c r="I1116" s="20" t="s">
        <v>8988</v>
      </c>
      <c r="J1116" s="20" t="s">
        <v>8953</v>
      </c>
      <c r="K1116" s="20" t="s">
        <v>8989</v>
      </c>
      <c r="L1116" s="21" t="s">
        <v>8955</v>
      </c>
      <c r="M1116" s="20" t="s">
        <v>8956</v>
      </c>
      <c r="N1116" s="20" t="s">
        <v>8959</v>
      </c>
      <c r="O1116" s="20">
        <f t="shared" si="17"/>
        <v>12</v>
      </c>
      <c r="P1116" s="22" t="s">
        <v>8975</v>
      </c>
      <c r="Q1116" s="21" t="s">
        <v>9009</v>
      </c>
      <c r="R1116" s="23" t="s">
        <v>9317</v>
      </c>
      <c r="T1116" s="24" t="str">
        <f>VLOOKUP(R1116,[1]Sheet3!$A$2:$A$47,1,0)</f>
        <v>Germany</v>
      </c>
      <c r="U1116" s="62" t="s">
        <v>15439</v>
      </c>
      <c r="V1116" s="62" t="s">
        <v>15440</v>
      </c>
      <c r="Z1116" s="24" t="s">
        <v>11</v>
      </c>
    </row>
    <row r="1117" spans="1:26" ht="20.100000000000001" customHeight="1" x14ac:dyDescent="0.2">
      <c r="A1117" s="62" t="s">
        <v>3826</v>
      </c>
      <c r="B1117" s="62" t="s">
        <v>15513</v>
      </c>
      <c r="C1117" s="63" t="s">
        <v>15441</v>
      </c>
      <c r="D1117" s="8" t="s">
        <v>9092</v>
      </c>
      <c r="E1117" s="20" t="s">
        <v>8949</v>
      </c>
      <c r="F1117" s="20" t="s">
        <v>8950</v>
      </c>
      <c r="G1117" s="20" t="s">
        <v>9076</v>
      </c>
      <c r="H1117" s="20">
        <f>200+200+40+378+365</f>
        <v>1183</v>
      </c>
      <c r="I1117" s="20" t="s">
        <v>8952</v>
      </c>
      <c r="J1117" s="20" t="s">
        <v>8953</v>
      </c>
      <c r="K1117" s="20" t="s">
        <v>8954</v>
      </c>
      <c r="L1117" s="21" t="s">
        <v>8955</v>
      </c>
      <c r="M1117" s="20" t="s">
        <v>8956</v>
      </c>
      <c r="N1117" s="20" t="s">
        <v>8957</v>
      </c>
      <c r="O1117" s="20">
        <f t="shared" si="17"/>
        <v>6</v>
      </c>
      <c r="P1117" s="22" t="s">
        <v>8958</v>
      </c>
      <c r="Q1117" s="21" t="s">
        <v>9009</v>
      </c>
      <c r="R1117" s="23" t="s">
        <v>9010</v>
      </c>
      <c r="T1117" s="24" t="str">
        <f>VLOOKUP(R1117,[1]Sheet3!$A$2:$A$47,1,0)</f>
        <v>the United States of America</v>
      </c>
      <c r="U1117" s="62" t="s">
        <v>15442</v>
      </c>
      <c r="V1117" s="62" t="s">
        <v>15443</v>
      </c>
      <c r="Z1117" s="24" t="s">
        <v>17</v>
      </c>
    </row>
    <row r="1118" spans="1:26" ht="20.100000000000001" customHeight="1" x14ac:dyDescent="0.2">
      <c r="A1118" s="62" t="s">
        <v>1550</v>
      </c>
      <c r="B1118" s="62" t="s">
        <v>15514</v>
      </c>
      <c r="C1118" s="63" t="s">
        <v>15444</v>
      </c>
      <c r="D1118" s="8" t="s">
        <v>8948</v>
      </c>
      <c r="E1118" s="20" t="s">
        <v>8949</v>
      </c>
      <c r="F1118" s="20" t="s">
        <v>9436</v>
      </c>
      <c r="G1118" s="20" t="s">
        <v>8973</v>
      </c>
      <c r="H1118" s="20">
        <v>274</v>
      </c>
      <c r="I1118" s="20" t="s">
        <v>8988</v>
      </c>
      <c r="J1118" s="20" t="s">
        <v>9059</v>
      </c>
      <c r="K1118" s="20" t="s">
        <v>8989</v>
      </c>
      <c r="L1118" s="21" t="s">
        <v>8955</v>
      </c>
      <c r="M1118" s="20" t="s">
        <v>8956</v>
      </c>
      <c r="N1118" s="20" t="s">
        <v>8957</v>
      </c>
      <c r="O1118" s="20">
        <f t="shared" si="17"/>
        <v>5</v>
      </c>
      <c r="P1118" s="22" t="s">
        <v>8958</v>
      </c>
      <c r="Q1118" s="21" t="s">
        <v>8959</v>
      </c>
      <c r="R1118" s="23" t="s">
        <v>9310</v>
      </c>
      <c r="T1118" s="24" t="str">
        <f>VLOOKUP(R1118,[1]Sheet3!$A$2:$A$47,1,0)</f>
        <v>China</v>
      </c>
      <c r="U1118" s="62" t="s">
        <v>15445</v>
      </c>
      <c r="V1118" s="62" t="s">
        <v>15446</v>
      </c>
      <c r="Z1118" s="24" t="s">
        <v>17</v>
      </c>
    </row>
    <row r="1119" spans="1:26" ht="20.100000000000001" customHeight="1" x14ac:dyDescent="0.2">
      <c r="A1119" s="62" t="s">
        <v>3510</v>
      </c>
      <c r="B1119" s="62" t="s">
        <v>15515</v>
      </c>
      <c r="C1119" s="63" t="s">
        <v>15447</v>
      </c>
      <c r="D1119" s="8" t="s">
        <v>8948</v>
      </c>
      <c r="E1119" s="20" t="s">
        <v>9155</v>
      </c>
      <c r="F1119" s="20" t="s">
        <v>15448</v>
      </c>
      <c r="G1119" s="20" t="s">
        <v>9076</v>
      </c>
      <c r="H1119" s="20">
        <v>681</v>
      </c>
      <c r="I1119" s="20" t="s">
        <v>9077</v>
      </c>
      <c r="J1119" s="20" t="s">
        <v>8953</v>
      </c>
      <c r="K1119" s="20" t="s">
        <v>8989</v>
      </c>
      <c r="L1119" s="21" t="s">
        <v>8955</v>
      </c>
      <c r="M1119" s="20" t="s">
        <v>8956</v>
      </c>
      <c r="N1119" s="20" t="s">
        <v>8957</v>
      </c>
      <c r="O1119" s="20">
        <f t="shared" si="17"/>
        <v>8</v>
      </c>
      <c r="P1119" s="22" t="s">
        <v>8975</v>
      </c>
      <c r="Q1119" s="21" t="s">
        <v>9009</v>
      </c>
      <c r="R1119" s="23" t="s">
        <v>9213</v>
      </c>
      <c r="T1119" s="24" t="str">
        <f>VLOOKUP(R1119,[1]Sheet3!$A$2:$A$47,1,0)</f>
        <v>South Korea</v>
      </c>
      <c r="U1119" s="62" t="s">
        <v>15449</v>
      </c>
      <c r="V1119" s="62" t="s">
        <v>15450</v>
      </c>
      <c r="Z1119" s="24" t="s">
        <v>17</v>
      </c>
    </row>
    <row r="1120" spans="1:26" ht="20.100000000000001" customHeight="1" x14ac:dyDescent="0.2">
      <c r="A1120" s="62" t="s">
        <v>3705</v>
      </c>
      <c r="B1120" s="62" t="s">
        <v>15516</v>
      </c>
      <c r="C1120" s="63" t="s">
        <v>15451</v>
      </c>
      <c r="D1120" s="8" t="s">
        <v>8948</v>
      </c>
      <c r="E1120" s="20" t="s">
        <v>9155</v>
      </c>
      <c r="F1120" s="20" t="s">
        <v>12454</v>
      </c>
      <c r="G1120" s="20" t="s">
        <v>9292</v>
      </c>
      <c r="H1120" s="20">
        <f>52+99+51</f>
        <v>202</v>
      </c>
      <c r="I1120" s="20" t="s">
        <v>9158</v>
      </c>
      <c r="J1120" s="20" t="s">
        <v>9059</v>
      </c>
      <c r="K1120" s="20" t="s">
        <v>8954</v>
      </c>
      <c r="L1120" s="21" t="s">
        <v>8955</v>
      </c>
      <c r="M1120" s="20" t="s">
        <v>8956</v>
      </c>
      <c r="N1120" s="20" t="s">
        <v>8957</v>
      </c>
      <c r="O1120" s="20">
        <f t="shared" si="17"/>
        <v>2</v>
      </c>
      <c r="P1120" s="22" t="s">
        <v>9103</v>
      </c>
      <c r="Q1120" s="21" t="s">
        <v>9009</v>
      </c>
      <c r="R1120" s="23" t="s">
        <v>9213</v>
      </c>
      <c r="T1120" s="24" t="str">
        <f>VLOOKUP(R1120,[1]Sheet3!$A$2:$A$47,1,0)</f>
        <v>South Korea</v>
      </c>
      <c r="U1120" s="62" t="s">
        <v>15452</v>
      </c>
      <c r="V1120" s="62" t="s">
        <v>15453</v>
      </c>
      <c r="Z1120" s="24" t="s">
        <v>11</v>
      </c>
    </row>
    <row r="1121" spans="1:26" ht="20.100000000000001" customHeight="1" x14ac:dyDescent="0.2">
      <c r="A1121" s="62" t="s">
        <v>4181</v>
      </c>
      <c r="B1121" s="62" t="s">
        <v>15517</v>
      </c>
      <c r="C1121" s="63" t="s">
        <v>15454</v>
      </c>
      <c r="D1121" s="8" t="s">
        <v>9092</v>
      </c>
      <c r="E1121" s="20" t="s">
        <v>8949</v>
      </c>
      <c r="F1121" s="20" t="s">
        <v>8950</v>
      </c>
      <c r="G1121" s="20" t="s">
        <v>8987</v>
      </c>
      <c r="H1121" s="20">
        <f>5258+1018</f>
        <v>6276</v>
      </c>
      <c r="I1121" s="20" t="s">
        <v>9019</v>
      </c>
      <c r="J1121" s="20" t="s">
        <v>8953</v>
      </c>
      <c r="K1121" s="20" t="s">
        <v>8989</v>
      </c>
      <c r="L1121" s="21" t="s">
        <v>8955</v>
      </c>
      <c r="M1121" s="20" t="s">
        <v>8956</v>
      </c>
      <c r="N1121" s="20" t="s">
        <v>8957</v>
      </c>
      <c r="O1121" s="20">
        <f t="shared" si="17"/>
        <v>1</v>
      </c>
      <c r="P1121" s="22" t="s">
        <v>9103</v>
      </c>
      <c r="Q1121" s="21" t="s">
        <v>9061</v>
      </c>
      <c r="R1121" s="23" t="s">
        <v>9213</v>
      </c>
      <c r="T1121" s="24" t="str">
        <f>VLOOKUP(R1121,[1]Sheet3!$A$2:$A$47,1,0)</f>
        <v>South Korea</v>
      </c>
      <c r="U1121" s="62" t="s">
        <v>15455</v>
      </c>
      <c r="V1121" s="62" t="s">
        <v>15456</v>
      </c>
      <c r="Z1121" s="24" t="s">
        <v>11</v>
      </c>
    </row>
    <row r="1122" spans="1:26" ht="20.100000000000001" customHeight="1" x14ac:dyDescent="0.2">
      <c r="A1122" s="62" t="s">
        <v>15457</v>
      </c>
      <c r="B1122" s="62" t="s">
        <v>15518</v>
      </c>
      <c r="C1122" s="63" t="s">
        <v>7942</v>
      </c>
      <c r="D1122" s="8" t="s">
        <v>9035</v>
      </c>
      <c r="E1122" s="20" t="s">
        <v>8998</v>
      </c>
      <c r="F1122" s="21" t="s">
        <v>9036</v>
      </c>
      <c r="G1122" s="20" t="s">
        <v>8973</v>
      </c>
      <c r="H1122" s="20">
        <v>38</v>
      </c>
      <c r="I1122" s="20" t="s">
        <v>9008</v>
      </c>
      <c r="J1122" s="20" t="s">
        <v>9059</v>
      </c>
      <c r="K1122" s="20" t="s">
        <v>8989</v>
      </c>
      <c r="L1122" s="21" t="s">
        <v>8955</v>
      </c>
      <c r="M1122" s="20" t="s">
        <v>8956</v>
      </c>
      <c r="N1122" s="20" t="s">
        <v>8957</v>
      </c>
      <c r="O1122" s="20">
        <f t="shared" si="17"/>
        <v>4</v>
      </c>
      <c r="P1122" s="22" t="s">
        <v>8958</v>
      </c>
      <c r="Q1122" s="21" t="s">
        <v>8959</v>
      </c>
      <c r="R1122" s="23" t="s">
        <v>9010</v>
      </c>
      <c r="S1122" s="18"/>
      <c r="T1122" s="24" t="str">
        <f>VLOOKUP(R1122,[1]Sheet3!$A$2:$A$47,1,0)</f>
        <v>the United States of America</v>
      </c>
      <c r="U1122" s="62" t="s">
        <v>15458</v>
      </c>
      <c r="V1122" s="62" t="s">
        <v>15459</v>
      </c>
      <c r="X1122" s="18"/>
      <c r="Z1122" s="18" t="s">
        <v>11</v>
      </c>
    </row>
    <row r="1123" spans="1:26" ht="20.100000000000001" customHeight="1" x14ac:dyDescent="0.2">
      <c r="A1123" s="62" t="s">
        <v>728</v>
      </c>
      <c r="B1123" s="62" t="s">
        <v>15519</v>
      </c>
      <c r="C1123" s="63" t="s">
        <v>15460</v>
      </c>
      <c r="D1123" s="8" t="s">
        <v>9154</v>
      </c>
      <c r="E1123" s="20" t="s">
        <v>9121</v>
      </c>
      <c r="F1123" s="20" t="s">
        <v>8950</v>
      </c>
      <c r="G1123" s="20" t="s">
        <v>8987</v>
      </c>
      <c r="H1123" s="20">
        <v>1638</v>
      </c>
      <c r="I1123" s="20" t="s">
        <v>8952</v>
      </c>
      <c r="J1123" s="20" t="s">
        <v>9059</v>
      </c>
      <c r="K1123" s="20" t="s">
        <v>8954</v>
      </c>
      <c r="L1123" s="21" t="s">
        <v>8955</v>
      </c>
      <c r="M1123" s="20" t="s">
        <v>8956</v>
      </c>
      <c r="N1123" s="20" t="s">
        <v>8957</v>
      </c>
      <c r="O1123" s="20">
        <f t="shared" si="17"/>
        <v>20</v>
      </c>
      <c r="P1123" s="22" t="s">
        <v>8975</v>
      </c>
      <c r="Q1123" s="21" t="s">
        <v>9061</v>
      </c>
      <c r="R1123" s="23" t="s">
        <v>9010</v>
      </c>
      <c r="S1123" s="18"/>
      <c r="T1123" s="24" t="str">
        <f>VLOOKUP(R1123,[1]Sheet3!$A$2:$A$47,1,0)</f>
        <v>the United States of America</v>
      </c>
      <c r="U1123" s="62" t="s">
        <v>15461</v>
      </c>
      <c r="V1123" s="62" t="s">
        <v>15462</v>
      </c>
      <c r="X1123" s="18"/>
      <c r="Z1123" s="18" t="s">
        <v>17</v>
      </c>
    </row>
    <row r="1124" spans="1:26" ht="20.100000000000001" customHeight="1" x14ac:dyDescent="0.2">
      <c r="A1124" s="62" t="s">
        <v>6995</v>
      </c>
      <c r="B1124" s="62" t="s">
        <v>15520</v>
      </c>
      <c r="C1124" s="63" t="s">
        <v>15463</v>
      </c>
      <c r="D1124" s="8" t="s">
        <v>9092</v>
      </c>
      <c r="E1124" s="20" t="s">
        <v>8949</v>
      </c>
      <c r="F1124" s="20" t="s">
        <v>15464</v>
      </c>
      <c r="G1124" s="20" t="s">
        <v>8973</v>
      </c>
      <c r="H1124" s="20">
        <f>88+600+184*3</f>
        <v>1240</v>
      </c>
      <c r="I1124" s="20" t="s">
        <v>8952</v>
      </c>
      <c r="J1124" s="20" t="s">
        <v>9059</v>
      </c>
      <c r="K1124" s="20" t="s">
        <v>8954</v>
      </c>
      <c r="L1124" s="21" t="s">
        <v>8955</v>
      </c>
      <c r="M1124" s="20" t="s">
        <v>8956</v>
      </c>
      <c r="N1124" s="20" t="s">
        <v>8957</v>
      </c>
      <c r="O1124" s="20">
        <f t="shared" si="17"/>
        <v>3</v>
      </c>
      <c r="P1124" s="22" t="s">
        <v>9103</v>
      </c>
      <c r="Q1124" s="21" t="s">
        <v>8959</v>
      </c>
      <c r="R1124" s="23" t="s">
        <v>9317</v>
      </c>
      <c r="S1124" s="18"/>
      <c r="T1124" s="24" t="str">
        <f>VLOOKUP(R1124,[1]Sheet3!$A$2:$A$47,1,0)</f>
        <v>Germany</v>
      </c>
      <c r="U1124" s="62" t="s">
        <v>15465</v>
      </c>
      <c r="V1124" s="62" t="s">
        <v>15466</v>
      </c>
      <c r="X1124" s="18"/>
      <c r="Z1124" s="18" t="s">
        <v>11</v>
      </c>
    </row>
    <row r="1125" spans="1:26" ht="20.100000000000001" customHeight="1" x14ac:dyDescent="0.2">
      <c r="A1125" s="62" t="s">
        <v>15467</v>
      </c>
      <c r="B1125" s="62" t="s">
        <v>15521</v>
      </c>
      <c r="C1125" s="63" t="s">
        <v>15468</v>
      </c>
      <c r="D1125" s="8" t="s">
        <v>9092</v>
      </c>
      <c r="E1125" s="20" t="s">
        <v>8998</v>
      </c>
      <c r="F1125" s="20" t="s">
        <v>15469</v>
      </c>
      <c r="G1125" s="20" t="s">
        <v>9464</v>
      </c>
      <c r="H1125" s="20">
        <f>239+2832+142</f>
        <v>3213</v>
      </c>
      <c r="I1125" s="20" t="s">
        <v>9019</v>
      </c>
      <c r="J1125" s="20" t="s">
        <v>8953</v>
      </c>
      <c r="K1125" s="20" t="s">
        <v>8954</v>
      </c>
      <c r="L1125" s="21" t="s">
        <v>8955</v>
      </c>
      <c r="M1125" s="20" t="s">
        <v>8956</v>
      </c>
      <c r="N1125" s="20" t="s">
        <v>8959</v>
      </c>
      <c r="O1125" s="20">
        <f t="shared" si="17"/>
        <v>2</v>
      </c>
      <c r="P1125" s="22" t="s">
        <v>9103</v>
      </c>
      <c r="Q1125" s="21" t="s">
        <v>9009</v>
      </c>
      <c r="R1125" s="23" t="s">
        <v>9380</v>
      </c>
      <c r="S1125" s="18"/>
      <c r="T1125" s="24" t="str">
        <f>VLOOKUP(R1125,[1]Sheet3!$A$2:$A$47,1,0)</f>
        <v>Canada</v>
      </c>
      <c r="U1125" s="62" t="s">
        <v>15470</v>
      </c>
      <c r="V1125" s="62" t="s">
        <v>15471</v>
      </c>
      <c r="X1125" s="18"/>
      <c r="Z1125" s="18" t="s">
        <v>920</v>
      </c>
    </row>
    <row r="1126" spans="1:26" ht="20.100000000000001" customHeight="1" x14ac:dyDescent="0.2">
      <c r="A1126" s="62" t="s">
        <v>7864</v>
      </c>
      <c r="B1126" s="62" t="s">
        <v>15522</v>
      </c>
      <c r="C1126" s="63" t="s">
        <v>7866</v>
      </c>
      <c r="D1126" s="8" t="s">
        <v>8948</v>
      </c>
      <c r="E1126" s="20" t="s">
        <v>8949</v>
      </c>
      <c r="F1126" s="20" t="s">
        <v>9795</v>
      </c>
      <c r="G1126" s="20" t="s">
        <v>9076</v>
      </c>
      <c r="H1126" s="20">
        <f>374+598</f>
        <v>972</v>
      </c>
      <c r="I1126" s="20" t="s">
        <v>9077</v>
      </c>
      <c r="J1126" s="20" t="s">
        <v>14091</v>
      </c>
      <c r="K1126" s="20" t="s">
        <v>8989</v>
      </c>
      <c r="L1126" s="21" t="s">
        <v>8955</v>
      </c>
      <c r="M1126" s="20" t="s">
        <v>8956</v>
      </c>
      <c r="N1126" s="20" t="s">
        <v>8957</v>
      </c>
      <c r="O1126" s="20">
        <f t="shared" si="17"/>
        <v>6</v>
      </c>
      <c r="P1126" s="22" t="s">
        <v>8958</v>
      </c>
      <c r="Q1126" s="21" t="s">
        <v>8959</v>
      </c>
      <c r="R1126" s="23" t="s">
        <v>9010</v>
      </c>
      <c r="S1126" s="18"/>
      <c r="T1126" s="24" t="str">
        <f>VLOOKUP(R1126,[1]Sheet3!$A$2:$A$47,1,0)</f>
        <v>the United States of America</v>
      </c>
      <c r="U1126" s="62" t="s">
        <v>15472</v>
      </c>
      <c r="V1126" s="62" t="s">
        <v>15473</v>
      </c>
      <c r="X1126" s="18"/>
      <c r="Z1126" s="18" t="s">
        <v>11</v>
      </c>
    </row>
  </sheetData>
  <phoneticPr fontId="18" type="noConversion"/>
  <dataValidations count="17">
    <dataValidation type="list" allowBlank="1" showInputMessage="1" showErrorMessage="1" sqref="Q2:Q65261" xr:uid="{24F59AB3-0B67-43F3-854D-7C0D955CFFC4}">
      <formula1>"radiology,medical or related specialties, surgery or related specialties,other"</formula1>
    </dataValidation>
    <dataValidation type="list" allowBlank="1" showInputMessage="1" showErrorMessage="1" sqref="P2:P65261" xr:uid="{79F24D34-DB7D-4A03-9AE7-4EEF498FD245}">
      <formula1>"&lt;4,4-7,&gt;7"</formula1>
    </dataValidation>
    <dataValidation type="list" allowBlank="1" showInputMessage="1" showErrorMessage="1" sqref="I2:I65261" xr:uid="{BD087B87-723F-4504-9D25-2866BF52CE4D}">
      <formula1>"&lt;=100,100-250,250-500,501-1000,1000-3000,&gt;3000, not mentioned"</formula1>
    </dataValidation>
    <dataValidation type="list" allowBlank="1" showInputMessage="1" showErrorMessage="1" sqref="K2:K65261" xr:uid="{5DDA217C-469F-479E-9396-0E7737A505EB}">
      <formula1>"single center, multi-center"</formula1>
    </dataValidation>
    <dataValidation type="list" allowBlank="1" showInputMessage="1" showErrorMessage="1" sqref="N2:N65261" xr:uid="{FF86DEA7-3B1B-4B28-B0DE-04ED7EFEB4C3}">
      <formula1>"government,private,both,other"</formula1>
    </dataValidation>
    <dataValidation type="list" allowBlank="1" showInputMessage="1" showErrorMessage="1" sqref="M2:M65261" xr:uid="{22619DE9-9960-4845-A89F-FA45FC8D23A3}">
      <formula1>"USED, NOT USED"</formula1>
    </dataValidation>
    <dataValidation type="list" allowBlank="1" showInputMessage="1" showErrorMessage="1" sqref="L2:L65261" xr:uid="{C02CA01A-CFED-4BEE-83E6-12A343E6A8B2}">
      <formula1>"PROSPECTIVE, RETROSPECTIVE"</formula1>
    </dataValidation>
    <dataValidation type="list" allowBlank="1" showInputMessage="1" showErrorMessage="1" sqref="D17:D23 D28:D38 D25:D26 D40:D53 D55:D58 D60:D110 D129:D134 D136:D147 D217:D218 D183:D199 D149:D181 D201:D215 D539:D600 D112:D127 D444:D451 D351:D360 D220:D265 D267:D318 D320:D349 D362:D442 D453:D528 D530:D537 D602:D730 D732:D734 D736:D799" xr:uid="{1DEF852A-F633-43FC-8BE0-D20FA76A8F8E}">
      <formula1>"neuroradiology, head and neck, thyroid, breast, thoracic, cardiac, abdominal, musculoskeletal, genitourinary, miscellaneous (not conforming to one of the aforementioned categories),eyes,skin"</formula1>
    </dataValidation>
    <dataValidation type="list" allowBlank="1" showInputMessage="1" showErrorMessage="1" sqref="G22:G282" xr:uid="{2F1DECA8-FE72-477B-97F0-9A23024135C5}">
      <formula1>"image acquisition,preprocessing,characterization-identification,characterization-segmention,characterization-classification,characterization-detection,characterization-diagnose,monitoring,reporting,image acquisition"</formula1>
    </dataValidation>
    <dataValidation type="list" allowBlank="1" showInputMessage="1" showErrorMessage="1" sqref="E833 E814 E582:E799 E560:E580" xr:uid="{8A47B718-E278-4972-A52E-1F7D7A3696B9}">
      <formula1>"US, CT, MRI,mammograms,PET,HE,WSI,ICH,CFP(fundus images),X-ray, mixed (more than one radiological technique),histopathological images,OCT optical coherence tomography, microscopy image, Dermoscopic image,other"</formula1>
    </dataValidation>
    <dataValidation type="list" allowBlank="1" showInputMessage="1" showErrorMessage="1" sqref="G283:G293 G17:G21" xr:uid="{597F55EC-D91A-46AF-AB12-C44C72681C9F}">
      <formula1>"image acqusition,preprocessing,characterization-identification,characterization-segmention,characterization-classification,characterization-detection,characterization-diagnose,monitoring,reporting,image acquisition"</formula1>
    </dataValidation>
    <dataValidation type="list" allowBlank="1" showInputMessage="1" showErrorMessage="1" sqref="E868 E581 E491:E551 E462:E489 E454:E460 E426:E452 E398:E424 E360:E396 E336:E358" xr:uid="{40F866EE-B961-493C-A913-C6C31DF963E2}">
      <formula1>"US, CT, MRI, PET,mammography,HE,WSI,ICH,CFP(fundus images),X-ray, mixed (more than one radiological technique),histopathological images,OCT optical coherence tomography, microscopy image, Dermoscopic image,other"</formula1>
    </dataValidation>
    <dataValidation type="list" allowBlank="1" showInputMessage="1" showErrorMessage="1" sqref="E36 E1089 E335 E359 E397 E453 E802 E829 E853 E859 E861 E871 E873 E895 E901 E903 E909 E920 E926 E1037 E425 E461 E490 E38:E141 E143:E261" xr:uid="{80199069-6410-432C-9A3F-3C9872F77967}">
      <formula1>"US, CT, MRI, PET, mammograms,HE,WSI,ICH,CFP(fundus images),X-ray, mixed (more than one radiological technique),histopathological images,OCT optical coherence tomography, microscopy image, Dermoscopic image,other"</formula1>
    </dataValidation>
    <dataValidation type="list" allowBlank="1" showInputMessage="1" showErrorMessage="1" sqref="E860 E896:E900 E902 E921:E925 E1090:E65261 E872 E854:E858 E37 E830:E832 E869:E870 E1038:E1088 E927:E1036 E910:E919 E904:E908 E874:E894 E862:E867 E834:E852 E815:E828 E803:E813 E800:E801 E552:E559 E262:E334 E1:E35" xr:uid="{6E3115F7-4587-4EF1-A07A-D10F9BDB8CAD}">
      <formula1>"US, CT, MRI, PET,HE,WSI,ICH,CFP(fundus images),X-ray, mixed (more than one radiological technique),histopathological images,OCT optical coherence tomography, microscopy image, Dermoscopic image,other"</formula1>
    </dataValidation>
    <dataValidation type="list" allowBlank="1" showInputMessage="1" showErrorMessage="1" sqref="D16 D1:D14 D1073:D1082 D1084:D1090 D1092 D1094:D1099 D1053:D1060 D1019:D1051 D812:D910 D800:D810 D913:D999 D1001:D1017 D1062:D1071 D1101 D1104:D1106 D1108:D1111 D1113:D65261" xr:uid="{2504B6C7-C265-4DF2-B6EE-359ABD62E234}">
      <formula1>"neuroradiology, head and neck, thyroid, breast, thoracic, cardiac, abdominal, musculoskeletal, genitourinary, miscellaneous (not conforming to one of the aforementioned categories),eye,skin"</formula1>
    </dataValidation>
    <dataValidation type="list" allowBlank="1" showInputMessage="1" showErrorMessage="1" sqref="G294:G65261 G1:G16" xr:uid="{283B3F84-E02C-477A-96FB-8F69E0B645B5}">
      <formula1>"image acquisition,preprocessing,characterization-identification,characterization-segmention,characterization-classification,characterization-detection,characterization-diagnose,monitoring,reporting"</formula1>
    </dataValidation>
    <dataValidation type="list" allowBlank="1" showInputMessage="1" showErrorMessage="1" sqref="J1127:J65261 J1084:J1125 J878:J1082 J869:J876 J861:J867 J822:J859 J420:J820 J2:J418" xr:uid="{9DFD3099-6BBC-4E7C-8CDF-E568C4C4DE52}">
      <formula1>"patient,imagine, not mentioned"</formula1>
    </dataValidation>
  </dataValidations>
  <hyperlinks>
    <hyperlink ref="Y907" r:id="rId1" display="http://www.ncbi.nlm.nih.gov/nlmcatalog/7802443" xr:uid="{D27B653A-E8BB-4CD4-90AB-1EAD471B09E4}"/>
    <hyperlink ref="Y905" r:id="rId2" display="http://www.ncbi.nlm.nih.gov/nlmcatalog/9713490" xr:uid="{D86194B4-73E0-49E8-AAA3-8BCBD22793A2}"/>
    <hyperlink ref="Y5" r:id="rId3" display="http://www.ncbi.nlm.nih.gov/nlmcatalog/7505668" xr:uid="{6BCE9E19-059B-4202-BBE3-32972B784F24}"/>
    <hyperlink ref="Y887" r:id="rId4" display="http://www.ncbi.nlm.nih.gov/nlmcatalog/101643461" xr:uid="{AD6BD0BA-0559-449B-BA89-D2828B216B30}"/>
    <hyperlink ref="Y926" r:id="rId5" display="http://www.ncbi.nlm.nih.gov/nlmcatalog/8506513" xr:uid="{0E6CB211-02DB-4BB6-B467-C0A98663CC1E}"/>
    <hyperlink ref="Y909" r:id="rId6" display="http://www.ncbi.nlm.nih.gov/nlmcatalog/101563288" xr:uid="{A6786C48-3AB4-4AB3-9B26-84FCB44E68E0}"/>
    <hyperlink ref="Y892" r:id="rId7" display="http://www.ncbi.nlm.nih.gov/nlmcatalog/9215515" xr:uid="{4DEEC183-A146-4A1F-BD6A-E5E100837EC3}"/>
    <hyperlink ref="Y6" r:id="rId8" display="http://www.ncbi.nlm.nih.gov/nlmcatalog/0425746" xr:uid="{B575CE53-556D-4E7B-BBF2-5667FF1F3C69}"/>
    <hyperlink ref="Y914" r:id="rId9" display="http://www.ncbi.nlm.nih.gov/nlmcatalog/101499225" xr:uid="{2E78AAAF-83F9-42E8-B9E1-3BDBECA5D436}"/>
    <hyperlink ref="Y912" r:id="rId10" display="http://www.ncbi.nlm.nih.gov/nlmcatalog/101563288" xr:uid="{0865ECF4-B7A4-467F-9DF1-08528ED37B43}"/>
    <hyperlink ref="Y10" r:id="rId11" display="http://www.ncbi.nlm.nih.gov/nlmcatalog/7905558" xr:uid="{28C13C36-B7CF-4238-B1E4-41B399D69FAA}"/>
    <hyperlink ref="Y895" r:id="rId12" display="http://www.ncbi.nlm.nih.gov/nlmcatalog/101643461" xr:uid="{4FEDF8A7-C2CC-49A4-AA1E-458E2ED99FA1}"/>
    <hyperlink ref="Y15" r:id="rId13" display="http://www.ncbi.nlm.nih.gov/nlmcatalog/8506513" xr:uid="{D9FFA997-4B23-4194-A401-2067027A8EB7}"/>
    <hyperlink ref="Y900" r:id="rId14" display="http://www.ncbi.nlm.nih.gov/nlmcatalog/0050452" xr:uid="{00F8F138-B5BB-45DE-BE3D-329ECB5D5EF2}"/>
    <hyperlink ref="Y13" r:id="rId15" display="http://www.ncbi.nlm.nih.gov/nlmcatalog/9713490" xr:uid="{27A22DC7-F112-43BE-B395-ACF95FECC2D9}"/>
    <hyperlink ref="Y820" r:id="rId16" display="http://www.ncbi.nlm.nih.gov/nlmcatalog/9713490" xr:uid="{B80CFB4F-8510-4E84-889C-3CDFD9DC4E1C}"/>
    <hyperlink ref="Y921" r:id="rId17" display="http://www.ncbi.nlm.nih.gov/nlmcatalog/8310780" xr:uid="{96F95AD9-1366-4BF0-B431-2DD54BB3C8EB}"/>
    <hyperlink ref="Y919" r:id="rId18" display="http://www.ncbi.nlm.nih.gov/nlmcatalog/9713490" xr:uid="{6407A149-4ABF-40BF-9CEA-E81E38825D0F}"/>
    <hyperlink ref="Y903" r:id="rId19" display="http://www.ncbi.nlm.nih.gov/nlmcatalog/8806104" xr:uid="{3559E402-8341-4245-90F9-29ACAF6B13C7}"/>
    <hyperlink ref="Y3" r:id="rId20" display="http://www.ncbi.nlm.nih.gov/nlmcatalog/9302888" xr:uid="{44D6CC2A-E346-4A40-9849-F850469D4510}"/>
    <hyperlink ref="Y823" r:id="rId21" display="http://www.ncbi.nlm.nih.gov/nlmcatalog/8506513" xr:uid="{A65D7B5E-5B43-433D-A3A7-CD3416E645CC}"/>
    <hyperlink ref="Y924" r:id="rId22" display="http://www.ncbi.nlm.nih.gov/nlmcatalog/8310780" xr:uid="{A9F65181-0323-46F5-B1E3-E5E7185610AB}"/>
    <hyperlink ref="Y825" r:id="rId23" display="http://www.ncbi.nlm.nih.gov/nlmcatalog/1250250" xr:uid="{6415F2D9-142E-4FC5-A8C3-626B71571691}"/>
    <hyperlink ref="Y927" r:id="rId24" display="http://www.ncbi.nlm.nih.gov/nlmcatalog/9215515" xr:uid="{3FC24C02-9B88-44FF-9443-D704B83EA953}"/>
    <hyperlink ref="Y910" r:id="rId25" display="http://www.ncbi.nlm.nih.gov/nlmcatalog/8806104" xr:uid="{80370864-AEA0-49B4-8430-8DCF26C414E7}"/>
    <hyperlink ref="Y8" r:id="rId26" display="http://www.ncbi.nlm.nih.gov/nlmcatalog/8806104" xr:uid="{9DA6D4FC-6B66-4DDB-B55E-725D130BB703}"/>
    <hyperlink ref="Y915" r:id="rId27" display="http://www.ncbi.nlm.nih.gov/nlmcatalog/8310780" xr:uid="{0937ECF3-4E62-4832-A498-78D6FC17C2B3}"/>
    <hyperlink ref="Y846" r:id="rId28" display="http://www.ncbi.nlm.nih.gov/nlmcatalog/101243413" xr:uid="{B2816A3D-6D45-42A3-B870-3D16FA6C756C}"/>
    <hyperlink ref="Y11" r:id="rId29" display="http://www.ncbi.nlm.nih.gov/nlmcatalog/1250250" xr:uid="{481CEDA0-235A-4C94-9687-AECAA0E163E8}"/>
    <hyperlink ref="Y832" r:id="rId30" display="http://www.ncbi.nlm.nih.gov/nlmcatalog/101563288" xr:uid="{55FBE32D-DD9E-4A12-97B2-A7AB285D14FE}"/>
    <hyperlink ref="Y830" r:id="rId31" display="http://www.ncbi.nlm.nih.gov/nlmcatalog/101563288" xr:uid="{27D3E76D-E52F-47B7-B02D-3EE12062DC03}"/>
    <hyperlink ref="Y929" r:id="rId32" display="http://www.ncbi.nlm.nih.gov/nlmcatalog/101243413" xr:uid="{7704B691-295B-4333-B2C3-DA8DA9AF5F95}"/>
    <hyperlink ref="Y865" r:id="rId33" display="http://www.ncbi.nlm.nih.gov/nlmcatalog/101249582" xr:uid="{B26FBD7B-709B-4A12-9C53-54B1E1CB8C99}"/>
    <hyperlink ref="Y917" r:id="rId34" display="http://www.ncbi.nlm.nih.gov/nlmcatalog/8310780" xr:uid="{401C0B29-D6A4-4E32-88EE-34249FF95F42}"/>
    <hyperlink ref="Y821" r:id="rId35" display="http://www.ncbi.nlm.nih.gov/nlmcatalog/101499225" xr:uid="{0E6609B4-3E14-402B-A0F0-54D3DE67494B}"/>
    <hyperlink ref="Y931" r:id="rId36" display="http://www.ncbi.nlm.nih.gov/nlmcatalog/101243413" xr:uid="{F0531932-987A-4919-AA87-DB251D84F9D3}"/>
    <hyperlink ref="Y922" r:id="rId37" display="http://www.ncbi.nlm.nih.gov/nlmcatalog/8310780" xr:uid="{FDC35337-DF52-4874-855A-FE9097B68F9D}"/>
    <hyperlink ref="Y840" r:id="rId38" display="http://www.ncbi.nlm.nih.gov/nlmcatalog/101499225" xr:uid="{2C99388B-5243-405D-BB67-207B37EED5D1}"/>
    <hyperlink ref="Y838" r:id="rId39" display="http://www.ncbi.nlm.nih.gov/nlmcatalog/7802443" xr:uid="{09DB01E1-8CEB-476D-A7CF-EF471269D6A8}"/>
    <hyperlink ref="Y824" r:id="rId40" display="http://www.ncbi.nlm.nih.gov/nlmcatalog/101563288" xr:uid="{587971BC-F65A-49F1-A1B2-1A487A132611}"/>
    <hyperlink ref="Y925" r:id="rId41" display="http://www.ncbi.nlm.nih.gov/nlmcatalog/8310780" xr:uid="{2C2D15BA-C60D-43DD-A3EC-DA4779F3D2CC}"/>
    <hyperlink ref="Y940" r:id="rId42" display="http://www.ncbi.nlm.nih.gov/nlmcatalog/0012737" xr:uid="{4820C3C2-08ED-4206-AF58-E8BE6E755077}"/>
    <hyperlink ref="Y938" r:id="rId43" display="http://www.ncbi.nlm.nih.gov/nlmcatalog/101231978" xr:uid="{58EA9146-7C06-494F-BE78-8E2F39794D71}"/>
    <hyperlink ref="Y826" r:id="rId44" display="http://www.ncbi.nlm.nih.gov/nlmcatalog/1250250" xr:uid="{AC4507E1-3DA5-4FEC-B9B3-7B9D7B2E2956}"/>
    <hyperlink ref="Y842" r:id="rId45" display="http://www.ncbi.nlm.nih.gov/nlmcatalog/101597070" xr:uid="{735339F2-4296-4608-8D04-9551B7F91855}"/>
    <hyperlink ref="Y942" r:id="rId46" display="http://www.ncbi.nlm.nih.gov/nlmcatalog/101243413" xr:uid="{F807CBEB-6448-4FAE-8360-B7A8E5FBFA11}"/>
    <hyperlink ref="Y828" r:id="rId47" display="http://www.ncbi.nlm.nih.gov/nlmcatalog/0401260" xr:uid="{6F9019DE-5A11-4C00-A6AA-EBDC771ADE34}"/>
    <hyperlink ref="Y928" r:id="rId48" display="http://www.ncbi.nlm.nih.gov/nlmcatalog/9215515" xr:uid="{5B8A0638-C51A-4F45-B159-A51956B0358C}"/>
    <hyperlink ref="Y947" r:id="rId49" display="http://www.ncbi.nlm.nih.gov/nlmcatalog/0012737" xr:uid="{84500667-B2A8-45D8-A80E-1D388BF9E4D6}"/>
    <hyperlink ref="Y833" r:id="rId50" display="http://www.ncbi.nlm.nih.gov/nlmcatalog/1250250" xr:uid="{C2719C34-CF04-47FE-8B24-7A2C3B2BA73F}"/>
    <hyperlink ref="Y945" r:id="rId51" display="http://www.ncbi.nlm.nih.gov/nlmcatalog/101249582" xr:uid="{B6EEC788-9E3E-46F8-9C53-C51E127B970F}"/>
    <hyperlink ref="Y831" r:id="rId52" display="http://www.ncbi.nlm.nih.gov/nlmcatalog/101235389" xr:uid="{0E49F100-9DB6-40A3-9D2D-6588E378B9C8}"/>
    <hyperlink ref="Y930" r:id="rId53" display="http://www.ncbi.nlm.nih.gov/nlmcatalog/101243413" xr:uid="{6264AAF7-755D-417E-B518-EEBA7A7BB363}"/>
    <hyperlink ref="Y850" r:id="rId54" display="http://www.ncbi.nlm.nih.gov/nlmcatalog/8506513" xr:uid="{6CD7881C-CBA6-472A-B1F7-3744EEBFCF0A}"/>
    <hyperlink ref="Y849" r:id="rId55" display="http://www.ncbi.nlm.nih.gov/nlmcatalog/101243413" xr:uid="{ADFD92FD-1909-42D4-BB9F-A42EBBBA3C9D}"/>
    <hyperlink ref="Y950" r:id="rId56" display="http://www.ncbi.nlm.nih.gov/nlmcatalog/101616214" xr:uid="{1B36DB60-2960-4A60-A5A4-5CF0DFFECB0A}"/>
    <hyperlink ref="Y836" r:id="rId57" display="http://www.ncbi.nlm.nih.gov/nlmcatalog/9808944" xr:uid="{7B1913A6-502B-47AE-AABE-AD6FFF259B4E}"/>
    <hyperlink ref="Y933" r:id="rId58" display="http://www.ncbi.nlm.nih.gov/nlmcatalog/0012737" xr:uid="{3B37E974-61EC-4BAF-A4D5-96273C1FE6E1}"/>
    <hyperlink ref="Y822" r:id="rId59" display="http://www.ncbi.nlm.nih.gov/nlmcatalog/101499225" xr:uid="{4C43571F-A80C-41CB-91CD-60718B5C48DA}"/>
    <hyperlink ref="Y932" r:id="rId60" display="http://www.ncbi.nlm.nih.gov/nlmcatalog/8310780" xr:uid="{D87DC4D4-3C02-43B4-962D-9611B92681DE}"/>
    <hyperlink ref="Y852" r:id="rId61" display="http://www.ncbi.nlm.nih.gov/nlmcatalog/101215604" xr:uid="{9057E55E-6448-4C87-A2F2-C1E849E31078}"/>
    <hyperlink ref="Y955" r:id="rId62" display="http://www.ncbi.nlm.nih.gov/nlmcatalog/101249582" xr:uid="{5D61EAD9-5A94-43FF-A7B0-DAECD3486611}"/>
    <hyperlink ref="Y841" r:id="rId63" display="http://www.ncbi.nlm.nih.gov/nlmcatalog/101499225" xr:uid="{CFF8C522-0D91-452A-8EB3-2A01DD8593CD}"/>
    <hyperlink ref="Y953" r:id="rId64" display="http://www.ncbi.nlm.nih.gov/nlmcatalog/101249582" xr:uid="{46AD06FF-F313-4F4B-8753-57B7D5AD4496}"/>
    <hyperlink ref="Y839" r:id="rId65" display="http://www.ncbi.nlm.nih.gov/nlmcatalog/7704869" xr:uid="{D33647DC-AC04-444E-B213-A54381F41965}"/>
    <hyperlink ref="Y936" r:id="rId66" display="http://www.ncbi.nlm.nih.gov/nlmcatalog/9216871" xr:uid="{AC79E196-558F-4AEE-8250-45F449FEC95E}"/>
    <hyperlink ref="Y855" r:id="rId67" display="http://www.ncbi.nlm.nih.gov/nlmcatalog/8505245" xr:uid="{025DDB5C-4201-4919-959B-5E27EF9FDFDF}"/>
    <hyperlink ref="Y958" r:id="rId68" display="http://www.ncbi.nlm.nih.gov/nlmcatalog/101258149" xr:uid="{6EDF0447-6AD7-4C19-BAA4-21BCEA54FDEF}"/>
    <hyperlink ref="Y941" r:id="rId69" display="http://www.ncbi.nlm.nih.gov/nlmcatalog/101604520" xr:uid="{E1BBD50B-B3CB-48B9-82C6-4A5E5CD0A992}"/>
    <hyperlink ref="Y939" r:id="rId70" display="http://www.ncbi.nlm.nih.gov/nlmcatalog/9215515" xr:uid="{19C77889-6E0C-4001-8ABF-DB4DB8160147}"/>
    <hyperlink ref="Y956" r:id="rId71" display="http://www.ncbi.nlm.nih.gov/nlmcatalog/101249582" xr:uid="{3497AF96-05D3-44F1-8A02-1A215A970C82}"/>
    <hyperlink ref="Y800" r:id="rId72" display="http://www.ncbi.nlm.nih.gov/nlmcatalog/0401260" xr:uid="{B5A6B488-7277-4D42-917A-2EEB3E2A76D7}"/>
    <hyperlink ref="Y858" r:id="rId73" display="http://www.ncbi.nlm.nih.gov/nlmcatalog/0425746" xr:uid="{93E3EF84-2A02-4138-8387-BC3A13B86900}"/>
    <hyperlink ref="Y844" r:id="rId74" display="http://www.ncbi.nlm.nih.gov/nlmcatalog/9100529" xr:uid="{6A1CF126-5FCB-4B48-B15A-99C116D78ED0}"/>
    <hyperlink ref="Y961" r:id="rId75" display="http://www.ncbi.nlm.nih.gov/nlmcatalog/0012737" xr:uid="{541D5529-CB0D-4BBD-9D5D-650C1F043AC9}"/>
    <hyperlink ref="Y843" r:id="rId76" display="http://www.ncbi.nlm.nih.gov/nlmcatalog/8310780" xr:uid="{665E35FD-C0E2-4F2B-86E9-634FE3734145}"/>
    <hyperlink ref="Y943" r:id="rId77" display="http://www.ncbi.nlm.nih.gov/nlmcatalog/9215515" xr:uid="{3FE53F73-677E-4BBE-9446-61FE1A29511D}"/>
    <hyperlink ref="Y829" r:id="rId78" display="http://www.ncbi.nlm.nih.gov/nlmcatalog/9000080" xr:uid="{817D8F42-F168-406C-91A7-D79A9C76854D}"/>
    <hyperlink ref="Y863" r:id="rId79" display="http://www.ncbi.nlm.nih.gov/nlmcatalog/1250250" xr:uid="{83BCD73C-E407-468F-85C7-2F451E150FF9}"/>
    <hyperlink ref="Y802" r:id="rId80" display="http://www.ncbi.nlm.nih.gov/nlmcatalog/9100529" xr:uid="{6FA7F44A-DDCD-440A-AA7F-6E7F616F0627}"/>
    <hyperlink ref="Y861" r:id="rId81" display="http://www.ncbi.nlm.nih.gov/nlmcatalog/9713490" xr:uid="{7373F5D6-A8B9-499C-A97D-3AAD04A9E3DD}"/>
    <hyperlink ref="Y847" r:id="rId82" display="http://www.ncbi.nlm.nih.gov/nlmcatalog/101243413" xr:uid="{4E0A0B8D-18AF-420B-8448-7A8011F03F7A}"/>
    <hyperlink ref="Y948" r:id="rId83" display="http://www.ncbi.nlm.nih.gov/nlmcatalog/9426182" xr:uid="{AA0F56AD-6EF2-44DF-9951-5DF27F016543}"/>
    <hyperlink ref="Y834" r:id="rId84" display="http://www.ncbi.nlm.nih.gov/nlmcatalog/7806056" xr:uid="{7A3A4225-670E-4747-9970-F9993C129B06}"/>
    <hyperlink ref="Y946" r:id="rId85" display="http://www.ncbi.nlm.nih.gov/nlmcatalog/101249582" xr:uid="{DF1961A1-082D-431B-9727-F45840E9A29D}"/>
    <hyperlink ref="Y835" r:id="rId86" display="http://www.ncbi.nlm.nih.gov/nlmcatalog/101566598" xr:uid="{A542EC9E-DA8A-4191-AE58-0B78B113D3BB}"/>
    <hyperlink ref="Y807" r:id="rId87" display="http://www.ncbi.nlm.nih.gov/nlmcatalog/101285081" xr:uid="{3CED8074-61C7-4564-9DE9-5F234BE040D9}"/>
    <hyperlink ref="Y805" r:id="rId88" display="http://www.ncbi.nlm.nih.gov/nlmcatalog/8310780" xr:uid="{925AB8AF-6EF5-47DD-8741-0F44F74E1FC9}"/>
    <hyperlink ref="Y951" r:id="rId89" display="http://www.ncbi.nlm.nih.gov/nlmcatalog/9215515" xr:uid="{B12EADC0-7CEB-443F-9094-78C409330F10}"/>
    <hyperlink ref="Y837" r:id="rId90" display="http://www.ncbi.nlm.nih.gov/nlmcatalog/1250250" xr:uid="{6BAA36F4-0995-4FF7-8B04-6A933DDFD56E}"/>
    <hyperlink ref="Y934" r:id="rId91" display="http://www.ncbi.nlm.nih.gov/nlmcatalog/100968553" xr:uid="{2FA6B7F5-4682-4D47-803C-083733A444F3}"/>
    <hyperlink ref="Y870" r:id="rId92" display="http://www.ncbi.nlm.nih.gov/nlmcatalog/101604520" xr:uid="{4F9BD3A4-798C-467E-A171-F73D7ED76BC3}"/>
    <hyperlink ref="Y810" r:id="rId93" display="http://www.ncbi.nlm.nih.gov/nlmcatalog/7503051" xr:uid="{F8797297-CD8D-4FBE-8996-68AD8BFF1FB4}"/>
    <hyperlink ref="Y868" r:id="rId94" display="http://www.ncbi.nlm.nih.gov/nlmcatalog/101604520" xr:uid="{C28C1C4C-161F-474D-BAE7-721FDEC16FC0}"/>
    <hyperlink ref="Y853" r:id="rId95" display="http://www.ncbi.nlm.nih.gov/nlmcatalog/0045377" xr:uid="{B37E0EE8-C22A-4482-85AA-EFA1F4FAAA50}"/>
    <hyperlink ref="Y954" r:id="rId96" display="http://www.ncbi.nlm.nih.gov/nlmcatalog/101249582" xr:uid="{3A44DA44-2E59-4959-9CF0-E6521E12B693}"/>
    <hyperlink ref="Y937" r:id="rId97" display="http://www.ncbi.nlm.nih.gov/nlmcatalog/8102140" xr:uid="{CDDD22F1-F8D5-470E-A36E-F53150AE9025}"/>
    <hyperlink ref="Y812" r:id="rId98" display="http://www.ncbi.nlm.nih.gov/nlmcatalog/101524122" xr:uid="{92D87E35-D33B-4192-A50D-73DAFACFD607}"/>
    <hyperlink ref="Y856" r:id="rId99" display="http://www.ncbi.nlm.nih.gov/nlmcatalog/0410462" xr:uid="{8CE9F8A5-FECF-4CCE-8679-EE6A6972DD24}"/>
    <hyperlink ref="Y854" r:id="rId100" display="http://www.ncbi.nlm.nih.gov/nlmcatalog/0425746" xr:uid="{E1F743A5-3679-4AC1-85C7-65C8DB80E8F2}"/>
    <hyperlink ref="Y959" r:id="rId101" display="http://www.ncbi.nlm.nih.gov/nlmcatalog/9885960" xr:uid="{5A43C8FD-7EF3-4411-8A63-0168ACFBDDDB}"/>
    <hyperlink ref="Y875" r:id="rId102" display="http://www.ncbi.nlm.nih.gov/nlmcatalog/101597070" xr:uid="{001A0478-8A7B-4DC2-B8C0-A1690FA5CDCE}"/>
    <hyperlink ref="Y815" r:id="rId103" display="http://www.ncbi.nlm.nih.gov/nlmcatalog/1250250" xr:uid="{1FEAF8A3-9C61-43D0-B2FF-6915F81D9638}"/>
    <hyperlink ref="Y859" r:id="rId104" display="http://www.ncbi.nlm.nih.gov/nlmcatalog/101600173" xr:uid="{8E9DCDC5-4CCB-4AF6-9D46-0D23E1F322AA}"/>
    <hyperlink ref="Y845" r:id="rId105" display="http://www.ncbi.nlm.nih.gov/nlmcatalog/101597070" xr:uid="{04DA1044-59FF-4075-879D-36F73B3D70CB}"/>
    <hyperlink ref="Y962" r:id="rId106" display="http://www.ncbi.nlm.nih.gov/nlmcatalog/9886191" xr:uid="{52807F11-B7AF-4382-BEFE-A526287948DF}"/>
    <hyperlink ref="Y944" r:id="rId107" display="http://www.ncbi.nlm.nih.gov/nlmcatalog/101249582" xr:uid="{DE98FEEC-D385-448B-B59D-8AA08DED69CD}"/>
    <hyperlink ref="Y818" r:id="rId108" display="http://www.ncbi.nlm.nih.gov/nlmcatalog/101563288" xr:uid="{55E6E7A3-C8E7-4302-B901-A472AA6BEC08}"/>
    <hyperlink ref="Y864" r:id="rId109" display="http://www.ncbi.nlm.nih.gov/nlmcatalog/9713490" xr:uid="{C7E3937D-3CEB-4E69-A0C7-D5AAA32C7FAF}"/>
    <hyperlink ref="Y803" r:id="rId110" display="http://www.ncbi.nlm.nih.gov/nlmcatalog/9605853" xr:uid="{650D2318-9E7E-4136-AFD6-25D21FD14E62}"/>
    <hyperlink ref="Y862" r:id="rId111" display="http://www.ncbi.nlm.nih.gov/nlmcatalog/9301980" xr:uid="{E9DF351B-4A45-4314-BDBD-E3AB7F23891B}"/>
    <hyperlink ref="Y848" r:id="rId112" display="http://www.ncbi.nlm.nih.gov/nlmcatalog/101243413" xr:uid="{AC965B99-F8DD-4A5E-BF89-6B1642A51B69}"/>
    <hyperlink ref="Y949" r:id="rId113" display="http://www.ncbi.nlm.nih.gov/nlmcatalog/101249582" xr:uid="{F94D02BF-480F-4AA5-B9E7-74B4B5736A06}"/>
    <hyperlink ref="Y882" r:id="rId114" display="http://www.ncbi.nlm.nih.gov/nlmcatalog/7501160" xr:uid="{5F42D4BB-D0E6-4762-BAF5-89BDDE167417}"/>
    <hyperlink ref="Y880" r:id="rId115" display="http://www.ncbi.nlm.nih.gov/nlmcatalog/8806104" xr:uid="{B83D2C59-52E8-48C8-ACD0-AD1A99358407}"/>
    <hyperlink ref="Y808" r:id="rId116" display="http://www.ncbi.nlm.nih.gov/nlmcatalog/101499225" xr:uid="{D1312CA3-62FB-4A0F-9C46-4C7E7BF44859}"/>
    <hyperlink ref="Y866" r:id="rId117" display="http://www.ncbi.nlm.nih.gov/nlmcatalog/9426398" xr:uid="{53E0B17D-DAD1-433B-B9A8-602B3271C95B}"/>
    <hyperlink ref="Y806" r:id="rId118" display="http://www.ncbi.nlm.nih.gov/nlmcatalog/0012737" xr:uid="{64FE2A5F-3FCF-4529-8575-BF37D55C0BED}"/>
    <hyperlink ref="Y851" r:id="rId119" display="http://www.ncbi.nlm.nih.gov/nlmcatalog/9215515" xr:uid="{7521D4A9-8888-4569-8042-5EF7364AA6B3}"/>
    <hyperlink ref="Y952" r:id="rId120" display="http://www.ncbi.nlm.nih.gov/nlmcatalog/101249582" xr:uid="{723B6111-786F-48D0-906F-F7A58D4FFCDC}"/>
    <hyperlink ref="Y885" r:id="rId121" display="http://www.ncbi.nlm.nih.gov/nlmcatalog/8506513" xr:uid="{25AD4BEC-1EB3-4498-A6D0-FBD3A6B4309A}"/>
    <hyperlink ref="Y871" r:id="rId122" display="http://www.ncbi.nlm.nih.gov/nlmcatalog/8310780" xr:uid="{1A4128F8-0BE7-41D9-91DF-CC99D912230E}"/>
    <hyperlink ref="Y811" r:id="rId123" display="http://www.ncbi.nlm.nih.gov/nlmcatalog/101524122" xr:uid="{1482C319-27E9-47D5-A3A1-6956521E92C9}"/>
    <hyperlink ref="Y869" r:id="rId124" display="http://www.ncbi.nlm.nih.gov/nlmcatalog/8310780" xr:uid="{4FBEA993-0DBD-48CF-8C19-DAA244662891}"/>
    <hyperlink ref="Y935" r:id="rId125" display="http://www.ncbi.nlm.nih.gov/nlmcatalog/9713490" xr:uid="{B3DCA412-44B4-4093-91FB-495F0BC24C20}"/>
    <hyperlink ref="Y957" r:id="rId126" display="http://www.ncbi.nlm.nih.gov/nlmcatalog/101249582" xr:uid="{24EA7CB1-BA26-4072-A23F-043393E946B2}"/>
    <hyperlink ref="Y890" r:id="rId127" display="http://www.ncbi.nlm.nih.gov/nlmcatalog/101238922" xr:uid="{5A92B0AF-7230-4AFC-B124-88983D58DBB4}"/>
    <hyperlink ref="Y827" r:id="rId128" display="http://www.ncbi.nlm.nih.gov/nlmcatalog/9713490" xr:uid="{54343130-2CB0-4948-ACC7-7E8D4CC0A9C8}"/>
    <hyperlink ref="Y888" r:id="rId129" display="http://www.ncbi.nlm.nih.gov/nlmcatalog/8710358" xr:uid="{82969059-1CA2-4661-A27F-58E7421A98D5}"/>
    <hyperlink ref="Y814" r:id="rId130" display="http://www.ncbi.nlm.nih.gov/nlmcatalog/101285081" xr:uid="{74D2CA90-6D77-41C0-A5E6-8A633BB36335}"/>
    <hyperlink ref="Y872" r:id="rId131" display="http://www.ncbi.nlm.nih.gov/nlmcatalog/0425746" xr:uid="{B0BA3D2F-202D-4AC1-B854-3AE6A000B33D}"/>
    <hyperlink ref="Y813" r:id="rId132" display="http://www.ncbi.nlm.nih.gov/nlmcatalog/9105850" xr:uid="{FA5342F8-BABA-4D96-9AD1-2A61DE8BC782}"/>
    <hyperlink ref="Y857" r:id="rId133" display="http://www.ncbi.nlm.nih.gov/nlmcatalog/101235694" xr:uid="{92FB256C-F103-4EF1-A56A-716B53D77E09}"/>
    <hyperlink ref="Y960" r:id="rId134" display="http://www.ncbi.nlm.nih.gov/nlmcatalog/9885960" xr:uid="{2175F623-6DB0-447E-978F-72ED9847766D}"/>
    <hyperlink ref="Y876" r:id="rId135" display="http://www.ncbi.nlm.nih.gov/nlmcatalog/1250250" xr:uid="{40895882-EBFE-469C-9A92-CA31358A8ED8}"/>
    <hyperlink ref="Y816" r:id="rId136" display="http://www.ncbi.nlm.nih.gov/nlmcatalog/9100529" xr:uid="{AEC0D561-E681-4638-AF24-13A59D50A482}"/>
    <hyperlink ref="Y901" r:id="rId137" display="http://www.ncbi.nlm.nih.gov/nlmcatalog/9713490" xr:uid="{C016FFAE-E4D1-486E-AC88-1996FDB8DDC6}"/>
    <hyperlink ref="Y874" r:id="rId138" display="http://www.ncbi.nlm.nih.gov/nlmcatalog/9100529" xr:uid="{50789A13-4E0B-442E-8B09-D0675A33DA74}"/>
    <hyperlink ref="Y801" r:id="rId139" display="http://www.ncbi.nlm.nih.gov/nlmcatalog/101597070" xr:uid="{B5AD4271-C29E-4DA8-8BB0-18B3A5DDFDA3}"/>
    <hyperlink ref="Y860" r:id="rId140" display="http://www.ncbi.nlm.nih.gov/nlmcatalog/8310780" xr:uid="{116A6E0C-963F-4996-9448-070ECBC0AB4F}"/>
    <hyperlink ref="Y898" r:id="rId141" display="http://www.ncbi.nlm.nih.gov/nlmcatalog/101604520" xr:uid="{A51744BC-3846-487A-AE98-37DCCE4F0C47}"/>
    <hyperlink ref="Y896" r:id="rId142" display="http://www.ncbi.nlm.nih.gov/nlmcatalog/101499225" xr:uid="{99A64681-4997-4A71-886A-64BF85646C52}"/>
    <hyperlink ref="Y878" r:id="rId143" display="http://www.ncbi.nlm.nih.gov/nlmcatalog/101600173" xr:uid="{F90D8E85-FF51-40E8-B36E-2D4584021968}"/>
    <hyperlink ref="Y819" r:id="rId144" display="http://www.ncbi.nlm.nih.gov/nlmcatalog/8806104" xr:uid="{CB076FC9-9C2C-4C03-B520-D8A3824B6240}"/>
    <hyperlink ref="Y804" r:id="rId145" display="http://www.ncbi.nlm.nih.gov/nlmcatalog/9100529" xr:uid="{0CCA36A6-C7EF-45CE-A1EA-F73A482C3913}"/>
    <hyperlink ref="Y883" r:id="rId146" display="http://www.ncbi.nlm.nih.gov/nlmcatalog/9100529" xr:uid="{31B81B0E-7A41-4E7F-B698-3FC10FE60779}"/>
    <hyperlink ref="Y881" r:id="rId147" display="http://www.ncbi.nlm.nih.gov/nlmcatalog/101563288" xr:uid="{0B9271B2-469F-4AF2-A635-2897A3FF1C4C}"/>
    <hyperlink ref="Y809" r:id="rId148" display="http://www.ncbi.nlm.nih.gov/nlmcatalog/8310780" xr:uid="{DC4EEE34-0B35-474B-9C09-685D6D0CC25E}"/>
    <hyperlink ref="Y867" r:id="rId149" display="http://www.ncbi.nlm.nih.gov/nlmcatalog/9885960" xr:uid="{AA299873-B3EC-42A3-8EB7-6E1D4F7F58E4}"/>
    <hyperlink ref="Y906" r:id="rId150" display="http://www.ncbi.nlm.nih.gov/nlmcatalog/9605853" xr:uid="{52AEEC4D-212B-40CE-B5E7-D99EC827D346}"/>
    <hyperlink ref="Y904" r:id="rId151" display="http://www.ncbi.nlm.nih.gov/nlmcatalog/9011206" xr:uid="{8CEAC445-E8BB-44CE-B744-3FDDBE931D5E}"/>
    <hyperlink ref="Y4" r:id="rId152" display="http://www.ncbi.nlm.nih.gov/nlmcatalog/101604520" xr:uid="{F4DA37FE-6D77-4FE1-BD0F-142DDC16DE55}"/>
    <hyperlink ref="Y886" r:id="rId153" display="http://www.ncbi.nlm.nih.gov/nlmcatalog/0401220" xr:uid="{AB4D723D-8D2F-4668-B816-B10E0D1BD985}"/>
    <hyperlink ref="Y908" r:id="rId154" display="http://www.ncbi.nlm.nih.gov/nlmcatalog/9808944" xr:uid="{B61DA7B0-AF44-4427-BBCB-F66F4BAD3089}"/>
    <hyperlink ref="Y893" r:id="rId155" display="http://www.ncbi.nlm.nih.gov/nlmcatalog/8310780" xr:uid="{FC1AB23B-3D48-40F9-936B-E43A62D411E3}"/>
    <hyperlink ref="Y7" r:id="rId156" display="http://www.ncbi.nlm.nih.gov/nlmcatalog/9100529" xr:uid="{D70D5760-BD91-44CE-92FF-C3EFEB46FC54}"/>
    <hyperlink ref="Y891" r:id="rId157" display="http://www.ncbi.nlm.nih.gov/nlmcatalog/7905558" xr:uid="{881276BA-4A10-472F-A500-D402C459EF4B}"/>
    <hyperlink ref="Y889" r:id="rId158" display="http://www.ncbi.nlm.nih.gov/nlmcatalog/9713490" xr:uid="{A7BDEFD3-EF83-4F9B-A8E1-659CC15204E6}"/>
    <hyperlink ref="Y873" r:id="rId159" display="http://www.ncbi.nlm.nih.gov/nlmcatalog/0425746" xr:uid="{BF0AFD88-4E55-47D3-8048-E56787ED4F2F}"/>
    <hyperlink ref="Y913" r:id="rId160" display="http://www.ncbi.nlm.nih.gov/nlmcatalog/8310780" xr:uid="{D3E3BCD1-8D95-493B-B530-EB4C1B609372}"/>
    <hyperlink ref="Y911" r:id="rId161" display="http://www.ncbi.nlm.nih.gov/nlmcatalog/101563288" xr:uid="{AA91255A-FE4E-4399-972D-FAEFD8BC5764}"/>
    <hyperlink ref="Y9" r:id="rId162" display="http://www.ncbi.nlm.nih.gov/nlmcatalog/101604520" xr:uid="{377B6060-5BF5-4DE5-80C6-0A975B965A47}"/>
    <hyperlink ref="Y894" r:id="rId163" display="http://www.ncbi.nlm.nih.gov/nlmcatalog/9100529" xr:uid="{3C45D742-8B70-4FCD-9750-73EF1B065BCB}"/>
    <hyperlink ref="Y877" r:id="rId164" display="http://www.ncbi.nlm.nih.gov/nlmcatalog/9800943" xr:uid="{E894FA53-931A-4993-A892-A1DED42563F2}"/>
    <hyperlink ref="Y817" r:id="rId165" display="http://www.ncbi.nlm.nih.gov/nlmcatalog/9713490" xr:uid="{EAA597A3-61D6-4410-87D6-CBA1767B9D7F}"/>
    <hyperlink ref="Y916" r:id="rId166" display="http://www.ncbi.nlm.nih.gov/nlmcatalog/0425746" xr:uid="{3D37CF29-9082-4C9E-9C81-5FA16FB7B097}"/>
    <hyperlink ref="Y14" r:id="rId167" display="http://www.ncbi.nlm.nih.gov/nlmcatalog/9713490" xr:uid="{9ECA0AA2-106C-4256-A092-537D273D3AA7}"/>
    <hyperlink ref="Y899" r:id="rId168" display="http://www.ncbi.nlm.nih.gov/nlmcatalog/101097023" xr:uid="{6DC82CEE-EA74-456E-805E-5FFCB6DC56EF}"/>
    <hyperlink ref="Y12" r:id="rId169" display="http://www.ncbi.nlm.nih.gov/nlmcatalog/9713490" xr:uid="{79315E7F-6950-45D9-BCE4-12FCC45303B8}"/>
    <hyperlink ref="Y897" r:id="rId170" display="http://www.ncbi.nlm.nih.gov/nlmcatalog/9713490" xr:uid="{305894E3-6A1C-4142-B225-5157B1ACB503}"/>
    <hyperlink ref="Y879" r:id="rId171" display="http://www.ncbi.nlm.nih.gov/nlmcatalog/0425746" xr:uid="{A2869405-D927-4828-B042-F89EA7C000FC}"/>
    <hyperlink ref="Y920" r:id="rId172" display="http://www.ncbi.nlm.nih.gov/nlmcatalog/8310780" xr:uid="{E01B7F4A-1E26-4621-BF3C-BDB938D0B9E5}"/>
    <hyperlink ref="Y918" r:id="rId173" display="http://www.ncbi.nlm.nih.gov/nlmcatalog/8310780" xr:uid="{028BBA40-812A-4873-931A-9CC2A6582BA1}"/>
    <hyperlink ref="Y902" r:id="rId174" display="http://www.ncbi.nlm.nih.gov/nlmcatalog/9100527" xr:uid="{2B0A22D8-D9B8-463F-A710-7FC2A32FB06C}"/>
    <hyperlink ref="Y2" r:id="rId175" display="http://www.ncbi.nlm.nih.gov/nlmcatalog/9713490" xr:uid="{E93540BD-3751-463F-A10F-949D2429E96B}"/>
    <hyperlink ref="Y884" r:id="rId176" display="http://www.ncbi.nlm.nih.gov/nlmcatalog/101604520" xr:uid="{3155763E-1522-4CE6-8052-131D73539C0C}"/>
    <hyperlink ref="Y923" r:id="rId177" display="http://www.ncbi.nlm.nih.gov/nlmcatalog/7806056" xr:uid="{3D5FE504-24A3-40C9-A451-1F98FAB437F8}"/>
    <hyperlink ref="Y16" r:id="rId178" display="http://www.ncbi.nlm.nih.gov/nlmcatalog/0401220" xr:uid="{01E5676D-AE81-4F6E-BB97-D94A108F32BE}"/>
    <hyperlink ref="Y95" r:id="rId179" display="http://www.ncbi.nlm.nih.gov/nlmcatalog/8106411" xr:uid="{BBF451FD-6136-4EC8-9921-805B9EA191A8}"/>
    <hyperlink ref="Y186" r:id="rId180" display="http://www.ncbi.nlm.nih.gov/nlmcatalog/0425746" xr:uid="{3FDC64E4-84ED-4D29-9A30-FC21E0614C04}"/>
    <hyperlink ref="Y274" r:id="rId181" display="http://www.ncbi.nlm.nih.gov/nlmcatalog/8915031" xr:uid="{287E9F5E-31DA-4AE3-9A50-45F2F397B1D8}"/>
    <hyperlink ref="Y84" r:id="rId182" display="http://www.ncbi.nlm.nih.gov/nlmcatalog/0373125" xr:uid="{81C26936-7E4D-4864-B444-F0671E0C3820}"/>
    <hyperlink ref="Y272" r:id="rId183" display="http://www.ncbi.nlm.nih.gov/nlmcatalog/0425746" xr:uid="{8125F849-AFA8-41DA-9906-2A456BD8946D}"/>
    <hyperlink ref="Y257" r:id="rId184" display="http://www.ncbi.nlm.nih.gov/nlmcatalog/9215515" xr:uid="{0BC87124-9E8A-4AF1-8C2D-851994E8FB41}"/>
    <hyperlink ref="Y23" r:id="rId185" display="http://www.ncbi.nlm.nih.gov/nlmcatalog/8310780" xr:uid="{56DC53CB-8466-4121-9FF0-B74AA7BD0FE0}"/>
    <hyperlink ref="Y99" r:id="rId186" display="http://www.ncbi.nlm.nih.gov/nlmcatalog/100891504" xr:uid="{CFB47A20-698A-4731-A0FA-B2D07DFF1B5A}"/>
    <hyperlink ref="Y98" r:id="rId187" display="http://www.ncbi.nlm.nih.gov/nlmcatalog/101238455" xr:uid="{65EDF5CF-BBAF-4EF5-9222-A1AEFBA863C8}"/>
    <hyperlink ref="Y189" r:id="rId188" display="http://www.ncbi.nlm.nih.gov/nlmcatalog/9713490" xr:uid="{B02F8D37-4FBE-4570-B1AA-703A06293E47}"/>
    <hyperlink ref="Y102" r:id="rId189" display="http://www.ncbi.nlm.nih.gov/nlmcatalog/9215515" xr:uid="{5F933698-845F-43FB-95E0-DD76E66D33FF}"/>
    <hyperlink ref="Y193" r:id="rId190" display="http://www.ncbi.nlm.nih.gov/nlmcatalog/9713490" xr:uid="{B1436176-952A-43C1-882D-9971E8230C82}"/>
    <hyperlink ref="Y88" r:id="rId191" display="http://www.ncbi.nlm.nih.gov/nlmcatalog/101477957" xr:uid="{78E8AD18-0F1A-4D83-9155-33CF3D25DDCA}"/>
    <hyperlink ref="Y191" r:id="rId192" display="http://www.ncbi.nlm.nih.gov/nlmcatalog/0425746" xr:uid="{5FA33804-C01F-4722-A79C-877B610E1C14}"/>
    <hyperlink ref="Y180" r:id="rId193" display="http://www.ncbi.nlm.nih.gov/nlmcatalog/0425746" xr:uid="{6320BD91-7B65-45D8-B2A3-5651BE4479E5}"/>
    <hyperlink ref="Y278" r:id="rId194" display="http://www.ncbi.nlm.nih.gov/nlmcatalog/8806104" xr:uid="{A986AFAF-7856-4554-93C2-8FC638C52AF5}"/>
    <hyperlink ref="Y264" r:id="rId195" display="http://www.ncbi.nlm.nih.gov/nlmcatalog/101238922" xr:uid="{557F10FD-DECD-4C86-806E-642E00B8682B}"/>
    <hyperlink ref="Y107" r:id="rId196" display="http://www.ncbi.nlm.nih.gov/nlmcatalog/101249582" xr:uid="{78DC8799-0D20-4FB2-918D-5F892FA81E6B}"/>
    <hyperlink ref="Y105" r:id="rId197" display="http://www.ncbi.nlm.nih.gov/nlmcatalog/9502015" xr:uid="{95A259C7-5CA0-42DD-B36B-8FDFFE163A77}"/>
    <hyperlink ref="Y195" r:id="rId198" display="http://www.ncbi.nlm.nih.gov/nlmcatalog/101740243" xr:uid="{ACEAFDAB-C618-42D2-BD00-DDCD01118715}"/>
    <hyperlink ref="Y279" r:id="rId199" display="http://www.ncbi.nlm.nih.gov/nlmcatalog/101231360" xr:uid="{C3614F63-E032-4F93-9CBB-8701F7AD500E}"/>
    <hyperlink ref="Y89" r:id="rId200" display="http://www.ncbi.nlm.nih.gov/nlmcatalog/101729235" xr:uid="{E4291394-1B6D-4F31-BC24-374E2416B326}"/>
    <hyperlink ref="Y183" r:id="rId201" display="http://www.ncbi.nlm.nih.gov/nlmcatalog/101528166" xr:uid="{8C29B063-9922-4B97-ACD5-CEC0DE760C72}"/>
    <hyperlink ref="Y30" r:id="rId202" display="http://www.ncbi.nlm.nih.gov/nlmcatalog/101606588" xr:uid="{51373937-756B-4406-85DC-A2FE9FF36817}"/>
    <hyperlink ref="Y109" r:id="rId203" display="http://www.ncbi.nlm.nih.gov/nlmcatalog/9423843" xr:uid="{6156F8CC-C521-434D-BB54-30ADE53753F6}"/>
    <hyperlink ref="Y199" r:id="rId204" display="http://www.ncbi.nlm.nih.gov/nlmcatalog/7703701" xr:uid="{E08E116A-0DFC-4239-9D7A-50E8052A05EC}"/>
    <hyperlink ref="Y17" r:id="rId205" display="http://www.ncbi.nlm.nih.gov/nlmcatalog/8805018" xr:uid="{1226D9C4-A5EB-41EE-82EC-43162ACA8486}"/>
    <hyperlink ref="Y93" r:id="rId206" display="http://www.ncbi.nlm.nih.gov/nlmcatalog/9711057" xr:uid="{8BD71123-AA27-4FB0-B26F-771246599396}"/>
    <hyperlink ref="Y197" r:id="rId207" display="http://www.ncbi.nlm.nih.gov/nlmcatalog/9713490" xr:uid="{65A33474-73A6-4F64-8D27-BC054E0131A0}"/>
    <hyperlink ref="Y282" r:id="rId208" display="http://www.ncbi.nlm.nih.gov/nlmcatalog/101563288" xr:uid="{45D15323-00C6-42D3-9552-E2A2BD53B3E9}"/>
    <hyperlink ref="Y270" r:id="rId209" display="http://www.ncbi.nlm.nih.gov/nlmcatalog/101285081" xr:uid="{67A2A43F-C900-480F-BA76-A59FCA2C6E52}"/>
    <hyperlink ref="Y33" r:id="rId210" display="http://www.ncbi.nlm.nih.gov/nlmcatalog/101604520" xr:uid="{93763B73-8576-44D8-A669-3B40D397A1A3}"/>
    <hyperlink ref="Y114" r:id="rId211" display="http://www.ncbi.nlm.nih.gov/nlmcatalog/7609576" xr:uid="{68E015F8-D5F8-482B-8DDC-CCD4A19ABC81}"/>
    <hyperlink ref="Y21" r:id="rId212" display="http://www.ncbi.nlm.nih.gov/nlmcatalog/101639462" xr:uid="{223C468B-7B61-4BF1-BD1B-D07FCB65C6F7}"/>
    <hyperlink ref="Y112" r:id="rId213" display="http://www.ncbi.nlm.nih.gov/nlmcatalog/9713490" xr:uid="{010416EC-4E6E-41FB-86BA-819BF64CEA54}"/>
    <hyperlink ref="Y287" r:id="rId214" display="http://www.ncbi.nlm.nih.gov/nlmcatalog/101243413" xr:uid="{A2BAA720-9009-4500-8521-43C026926798}"/>
    <hyperlink ref="Y27" r:id="rId215" display="http://www.ncbi.nlm.nih.gov/nlmcatalog/8805018" xr:uid="{06D1D82C-7173-4D02-B545-755C81135785}"/>
    <hyperlink ref="Y19" r:id="rId216" display="http://www.ncbi.nlm.nih.gov/nlmcatalog/101235694" xr:uid="{2A45A036-F092-4F84-901E-3C71E46CA21A}"/>
    <hyperlink ref="Y96" r:id="rId217" display="http://www.ncbi.nlm.nih.gov/nlmcatalog/8806104" xr:uid="{9024AB3F-C063-4A28-9B46-807F3416B3D3}"/>
    <hyperlink ref="Y187" r:id="rId218" display="http://www.ncbi.nlm.nih.gov/nlmcatalog/7703701" xr:uid="{58A91803-B4C6-4FC0-9DE4-CEC053562EE0}"/>
    <hyperlink ref="Y285" r:id="rId219" display="http://www.ncbi.nlm.nih.gov/nlmcatalog/101243413" xr:uid="{6D91A7F0-35E5-44C7-8BA6-A25FA818383B}"/>
    <hyperlink ref="Y116" r:id="rId220" display="http://www.ncbi.nlm.nih.gov/nlmcatalog/101540630" xr:uid="{3B52477C-DBBC-4AF3-9719-A79D6273A40B}"/>
    <hyperlink ref="Y204" r:id="rId221" display="http://www.ncbi.nlm.nih.gov/nlmcatalog/0425746" xr:uid="{E5A0708D-16C7-40A9-90E4-2747E30B1329}"/>
    <hyperlink ref="Y100" r:id="rId222" display="http://www.ncbi.nlm.nih.gov/nlmcatalog/8806104" xr:uid="{7D0B00EF-0998-4512-BA2E-123369FE9F10}"/>
    <hyperlink ref="Y203" r:id="rId223" display="http://www.ncbi.nlm.nih.gov/nlmcatalog/101674571" xr:uid="{02166802-EC7A-4BA5-9503-E93AB1BE2946}"/>
    <hyperlink ref="Y290" r:id="rId224" display="http://www.ncbi.nlm.nih.gov/nlmcatalog/101243413" xr:uid="{78ECB6C2-88E6-45D7-894D-D629C246DB93}"/>
    <hyperlink ref="Y53" r:id="rId225" display="http://www.ncbi.nlm.nih.gov/nlmcatalog/9713490" xr:uid="{F9BD42C5-54F4-486B-98AE-2041B0248210}"/>
    <hyperlink ref="Y26" r:id="rId226" display="http://www.ncbi.nlm.nih.gov/nlmcatalog/7512719" xr:uid="{BBB7BEBB-AA79-4CA5-88C6-209790F0ED94}"/>
    <hyperlink ref="Y25" r:id="rId227" display="http://www.ncbi.nlm.nih.gov/nlmcatalog/101604520" xr:uid="{147A73D5-9E83-4BBB-A540-CCC8BFD9897D}"/>
    <hyperlink ref="Y103" r:id="rId228" display="http://www.ncbi.nlm.nih.gov/nlmcatalog/8205248" xr:uid="{02FB2EFF-DF96-46EC-8966-DE4940F3B98E}"/>
    <hyperlink ref="Y194" r:id="rId229" display="http://www.ncbi.nlm.nih.gov/nlmcatalog/101130625" xr:uid="{6F2B9DE9-5FD6-4F9E-BDD7-3A224A0DB3E0}"/>
    <hyperlink ref="Y293" r:id="rId230" display="http://www.ncbi.nlm.nih.gov/nlmcatalog/101243413" xr:uid="{9372139C-EBBA-4B21-B51A-A8B9E93CB405}"/>
    <hyperlink ref="Y192" r:id="rId231" display="http://www.ncbi.nlm.nih.gov/nlmcatalog/101563288" xr:uid="{7E3AE3F5-BF2C-4BB0-ADDE-5E99C4C6FE6F}"/>
    <hyperlink ref="Y39" r:id="rId232" display="http://www.ncbi.nlm.nih.gov/nlmcatalog/8806104" xr:uid="{4F7988CC-F840-4D55-B81F-63C32A22C251}"/>
    <hyperlink ref="Y37" r:id="rId233" display="http://www.ncbi.nlm.nih.gov/nlmcatalog/101477956" xr:uid="{48BF8B45-A5BA-42C1-B3C7-5E9D750985A2}"/>
    <hyperlink ref="Y122" r:id="rId234" display="http://www.ncbi.nlm.nih.gov/nlmcatalog/0365332" xr:uid="{FB826AFC-7DEC-4970-8C88-D31060AABC99}"/>
    <hyperlink ref="Y28" r:id="rId235" display="http://www.ncbi.nlm.nih.gov/nlmcatalog/101639462" xr:uid="{1688C1CD-D97F-49E1-A14C-C94834E2C5E1}"/>
    <hyperlink ref="Y108" r:id="rId236" display="http://www.ncbi.nlm.nih.gov/nlmcatalog/0250655" xr:uid="{595E2FA0-9961-43DD-830F-BD3EAC29DF62}"/>
    <hyperlink ref="Y208" r:id="rId237" display="http://www.ncbi.nlm.nih.gov/nlmcatalog/8506513" xr:uid="{409BECA2-72C6-48AB-908A-2FA7D775ABC8}"/>
    <hyperlink ref="Y106" r:id="rId238" display="http://www.ncbi.nlm.nih.gov/nlmcatalog/101249582" xr:uid="{D48B3CC3-E766-4D7F-82E1-86A62B5C949C}"/>
    <hyperlink ref="Y196" r:id="rId239" display="http://www.ncbi.nlm.nih.gov/nlmcatalog/101540630" xr:uid="{321F643F-74CF-44F6-8ECC-FAD617E993A5}"/>
    <hyperlink ref="Y280" r:id="rId240" display="http://www.ncbi.nlm.nih.gov/nlmcatalog/101231360" xr:uid="{053B8FBE-0503-44B9-9FB5-EF2DA32088C8}"/>
    <hyperlink ref="Y90" r:id="rId241" display="http://www.ncbi.nlm.nih.gov/nlmcatalog/101285081" xr:uid="{2A4A90E6-F6E1-458C-B853-CE0E24BF71DF}"/>
    <hyperlink ref="Y41" r:id="rId242" display="http://www.ncbi.nlm.nih.gov/nlmcatalog/101751302" xr:uid="{5684C940-FD8D-4CA1-A333-257C872713CD}"/>
    <hyperlink ref="Y31" r:id="rId243" display="http://www.ncbi.nlm.nih.gov/nlmcatalog/101604520" xr:uid="{6BC673D4-EB1C-4DD7-B48F-FBBE85E48820}"/>
    <hyperlink ref="Y123" r:id="rId244" display="http://www.ncbi.nlm.nih.gov/nlmcatalog/9203012" xr:uid="{D0E68815-3403-49C3-B211-2406F6D5C338}"/>
    <hyperlink ref="Y211" r:id="rId245" display="http://www.ncbi.nlm.nih.gov/nlmcatalog/0425746" xr:uid="{43014A9F-E1EA-4432-B303-6C06DAF5F282}"/>
    <hyperlink ref="Y29" r:id="rId246" display="http://www.ncbi.nlm.nih.gov/nlmcatalog/8915031" xr:uid="{CD1D4599-E795-47ED-A3D3-F1AC7D225D77}"/>
    <hyperlink ref="Y110" r:id="rId247" display="http://www.ncbi.nlm.nih.gov/nlmcatalog/9114774" xr:uid="{20C74784-B7AC-4212-A2A6-ED754F9E4C54}"/>
    <hyperlink ref="Y200" r:id="rId248" display="http://www.ncbi.nlm.nih.gov/nlmcatalog/9713490" xr:uid="{5B9B7461-6808-4775-9692-F504E36B4627}"/>
    <hyperlink ref="Y18" r:id="rId249" display="http://www.ncbi.nlm.nih.gov/nlmcatalog/101524122" xr:uid="{D9669AAE-DC01-4792-86E0-D0852773C123}"/>
    <hyperlink ref="Y198" r:id="rId250" display="http://www.ncbi.nlm.nih.gov/nlmcatalog/7511141" xr:uid="{79459A10-2F2A-4C37-B87C-A198E7C70042}"/>
    <hyperlink ref="Y283" r:id="rId251" display="http://www.ncbi.nlm.nih.gov/nlmcatalog/0425746" xr:uid="{D23C8F62-8609-4219-AF43-6CFF6EFA47CC}"/>
    <hyperlink ref="Y126" r:id="rId252" display="http://www.ncbi.nlm.nih.gov/nlmcatalog/101583622" xr:uid="{BE651053-CD9D-4CAA-9A59-4A9973AC09DE}"/>
    <hyperlink ref="Y34" r:id="rId253" display="http://www.ncbi.nlm.nih.gov/nlmcatalog/9713490" xr:uid="{AE318EEA-2DFD-427C-BB6A-EEBE0F659AA1}"/>
    <hyperlink ref="Y115" r:id="rId254" display="http://www.ncbi.nlm.nih.gov/nlmcatalog/101285081" xr:uid="{2B746BE0-0640-445F-98F6-257BCFBBCFE6}"/>
    <hyperlink ref="Y214" r:id="rId255" display="http://www.ncbi.nlm.nih.gov/nlmcatalog/101266132" xr:uid="{FF818EF7-3EA7-47F3-95B8-7C175D99D3DA}"/>
    <hyperlink ref="Y113" r:id="rId256" display="http://www.ncbi.nlm.nih.gov/nlmcatalog/2985248R" xr:uid="{B0A1D637-51B0-4F98-B29F-BBEF091617A2}"/>
    <hyperlink ref="Y202" r:id="rId257" display="http://www.ncbi.nlm.nih.gov/nlmcatalog/101640903" xr:uid="{B10EBE75-DD43-4588-B07F-BBDB10BD8664}"/>
    <hyperlink ref="Y262" r:id="rId258" display="http://www.ncbi.nlm.nih.gov/nlmcatalog/101286760" xr:uid="{73050587-AC73-4D3B-94D0-268F578A90EC}"/>
    <hyperlink ref="Y288" r:id="rId259" display="http://www.ncbi.nlm.nih.gov/nlmcatalog/101243413" xr:uid="{E7323B33-355C-4729-8783-876A1946E1F2}"/>
    <hyperlink ref="Y97" r:id="rId260" display="http://www.ncbi.nlm.nih.gov/nlmcatalog/9100529" xr:uid="{BAAB467B-F1E6-4E22-A13D-744B05467197}"/>
    <hyperlink ref="Y188" r:id="rId261" display="http://www.ncbi.nlm.nih.gov/nlmcatalog/0425746" xr:uid="{7BF540FF-DBE0-4EC7-A3CA-19DF3E1C7A53}"/>
    <hyperlink ref="Y286" r:id="rId262" display="http://www.ncbi.nlm.nih.gov/nlmcatalog/101243413" xr:uid="{D55496C9-45A4-4E1F-89D6-1A2866B27A24}"/>
    <hyperlink ref="Y44" r:id="rId263" display="http://www.ncbi.nlm.nih.gov/nlmcatalog/101525824" xr:uid="{2073C264-7B96-42DE-AFCB-F60331519C82}"/>
    <hyperlink ref="Y130" r:id="rId264" display="http://www.ncbi.nlm.nih.gov/nlmcatalog/9100529" xr:uid="{CA572A21-9389-4AAB-8289-79252F5B624F}"/>
    <hyperlink ref="Y128" r:id="rId265" display="http://www.ncbi.nlm.nih.gov/nlmcatalog/101696896" xr:uid="{48063C31-4CBB-445F-88E6-48B11AFA9911}"/>
    <hyperlink ref="Y216" r:id="rId266" display="http://www.ncbi.nlm.nih.gov/nlmcatalog/8310780" xr:uid="{13750C32-507B-4F52-8377-8290D8ED6CFB}"/>
    <hyperlink ref="Y35" r:id="rId267" display="http://www.ncbi.nlm.nih.gov/nlmcatalog/8310780" xr:uid="{1C0AF805-1072-4204-8712-B8CDD6FAC7AD}"/>
    <hyperlink ref="Y117" r:id="rId268" display="http://www.ncbi.nlm.nih.gov/nlmcatalog/101499225" xr:uid="{B3BC2991-817F-4BDB-A176-DE07EEFCAE5C}"/>
    <hyperlink ref="Y205" r:id="rId269" display="http://www.ncbi.nlm.nih.gov/nlmcatalog/9100529" xr:uid="{0BEE6A52-AFD1-4A07-994D-09AE378CD897}"/>
    <hyperlink ref="Y24" r:id="rId270" display="http://www.ncbi.nlm.nih.gov/nlmcatalog/101524122" xr:uid="{B6222685-5C55-405E-857F-F6831B03B55B}"/>
    <hyperlink ref="Y101" r:id="rId271" display="http://www.ncbi.nlm.nih.gov/nlmcatalog/101647039" xr:uid="{52D947B6-ECB1-4B6F-9FAE-E4E524BF3109}"/>
    <hyperlink ref="Y291" r:id="rId272" display="http://www.ncbi.nlm.nih.gov/nlmcatalog/101243413" xr:uid="{BD5FC40C-3E26-48F1-BD61-985FEE60DC8A}"/>
    <hyperlink ref="Y190" r:id="rId273" display="http://www.ncbi.nlm.nih.gov/nlmcatalog/7806056" xr:uid="{31270CA3-B28F-4883-910B-404355AC403D}"/>
    <hyperlink ref="Y132" r:id="rId274" display="http://www.ncbi.nlm.nih.gov/nlmcatalog/1250250" xr:uid="{E9D2CEEE-9963-4ED2-BC3F-28AD2211F9F2}"/>
    <hyperlink ref="Y36" r:id="rId275" display="http://www.ncbi.nlm.nih.gov/nlmcatalog/101563288" xr:uid="{7F8536CF-1990-46F7-8B62-54993F0967CF}"/>
    <hyperlink ref="Y120" r:id="rId276" display="http://www.ncbi.nlm.nih.gov/nlmcatalog/101499225" xr:uid="{FBA39BF8-5174-4518-A4FD-5C661FC348E2}"/>
    <hyperlink ref="Y219" r:id="rId277" display="http://www.ncbi.nlm.nih.gov/nlmcatalog/101643461" xr:uid="{3B1B0CD3-275F-44F2-ABDD-5A70DDF9FF7B}"/>
    <hyperlink ref="Y119" r:id="rId278" display="http://www.ncbi.nlm.nih.gov/nlmcatalog/9713490" xr:uid="{4242FEAA-F49F-4B96-B426-9D6D33892698}"/>
    <hyperlink ref="Y104" r:id="rId279" display="http://www.ncbi.nlm.nih.gov/nlmcatalog/101478481" xr:uid="{640DC4CE-8BE5-4D50-B2EA-0C070CAF5EA3}"/>
    <hyperlink ref="Y135" r:id="rId280" display="http://www.ncbi.nlm.nih.gov/nlmcatalog/101658402" xr:uid="{94BE7153-8D5F-417F-93FE-06C2E9E98AC6}"/>
    <hyperlink ref="Y40" r:id="rId281" display="http://www.ncbi.nlm.nih.gov/nlmcatalog/9431308" xr:uid="{2F54DE76-883E-4A0C-9540-D886A9465DE9}"/>
    <hyperlink ref="Y134" r:id="rId282" display="http://www.ncbi.nlm.nih.gov/nlmcatalog/9713490" xr:uid="{E1461FEA-518E-4460-85F2-47189344F844}"/>
    <hyperlink ref="Y223" r:id="rId283" display="http://www.ncbi.nlm.nih.gov/nlmcatalog/101300022" xr:uid="{90472C51-0F80-454B-8E7B-C69CEE0A9058}"/>
    <hyperlink ref="Y38" r:id="rId284" display="http://www.ncbi.nlm.nih.gov/nlmcatalog/100965194" xr:uid="{0C9736D8-C610-4EE6-99B1-8AF7484152D6}"/>
    <hyperlink ref="Y209" r:id="rId285" display="http://www.ncbi.nlm.nih.gov/nlmcatalog/1250250" xr:uid="{28876EC1-6A47-4A88-8976-07BC8ABD0048}"/>
    <hyperlink ref="Y51" r:id="rId286" display="http://www.ncbi.nlm.nih.gov/nlmcatalog/8310780" xr:uid="{9A530025-13A6-4A36-A25C-6BE02A471D54}"/>
    <hyperlink ref="Y281" r:id="rId287" display="http://www.ncbi.nlm.nih.gov/nlmcatalog/7806056" xr:uid="{582CDFD2-CACD-4CE8-A8E8-3A2C957689BB}"/>
    <hyperlink ref="Y50" r:id="rId288" display="http://www.ncbi.nlm.nih.gov/nlmcatalog/9713490" xr:uid="{B5C19A74-CD55-4BDD-82FE-9E7129318CA6}"/>
    <hyperlink ref="Y138" r:id="rId289" display="http://www.ncbi.nlm.nih.gov/nlmcatalog/9100529" xr:uid="{B8E7C623-1656-45A4-89DA-AACE07837C9A}"/>
    <hyperlink ref="Y227" r:id="rId290" display="http://www.ncbi.nlm.nih.gov/nlmcatalog/101249582" xr:uid="{8FEDC1CE-C460-44CB-AE1A-630FD0AFF42B}"/>
    <hyperlink ref="Y42" r:id="rId291" display="http://www.ncbi.nlm.nih.gov/nlmcatalog/9891704" xr:uid="{8C3AB4FA-1F9C-4033-A5BB-8E0B47C7952D}"/>
    <hyperlink ref="Y226" r:id="rId292" display="http://www.ncbi.nlm.nih.gov/nlmcatalog/101316452" xr:uid="{5FAF8AE7-E415-4683-BC06-0303D7041B62}"/>
    <hyperlink ref="Y32" r:id="rId293" display="http://www.ncbi.nlm.nih.gov/nlmcatalog/101285081" xr:uid="{DB88B3F7-354E-4DC4-B5BA-D0C1B1A4F7F8}"/>
    <hyperlink ref="Y212" r:id="rId294" display="http://www.ncbi.nlm.nih.gov/nlmcatalog/0425746" xr:uid="{503CF420-1492-4E22-9BF4-97F4261B6734}"/>
    <hyperlink ref="Y111" r:id="rId295" display="http://www.ncbi.nlm.nih.gov/nlmcatalog/9100529" xr:uid="{0EAA7C67-215C-4DE4-86D4-1C04438A747B}"/>
    <hyperlink ref="Y201" r:id="rId296" display="http://www.ncbi.nlm.nih.gov/nlmcatalog/9711057" xr:uid="{3F6D5AFB-5CFC-4A1D-B860-9F5BBB9265C0}"/>
    <hyperlink ref="Y54" r:id="rId297" display="http://www.ncbi.nlm.nih.gov/nlmcatalog/9713490" xr:uid="{9A30C963-0503-485B-8C52-79BB02369867}"/>
    <hyperlink ref="Y284" r:id="rId298" display="http://www.ncbi.nlm.nih.gov/nlmcatalog/0425746" xr:uid="{E7D263A2-D560-423F-A665-A3A411F972EA}"/>
    <hyperlink ref="Y43" r:id="rId299" display="http://www.ncbi.nlm.nih.gov/nlmcatalog/8506513" xr:uid="{82BBDBF7-B947-4181-A34A-21CAB0339DE4}"/>
    <hyperlink ref="Y140" r:id="rId300" display="http://www.ncbi.nlm.nih.gov/nlmcatalog/101238455" xr:uid="{F0CAEABF-9B2F-44FF-A07F-B946B36F64C6}"/>
    <hyperlink ref="Y230" r:id="rId301" display="http://www.ncbi.nlm.nih.gov/nlmcatalog/101204366" xr:uid="{0C9CBB64-0389-4BE0-8A25-FA80DB936AD9}"/>
    <hyperlink ref="Y127" r:id="rId302" display="http://www.ncbi.nlm.nih.gov/nlmcatalog/9114774" xr:uid="{891FBAE3-8A12-46A7-A0D8-75C0BE74FD7D}"/>
    <hyperlink ref="Y275" r:id="rId303" display="http://www.ncbi.nlm.nih.gov/nlmcatalog/101286760" xr:uid="{4BA1F3AC-4BBF-47CC-BBEF-746B29EA3C08}"/>
    <hyperlink ref="Y59" r:id="rId304" display="http://www.ncbi.nlm.nih.gov/nlmcatalog/101731738" xr:uid="{66BF5780-8625-4B74-9DC2-B06A1AD1675C}"/>
    <hyperlink ref="Y289" r:id="rId305" display="http://www.ncbi.nlm.nih.gov/nlmcatalog/101243413" xr:uid="{2DB76FA8-672B-4744-87AE-B8DD522323D4}"/>
    <hyperlink ref="Y57" r:id="rId306" display="http://www.ncbi.nlm.nih.gov/nlmcatalog/0425746" xr:uid="{C3453EE5-1D51-4846-BCD5-6259F38A6CCD}"/>
    <hyperlink ref="Y144" r:id="rId307" display="http://www.ncbi.nlm.nih.gov/nlmcatalog/0050452" xr:uid="{C2599293-7159-40DD-ACDD-0EB28084A9DE}"/>
    <hyperlink ref="Y234" r:id="rId308" display="http://www.ncbi.nlm.nih.gov/nlmcatalog/101190326" xr:uid="{B5A675AD-8B03-4098-AD12-943AAEA79C0C}"/>
    <hyperlink ref="Y45" r:id="rId309" display="http://www.ncbi.nlm.nih.gov/nlmcatalog/8506513" xr:uid="{FEE4E3C7-747C-4737-984B-F21266A64838}"/>
    <hyperlink ref="Y124" r:id="rId310" display="http://www.ncbi.nlm.nih.gov/nlmcatalog/0401220" xr:uid="{AD55F1FE-1DD5-4644-9E1C-34ADE9D18959}"/>
    <hyperlink ref="Y232" r:id="rId311" display="http://www.ncbi.nlm.nih.gov/nlmcatalog/8205248" xr:uid="{ED2CA4E1-4FEF-4759-AA83-AFA6E9274906}"/>
    <hyperlink ref="Y129" r:id="rId312" display="http://www.ncbi.nlm.nih.gov/nlmcatalog/101696896" xr:uid="{A4DE95EF-05A7-48AB-8BFD-D130EA1F9F2C}"/>
    <hyperlink ref="Y217" r:id="rId313" display="http://www.ncbi.nlm.nih.gov/nlmcatalog/101647039" xr:uid="{F280F64F-7F78-4986-B8BD-A191D3FF3A8A}"/>
    <hyperlink ref="Y118" r:id="rId314" display="http://www.ncbi.nlm.nih.gov/nlmcatalog/101540630" xr:uid="{78C2AA15-68E5-4843-ABAE-AA0B938C5846}"/>
    <hyperlink ref="Y206" r:id="rId315" display="http://www.ncbi.nlm.nih.gov/nlmcatalog/0425746" xr:uid="{127303E0-DB33-4DA9-8482-2780AA4C5083}"/>
    <hyperlink ref="Y62" r:id="rId316" display="http://www.ncbi.nlm.nih.gov/nlmcatalog/8214883" xr:uid="{B74B5050-E5B8-4A73-BADA-3256FF8C3142}"/>
    <hyperlink ref="Y292" r:id="rId317" display="http://www.ncbi.nlm.nih.gov/nlmcatalog/101243413" xr:uid="{6A00D4C5-C071-412C-885E-F4795D78508A}"/>
    <hyperlink ref="Y47" r:id="rId318" display="http://www.ncbi.nlm.nih.gov/nlmcatalog/101499225" xr:uid="{152D0347-D411-4C3C-989D-11582D86D159}"/>
    <hyperlink ref="Y146" r:id="rId319" display="http://www.ncbi.nlm.nih.gov/nlmcatalog/101499225" xr:uid="{58A975B2-12E0-4778-A848-C268EAC4F847}"/>
    <hyperlink ref="Y221" r:id="rId320" display="http://www.ncbi.nlm.nih.gov/nlmcatalog/101238455" xr:uid="{87EDDF7B-108B-4892-A08D-9C87791A408C}"/>
    <hyperlink ref="Y121" r:id="rId321" display="http://www.ncbi.nlm.nih.gov/nlmcatalog/101528166" xr:uid="{D343C048-5B14-4703-BC08-C614A6F14FA7}"/>
    <hyperlink ref="Y220" r:id="rId322" display="http://www.ncbi.nlm.nih.gov/nlmcatalog/101552395" xr:uid="{B91E07E2-7BFA-481A-87DB-D751A19DF677}"/>
    <hyperlink ref="Y64" r:id="rId323" display="http://www.ncbi.nlm.nih.gov/nlmcatalog/101279357" xr:uid="{7D78ABB5-EA1C-4725-A825-90C7D313B91D}"/>
    <hyperlink ref="Y207" r:id="rId324" display="http://www.ncbi.nlm.nih.gov/nlmcatalog/0425746" xr:uid="{703C54B1-21E8-49E9-B413-FAC87ECCD1CE}"/>
    <hyperlink ref="Y149" r:id="rId325" display="http://www.ncbi.nlm.nih.gov/nlmcatalog/8106411" xr:uid="{BAA121EF-54C5-4F22-8CCC-77F21ABA66C7}"/>
    <hyperlink ref="Y48" r:id="rId326" display="http://www.ncbi.nlm.nih.gov/nlmcatalog/0425746" xr:uid="{B1810AD5-C12A-45DC-B654-81D287BBFE69}"/>
    <hyperlink ref="Y136" r:id="rId327" display="http://www.ncbi.nlm.nih.gov/nlmcatalog/8805018" xr:uid="{90F81D02-D742-420B-A3BD-DA6162423CD7}"/>
    <hyperlink ref="Y238" r:id="rId328" display="http://www.ncbi.nlm.nih.gov/nlmcatalog/100886455" xr:uid="{DDF7519B-8219-4CD1-A451-762C3D339632}"/>
    <hyperlink ref="Y173" r:id="rId329" display="http://www.ncbi.nlm.nih.gov/nlmcatalog/101204366" xr:uid="{7C11F471-4497-4389-98B0-AB8420F51FC6}"/>
    <hyperlink ref="Y224" r:id="rId330" display="http://www.ncbi.nlm.nih.gov/nlmcatalog/8506513" xr:uid="{85665F49-19EE-443E-9448-95EF4A4FC95E}"/>
    <hyperlink ref="Y210" r:id="rId331" display="http://www.ncbi.nlm.nih.gov/nlmcatalog/0153611" xr:uid="{7CC96055-455E-48BA-9675-FDCF438F63D9}"/>
    <hyperlink ref="Y65" r:id="rId332" display="http://www.ncbi.nlm.nih.gov/nlmcatalog/101140988" xr:uid="{6D88F112-A419-4539-A76F-E9CC5315D125}"/>
    <hyperlink ref="Y153" r:id="rId333" display="http://www.ncbi.nlm.nih.gov/nlmcatalog/101238922" xr:uid="{7120067B-F8E8-4EB6-9F0A-757B31F01F6C}"/>
    <hyperlink ref="Y61" r:id="rId334" display="http://www.ncbi.nlm.nih.gov/nlmcatalog/9713490" xr:uid="{A0257563-3597-4664-8794-3E232793B2DE}"/>
    <hyperlink ref="Y52" r:id="rId335" display="http://www.ncbi.nlm.nih.gov/nlmcatalog/1250250" xr:uid="{446FA85E-00D7-42BE-8DF7-BE2BAC35F4FD}"/>
    <hyperlink ref="Y152" r:id="rId336" display="http://www.ncbi.nlm.nih.gov/nlmcatalog/100964009" xr:uid="{D18C52AA-1F26-4736-B6CC-003EAD1AB6A0}"/>
    <hyperlink ref="Y139" r:id="rId337" display="http://www.ncbi.nlm.nih.gov/nlmcatalog/9426153" xr:uid="{4F78EBF9-6895-444E-AB1E-3C8B979DBEAC}"/>
    <hyperlink ref="Y228" r:id="rId338" display="http://www.ncbi.nlm.nih.gov/nlmcatalog/8310780" xr:uid="{F4A623E4-24F0-4597-9496-86B8DC0E7C72}"/>
    <hyperlink ref="Y125" r:id="rId339" display="http://www.ncbi.nlm.nih.gov/nlmcatalog/8908934" xr:uid="{C78572EC-306C-4746-AD04-33E69F898091}"/>
    <hyperlink ref="Y213" r:id="rId340" display="http://www.ncbi.nlm.nih.gov/nlmcatalog/101563288" xr:uid="{2D6CDB6B-D65B-4141-9B16-01DCDA9AD053}"/>
    <hyperlink ref="Y67" r:id="rId341" display="http://www.ncbi.nlm.nih.gov/nlmcatalog/101539486" xr:uid="{C0484D09-DBB7-4594-9DC3-C0BE0921FB25}"/>
    <hyperlink ref="Y154" r:id="rId342" display="http://www.ncbi.nlm.nih.gov/nlmcatalog/0425746" xr:uid="{8A0C82F9-FFBC-4547-909C-BE87857FE28A}"/>
    <hyperlink ref="Y55" r:id="rId343" display="http://www.ncbi.nlm.nih.gov/nlmcatalog/101729235" xr:uid="{9C419F16-9055-440C-BD94-BEF3F8C1B11D}"/>
    <hyperlink ref="Y142" r:id="rId344" display="http://www.ncbi.nlm.nih.gov/nlmcatalog/101563288" xr:uid="{739FD01A-C79F-42A9-A4BF-43BCF43C2E95}"/>
    <hyperlink ref="Y242" r:id="rId345" display="http://www.ncbi.nlm.nih.gov/nlmcatalog/101215604" xr:uid="{C0868912-6DC1-45B2-97A8-D7F30F16140D}"/>
    <hyperlink ref="Y141" r:id="rId346" display="http://www.ncbi.nlm.nih.gov/nlmcatalog/9100529" xr:uid="{629EB25E-43EE-490B-9E9F-A65E5D56411F}"/>
    <hyperlink ref="Y215" r:id="rId347" display="http://www.ncbi.nlm.nih.gov/nlmcatalog/101231360" xr:uid="{C55A674B-C126-4A01-9666-EAC8F54323F6}"/>
    <hyperlink ref="Y71" r:id="rId348" display="http://www.ncbi.nlm.nih.gov/nlmcatalog/8214883" xr:uid="{FF7E58C5-6612-4B7B-B74D-9E6578229D81}"/>
    <hyperlink ref="Y159" r:id="rId349" display="http://www.ncbi.nlm.nih.gov/nlmcatalog/101249582" xr:uid="{AE119648-6D2A-4E0D-96C6-B4BCEBA0E63E}"/>
    <hyperlink ref="Y60" r:id="rId350" display="http://www.ncbi.nlm.nih.gov/nlmcatalog/101731738" xr:uid="{F19CB96F-1AA3-4F6F-855B-66BD484B1950}"/>
    <hyperlink ref="Y157" r:id="rId351" display="http://www.ncbi.nlm.nih.gov/nlmcatalog/101204366" xr:uid="{C9D58F4D-D167-4CAB-8CAE-AEF10C8BB594}"/>
    <hyperlink ref="Y244" r:id="rId352" display="http://www.ncbi.nlm.nih.gov/nlmcatalog/0401220" xr:uid="{E6509934-F8CB-4316-8697-758F06BC9007}"/>
    <hyperlink ref="Y58" r:id="rId353" display="http://www.ncbi.nlm.nih.gov/nlmcatalog/101528555" xr:uid="{3E65F2EA-6958-41AE-8E92-B86814EF846A}"/>
    <hyperlink ref="Y235" r:id="rId354" display="http://www.ncbi.nlm.nih.gov/nlmcatalog/101647039" xr:uid="{69663100-8A31-43E3-A265-E40B446FE007}"/>
    <hyperlink ref="Y46" r:id="rId355" display="http://www.ncbi.nlm.nih.gov/nlmcatalog/101634502" xr:uid="{DFD56ED9-298A-43B4-968E-5CBE32C9B3EC}"/>
    <hyperlink ref="Y131" r:id="rId356" display="http://www.ncbi.nlm.nih.gov/nlmcatalog/9502500" xr:uid="{D75A6316-6369-4F08-B843-08273955D617}"/>
    <hyperlink ref="Y233" r:id="rId357" display="http://www.ncbi.nlm.nih.gov/nlmcatalog/7902060" xr:uid="{31D6A387-866D-476D-9130-87C7DF097512}"/>
    <hyperlink ref="Y218" r:id="rId358" display="http://www.ncbi.nlm.nih.gov/nlmcatalog/101147518" xr:uid="{1C8FAF92-C258-470F-89B2-9A878A1A58DD}"/>
    <hyperlink ref="Y74" r:id="rId359" display="http://www.ncbi.nlm.nih.gov/nlmcatalog/9713490" xr:uid="{8C92195E-9F94-4B7B-97DE-86C877B72D94}"/>
    <hyperlink ref="Y161" r:id="rId360" display="http://www.ncbi.nlm.nih.gov/nlmcatalog/8506513" xr:uid="{F08A1A7D-7780-435C-BC0B-9499A35A2FF8}"/>
    <hyperlink ref="Y248" r:id="rId361" display="http://www.ncbi.nlm.nih.gov/nlmcatalog/101563288" xr:uid="{27A16851-A122-47D1-89A6-080D26AE2F17}"/>
    <hyperlink ref="Y147" r:id="rId362" display="http://www.ncbi.nlm.nih.gov/nlmcatalog/0425746" xr:uid="{018F276A-B8B4-4212-9438-EA3B6720FA91}"/>
    <hyperlink ref="Y247" r:id="rId363" display="http://www.ncbi.nlm.nih.gov/nlmcatalog/0401220" xr:uid="{C30FAA76-C64D-4853-8B73-A75B5FEA9506}"/>
    <hyperlink ref="Y237" r:id="rId364" display="http://www.ncbi.nlm.nih.gov/nlmcatalog/0425746" xr:uid="{0E4AF7D7-9A71-4468-8729-F644BC6A9EE1}"/>
    <hyperlink ref="Y133" r:id="rId365" display="http://www.ncbi.nlm.nih.gov/nlmcatalog/1250250" xr:uid="{325447E5-9F97-4CD6-94A1-E27AAF9D1CE8}"/>
    <hyperlink ref="Y222" r:id="rId366" display="http://www.ncbi.nlm.nih.gov/nlmcatalog/101238922" xr:uid="{3F9DDD83-FB32-4AF1-8900-57DDAF77D229}"/>
    <hyperlink ref="Y78" r:id="rId367" display="http://www.ncbi.nlm.nih.gov/nlmcatalog/101140941" xr:uid="{C07B43F0-C8F4-4490-916C-F788FC4CDDB8}"/>
    <hyperlink ref="Y165" r:id="rId368" display="http://www.ncbi.nlm.nih.gov/nlmcatalog/8806104" xr:uid="{DF11DC7D-5374-413E-98CF-1824EE6E11D8}"/>
    <hyperlink ref="Y250" r:id="rId369" display="http://www.ncbi.nlm.nih.gov/nlmcatalog/8505245" xr:uid="{D55ED141-AFE7-40BA-ACA3-7BF2FD2A3E78}"/>
    <hyperlink ref="Y63" r:id="rId370" display="http://www.ncbi.nlm.nih.gov/nlmcatalog/101606588" xr:uid="{3CB8DF0C-8A72-48FF-8CF8-4A39B1BDE9FA}"/>
    <hyperlink ref="Y150" r:id="rId371" display="http://www.ncbi.nlm.nih.gov/nlmcatalog/8214883" xr:uid="{F056DE2E-BB65-4D65-A1A9-1E0F070943FC}"/>
    <hyperlink ref="Y49" r:id="rId372" display="http://www.ncbi.nlm.nih.gov/nlmcatalog/101153368" xr:uid="{D6E5ECAD-D3FF-42BC-AC89-BF034A6E8B62}"/>
    <hyperlink ref="Y137" r:id="rId373" display="http://www.ncbi.nlm.nih.gov/nlmcatalog/2985248R" xr:uid="{C1334A18-FA39-40EF-B5D2-27A5CAB3F174}"/>
    <hyperlink ref="Y239" r:id="rId374" display="http://www.ncbi.nlm.nih.gov/nlmcatalog/9713490" xr:uid="{B4466453-E9F2-4057-923F-1C54390F88C6}"/>
    <hyperlink ref="Y94" r:id="rId375" display="http://www.ncbi.nlm.nih.gov/nlmcatalog/9314590" xr:uid="{B0A3599D-8223-41B3-9EBE-FAF375AF9C94}"/>
    <hyperlink ref="Y82" r:id="rId376" display="http://www.ncbi.nlm.nih.gov/nlmcatalog/101285081" xr:uid="{5CBD97E5-D8F8-4F3D-93E0-C205DCE2A1D7}"/>
    <hyperlink ref="Y225" r:id="rId377" display="http://www.ncbi.nlm.nih.gov/nlmcatalog/101633495" xr:uid="{642E9A77-0FE5-41F1-A1E7-5F3537C526E9}"/>
    <hyperlink ref="Y81" r:id="rId378" display="http://www.ncbi.nlm.nih.gov/nlmcatalog/101748394" xr:uid="{DA40C8CC-EC83-4049-A8AA-852D3FBC802E}"/>
    <hyperlink ref="Y168" r:id="rId379" display="http://www.ncbi.nlm.nih.gov/nlmcatalog/101490689" xr:uid="{27252851-EE6C-4B3B-A7BA-504C719FB714}"/>
    <hyperlink ref="Y66" r:id="rId380" display="http://www.ncbi.nlm.nih.gov/nlmcatalog/8506513" xr:uid="{0629C7D4-AF64-4155-8B1B-BA2906F8BBAB}"/>
    <hyperlink ref="Y252" r:id="rId381" display="http://www.ncbi.nlm.nih.gov/nlmcatalog/9713490" xr:uid="{965AB69A-2000-4C1E-9074-FDEDBFC89E8E}"/>
    <hyperlink ref="Y241" r:id="rId382" display="http://www.ncbi.nlm.nih.gov/nlmcatalog/101604520" xr:uid="{28E62224-CDBA-4415-BDED-7924B8F65055}"/>
    <hyperlink ref="Y229" r:id="rId383" display="http://www.ncbi.nlm.nih.gov/nlmcatalog/101170544" xr:uid="{E2105A12-CABF-471F-961A-B074118552BE}"/>
    <hyperlink ref="Y83" r:id="rId384" display="http://www.ncbi.nlm.nih.gov/nlmcatalog/8506513" xr:uid="{1CE58F6D-0800-44A4-A810-F28A9ED65BD0}"/>
    <hyperlink ref="Y171" r:id="rId385" display="http://www.ncbi.nlm.nih.gov/nlmcatalog/101249582" xr:uid="{C7874E7D-19B8-436D-B273-06CE5107E503}"/>
    <hyperlink ref="Y69" r:id="rId386" display="http://www.ncbi.nlm.nih.gov/nlmcatalog/7806056" xr:uid="{9F37A269-0CC2-479B-BA76-55F835ADA2C7}"/>
    <hyperlink ref="Y255" r:id="rId387" display="http://www.ncbi.nlm.nih.gov/nlmcatalog/0425746" xr:uid="{82E47054-73D6-4872-B727-1D949C604DCF}"/>
    <hyperlink ref="Y68" r:id="rId388" display="http://www.ncbi.nlm.nih.gov/nlmcatalog/101137683" xr:uid="{5992BD8C-92BC-41E2-924C-99CBE38DCF64}"/>
    <hyperlink ref="Y155" r:id="rId389" display="http://www.ncbi.nlm.nih.gov/nlmcatalog/101499225" xr:uid="{6227885D-7C62-4395-B09F-00E381DFD79B}"/>
    <hyperlink ref="Y56" r:id="rId390" display="http://www.ncbi.nlm.nih.gov/nlmcatalog/101088682" xr:uid="{13C77DC7-BEE3-488B-B8C8-4DAC261E87C9}"/>
    <hyperlink ref="Y143" r:id="rId391" display="http://www.ncbi.nlm.nih.gov/nlmcatalog/0214745" xr:uid="{E1C8C3CB-6777-41B0-84C9-2825143FD924}"/>
    <hyperlink ref="Y22" r:id="rId392" display="http://www.ncbi.nlm.nih.gov/nlmcatalog/8506513" xr:uid="{02D853D7-4906-431B-9054-8FBE7413A92A}"/>
    <hyperlink ref="Y231" r:id="rId393" display="http://www.ncbi.nlm.nih.gov/nlmcatalog/8411723" xr:uid="{2748DE58-7F40-4A0F-B7E8-3506556ABE19}"/>
    <hyperlink ref="Y85" r:id="rId394" display="http://www.ncbi.nlm.nih.gov/nlmcatalog/9100529" xr:uid="{CCE685BC-3C5B-4AE6-B155-38D6C096DD02}"/>
    <hyperlink ref="Y174" r:id="rId395" display="http://www.ncbi.nlm.nih.gov/nlmcatalog/0425746" xr:uid="{40F16983-835D-4F4B-AD5E-F671CB342833}"/>
    <hyperlink ref="Y260" r:id="rId396" display="http://www.ncbi.nlm.nih.gov/nlmcatalog/101477957" xr:uid="{6CCF03E8-E5D2-4104-BA86-A3D994A68476}"/>
    <hyperlink ref="Y72" r:id="rId397" display="http://www.ncbi.nlm.nih.gov/nlmcatalog/101749001" xr:uid="{056C5E20-D4F4-40F1-A5C5-8EB65D4DAC02}"/>
    <hyperlink ref="Y160" r:id="rId398" display="http://www.ncbi.nlm.nih.gov/nlmcatalog/101499225" xr:uid="{678D2601-7806-4F76-B8FF-3AF4D60807CC}"/>
    <hyperlink ref="Y258" r:id="rId399" display="http://www.ncbi.nlm.nih.gov/nlmcatalog/8511187" xr:uid="{3FC36E3E-6738-4EAC-A1CD-92C444B71F4C}"/>
    <hyperlink ref="Y158" r:id="rId400" display="http://www.ncbi.nlm.nih.gov/nlmcatalog/8310780" xr:uid="{E21C31FA-F1DA-40DE-9A2D-1C7C75B6DFE3}"/>
    <hyperlink ref="Y245" r:id="rId401" display="http://www.ncbi.nlm.nih.gov/nlmcatalog/0401220" xr:uid="{F8DDC8CC-C08B-4F89-88E0-C96E73919B4C}"/>
    <hyperlink ref="Y145" r:id="rId402" display="http://www.ncbi.nlm.nih.gov/nlmcatalog/101277751" xr:uid="{4D7D8798-974E-4B94-A473-09B531F0CB1A}"/>
    <hyperlink ref="Y236" r:id="rId403" display="http://www.ncbi.nlm.nih.gov/nlmcatalog/0425746" xr:uid="{8F3DFAF5-60F4-419D-8B60-7FBBC2B28883}"/>
    <hyperlink ref="Y178" r:id="rId404" display="http://www.ncbi.nlm.nih.gov/nlmcatalog/9713490" xr:uid="{C894C35C-6974-4673-B8AC-7DE5F7807E4B}"/>
    <hyperlink ref="Y76" r:id="rId405" display="http://www.ncbi.nlm.nih.gov/nlmcatalog/101172931" xr:uid="{BAD6FA32-7BB9-419A-A3E9-3F9698783CFB}"/>
    <hyperlink ref="Y176" r:id="rId406" display="http://www.ncbi.nlm.nih.gov/nlmcatalog/101279357" xr:uid="{947EA354-F9BE-4C2F-BAD3-9E4EA80590F9}"/>
    <hyperlink ref="Y75" r:id="rId407" display="http://www.ncbi.nlm.nih.gov/nlmcatalog/9713490" xr:uid="{7B39685C-0DD4-481D-BE0B-16A36854A437}"/>
    <hyperlink ref="Y162" r:id="rId408" display="http://www.ncbi.nlm.nih.gov/nlmcatalog/7806056" xr:uid="{E269F053-098B-4B82-A99A-E6B20472C080}"/>
    <hyperlink ref="Y148" r:id="rId409" display="http://www.ncbi.nlm.nih.gov/nlmcatalog/0425746" xr:uid="{389103E0-F12C-4F7A-8392-5325C803D344}"/>
    <hyperlink ref="Y181" r:id="rId410" display="http://www.ncbi.nlm.nih.gov/nlmcatalog/101499225" xr:uid="{5CCB78A7-7D97-4900-8890-B10A5EF3BE97}"/>
    <hyperlink ref="Y266" r:id="rId411" display="http://www.ncbi.nlm.nih.gov/nlmcatalog/101490689" xr:uid="{1E590518-7C2A-4298-9726-75B554F16F73}"/>
    <hyperlink ref="Y79" r:id="rId412" display="http://www.ncbi.nlm.nih.gov/nlmcatalog/8806104" xr:uid="{2127EEF2-3F3B-432B-A235-2A2AE0D94482}"/>
    <hyperlink ref="Y166" r:id="rId413" display="http://www.ncbi.nlm.nih.gov/nlmcatalog/0425746" xr:uid="{7251E9CB-3C2D-4B75-A6B8-7B3944D7D817}"/>
    <hyperlink ref="Y265" r:id="rId414" display="http://www.ncbi.nlm.nih.gov/nlmcatalog/101231360" xr:uid="{C533C93B-4ECA-4963-A6A7-F788F5AF5BE2}"/>
    <hyperlink ref="Y164" r:id="rId415" display="http://www.ncbi.nlm.nih.gov/nlmcatalog/101249582" xr:uid="{A8013E0D-4623-471C-B518-18E92654C29B}"/>
    <hyperlink ref="Y151" r:id="rId416" display="http://www.ncbi.nlm.nih.gov/nlmcatalog/101568499" xr:uid="{A030088E-1BC4-434E-9856-4E381D6A2DBE}"/>
    <hyperlink ref="Y240" r:id="rId417" display="http://www.ncbi.nlm.nih.gov/nlmcatalog/8003708" xr:uid="{C116581D-4B16-4D14-887F-8501ABD114BB}"/>
    <hyperlink ref="Y184" r:id="rId418" display="http://www.ncbi.nlm.nih.gov/nlmcatalog/101285081" xr:uid="{7F35EDB0-F60F-4ABD-83C8-16AB67CD5A20}"/>
    <hyperlink ref="Y268" r:id="rId419" display="http://www.ncbi.nlm.nih.gov/nlmcatalog/101499225" xr:uid="{EAF30615-2A15-4FD5-8709-94300643835D}"/>
    <hyperlink ref="Y169" r:id="rId420" display="http://www.ncbi.nlm.nih.gov/nlmcatalog/0425746" xr:uid="{9A80FA18-B863-4B5C-8EAF-662D168F7629}"/>
    <hyperlink ref="Y253" r:id="rId421" display="http://www.ncbi.nlm.nih.gov/nlmcatalog/8800805" xr:uid="{769827D3-C1E6-4BF4-83E2-5351531AF090}"/>
    <hyperlink ref="Y273" r:id="rId422" display="http://www.ncbi.nlm.nih.gov/nlmcatalog/101215604" xr:uid="{2E69B5CA-7B58-43F9-9184-CD6AF714BF5F}"/>
    <hyperlink ref="Y172" r:id="rId423" display="http://www.ncbi.nlm.nih.gov/nlmcatalog/101478481" xr:uid="{60216653-8613-4BCC-9F6C-62BB171A508D}"/>
    <hyperlink ref="Y271" r:id="rId424" display="http://www.ncbi.nlm.nih.gov/nlmcatalog/101231360" xr:uid="{7F5E1CF9-B1DA-4FC0-AC6E-797A9F911162}"/>
    <hyperlink ref="Y70" r:id="rId425" display="http://www.ncbi.nlm.nih.gov/nlmcatalog/0374630" xr:uid="{74CA574B-A8DB-4711-9035-80D0901188EB}"/>
    <hyperlink ref="Y256" r:id="rId426" display="http://www.ncbi.nlm.nih.gov/nlmcatalog/9885960" xr:uid="{D588CE52-62AD-4173-909C-2FCE823176EB}"/>
    <hyperlink ref="Y156" r:id="rId427" display="http://www.ncbi.nlm.nih.gov/nlmcatalog/9215515" xr:uid="{F5C2F578-E627-443D-9747-D8E81BA06CF1}"/>
    <hyperlink ref="Y243" r:id="rId428" display="http://www.ncbi.nlm.nih.gov/nlmcatalog/0425746" xr:uid="{43F4B646-3D3D-49CA-B412-7BDE01A2E143}"/>
    <hyperlink ref="Y276" r:id="rId429" display="http://www.ncbi.nlm.nih.gov/nlmcatalog/0410553" xr:uid="{C1D8F19E-EC68-45FF-876C-505518C50F90}"/>
    <hyperlink ref="Y86" r:id="rId430" display="http://www.ncbi.nlm.nih.gov/nlmcatalog/100965194" xr:uid="{558999AE-1BDD-47C6-BDB7-9E2CBCA2BC52}"/>
    <hyperlink ref="Y175" r:id="rId431" display="http://www.ncbi.nlm.nih.gov/nlmcatalog/101499225" xr:uid="{9EAC2B99-099A-4BF2-BF95-39D17178DFF3}"/>
    <hyperlink ref="Y261" r:id="rId432" display="http://www.ncbi.nlm.nih.gov/nlmcatalog/0401220" xr:uid="{62CEDB06-9B63-4E0A-8A92-492DF8244932}"/>
    <hyperlink ref="Y73" r:id="rId433" display="http://www.ncbi.nlm.nih.gov/nlmcatalog/0425746" xr:uid="{7F439810-A64E-46AB-BA82-8B897CCE60C3}"/>
    <hyperlink ref="Y259" r:id="rId434" display="http://www.ncbi.nlm.nih.gov/nlmcatalog/101600173" xr:uid="{F8594C60-4622-4E12-9417-D85FFC5E4D7F}"/>
    <hyperlink ref="Y246" r:id="rId435" display="http://www.ncbi.nlm.nih.gov/nlmcatalog/0401220" xr:uid="{7A760290-A739-4B74-8A05-E2E0949E879A}"/>
    <hyperlink ref="Y87" r:id="rId436" display="http://www.ncbi.nlm.nih.gov/nlmcatalog/0373125" xr:uid="{A2B6A982-8C88-42EE-B86A-847B2B0A11CD}"/>
    <hyperlink ref="Y179" r:id="rId437" display="http://www.ncbi.nlm.nih.gov/nlmcatalog/101729235" xr:uid="{FD69656D-3A2E-40A2-B246-4B01A2B577E8}"/>
    <hyperlink ref="Y277" r:id="rId438" display="http://www.ncbi.nlm.nih.gov/nlmcatalog/9310752" xr:uid="{73DD008B-E8FA-4E1A-8B6B-CAE79A820C21}"/>
    <hyperlink ref="Y77" r:id="rId439" display="http://www.ncbi.nlm.nih.gov/nlmcatalog/9000080" xr:uid="{4F861429-1CC0-4662-978C-14EEB1E11D92}"/>
    <hyperlink ref="Y177" r:id="rId440" display="http://www.ncbi.nlm.nih.gov/nlmcatalog/101089176" xr:uid="{882A4D45-ECED-4043-9CBE-9F26DC665E64}"/>
    <hyperlink ref="Y263" r:id="rId441" display="http://www.ncbi.nlm.nih.gov/nlmcatalog/100968553" xr:uid="{CE2C1433-CACF-4758-A4C5-CC003C596A9B}"/>
    <hyperlink ref="Y163" r:id="rId442" display="http://www.ncbi.nlm.nih.gov/nlmcatalog/9215515" xr:uid="{20B6810A-D389-463A-B4D7-5242A9C4EF6B}"/>
    <hyperlink ref="Y249" r:id="rId443" display="http://www.ncbi.nlm.nih.gov/nlmcatalog/0425746" xr:uid="{84B3D9EF-0759-4DC4-B57D-1C710A6A4127}"/>
    <hyperlink ref="Y182" r:id="rId444" display="http://www.ncbi.nlm.nih.gov/nlmcatalog/8310780" xr:uid="{A17EEA97-674A-48BA-B386-19A2F901A53D}"/>
    <hyperlink ref="Y267" r:id="rId445" display="http://www.ncbi.nlm.nih.gov/nlmcatalog/101576782" xr:uid="{9EB7F5FC-A79D-48B3-85FD-CD0DC8F5DF6D}"/>
    <hyperlink ref="Y80" r:id="rId446" display="http://www.ncbi.nlm.nih.gov/nlmcatalog/8214883" xr:uid="{D538C5F9-0ABB-490E-A70B-D36510F714BA}"/>
    <hyperlink ref="Y167" r:id="rId447" display="http://www.ncbi.nlm.nih.gov/nlmcatalog/101499225" xr:uid="{151BD6A7-3476-472D-882D-3596035E02DF}"/>
    <hyperlink ref="Y251" r:id="rId448" display="http://www.ncbi.nlm.nih.gov/nlmcatalog/101604520" xr:uid="{788DC4C1-FF15-470D-8FEF-A000F222DDF6}"/>
    <hyperlink ref="Y92" r:id="rId449" display="http://www.ncbi.nlm.nih.gov/nlmcatalog/101137103" xr:uid="{4241CC8E-08AB-4A1E-8D0A-4E5A0A1CEF59}"/>
    <hyperlink ref="Y91" r:id="rId450" display="http://www.ncbi.nlm.nih.gov/nlmcatalog/8310780" xr:uid="{9BA91FCF-B211-4429-87D6-2F462F548291}"/>
    <hyperlink ref="Y185" r:id="rId451" display="http://www.ncbi.nlm.nih.gov/nlmcatalog/8310780" xr:uid="{6EAFE3E5-D7AE-4603-AD38-A1DD60E899F9}"/>
    <hyperlink ref="Y269" r:id="rId452" display="http://www.ncbi.nlm.nih.gov/nlmcatalog/101147518" xr:uid="{08DA6181-2885-45E1-89DC-1A8EF08BD798}"/>
    <hyperlink ref="Y170" r:id="rId453" display="http://www.ncbi.nlm.nih.gov/nlmcatalog/101215604" xr:uid="{A05B0C8D-2D05-4402-88C1-ACC35EE8CAD0}"/>
    <hyperlink ref="Y254" r:id="rId454" display="http://www.ncbi.nlm.nih.gov/nlmcatalog/0425746" xr:uid="{45464773-3C0A-4BD9-81FA-9E3AD47B2808}"/>
    <hyperlink ref="Y20" r:id="rId455" display="http://www.ncbi.nlm.nih.gov/nlmcatalog/100957246" xr:uid="{6D515893-4A0F-4220-B0A0-B84E2B807C2F}"/>
    <hyperlink ref="Y631" r:id="rId456" display="http://www.ncbi.nlm.nih.gov/nlmcatalog/9713490" xr:uid="{BC9170EF-0915-4C1E-A4C3-FA5E1277B4ED}"/>
    <hyperlink ref="Y723" r:id="rId457" display="http://www.ncbi.nlm.nih.gov/nlmcatalog/0401260" xr:uid="{B2602FAD-66C0-4B15-96FD-9B1874224D62}"/>
    <hyperlink ref="Y564" r:id="rId458" display="http://www.ncbi.nlm.nih.gov/nlmcatalog/101563288" xr:uid="{C9876048-85A8-4437-9DEE-CBDB94836DD2}"/>
    <hyperlink ref="Y562" r:id="rId459" display="http://www.ncbi.nlm.nih.gov/nlmcatalog/101499225" xr:uid="{1E858D3D-BE17-4B9A-B46B-ACA735FFE1F1}"/>
    <hyperlink ref="Y650" r:id="rId460" display="http://www.ncbi.nlm.nih.gov/nlmcatalog/101204366" xr:uid="{ACDB9933-019D-4A1D-A96B-A4FF8016A7EC}"/>
    <hyperlink ref="Y745" r:id="rId461" display="http://www.ncbi.nlm.nih.gov/nlmcatalog/8310780" xr:uid="{CF277025-22E2-4BDE-A80B-240E9035A944}"/>
    <hyperlink ref="Y634" r:id="rId462" display="http://www.ncbi.nlm.nih.gov/nlmcatalog/9100529" xr:uid="{F81BC2D9-A281-4412-9BB4-0C6DCD1CC4DB}"/>
    <hyperlink ref="Y743" r:id="rId463" display="http://www.ncbi.nlm.nih.gov/nlmcatalog/9100529" xr:uid="{14D3237D-B825-4597-A58A-C02DD9FFDD9E}"/>
    <hyperlink ref="Y726" r:id="rId464" display="http://www.ncbi.nlm.nih.gov/nlmcatalog/9105850" xr:uid="{53F2B5A8-136C-42F4-A6EE-A216A4328B65}"/>
    <hyperlink ref="Y620" r:id="rId465" display="http://www.ncbi.nlm.nih.gov/nlmcatalog/8506513" xr:uid="{469812D8-F94B-466B-BC66-8C2E2E0CC172}"/>
    <hyperlink ref="Y655" r:id="rId466" display="http://www.ncbi.nlm.nih.gov/nlmcatalog/0426720" xr:uid="{3AB97AB4-6D02-4142-8474-ADA3094B79F5}"/>
    <hyperlink ref="Y653" r:id="rId467" display="http://www.ncbi.nlm.nih.gov/nlmcatalog/101142069" xr:uid="{26A6546E-E5A7-44DB-A736-A1F1BADCC4CC}"/>
    <hyperlink ref="Y748" r:id="rId468" display="http://www.ncbi.nlm.nih.gov/nlmcatalog/0401220" xr:uid="{C8EBEC55-8F02-4E16-9FB1-28E69D965F52}"/>
    <hyperlink ref="Y637" r:id="rId469" display="http://www.ncbi.nlm.nih.gov/nlmcatalog/8506513" xr:uid="{CA01A406-21FB-406A-BB19-C71B520C670A}"/>
    <hyperlink ref="Y731" r:id="rId470" display="http://www.ncbi.nlm.nih.gov/nlmcatalog/101528166" xr:uid="{8D6C2A7B-580C-4387-AFCD-D555602D5BA9}"/>
    <hyperlink ref="Y729" r:id="rId471" display="http://www.ncbi.nlm.nih.gov/nlmcatalog/2985108R" xr:uid="{3007D8F3-669A-438A-AB20-8D097CBB8421}"/>
    <hyperlink ref="Y716" r:id="rId472" display="http://www.ncbi.nlm.nih.gov/nlmcatalog/101204366" xr:uid="{5E73C453-DA42-44E8-9611-CFDA11904DA3}"/>
    <hyperlink ref="Y658" r:id="rId473" display="http://www.ncbi.nlm.nih.gov/nlmcatalog/101563288" xr:uid="{85E304A2-B050-42AF-BB3E-3E27C9E015D6}"/>
    <hyperlink ref="Y752" r:id="rId474" display="http://www.ncbi.nlm.nih.gov/nlmcatalog/7907132" xr:uid="{DA12D62E-AC8C-4257-9057-9FE18953DBD4}"/>
    <hyperlink ref="Y642" r:id="rId475" display="http://www.ncbi.nlm.nih.gov/nlmcatalog/9886191" xr:uid="{DA5D23A4-C798-4904-9C2B-E304190DDF3E}"/>
    <hyperlink ref="Y750" r:id="rId476" display="http://www.ncbi.nlm.nih.gov/nlmcatalog/9100529" xr:uid="{1F0D6700-42B2-46D7-AC1C-C560D7258569}"/>
    <hyperlink ref="Y640" r:id="rId477" display="http://www.ncbi.nlm.nih.gov/nlmcatalog/101499225" xr:uid="{2E483C61-25C5-4CFF-BC92-F66BE5D197E8}"/>
    <hyperlink ref="Y734" r:id="rId478" display="http://www.ncbi.nlm.nih.gov/nlmcatalog/101243413" xr:uid="{2302FBCC-8614-471D-9430-5EB790183982}"/>
    <hyperlink ref="Y719" r:id="rId479" display="http://www.ncbi.nlm.nih.gov/nlmcatalog/8205248" xr:uid="{C6C83F97-FA9A-49B8-BDE5-40CF3FC06A1A}"/>
    <hyperlink ref="Y570" r:id="rId480" display="http://www.ncbi.nlm.nih.gov/nlmcatalog/2985108R" xr:uid="{7DE6E21D-829F-4869-937C-FB3AD23B0E3A}"/>
    <hyperlink ref="Y662" r:id="rId481" display="http://www.ncbi.nlm.nih.gov/nlmcatalog/8505245" xr:uid="{CA09A1C6-ECC1-4AB3-82B7-1EF324CAB2A3}"/>
    <hyperlink ref="Y660" r:id="rId482" display="http://www.ncbi.nlm.nih.gov/nlmcatalog/9713490" xr:uid="{A8C27B74-CCC0-4533-B16D-03B67C48BE62}"/>
    <hyperlink ref="Y754" r:id="rId483" display="http://www.ncbi.nlm.nih.gov/nlmcatalog/0410553" xr:uid="{7043A444-4A20-4F65-AA79-99579A36564C}"/>
    <hyperlink ref="Y739" r:id="rId484" display="http://www.ncbi.nlm.nih.gov/nlmcatalog/0401260" xr:uid="{13D60C7B-A216-4FC3-BCC1-72A998B8BA2A}"/>
    <hyperlink ref="Y737" r:id="rId485" display="http://www.ncbi.nlm.nih.gov/nlmcatalog/101243413" xr:uid="{13CA4657-CDED-474B-A477-6356A71808BC}"/>
    <hyperlink ref="Y573" r:id="rId486" display="http://www.ncbi.nlm.nih.gov/nlmcatalog/8310780" xr:uid="{398098DB-0B2F-4E66-AA3E-E18664AF0DDF}"/>
    <hyperlink ref="Y757" r:id="rId487" display="http://www.ncbi.nlm.nih.gov/nlmcatalog/101285081" xr:uid="{A4348079-7E7C-4FF6-839B-F9BCCE8B3CA4}"/>
    <hyperlink ref="Y648" r:id="rId488" display="http://www.ncbi.nlm.nih.gov/nlmcatalog/0217410" xr:uid="{17E0047F-585F-4BA9-B1E3-DB2A5A21A24E}"/>
    <hyperlink ref="Y755" r:id="rId489" display="http://www.ncbi.nlm.nih.gov/nlmcatalog/101233144" xr:uid="{C3157F22-7BAC-4C8F-AA2B-0CA3BB5961EF}"/>
    <hyperlink ref="Y646" r:id="rId490" display="http://www.ncbi.nlm.nih.gov/nlmcatalog/1250250" xr:uid="{36D4E99A-63A9-4BFD-9FFD-D67EFC851152}"/>
    <hyperlink ref="Y741" r:id="rId491" display="http://www.ncbi.nlm.nih.gov/nlmcatalog/9300903" xr:uid="{32D5BC89-742A-4A0D-BEDB-718DED34C87B}"/>
    <hyperlink ref="Y632" r:id="rId492" display="http://www.ncbi.nlm.nih.gov/nlmcatalog/0425746" xr:uid="{BD5ED722-8409-4958-A078-C30E24403886}"/>
    <hyperlink ref="Y724" r:id="rId493" display="http://www.ncbi.nlm.nih.gov/nlmcatalog/2984705R" xr:uid="{1C7497CB-E093-4FF7-8875-FFA2CA7D7B61}"/>
    <hyperlink ref="Y666" r:id="rId494" display="http://www.ncbi.nlm.nih.gov/nlmcatalog/8501421" xr:uid="{B6F3D957-7E38-4915-B1E0-483117A4B18B}"/>
    <hyperlink ref="Y565" r:id="rId495" display="http://www.ncbi.nlm.nih.gov/nlmcatalog/101647362" xr:uid="{4AFF8008-CB00-457E-B1DA-B261DFD2ED1E}"/>
    <hyperlink ref="Y664" r:id="rId496" display="http://www.ncbi.nlm.nih.gov/nlmcatalog/101563288" xr:uid="{8285860D-E3D1-4973-8BC3-A3BFBCAFB1C4}"/>
    <hyperlink ref="Y760" r:id="rId497" display="http://www.ncbi.nlm.nih.gov/nlmcatalog/9201390" xr:uid="{60539EA0-465A-44CE-9DDB-4E3012C16A2E}"/>
    <hyperlink ref="Y563" r:id="rId498" display="http://www.ncbi.nlm.nih.gov/nlmcatalog/9114774" xr:uid="{735ED209-94F4-4356-8910-B1082A95C42F}"/>
    <hyperlink ref="Y651" r:id="rId499" display="http://www.ncbi.nlm.nih.gov/nlmcatalog/9105850" xr:uid="{3E279602-9287-4059-97E6-27574FA0F83F}"/>
    <hyperlink ref="Y746" r:id="rId500" display="http://www.ncbi.nlm.nih.gov/nlmcatalog/101597070" xr:uid="{0081EDDD-C8C4-4A29-AC86-33829373ED65}"/>
    <hyperlink ref="Y635" r:id="rId501" display="http://www.ncbi.nlm.nih.gov/nlmcatalog/8506513" xr:uid="{E2DC3773-C96A-43EC-BF32-AAF4B9EC0445}"/>
    <hyperlink ref="Y744" r:id="rId502" display="http://www.ncbi.nlm.nih.gov/nlmcatalog/0374630" xr:uid="{1574FD75-63A6-4E6B-A53D-04838F54282D}"/>
    <hyperlink ref="Y580" r:id="rId503" display="http://www.ncbi.nlm.nih.gov/nlmcatalog/8915031" xr:uid="{1A1F3E0E-DC53-4893-A476-5117BCB461A4}"/>
    <hyperlink ref="Y727" r:id="rId504" display="http://www.ncbi.nlm.nih.gov/nlmcatalog/0217410" xr:uid="{6B982A66-E499-4F06-86EF-DA588D1C20E6}"/>
    <hyperlink ref="Y578" r:id="rId505" display="http://www.ncbi.nlm.nih.gov/nlmcatalog/9215515" xr:uid="{5AB4EBC0-8C62-444C-8DDB-9CE70F99E54D}"/>
    <hyperlink ref="Y669" r:id="rId506" display="http://www.ncbi.nlm.nih.gov/nlmcatalog/101643461" xr:uid="{398D8D00-FC2F-4878-9181-BAF2A3344E6B}"/>
    <hyperlink ref="Y765" r:id="rId507" display="http://www.ncbi.nlm.nih.gov/nlmcatalog/9421642" xr:uid="{8EA53E71-F703-4FC3-BA4E-8E59D92C9322}"/>
    <hyperlink ref="Y567" r:id="rId508" display="http://www.ncbi.nlm.nih.gov/nlmcatalog/9513583" xr:uid="{37B3C026-8BB5-4E51-84BE-676E1028B758}"/>
    <hyperlink ref="Y656" r:id="rId509" display="http://www.ncbi.nlm.nih.gov/nlmcatalog/8506513" xr:uid="{B6DD4610-8F8A-4069-BBDA-1F4F1F70FDB1}"/>
    <hyperlink ref="Y763" r:id="rId510" display="http://www.ncbi.nlm.nih.gov/nlmcatalog/8310780" xr:uid="{2410C125-E9F6-416B-B99E-B54C34A61FBB}"/>
    <hyperlink ref="Y654" r:id="rId511" display="http://www.ncbi.nlm.nih.gov/nlmcatalog/9886191" xr:uid="{D1E1C861-C73F-430D-A193-E9B838754AE0}"/>
    <hyperlink ref="Y638" r:id="rId512" display="http://www.ncbi.nlm.nih.gov/nlmcatalog/0413066" xr:uid="{E4B6E4D2-5852-47A5-934F-653050537099}"/>
    <hyperlink ref="Y732" r:id="rId513" display="http://www.ncbi.nlm.nih.gov/nlmcatalog/101243413" xr:uid="{C6EEBE0C-9663-47B2-BB39-FCBDCA60AAEF}"/>
    <hyperlink ref="Y583" r:id="rId514" display="http://www.ncbi.nlm.nih.gov/nlmcatalog/101563288" xr:uid="{555FA4ED-9D07-4AAA-BFA5-961A17BCA3D1}"/>
    <hyperlink ref="Y569" r:id="rId515" display="http://www.ncbi.nlm.nih.gov/nlmcatalog/9100529" xr:uid="{3B9FDAAA-B918-4C60-881F-BA57B7EC31CC}"/>
    <hyperlink ref="Y768" r:id="rId516" display="http://www.ncbi.nlm.nih.gov/nlmcatalog/101563288" xr:uid="{1B4AC48F-F358-410C-8BCB-CBC4568EBCAA}"/>
    <hyperlink ref="Y659" r:id="rId517" display="http://www.ncbi.nlm.nih.gov/nlmcatalog/0045377" xr:uid="{7EF81315-F747-4E3E-810A-8FCA188FE58C}"/>
    <hyperlink ref="Y751" r:id="rId518" display="http://www.ncbi.nlm.nih.gov/nlmcatalog/101597070" xr:uid="{D9E30894-7184-46AC-9578-7648DDCD63EE}"/>
    <hyperlink ref="Y735" r:id="rId519" display="http://www.ncbi.nlm.nih.gov/nlmcatalog/101243413" xr:uid="{DB64F903-2785-4056-A0CF-47A1FDE2222F}"/>
    <hyperlink ref="Y675" r:id="rId520" display="http://www.ncbi.nlm.nih.gov/nlmcatalog/101285081" xr:uid="{F4FE4E34-4255-4613-8EE0-5A1606673954}"/>
    <hyperlink ref="Y571" r:id="rId521" display="http://www.ncbi.nlm.nih.gov/nlmcatalog/9215515" xr:uid="{ACB7A5EA-D244-4C52-A7A1-D29B7621065B}"/>
    <hyperlink ref="Y663" r:id="rId522" display="http://www.ncbi.nlm.nih.gov/nlmcatalog/101190326" xr:uid="{1E64791C-AE0E-4F6C-9C7D-79C9CB177F3C}"/>
    <hyperlink ref="Y770" r:id="rId523" display="http://www.ncbi.nlm.nih.gov/nlmcatalog/101285081" xr:uid="{CA34CEDD-438C-4E0E-AF77-DA63A3572D6E}"/>
    <hyperlink ref="Y661" r:id="rId524" display="http://www.ncbi.nlm.nih.gov/nlmcatalog/9100529" xr:uid="{8A9ED050-E3D5-4515-BF67-4F733E6DFB4B}"/>
    <hyperlink ref="Y644" r:id="rId525" display="http://www.ncbi.nlm.nih.gov/nlmcatalog/9430468" xr:uid="{B24934CB-9532-4ADB-87B5-2E2CE817B1A7}"/>
    <hyperlink ref="Y740" r:id="rId526" display="http://www.ncbi.nlm.nih.gov/nlmcatalog/9100529" xr:uid="{127D135B-562E-4958-9A62-D07C82692CCA}"/>
    <hyperlink ref="Y586" r:id="rId527" display="http://www.ncbi.nlm.nih.gov/nlmcatalog/0370536" xr:uid="{38F647F3-9362-4611-90CA-EE13F9B88DF8}"/>
    <hyperlink ref="Y679" r:id="rId528" display="http://www.ncbi.nlm.nih.gov/nlmcatalog/101597070" xr:uid="{D42351E3-1EEE-486E-8117-9B2BFB111313}"/>
    <hyperlink ref="Y574" r:id="rId529" display="http://www.ncbi.nlm.nih.gov/nlmcatalog/0235266" xr:uid="{833400CE-6568-4420-8CB9-F5B975F87267}"/>
    <hyperlink ref="Y677" r:id="rId530" display="http://www.ncbi.nlm.nih.gov/nlmcatalog/101190720" xr:uid="{DCD71F90-E2D0-4553-8344-858D11181B4F}"/>
    <hyperlink ref="Y774" r:id="rId531" display="http://www.ncbi.nlm.nih.gov/nlmcatalog/101674571" xr:uid="{677801D4-383A-43C8-8725-30DB63924FEB}"/>
    <hyperlink ref="Y758" r:id="rId532" display="http://www.ncbi.nlm.nih.gov/nlmcatalog/9100529" xr:uid="{1589EF24-91B2-4D73-B91A-D06B7CA2A420}"/>
    <hyperlink ref="Y561" r:id="rId533" display="http://www.ncbi.nlm.nih.gov/nlmcatalog/9100527" xr:uid="{C0D9EDD0-58A2-4AB9-B91D-241C042D8A55}"/>
    <hyperlink ref="Y649" r:id="rId534" display="http://www.ncbi.nlm.nih.gov/nlmcatalog/101217933" xr:uid="{BBB87D17-5280-4A46-8196-4174DABC216F}"/>
    <hyperlink ref="Y756" r:id="rId535" display="http://www.ncbi.nlm.nih.gov/nlmcatalog/101681550" xr:uid="{23A71EC7-28B6-457F-A72F-77E83BA3F477}"/>
    <hyperlink ref="Y589" r:id="rId536" display="http://www.ncbi.nlm.nih.gov/nlmcatalog/0425746" xr:uid="{8AA0B0F4-4A90-430C-B7F5-2F152D503C8D}"/>
    <hyperlink ref="Y742" r:id="rId537" display="http://www.ncbi.nlm.nih.gov/nlmcatalog/101681550" xr:uid="{30F7F408-1F78-460C-8B38-666D8035A38A}"/>
    <hyperlink ref="Y779" r:id="rId538" display="http://www.ncbi.nlm.nih.gov/nlmcatalog/1250250" xr:uid="{406571F5-2C6D-443A-B256-A07EA8309295}"/>
    <hyperlink ref="Y576" r:id="rId539" display="http://www.ncbi.nlm.nih.gov/nlmcatalog/100956096" xr:uid="{87EBBCB7-8C82-4ECD-93D0-1C31D1D2D6EF}"/>
    <hyperlink ref="Y667" r:id="rId540" display="http://www.ncbi.nlm.nih.gov/nlmcatalog/0401260" xr:uid="{D7BB484C-891C-4D6F-AA4A-ABCEFCB2198A}"/>
    <hyperlink ref="Y777" r:id="rId541" display="http://www.ncbi.nlm.nih.gov/nlmcatalog/8310780" xr:uid="{8755C5C0-FD29-4548-A4E2-3653FF8DCFBF}"/>
    <hyperlink ref="Y566" r:id="rId542" display="http://www.ncbi.nlm.nih.gov/nlmcatalog/101499225" xr:uid="{5D176950-C724-44BE-A69F-09D5A6F2887E}"/>
    <hyperlink ref="Y665" r:id="rId543" display="http://www.ncbi.nlm.nih.gov/nlmcatalog/8505245" xr:uid="{FA844353-806F-4576-A5B4-1E5314AAAFD7}"/>
    <hyperlink ref="Y761" r:id="rId544" display="http://www.ncbi.nlm.nih.gov/nlmcatalog/0401260" xr:uid="{92CA9208-D4EB-43FD-90DB-2176A5F57838}"/>
    <hyperlink ref="Y652" r:id="rId545" display="http://www.ncbi.nlm.nih.gov/nlmcatalog/9419065" xr:uid="{1F2AADE0-FE7D-4BD0-9F8C-A3384CAE7492}"/>
    <hyperlink ref="Y747" r:id="rId546" display="http://www.ncbi.nlm.nih.gov/nlmcatalog/0425746" xr:uid="{E733B0D4-0D62-4A6E-8061-EA086F5EADD0}"/>
    <hyperlink ref="Y685" r:id="rId547" display="http://www.ncbi.nlm.nih.gov/nlmcatalog/101639462" xr:uid="{470F7123-4D39-4E47-9DED-F5B2C5698F38}"/>
    <hyperlink ref="Y581" r:id="rId548" display="http://www.ncbi.nlm.nih.gov/nlmcatalog/101499225" xr:uid="{19F8CE7C-54D9-479E-849F-6260BA963C0F}"/>
    <hyperlink ref="Y782" r:id="rId549" display="http://www.ncbi.nlm.nih.gov/nlmcatalog/101137103" xr:uid="{C4E5D95E-6BBE-4114-A3CA-1E477FD08F1D}"/>
    <hyperlink ref="Y579" r:id="rId550" display="http://www.ncbi.nlm.nih.gov/nlmcatalog/9713490" xr:uid="{698E6751-D47C-4C59-8AD4-9D543866AA61}"/>
    <hyperlink ref="Y670" r:id="rId551" display="http://www.ncbi.nlm.nih.gov/nlmcatalog/101568867" xr:uid="{0085B7CC-566C-439F-A2D9-2820262519A1}"/>
    <hyperlink ref="Y766" r:id="rId552" display="http://www.ncbi.nlm.nih.gov/nlmcatalog/9214582" xr:uid="{174A6ED4-13C6-420C-982B-76318777F6A2}"/>
    <hyperlink ref="Y568" r:id="rId553" display="http://www.ncbi.nlm.nih.gov/nlmcatalog/101301827" xr:uid="{676C830E-0E5C-414E-AF98-4A5335F6748E}"/>
    <hyperlink ref="Y657" r:id="rId554" display="http://www.ncbi.nlm.nih.gov/nlmcatalog/9713490" xr:uid="{B0281A5F-473B-4EA3-95C0-C136BB8BCFB4}"/>
    <hyperlink ref="Y764" r:id="rId555" display="http://www.ncbi.nlm.nih.gov/nlmcatalog/7708173" xr:uid="{53F4B25F-A835-486B-9FA1-11C360090B21}"/>
    <hyperlink ref="Y749" r:id="rId556" display="http://www.ncbi.nlm.nih.gov/nlmcatalog/101285081" xr:uid="{8BBEFA1A-925B-49E1-BD7C-18F5FB1A112C}"/>
    <hyperlink ref="Y594" r:id="rId557" display="http://www.ncbi.nlm.nih.gov/nlmcatalog/8506513" xr:uid="{79E1C8D0-10B0-4FC6-9748-62EEB8BC63B4}"/>
    <hyperlink ref="Y786" r:id="rId558" display="http://www.ncbi.nlm.nih.gov/nlmcatalog/9215515" xr:uid="{E2BFAA7C-C92A-4E6C-B24D-325B495A0F3E}"/>
    <hyperlink ref="Y584" r:id="rId559" display="http://www.ncbi.nlm.nih.gov/nlmcatalog/8505245" xr:uid="{AB86807D-D38C-4DEA-A8AD-9DFF0C8BF200}"/>
    <hyperlink ref="Y673" r:id="rId560" display="http://www.ncbi.nlm.nih.gov/nlmcatalog/9203012" xr:uid="{D6600A6A-42FE-468E-B814-6D35B1A8C0B3}"/>
    <hyperlink ref="Y785" r:id="rId561" display="http://www.ncbi.nlm.nih.gov/nlmcatalog/9440159" xr:uid="{B4EAD742-D3DB-4FB1-BC04-8BC46A74C05D}"/>
    <hyperlink ref="Y672" r:id="rId562" display="http://www.ncbi.nlm.nih.gov/nlmcatalog/100970413" xr:uid="{92E9D2A8-516B-4D11-A36F-22F730A35BF1}"/>
    <hyperlink ref="Y753" r:id="rId563" display="http://www.ncbi.nlm.nih.gov/nlmcatalog/0425746" xr:uid="{94FA9AAA-8122-448A-8981-2C7A141059B2}"/>
    <hyperlink ref="Y598" r:id="rId564" display="http://www.ncbi.nlm.nih.gov/nlmcatalog/8505245" xr:uid="{AE25C121-7506-4656-904D-420B7FCB5963}"/>
    <hyperlink ref="Y692" r:id="rId565" display="http://www.ncbi.nlm.nih.gov/nlmcatalog/101563288" xr:uid="{2DAD63D2-81EF-4E59-A002-E8D930A648D8}"/>
    <hyperlink ref="Y690" r:id="rId566" display="http://www.ncbi.nlm.nih.gov/nlmcatalog/101563288" xr:uid="{365A7940-395F-4635-B0E3-F30EFD7BD149}"/>
    <hyperlink ref="Y788" r:id="rId567" display="http://www.ncbi.nlm.nih.gov/nlmcatalog/8505245" xr:uid="{8930A03F-9479-42FA-8C0D-D9B040D78246}"/>
    <hyperlink ref="Y772" r:id="rId568" display="http://www.ncbi.nlm.nih.gov/nlmcatalog/7905558" xr:uid="{DEEB959D-FC8A-4F79-AEF4-97DE10598DF9}"/>
    <hyperlink ref="Y572" r:id="rId569" display="http://www.ncbi.nlm.nih.gov/nlmcatalog/0425746" xr:uid="{7620D36B-D9DD-4ADD-874A-6F0D841DD18E}"/>
    <hyperlink ref="Y771" r:id="rId570" display="http://www.ncbi.nlm.nih.gov/nlmcatalog/9713490" xr:uid="{405BF685-FD77-4D6A-A479-C04BDAE266D9}"/>
    <hyperlink ref="Y603" r:id="rId571" display="http://www.ncbi.nlm.nih.gov/nlmcatalog/0401220" xr:uid="{F934F6E6-9E91-40CD-8142-E86F3387B397}"/>
    <hyperlink ref="Y601" r:id="rId572" display="http://www.ncbi.nlm.nih.gov/nlmcatalog/9430800" xr:uid="{14183743-34E2-4C1E-B43B-AAB8A39991D5}"/>
    <hyperlink ref="Y793" r:id="rId573" display="http://www.ncbi.nlm.nih.gov/nlmcatalog/101563288" xr:uid="{87E39FDE-7DAB-4540-9521-9E0A49A6331E}"/>
    <hyperlink ref="Y680" r:id="rId574" display="http://www.ncbi.nlm.nih.gov/nlmcatalog/7806056" xr:uid="{E976D3AE-586B-421F-B353-2A6BE60820AA}"/>
    <hyperlink ref="Y791" r:id="rId575" display="http://www.ncbi.nlm.nih.gov/nlmcatalog/0425746" xr:uid="{89AAF624-59A5-49FB-98FC-85AED68710BE}"/>
    <hyperlink ref="Y575" r:id="rId576" display="http://www.ncbi.nlm.nih.gov/nlmcatalog/100927353" xr:uid="{EA778A46-A855-45C5-8D48-AEBB3AFE16CA}"/>
    <hyperlink ref="Y678" r:id="rId577" display="http://www.ncbi.nlm.nih.gov/nlmcatalog/100886238" xr:uid="{C07793A8-EBCF-4557-AF08-E742919A363C}"/>
    <hyperlink ref="Y775" r:id="rId578" display="http://www.ncbi.nlm.nih.gov/nlmcatalog/101563288" xr:uid="{7DBDBCCE-76CE-4372-A593-9D0164D690EA}"/>
    <hyperlink ref="Y759" r:id="rId579" display="http://www.ncbi.nlm.nih.gov/nlmcatalog/101563288" xr:uid="{59BEEFA5-C507-4821-A39D-A136E0C62A66}"/>
    <hyperlink ref="Y605" r:id="rId580" display="http://www.ncbi.nlm.nih.gov/nlmcatalog/9713490" xr:uid="{1314B26C-E9E2-4EAB-97A1-F201795A604E}"/>
    <hyperlink ref="Y699" r:id="rId581" display="http://www.ncbi.nlm.nih.gov/nlmcatalog/7802443" xr:uid="{E7D61BC8-4424-4A7D-AA38-6685951427E6}"/>
    <hyperlink ref="Y590" r:id="rId582" display="http://www.ncbi.nlm.nih.gov/nlmcatalog/9105850" xr:uid="{A696A044-8DAD-49F5-AE99-E3B5E5D777CA}"/>
    <hyperlink ref="Y697" r:id="rId583" display="http://www.ncbi.nlm.nih.gov/nlmcatalog/8912329" xr:uid="{C79C33C7-A1F3-4CC6-AC34-5D241857F7E1}"/>
    <hyperlink ref="Y796" r:id="rId584" display="http://www.ncbi.nlm.nih.gov/nlmcatalog/9100529" xr:uid="{11852B9B-8ECD-4C79-BDFC-C1C18D9A1E1E}"/>
    <hyperlink ref="Y588" r:id="rId585" display="http://www.ncbi.nlm.nih.gov/nlmcatalog/1250250" xr:uid="{B15F428A-6085-4930-B20D-EBA798C80F82}"/>
    <hyperlink ref="Y780" r:id="rId586" display="http://www.ncbi.nlm.nih.gov/nlmcatalog/101653440" xr:uid="{AC4D57F7-786A-4B17-BAA5-EFB9E46A0690}"/>
    <hyperlink ref="Y577" r:id="rId587" display="http://www.ncbi.nlm.nih.gov/nlmcatalog/8506513" xr:uid="{6287ABC1-7470-4B95-B1CD-3709B1E7B10E}"/>
    <hyperlink ref="Y668" r:id="rId588" display="http://www.ncbi.nlm.nih.gov/nlmcatalog/101563288" xr:uid="{0211E9AE-6887-4B39-8E61-19A93C5C8470}"/>
    <hyperlink ref="Y778" r:id="rId589" display="http://www.ncbi.nlm.nih.gov/nlmcatalog/9215515" xr:uid="{E76FFA41-565A-47E9-A079-4B2425AF72E6}"/>
    <hyperlink ref="Y762" r:id="rId590" display="http://www.ncbi.nlm.nih.gov/nlmcatalog/9100529" xr:uid="{2366A771-5A66-46BA-87E3-0B9EEC92CE12}"/>
    <hyperlink ref="Y608" r:id="rId591" display="http://www.ncbi.nlm.nih.gov/nlmcatalog/0401260" xr:uid="{A6BD9C92-4B01-48F6-9E92-534CF2DAAA70}"/>
    <hyperlink ref="Y592" r:id="rId592" display="http://www.ncbi.nlm.nih.gov/nlmcatalog/101563288" xr:uid="{33109094-FF38-462D-8B2A-3D66A57B6DF5}"/>
    <hyperlink ref="Y686" r:id="rId593" display="http://www.ncbi.nlm.nih.gov/nlmcatalog/7905558" xr:uid="{930D1E61-22D1-474D-935E-02BDD4201DA7}"/>
    <hyperlink ref="Y798" r:id="rId594" display="http://www.ncbi.nlm.nih.gov/nlmcatalog/101231512" xr:uid="{3A57E54C-2F88-4B21-8770-8637B74E880C}"/>
    <hyperlink ref="Y582" r:id="rId595" display="http://www.ncbi.nlm.nih.gov/nlmcatalog/8407192" xr:uid="{1E58267E-8C05-41C9-9AB8-71DC1AFA1363}"/>
    <hyperlink ref="Y684" r:id="rId596" display="http://www.ncbi.nlm.nih.gov/nlmcatalog/9011206" xr:uid="{E2447E51-CAA9-432E-9164-4BBB438A8E8A}"/>
    <hyperlink ref="Y783" r:id="rId597" display="http://www.ncbi.nlm.nih.gov/nlmcatalog/9100529" xr:uid="{6F672FFF-1515-4B62-8EB3-C3A4B4890637}"/>
    <hyperlink ref="Y671" r:id="rId598" display="http://www.ncbi.nlm.nih.gov/nlmcatalog/7703701" xr:uid="{3D647237-A2F0-46DA-B0EC-E5B07788A530}"/>
    <hyperlink ref="Y767" r:id="rId599" display="http://www.ncbi.nlm.nih.gov/nlmcatalog/9808944" xr:uid="{497078F8-EFCB-47D5-8819-D8580595D991}"/>
    <hyperlink ref="Y706" r:id="rId600" display="http://www.ncbi.nlm.nih.gov/nlmcatalog/101563288" xr:uid="{C0A79460-1236-4465-9838-9F63C8E6CDBC}"/>
    <hyperlink ref="Y596" r:id="rId601" display="http://www.ncbi.nlm.nih.gov/nlmcatalog/101563288" xr:uid="{8728322F-30B1-4504-B193-B8CCEC155D28}"/>
    <hyperlink ref="Y704" r:id="rId602" display="http://www.ncbi.nlm.nih.gov/nlmcatalog/9100529" xr:uid="{438662F0-20C7-4A06-8F9E-6AE49E4E28CA}"/>
    <hyperlink ref="Y595" r:id="rId603" display="http://www.ncbi.nlm.nih.gov/nlmcatalog/101285081" xr:uid="{D6724B57-2CAD-4B32-A99E-D3F4E67C4579}"/>
    <hyperlink ref="Y688" r:id="rId604" display="http://www.ncbi.nlm.nih.gov/nlmcatalog/1306016" xr:uid="{87719570-A530-4963-8C91-515A8E7CAFCE}"/>
    <hyperlink ref="Y787" r:id="rId605" display="http://www.ncbi.nlm.nih.gov/nlmcatalog/0401220" xr:uid="{DC297B2A-CD0C-4BC7-91CA-59584FC4D2F4}"/>
    <hyperlink ref="Y585" r:id="rId606" display="http://www.ncbi.nlm.nih.gov/nlmcatalog/101499225" xr:uid="{DCCBFDD7-B97C-4D06-AF27-D516A4B2ADD4}"/>
    <hyperlink ref="Y674" r:id="rId607" display="http://www.ncbi.nlm.nih.gov/nlmcatalog/0425746" xr:uid="{39328B27-538A-414C-9550-90795099CEC1}"/>
    <hyperlink ref="Y769" r:id="rId608" display="http://www.ncbi.nlm.nih.gov/nlmcatalog/101499225" xr:uid="{625B0923-7496-4478-9B38-8B0E05C51AD2}"/>
    <hyperlink ref="Y709" r:id="rId609" display="http://www.ncbi.nlm.nih.gov/nlmcatalog/101646459" xr:uid="{2DCD37F5-AB25-4F07-9124-BBCF808CBD61}"/>
    <hyperlink ref="Y599" r:id="rId610" display="http://www.ncbi.nlm.nih.gov/nlmcatalog/8505245" xr:uid="{EEA0C563-7E80-4514-97E6-28DD9E8AE233}"/>
    <hyperlink ref="Y693" r:id="rId611" display="http://www.ncbi.nlm.nih.gov/nlmcatalog/101197791" xr:uid="{1BB24251-1E3F-423E-95FE-EF9D72229F85}"/>
    <hyperlink ref="Y691" r:id="rId612" display="http://www.ncbi.nlm.nih.gov/nlmcatalog/101676073" xr:uid="{0AA225C7-30DD-4F4A-AAF0-892D6B7693CA}"/>
    <hyperlink ref="Y789" r:id="rId613" display="http://www.ncbi.nlm.nih.gov/nlmcatalog/100965194" xr:uid="{1C0E291C-B94D-4AEB-815F-9A2C46881091}"/>
    <hyperlink ref="Y676" r:id="rId614" display="http://www.ncbi.nlm.nih.gov/nlmcatalog/101499225" xr:uid="{1B9431CA-1FEC-4EF4-AB88-DF099C7C72B3}"/>
    <hyperlink ref="Y773" r:id="rId615" display="http://www.ncbi.nlm.nih.gov/nlmcatalog/101697564" xr:uid="{67694DEF-A8E9-4940-90A4-31DBEF4A992E}"/>
    <hyperlink ref="Y602" r:id="rId616" display="http://www.ncbi.nlm.nih.gov/nlmcatalog/101573691" xr:uid="{37FA86A7-0FD0-4EB4-BB2E-E714910E3C12}"/>
    <hyperlink ref="Y695" r:id="rId617" display="http://www.ncbi.nlm.nih.gov/nlmcatalog/8806104" xr:uid="{44A8E264-5F07-45AD-8471-F4B34E9E4FCD}"/>
    <hyperlink ref="Y794" r:id="rId618" display="http://www.ncbi.nlm.nih.gov/nlmcatalog/101563288" xr:uid="{07CF61D4-04F1-4900-A8C3-D05EDE74441E}"/>
    <hyperlink ref="Y587" r:id="rId619" display="http://www.ncbi.nlm.nih.gov/nlmcatalog/101204366" xr:uid="{353A28B0-2B4F-4E01-83A5-DF3E092D9B76}"/>
    <hyperlink ref="Y681" r:id="rId620" display="http://www.ncbi.nlm.nih.gov/nlmcatalog/9105850" xr:uid="{71FD3F59-BD2B-4DC9-A2BC-DEC0CACC1120}"/>
    <hyperlink ref="Y792" r:id="rId621" display="http://www.ncbi.nlm.nih.gov/nlmcatalog/101604520" xr:uid="{7B02EC17-382F-4520-BEC4-BF4C45177920}"/>
    <hyperlink ref="Y776" r:id="rId622" display="http://www.ncbi.nlm.nih.gov/nlmcatalog/101236111" xr:uid="{F822F41D-6C86-4569-89D2-E303AD232ECF}"/>
    <hyperlink ref="Y606" r:id="rId623" display="http://www.ncbi.nlm.nih.gov/nlmcatalog/9215515" xr:uid="{262EADFC-2814-47AE-B059-B29A16132EC4}"/>
    <hyperlink ref="Y700" r:id="rId624" display="http://www.ncbi.nlm.nih.gov/nlmcatalog/9711271" xr:uid="{CD394CA3-482D-4F8D-9A37-C135C481D38B}"/>
    <hyperlink ref="Y591" r:id="rId625" display="http://www.ncbi.nlm.nih.gov/nlmcatalog/9604648" xr:uid="{BFE227AB-4B47-44B7-ACA8-D907F2F1D824}"/>
    <hyperlink ref="Y698" r:id="rId626" display="http://www.ncbi.nlm.nih.gov/nlmcatalog/9713490" xr:uid="{429D370B-FCDB-415E-8D39-6C6C5789FDA6}"/>
    <hyperlink ref="Y683" r:id="rId627" display="http://www.ncbi.nlm.nih.gov/nlmcatalog/9214582" xr:uid="{FAFDD5FF-9637-462E-B3AD-525BBA9D3ECC}"/>
    <hyperlink ref="Y781" r:id="rId628" display="http://www.ncbi.nlm.nih.gov/nlmcatalog/101604520" xr:uid="{003DBFBB-156F-4430-A61A-5FCA00D14F86}"/>
    <hyperlink ref="Y609" r:id="rId629" display="http://www.ncbi.nlm.nih.gov/nlmcatalog/8505245" xr:uid="{888D6C16-5275-4CE7-B526-3E98BD96E972}"/>
    <hyperlink ref="Y702" r:id="rId630" display="http://www.ncbi.nlm.nih.gov/nlmcatalog/0373125" xr:uid="{85C493D8-1185-4837-BAEB-C62269ABFB00}"/>
    <hyperlink ref="Y593" r:id="rId631" display="http://www.ncbi.nlm.nih.gov/nlmcatalog/7802443" xr:uid="{82B27962-8EBC-42A3-9758-D3E5179F1671}"/>
    <hyperlink ref="Y687" r:id="rId632" display="http://www.ncbi.nlm.nih.gov/nlmcatalog/101467995" xr:uid="{03F7983A-AAFD-4C36-B5FA-EDF950F367DF}"/>
    <hyperlink ref="Y799" r:id="rId633" display="http://www.ncbi.nlm.nih.gov/nlmcatalog/9886191" xr:uid="{F5E9878A-23DD-46B4-ACE6-A8EF0AA14384}"/>
    <hyperlink ref="Y784" r:id="rId634" display="http://www.ncbi.nlm.nih.gov/nlmcatalog/9419065" xr:uid="{B09F4FEC-34BB-4901-A12C-2C2B0D1A7A1D}"/>
    <hyperlink ref="Y707" r:id="rId635" display="http://www.ncbi.nlm.nih.gov/nlmcatalog/9713490" xr:uid="{D216ADA3-8F57-4D94-8B1B-596B9CA21599}"/>
    <hyperlink ref="Y597" r:id="rId636" display="http://www.ncbi.nlm.nih.gov/nlmcatalog/9100527" xr:uid="{8B1A4765-3B15-4401-AAA9-459582FDC541}"/>
    <hyperlink ref="Y705" r:id="rId637" display="http://www.ncbi.nlm.nih.gov/nlmcatalog/8407192" xr:uid="{8C2691B8-A64E-48AD-ABFD-D46B313B3550}"/>
    <hyperlink ref="Y689" r:id="rId638" display="http://www.ncbi.nlm.nih.gov/nlmcatalog/0401260" xr:uid="{C1D437F1-1776-40C5-B179-D13ED80553DE}"/>
    <hyperlink ref="Y612" r:id="rId639" display="http://www.ncbi.nlm.nih.gov/nlmcatalog/0425746" xr:uid="{9DCA0ACE-D076-423D-8098-0DC60965EBBA}"/>
    <hyperlink ref="Y710" r:id="rId640" display="http://www.ncbi.nlm.nih.gov/nlmcatalog/9502500" xr:uid="{D107B6CE-6A9F-45C6-9397-90EFB25382DB}"/>
    <hyperlink ref="Y600" r:id="rId641" display="http://www.ncbi.nlm.nih.gov/nlmcatalog/101647039" xr:uid="{D6111283-1B32-4AFD-9315-5AE57B2C18F9}"/>
    <hyperlink ref="Y694" r:id="rId642" display="http://www.ncbi.nlm.nih.gov/nlmcatalog/8706123" xr:uid="{05CB7060-EFA1-4CCF-8444-05AC1B0550A8}"/>
    <hyperlink ref="Y790" r:id="rId643" display="http://www.ncbi.nlm.nih.gov/nlmcatalog/9713490" xr:uid="{D646CF8F-25C9-4889-B39D-E82EBCE0B167}"/>
    <hyperlink ref="Y616" r:id="rId644" display="http://www.ncbi.nlm.nih.gov/nlmcatalog/9000080" xr:uid="{26DF9825-F12C-4B49-924F-42841AB5F561}"/>
    <hyperlink ref="Y615" r:id="rId645" display="http://www.ncbi.nlm.nih.gov/nlmcatalog/8003708" xr:uid="{6AAF2625-A48E-4249-A9D0-CFCC21C665DC}"/>
    <hyperlink ref="Y604" r:id="rId646" display="http://www.ncbi.nlm.nih.gov/nlmcatalog/101285081" xr:uid="{196BC09A-1F88-46B3-9AB9-0D5274960A9E}"/>
    <hyperlink ref="Y712" r:id="rId647" display="http://www.ncbi.nlm.nih.gov/nlmcatalog/0425746" xr:uid="{6DB902CC-8EA9-4082-ACF5-470AEAE44E24}"/>
    <hyperlink ref="Y696" r:id="rId648" display="http://www.ncbi.nlm.nih.gov/nlmcatalog/0401260" xr:uid="{D27BB76E-4A3C-4F01-A98D-D82E948A03C7}"/>
    <hyperlink ref="Y795" r:id="rId649" display="http://www.ncbi.nlm.nih.gov/nlmcatalog/9215515" xr:uid="{CB5D9E40-17F7-471E-B580-B47B5449CEC2}"/>
    <hyperlink ref="Y618" r:id="rId650" display="http://www.ncbi.nlm.nih.gov/nlmcatalog/9713490" xr:uid="{0509B043-42F5-4CA7-BAB9-40F377C532C9}"/>
    <hyperlink ref="Y713" r:id="rId651" display="http://www.ncbi.nlm.nih.gov/nlmcatalog/8205248" xr:uid="{03649267-6740-442C-899F-2021BB41F53A}"/>
    <hyperlink ref="Y607" r:id="rId652" display="http://www.ncbi.nlm.nih.gov/nlmcatalog/101499225" xr:uid="{B352BC71-84C5-4CF6-803C-3533C9A4950F}"/>
    <hyperlink ref="Y701" r:id="rId653" display="http://www.ncbi.nlm.nih.gov/nlmcatalog/0217410" xr:uid="{93B60ECA-0817-4450-832B-1F8D0199ED3F}"/>
    <hyperlink ref="Y797" r:id="rId654" display="http://www.ncbi.nlm.nih.gov/nlmcatalog/9713490" xr:uid="{DA62EF45-3226-4F06-9232-D29E29572941}"/>
    <hyperlink ref="Y623" r:id="rId655" display="http://www.ncbi.nlm.nih.gov/nlmcatalog/100965194" xr:uid="{68EEB6F6-AB95-4D72-B4CB-CA29586EED86}"/>
    <hyperlink ref="Y621" r:id="rId656" display="http://www.ncbi.nlm.nih.gov/nlmcatalog/8506513" xr:uid="{71A784C5-B0D8-4CBB-89E9-2632B72CF650}"/>
    <hyperlink ref="Y715" r:id="rId657" display="http://www.ncbi.nlm.nih.gov/nlmcatalog/8506513" xr:uid="{E584A4EE-27DD-488E-93DE-8FE2901A00F8}"/>
    <hyperlink ref="Y703" r:id="rId658" display="http://www.ncbi.nlm.nih.gov/nlmcatalog/0401220" xr:uid="{A4E5CA10-D4EE-4994-A1B4-A34BDF0EB1A8}"/>
    <hyperlink ref="Y625" r:id="rId659" display="http://www.ncbi.nlm.nih.gov/nlmcatalog/7704869" xr:uid="{3942ADEB-7786-41A7-8977-C48FDF35B9A3}"/>
    <hyperlink ref="Y610" r:id="rId660" display="http://www.ncbi.nlm.nih.gov/nlmcatalog/101231512" xr:uid="{4E30E378-1997-4705-8522-E81BCEB803B9}"/>
    <hyperlink ref="Y717" r:id="rId661" display="http://www.ncbi.nlm.nih.gov/nlmcatalog/0401260" xr:uid="{B58EF065-52A2-4E59-ABDB-FBFE491A1E7C}"/>
    <hyperlink ref="Y708" r:id="rId662" display="http://www.ncbi.nlm.nih.gov/nlmcatalog/7505564" xr:uid="{1C187780-4705-4DC9-B585-2EE0ACE42127}"/>
    <hyperlink ref="Y629" r:id="rId663" display="http://www.ncbi.nlm.nih.gov/nlmcatalog/8506513" xr:uid="{256FE396-73FF-4E2F-9E68-FC77D757E10F}"/>
    <hyperlink ref="Y627" r:id="rId664" display="http://www.ncbi.nlm.nih.gov/nlmcatalog/8505245" xr:uid="{548D2B5A-4E10-4F32-A06A-3563792B964A}"/>
    <hyperlink ref="Y613" r:id="rId665" display="http://www.ncbi.nlm.nih.gov/nlmcatalog/8806104" xr:uid="{BC0CDAFB-C63A-45CC-9953-38209A0A4EDC}"/>
    <hyperlink ref="Y711" r:id="rId666" display="http://www.ncbi.nlm.nih.gov/nlmcatalog/7806056" xr:uid="{42FA4388-200C-4F1C-85CF-B955F5C0B429}"/>
    <hyperlink ref="Y682" r:id="rId667" display="http://www.ncbi.nlm.nih.gov/nlmcatalog/7703701" xr:uid="{0DB772CA-CC77-4815-8C06-B134A74916F7}"/>
    <hyperlink ref="Y722" r:id="rId668" display="http://www.ncbi.nlm.nih.gov/nlmcatalog/101285081" xr:uid="{E1B83235-6E4D-40E2-AA05-A29A1662B2B7}"/>
    <hyperlink ref="Y617" r:id="rId669" display="http://www.ncbi.nlm.nih.gov/nlmcatalog/101499225" xr:uid="{52603676-D9E2-45C9-A3FE-2CA36C239BF2}"/>
    <hyperlink ref="Y721" r:id="rId670" display="http://www.ncbi.nlm.nih.gov/nlmcatalog/7505876" xr:uid="{47177705-F15F-4AFC-9034-87DDA32CECB5}"/>
    <hyperlink ref="Y633" r:id="rId671" display="http://www.ncbi.nlm.nih.gov/nlmcatalog/101563288" xr:uid="{02CBAF9E-FDB1-45F2-94F8-7629EC3D355A}"/>
    <hyperlink ref="Y725" r:id="rId672" display="http://www.ncbi.nlm.nih.gov/nlmcatalog/9605853" xr:uid="{B72CCE92-6D53-4290-B1BA-3FFF3273C116}"/>
    <hyperlink ref="Y619" r:id="rId673" display="http://www.ncbi.nlm.nih.gov/nlmcatalog/101563288" xr:uid="{6A802FE9-27C4-47D0-93CC-22F27789D503}"/>
    <hyperlink ref="Y714" r:id="rId674" display="http://www.ncbi.nlm.nih.gov/nlmcatalog/101597070" xr:uid="{708CF442-45EF-44DD-B57C-5DCAEC5039A6}"/>
    <hyperlink ref="Y636" r:id="rId675" display="http://www.ncbi.nlm.nih.gov/nlmcatalog/8506513" xr:uid="{9696AE49-CD79-4022-9693-5F3111C657A4}"/>
    <hyperlink ref="Y730" r:id="rId676" display="http://www.ncbi.nlm.nih.gov/nlmcatalog/101528166" xr:uid="{44A21CB6-328C-4572-9273-9991B662B31E}"/>
    <hyperlink ref="Y624" r:id="rId677" display="http://www.ncbi.nlm.nih.gov/nlmcatalog/101286760" xr:uid="{44B05580-09C8-4896-852D-C32907DD77AC}"/>
    <hyperlink ref="Y728" r:id="rId678" display="http://www.ncbi.nlm.nih.gov/nlmcatalog/101597070" xr:uid="{99EB0F1D-9CFA-48D0-A38D-EDA4FEC957FA}"/>
    <hyperlink ref="Y622" r:id="rId679" display="http://www.ncbi.nlm.nih.gov/nlmcatalog/1250250" xr:uid="{1F8BF961-AD29-4397-AE11-79CCCD6FFDCF}"/>
    <hyperlink ref="Y641" r:id="rId680" display="http://www.ncbi.nlm.nih.gov/nlmcatalog/9706389" xr:uid="{C20814AD-D459-4C23-984B-2A8741FA5859}"/>
    <hyperlink ref="Y639" r:id="rId681" display="http://www.ncbi.nlm.nih.gov/nlmcatalog/0425746" xr:uid="{C47EA7F6-56AD-4937-8F50-9A4D81B7BC60}"/>
    <hyperlink ref="Y733" r:id="rId682" display="http://www.ncbi.nlm.nih.gov/nlmcatalog/101243413" xr:uid="{F08A0F7D-475E-4C6A-8634-F2D15DDC4406}"/>
    <hyperlink ref="Y626" r:id="rId683" display="http://www.ncbi.nlm.nih.gov/nlmcatalog/8806104" xr:uid="{F26642A3-C848-4273-9891-7B9594C1AFC7}"/>
    <hyperlink ref="Y611" r:id="rId684" display="http://www.ncbi.nlm.nih.gov/nlmcatalog/9426151" xr:uid="{DD863F54-7E35-4F75-84B3-22FF6BCCBEAE}"/>
    <hyperlink ref="Y718" r:id="rId685" display="http://www.ncbi.nlm.nih.gov/nlmcatalog/101563288" xr:uid="{A2D154C8-0377-48C1-B631-C1079A6C3261}"/>
    <hyperlink ref="Y643" r:id="rId686" display="http://www.ncbi.nlm.nih.gov/nlmcatalog/101563288" xr:uid="{82B158FB-D35B-49B7-85A0-F616578C63EB}"/>
    <hyperlink ref="Y738" r:id="rId687" display="http://www.ncbi.nlm.nih.gov/nlmcatalog/101243413" xr:uid="{67EB80B6-D202-4FFB-A865-86CB17EBA975}"/>
    <hyperlink ref="Y630" r:id="rId688" display="http://www.ncbi.nlm.nih.gov/nlmcatalog/7802443" xr:uid="{C6CEFEE2-E373-4861-8DBC-956206CF2550}"/>
    <hyperlink ref="Y736" r:id="rId689" display="http://www.ncbi.nlm.nih.gov/nlmcatalog/101243413" xr:uid="{6EDEA7FF-E5A1-4348-8194-054B4AD29DB5}"/>
    <hyperlink ref="Y628" r:id="rId690" display="http://www.ncbi.nlm.nih.gov/nlmcatalog/9713490" xr:uid="{21DE17F3-3B1B-41AA-8ABB-1BF8547E7C7C}"/>
    <hyperlink ref="Y720" r:id="rId691" display="http://www.ncbi.nlm.nih.gov/nlmcatalog/8505245" xr:uid="{50C6E43B-443F-492A-BC43-0D8B70762BE7}"/>
    <hyperlink ref="Y614" r:id="rId692" display="http://www.ncbi.nlm.nih.gov/nlmcatalog/9215515" xr:uid="{F6CA67BA-093D-4846-A441-7E9B3EEB39A7}"/>
    <hyperlink ref="Y560" r:id="rId693" display="http://www.ncbi.nlm.nih.gov/nlmcatalog/100886721" xr:uid="{51670152-A1AE-4BF0-9A13-2CCC7745949A}"/>
    <hyperlink ref="Y647" r:id="rId694" display="http://www.ncbi.nlm.nih.gov/nlmcatalog/8004872" xr:uid="{F10AF1DB-5ED9-43AF-B6C2-36C47966C1A9}"/>
    <hyperlink ref="Y645" r:id="rId695" display="http://www.ncbi.nlm.nih.gov/nlmcatalog/9419065" xr:uid="{EE4C906A-9954-4C36-8ECA-E8AA2FFAB456}"/>
  </hyperlinks>
  <pageMargins left="0.7" right="0.7" top="0.75" bottom="0.75" header="0.3" footer="0.3"/>
  <pageSetup paperSize="9" orientation="portrait" horizontalDpi="300" verticalDpi="300" r:id="rId696"/>
  <legacyDrawing r:id="rId69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1A9C6-6EE5-47C2-B5BA-5B7DF5C678D5}">
  <sheetPr codeName="Sheet3"/>
  <dimension ref="A1:A371"/>
  <sheetViews>
    <sheetView workbookViewId="0">
      <selection sqref="A1:A1048576"/>
    </sheetView>
  </sheetViews>
  <sheetFormatPr defaultRowHeight="14.25" x14ac:dyDescent="0.2"/>
  <cols>
    <col min="1" max="1" width="80.5" bestFit="1" customWidth="1"/>
  </cols>
  <sheetData>
    <row r="1" spans="1:1" x14ac:dyDescent="0.2">
      <c r="A1" t="s">
        <v>8917</v>
      </c>
    </row>
    <row r="2" spans="1:1" x14ac:dyDescent="0.2">
      <c r="A2" t="s">
        <v>18</v>
      </c>
    </row>
    <row r="3" spans="1:1" x14ac:dyDescent="0.2">
      <c r="A3" t="s">
        <v>28</v>
      </c>
    </row>
    <row r="4" spans="1:1" x14ac:dyDescent="0.2">
      <c r="A4" t="s">
        <v>47</v>
      </c>
    </row>
    <row r="5" spans="1:1" x14ac:dyDescent="0.2">
      <c r="A5" t="s">
        <v>101</v>
      </c>
    </row>
    <row r="6" spans="1:1" x14ac:dyDescent="0.2">
      <c r="A6" t="s">
        <v>111</v>
      </c>
    </row>
    <row r="7" spans="1:1" x14ac:dyDescent="0.2">
      <c r="A7" t="s">
        <v>119</v>
      </c>
    </row>
    <row r="8" spans="1:1" x14ac:dyDescent="0.2">
      <c r="A8" t="s">
        <v>151</v>
      </c>
    </row>
    <row r="9" spans="1:1" x14ac:dyDescent="0.2">
      <c r="A9" t="s">
        <v>171</v>
      </c>
    </row>
    <row r="10" spans="1:1" x14ac:dyDescent="0.2">
      <c r="A10" t="s">
        <v>175</v>
      </c>
    </row>
    <row r="11" spans="1:1" x14ac:dyDescent="0.2">
      <c r="A11" t="s">
        <v>190</v>
      </c>
    </row>
    <row r="12" spans="1:1" x14ac:dyDescent="0.2">
      <c r="A12" t="s">
        <v>201</v>
      </c>
    </row>
    <row r="13" spans="1:1" x14ac:dyDescent="0.2">
      <c r="A13" t="s">
        <v>279</v>
      </c>
    </row>
    <row r="14" spans="1:1" x14ac:dyDescent="0.2">
      <c r="A14" t="s">
        <v>295</v>
      </c>
    </row>
    <row r="15" spans="1:1" x14ac:dyDescent="0.2">
      <c r="A15" t="s">
        <v>352</v>
      </c>
    </row>
    <row r="16" spans="1:1" x14ac:dyDescent="0.2">
      <c r="A16" t="s">
        <v>362</v>
      </c>
    </row>
    <row r="17" spans="1:1" x14ac:dyDescent="0.2">
      <c r="A17" t="s">
        <v>383</v>
      </c>
    </row>
    <row r="18" spans="1:1" x14ac:dyDescent="0.2">
      <c r="A18" t="s">
        <v>389</v>
      </c>
    </row>
    <row r="19" spans="1:1" x14ac:dyDescent="0.2">
      <c r="A19" t="s">
        <v>421</v>
      </c>
    </row>
    <row r="20" spans="1:1" x14ac:dyDescent="0.2">
      <c r="A20" t="s">
        <v>427</v>
      </c>
    </row>
    <row r="21" spans="1:1" x14ac:dyDescent="0.2">
      <c r="A21" t="s">
        <v>448</v>
      </c>
    </row>
    <row r="22" spans="1:1" x14ac:dyDescent="0.2">
      <c r="A22" t="s">
        <v>453</v>
      </c>
    </row>
    <row r="23" spans="1:1" x14ac:dyDescent="0.2">
      <c r="A23" t="s">
        <v>468</v>
      </c>
    </row>
    <row r="24" spans="1:1" x14ac:dyDescent="0.2">
      <c r="A24" t="s">
        <v>474</v>
      </c>
    </row>
    <row r="25" spans="1:1" x14ac:dyDescent="0.2">
      <c r="A25" t="s">
        <v>497</v>
      </c>
    </row>
    <row r="26" spans="1:1" x14ac:dyDescent="0.2">
      <c r="A26" t="s">
        <v>653</v>
      </c>
    </row>
    <row r="27" spans="1:1" x14ac:dyDescent="0.2">
      <c r="A27" t="s">
        <v>671</v>
      </c>
    </row>
    <row r="28" spans="1:1" x14ac:dyDescent="0.2">
      <c r="A28" t="s">
        <v>697</v>
      </c>
    </row>
    <row r="29" spans="1:1" x14ac:dyDescent="0.2">
      <c r="A29" t="s">
        <v>701</v>
      </c>
    </row>
    <row r="30" spans="1:1" x14ac:dyDescent="0.2">
      <c r="A30" t="s">
        <v>710</v>
      </c>
    </row>
    <row r="31" spans="1:1" x14ac:dyDescent="0.2">
      <c r="A31" t="s">
        <v>747</v>
      </c>
    </row>
    <row r="32" spans="1:1" x14ac:dyDescent="0.2">
      <c r="A32" t="s">
        <v>750</v>
      </c>
    </row>
    <row r="33" spans="1:1" x14ac:dyDescent="0.2">
      <c r="A33" t="s">
        <v>756</v>
      </c>
    </row>
    <row r="34" spans="1:1" x14ac:dyDescent="0.2">
      <c r="A34" t="s">
        <v>762</v>
      </c>
    </row>
    <row r="35" spans="1:1" x14ac:dyDescent="0.2">
      <c r="A35" t="s">
        <v>779</v>
      </c>
    </row>
    <row r="36" spans="1:1" x14ac:dyDescent="0.2">
      <c r="A36" t="s">
        <v>790</v>
      </c>
    </row>
    <row r="37" spans="1:1" x14ac:dyDescent="0.2">
      <c r="A37" t="s">
        <v>801</v>
      </c>
    </row>
    <row r="38" spans="1:1" x14ac:dyDescent="0.2">
      <c r="A38" t="s">
        <v>814</v>
      </c>
    </row>
    <row r="39" spans="1:1" x14ac:dyDescent="0.2">
      <c r="A39" t="s">
        <v>847</v>
      </c>
    </row>
    <row r="40" spans="1:1" x14ac:dyDescent="0.2">
      <c r="A40" t="s">
        <v>866</v>
      </c>
    </row>
    <row r="41" spans="1:1" x14ac:dyDescent="0.2">
      <c r="A41" t="s">
        <v>888</v>
      </c>
    </row>
    <row r="42" spans="1:1" x14ac:dyDescent="0.2">
      <c r="A42" t="s">
        <v>939</v>
      </c>
    </row>
    <row r="43" spans="1:1" x14ac:dyDescent="0.2">
      <c r="A43" t="s">
        <v>957</v>
      </c>
    </row>
    <row r="44" spans="1:1" x14ac:dyDescent="0.2">
      <c r="A44" t="s">
        <v>977</v>
      </c>
    </row>
    <row r="45" spans="1:1" x14ac:dyDescent="0.2">
      <c r="A45" t="s">
        <v>981</v>
      </c>
    </row>
    <row r="46" spans="1:1" x14ac:dyDescent="0.2">
      <c r="A46" t="s">
        <v>1011</v>
      </c>
    </row>
    <row r="47" spans="1:1" x14ac:dyDescent="0.2">
      <c r="A47" t="s">
        <v>1043</v>
      </c>
    </row>
    <row r="48" spans="1:1" x14ac:dyDescent="0.2">
      <c r="A48" t="s">
        <v>1051</v>
      </c>
    </row>
    <row r="49" spans="1:1" x14ac:dyDescent="0.2">
      <c r="A49" t="s">
        <v>1069</v>
      </c>
    </row>
    <row r="50" spans="1:1" x14ac:dyDescent="0.2">
      <c r="A50" t="s">
        <v>1090</v>
      </c>
    </row>
    <row r="51" spans="1:1" x14ac:dyDescent="0.2">
      <c r="A51" t="s">
        <v>1094</v>
      </c>
    </row>
    <row r="52" spans="1:1" x14ac:dyDescent="0.2">
      <c r="A52" t="s">
        <v>1140</v>
      </c>
    </row>
    <row r="53" spans="1:1" x14ac:dyDescent="0.2">
      <c r="A53" t="s">
        <v>1173</v>
      </c>
    </row>
    <row r="54" spans="1:1" x14ac:dyDescent="0.2">
      <c r="A54" t="s">
        <v>1176</v>
      </c>
    </row>
    <row r="55" spans="1:1" x14ac:dyDescent="0.2">
      <c r="A55" t="s">
        <v>1205</v>
      </c>
    </row>
    <row r="56" spans="1:1" x14ac:dyDescent="0.2">
      <c r="A56" t="s">
        <v>1220</v>
      </c>
    </row>
    <row r="57" spans="1:1" x14ac:dyDescent="0.2">
      <c r="A57" t="s">
        <v>1224</v>
      </c>
    </row>
    <row r="58" spans="1:1" x14ac:dyDescent="0.2">
      <c r="A58" t="s">
        <v>1229</v>
      </c>
    </row>
    <row r="59" spans="1:1" x14ac:dyDescent="0.2">
      <c r="A59" t="s">
        <v>1235</v>
      </c>
    </row>
    <row r="60" spans="1:1" x14ac:dyDescent="0.2">
      <c r="A60" t="s">
        <v>1242</v>
      </c>
    </row>
    <row r="61" spans="1:1" x14ac:dyDescent="0.2">
      <c r="A61" t="s">
        <v>1260</v>
      </c>
    </row>
    <row r="62" spans="1:1" x14ac:dyDescent="0.2">
      <c r="A62" t="s">
        <v>1263</v>
      </c>
    </row>
    <row r="63" spans="1:1" x14ac:dyDescent="0.2">
      <c r="A63" t="s">
        <v>1281</v>
      </c>
    </row>
    <row r="64" spans="1:1" x14ac:dyDescent="0.2">
      <c r="A64" t="s">
        <v>1311</v>
      </c>
    </row>
    <row r="65" spans="1:1" x14ac:dyDescent="0.2">
      <c r="A65" t="s">
        <v>1325</v>
      </c>
    </row>
    <row r="66" spans="1:1" x14ac:dyDescent="0.2">
      <c r="A66" t="s">
        <v>1334</v>
      </c>
    </row>
    <row r="67" spans="1:1" x14ac:dyDescent="0.2">
      <c r="A67" t="s">
        <v>1500</v>
      </c>
    </row>
    <row r="68" spans="1:1" x14ac:dyDescent="0.2">
      <c r="A68" t="s">
        <v>1513</v>
      </c>
    </row>
    <row r="69" spans="1:1" x14ac:dyDescent="0.2">
      <c r="A69" t="s">
        <v>1516</v>
      </c>
    </row>
    <row r="70" spans="1:1" x14ac:dyDescent="0.2">
      <c r="A70" t="s">
        <v>1555</v>
      </c>
    </row>
    <row r="71" spans="1:1" x14ac:dyDescent="0.2">
      <c r="A71" t="s">
        <v>1559</v>
      </c>
    </row>
    <row r="72" spans="1:1" x14ac:dyDescent="0.2">
      <c r="A72" t="s">
        <v>1563</v>
      </c>
    </row>
    <row r="73" spans="1:1" x14ac:dyDescent="0.2">
      <c r="A73" t="s">
        <v>1569</v>
      </c>
    </row>
    <row r="74" spans="1:1" x14ac:dyDescent="0.2">
      <c r="A74" t="s">
        <v>1574</v>
      </c>
    </row>
    <row r="75" spans="1:1" x14ac:dyDescent="0.2">
      <c r="A75" t="s">
        <v>1577</v>
      </c>
    </row>
    <row r="76" spans="1:1" x14ac:dyDescent="0.2">
      <c r="A76" t="s">
        <v>1581</v>
      </c>
    </row>
    <row r="77" spans="1:1" x14ac:dyDescent="0.2">
      <c r="A77" t="s">
        <v>1626</v>
      </c>
    </row>
    <row r="78" spans="1:1" x14ac:dyDescent="0.2">
      <c r="A78" t="s">
        <v>1637</v>
      </c>
    </row>
    <row r="79" spans="1:1" x14ac:dyDescent="0.2">
      <c r="A79" t="s">
        <v>1644</v>
      </c>
    </row>
    <row r="80" spans="1:1" x14ac:dyDescent="0.2">
      <c r="A80" t="s">
        <v>1674</v>
      </c>
    </row>
    <row r="81" spans="1:1" x14ac:dyDescent="0.2">
      <c r="A81" t="s">
        <v>1690</v>
      </c>
    </row>
    <row r="82" spans="1:1" x14ac:dyDescent="0.2">
      <c r="A82" t="s">
        <v>1703</v>
      </c>
    </row>
    <row r="83" spans="1:1" x14ac:dyDescent="0.2">
      <c r="A83" t="s">
        <v>1722</v>
      </c>
    </row>
    <row r="84" spans="1:1" x14ac:dyDescent="0.2">
      <c r="A84" t="s">
        <v>1747</v>
      </c>
    </row>
    <row r="85" spans="1:1" x14ac:dyDescent="0.2">
      <c r="A85" t="s">
        <v>1751</v>
      </c>
    </row>
    <row r="86" spans="1:1" x14ac:dyDescent="0.2">
      <c r="A86" t="s">
        <v>1762</v>
      </c>
    </row>
    <row r="87" spans="1:1" x14ac:dyDescent="0.2">
      <c r="A87" t="s">
        <v>1771</v>
      </c>
    </row>
    <row r="88" spans="1:1" x14ac:dyDescent="0.2">
      <c r="A88" t="s">
        <v>1791</v>
      </c>
    </row>
    <row r="89" spans="1:1" x14ac:dyDescent="0.2">
      <c r="A89" t="s">
        <v>1798</v>
      </c>
    </row>
    <row r="90" spans="1:1" x14ac:dyDescent="0.2">
      <c r="A90" t="s">
        <v>1811</v>
      </c>
    </row>
    <row r="91" spans="1:1" x14ac:dyDescent="0.2">
      <c r="A91" t="s">
        <v>1849</v>
      </c>
    </row>
    <row r="92" spans="1:1" x14ac:dyDescent="0.2">
      <c r="A92" t="s">
        <v>1853</v>
      </c>
    </row>
    <row r="93" spans="1:1" x14ac:dyDescent="0.2">
      <c r="A93" t="s">
        <v>1856</v>
      </c>
    </row>
    <row r="94" spans="1:1" x14ac:dyDescent="0.2">
      <c r="A94" t="s">
        <v>1884</v>
      </c>
    </row>
    <row r="95" spans="1:1" x14ac:dyDescent="0.2">
      <c r="A95" t="s">
        <v>1890</v>
      </c>
    </row>
    <row r="96" spans="1:1" x14ac:dyDescent="0.2">
      <c r="A96" t="s">
        <v>1919</v>
      </c>
    </row>
    <row r="97" spans="1:1" x14ac:dyDescent="0.2">
      <c r="A97" t="s">
        <v>1935</v>
      </c>
    </row>
    <row r="98" spans="1:1" x14ac:dyDescent="0.2">
      <c r="A98" t="s">
        <v>1938</v>
      </c>
    </row>
    <row r="99" spans="1:1" x14ac:dyDescent="0.2">
      <c r="A99" t="s">
        <v>1961</v>
      </c>
    </row>
    <row r="100" spans="1:1" x14ac:dyDescent="0.2">
      <c r="A100" t="s">
        <v>2030</v>
      </c>
    </row>
    <row r="101" spans="1:1" x14ac:dyDescent="0.2">
      <c r="A101" t="s">
        <v>2041</v>
      </c>
    </row>
    <row r="102" spans="1:1" x14ac:dyDescent="0.2">
      <c r="A102" t="s">
        <v>2070</v>
      </c>
    </row>
    <row r="103" spans="1:1" x14ac:dyDescent="0.2">
      <c r="A103" t="s">
        <v>2073</v>
      </c>
    </row>
    <row r="104" spans="1:1" x14ac:dyDescent="0.2">
      <c r="A104" t="s">
        <v>2088</v>
      </c>
    </row>
    <row r="105" spans="1:1" x14ac:dyDescent="0.2">
      <c r="A105" t="s">
        <v>2153</v>
      </c>
    </row>
    <row r="106" spans="1:1" x14ac:dyDescent="0.2">
      <c r="A106" t="s">
        <v>2173</v>
      </c>
    </row>
    <row r="107" spans="1:1" x14ac:dyDescent="0.2">
      <c r="A107" t="s">
        <v>2179</v>
      </c>
    </row>
    <row r="108" spans="1:1" x14ac:dyDescent="0.2">
      <c r="A108" t="s">
        <v>2201</v>
      </c>
    </row>
    <row r="109" spans="1:1" x14ac:dyDescent="0.2">
      <c r="A109" t="s">
        <v>2212</v>
      </c>
    </row>
    <row r="110" spans="1:1" x14ac:dyDescent="0.2">
      <c r="A110" t="s">
        <v>2222</v>
      </c>
    </row>
    <row r="111" spans="1:1" x14ac:dyDescent="0.2">
      <c r="A111" t="s">
        <v>2229</v>
      </c>
    </row>
    <row r="112" spans="1:1" x14ac:dyDescent="0.2">
      <c r="A112" t="s">
        <v>2245</v>
      </c>
    </row>
    <row r="113" spans="1:1" x14ac:dyDescent="0.2">
      <c r="A113" t="s">
        <v>2268</v>
      </c>
    </row>
    <row r="114" spans="1:1" x14ac:dyDescent="0.2">
      <c r="A114" t="s">
        <v>2294</v>
      </c>
    </row>
    <row r="115" spans="1:1" x14ac:dyDescent="0.2">
      <c r="A115" t="s">
        <v>2310</v>
      </c>
    </row>
    <row r="116" spans="1:1" x14ac:dyDescent="0.2">
      <c r="A116" t="s">
        <v>2343</v>
      </c>
    </row>
    <row r="117" spans="1:1" x14ac:dyDescent="0.2">
      <c r="A117" t="s">
        <v>2366</v>
      </c>
    </row>
    <row r="118" spans="1:1" x14ac:dyDescent="0.2">
      <c r="A118" t="s">
        <v>2374</v>
      </c>
    </row>
    <row r="119" spans="1:1" x14ac:dyDescent="0.2">
      <c r="A119" t="s">
        <v>2477</v>
      </c>
    </row>
    <row r="120" spans="1:1" x14ac:dyDescent="0.2">
      <c r="A120" t="s">
        <v>2491</v>
      </c>
    </row>
    <row r="121" spans="1:1" x14ac:dyDescent="0.2">
      <c r="A121" t="s">
        <v>2541</v>
      </c>
    </row>
    <row r="122" spans="1:1" x14ac:dyDescent="0.2">
      <c r="A122" t="s">
        <v>2560</v>
      </c>
    </row>
    <row r="123" spans="1:1" x14ac:dyDescent="0.2">
      <c r="A123" t="s">
        <v>2583</v>
      </c>
    </row>
    <row r="124" spans="1:1" x14ac:dyDescent="0.2">
      <c r="A124" t="s">
        <v>2603</v>
      </c>
    </row>
    <row r="125" spans="1:1" x14ac:dyDescent="0.2">
      <c r="A125" t="s">
        <v>2628</v>
      </c>
    </row>
    <row r="126" spans="1:1" x14ac:dyDescent="0.2">
      <c r="A126" t="s">
        <v>2637</v>
      </c>
    </row>
    <row r="127" spans="1:1" x14ac:dyDescent="0.2">
      <c r="A127" t="s">
        <v>2756</v>
      </c>
    </row>
    <row r="128" spans="1:1" x14ac:dyDescent="0.2">
      <c r="A128" t="s">
        <v>2769</v>
      </c>
    </row>
    <row r="129" spans="1:1" x14ac:dyDescent="0.2">
      <c r="A129" t="s">
        <v>2809</v>
      </c>
    </row>
    <row r="130" spans="1:1" x14ac:dyDescent="0.2">
      <c r="A130" t="s">
        <v>2851</v>
      </c>
    </row>
    <row r="131" spans="1:1" x14ac:dyDescent="0.2">
      <c r="A131" t="s">
        <v>2867</v>
      </c>
    </row>
    <row r="132" spans="1:1" x14ac:dyDescent="0.2">
      <c r="A132" t="s">
        <v>2873</v>
      </c>
    </row>
    <row r="133" spans="1:1" x14ac:dyDescent="0.2">
      <c r="A133" t="s">
        <v>2881</v>
      </c>
    </row>
    <row r="134" spans="1:1" x14ac:dyDescent="0.2">
      <c r="A134" t="s">
        <v>2900</v>
      </c>
    </row>
    <row r="135" spans="1:1" x14ac:dyDescent="0.2">
      <c r="A135" t="s">
        <v>2919</v>
      </c>
    </row>
    <row r="136" spans="1:1" x14ac:dyDescent="0.2">
      <c r="A136" t="s">
        <v>2944</v>
      </c>
    </row>
    <row r="137" spans="1:1" x14ac:dyDescent="0.2">
      <c r="A137" t="s">
        <v>2959</v>
      </c>
    </row>
    <row r="138" spans="1:1" x14ac:dyDescent="0.2">
      <c r="A138" t="s">
        <v>3011</v>
      </c>
    </row>
    <row r="139" spans="1:1" x14ac:dyDescent="0.2">
      <c r="A139" t="s">
        <v>3029</v>
      </c>
    </row>
    <row r="140" spans="1:1" x14ac:dyDescent="0.2">
      <c r="A140" t="s">
        <v>3032</v>
      </c>
    </row>
    <row r="141" spans="1:1" x14ac:dyDescent="0.2">
      <c r="A141" t="s">
        <v>3051</v>
      </c>
    </row>
    <row r="142" spans="1:1" x14ac:dyDescent="0.2">
      <c r="A142" t="s">
        <v>3063</v>
      </c>
    </row>
    <row r="143" spans="1:1" x14ac:dyDescent="0.2">
      <c r="A143" t="s">
        <v>3088</v>
      </c>
    </row>
    <row r="144" spans="1:1" x14ac:dyDescent="0.2">
      <c r="A144" t="s">
        <v>3118</v>
      </c>
    </row>
    <row r="145" spans="1:1" x14ac:dyDescent="0.2">
      <c r="A145" t="s">
        <v>3146</v>
      </c>
    </row>
    <row r="146" spans="1:1" x14ac:dyDescent="0.2">
      <c r="A146" t="s">
        <v>3149</v>
      </c>
    </row>
    <row r="147" spans="1:1" x14ac:dyDescent="0.2">
      <c r="A147" t="s">
        <v>3184</v>
      </c>
    </row>
    <row r="148" spans="1:1" x14ac:dyDescent="0.2">
      <c r="A148" t="s">
        <v>3249</v>
      </c>
    </row>
    <row r="149" spans="1:1" x14ac:dyDescent="0.2">
      <c r="A149" t="s">
        <v>3257</v>
      </c>
    </row>
    <row r="150" spans="1:1" x14ac:dyDescent="0.2">
      <c r="A150" t="s">
        <v>3260</v>
      </c>
    </row>
    <row r="151" spans="1:1" x14ac:dyDescent="0.2">
      <c r="A151" t="s">
        <v>3392</v>
      </c>
    </row>
    <row r="152" spans="1:1" x14ac:dyDescent="0.2">
      <c r="A152" t="s">
        <v>3438</v>
      </c>
    </row>
    <row r="153" spans="1:1" x14ac:dyDescent="0.2">
      <c r="A153" t="s">
        <v>3452</v>
      </c>
    </row>
    <row r="154" spans="1:1" x14ac:dyDescent="0.2">
      <c r="A154" t="s">
        <v>3461</v>
      </c>
    </row>
    <row r="155" spans="1:1" x14ac:dyDescent="0.2">
      <c r="A155" t="s">
        <v>3479</v>
      </c>
    </row>
    <row r="156" spans="1:1" x14ac:dyDescent="0.2">
      <c r="A156" t="s">
        <v>3483</v>
      </c>
    </row>
    <row r="157" spans="1:1" x14ac:dyDescent="0.2">
      <c r="A157" t="s">
        <v>3545</v>
      </c>
    </row>
    <row r="158" spans="1:1" x14ac:dyDescent="0.2">
      <c r="A158" t="s">
        <v>3575</v>
      </c>
    </row>
    <row r="159" spans="1:1" x14ac:dyDescent="0.2">
      <c r="A159" t="s">
        <v>3588</v>
      </c>
    </row>
    <row r="160" spans="1:1" x14ac:dyDescent="0.2">
      <c r="A160" t="s">
        <v>3621</v>
      </c>
    </row>
    <row r="161" spans="1:1" x14ac:dyDescent="0.2">
      <c r="A161" t="s">
        <v>3627</v>
      </c>
    </row>
    <row r="162" spans="1:1" x14ac:dyDescent="0.2">
      <c r="A162" t="s">
        <v>3653</v>
      </c>
    </row>
    <row r="163" spans="1:1" x14ac:dyDescent="0.2">
      <c r="A163" t="s">
        <v>3664</v>
      </c>
    </row>
    <row r="164" spans="1:1" x14ac:dyDescent="0.2">
      <c r="A164" t="s">
        <v>3750</v>
      </c>
    </row>
    <row r="165" spans="1:1" x14ac:dyDescent="0.2">
      <c r="A165" t="s">
        <v>3840</v>
      </c>
    </row>
    <row r="166" spans="1:1" x14ac:dyDescent="0.2">
      <c r="A166" t="s">
        <v>3843</v>
      </c>
    </row>
    <row r="167" spans="1:1" x14ac:dyDescent="0.2">
      <c r="A167" t="s">
        <v>3855</v>
      </c>
    </row>
    <row r="168" spans="1:1" x14ac:dyDescent="0.2">
      <c r="A168" t="s">
        <v>3879</v>
      </c>
    </row>
    <row r="169" spans="1:1" x14ac:dyDescent="0.2">
      <c r="A169" t="s">
        <v>3895</v>
      </c>
    </row>
    <row r="170" spans="1:1" x14ac:dyDescent="0.2">
      <c r="A170" t="s">
        <v>3910</v>
      </c>
    </row>
    <row r="171" spans="1:1" x14ac:dyDescent="0.2">
      <c r="A171" t="s">
        <v>3932</v>
      </c>
    </row>
    <row r="172" spans="1:1" x14ac:dyDescent="0.2">
      <c r="A172" t="s">
        <v>3935</v>
      </c>
    </row>
    <row r="173" spans="1:1" x14ac:dyDescent="0.2">
      <c r="A173" t="s">
        <v>3960</v>
      </c>
    </row>
    <row r="174" spans="1:1" x14ac:dyDescent="0.2">
      <c r="A174" t="s">
        <v>3966</v>
      </c>
    </row>
    <row r="175" spans="1:1" x14ac:dyDescent="0.2">
      <c r="A175" t="s">
        <v>3983</v>
      </c>
    </row>
    <row r="176" spans="1:1" x14ac:dyDescent="0.2">
      <c r="A176" t="s">
        <v>4005</v>
      </c>
    </row>
    <row r="177" spans="1:1" x14ac:dyDescent="0.2">
      <c r="A177" t="s">
        <v>4039</v>
      </c>
    </row>
    <row r="178" spans="1:1" x14ac:dyDescent="0.2">
      <c r="A178" t="s">
        <v>4064</v>
      </c>
    </row>
    <row r="179" spans="1:1" x14ac:dyDescent="0.2">
      <c r="A179" t="s">
        <v>4067</v>
      </c>
    </row>
    <row r="180" spans="1:1" x14ac:dyDescent="0.2">
      <c r="A180" t="s">
        <v>4109</v>
      </c>
    </row>
    <row r="181" spans="1:1" x14ac:dyDescent="0.2">
      <c r="A181" t="s">
        <v>4136</v>
      </c>
    </row>
    <row r="182" spans="1:1" x14ac:dyDescent="0.2">
      <c r="A182" t="s">
        <v>4178</v>
      </c>
    </row>
    <row r="183" spans="1:1" x14ac:dyDescent="0.2">
      <c r="A183" t="s">
        <v>4209</v>
      </c>
    </row>
    <row r="184" spans="1:1" x14ac:dyDescent="0.2">
      <c r="A184" t="s">
        <v>4217</v>
      </c>
    </row>
    <row r="185" spans="1:1" x14ac:dyDescent="0.2">
      <c r="A185" t="s">
        <v>4240</v>
      </c>
    </row>
    <row r="186" spans="1:1" x14ac:dyDescent="0.2">
      <c r="A186" t="s">
        <v>4301</v>
      </c>
    </row>
    <row r="187" spans="1:1" x14ac:dyDescent="0.2">
      <c r="A187" t="s">
        <v>4364</v>
      </c>
    </row>
    <row r="188" spans="1:1" x14ac:dyDescent="0.2">
      <c r="A188" t="s">
        <v>4420</v>
      </c>
    </row>
    <row r="189" spans="1:1" x14ac:dyDescent="0.2">
      <c r="A189" t="s">
        <v>4492</v>
      </c>
    </row>
    <row r="190" spans="1:1" x14ac:dyDescent="0.2">
      <c r="A190" t="s">
        <v>4496</v>
      </c>
    </row>
    <row r="191" spans="1:1" x14ac:dyDescent="0.2">
      <c r="A191" t="s">
        <v>4508</v>
      </c>
    </row>
    <row r="192" spans="1:1" x14ac:dyDescent="0.2">
      <c r="A192" t="s">
        <v>4514</v>
      </c>
    </row>
    <row r="193" spans="1:1" x14ac:dyDescent="0.2">
      <c r="A193" t="s">
        <v>4535</v>
      </c>
    </row>
    <row r="194" spans="1:1" x14ac:dyDescent="0.2">
      <c r="A194" t="s">
        <v>4557</v>
      </c>
    </row>
    <row r="195" spans="1:1" x14ac:dyDescent="0.2">
      <c r="A195" t="s">
        <v>4560</v>
      </c>
    </row>
    <row r="196" spans="1:1" x14ac:dyDescent="0.2">
      <c r="A196" t="s">
        <v>4566</v>
      </c>
    </row>
    <row r="197" spans="1:1" x14ac:dyDescent="0.2">
      <c r="A197" t="s">
        <v>4665</v>
      </c>
    </row>
    <row r="198" spans="1:1" x14ac:dyDescent="0.2">
      <c r="A198" t="s">
        <v>4719</v>
      </c>
    </row>
    <row r="199" spans="1:1" x14ac:dyDescent="0.2">
      <c r="A199" t="s">
        <v>4730</v>
      </c>
    </row>
    <row r="200" spans="1:1" x14ac:dyDescent="0.2">
      <c r="A200" t="s">
        <v>4735</v>
      </c>
    </row>
    <row r="201" spans="1:1" x14ac:dyDescent="0.2">
      <c r="A201" t="s">
        <v>4738</v>
      </c>
    </row>
    <row r="202" spans="1:1" x14ac:dyDescent="0.2">
      <c r="A202" t="s">
        <v>4774</v>
      </c>
    </row>
    <row r="203" spans="1:1" x14ac:dyDescent="0.2">
      <c r="A203" t="s">
        <v>4814</v>
      </c>
    </row>
    <row r="204" spans="1:1" x14ac:dyDescent="0.2">
      <c r="A204" t="s">
        <v>4844</v>
      </c>
    </row>
    <row r="205" spans="1:1" x14ac:dyDescent="0.2">
      <c r="A205" t="s">
        <v>4864</v>
      </c>
    </row>
    <row r="206" spans="1:1" x14ac:dyDescent="0.2">
      <c r="A206" t="s">
        <v>4887</v>
      </c>
    </row>
    <row r="207" spans="1:1" x14ac:dyDescent="0.2">
      <c r="A207" t="s">
        <v>4945</v>
      </c>
    </row>
    <row r="208" spans="1:1" x14ac:dyDescent="0.2">
      <c r="A208" t="s">
        <v>4962</v>
      </c>
    </row>
    <row r="209" spans="1:1" x14ac:dyDescent="0.2">
      <c r="A209" t="s">
        <v>5011</v>
      </c>
    </row>
    <row r="210" spans="1:1" x14ac:dyDescent="0.2">
      <c r="A210" t="s">
        <v>5019</v>
      </c>
    </row>
    <row r="211" spans="1:1" x14ac:dyDescent="0.2">
      <c r="A211" t="s">
        <v>5023</v>
      </c>
    </row>
    <row r="212" spans="1:1" x14ac:dyDescent="0.2">
      <c r="A212" t="s">
        <v>5069</v>
      </c>
    </row>
    <row r="213" spans="1:1" x14ac:dyDescent="0.2">
      <c r="A213" t="s">
        <v>5072</v>
      </c>
    </row>
    <row r="214" spans="1:1" x14ac:dyDescent="0.2">
      <c r="A214" t="s">
        <v>5118</v>
      </c>
    </row>
    <row r="215" spans="1:1" x14ac:dyDescent="0.2">
      <c r="A215" t="s">
        <v>5135</v>
      </c>
    </row>
    <row r="216" spans="1:1" x14ac:dyDescent="0.2">
      <c r="A216" t="s">
        <v>5150</v>
      </c>
    </row>
    <row r="217" spans="1:1" x14ac:dyDescent="0.2">
      <c r="A217" t="s">
        <v>5163</v>
      </c>
    </row>
    <row r="218" spans="1:1" x14ac:dyDescent="0.2">
      <c r="A218" t="s">
        <v>5177</v>
      </c>
    </row>
    <row r="219" spans="1:1" x14ac:dyDescent="0.2">
      <c r="A219" t="s">
        <v>5217</v>
      </c>
    </row>
    <row r="220" spans="1:1" x14ac:dyDescent="0.2">
      <c r="A220" t="s">
        <v>5241</v>
      </c>
    </row>
    <row r="221" spans="1:1" x14ac:dyDescent="0.2">
      <c r="A221" t="s">
        <v>5244</v>
      </c>
    </row>
    <row r="222" spans="1:1" x14ac:dyDescent="0.2">
      <c r="A222" t="s">
        <v>5249</v>
      </c>
    </row>
    <row r="223" spans="1:1" x14ac:dyDescent="0.2">
      <c r="A223" t="s">
        <v>5255</v>
      </c>
    </row>
    <row r="224" spans="1:1" x14ac:dyDescent="0.2">
      <c r="A224" t="s">
        <v>5265</v>
      </c>
    </row>
    <row r="225" spans="1:1" x14ac:dyDescent="0.2">
      <c r="A225" t="s">
        <v>5271</v>
      </c>
    </row>
    <row r="226" spans="1:1" x14ac:dyDescent="0.2">
      <c r="A226" t="s">
        <v>5274</v>
      </c>
    </row>
    <row r="227" spans="1:1" x14ac:dyDescent="0.2">
      <c r="A227" t="s">
        <v>5283</v>
      </c>
    </row>
    <row r="228" spans="1:1" x14ac:dyDescent="0.2">
      <c r="A228" t="s">
        <v>5306</v>
      </c>
    </row>
    <row r="229" spans="1:1" x14ac:dyDescent="0.2">
      <c r="A229" t="s">
        <v>5336</v>
      </c>
    </row>
    <row r="230" spans="1:1" x14ac:dyDescent="0.2">
      <c r="A230" t="s">
        <v>5340</v>
      </c>
    </row>
    <row r="231" spans="1:1" x14ac:dyDescent="0.2">
      <c r="A231" t="s">
        <v>5358</v>
      </c>
    </row>
    <row r="232" spans="1:1" x14ac:dyDescent="0.2">
      <c r="A232" t="s">
        <v>5362</v>
      </c>
    </row>
    <row r="233" spans="1:1" x14ac:dyDescent="0.2">
      <c r="A233" t="s">
        <v>5366</v>
      </c>
    </row>
    <row r="234" spans="1:1" x14ac:dyDescent="0.2">
      <c r="A234" t="s">
        <v>5376</v>
      </c>
    </row>
    <row r="235" spans="1:1" x14ac:dyDescent="0.2">
      <c r="A235" t="s">
        <v>5414</v>
      </c>
    </row>
    <row r="236" spans="1:1" x14ac:dyDescent="0.2">
      <c r="A236" t="s">
        <v>5436</v>
      </c>
    </row>
    <row r="237" spans="1:1" x14ac:dyDescent="0.2">
      <c r="A237" t="s">
        <v>5457</v>
      </c>
    </row>
    <row r="238" spans="1:1" x14ac:dyDescent="0.2">
      <c r="A238" t="s">
        <v>5491</v>
      </c>
    </row>
    <row r="239" spans="1:1" x14ac:dyDescent="0.2">
      <c r="A239" t="s">
        <v>5517</v>
      </c>
    </row>
    <row r="240" spans="1:1" x14ac:dyDescent="0.2">
      <c r="A240" t="s">
        <v>5535</v>
      </c>
    </row>
    <row r="241" spans="1:1" x14ac:dyDescent="0.2">
      <c r="A241" t="s">
        <v>5681</v>
      </c>
    </row>
    <row r="242" spans="1:1" x14ac:dyDescent="0.2">
      <c r="A242" t="s">
        <v>5690</v>
      </c>
    </row>
    <row r="243" spans="1:1" x14ac:dyDescent="0.2">
      <c r="A243" t="s">
        <v>5695</v>
      </c>
    </row>
    <row r="244" spans="1:1" x14ac:dyDescent="0.2">
      <c r="A244" t="s">
        <v>5778</v>
      </c>
    </row>
    <row r="245" spans="1:1" x14ac:dyDescent="0.2">
      <c r="A245" t="s">
        <v>5810</v>
      </c>
    </row>
    <row r="246" spans="1:1" x14ac:dyDescent="0.2">
      <c r="A246" t="s">
        <v>5813</v>
      </c>
    </row>
    <row r="247" spans="1:1" x14ac:dyDescent="0.2">
      <c r="A247" t="s">
        <v>5849</v>
      </c>
    </row>
    <row r="248" spans="1:1" x14ac:dyDescent="0.2">
      <c r="A248" t="s">
        <v>5868</v>
      </c>
    </row>
    <row r="249" spans="1:1" x14ac:dyDescent="0.2">
      <c r="A249" t="s">
        <v>5872</v>
      </c>
    </row>
    <row r="250" spans="1:1" x14ac:dyDescent="0.2">
      <c r="A250" t="s">
        <v>5891</v>
      </c>
    </row>
    <row r="251" spans="1:1" x14ac:dyDescent="0.2">
      <c r="A251" t="s">
        <v>5915</v>
      </c>
    </row>
    <row r="252" spans="1:1" x14ac:dyDescent="0.2">
      <c r="A252" t="s">
        <v>5928</v>
      </c>
    </row>
    <row r="253" spans="1:1" x14ac:dyDescent="0.2">
      <c r="A253" t="s">
        <v>5935</v>
      </c>
    </row>
    <row r="254" spans="1:1" x14ac:dyDescent="0.2">
      <c r="A254" t="s">
        <v>5966</v>
      </c>
    </row>
    <row r="255" spans="1:1" x14ac:dyDescent="0.2">
      <c r="A255" t="s">
        <v>6019</v>
      </c>
    </row>
    <row r="256" spans="1:1" x14ac:dyDescent="0.2">
      <c r="A256" t="s">
        <v>6041</v>
      </c>
    </row>
    <row r="257" spans="1:1" x14ac:dyDescent="0.2">
      <c r="A257" t="s">
        <v>6059</v>
      </c>
    </row>
    <row r="258" spans="1:1" x14ac:dyDescent="0.2">
      <c r="A258" t="s">
        <v>6080</v>
      </c>
    </row>
    <row r="259" spans="1:1" x14ac:dyDescent="0.2">
      <c r="A259" t="s">
        <v>8918</v>
      </c>
    </row>
    <row r="260" spans="1:1" x14ac:dyDescent="0.2">
      <c r="A260" t="s">
        <v>6083</v>
      </c>
    </row>
    <row r="261" spans="1:1" x14ac:dyDescent="0.2">
      <c r="A261" t="s">
        <v>6091</v>
      </c>
    </row>
    <row r="262" spans="1:1" x14ac:dyDescent="0.2">
      <c r="A262" t="s">
        <v>6106</v>
      </c>
    </row>
    <row r="263" spans="1:1" x14ac:dyDescent="0.2">
      <c r="A263" t="s">
        <v>6110</v>
      </c>
    </row>
    <row r="264" spans="1:1" x14ac:dyDescent="0.2">
      <c r="A264" t="s">
        <v>6114</v>
      </c>
    </row>
    <row r="265" spans="1:1" x14ac:dyDescent="0.2">
      <c r="A265" t="s">
        <v>6135</v>
      </c>
    </row>
    <row r="266" spans="1:1" x14ac:dyDescent="0.2">
      <c r="A266" t="s">
        <v>6160</v>
      </c>
    </row>
    <row r="267" spans="1:1" x14ac:dyDescent="0.2">
      <c r="A267" t="s">
        <v>6170</v>
      </c>
    </row>
    <row r="268" spans="1:1" x14ac:dyDescent="0.2">
      <c r="A268" t="s">
        <v>6219</v>
      </c>
    </row>
    <row r="269" spans="1:1" x14ac:dyDescent="0.2">
      <c r="A269" t="s">
        <v>6244</v>
      </c>
    </row>
    <row r="270" spans="1:1" x14ac:dyDescent="0.2">
      <c r="A270" t="s">
        <v>6247</v>
      </c>
    </row>
    <row r="271" spans="1:1" x14ac:dyDescent="0.2">
      <c r="A271" t="s">
        <v>6290</v>
      </c>
    </row>
    <row r="272" spans="1:1" x14ac:dyDescent="0.2">
      <c r="A272" t="s">
        <v>6312</v>
      </c>
    </row>
    <row r="273" spans="1:1" x14ac:dyDescent="0.2">
      <c r="A273" t="s">
        <v>6315</v>
      </c>
    </row>
    <row r="274" spans="1:1" x14ac:dyDescent="0.2">
      <c r="A274" t="s">
        <v>6352</v>
      </c>
    </row>
    <row r="275" spans="1:1" x14ac:dyDescent="0.2">
      <c r="A275" t="s">
        <v>6372</v>
      </c>
    </row>
    <row r="276" spans="1:1" x14ac:dyDescent="0.2">
      <c r="A276" t="s">
        <v>6400</v>
      </c>
    </row>
    <row r="277" spans="1:1" x14ac:dyDescent="0.2">
      <c r="A277" t="s">
        <v>6416</v>
      </c>
    </row>
    <row r="278" spans="1:1" x14ac:dyDescent="0.2">
      <c r="A278" t="s">
        <v>6419</v>
      </c>
    </row>
    <row r="279" spans="1:1" x14ac:dyDescent="0.2">
      <c r="A279" t="s">
        <v>6422</v>
      </c>
    </row>
    <row r="280" spans="1:1" x14ac:dyDescent="0.2">
      <c r="A280" t="s">
        <v>6508</v>
      </c>
    </row>
    <row r="281" spans="1:1" x14ac:dyDescent="0.2">
      <c r="A281" t="s">
        <v>6523</v>
      </c>
    </row>
    <row r="282" spans="1:1" x14ac:dyDescent="0.2">
      <c r="A282" t="s">
        <v>6556</v>
      </c>
    </row>
    <row r="283" spans="1:1" x14ac:dyDescent="0.2">
      <c r="A283" t="s">
        <v>6568</v>
      </c>
    </row>
    <row r="284" spans="1:1" x14ac:dyDescent="0.2">
      <c r="A284" t="s">
        <v>6580</v>
      </c>
    </row>
    <row r="285" spans="1:1" x14ac:dyDescent="0.2">
      <c r="A285" t="s">
        <v>6585</v>
      </c>
    </row>
    <row r="286" spans="1:1" x14ac:dyDescent="0.2">
      <c r="A286" t="s">
        <v>6590</v>
      </c>
    </row>
    <row r="287" spans="1:1" x14ac:dyDescent="0.2">
      <c r="A287" t="s">
        <v>6621</v>
      </c>
    </row>
    <row r="288" spans="1:1" x14ac:dyDescent="0.2">
      <c r="A288" t="s">
        <v>6730</v>
      </c>
    </row>
    <row r="289" spans="1:1" x14ac:dyDescent="0.2">
      <c r="A289" t="s">
        <v>6745</v>
      </c>
    </row>
    <row r="290" spans="1:1" x14ac:dyDescent="0.2">
      <c r="A290" t="s">
        <v>6750</v>
      </c>
    </row>
    <row r="291" spans="1:1" x14ac:dyDescent="0.2">
      <c r="A291" t="s">
        <v>6765</v>
      </c>
    </row>
    <row r="292" spans="1:1" x14ac:dyDescent="0.2">
      <c r="A292" t="s">
        <v>6777</v>
      </c>
    </row>
    <row r="293" spans="1:1" x14ac:dyDescent="0.2">
      <c r="A293" t="s">
        <v>6825</v>
      </c>
    </row>
    <row r="294" spans="1:1" x14ac:dyDescent="0.2">
      <c r="A294" t="s">
        <v>6835</v>
      </c>
    </row>
    <row r="295" spans="1:1" x14ac:dyDescent="0.2">
      <c r="A295" t="s">
        <v>6877</v>
      </c>
    </row>
    <row r="296" spans="1:1" x14ac:dyDescent="0.2">
      <c r="A296" t="s">
        <v>6881</v>
      </c>
    </row>
    <row r="297" spans="1:1" x14ac:dyDescent="0.2">
      <c r="A297" t="s">
        <v>6892</v>
      </c>
    </row>
    <row r="298" spans="1:1" x14ac:dyDescent="0.2">
      <c r="A298" t="s">
        <v>6964</v>
      </c>
    </row>
    <row r="299" spans="1:1" x14ac:dyDescent="0.2">
      <c r="A299" t="s">
        <v>6967</v>
      </c>
    </row>
    <row r="300" spans="1:1" x14ac:dyDescent="0.2">
      <c r="A300" t="s">
        <v>6980</v>
      </c>
    </row>
    <row r="301" spans="1:1" x14ac:dyDescent="0.2">
      <c r="A301" t="s">
        <v>6989</v>
      </c>
    </row>
    <row r="302" spans="1:1" x14ac:dyDescent="0.2">
      <c r="A302" t="s">
        <v>7031</v>
      </c>
    </row>
    <row r="303" spans="1:1" x14ac:dyDescent="0.2">
      <c r="A303" t="s">
        <v>7050</v>
      </c>
    </row>
    <row r="304" spans="1:1" x14ac:dyDescent="0.2">
      <c r="A304" t="s">
        <v>7062</v>
      </c>
    </row>
    <row r="305" spans="1:1" x14ac:dyDescent="0.2">
      <c r="A305" t="s">
        <v>7067</v>
      </c>
    </row>
    <row r="306" spans="1:1" x14ac:dyDescent="0.2">
      <c r="A306" t="s">
        <v>7085</v>
      </c>
    </row>
    <row r="307" spans="1:1" x14ac:dyDescent="0.2">
      <c r="A307" t="s">
        <v>7124</v>
      </c>
    </row>
    <row r="308" spans="1:1" x14ac:dyDescent="0.2">
      <c r="A308" t="s">
        <v>7138</v>
      </c>
    </row>
    <row r="309" spans="1:1" x14ac:dyDescent="0.2">
      <c r="A309" t="s">
        <v>7150</v>
      </c>
    </row>
    <row r="310" spans="1:1" x14ac:dyDescent="0.2">
      <c r="A310" t="s">
        <v>7211</v>
      </c>
    </row>
    <row r="311" spans="1:1" x14ac:dyDescent="0.2">
      <c r="A311" t="s">
        <v>7218</v>
      </c>
    </row>
    <row r="312" spans="1:1" x14ac:dyDescent="0.2">
      <c r="A312" t="s">
        <v>7246</v>
      </c>
    </row>
    <row r="313" spans="1:1" x14ac:dyDescent="0.2">
      <c r="A313" t="s">
        <v>7282</v>
      </c>
    </row>
    <row r="314" spans="1:1" x14ac:dyDescent="0.2">
      <c r="A314" t="s">
        <v>7309</v>
      </c>
    </row>
    <row r="315" spans="1:1" x14ac:dyDescent="0.2">
      <c r="A315" t="s">
        <v>7351</v>
      </c>
    </row>
    <row r="316" spans="1:1" x14ac:dyDescent="0.2">
      <c r="A316" t="s">
        <v>7356</v>
      </c>
    </row>
    <row r="317" spans="1:1" x14ac:dyDescent="0.2">
      <c r="A317" t="s">
        <v>7368</v>
      </c>
    </row>
    <row r="318" spans="1:1" x14ac:dyDescent="0.2">
      <c r="A318" t="s">
        <v>7376</v>
      </c>
    </row>
    <row r="319" spans="1:1" x14ac:dyDescent="0.2">
      <c r="A319" t="s">
        <v>7409</v>
      </c>
    </row>
    <row r="320" spans="1:1" x14ac:dyDescent="0.2">
      <c r="A320" t="s">
        <v>7435</v>
      </c>
    </row>
    <row r="321" spans="1:1" x14ac:dyDescent="0.2">
      <c r="A321" t="s">
        <v>7456</v>
      </c>
    </row>
    <row r="322" spans="1:1" x14ac:dyDescent="0.2">
      <c r="A322" t="s">
        <v>7459</v>
      </c>
    </row>
    <row r="323" spans="1:1" x14ac:dyDescent="0.2">
      <c r="A323" t="s">
        <v>7463</v>
      </c>
    </row>
    <row r="324" spans="1:1" x14ac:dyDescent="0.2">
      <c r="A324" t="s">
        <v>7470</v>
      </c>
    </row>
    <row r="325" spans="1:1" x14ac:dyDescent="0.2">
      <c r="A325" t="s">
        <v>7485</v>
      </c>
    </row>
    <row r="326" spans="1:1" x14ac:dyDescent="0.2">
      <c r="A326" t="s">
        <v>7501</v>
      </c>
    </row>
    <row r="327" spans="1:1" x14ac:dyDescent="0.2">
      <c r="A327" t="s">
        <v>7507</v>
      </c>
    </row>
    <row r="328" spans="1:1" x14ac:dyDescent="0.2">
      <c r="A328" t="s">
        <v>7511</v>
      </c>
    </row>
    <row r="329" spans="1:1" x14ac:dyDescent="0.2">
      <c r="A329" t="s">
        <v>7518</v>
      </c>
    </row>
    <row r="330" spans="1:1" x14ac:dyDescent="0.2">
      <c r="A330" t="s">
        <v>7533</v>
      </c>
    </row>
    <row r="331" spans="1:1" x14ac:dyDescent="0.2">
      <c r="A331" t="s">
        <v>7558</v>
      </c>
    </row>
    <row r="332" spans="1:1" x14ac:dyDescent="0.2">
      <c r="A332" t="s">
        <v>7561</v>
      </c>
    </row>
    <row r="333" spans="1:1" x14ac:dyDescent="0.2">
      <c r="A333" t="s">
        <v>7576</v>
      </c>
    </row>
    <row r="334" spans="1:1" x14ac:dyDescent="0.2">
      <c r="A334" t="s">
        <v>7652</v>
      </c>
    </row>
    <row r="335" spans="1:1" x14ac:dyDescent="0.2">
      <c r="A335" t="s">
        <v>7711</v>
      </c>
    </row>
    <row r="336" spans="1:1" x14ac:dyDescent="0.2">
      <c r="A336" t="s">
        <v>7714</v>
      </c>
    </row>
    <row r="337" spans="1:1" x14ac:dyDescent="0.2">
      <c r="A337" t="s">
        <v>7723</v>
      </c>
    </row>
    <row r="338" spans="1:1" x14ac:dyDescent="0.2">
      <c r="A338" t="s">
        <v>7743</v>
      </c>
    </row>
    <row r="339" spans="1:1" x14ac:dyDescent="0.2">
      <c r="A339" t="s">
        <v>7834</v>
      </c>
    </row>
    <row r="340" spans="1:1" x14ac:dyDescent="0.2">
      <c r="A340" t="s">
        <v>7837</v>
      </c>
    </row>
    <row r="341" spans="1:1" x14ac:dyDescent="0.2">
      <c r="A341" t="s">
        <v>7996</v>
      </c>
    </row>
    <row r="342" spans="1:1" x14ac:dyDescent="0.2">
      <c r="A342" t="s">
        <v>8009</v>
      </c>
    </row>
    <row r="343" spans="1:1" x14ac:dyDescent="0.2">
      <c r="A343" t="s">
        <v>8021</v>
      </c>
    </row>
    <row r="344" spans="1:1" x14ac:dyDescent="0.2">
      <c r="A344" t="s">
        <v>8069</v>
      </c>
    </row>
    <row r="345" spans="1:1" x14ac:dyDescent="0.2">
      <c r="A345" t="s">
        <v>8092</v>
      </c>
    </row>
    <row r="346" spans="1:1" x14ac:dyDescent="0.2">
      <c r="A346" t="s">
        <v>8138</v>
      </c>
    </row>
    <row r="347" spans="1:1" x14ac:dyDescent="0.2">
      <c r="A347" t="s">
        <v>8201</v>
      </c>
    </row>
    <row r="348" spans="1:1" x14ac:dyDescent="0.2">
      <c r="A348" t="s">
        <v>8210</v>
      </c>
    </row>
    <row r="349" spans="1:1" x14ac:dyDescent="0.2">
      <c r="A349" t="s">
        <v>8214</v>
      </c>
    </row>
    <row r="350" spans="1:1" x14ac:dyDescent="0.2">
      <c r="A350" t="s">
        <v>8247</v>
      </c>
    </row>
    <row r="351" spans="1:1" x14ac:dyDescent="0.2">
      <c r="A351" t="s">
        <v>8283</v>
      </c>
    </row>
    <row r="352" spans="1:1" x14ac:dyDescent="0.2">
      <c r="A352" t="s">
        <v>8292</v>
      </c>
    </row>
    <row r="353" spans="1:1" x14ac:dyDescent="0.2">
      <c r="A353" t="s">
        <v>8325</v>
      </c>
    </row>
    <row r="354" spans="1:1" x14ac:dyDescent="0.2">
      <c r="A354" t="s">
        <v>8332</v>
      </c>
    </row>
    <row r="355" spans="1:1" x14ac:dyDescent="0.2">
      <c r="A355" t="s">
        <v>8335</v>
      </c>
    </row>
    <row r="356" spans="1:1" x14ac:dyDescent="0.2">
      <c r="A356" t="s">
        <v>8340</v>
      </c>
    </row>
    <row r="357" spans="1:1" x14ac:dyDescent="0.2">
      <c r="A357" t="s">
        <v>8406</v>
      </c>
    </row>
    <row r="358" spans="1:1" x14ac:dyDescent="0.2">
      <c r="A358" t="s">
        <v>8411</v>
      </c>
    </row>
    <row r="359" spans="1:1" x14ac:dyDescent="0.2">
      <c r="A359" t="s">
        <v>8421</v>
      </c>
    </row>
    <row r="360" spans="1:1" x14ac:dyDescent="0.2">
      <c r="A360" t="s">
        <v>8425</v>
      </c>
    </row>
    <row r="361" spans="1:1" x14ac:dyDescent="0.2">
      <c r="A361" t="s">
        <v>8431</v>
      </c>
    </row>
    <row r="362" spans="1:1" x14ac:dyDescent="0.2">
      <c r="A362" t="s">
        <v>8646</v>
      </c>
    </row>
    <row r="363" spans="1:1" x14ac:dyDescent="0.2">
      <c r="A363" t="s">
        <v>8775</v>
      </c>
    </row>
    <row r="364" spans="1:1" x14ac:dyDescent="0.2">
      <c r="A364" t="s">
        <v>8783</v>
      </c>
    </row>
    <row r="365" spans="1:1" x14ac:dyDescent="0.2">
      <c r="A365" t="s">
        <v>8801</v>
      </c>
    </row>
    <row r="366" spans="1:1" x14ac:dyDescent="0.2">
      <c r="A366" t="s">
        <v>8828</v>
      </c>
    </row>
    <row r="367" spans="1:1" x14ac:dyDescent="0.2">
      <c r="A367" t="s">
        <v>8831</v>
      </c>
    </row>
    <row r="368" spans="1:1" x14ac:dyDescent="0.2">
      <c r="A368" t="s">
        <v>8893</v>
      </c>
    </row>
    <row r="369" spans="1:1" x14ac:dyDescent="0.2">
      <c r="A369" t="s">
        <v>8896</v>
      </c>
    </row>
    <row r="370" spans="1:1" x14ac:dyDescent="0.2">
      <c r="A370" t="s">
        <v>8901</v>
      </c>
    </row>
    <row r="371" spans="1:1" x14ac:dyDescent="0.2">
      <c r="A371" t="s">
        <v>8904</v>
      </c>
    </row>
  </sheetData>
  <phoneticPr fontId="18"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83B2E19-A5A7-4DDC-8B8D-C21E99E6B85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summary</vt:lpstr>
      <vt:lpstr>2012-2021</vt:lpstr>
      <vt:lpstr>original data</vt:lpstr>
      <vt:lpstr>2019</vt:lpstr>
      <vt:lpstr>review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jiangdian song</dc:creator>
  <cp:lastModifiedBy>Hym</cp:lastModifiedBy>
  <dcterms:created xsi:type="dcterms:W3CDTF">2021-02-02T08:58:27Z</dcterms:created>
  <dcterms:modified xsi:type="dcterms:W3CDTF">2021-06-28T02:43:05Z</dcterms:modified>
</cp:coreProperties>
</file>